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480" yWindow="780" windowWidth="18195" windowHeight="6645" tabRatio="848" activeTab="5"/>
  </bookViews>
  <sheets>
    <sheet name="SUPP SCH B-1.1 B" sheetId="59" r:id="rId1"/>
    <sheet name="SUPP SCH B-1.1 F" sheetId="58" r:id="rId2"/>
    <sheet name="&lt;&lt;&lt;EXPORT" sheetId="71" r:id="rId3"/>
    <sheet name="Rate Case Constants" sheetId="3" r:id="rId4"/>
    <sheet name="Index B" sheetId="37" r:id="rId5"/>
    <sheet name="SCH B-1" sheetId="16" r:id="rId6"/>
    <sheet name="SCH B-2" sheetId="15" r:id="rId7"/>
    <sheet name="SCH B-2.1 B" sheetId="12" r:id="rId8"/>
    <sheet name="SCH B-2.1 F" sheetId="14" r:id="rId9"/>
    <sheet name="SCH B-2.2" sheetId="11" r:id="rId10"/>
    <sheet name="SCH B-2.3 B" sheetId="4" r:id="rId11"/>
    <sheet name="SCH B-2.3 F" sheetId="5" r:id="rId12"/>
    <sheet name="SCH B-2.4" sheetId="7" r:id="rId13"/>
    <sheet name="SCH B-2.5" sheetId="8" r:id="rId14"/>
    <sheet name="SCH B-2.6" sheetId="9" r:id="rId15"/>
    <sheet name="SCH B-2.7" sheetId="10" r:id="rId16"/>
    <sheet name="SCH B-3 B" sheetId="17" r:id="rId17"/>
    <sheet name="SCH B-3 F" sheetId="19" r:id="rId18"/>
    <sheet name="SCH B-3.1" sheetId="18" r:id="rId19"/>
    <sheet name="SCH B-3.2 B" sheetId="23" r:id="rId20"/>
    <sheet name="SCH B-3.2 F" sheetId="47" r:id="rId21"/>
    <sheet name="SCH B-4" sheetId="20" r:id="rId22"/>
    <sheet name="SCH B-4.1" sheetId="40" r:id="rId23"/>
    <sheet name="SCH B-4.2 B" sheetId="63" r:id="rId24"/>
    <sheet name="SCH B-4.2 F" sheetId="64" r:id="rId25"/>
    <sheet name="SCH B-5" sheetId="25" r:id="rId26"/>
    <sheet name="SCH B-5.1" sheetId="26" r:id="rId27"/>
    <sheet name="SCH B-5.2 B (1)" sheetId="81" r:id="rId28"/>
    <sheet name="SCH B-5.2 B (2)" sheetId="82" r:id="rId29"/>
    <sheet name="SCH B-5.2 F (1)" sheetId="79" r:id="rId30"/>
    <sheet name="SCH B-5.2 F (2)" sheetId="80" r:id="rId31"/>
    <sheet name="SCH B-6" sheetId="28" r:id="rId32"/>
    <sheet name="SCH B-7 B" sheetId="69" r:id="rId33"/>
    <sheet name="SCH B-7 F" sheetId="30" r:id="rId34"/>
    <sheet name="SCH B-7.1 B" sheetId="68" r:id="rId35"/>
    <sheet name="SCH B-7.1 F" sheetId="67" r:id="rId36"/>
    <sheet name="SCH B-7.2 B" sheetId="33" r:id="rId37"/>
    <sheet name="SCH B-7.2 F" sheetId="83" r:id="rId38"/>
    <sheet name="SCH B-8 TC" sheetId="31" r:id="rId39"/>
    <sheet name="SCH B-8 KY" sheetId="66" r:id="rId40"/>
    <sheet name="DATA&gt;&gt;&gt;" sheetId="6" r:id="rId41"/>
    <sheet name="BS" sheetId="72" r:id="rId42"/>
    <sheet name="JURISSEP B" sheetId="13" r:id="rId43"/>
    <sheet name="JURISSEP F" sheetId="48" r:id="rId44"/>
    <sheet name="PIS B" sheetId="1" r:id="rId45"/>
    <sheet name="FCPIS B" sheetId="42" r:id="rId46"/>
    <sheet name="FC CWIP &amp; RWIP B" sheetId="44" r:id="rId47"/>
    <sheet name="PIS F" sheetId="41" r:id="rId48"/>
    <sheet name="FCPIS F" sheetId="43" r:id="rId49"/>
    <sheet name="FC CWIP &amp; RWIP F" sheetId="45" r:id="rId50"/>
    <sheet name="AFUDC" sheetId="78" r:id="rId51"/>
    <sheet name="ECR Exclusion" sheetId="76" r:id="rId52"/>
    <sheet name="ECR COR" sheetId="77" r:id="rId53"/>
    <sheet name="ECR EXP B" sheetId="50" r:id="rId54"/>
    <sheet name="ECR EXP F" sheetId="51" r:id="rId55"/>
    <sheet name="ECR DEFTAX" sheetId="55" r:id="rId56"/>
    <sheet name="DSM DEFTAX" sheetId="56" r:id="rId57"/>
    <sheet name="ECR ALLOW" sheetId="65" r:id="rId58"/>
    <sheet name="KU Depr Rates" sheetId="46" r:id="rId59"/>
    <sheet name="KU Proposed Depr Rates" sheetId="74" r:id="rId60"/>
  </sheets>
  <externalReferences>
    <externalReference r:id="rId61"/>
    <externalReference r:id="rId62"/>
    <externalReference r:id="rId63"/>
    <externalReference r:id="rId64"/>
    <externalReference r:id="rId65"/>
    <externalReference r:id="rId66"/>
  </externalReferences>
  <definedNames>
    <definedName name="\\" localSheetId="50" hidden="1">#REF!</definedName>
    <definedName name="\\" localSheetId="41" hidden="1">#REF!</definedName>
    <definedName name="\\" localSheetId="57" hidden="1">#REF!</definedName>
    <definedName name="\\" localSheetId="46" hidden="1">#REF!</definedName>
    <definedName name="\\" localSheetId="49" hidden="1">#REF!</definedName>
    <definedName name="\\" localSheetId="45" hidden="1">#REF!</definedName>
    <definedName name="\\" localSheetId="48" hidden="1">#REF!</definedName>
    <definedName name="\\" localSheetId="42" hidden="1">#REF!</definedName>
    <definedName name="\\" localSheetId="43" hidden="1">#REF!</definedName>
    <definedName name="\\" localSheetId="47" hidden="1">#REF!</definedName>
    <definedName name="\\" localSheetId="5" hidden="1">#REF!</definedName>
    <definedName name="\\" localSheetId="6" hidden="1">#REF!</definedName>
    <definedName name="\\" localSheetId="7" hidden="1">#REF!</definedName>
    <definedName name="\\" localSheetId="8" hidden="1">#REF!</definedName>
    <definedName name="\\" localSheetId="9" hidden="1">#REF!</definedName>
    <definedName name="\\" localSheetId="11" hidden="1">#REF!</definedName>
    <definedName name="\\" localSheetId="12" hidden="1">#REF!</definedName>
    <definedName name="\\" localSheetId="13" hidden="1">#REF!</definedName>
    <definedName name="\\" localSheetId="14" hidden="1">#REF!</definedName>
    <definedName name="\\" localSheetId="15" hidden="1">#REF!</definedName>
    <definedName name="\\" localSheetId="16" hidden="1">#REF!</definedName>
    <definedName name="\\" localSheetId="17" hidden="1">#REF!</definedName>
    <definedName name="\\" localSheetId="18" hidden="1">#REF!</definedName>
    <definedName name="\\" localSheetId="19" hidden="1">#REF!</definedName>
    <definedName name="\\" localSheetId="20" hidden="1">#REF!</definedName>
    <definedName name="\\" localSheetId="21" hidden="1">#REF!</definedName>
    <definedName name="\\" localSheetId="22" hidden="1">#REF!</definedName>
    <definedName name="\\" localSheetId="23" hidden="1">#REF!</definedName>
    <definedName name="\\" localSheetId="24" hidden="1">#REF!</definedName>
    <definedName name="\\" localSheetId="25" hidden="1">#REF!</definedName>
    <definedName name="\\" localSheetId="26" hidden="1">#REF!</definedName>
    <definedName name="\\" localSheetId="27" hidden="1">#REF!</definedName>
    <definedName name="\\" localSheetId="28" hidden="1">#REF!</definedName>
    <definedName name="\\" localSheetId="29" hidden="1">#REF!</definedName>
    <definedName name="\\" localSheetId="30" hidden="1">#REF!</definedName>
    <definedName name="\\" localSheetId="31" hidden="1">#REF!</definedName>
    <definedName name="\\" localSheetId="32" hidden="1">#REF!</definedName>
    <definedName name="\\" localSheetId="33" hidden="1">#REF!</definedName>
    <definedName name="\\" localSheetId="34" hidden="1">#REF!</definedName>
    <definedName name="\\" localSheetId="35" hidden="1">#REF!</definedName>
    <definedName name="\\" localSheetId="36" hidden="1">#REF!</definedName>
    <definedName name="\\" localSheetId="37" hidden="1">#REF!</definedName>
    <definedName name="\\" localSheetId="39" hidden="1">#REF!</definedName>
    <definedName name="\\" localSheetId="0" hidden="1">#REF!</definedName>
    <definedName name="\\" hidden="1">#REF!</definedName>
    <definedName name="\\\" localSheetId="50" hidden="1">#REF!</definedName>
    <definedName name="\\\" localSheetId="57" hidden="1">#REF!</definedName>
    <definedName name="\\\" localSheetId="42" hidden="1">#REF!</definedName>
    <definedName name="\\\" localSheetId="43" hidden="1">#REF!</definedName>
    <definedName name="\\\" localSheetId="5" hidden="1">#REF!</definedName>
    <definedName name="\\\" localSheetId="6" hidden="1">#REF!</definedName>
    <definedName name="\\\" localSheetId="7" hidden="1">#REF!</definedName>
    <definedName name="\\\" localSheetId="8" hidden="1">#REF!</definedName>
    <definedName name="\\\" localSheetId="9" hidden="1">#REF!</definedName>
    <definedName name="\\\" localSheetId="11" hidden="1">#REF!</definedName>
    <definedName name="\\\" localSheetId="12" hidden="1">#REF!</definedName>
    <definedName name="\\\" localSheetId="13" hidden="1">#REF!</definedName>
    <definedName name="\\\" localSheetId="14" hidden="1">#REF!</definedName>
    <definedName name="\\\" localSheetId="15" hidden="1">#REF!</definedName>
    <definedName name="\\\" localSheetId="16" hidden="1">#REF!</definedName>
    <definedName name="\\\" localSheetId="17" hidden="1">#REF!</definedName>
    <definedName name="\\\" localSheetId="18" hidden="1">#REF!</definedName>
    <definedName name="\\\" localSheetId="19" hidden="1">#REF!</definedName>
    <definedName name="\\\" localSheetId="20" hidden="1">#REF!</definedName>
    <definedName name="\\\" localSheetId="21" hidden="1">#REF!</definedName>
    <definedName name="\\\" localSheetId="22" hidden="1">#REF!</definedName>
    <definedName name="\\\" localSheetId="23" hidden="1">#REF!</definedName>
    <definedName name="\\\" localSheetId="24" hidden="1">#REF!</definedName>
    <definedName name="\\\" localSheetId="25" hidden="1">#REF!</definedName>
    <definedName name="\\\" localSheetId="26" hidden="1">#REF!</definedName>
    <definedName name="\\\" localSheetId="27" hidden="1">#REF!</definedName>
    <definedName name="\\\" localSheetId="28" hidden="1">#REF!</definedName>
    <definedName name="\\\" localSheetId="29" hidden="1">#REF!</definedName>
    <definedName name="\\\" localSheetId="30" hidden="1">#REF!</definedName>
    <definedName name="\\\" localSheetId="31" hidden="1">#REF!</definedName>
    <definedName name="\\\" localSheetId="32" hidden="1">#REF!</definedName>
    <definedName name="\\\" localSheetId="33" hidden="1">#REF!</definedName>
    <definedName name="\\\" localSheetId="34" hidden="1">#REF!</definedName>
    <definedName name="\\\" localSheetId="35" hidden="1">#REF!</definedName>
    <definedName name="\\\" localSheetId="36" hidden="1">#REF!</definedName>
    <definedName name="\\\" localSheetId="37" hidden="1">#REF!</definedName>
    <definedName name="\\\" localSheetId="39" hidden="1">#REF!</definedName>
    <definedName name="\\\" localSheetId="0" hidden="1">#REF!</definedName>
    <definedName name="\\\" hidden="1">#REF!</definedName>
    <definedName name="\\\\" localSheetId="50" hidden="1">#REF!</definedName>
    <definedName name="\\\\" localSheetId="57" hidden="1">#REF!</definedName>
    <definedName name="\\\\" localSheetId="42" hidden="1">#REF!</definedName>
    <definedName name="\\\\" localSheetId="43" hidden="1">#REF!</definedName>
    <definedName name="\\\\" localSheetId="5" hidden="1">#REF!</definedName>
    <definedName name="\\\\" localSheetId="6" hidden="1">#REF!</definedName>
    <definedName name="\\\\" localSheetId="7" hidden="1">#REF!</definedName>
    <definedName name="\\\\" localSheetId="8" hidden="1">#REF!</definedName>
    <definedName name="\\\\" localSheetId="9" hidden="1">#REF!</definedName>
    <definedName name="\\\\" localSheetId="11" hidden="1">#REF!</definedName>
    <definedName name="\\\\" localSheetId="12" hidden="1">#REF!</definedName>
    <definedName name="\\\\" localSheetId="13" hidden="1">#REF!</definedName>
    <definedName name="\\\\" localSheetId="14" hidden="1">#REF!</definedName>
    <definedName name="\\\\" localSheetId="15" hidden="1">#REF!</definedName>
    <definedName name="\\\\" localSheetId="16" hidden="1">#REF!</definedName>
    <definedName name="\\\\" localSheetId="17" hidden="1">#REF!</definedName>
    <definedName name="\\\\" localSheetId="18" hidden="1">#REF!</definedName>
    <definedName name="\\\\" localSheetId="19" hidden="1">#REF!</definedName>
    <definedName name="\\\\" localSheetId="20" hidden="1">#REF!</definedName>
    <definedName name="\\\\" localSheetId="21" hidden="1">#REF!</definedName>
    <definedName name="\\\\" localSheetId="22" hidden="1">#REF!</definedName>
    <definedName name="\\\\" localSheetId="23" hidden="1">#REF!</definedName>
    <definedName name="\\\\" localSheetId="24" hidden="1">#REF!</definedName>
    <definedName name="\\\\" localSheetId="25" hidden="1">#REF!</definedName>
    <definedName name="\\\\" localSheetId="26" hidden="1">#REF!</definedName>
    <definedName name="\\\\" localSheetId="27" hidden="1">#REF!</definedName>
    <definedName name="\\\\" localSheetId="28" hidden="1">#REF!</definedName>
    <definedName name="\\\\" localSheetId="29" hidden="1">#REF!</definedName>
    <definedName name="\\\\" localSheetId="30" hidden="1">#REF!</definedName>
    <definedName name="\\\\" localSheetId="31" hidden="1">#REF!</definedName>
    <definedName name="\\\\" localSheetId="32" hidden="1">#REF!</definedName>
    <definedName name="\\\\" localSheetId="33" hidden="1">#REF!</definedName>
    <definedName name="\\\\" localSheetId="34" hidden="1">#REF!</definedName>
    <definedName name="\\\\" localSheetId="35" hidden="1">#REF!</definedName>
    <definedName name="\\\\" localSheetId="36" hidden="1">#REF!</definedName>
    <definedName name="\\\\" localSheetId="37" hidden="1">#REF!</definedName>
    <definedName name="\\\\" localSheetId="39" hidden="1">#REF!</definedName>
    <definedName name="\\\\" localSheetId="0" hidden="1">#REF!</definedName>
    <definedName name="\\\\" hidden="1">#REF!</definedName>
    <definedName name="__123Graph_1" localSheetId="50" hidden="1">#REF!</definedName>
    <definedName name="__123Graph_1" localSheetId="57" hidden="1">#REF!</definedName>
    <definedName name="__123Graph_1" localSheetId="46" hidden="1">#REF!</definedName>
    <definedName name="__123Graph_1" localSheetId="45" hidden="1">#REF!</definedName>
    <definedName name="__123Graph_1" localSheetId="43" hidden="1">#REF!</definedName>
    <definedName name="__123Graph_1" localSheetId="20" hidden="1">#REF!</definedName>
    <definedName name="__123Graph_1" localSheetId="27" hidden="1">#REF!</definedName>
    <definedName name="__123Graph_1" localSheetId="28" hidden="1">#REF!</definedName>
    <definedName name="__123Graph_1" localSheetId="29" hidden="1">#REF!</definedName>
    <definedName name="__123Graph_1" localSheetId="30" hidden="1">#REF!</definedName>
    <definedName name="__123Graph_1" localSheetId="32" hidden="1">#REF!</definedName>
    <definedName name="__123Graph_1" localSheetId="34" hidden="1">#REF!</definedName>
    <definedName name="__123Graph_1" localSheetId="35" hidden="1">#REF!</definedName>
    <definedName name="__123Graph_1" localSheetId="37" hidden="1">#REF!</definedName>
    <definedName name="__123Graph_1" localSheetId="39" hidden="1">#REF!</definedName>
    <definedName name="__123Graph_1" localSheetId="0" hidden="1">#REF!</definedName>
    <definedName name="__123Graph_1" hidden="1">#REF!</definedName>
    <definedName name="__123Graph_2" localSheetId="50" hidden="1">#REF!</definedName>
    <definedName name="__123Graph_2" localSheetId="57" hidden="1">#REF!</definedName>
    <definedName name="__123Graph_2" localSheetId="46" hidden="1">#REF!</definedName>
    <definedName name="__123Graph_2" localSheetId="45" hidden="1">#REF!</definedName>
    <definedName name="__123Graph_2" localSheetId="43" hidden="1">#REF!</definedName>
    <definedName name="__123Graph_2" localSheetId="20" hidden="1">#REF!</definedName>
    <definedName name="__123Graph_2" localSheetId="27" hidden="1">#REF!</definedName>
    <definedName name="__123Graph_2" localSheetId="28" hidden="1">#REF!</definedName>
    <definedName name="__123Graph_2" localSheetId="29" hidden="1">#REF!</definedName>
    <definedName name="__123Graph_2" localSheetId="30" hidden="1">#REF!</definedName>
    <definedName name="__123Graph_2" localSheetId="32" hidden="1">#REF!</definedName>
    <definedName name="__123Graph_2" localSheetId="34" hidden="1">#REF!</definedName>
    <definedName name="__123Graph_2" localSheetId="35" hidden="1">#REF!</definedName>
    <definedName name="__123Graph_2" localSheetId="37" hidden="1">#REF!</definedName>
    <definedName name="__123Graph_2" localSheetId="39" hidden="1">#REF!</definedName>
    <definedName name="__123Graph_2" localSheetId="0" hidden="1">#REF!</definedName>
    <definedName name="__123Graph_2" hidden="1">#REF!</definedName>
    <definedName name="__123Graph_3" localSheetId="50" hidden="1">#REF!</definedName>
    <definedName name="__123Graph_3" localSheetId="57" hidden="1">#REF!</definedName>
    <definedName name="__123Graph_3" localSheetId="46" hidden="1">#REF!</definedName>
    <definedName name="__123Graph_3" localSheetId="45" hidden="1">#REF!</definedName>
    <definedName name="__123Graph_3" localSheetId="43" hidden="1">#REF!</definedName>
    <definedName name="__123Graph_3" localSheetId="20" hidden="1">#REF!</definedName>
    <definedName name="__123Graph_3" localSheetId="27" hidden="1">#REF!</definedName>
    <definedName name="__123Graph_3" localSheetId="28" hidden="1">#REF!</definedName>
    <definedName name="__123Graph_3" localSheetId="29" hidden="1">#REF!</definedName>
    <definedName name="__123Graph_3" localSheetId="30" hidden="1">#REF!</definedName>
    <definedName name="__123Graph_3" localSheetId="32" hidden="1">#REF!</definedName>
    <definedName name="__123Graph_3" localSheetId="34" hidden="1">#REF!</definedName>
    <definedName name="__123Graph_3" localSheetId="35" hidden="1">#REF!</definedName>
    <definedName name="__123Graph_3" localSheetId="37" hidden="1">#REF!</definedName>
    <definedName name="__123Graph_3" localSheetId="39" hidden="1">#REF!</definedName>
    <definedName name="__123Graph_3" localSheetId="0" hidden="1">#REF!</definedName>
    <definedName name="__123Graph_3" hidden="1">#REF!</definedName>
    <definedName name="__123Graph_4" localSheetId="50" hidden="1">#REF!</definedName>
    <definedName name="__123Graph_4" localSheetId="57" hidden="1">#REF!</definedName>
    <definedName name="__123Graph_4" localSheetId="46" hidden="1">#REF!</definedName>
    <definedName name="__123Graph_4" localSheetId="45" hidden="1">#REF!</definedName>
    <definedName name="__123Graph_4" localSheetId="43" hidden="1">#REF!</definedName>
    <definedName name="__123Graph_4" localSheetId="20" hidden="1">#REF!</definedName>
    <definedName name="__123Graph_4" localSheetId="27" hidden="1">#REF!</definedName>
    <definedName name="__123Graph_4" localSheetId="28" hidden="1">#REF!</definedName>
    <definedName name="__123Graph_4" localSheetId="29" hidden="1">#REF!</definedName>
    <definedName name="__123Graph_4" localSheetId="30" hidden="1">#REF!</definedName>
    <definedName name="__123Graph_4" localSheetId="32" hidden="1">#REF!</definedName>
    <definedName name="__123Graph_4" localSheetId="34" hidden="1">#REF!</definedName>
    <definedName name="__123Graph_4" localSheetId="35" hidden="1">#REF!</definedName>
    <definedName name="__123Graph_4" localSheetId="37" hidden="1">#REF!</definedName>
    <definedName name="__123Graph_4" localSheetId="39" hidden="1">#REF!</definedName>
    <definedName name="__123Graph_4" localSheetId="0" hidden="1">#REF!</definedName>
    <definedName name="__123Graph_4" hidden="1">#REF!</definedName>
    <definedName name="__123Graph_5" localSheetId="50" hidden="1">#REF!</definedName>
    <definedName name="__123Graph_5" localSheetId="57" hidden="1">#REF!</definedName>
    <definedName name="__123Graph_5" localSheetId="46" hidden="1">#REF!</definedName>
    <definedName name="__123Graph_5" localSheetId="45" hidden="1">#REF!</definedName>
    <definedName name="__123Graph_5" localSheetId="43" hidden="1">#REF!</definedName>
    <definedName name="__123Graph_5" localSheetId="20" hidden="1">#REF!</definedName>
    <definedName name="__123Graph_5" localSheetId="27" hidden="1">#REF!</definedName>
    <definedName name="__123Graph_5" localSheetId="28" hidden="1">#REF!</definedName>
    <definedName name="__123Graph_5" localSheetId="29" hidden="1">#REF!</definedName>
    <definedName name="__123Graph_5" localSheetId="30" hidden="1">#REF!</definedName>
    <definedName name="__123Graph_5" localSheetId="32" hidden="1">#REF!</definedName>
    <definedName name="__123Graph_5" localSheetId="34" hidden="1">#REF!</definedName>
    <definedName name="__123Graph_5" localSheetId="35" hidden="1">#REF!</definedName>
    <definedName name="__123Graph_5" localSheetId="37" hidden="1">#REF!</definedName>
    <definedName name="__123Graph_5" localSheetId="39" hidden="1">#REF!</definedName>
    <definedName name="__123Graph_5" localSheetId="0" hidden="1">#REF!</definedName>
    <definedName name="__123Graph_5" hidden="1">#REF!</definedName>
    <definedName name="__123Graph_6" localSheetId="50" hidden="1">#REF!</definedName>
    <definedName name="__123Graph_6" localSheetId="57" hidden="1">#REF!</definedName>
    <definedName name="__123Graph_6" localSheetId="46" hidden="1">#REF!</definedName>
    <definedName name="__123Graph_6" localSheetId="45" hidden="1">#REF!</definedName>
    <definedName name="__123Graph_6" localSheetId="43" hidden="1">#REF!</definedName>
    <definedName name="__123Graph_6" localSheetId="20" hidden="1">#REF!</definedName>
    <definedName name="__123Graph_6" localSheetId="27" hidden="1">#REF!</definedName>
    <definedName name="__123Graph_6" localSheetId="28" hidden="1">#REF!</definedName>
    <definedName name="__123Graph_6" localSheetId="29" hidden="1">#REF!</definedName>
    <definedName name="__123Graph_6" localSheetId="30" hidden="1">#REF!</definedName>
    <definedName name="__123Graph_6" localSheetId="32" hidden="1">#REF!</definedName>
    <definedName name="__123Graph_6" localSheetId="34" hidden="1">#REF!</definedName>
    <definedName name="__123Graph_6" localSheetId="35" hidden="1">#REF!</definedName>
    <definedName name="__123Graph_6" localSheetId="37" hidden="1">#REF!</definedName>
    <definedName name="__123Graph_6" localSheetId="39" hidden="1">#REF!</definedName>
    <definedName name="__123Graph_6" localSheetId="0" hidden="1">#REF!</definedName>
    <definedName name="__123Graph_6" hidden="1">#REF!</definedName>
    <definedName name="__123Graph_8" localSheetId="50" hidden="1">#REF!</definedName>
    <definedName name="__123Graph_8" localSheetId="57" hidden="1">#REF!</definedName>
    <definedName name="__123Graph_8" localSheetId="46" hidden="1">#REF!</definedName>
    <definedName name="__123Graph_8" localSheetId="45" hidden="1">#REF!</definedName>
    <definedName name="__123Graph_8" localSheetId="43" hidden="1">#REF!</definedName>
    <definedName name="__123Graph_8" localSheetId="20" hidden="1">#REF!</definedName>
    <definedName name="__123Graph_8" localSheetId="27" hidden="1">#REF!</definedName>
    <definedName name="__123Graph_8" localSheetId="28" hidden="1">#REF!</definedName>
    <definedName name="__123Graph_8" localSheetId="29" hidden="1">#REF!</definedName>
    <definedName name="__123Graph_8" localSheetId="30" hidden="1">#REF!</definedName>
    <definedName name="__123Graph_8" localSheetId="32" hidden="1">#REF!</definedName>
    <definedName name="__123Graph_8" localSheetId="34" hidden="1">#REF!</definedName>
    <definedName name="__123Graph_8" localSheetId="35" hidden="1">#REF!</definedName>
    <definedName name="__123Graph_8" localSheetId="37" hidden="1">#REF!</definedName>
    <definedName name="__123Graph_8" localSheetId="39" hidden="1">#REF!</definedName>
    <definedName name="__123Graph_8" localSheetId="0" hidden="1">#REF!</definedName>
    <definedName name="__123Graph_8" hidden="1">#REF!</definedName>
    <definedName name="__123Graph_A" localSheetId="57" hidden="1">#REF!</definedName>
    <definedName name="__123Graph_A" localSheetId="32" hidden="1">#REF!</definedName>
    <definedName name="__123Graph_A" localSheetId="34" hidden="1">#REF!</definedName>
    <definedName name="__123Graph_A" localSheetId="35" hidden="1">#REF!</definedName>
    <definedName name="__123Graph_A" localSheetId="37" hidden="1">#REF!</definedName>
    <definedName name="__123Graph_A" localSheetId="39" hidden="1">#REF!</definedName>
    <definedName name="__123Graph_A" localSheetId="0" hidden="1">#REF!</definedName>
    <definedName name="__123Graph_A" hidden="1">#REF!</definedName>
    <definedName name="__123Graph_B" localSheetId="57" hidden="1">#REF!</definedName>
    <definedName name="__123Graph_B" localSheetId="32" hidden="1">#REF!</definedName>
    <definedName name="__123Graph_B" localSheetId="34" hidden="1">#REF!</definedName>
    <definedName name="__123Graph_B" localSheetId="35" hidden="1">#REF!</definedName>
    <definedName name="__123Graph_B" localSheetId="37" hidden="1">#REF!</definedName>
    <definedName name="__123Graph_B" localSheetId="39" hidden="1">#REF!</definedName>
    <definedName name="__123Graph_B" localSheetId="0" hidden="1">#REF!</definedName>
    <definedName name="__123Graph_B" hidden="1">#REF!</definedName>
    <definedName name="__123Graph_C" localSheetId="57" hidden="1">#REF!</definedName>
    <definedName name="__123Graph_C" localSheetId="32" hidden="1">#REF!</definedName>
    <definedName name="__123Graph_C" localSheetId="34" hidden="1">#REF!</definedName>
    <definedName name="__123Graph_C" localSheetId="35" hidden="1">#REF!</definedName>
    <definedName name="__123Graph_C" localSheetId="37" hidden="1">#REF!</definedName>
    <definedName name="__123Graph_C" localSheetId="39" hidden="1">#REF!</definedName>
    <definedName name="__123Graph_C" localSheetId="0" hidden="1">#REF!</definedName>
    <definedName name="__123Graph_C" hidden="1">#REF!</definedName>
    <definedName name="__123Graph_D" localSheetId="57" hidden="1">#REF!</definedName>
    <definedName name="__123Graph_D" localSheetId="32" hidden="1">#REF!</definedName>
    <definedName name="__123Graph_D" localSheetId="34" hidden="1">#REF!</definedName>
    <definedName name="__123Graph_D" localSheetId="35" hidden="1">#REF!</definedName>
    <definedName name="__123Graph_D" localSheetId="37" hidden="1">#REF!</definedName>
    <definedName name="__123Graph_D" localSheetId="39" hidden="1">#REF!</definedName>
    <definedName name="__123Graph_D" localSheetId="0" hidden="1">#REF!</definedName>
    <definedName name="__123Graph_D" hidden="1">#REF!</definedName>
    <definedName name="__123Graph_E" localSheetId="57" hidden="1">#REF!</definedName>
    <definedName name="__123Graph_E" localSheetId="32" hidden="1">#REF!</definedName>
    <definedName name="__123Graph_E" localSheetId="34" hidden="1">#REF!</definedName>
    <definedName name="__123Graph_E" localSheetId="35" hidden="1">#REF!</definedName>
    <definedName name="__123Graph_E" localSheetId="37" hidden="1">#REF!</definedName>
    <definedName name="__123Graph_E" localSheetId="39" hidden="1">#REF!</definedName>
    <definedName name="__123Graph_E" localSheetId="0" hidden="1">#REF!</definedName>
    <definedName name="__123Graph_E" hidden="1">#REF!</definedName>
    <definedName name="__123Graph_F" localSheetId="57" hidden="1">#REF!</definedName>
    <definedName name="__123Graph_F" localSheetId="32" hidden="1">#REF!</definedName>
    <definedName name="__123Graph_F" localSheetId="34" hidden="1">#REF!</definedName>
    <definedName name="__123Graph_F" localSheetId="35" hidden="1">#REF!</definedName>
    <definedName name="__123Graph_F" localSheetId="37" hidden="1">#REF!</definedName>
    <definedName name="__123Graph_F" localSheetId="39" hidden="1">#REF!</definedName>
    <definedName name="__123Graph_F" localSheetId="0" hidden="1">#REF!</definedName>
    <definedName name="__123Graph_F" hidden="1">#REF!</definedName>
    <definedName name="__123Graph_X" localSheetId="50" hidden="1">#REF!</definedName>
    <definedName name="__123Graph_X" localSheetId="41" hidden="1">#REF!</definedName>
    <definedName name="__123Graph_X" localSheetId="57" hidden="1">#REF!</definedName>
    <definedName name="__123Graph_X" localSheetId="46" hidden="1">#REF!</definedName>
    <definedName name="__123Graph_X" localSheetId="49" hidden="1">#REF!</definedName>
    <definedName name="__123Graph_X" localSheetId="45" hidden="1">#REF!</definedName>
    <definedName name="__123Graph_X" localSheetId="48" hidden="1">#REF!</definedName>
    <definedName name="__123Graph_X" localSheetId="42" hidden="1">#REF!</definedName>
    <definedName name="__123Graph_X" localSheetId="43" hidden="1">#REF!</definedName>
    <definedName name="__123Graph_X" localSheetId="47"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36" hidden="1">#REF!</definedName>
    <definedName name="__123Graph_X" localSheetId="37" hidden="1">#REF!</definedName>
    <definedName name="__123Graph_X" localSheetId="39" hidden="1">#REF!</definedName>
    <definedName name="__123Graph_X" localSheetId="0" hidden="1">#REF!</definedName>
    <definedName name="__123Graph_X" hidden="1">#REF!</definedName>
    <definedName name="__key3" localSheetId="50" hidden="1">#REF!</definedName>
    <definedName name="__key3" localSheetId="27" hidden="1">#REF!</definedName>
    <definedName name="__key3" localSheetId="28" hidden="1">#REF!</definedName>
    <definedName name="__key3" localSheetId="29" hidden="1">#REF!</definedName>
    <definedName name="__key3" localSheetId="30" hidden="1">#REF!</definedName>
    <definedName name="__key3" localSheetId="37" hidden="1">#REF!</definedName>
    <definedName name="__key3" hidden="1">#REF!</definedName>
    <definedName name="_36__123Graph_BCHART_1" localSheetId="27" hidden="1">'[1]HOSPICE OPSUM'!#REF!</definedName>
    <definedName name="_36__123Graph_BCHART_1" localSheetId="28" hidden="1">'[1]HOSPICE OPSUM'!#REF!</definedName>
    <definedName name="_36__123Graph_BCHART_1" localSheetId="29" hidden="1">'[1]HOSPICE OPSUM'!#REF!</definedName>
    <definedName name="_36__123Graph_BCHART_1" localSheetId="30" hidden="1">'[1]HOSPICE OPSUM'!#REF!</definedName>
    <definedName name="_36__123Graph_BCHART_1" localSheetId="37" hidden="1">'[1]HOSPICE OPSUM'!#REF!</definedName>
    <definedName name="_36__123Graph_BCHART_1" hidden="1">'[1]HOSPICE OPSUM'!#REF!</definedName>
    <definedName name="_Fill" localSheetId="57" hidden="1">#REF!</definedName>
    <definedName name="_Fill" localSheetId="43" hidden="1">#REF!</definedName>
    <definedName name="_Fill" localSheetId="20" hidden="1">#REF!</definedName>
    <definedName name="_Fill" localSheetId="22" hidden="1">#REF!</definedName>
    <definedName name="_Fill" localSheetId="32" hidden="1">#REF!</definedName>
    <definedName name="_Fill" localSheetId="34" hidden="1">#REF!</definedName>
    <definedName name="_Fill" localSheetId="35" hidden="1">#REF!</definedName>
    <definedName name="_Fill" localSheetId="37" hidden="1">#REF!</definedName>
    <definedName name="_Fill" localSheetId="39" hidden="1">#REF!</definedName>
    <definedName name="_Fill" localSheetId="0" hidden="1">#REF!</definedName>
    <definedName name="_Fill" hidden="1">#REF!</definedName>
    <definedName name="_xlnm._FilterDatabase" localSheetId="23" hidden="1">'SCH B-4.2 B'!$B$1:$B$182</definedName>
    <definedName name="_xlnm._FilterDatabase" localSheetId="24" hidden="1">'SCH B-4.2 F'!$A$12:$R$273</definedName>
    <definedName name="_xlnm._FilterDatabase" localSheetId="28" hidden="1">'SCH B-5.2 B (2)'!$A$10:$W$34</definedName>
    <definedName name="_xlnm._FilterDatabase" localSheetId="30" hidden="1">'SCH B-5.2 F (2)'!$A$10:$W$34</definedName>
    <definedName name="_Key1" localSheetId="50" hidden="1">#REF!</definedName>
    <definedName name="_Key1" localSheetId="52"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7" hidden="1">#REF!</definedName>
    <definedName name="_Key1" hidden="1">#REF!</definedName>
    <definedName name="_Key2" localSheetId="50" hidden="1">#REF!</definedName>
    <definedName name="_Key2" localSheetId="52"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37" hidden="1">#REF!</definedName>
    <definedName name="_Key2" hidden="1">#REF!</definedName>
    <definedName name="_Key3" localSheetId="50" hidden="1">#REF!</definedName>
    <definedName name="_Key3" localSheetId="52" hidden="1">#REF!</definedName>
    <definedName name="_Key3" localSheetId="27" hidden="1">#REF!</definedName>
    <definedName name="_Key3" localSheetId="28" hidden="1">#REF!</definedName>
    <definedName name="_Key3" localSheetId="29" hidden="1">#REF!</definedName>
    <definedName name="_Key3" localSheetId="30" hidden="1">#REF!</definedName>
    <definedName name="_Key3" localSheetId="37" hidden="1">#REF!</definedName>
    <definedName name="_Key3" hidden="1">#REF!</definedName>
    <definedName name="_key4" localSheetId="50" hidden="1">#REF!</definedName>
    <definedName name="_key4" localSheetId="27" hidden="1">#REF!</definedName>
    <definedName name="_key4" localSheetId="28" hidden="1">#REF!</definedName>
    <definedName name="_key4" localSheetId="29" hidden="1">#REF!</definedName>
    <definedName name="_key4" localSheetId="30" hidden="1">#REF!</definedName>
    <definedName name="_key4" localSheetId="37" hidden="1">#REF!</definedName>
    <definedName name="_key4" hidden="1">#REF!</definedName>
    <definedName name="_Order1" hidden="1">0</definedName>
    <definedName name="_Order1a" hidden="1">0</definedName>
    <definedName name="_Order2" hidden="1">0</definedName>
    <definedName name="_Order2a" hidden="1">0</definedName>
    <definedName name="_Regression_Int" localSheetId="4" hidden="1">1</definedName>
    <definedName name="_Sort" localSheetId="50"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7" hidden="1">#REF!</definedName>
    <definedName name="_Sort" hidden="1">#REF!</definedName>
    <definedName name="_Table1_In1" localSheetId="27" hidden="1">#REF!</definedName>
    <definedName name="_Table1_In1" localSheetId="28" hidden="1">#REF!</definedName>
    <definedName name="_Table1_In1" localSheetId="29" hidden="1">#REF!</definedName>
    <definedName name="_Table1_In1" localSheetId="30" hidden="1">#REF!</definedName>
    <definedName name="_Table1_In1" localSheetId="37" hidden="1">#REF!</definedName>
    <definedName name="_Table1_In1" hidden="1">#REF!</definedName>
    <definedName name="_Table1_Out" localSheetId="27" hidden="1">#REF!</definedName>
    <definedName name="_Table1_Out" localSheetId="28" hidden="1">#REF!</definedName>
    <definedName name="_Table1_Out" localSheetId="29" hidden="1">#REF!</definedName>
    <definedName name="_Table1_Out" localSheetId="30" hidden="1">#REF!</definedName>
    <definedName name="_Table1_Out" localSheetId="37" hidden="1">#REF!</definedName>
    <definedName name="_Table1_Out" hidden="1">#REF!</definedName>
    <definedName name="_Table1_Out_2" localSheetId="27" hidden="1">#REF!</definedName>
    <definedName name="_Table1_Out_2" localSheetId="28" hidden="1">#REF!</definedName>
    <definedName name="_Table1_Out_2" localSheetId="29" hidden="1">#REF!</definedName>
    <definedName name="_Table1_Out_2" localSheetId="30" hidden="1">#REF!</definedName>
    <definedName name="_Table1_Out_2" localSheetId="37" hidden="1">#REF!</definedName>
    <definedName name="_Table1_Out_2" hidden="1">#REF!</definedName>
    <definedName name="_Table2_In1" localSheetId="27" hidden="1">'[2]Bank Model'!#REF!</definedName>
    <definedName name="_Table2_In1" localSheetId="28" hidden="1">'[2]Bank Model'!#REF!</definedName>
    <definedName name="_Table2_In1" localSheetId="29" hidden="1">'[2]Bank Model'!#REF!</definedName>
    <definedName name="_Table2_In1" localSheetId="30" hidden="1">'[2]Bank Model'!#REF!</definedName>
    <definedName name="_Table2_In1" localSheetId="37" hidden="1">'[2]Bank Model'!#REF!</definedName>
    <definedName name="_Table2_In1" hidden="1">'[2]Bank Model'!#REF!</definedName>
    <definedName name="_Table2_In2" localSheetId="27" hidden="1">'[2]Bank Model'!#REF!</definedName>
    <definedName name="_Table2_In2" localSheetId="28" hidden="1">'[2]Bank Model'!#REF!</definedName>
    <definedName name="_Table2_In2" localSheetId="29" hidden="1">'[2]Bank Model'!#REF!</definedName>
    <definedName name="_Table2_In2" localSheetId="30" hidden="1">'[2]Bank Model'!#REF!</definedName>
    <definedName name="_Table2_In2" localSheetId="37" hidden="1">'[2]Bank Model'!#REF!</definedName>
    <definedName name="_Table2_In2" hidden="1">'[2]Bank Model'!#REF!</definedName>
    <definedName name="_Table2_Out" localSheetId="27" hidden="1">'[2]Bank Model'!#REF!</definedName>
    <definedName name="_Table2_Out" localSheetId="28" hidden="1">'[2]Bank Model'!#REF!</definedName>
    <definedName name="_Table2_Out" localSheetId="29" hidden="1">'[2]Bank Model'!#REF!</definedName>
    <definedName name="_Table2_Out" localSheetId="30" hidden="1">'[2]Bank Model'!#REF!</definedName>
    <definedName name="_Table2_Out" localSheetId="37" hidden="1">'[2]Bank Model'!#REF!</definedName>
    <definedName name="_Table2_Out" hidden="1">'[2]Bank Model'!#REF!</definedName>
    <definedName name="_Table2_Out_2" localSheetId="27" hidden="1">#REF!</definedName>
    <definedName name="_Table2_Out_2" localSheetId="28" hidden="1">#REF!</definedName>
    <definedName name="_Table2_Out_2" localSheetId="29" hidden="1">#REF!</definedName>
    <definedName name="_Table2_Out_2" localSheetId="30" hidden="1">#REF!</definedName>
    <definedName name="_Table2_Out_2" localSheetId="37" hidden="1">#REF!</definedName>
    <definedName name="_Table2_Out_2"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hahahahaha" localSheetId="2" hidden="1">{"'Server Configuration'!$A$1:$DB$281"}</definedName>
    <definedName name="ahahahahaha" localSheetId="57" hidden="1">{"'Server Configuration'!$A$1:$DB$281"}</definedName>
    <definedName name="ahahahahaha" localSheetId="52" hidden="1">{"'Server Configuration'!$A$1:$DB$281"}</definedName>
    <definedName name="ahahahahaha" localSheetId="22" hidden="1">{"'Server Configuration'!$A$1:$DB$281"}</definedName>
    <definedName name="ahahahahaha" hidden="1">{"'Server Configuration'!$A$1:$DB$281"}</definedName>
    <definedName name="asdfasdfasdfas" localSheetId="27" hidden="1">#REF!</definedName>
    <definedName name="asdfasdfasdfas" localSheetId="28" hidden="1">#REF!</definedName>
    <definedName name="asdfasdfasdfas" localSheetId="29" hidden="1">#REF!</definedName>
    <definedName name="asdfasdfasdfas" localSheetId="30" hidden="1">#REF!</definedName>
    <definedName name="asdfasdfasdfas" localSheetId="37" hidden="1">#REF!</definedName>
    <definedName name="asdfasdfasdfas" hidden="1">#REF!</definedName>
    <definedName name="blip" localSheetId="2" hidden="1">{"'Server Configuration'!$A$1:$DB$281"}</definedName>
    <definedName name="blip" localSheetId="57" hidden="1">{"'Server Configuration'!$A$1:$DB$281"}</definedName>
    <definedName name="blip" localSheetId="52" hidden="1">{"'Server Configuration'!$A$1:$DB$281"}</definedName>
    <definedName name="blip" localSheetId="22" hidden="1">{"'Server Configuration'!$A$1:$DB$281"}</definedName>
    <definedName name="blip" hidden="1">{"'Server Configuration'!$A$1:$DB$281"}</definedName>
    <definedName name="BLPH1" hidden="1">'[3]Natural gas'!$A$3</definedName>
    <definedName name="BLPR1020040129204514642" localSheetId="27" hidden="1">'[4]Spread Sheet'!#REF!</definedName>
    <definedName name="BLPR1020040129204514642" localSheetId="28" hidden="1">'[4]Spread Sheet'!#REF!</definedName>
    <definedName name="BLPR1020040129204514642" localSheetId="29" hidden="1">'[4]Spread Sheet'!#REF!</definedName>
    <definedName name="BLPR1020040129204514642" localSheetId="30" hidden="1">'[4]Spread Sheet'!#REF!</definedName>
    <definedName name="BLPR1020040129204514642" localSheetId="37" hidden="1">'[4]Spread Sheet'!#REF!</definedName>
    <definedName name="BLPR1020040129204514642" hidden="1">'[4]Spread Sheet'!#REF!</definedName>
    <definedName name="BLPR1020040129204514642_1_5" localSheetId="27" hidden="1">'[4]Spread Sheet'!#REF!</definedName>
    <definedName name="BLPR1020040129204514642_1_5" localSheetId="28" hidden="1">'[4]Spread Sheet'!#REF!</definedName>
    <definedName name="BLPR1020040129204514642_1_5" localSheetId="29" hidden="1">'[4]Spread Sheet'!#REF!</definedName>
    <definedName name="BLPR1020040129204514642_1_5" localSheetId="30" hidden="1">'[4]Spread Sheet'!#REF!</definedName>
    <definedName name="BLPR1020040129204514642_1_5" localSheetId="37" hidden="1">'[4]Spread Sheet'!#REF!</definedName>
    <definedName name="BLPR1020040129204514642_1_5" hidden="1">'[4]Spread Sheet'!#REF!</definedName>
    <definedName name="BLPR1020040129204514642_2_5" localSheetId="27" hidden="1">'[4]Spread Sheet'!#REF!</definedName>
    <definedName name="BLPR1020040129204514642_2_5" localSheetId="28" hidden="1">'[4]Spread Sheet'!#REF!</definedName>
    <definedName name="BLPR1020040129204514642_2_5" localSheetId="29" hidden="1">'[4]Spread Sheet'!#REF!</definedName>
    <definedName name="BLPR1020040129204514642_2_5" localSheetId="30" hidden="1">'[4]Spread Sheet'!#REF!</definedName>
    <definedName name="BLPR1020040129204514642_2_5" localSheetId="37" hidden="1">'[4]Spread Sheet'!#REF!</definedName>
    <definedName name="BLPR1020040129204514642_2_5" hidden="1">'[4]Spread Sheet'!#REF!</definedName>
    <definedName name="BLPR1020040129204514642_3_5" localSheetId="27" hidden="1">'[4]Spread Sheet'!#REF!</definedName>
    <definedName name="BLPR1020040129204514642_3_5" localSheetId="28" hidden="1">'[4]Spread Sheet'!#REF!</definedName>
    <definedName name="BLPR1020040129204514642_3_5" localSheetId="29" hidden="1">'[4]Spread Sheet'!#REF!</definedName>
    <definedName name="BLPR1020040129204514642_3_5" localSheetId="30" hidden="1">'[4]Spread Sheet'!#REF!</definedName>
    <definedName name="BLPR1020040129204514642_3_5" localSheetId="37" hidden="1">'[4]Spread Sheet'!#REF!</definedName>
    <definedName name="BLPR1020040129204514642_3_5" hidden="1">'[4]Spread Sheet'!#REF!</definedName>
    <definedName name="BLPR1020040129204514642_4_5" localSheetId="27" hidden="1">'[4]Spread Sheet'!#REF!</definedName>
    <definedName name="BLPR1020040129204514642_4_5" localSheetId="28" hidden="1">'[4]Spread Sheet'!#REF!</definedName>
    <definedName name="BLPR1020040129204514642_4_5" localSheetId="29" hidden="1">'[4]Spread Sheet'!#REF!</definedName>
    <definedName name="BLPR1020040129204514642_4_5" localSheetId="30" hidden="1">'[4]Spread Sheet'!#REF!</definedName>
    <definedName name="BLPR1020040129204514642_4_5" localSheetId="37" hidden="1">'[4]Spread Sheet'!#REF!</definedName>
    <definedName name="BLPR1020040129204514642_4_5" hidden="1">'[4]Spread Sheet'!#REF!</definedName>
    <definedName name="BLPR1020040129204514642_5_5" localSheetId="27" hidden="1">'[4]Spread Sheet'!#REF!</definedName>
    <definedName name="BLPR1020040129204514642_5_5" localSheetId="28" hidden="1">'[4]Spread Sheet'!#REF!</definedName>
    <definedName name="BLPR1020040129204514642_5_5" localSheetId="29" hidden="1">'[4]Spread Sheet'!#REF!</definedName>
    <definedName name="BLPR1020040129204514642_5_5" localSheetId="30" hidden="1">'[4]Spread Sheet'!#REF!</definedName>
    <definedName name="BLPR1020040129204514642_5_5" localSheetId="37" hidden="1">'[4]Spread Sheet'!#REF!</definedName>
    <definedName name="BLPR1020040129204514642_5_5" hidden="1">'[4]Spread Sheet'!#REF!</definedName>
    <definedName name="BLPR1120040129204514642" localSheetId="27" hidden="1">'[4]Spread Sheet'!#REF!</definedName>
    <definedName name="BLPR1120040129204514642" localSheetId="28" hidden="1">'[4]Spread Sheet'!#REF!</definedName>
    <definedName name="BLPR1120040129204514642" localSheetId="29" hidden="1">'[4]Spread Sheet'!#REF!</definedName>
    <definedName name="BLPR1120040129204514642" localSheetId="30" hidden="1">'[4]Spread Sheet'!#REF!</definedName>
    <definedName name="BLPR1120040129204514642" localSheetId="37" hidden="1">'[4]Spread Sheet'!#REF!</definedName>
    <definedName name="BLPR1120040129204514642" hidden="1">'[4]Spread Sheet'!#REF!</definedName>
    <definedName name="BLPR1120040129204514642_1_5" localSheetId="27" hidden="1">'[4]Spread Sheet'!#REF!</definedName>
    <definedName name="BLPR1120040129204514642_1_5" localSheetId="28" hidden="1">'[4]Spread Sheet'!#REF!</definedName>
    <definedName name="BLPR1120040129204514642_1_5" localSheetId="29" hidden="1">'[4]Spread Sheet'!#REF!</definedName>
    <definedName name="BLPR1120040129204514642_1_5" localSheetId="30" hidden="1">'[4]Spread Sheet'!#REF!</definedName>
    <definedName name="BLPR1120040129204514642_1_5" localSheetId="37" hidden="1">'[4]Spread Sheet'!#REF!</definedName>
    <definedName name="BLPR1120040129204514642_1_5" hidden="1">'[4]Spread Sheet'!#REF!</definedName>
    <definedName name="BLPR1120040129204514642_2_5" localSheetId="27" hidden="1">'[4]Spread Sheet'!#REF!</definedName>
    <definedName name="BLPR1120040129204514642_2_5" localSheetId="28" hidden="1">'[4]Spread Sheet'!#REF!</definedName>
    <definedName name="BLPR1120040129204514642_2_5" localSheetId="29" hidden="1">'[4]Spread Sheet'!#REF!</definedName>
    <definedName name="BLPR1120040129204514642_2_5" localSheetId="30" hidden="1">'[4]Spread Sheet'!#REF!</definedName>
    <definedName name="BLPR1120040129204514642_2_5" localSheetId="37" hidden="1">'[4]Spread Sheet'!#REF!</definedName>
    <definedName name="BLPR1120040129204514642_2_5" hidden="1">'[4]Spread Sheet'!#REF!</definedName>
    <definedName name="BLPR1120040129204514642_3_5" localSheetId="27" hidden="1">'[4]Spread Sheet'!#REF!</definedName>
    <definedName name="BLPR1120040129204514642_3_5" localSheetId="28" hidden="1">'[4]Spread Sheet'!#REF!</definedName>
    <definedName name="BLPR1120040129204514642_3_5" localSheetId="29" hidden="1">'[4]Spread Sheet'!#REF!</definedName>
    <definedName name="BLPR1120040129204514642_3_5" localSheetId="30" hidden="1">'[4]Spread Sheet'!#REF!</definedName>
    <definedName name="BLPR1120040129204514642_3_5" localSheetId="37" hidden="1">'[4]Spread Sheet'!#REF!</definedName>
    <definedName name="BLPR1120040129204514642_3_5" hidden="1">'[4]Spread Sheet'!#REF!</definedName>
    <definedName name="BLPR1120040129204514642_4_5" localSheetId="27" hidden="1">'[4]Spread Sheet'!#REF!</definedName>
    <definedName name="BLPR1120040129204514642_4_5" localSheetId="28" hidden="1">'[4]Spread Sheet'!#REF!</definedName>
    <definedName name="BLPR1120040129204514642_4_5" localSheetId="29" hidden="1">'[4]Spread Sheet'!#REF!</definedName>
    <definedName name="BLPR1120040129204514642_4_5" localSheetId="30" hidden="1">'[4]Spread Sheet'!#REF!</definedName>
    <definedName name="BLPR1120040129204514642_4_5" localSheetId="37" hidden="1">'[4]Spread Sheet'!#REF!</definedName>
    <definedName name="BLPR1120040129204514642_4_5" hidden="1">'[4]Spread Sheet'!#REF!</definedName>
    <definedName name="BLPR1120040129204514642_5_5" localSheetId="27" hidden="1">'[4]Spread Sheet'!#REF!</definedName>
    <definedName name="BLPR1120040129204514642_5_5" localSheetId="28" hidden="1">'[4]Spread Sheet'!#REF!</definedName>
    <definedName name="BLPR1120040129204514642_5_5" localSheetId="29" hidden="1">'[4]Spread Sheet'!#REF!</definedName>
    <definedName name="BLPR1120040129204514642_5_5" localSheetId="30" hidden="1">'[4]Spread Sheet'!#REF!</definedName>
    <definedName name="BLPR1120040129204514642_5_5" localSheetId="37" hidden="1">'[4]Spread Sheet'!#REF!</definedName>
    <definedName name="BLPR1120040129204514642_5_5" hidden="1">'[4]Spread Sheet'!#REF!</definedName>
    <definedName name="BLPR120040129203645421" localSheetId="27" hidden="1">'[4]Spread Sheet'!#REF!</definedName>
    <definedName name="BLPR120040129203645421" localSheetId="28" hidden="1">'[4]Spread Sheet'!#REF!</definedName>
    <definedName name="BLPR120040129203645421" localSheetId="29" hidden="1">'[4]Spread Sheet'!#REF!</definedName>
    <definedName name="BLPR120040129203645421" localSheetId="30" hidden="1">'[4]Spread Sheet'!#REF!</definedName>
    <definedName name="BLPR120040129203645421" localSheetId="37" hidden="1">'[4]Spread Sheet'!#REF!</definedName>
    <definedName name="BLPR120040129203645421" hidden="1">'[4]Spread Sheet'!#REF!</definedName>
    <definedName name="BLPR120040129203645421_1_4" localSheetId="27" hidden="1">'[4]Spread Sheet'!#REF!</definedName>
    <definedName name="BLPR120040129203645421_1_4" localSheetId="28" hidden="1">'[4]Spread Sheet'!#REF!</definedName>
    <definedName name="BLPR120040129203645421_1_4" localSheetId="29" hidden="1">'[4]Spread Sheet'!#REF!</definedName>
    <definedName name="BLPR120040129203645421_1_4" localSheetId="30" hidden="1">'[4]Spread Sheet'!#REF!</definedName>
    <definedName name="BLPR120040129203645421_1_4" localSheetId="37" hidden="1">'[4]Spread Sheet'!#REF!</definedName>
    <definedName name="BLPR120040129203645421_1_4" hidden="1">'[4]Spread Sheet'!#REF!</definedName>
    <definedName name="BLPR120040129203645421_2_4" localSheetId="27" hidden="1">'[4]Spread Sheet'!#REF!</definedName>
    <definedName name="BLPR120040129203645421_2_4" localSheetId="28" hidden="1">'[4]Spread Sheet'!#REF!</definedName>
    <definedName name="BLPR120040129203645421_2_4" localSheetId="29" hidden="1">'[4]Spread Sheet'!#REF!</definedName>
    <definedName name="BLPR120040129203645421_2_4" localSheetId="30" hidden="1">'[4]Spread Sheet'!#REF!</definedName>
    <definedName name="BLPR120040129203645421_2_4" localSheetId="37" hidden="1">'[4]Spread Sheet'!#REF!</definedName>
    <definedName name="BLPR120040129203645421_2_4" hidden="1">'[4]Spread Sheet'!#REF!</definedName>
    <definedName name="BLPR120040129203645421_3_4" localSheetId="27" hidden="1">'[4]Spread Sheet'!#REF!</definedName>
    <definedName name="BLPR120040129203645421_3_4" localSheetId="28" hidden="1">'[4]Spread Sheet'!#REF!</definedName>
    <definedName name="BLPR120040129203645421_3_4" localSheetId="29" hidden="1">'[4]Spread Sheet'!#REF!</definedName>
    <definedName name="BLPR120040129203645421_3_4" localSheetId="30" hidden="1">'[4]Spread Sheet'!#REF!</definedName>
    <definedName name="BLPR120040129203645421_3_4" localSheetId="37" hidden="1">'[4]Spread Sheet'!#REF!</definedName>
    <definedName name="BLPR120040129203645421_3_4" hidden="1">'[4]Spread Sheet'!#REF!</definedName>
    <definedName name="BLPR120040129203645421_4_4" localSheetId="27" hidden="1">'[4]Spread Sheet'!#REF!</definedName>
    <definedName name="BLPR120040129203645421_4_4" localSheetId="28" hidden="1">'[4]Spread Sheet'!#REF!</definedName>
    <definedName name="BLPR120040129203645421_4_4" localSheetId="29" hidden="1">'[4]Spread Sheet'!#REF!</definedName>
    <definedName name="BLPR120040129203645421_4_4" localSheetId="30" hidden="1">'[4]Spread Sheet'!#REF!</definedName>
    <definedName name="BLPR120040129203645421_4_4" localSheetId="37" hidden="1">'[4]Spread Sheet'!#REF!</definedName>
    <definedName name="BLPR120040129203645421_4_4" hidden="1">'[4]Spread Sheet'!#REF!</definedName>
    <definedName name="BLPR1220040129204514642" localSheetId="27" hidden="1">'[4]Spread Sheet'!#REF!</definedName>
    <definedName name="BLPR1220040129204514642" localSheetId="28" hidden="1">'[4]Spread Sheet'!#REF!</definedName>
    <definedName name="BLPR1220040129204514642" localSheetId="29" hidden="1">'[4]Spread Sheet'!#REF!</definedName>
    <definedName name="BLPR1220040129204514642" localSheetId="30" hidden="1">'[4]Spread Sheet'!#REF!</definedName>
    <definedName name="BLPR1220040129204514642" localSheetId="37" hidden="1">'[4]Spread Sheet'!#REF!</definedName>
    <definedName name="BLPR1220040129204514642" hidden="1">'[4]Spread Sheet'!#REF!</definedName>
    <definedName name="BLPR1220040129204514642_1_5" localSheetId="27" hidden="1">'[4]Spread Sheet'!#REF!</definedName>
    <definedName name="BLPR1220040129204514642_1_5" localSheetId="28" hidden="1">'[4]Spread Sheet'!#REF!</definedName>
    <definedName name="BLPR1220040129204514642_1_5" localSheetId="29" hidden="1">'[4]Spread Sheet'!#REF!</definedName>
    <definedName name="BLPR1220040129204514642_1_5" localSheetId="30" hidden="1">'[4]Spread Sheet'!#REF!</definedName>
    <definedName name="BLPR1220040129204514642_1_5" localSheetId="37" hidden="1">'[4]Spread Sheet'!#REF!</definedName>
    <definedName name="BLPR1220040129204514642_1_5" hidden="1">'[4]Spread Sheet'!#REF!</definedName>
    <definedName name="BLPR1220040129204514642_2_5" localSheetId="27" hidden="1">'[4]Spread Sheet'!#REF!</definedName>
    <definedName name="BLPR1220040129204514642_2_5" localSheetId="28" hidden="1">'[4]Spread Sheet'!#REF!</definedName>
    <definedName name="BLPR1220040129204514642_2_5" localSheetId="29" hidden="1">'[4]Spread Sheet'!#REF!</definedName>
    <definedName name="BLPR1220040129204514642_2_5" localSheetId="30" hidden="1">'[4]Spread Sheet'!#REF!</definedName>
    <definedName name="BLPR1220040129204514642_2_5" localSheetId="37" hidden="1">'[4]Spread Sheet'!#REF!</definedName>
    <definedName name="BLPR1220040129204514642_2_5" hidden="1">'[4]Spread Sheet'!#REF!</definedName>
    <definedName name="BLPR1220040129204514642_3_5" localSheetId="27" hidden="1">'[4]Spread Sheet'!#REF!</definedName>
    <definedName name="BLPR1220040129204514642_3_5" localSheetId="28" hidden="1">'[4]Spread Sheet'!#REF!</definedName>
    <definedName name="BLPR1220040129204514642_3_5" localSheetId="29" hidden="1">'[4]Spread Sheet'!#REF!</definedName>
    <definedName name="BLPR1220040129204514642_3_5" localSheetId="30" hidden="1">'[4]Spread Sheet'!#REF!</definedName>
    <definedName name="BLPR1220040129204514642_3_5" localSheetId="37" hidden="1">'[4]Spread Sheet'!#REF!</definedName>
    <definedName name="BLPR1220040129204514642_3_5" hidden="1">'[4]Spread Sheet'!#REF!</definedName>
    <definedName name="BLPR1220040129204514642_4_5" localSheetId="27" hidden="1">'[4]Spread Sheet'!#REF!</definedName>
    <definedName name="BLPR1220040129204514642_4_5" localSheetId="28" hidden="1">'[4]Spread Sheet'!#REF!</definedName>
    <definedName name="BLPR1220040129204514642_4_5" localSheetId="29" hidden="1">'[4]Spread Sheet'!#REF!</definedName>
    <definedName name="BLPR1220040129204514642_4_5" localSheetId="30" hidden="1">'[4]Spread Sheet'!#REF!</definedName>
    <definedName name="BLPR1220040129204514642_4_5" localSheetId="37" hidden="1">'[4]Spread Sheet'!#REF!</definedName>
    <definedName name="BLPR1220040129204514642_4_5" hidden="1">'[4]Spread Sheet'!#REF!</definedName>
    <definedName name="BLPR1220040129204514642_5_5" localSheetId="27" hidden="1">'[4]Spread Sheet'!#REF!</definedName>
    <definedName name="BLPR1220040129204514642_5_5" localSheetId="28" hidden="1">'[4]Spread Sheet'!#REF!</definedName>
    <definedName name="BLPR1220040129204514642_5_5" localSheetId="29" hidden="1">'[4]Spread Sheet'!#REF!</definedName>
    <definedName name="BLPR1220040129204514642_5_5" localSheetId="30" hidden="1">'[4]Spread Sheet'!#REF!</definedName>
    <definedName name="BLPR1220040129204514642_5_5" localSheetId="37" hidden="1">'[4]Spread Sheet'!#REF!</definedName>
    <definedName name="BLPR1220040129204514642_5_5" hidden="1">'[4]Spread Sheet'!#REF!</definedName>
    <definedName name="BLPR1320040129204514642" localSheetId="27" hidden="1">'[4]Spread Sheet'!#REF!</definedName>
    <definedName name="BLPR1320040129204514642" localSheetId="28" hidden="1">'[4]Spread Sheet'!#REF!</definedName>
    <definedName name="BLPR1320040129204514642" localSheetId="29" hidden="1">'[4]Spread Sheet'!#REF!</definedName>
    <definedName name="BLPR1320040129204514642" localSheetId="30" hidden="1">'[4]Spread Sheet'!#REF!</definedName>
    <definedName name="BLPR1320040129204514642" localSheetId="37" hidden="1">'[4]Spread Sheet'!#REF!</definedName>
    <definedName name="BLPR1320040129204514642" hidden="1">'[4]Spread Sheet'!#REF!</definedName>
    <definedName name="BLPR1320040129204514642_1_5" localSheetId="27" hidden="1">'[4]Spread Sheet'!#REF!</definedName>
    <definedName name="BLPR1320040129204514642_1_5" localSheetId="28" hidden="1">'[4]Spread Sheet'!#REF!</definedName>
    <definedName name="BLPR1320040129204514642_1_5" localSheetId="29" hidden="1">'[4]Spread Sheet'!#REF!</definedName>
    <definedName name="BLPR1320040129204514642_1_5" localSheetId="30" hidden="1">'[4]Spread Sheet'!#REF!</definedName>
    <definedName name="BLPR1320040129204514642_1_5" localSheetId="37" hidden="1">'[4]Spread Sheet'!#REF!</definedName>
    <definedName name="BLPR1320040129204514642_1_5" hidden="1">'[4]Spread Sheet'!#REF!</definedName>
    <definedName name="BLPR1320040129204514642_2_5" localSheetId="27" hidden="1">'[4]Spread Sheet'!#REF!</definedName>
    <definedName name="BLPR1320040129204514642_2_5" localSheetId="28" hidden="1">'[4]Spread Sheet'!#REF!</definedName>
    <definedName name="BLPR1320040129204514642_2_5" localSheetId="29" hidden="1">'[4]Spread Sheet'!#REF!</definedName>
    <definedName name="BLPR1320040129204514642_2_5" localSheetId="30" hidden="1">'[4]Spread Sheet'!#REF!</definedName>
    <definedName name="BLPR1320040129204514642_2_5" localSheetId="37" hidden="1">'[4]Spread Sheet'!#REF!</definedName>
    <definedName name="BLPR1320040129204514642_2_5" hidden="1">'[4]Spread Sheet'!#REF!</definedName>
    <definedName name="BLPR1320040129204514642_3_5" localSheetId="27" hidden="1">'[4]Spread Sheet'!#REF!</definedName>
    <definedName name="BLPR1320040129204514642_3_5" localSheetId="28" hidden="1">'[4]Spread Sheet'!#REF!</definedName>
    <definedName name="BLPR1320040129204514642_3_5" localSheetId="29" hidden="1">'[4]Spread Sheet'!#REF!</definedName>
    <definedName name="BLPR1320040129204514642_3_5" localSheetId="30" hidden="1">'[4]Spread Sheet'!#REF!</definedName>
    <definedName name="BLPR1320040129204514642_3_5" localSheetId="37" hidden="1">'[4]Spread Sheet'!#REF!</definedName>
    <definedName name="BLPR1320040129204514642_3_5" hidden="1">'[4]Spread Sheet'!#REF!</definedName>
    <definedName name="BLPR1320040129204514642_4_5" localSheetId="27" hidden="1">'[4]Spread Sheet'!#REF!</definedName>
    <definedName name="BLPR1320040129204514642_4_5" localSheetId="28" hidden="1">'[4]Spread Sheet'!#REF!</definedName>
    <definedName name="BLPR1320040129204514642_4_5" localSheetId="29" hidden="1">'[4]Spread Sheet'!#REF!</definedName>
    <definedName name="BLPR1320040129204514642_4_5" localSheetId="30" hidden="1">'[4]Spread Sheet'!#REF!</definedName>
    <definedName name="BLPR1320040129204514642_4_5" localSheetId="37" hidden="1">'[4]Spread Sheet'!#REF!</definedName>
    <definedName name="BLPR1320040129204514642_4_5" hidden="1">'[4]Spread Sheet'!#REF!</definedName>
    <definedName name="BLPR1320040129204514642_5_5" localSheetId="27" hidden="1">'[4]Spread Sheet'!#REF!</definedName>
    <definedName name="BLPR1320040129204514642_5_5" localSheetId="28" hidden="1">'[4]Spread Sheet'!#REF!</definedName>
    <definedName name="BLPR1320040129204514642_5_5" localSheetId="29" hidden="1">'[4]Spread Sheet'!#REF!</definedName>
    <definedName name="BLPR1320040129204514642_5_5" localSheetId="30" hidden="1">'[4]Spread Sheet'!#REF!</definedName>
    <definedName name="BLPR1320040129204514642_5_5" localSheetId="37" hidden="1">'[4]Spread Sheet'!#REF!</definedName>
    <definedName name="BLPR1320040129204514642_5_5" hidden="1">'[4]Spread Sheet'!#REF!</definedName>
    <definedName name="BLPR1420040129204514642" localSheetId="27" hidden="1">'[4]Spread Sheet'!#REF!</definedName>
    <definedName name="BLPR1420040129204514642" localSheetId="28" hidden="1">'[4]Spread Sheet'!#REF!</definedName>
    <definedName name="BLPR1420040129204514642" localSheetId="29" hidden="1">'[4]Spread Sheet'!#REF!</definedName>
    <definedName name="BLPR1420040129204514642" localSheetId="30" hidden="1">'[4]Spread Sheet'!#REF!</definedName>
    <definedName name="BLPR1420040129204514642" localSheetId="37" hidden="1">'[4]Spread Sheet'!#REF!</definedName>
    <definedName name="BLPR1420040129204514642" hidden="1">'[4]Spread Sheet'!#REF!</definedName>
    <definedName name="BLPR1420040129204514642_1_5" localSheetId="27" hidden="1">'[4]Spread Sheet'!#REF!</definedName>
    <definedName name="BLPR1420040129204514642_1_5" localSheetId="28" hidden="1">'[4]Spread Sheet'!#REF!</definedName>
    <definedName name="BLPR1420040129204514642_1_5" localSheetId="29" hidden="1">'[4]Spread Sheet'!#REF!</definedName>
    <definedName name="BLPR1420040129204514642_1_5" localSheetId="30" hidden="1">'[4]Spread Sheet'!#REF!</definedName>
    <definedName name="BLPR1420040129204514642_1_5" localSheetId="37" hidden="1">'[4]Spread Sheet'!#REF!</definedName>
    <definedName name="BLPR1420040129204514642_1_5" hidden="1">'[4]Spread Sheet'!#REF!</definedName>
    <definedName name="BLPR1420040129204514642_2_5" localSheetId="27" hidden="1">'[4]Spread Sheet'!#REF!</definedName>
    <definedName name="BLPR1420040129204514642_2_5" localSheetId="28" hidden="1">'[4]Spread Sheet'!#REF!</definedName>
    <definedName name="BLPR1420040129204514642_2_5" localSheetId="29" hidden="1">'[4]Spread Sheet'!#REF!</definedName>
    <definedName name="BLPR1420040129204514642_2_5" localSheetId="30" hidden="1">'[4]Spread Sheet'!#REF!</definedName>
    <definedName name="BLPR1420040129204514642_2_5" localSheetId="37" hidden="1">'[4]Spread Sheet'!#REF!</definedName>
    <definedName name="BLPR1420040129204514642_2_5" hidden="1">'[4]Spread Sheet'!#REF!</definedName>
    <definedName name="BLPR1420040129204514642_3_5" localSheetId="27" hidden="1">'[4]Spread Sheet'!#REF!</definedName>
    <definedName name="BLPR1420040129204514642_3_5" localSheetId="28" hidden="1">'[4]Spread Sheet'!#REF!</definedName>
    <definedName name="BLPR1420040129204514642_3_5" localSheetId="29" hidden="1">'[4]Spread Sheet'!#REF!</definedName>
    <definedName name="BLPR1420040129204514642_3_5" localSheetId="30" hidden="1">'[4]Spread Sheet'!#REF!</definedName>
    <definedName name="BLPR1420040129204514642_3_5" localSheetId="37" hidden="1">'[4]Spread Sheet'!#REF!</definedName>
    <definedName name="BLPR1420040129204514642_3_5" hidden="1">'[4]Spread Sheet'!#REF!</definedName>
    <definedName name="BLPR1420040129204514642_4_5" localSheetId="27" hidden="1">'[4]Spread Sheet'!#REF!</definedName>
    <definedName name="BLPR1420040129204514642_4_5" localSheetId="28" hidden="1">'[4]Spread Sheet'!#REF!</definedName>
    <definedName name="BLPR1420040129204514642_4_5" localSheetId="29" hidden="1">'[4]Spread Sheet'!#REF!</definedName>
    <definedName name="BLPR1420040129204514642_4_5" localSheetId="30" hidden="1">'[4]Spread Sheet'!#REF!</definedName>
    <definedName name="BLPR1420040129204514642_4_5" localSheetId="37" hidden="1">'[4]Spread Sheet'!#REF!</definedName>
    <definedName name="BLPR1420040129204514642_4_5" hidden="1">'[4]Spread Sheet'!#REF!</definedName>
    <definedName name="BLPR1420040129204514642_5_5" localSheetId="27" hidden="1">'[4]Spread Sheet'!#REF!</definedName>
    <definedName name="BLPR1420040129204514642_5_5" localSheetId="28" hidden="1">'[4]Spread Sheet'!#REF!</definedName>
    <definedName name="BLPR1420040129204514642_5_5" localSheetId="29" hidden="1">'[4]Spread Sheet'!#REF!</definedName>
    <definedName name="BLPR1420040129204514642_5_5" localSheetId="30" hidden="1">'[4]Spread Sheet'!#REF!</definedName>
    <definedName name="BLPR1420040129204514642_5_5" localSheetId="37" hidden="1">'[4]Spread Sheet'!#REF!</definedName>
    <definedName name="BLPR1420040129204514642_5_5" hidden="1">'[4]Spread Sheet'!#REF!</definedName>
    <definedName name="BLPR1520040129204514652" localSheetId="27" hidden="1">'[4]Spread Sheet'!#REF!</definedName>
    <definedName name="BLPR1520040129204514652" localSheetId="28" hidden="1">'[4]Spread Sheet'!#REF!</definedName>
    <definedName name="BLPR1520040129204514652" localSheetId="29" hidden="1">'[4]Spread Sheet'!#REF!</definedName>
    <definedName name="BLPR1520040129204514652" localSheetId="30" hidden="1">'[4]Spread Sheet'!#REF!</definedName>
    <definedName name="BLPR1520040129204514652" localSheetId="37" hidden="1">'[4]Spread Sheet'!#REF!</definedName>
    <definedName name="BLPR1520040129204514652" hidden="1">'[4]Spread Sheet'!#REF!</definedName>
    <definedName name="BLPR1520040129204514652_1_5" localSheetId="27" hidden="1">'[4]Spread Sheet'!#REF!</definedName>
    <definedName name="BLPR1520040129204514652_1_5" localSheetId="28" hidden="1">'[4]Spread Sheet'!#REF!</definedName>
    <definedName name="BLPR1520040129204514652_1_5" localSheetId="29" hidden="1">'[4]Spread Sheet'!#REF!</definedName>
    <definedName name="BLPR1520040129204514652_1_5" localSheetId="30" hidden="1">'[4]Spread Sheet'!#REF!</definedName>
    <definedName name="BLPR1520040129204514652_1_5" localSheetId="37" hidden="1">'[4]Spread Sheet'!#REF!</definedName>
    <definedName name="BLPR1520040129204514652_1_5" hidden="1">'[4]Spread Sheet'!#REF!</definedName>
    <definedName name="BLPR1520040129204514652_2_5" localSheetId="27" hidden="1">'[4]Spread Sheet'!#REF!</definedName>
    <definedName name="BLPR1520040129204514652_2_5" localSheetId="28" hidden="1">'[4]Spread Sheet'!#REF!</definedName>
    <definedName name="BLPR1520040129204514652_2_5" localSheetId="29" hidden="1">'[4]Spread Sheet'!#REF!</definedName>
    <definedName name="BLPR1520040129204514652_2_5" localSheetId="30" hidden="1">'[4]Spread Sheet'!#REF!</definedName>
    <definedName name="BLPR1520040129204514652_2_5" localSheetId="37" hidden="1">'[4]Spread Sheet'!#REF!</definedName>
    <definedName name="BLPR1520040129204514652_2_5" hidden="1">'[4]Spread Sheet'!#REF!</definedName>
    <definedName name="BLPR1520040129204514652_3_5" localSheetId="27" hidden="1">'[4]Spread Sheet'!#REF!</definedName>
    <definedName name="BLPR1520040129204514652_3_5" localSheetId="28" hidden="1">'[4]Spread Sheet'!#REF!</definedName>
    <definedName name="BLPR1520040129204514652_3_5" localSheetId="29" hidden="1">'[4]Spread Sheet'!#REF!</definedName>
    <definedName name="BLPR1520040129204514652_3_5" localSheetId="30" hidden="1">'[4]Spread Sheet'!#REF!</definedName>
    <definedName name="BLPR1520040129204514652_3_5" localSheetId="37" hidden="1">'[4]Spread Sheet'!#REF!</definedName>
    <definedName name="BLPR1520040129204514652_3_5" hidden="1">'[4]Spread Sheet'!#REF!</definedName>
    <definedName name="BLPR1520040129204514652_4_5" localSheetId="27" hidden="1">'[4]Spread Sheet'!#REF!</definedName>
    <definedName name="BLPR1520040129204514652_4_5" localSheetId="28" hidden="1">'[4]Spread Sheet'!#REF!</definedName>
    <definedName name="BLPR1520040129204514652_4_5" localSheetId="29" hidden="1">'[4]Spread Sheet'!#REF!</definedName>
    <definedName name="BLPR1520040129204514652_4_5" localSheetId="30" hidden="1">'[4]Spread Sheet'!#REF!</definedName>
    <definedName name="BLPR1520040129204514652_4_5" localSheetId="37" hidden="1">'[4]Spread Sheet'!#REF!</definedName>
    <definedName name="BLPR1520040129204514652_4_5" hidden="1">'[4]Spread Sheet'!#REF!</definedName>
    <definedName name="BLPR1520040129204514652_5_5" localSheetId="27" hidden="1">'[4]Spread Sheet'!#REF!</definedName>
    <definedName name="BLPR1520040129204514652_5_5" localSheetId="28" hidden="1">'[4]Spread Sheet'!#REF!</definedName>
    <definedName name="BLPR1520040129204514652_5_5" localSheetId="29" hidden="1">'[4]Spread Sheet'!#REF!</definedName>
    <definedName name="BLPR1520040129204514652_5_5" localSheetId="30" hidden="1">'[4]Spread Sheet'!#REF!</definedName>
    <definedName name="BLPR1520040129204514652_5_5" localSheetId="37" hidden="1">'[4]Spread Sheet'!#REF!</definedName>
    <definedName name="BLPR1520040129204514652_5_5" hidden="1">'[4]Spread Sheet'!#REF!</definedName>
    <definedName name="BLPR1620040129204514652" localSheetId="27" hidden="1">'[4]Spread Sheet'!#REF!</definedName>
    <definedName name="BLPR1620040129204514652" localSheetId="28" hidden="1">'[4]Spread Sheet'!#REF!</definedName>
    <definedName name="BLPR1620040129204514652" localSheetId="29" hidden="1">'[4]Spread Sheet'!#REF!</definedName>
    <definedName name="BLPR1620040129204514652" localSheetId="30" hidden="1">'[4]Spread Sheet'!#REF!</definedName>
    <definedName name="BLPR1620040129204514652" localSheetId="37" hidden="1">'[4]Spread Sheet'!#REF!</definedName>
    <definedName name="BLPR1620040129204514652" hidden="1">'[4]Spread Sheet'!#REF!</definedName>
    <definedName name="BLPR1620040129204514652_1_5" localSheetId="27" hidden="1">'[4]Spread Sheet'!#REF!</definedName>
    <definedName name="BLPR1620040129204514652_1_5" localSheetId="28" hidden="1">'[4]Spread Sheet'!#REF!</definedName>
    <definedName name="BLPR1620040129204514652_1_5" localSheetId="29" hidden="1">'[4]Spread Sheet'!#REF!</definedName>
    <definedName name="BLPR1620040129204514652_1_5" localSheetId="30" hidden="1">'[4]Spread Sheet'!#REF!</definedName>
    <definedName name="BLPR1620040129204514652_1_5" localSheetId="37" hidden="1">'[4]Spread Sheet'!#REF!</definedName>
    <definedName name="BLPR1620040129204514652_1_5" hidden="1">'[4]Spread Sheet'!#REF!</definedName>
    <definedName name="BLPR1620040129204514652_2_5" localSheetId="27" hidden="1">'[4]Spread Sheet'!#REF!</definedName>
    <definedName name="BLPR1620040129204514652_2_5" localSheetId="28" hidden="1">'[4]Spread Sheet'!#REF!</definedName>
    <definedName name="BLPR1620040129204514652_2_5" localSheetId="29" hidden="1">'[4]Spread Sheet'!#REF!</definedName>
    <definedName name="BLPR1620040129204514652_2_5" localSheetId="30" hidden="1">'[4]Spread Sheet'!#REF!</definedName>
    <definedName name="BLPR1620040129204514652_2_5" localSheetId="37" hidden="1">'[4]Spread Sheet'!#REF!</definedName>
    <definedName name="BLPR1620040129204514652_2_5" hidden="1">'[4]Spread Sheet'!#REF!</definedName>
    <definedName name="BLPR1620040129204514652_3_5" localSheetId="27" hidden="1">'[4]Spread Sheet'!#REF!</definedName>
    <definedName name="BLPR1620040129204514652_3_5" localSheetId="28" hidden="1">'[4]Spread Sheet'!#REF!</definedName>
    <definedName name="BLPR1620040129204514652_3_5" localSheetId="29" hidden="1">'[4]Spread Sheet'!#REF!</definedName>
    <definedName name="BLPR1620040129204514652_3_5" localSheetId="30" hidden="1">'[4]Spread Sheet'!#REF!</definedName>
    <definedName name="BLPR1620040129204514652_3_5" localSheetId="37" hidden="1">'[4]Spread Sheet'!#REF!</definedName>
    <definedName name="BLPR1620040129204514652_3_5" hidden="1">'[4]Spread Sheet'!#REF!</definedName>
    <definedName name="BLPR1620040129204514652_4_5" localSheetId="27" hidden="1">'[4]Spread Sheet'!#REF!</definedName>
    <definedName name="BLPR1620040129204514652_4_5" localSheetId="28" hidden="1">'[4]Spread Sheet'!#REF!</definedName>
    <definedName name="BLPR1620040129204514652_4_5" localSheetId="29" hidden="1">'[4]Spread Sheet'!#REF!</definedName>
    <definedName name="BLPR1620040129204514652_4_5" localSheetId="30" hidden="1">'[4]Spread Sheet'!#REF!</definedName>
    <definedName name="BLPR1620040129204514652_4_5" localSheetId="37" hidden="1">'[4]Spread Sheet'!#REF!</definedName>
    <definedName name="BLPR1620040129204514652_4_5" hidden="1">'[4]Spread Sheet'!#REF!</definedName>
    <definedName name="BLPR1620040129204514652_5_5" localSheetId="27" hidden="1">'[4]Spread Sheet'!#REF!</definedName>
    <definedName name="BLPR1620040129204514652_5_5" localSheetId="28" hidden="1">'[4]Spread Sheet'!#REF!</definedName>
    <definedName name="BLPR1620040129204514652_5_5" localSheetId="29" hidden="1">'[4]Spread Sheet'!#REF!</definedName>
    <definedName name="BLPR1620040129204514652_5_5" localSheetId="30" hidden="1">'[4]Spread Sheet'!#REF!</definedName>
    <definedName name="BLPR1620040129204514652_5_5" localSheetId="37" hidden="1">'[4]Spread Sheet'!#REF!</definedName>
    <definedName name="BLPR1620040129204514652_5_5" hidden="1">'[4]Spread Sheet'!#REF!</definedName>
    <definedName name="BLPR1720040129204514652" localSheetId="27" hidden="1">'[4]Spread Sheet'!#REF!</definedName>
    <definedName name="BLPR1720040129204514652" localSheetId="28" hidden="1">'[4]Spread Sheet'!#REF!</definedName>
    <definedName name="BLPR1720040129204514652" localSheetId="29" hidden="1">'[4]Spread Sheet'!#REF!</definedName>
    <definedName name="BLPR1720040129204514652" localSheetId="30" hidden="1">'[4]Spread Sheet'!#REF!</definedName>
    <definedName name="BLPR1720040129204514652" localSheetId="37" hidden="1">'[4]Spread Sheet'!#REF!</definedName>
    <definedName name="BLPR1720040129204514652" hidden="1">'[4]Spread Sheet'!#REF!</definedName>
    <definedName name="BLPR1720040129204514652_1_5" localSheetId="27" hidden="1">'[4]Spread Sheet'!#REF!</definedName>
    <definedName name="BLPR1720040129204514652_1_5" localSheetId="28" hidden="1">'[4]Spread Sheet'!#REF!</definedName>
    <definedName name="BLPR1720040129204514652_1_5" localSheetId="29" hidden="1">'[4]Spread Sheet'!#REF!</definedName>
    <definedName name="BLPR1720040129204514652_1_5" localSheetId="30" hidden="1">'[4]Spread Sheet'!#REF!</definedName>
    <definedName name="BLPR1720040129204514652_1_5" localSheetId="37" hidden="1">'[4]Spread Sheet'!#REF!</definedName>
    <definedName name="BLPR1720040129204514652_1_5" hidden="1">'[4]Spread Sheet'!#REF!</definedName>
    <definedName name="BLPR1720040129204514652_2_5" localSheetId="27" hidden="1">'[4]Spread Sheet'!#REF!</definedName>
    <definedName name="BLPR1720040129204514652_2_5" localSheetId="28" hidden="1">'[4]Spread Sheet'!#REF!</definedName>
    <definedName name="BLPR1720040129204514652_2_5" localSheetId="29" hidden="1">'[4]Spread Sheet'!#REF!</definedName>
    <definedName name="BLPR1720040129204514652_2_5" localSheetId="30" hidden="1">'[4]Spread Sheet'!#REF!</definedName>
    <definedName name="BLPR1720040129204514652_2_5" localSheetId="37" hidden="1">'[4]Spread Sheet'!#REF!</definedName>
    <definedName name="BLPR1720040129204514652_2_5" hidden="1">'[4]Spread Sheet'!#REF!</definedName>
    <definedName name="BLPR1720040129204514652_3_5" localSheetId="27" hidden="1">'[4]Spread Sheet'!#REF!</definedName>
    <definedName name="BLPR1720040129204514652_3_5" localSheetId="28" hidden="1">'[4]Spread Sheet'!#REF!</definedName>
    <definedName name="BLPR1720040129204514652_3_5" localSheetId="29" hidden="1">'[4]Spread Sheet'!#REF!</definedName>
    <definedName name="BLPR1720040129204514652_3_5" localSheetId="30" hidden="1">'[4]Spread Sheet'!#REF!</definedName>
    <definedName name="BLPR1720040129204514652_3_5" localSheetId="37" hidden="1">'[4]Spread Sheet'!#REF!</definedName>
    <definedName name="BLPR1720040129204514652_3_5" hidden="1">'[4]Spread Sheet'!#REF!</definedName>
    <definedName name="BLPR1720040129204514652_4_5" localSheetId="27" hidden="1">'[4]Spread Sheet'!#REF!</definedName>
    <definedName name="BLPR1720040129204514652_4_5" localSheetId="28" hidden="1">'[4]Spread Sheet'!#REF!</definedName>
    <definedName name="BLPR1720040129204514652_4_5" localSheetId="29" hidden="1">'[4]Spread Sheet'!#REF!</definedName>
    <definedName name="BLPR1720040129204514652_4_5" localSheetId="30" hidden="1">'[4]Spread Sheet'!#REF!</definedName>
    <definedName name="BLPR1720040129204514652_4_5" localSheetId="37" hidden="1">'[4]Spread Sheet'!#REF!</definedName>
    <definedName name="BLPR1720040129204514652_4_5" hidden="1">'[4]Spread Sheet'!#REF!</definedName>
    <definedName name="BLPR1720040129204514652_5_5" localSheetId="27" hidden="1">'[4]Spread Sheet'!#REF!</definedName>
    <definedName name="BLPR1720040129204514652_5_5" localSheetId="28" hidden="1">'[4]Spread Sheet'!#REF!</definedName>
    <definedName name="BLPR1720040129204514652_5_5" localSheetId="29" hidden="1">'[4]Spread Sheet'!#REF!</definedName>
    <definedName name="BLPR1720040129204514652_5_5" localSheetId="30" hidden="1">'[4]Spread Sheet'!#REF!</definedName>
    <definedName name="BLPR1720040129204514652_5_5" localSheetId="37" hidden="1">'[4]Spread Sheet'!#REF!</definedName>
    <definedName name="BLPR1720040129204514652_5_5" hidden="1">'[4]Spread Sheet'!#REF!</definedName>
    <definedName name="BLPR1820040129204514652" localSheetId="27" hidden="1">'[4]Spread Sheet'!#REF!</definedName>
    <definedName name="BLPR1820040129204514652" localSheetId="28" hidden="1">'[4]Spread Sheet'!#REF!</definedName>
    <definedName name="BLPR1820040129204514652" localSheetId="29" hidden="1">'[4]Spread Sheet'!#REF!</definedName>
    <definedName name="BLPR1820040129204514652" localSheetId="30" hidden="1">'[4]Spread Sheet'!#REF!</definedName>
    <definedName name="BLPR1820040129204514652" localSheetId="37" hidden="1">'[4]Spread Sheet'!#REF!</definedName>
    <definedName name="BLPR1820040129204514652" hidden="1">'[4]Spread Sheet'!#REF!</definedName>
    <definedName name="BLPR1820040129204514652_1_5" localSheetId="27" hidden="1">'[4]Spread Sheet'!#REF!</definedName>
    <definedName name="BLPR1820040129204514652_1_5" localSheetId="28" hidden="1">'[4]Spread Sheet'!#REF!</definedName>
    <definedName name="BLPR1820040129204514652_1_5" localSheetId="29" hidden="1">'[4]Spread Sheet'!#REF!</definedName>
    <definedName name="BLPR1820040129204514652_1_5" localSheetId="30" hidden="1">'[4]Spread Sheet'!#REF!</definedName>
    <definedName name="BLPR1820040129204514652_1_5" localSheetId="37" hidden="1">'[4]Spread Sheet'!#REF!</definedName>
    <definedName name="BLPR1820040129204514652_1_5" hidden="1">'[4]Spread Sheet'!#REF!</definedName>
    <definedName name="BLPR1820040129204514652_2_5" localSheetId="27" hidden="1">'[4]Spread Sheet'!#REF!</definedName>
    <definedName name="BLPR1820040129204514652_2_5" localSheetId="28" hidden="1">'[4]Spread Sheet'!#REF!</definedName>
    <definedName name="BLPR1820040129204514652_2_5" localSheetId="29" hidden="1">'[4]Spread Sheet'!#REF!</definedName>
    <definedName name="BLPR1820040129204514652_2_5" localSheetId="30" hidden="1">'[4]Spread Sheet'!#REF!</definedName>
    <definedName name="BLPR1820040129204514652_2_5" localSheetId="37" hidden="1">'[4]Spread Sheet'!#REF!</definedName>
    <definedName name="BLPR1820040129204514652_2_5" hidden="1">'[4]Spread Sheet'!#REF!</definedName>
    <definedName name="BLPR1820040129204514652_3_5" localSheetId="27" hidden="1">'[4]Spread Sheet'!#REF!</definedName>
    <definedName name="BLPR1820040129204514652_3_5" localSheetId="28" hidden="1">'[4]Spread Sheet'!#REF!</definedName>
    <definedName name="BLPR1820040129204514652_3_5" localSheetId="29" hidden="1">'[4]Spread Sheet'!#REF!</definedName>
    <definedName name="BLPR1820040129204514652_3_5" localSheetId="30" hidden="1">'[4]Spread Sheet'!#REF!</definedName>
    <definedName name="BLPR1820040129204514652_3_5" localSheetId="37" hidden="1">'[4]Spread Sheet'!#REF!</definedName>
    <definedName name="BLPR1820040129204514652_3_5" hidden="1">'[4]Spread Sheet'!#REF!</definedName>
    <definedName name="BLPR1820040129204514652_4_5" localSheetId="27" hidden="1">'[4]Spread Sheet'!#REF!</definedName>
    <definedName name="BLPR1820040129204514652_4_5" localSheetId="28" hidden="1">'[4]Spread Sheet'!#REF!</definedName>
    <definedName name="BLPR1820040129204514652_4_5" localSheetId="29" hidden="1">'[4]Spread Sheet'!#REF!</definedName>
    <definedName name="BLPR1820040129204514652_4_5" localSheetId="30" hidden="1">'[4]Spread Sheet'!#REF!</definedName>
    <definedName name="BLPR1820040129204514652_4_5" localSheetId="37" hidden="1">'[4]Spread Sheet'!#REF!</definedName>
    <definedName name="BLPR1820040129204514652_4_5" hidden="1">'[4]Spread Sheet'!#REF!</definedName>
    <definedName name="BLPR1820040129204514652_5_5" localSheetId="27" hidden="1">'[4]Spread Sheet'!#REF!</definedName>
    <definedName name="BLPR1820040129204514652_5_5" localSheetId="28" hidden="1">'[4]Spread Sheet'!#REF!</definedName>
    <definedName name="BLPR1820040129204514652_5_5" localSheetId="29" hidden="1">'[4]Spread Sheet'!#REF!</definedName>
    <definedName name="BLPR1820040129204514652_5_5" localSheetId="30" hidden="1">'[4]Spread Sheet'!#REF!</definedName>
    <definedName name="BLPR1820040129204514652_5_5" localSheetId="37" hidden="1">'[4]Spread Sheet'!#REF!</definedName>
    <definedName name="BLPR1820040129204514652_5_5" hidden="1">'[4]Spread Sheet'!#REF!</definedName>
    <definedName name="BLPR1920040129204514652" localSheetId="27" hidden="1">'[4]Spread Sheet'!#REF!</definedName>
    <definedName name="BLPR1920040129204514652" localSheetId="28" hidden="1">'[4]Spread Sheet'!#REF!</definedName>
    <definedName name="BLPR1920040129204514652" localSheetId="29" hidden="1">'[4]Spread Sheet'!#REF!</definedName>
    <definedName name="BLPR1920040129204514652" localSheetId="30" hidden="1">'[4]Spread Sheet'!#REF!</definedName>
    <definedName name="BLPR1920040129204514652" localSheetId="37" hidden="1">'[4]Spread Sheet'!#REF!</definedName>
    <definedName name="BLPR1920040129204514652" hidden="1">'[4]Spread Sheet'!#REF!</definedName>
    <definedName name="BLPR1920040129204514652_1_5" localSheetId="27" hidden="1">'[4]Spread Sheet'!#REF!</definedName>
    <definedName name="BLPR1920040129204514652_1_5" localSheetId="28" hidden="1">'[4]Spread Sheet'!#REF!</definedName>
    <definedName name="BLPR1920040129204514652_1_5" localSheetId="29" hidden="1">'[4]Spread Sheet'!#REF!</definedName>
    <definedName name="BLPR1920040129204514652_1_5" localSheetId="30" hidden="1">'[4]Spread Sheet'!#REF!</definedName>
    <definedName name="BLPR1920040129204514652_1_5" localSheetId="37" hidden="1">'[4]Spread Sheet'!#REF!</definedName>
    <definedName name="BLPR1920040129204514652_1_5" hidden="1">'[4]Spread Sheet'!#REF!</definedName>
    <definedName name="BLPR1920040129204514652_2_5" localSheetId="27" hidden="1">'[4]Spread Sheet'!#REF!</definedName>
    <definedName name="BLPR1920040129204514652_2_5" localSheetId="28" hidden="1">'[4]Spread Sheet'!#REF!</definedName>
    <definedName name="BLPR1920040129204514652_2_5" localSheetId="29" hidden="1">'[4]Spread Sheet'!#REF!</definedName>
    <definedName name="BLPR1920040129204514652_2_5" localSheetId="30" hidden="1">'[4]Spread Sheet'!#REF!</definedName>
    <definedName name="BLPR1920040129204514652_2_5" localSheetId="37" hidden="1">'[4]Spread Sheet'!#REF!</definedName>
    <definedName name="BLPR1920040129204514652_2_5" hidden="1">'[4]Spread Sheet'!#REF!</definedName>
    <definedName name="BLPR1920040129204514652_3_5" localSheetId="27" hidden="1">'[4]Spread Sheet'!#REF!</definedName>
    <definedName name="BLPR1920040129204514652_3_5" localSheetId="28" hidden="1">'[4]Spread Sheet'!#REF!</definedName>
    <definedName name="BLPR1920040129204514652_3_5" localSheetId="29" hidden="1">'[4]Spread Sheet'!#REF!</definedName>
    <definedName name="BLPR1920040129204514652_3_5" localSheetId="30" hidden="1">'[4]Spread Sheet'!#REF!</definedName>
    <definedName name="BLPR1920040129204514652_3_5" localSheetId="37" hidden="1">'[4]Spread Sheet'!#REF!</definedName>
    <definedName name="BLPR1920040129204514652_3_5" hidden="1">'[4]Spread Sheet'!#REF!</definedName>
    <definedName name="BLPR1920040129204514652_4_5" localSheetId="27" hidden="1">'[4]Spread Sheet'!#REF!</definedName>
    <definedName name="BLPR1920040129204514652_4_5" localSheetId="28" hidden="1">'[4]Spread Sheet'!#REF!</definedName>
    <definedName name="BLPR1920040129204514652_4_5" localSheetId="29" hidden="1">'[4]Spread Sheet'!#REF!</definedName>
    <definedName name="BLPR1920040129204514652_4_5" localSheetId="30" hidden="1">'[4]Spread Sheet'!#REF!</definedName>
    <definedName name="BLPR1920040129204514652_4_5" localSheetId="37" hidden="1">'[4]Spread Sheet'!#REF!</definedName>
    <definedName name="BLPR1920040129204514652_4_5" hidden="1">'[4]Spread Sheet'!#REF!</definedName>
    <definedName name="BLPR1920040129204514652_5_5" localSheetId="27" hidden="1">'[4]Spread Sheet'!#REF!</definedName>
    <definedName name="BLPR1920040129204514652_5_5" localSheetId="28" hidden="1">'[4]Spread Sheet'!#REF!</definedName>
    <definedName name="BLPR1920040129204514652_5_5" localSheetId="29" hidden="1">'[4]Spread Sheet'!#REF!</definedName>
    <definedName name="BLPR1920040129204514652_5_5" localSheetId="30" hidden="1">'[4]Spread Sheet'!#REF!</definedName>
    <definedName name="BLPR1920040129204514652_5_5" localSheetId="37" hidden="1">'[4]Spread Sheet'!#REF!</definedName>
    <definedName name="BLPR1920040129204514652_5_5" hidden="1">'[4]Spread Sheet'!#REF!</definedName>
    <definedName name="BLPR2020040129204514652" localSheetId="27" hidden="1">'[4]Spread Sheet'!#REF!</definedName>
    <definedName name="BLPR2020040129204514652" localSheetId="28" hidden="1">'[4]Spread Sheet'!#REF!</definedName>
    <definedName name="BLPR2020040129204514652" localSheetId="29" hidden="1">'[4]Spread Sheet'!#REF!</definedName>
    <definedName name="BLPR2020040129204514652" localSheetId="30" hidden="1">'[4]Spread Sheet'!#REF!</definedName>
    <definedName name="BLPR2020040129204514652" localSheetId="37" hidden="1">'[4]Spread Sheet'!#REF!</definedName>
    <definedName name="BLPR2020040129204514652" hidden="1">'[4]Spread Sheet'!#REF!</definedName>
    <definedName name="BLPR2020040129204514652_1_5" localSheetId="27" hidden="1">'[4]Spread Sheet'!#REF!</definedName>
    <definedName name="BLPR2020040129204514652_1_5" localSheetId="28" hidden="1">'[4]Spread Sheet'!#REF!</definedName>
    <definedName name="BLPR2020040129204514652_1_5" localSheetId="29" hidden="1">'[4]Spread Sheet'!#REF!</definedName>
    <definedName name="BLPR2020040129204514652_1_5" localSheetId="30" hidden="1">'[4]Spread Sheet'!#REF!</definedName>
    <definedName name="BLPR2020040129204514652_1_5" localSheetId="37" hidden="1">'[4]Spread Sheet'!#REF!</definedName>
    <definedName name="BLPR2020040129204514652_1_5" hidden="1">'[4]Spread Sheet'!#REF!</definedName>
    <definedName name="BLPR2020040129204514652_2_5" localSheetId="27" hidden="1">'[4]Spread Sheet'!#REF!</definedName>
    <definedName name="BLPR2020040129204514652_2_5" localSheetId="28" hidden="1">'[4]Spread Sheet'!#REF!</definedName>
    <definedName name="BLPR2020040129204514652_2_5" localSheetId="29" hidden="1">'[4]Spread Sheet'!#REF!</definedName>
    <definedName name="BLPR2020040129204514652_2_5" localSheetId="30" hidden="1">'[4]Spread Sheet'!#REF!</definedName>
    <definedName name="BLPR2020040129204514652_2_5" localSheetId="37" hidden="1">'[4]Spread Sheet'!#REF!</definedName>
    <definedName name="BLPR2020040129204514652_2_5" hidden="1">'[4]Spread Sheet'!#REF!</definedName>
    <definedName name="BLPR2020040129204514652_3_5" localSheetId="27" hidden="1">'[4]Spread Sheet'!#REF!</definedName>
    <definedName name="BLPR2020040129204514652_3_5" localSheetId="28" hidden="1">'[4]Spread Sheet'!#REF!</definedName>
    <definedName name="BLPR2020040129204514652_3_5" localSheetId="29" hidden="1">'[4]Spread Sheet'!#REF!</definedName>
    <definedName name="BLPR2020040129204514652_3_5" localSheetId="30" hidden="1">'[4]Spread Sheet'!#REF!</definedName>
    <definedName name="BLPR2020040129204514652_3_5" localSheetId="37" hidden="1">'[4]Spread Sheet'!#REF!</definedName>
    <definedName name="BLPR2020040129204514652_3_5" hidden="1">'[4]Spread Sheet'!#REF!</definedName>
    <definedName name="BLPR2020040129204514652_4_5" localSheetId="27" hidden="1">'[4]Spread Sheet'!#REF!</definedName>
    <definedName name="BLPR2020040129204514652_4_5" localSheetId="28" hidden="1">'[4]Spread Sheet'!#REF!</definedName>
    <definedName name="BLPR2020040129204514652_4_5" localSheetId="29" hidden="1">'[4]Spread Sheet'!#REF!</definedName>
    <definedName name="BLPR2020040129204514652_4_5" localSheetId="30" hidden="1">'[4]Spread Sheet'!#REF!</definedName>
    <definedName name="BLPR2020040129204514652_4_5" localSheetId="37" hidden="1">'[4]Spread Sheet'!#REF!</definedName>
    <definedName name="BLPR2020040129204514652_4_5" hidden="1">'[4]Spread Sheet'!#REF!</definedName>
    <definedName name="BLPR2020040129204514652_5_5" localSheetId="27" hidden="1">'[4]Spread Sheet'!#REF!</definedName>
    <definedName name="BLPR2020040129204514652_5_5" localSheetId="28" hidden="1">'[4]Spread Sheet'!#REF!</definedName>
    <definedName name="BLPR2020040129204514652_5_5" localSheetId="29" hidden="1">'[4]Spread Sheet'!#REF!</definedName>
    <definedName name="BLPR2020040129204514652_5_5" localSheetId="30" hidden="1">'[4]Spread Sheet'!#REF!</definedName>
    <definedName name="BLPR2020040129204514652_5_5" localSheetId="37" hidden="1">'[4]Spread Sheet'!#REF!</definedName>
    <definedName name="BLPR2020040129204514652_5_5" hidden="1">'[4]Spread Sheet'!#REF!</definedName>
    <definedName name="BLPR2120040129204514652" localSheetId="27" hidden="1">'[4]Spread Sheet'!#REF!</definedName>
    <definedName name="BLPR2120040129204514652" localSheetId="28" hidden="1">'[4]Spread Sheet'!#REF!</definedName>
    <definedName name="BLPR2120040129204514652" localSheetId="29" hidden="1">'[4]Spread Sheet'!#REF!</definedName>
    <definedName name="BLPR2120040129204514652" localSheetId="30" hidden="1">'[4]Spread Sheet'!#REF!</definedName>
    <definedName name="BLPR2120040129204514652" localSheetId="37" hidden="1">'[4]Spread Sheet'!#REF!</definedName>
    <definedName name="BLPR2120040129204514652" hidden="1">'[4]Spread Sheet'!#REF!</definedName>
    <definedName name="BLPR2120040129204514652_1_5" localSheetId="27" hidden="1">'[4]Spread Sheet'!#REF!</definedName>
    <definedName name="BLPR2120040129204514652_1_5" localSheetId="28" hidden="1">'[4]Spread Sheet'!#REF!</definedName>
    <definedName name="BLPR2120040129204514652_1_5" localSheetId="29" hidden="1">'[4]Spread Sheet'!#REF!</definedName>
    <definedName name="BLPR2120040129204514652_1_5" localSheetId="30" hidden="1">'[4]Spread Sheet'!#REF!</definedName>
    <definedName name="BLPR2120040129204514652_1_5" localSheetId="37" hidden="1">'[4]Spread Sheet'!#REF!</definedName>
    <definedName name="BLPR2120040129204514652_1_5" hidden="1">'[4]Spread Sheet'!#REF!</definedName>
    <definedName name="BLPR2120040129204514652_2_5" localSheetId="27" hidden="1">'[4]Spread Sheet'!#REF!</definedName>
    <definedName name="BLPR2120040129204514652_2_5" localSheetId="28" hidden="1">'[4]Spread Sheet'!#REF!</definedName>
    <definedName name="BLPR2120040129204514652_2_5" localSheetId="29" hidden="1">'[4]Spread Sheet'!#REF!</definedName>
    <definedName name="BLPR2120040129204514652_2_5" localSheetId="30" hidden="1">'[4]Spread Sheet'!#REF!</definedName>
    <definedName name="BLPR2120040129204514652_2_5" localSheetId="37" hidden="1">'[4]Spread Sheet'!#REF!</definedName>
    <definedName name="BLPR2120040129204514652_2_5" hidden="1">'[4]Spread Sheet'!#REF!</definedName>
    <definedName name="BLPR2120040129204514652_3_5" localSheetId="27" hidden="1">'[4]Spread Sheet'!#REF!</definedName>
    <definedName name="BLPR2120040129204514652_3_5" localSheetId="28" hidden="1">'[4]Spread Sheet'!#REF!</definedName>
    <definedName name="BLPR2120040129204514652_3_5" localSheetId="29" hidden="1">'[4]Spread Sheet'!#REF!</definedName>
    <definedName name="BLPR2120040129204514652_3_5" localSheetId="30" hidden="1">'[4]Spread Sheet'!#REF!</definedName>
    <definedName name="BLPR2120040129204514652_3_5" localSheetId="37" hidden="1">'[4]Spread Sheet'!#REF!</definedName>
    <definedName name="BLPR2120040129204514652_3_5" hidden="1">'[4]Spread Sheet'!#REF!</definedName>
    <definedName name="BLPR2120040129204514652_4_5" localSheetId="27" hidden="1">'[4]Spread Sheet'!#REF!</definedName>
    <definedName name="BLPR2120040129204514652_4_5" localSheetId="28" hidden="1">'[4]Spread Sheet'!#REF!</definedName>
    <definedName name="BLPR2120040129204514652_4_5" localSheetId="29" hidden="1">'[4]Spread Sheet'!#REF!</definedName>
    <definedName name="BLPR2120040129204514652_4_5" localSheetId="30" hidden="1">'[4]Spread Sheet'!#REF!</definedName>
    <definedName name="BLPR2120040129204514652_4_5" localSheetId="37" hidden="1">'[4]Spread Sheet'!#REF!</definedName>
    <definedName name="BLPR2120040129204514652_4_5" hidden="1">'[4]Spread Sheet'!#REF!</definedName>
    <definedName name="BLPR2120040129204514652_5_5" localSheetId="27" hidden="1">'[4]Spread Sheet'!#REF!</definedName>
    <definedName name="BLPR2120040129204514652_5_5" localSheetId="28" hidden="1">'[4]Spread Sheet'!#REF!</definedName>
    <definedName name="BLPR2120040129204514652_5_5" localSheetId="29" hidden="1">'[4]Spread Sheet'!#REF!</definedName>
    <definedName name="BLPR2120040129204514652_5_5" localSheetId="30" hidden="1">'[4]Spread Sheet'!#REF!</definedName>
    <definedName name="BLPR2120040129204514652_5_5" localSheetId="37" hidden="1">'[4]Spread Sheet'!#REF!</definedName>
    <definedName name="BLPR2120040129204514652_5_5" hidden="1">'[4]Spread Sheet'!#REF!</definedName>
    <definedName name="BLPR220040129203645421" localSheetId="27" hidden="1">'[4]Spread Sheet'!#REF!</definedName>
    <definedName name="BLPR220040129203645421" localSheetId="28" hidden="1">'[4]Spread Sheet'!#REF!</definedName>
    <definedName name="BLPR220040129203645421" localSheetId="29" hidden="1">'[4]Spread Sheet'!#REF!</definedName>
    <definedName name="BLPR220040129203645421" localSheetId="30" hidden="1">'[4]Spread Sheet'!#REF!</definedName>
    <definedName name="BLPR220040129203645421" localSheetId="37" hidden="1">'[4]Spread Sheet'!#REF!</definedName>
    <definedName name="BLPR220040129203645421" hidden="1">'[4]Spread Sheet'!#REF!</definedName>
    <definedName name="BLPR220040129203645421_1_4" localSheetId="27" hidden="1">'[4]Spread Sheet'!#REF!</definedName>
    <definedName name="BLPR220040129203645421_1_4" localSheetId="28" hidden="1">'[4]Spread Sheet'!#REF!</definedName>
    <definedName name="BLPR220040129203645421_1_4" localSheetId="29" hidden="1">'[4]Spread Sheet'!#REF!</definedName>
    <definedName name="BLPR220040129203645421_1_4" localSheetId="30" hidden="1">'[4]Spread Sheet'!#REF!</definedName>
    <definedName name="BLPR220040129203645421_1_4" localSheetId="37" hidden="1">'[4]Spread Sheet'!#REF!</definedName>
    <definedName name="BLPR220040129203645421_1_4" hidden="1">'[4]Spread Sheet'!#REF!</definedName>
    <definedName name="BLPR220040129203645421_2_4" localSheetId="27" hidden="1">'[4]Spread Sheet'!#REF!</definedName>
    <definedName name="BLPR220040129203645421_2_4" localSheetId="28" hidden="1">'[4]Spread Sheet'!#REF!</definedName>
    <definedName name="BLPR220040129203645421_2_4" localSheetId="29" hidden="1">'[4]Spread Sheet'!#REF!</definedName>
    <definedName name="BLPR220040129203645421_2_4" localSheetId="30" hidden="1">'[4]Spread Sheet'!#REF!</definedName>
    <definedName name="BLPR220040129203645421_2_4" localSheetId="37" hidden="1">'[4]Spread Sheet'!#REF!</definedName>
    <definedName name="BLPR220040129203645421_2_4" hidden="1">'[4]Spread Sheet'!#REF!</definedName>
    <definedName name="BLPR220040129203645421_3_4" localSheetId="27" hidden="1">'[4]Spread Sheet'!#REF!</definedName>
    <definedName name="BLPR220040129203645421_3_4" localSheetId="28" hidden="1">'[4]Spread Sheet'!#REF!</definedName>
    <definedName name="BLPR220040129203645421_3_4" localSheetId="29" hidden="1">'[4]Spread Sheet'!#REF!</definedName>
    <definedName name="BLPR220040129203645421_3_4" localSheetId="30" hidden="1">'[4]Spread Sheet'!#REF!</definedName>
    <definedName name="BLPR220040129203645421_3_4" localSheetId="37" hidden="1">'[4]Spread Sheet'!#REF!</definedName>
    <definedName name="BLPR220040129203645421_3_4" hidden="1">'[4]Spread Sheet'!#REF!</definedName>
    <definedName name="BLPR220040129203645421_4_4" localSheetId="27" hidden="1">'[4]Spread Sheet'!#REF!</definedName>
    <definedName name="BLPR220040129203645421_4_4" localSheetId="28" hidden="1">'[4]Spread Sheet'!#REF!</definedName>
    <definedName name="BLPR220040129203645421_4_4" localSheetId="29" hidden="1">'[4]Spread Sheet'!#REF!</definedName>
    <definedName name="BLPR220040129203645421_4_4" localSheetId="30" hidden="1">'[4]Spread Sheet'!#REF!</definedName>
    <definedName name="BLPR220040129203645421_4_4" localSheetId="37" hidden="1">'[4]Spread Sheet'!#REF!</definedName>
    <definedName name="BLPR220040129203645421_4_4" hidden="1">'[4]Spread Sheet'!#REF!</definedName>
    <definedName name="BLPR2220040129204514652" localSheetId="27" hidden="1">'[4]Spread Sheet'!#REF!</definedName>
    <definedName name="BLPR2220040129204514652" localSheetId="28" hidden="1">'[4]Spread Sheet'!#REF!</definedName>
    <definedName name="BLPR2220040129204514652" localSheetId="29" hidden="1">'[4]Spread Sheet'!#REF!</definedName>
    <definedName name="BLPR2220040129204514652" localSheetId="30" hidden="1">'[4]Spread Sheet'!#REF!</definedName>
    <definedName name="BLPR2220040129204514652" localSheetId="37" hidden="1">'[4]Spread Sheet'!#REF!</definedName>
    <definedName name="BLPR2220040129204514652" hidden="1">'[4]Spread Sheet'!#REF!</definedName>
    <definedName name="BLPR2220040129204514652_1_5" localSheetId="27" hidden="1">'[4]Spread Sheet'!#REF!</definedName>
    <definedName name="BLPR2220040129204514652_1_5" localSheetId="28" hidden="1">'[4]Spread Sheet'!#REF!</definedName>
    <definedName name="BLPR2220040129204514652_1_5" localSheetId="29" hidden="1">'[4]Spread Sheet'!#REF!</definedName>
    <definedName name="BLPR2220040129204514652_1_5" localSheetId="30" hidden="1">'[4]Spread Sheet'!#REF!</definedName>
    <definedName name="BLPR2220040129204514652_1_5" localSheetId="37" hidden="1">'[4]Spread Sheet'!#REF!</definedName>
    <definedName name="BLPR2220040129204514652_1_5" hidden="1">'[4]Spread Sheet'!#REF!</definedName>
    <definedName name="BLPR2220040129204514652_2_5" localSheetId="27" hidden="1">'[4]Spread Sheet'!#REF!</definedName>
    <definedName name="BLPR2220040129204514652_2_5" localSheetId="28" hidden="1">'[4]Spread Sheet'!#REF!</definedName>
    <definedName name="BLPR2220040129204514652_2_5" localSheetId="29" hidden="1">'[4]Spread Sheet'!#REF!</definedName>
    <definedName name="BLPR2220040129204514652_2_5" localSheetId="30" hidden="1">'[4]Spread Sheet'!#REF!</definedName>
    <definedName name="BLPR2220040129204514652_2_5" localSheetId="37" hidden="1">'[4]Spread Sheet'!#REF!</definedName>
    <definedName name="BLPR2220040129204514652_2_5" hidden="1">'[4]Spread Sheet'!#REF!</definedName>
    <definedName name="BLPR2220040129204514652_3_5" localSheetId="27" hidden="1">'[4]Spread Sheet'!#REF!</definedName>
    <definedName name="BLPR2220040129204514652_3_5" localSheetId="28" hidden="1">'[4]Spread Sheet'!#REF!</definedName>
    <definedName name="BLPR2220040129204514652_3_5" localSheetId="29" hidden="1">'[4]Spread Sheet'!#REF!</definedName>
    <definedName name="BLPR2220040129204514652_3_5" localSheetId="30" hidden="1">'[4]Spread Sheet'!#REF!</definedName>
    <definedName name="BLPR2220040129204514652_3_5" localSheetId="37" hidden="1">'[4]Spread Sheet'!#REF!</definedName>
    <definedName name="BLPR2220040129204514652_3_5" hidden="1">'[4]Spread Sheet'!#REF!</definedName>
    <definedName name="BLPR2220040129204514652_4_5" localSheetId="27" hidden="1">'[4]Spread Sheet'!#REF!</definedName>
    <definedName name="BLPR2220040129204514652_4_5" localSheetId="28" hidden="1">'[4]Spread Sheet'!#REF!</definedName>
    <definedName name="BLPR2220040129204514652_4_5" localSheetId="29" hidden="1">'[4]Spread Sheet'!#REF!</definedName>
    <definedName name="BLPR2220040129204514652_4_5" localSheetId="30" hidden="1">'[4]Spread Sheet'!#REF!</definedName>
    <definedName name="BLPR2220040129204514652_4_5" localSheetId="37" hidden="1">'[4]Spread Sheet'!#REF!</definedName>
    <definedName name="BLPR2220040129204514652_4_5" hidden="1">'[4]Spread Sheet'!#REF!</definedName>
    <definedName name="BLPR2220040129204514652_5_5" localSheetId="27" hidden="1">'[4]Spread Sheet'!#REF!</definedName>
    <definedName name="BLPR2220040129204514652_5_5" localSheetId="28" hidden="1">'[4]Spread Sheet'!#REF!</definedName>
    <definedName name="BLPR2220040129204514652_5_5" localSheetId="29" hidden="1">'[4]Spread Sheet'!#REF!</definedName>
    <definedName name="BLPR2220040129204514652_5_5" localSheetId="30" hidden="1">'[4]Spread Sheet'!#REF!</definedName>
    <definedName name="BLPR2220040129204514652_5_5" localSheetId="37" hidden="1">'[4]Spread Sheet'!#REF!</definedName>
    <definedName name="BLPR2220040129204514652_5_5" hidden="1">'[4]Spread Sheet'!#REF!</definedName>
    <definedName name="BLPR2320040129204514662" localSheetId="27" hidden="1">'[4]Spread Sheet'!#REF!</definedName>
    <definedName name="BLPR2320040129204514662" localSheetId="28" hidden="1">'[4]Spread Sheet'!#REF!</definedName>
    <definedName name="BLPR2320040129204514662" localSheetId="29" hidden="1">'[4]Spread Sheet'!#REF!</definedName>
    <definedName name="BLPR2320040129204514662" localSheetId="30" hidden="1">'[4]Spread Sheet'!#REF!</definedName>
    <definedName name="BLPR2320040129204514662" localSheetId="37" hidden="1">'[4]Spread Sheet'!#REF!</definedName>
    <definedName name="BLPR2320040129204514662" hidden="1">'[4]Spread Sheet'!#REF!</definedName>
    <definedName name="BLPR2320040129204514662_1_5" localSheetId="27" hidden="1">'[4]Spread Sheet'!#REF!</definedName>
    <definedName name="BLPR2320040129204514662_1_5" localSheetId="28" hidden="1">'[4]Spread Sheet'!#REF!</definedName>
    <definedName name="BLPR2320040129204514662_1_5" localSheetId="29" hidden="1">'[4]Spread Sheet'!#REF!</definedName>
    <definedName name="BLPR2320040129204514662_1_5" localSheetId="30" hidden="1">'[4]Spread Sheet'!#REF!</definedName>
    <definedName name="BLPR2320040129204514662_1_5" localSheetId="37" hidden="1">'[4]Spread Sheet'!#REF!</definedName>
    <definedName name="BLPR2320040129204514662_1_5" hidden="1">'[4]Spread Sheet'!#REF!</definedName>
    <definedName name="BLPR2320040129204514662_2_5" localSheetId="27" hidden="1">'[4]Spread Sheet'!#REF!</definedName>
    <definedName name="BLPR2320040129204514662_2_5" localSheetId="28" hidden="1">'[4]Spread Sheet'!#REF!</definedName>
    <definedName name="BLPR2320040129204514662_2_5" localSheetId="29" hidden="1">'[4]Spread Sheet'!#REF!</definedName>
    <definedName name="BLPR2320040129204514662_2_5" localSheetId="30" hidden="1">'[4]Spread Sheet'!#REF!</definedName>
    <definedName name="BLPR2320040129204514662_2_5" localSheetId="37" hidden="1">'[4]Spread Sheet'!#REF!</definedName>
    <definedName name="BLPR2320040129204514662_2_5" hidden="1">'[4]Spread Sheet'!#REF!</definedName>
    <definedName name="BLPR2320040129204514662_3_5" localSheetId="27" hidden="1">'[4]Spread Sheet'!#REF!</definedName>
    <definedName name="BLPR2320040129204514662_3_5" localSheetId="28" hidden="1">'[4]Spread Sheet'!#REF!</definedName>
    <definedName name="BLPR2320040129204514662_3_5" localSheetId="29" hidden="1">'[4]Spread Sheet'!#REF!</definedName>
    <definedName name="BLPR2320040129204514662_3_5" localSheetId="30" hidden="1">'[4]Spread Sheet'!#REF!</definedName>
    <definedName name="BLPR2320040129204514662_3_5" localSheetId="37" hidden="1">'[4]Spread Sheet'!#REF!</definedName>
    <definedName name="BLPR2320040129204514662_3_5" hidden="1">'[4]Spread Sheet'!#REF!</definedName>
    <definedName name="BLPR2320040129204514662_4_5" localSheetId="27" hidden="1">'[4]Spread Sheet'!#REF!</definedName>
    <definedName name="BLPR2320040129204514662_4_5" localSheetId="28" hidden="1">'[4]Spread Sheet'!#REF!</definedName>
    <definedName name="BLPR2320040129204514662_4_5" localSheetId="29" hidden="1">'[4]Spread Sheet'!#REF!</definedName>
    <definedName name="BLPR2320040129204514662_4_5" localSheetId="30" hidden="1">'[4]Spread Sheet'!#REF!</definedName>
    <definedName name="BLPR2320040129204514662_4_5" localSheetId="37" hidden="1">'[4]Spread Sheet'!#REF!</definedName>
    <definedName name="BLPR2320040129204514662_4_5" hidden="1">'[4]Spread Sheet'!#REF!</definedName>
    <definedName name="BLPR2320040129204514662_5_5" localSheetId="27" hidden="1">'[4]Spread Sheet'!#REF!</definedName>
    <definedName name="BLPR2320040129204514662_5_5" localSheetId="28" hidden="1">'[4]Spread Sheet'!#REF!</definedName>
    <definedName name="BLPR2320040129204514662_5_5" localSheetId="29" hidden="1">'[4]Spread Sheet'!#REF!</definedName>
    <definedName name="BLPR2320040129204514662_5_5" localSheetId="30" hidden="1">'[4]Spread Sheet'!#REF!</definedName>
    <definedName name="BLPR2320040129204514662_5_5" localSheetId="37" hidden="1">'[4]Spread Sheet'!#REF!</definedName>
    <definedName name="BLPR2320040129204514662_5_5" hidden="1">'[4]Spread Sheet'!#REF!</definedName>
    <definedName name="BLPR2420040129204514662" localSheetId="27" hidden="1">'[4]Spread Sheet'!#REF!</definedName>
    <definedName name="BLPR2420040129204514662" localSheetId="28" hidden="1">'[4]Spread Sheet'!#REF!</definedName>
    <definedName name="BLPR2420040129204514662" localSheetId="29" hidden="1">'[4]Spread Sheet'!#REF!</definedName>
    <definedName name="BLPR2420040129204514662" localSheetId="30" hidden="1">'[4]Spread Sheet'!#REF!</definedName>
    <definedName name="BLPR2420040129204514662" localSheetId="37" hidden="1">'[4]Spread Sheet'!#REF!</definedName>
    <definedName name="BLPR2420040129204514662" hidden="1">'[4]Spread Sheet'!#REF!</definedName>
    <definedName name="BLPR2420040129204514662_1_5" localSheetId="27" hidden="1">'[4]Spread Sheet'!#REF!</definedName>
    <definedName name="BLPR2420040129204514662_1_5" localSheetId="28" hidden="1">'[4]Spread Sheet'!#REF!</definedName>
    <definedName name="BLPR2420040129204514662_1_5" localSheetId="29" hidden="1">'[4]Spread Sheet'!#REF!</definedName>
    <definedName name="BLPR2420040129204514662_1_5" localSheetId="30" hidden="1">'[4]Spread Sheet'!#REF!</definedName>
    <definedName name="BLPR2420040129204514662_1_5" localSheetId="37" hidden="1">'[4]Spread Sheet'!#REF!</definedName>
    <definedName name="BLPR2420040129204514662_1_5" hidden="1">'[4]Spread Sheet'!#REF!</definedName>
    <definedName name="BLPR2420040129204514662_2_5" localSheetId="27" hidden="1">'[4]Spread Sheet'!#REF!</definedName>
    <definedName name="BLPR2420040129204514662_2_5" localSheetId="28" hidden="1">'[4]Spread Sheet'!#REF!</definedName>
    <definedName name="BLPR2420040129204514662_2_5" localSheetId="29" hidden="1">'[4]Spread Sheet'!#REF!</definedName>
    <definedName name="BLPR2420040129204514662_2_5" localSheetId="30" hidden="1">'[4]Spread Sheet'!#REF!</definedName>
    <definedName name="BLPR2420040129204514662_2_5" localSheetId="37" hidden="1">'[4]Spread Sheet'!#REF!</definedName>
    <definedName name="BLPR2420040129204514662_2_5" hidden="1">'[4]Spread Sheet'!#REF!</definedName>
    <definedName name="BLPR2420040129204514662_3_5" localSheetId="27" hidden="1">'[4]Spread Sheet'!#REF!</definedName>
    <definedName name="BLPR2420040129204514662_3_5" localSheetId="28" hidden="1">'[4]Spread Sheet'!#REF!</definedName>
    <definedName name="BLPR2420040129204514662_3_5" localSheetId="29" hidden="1">'[4]Spread Sheet'!#REF!</definedName>
    <definedName name="BLPR2420040129204514662_3_5" localSheetId="30" hidden="1">'[4]Spread Sheet'!#REF!</definedName>
    <definedName name="BLPR2420040129204514662_3_5" localSheetId="37" hidden="1">'[4]Spread Sheet'!#REF!</definedName>
    <definedName name="BLPR2420040129204514662_3_5" hidden="1">'[4]Spread Sheet'!#REF!</definedName>
    <definedName name="BLPR2420040129204514662_4_5" localSheetId="27" hidden="1">'[4]Spread Sheet'!#REF!</definedName>
    <definedName name="BLPR2420040129204514662_4_5" localSheetId="28" hidden="1">'[4]Spread Sheet'!#REF!</definedName>
    <definedName name="BLPR2420040129204514662_4_5" localSheetId="29" hidden="1">'[4]Spread Sheet'!#REF!</definedName>
    <definedName name="BLPR2420040129204514662_4_5" localSheetId="30" hidden="1">'[4]Spread Sheet'!#REF!</definedName>
    <definedName name="BLPR2420040129204514662_4_5" localSheetId="37" hidden="1">'[4]Spread Sheet'!#REF!</definedName>
    <definedName name="BLPR2420040129204514662_4_5" hidden="1">'[4]Spread Sheet'!#REF!</definedName>
    <definedName name="BLPR2420040129204514662_5_5" localSheetId="27" hidden="1">'[4]Spread Sheet'!#REF!</definedName>
    <definedName name="BLPR2420040129204514662_5_5" localSheetId="28" hidden="1">'[4]Spread Sheet'!#REF!</definedName>
    <definedName name="BLPR2420040129204514662_5_5" localSheetId="29" hidden="1">'[4]Spread Sheet'!#REF!</definedName>
    <definedName name="BLPR2420040129204514662_5_5" localSheetId="30" hidden="1">'[4]Spread Sheet'!#REF!</definedName>
    <definedName name="BLPR2420040129204514662_5_5" localSheetId="37" hidden="1">'[4]Spread Sheet'!#REF!</definedName>
    <definedName name="BLPR2420040129204514662_5_5" hidden="1">'[4]Spread Sheet'!#REF!</definedName>
    <definedName name="BLPR2520040129204514662" localSheetId="27" hidden="1">'[4]Spread Sheet'!#REF!</definedName>
    <definedName name="BLPR2520040129204514662" localSheetId="28" hidden="1">'[4]Spread Sheet'!#REF!</definedName>
    <definedName name="BLPR2520040129204514662" localSheetId="29" hidden="1">'[4]Spread Sheet'!#REF!</definedName>
    <definedName name="BLPR2520040129204514662" localSheetId="30" hidden="1">'[4]Spread Sheet'!#REF!</definedName>
    <definedName name="BLPR2520040129204514662" localSheetId="37" hidden="1">'[4]Spread Sheet'!#REF!</definedName>
    <definedName name="BLPR2520040129204514662" hidden="1">'[4]Spread Sheet'!#REF!</definedName>
    <definedName name="BLPR2520040129204514662_1_5" localSheetId="27" hidden="1">'[4]Spread Sheet'!#REF!</definedName>
    <definedName name="BLPR2520040129204514662_1_5" localSheetId="28" hidden="1">'[4]Spread Sheet'!#REF!</definedName>
    <definedName name="BLPR2520040129204514662_1_5" localSheetId="29" hidden="1">'[4]Spread Sheet'!#REF!</definedName>
    <definedName name="BLPR2520040129204514662_1_5" localSheetId="30" hidden="1">'[4]Spread Sheet'!#REF!</definedName>
    <definedName name="BLPR2520040129204514662_1_5" localSheetId="37" hidden="1">'[4]Spread Sheet'!#REF!</definedName>
    <definedName name="BLPR2520040129204514662_1_5" hidden="1">'[4]Spread Sheet'!#REF!</definedName>
    <definedName name="BLPR2520040129204514662_2_5" localSheetId="27" hidden="1">'[4]Spread Sheet'!#REF!</definedName>
    <definedName name="BLPR2520040129204514662_2_5" localSheetId="28" hidden="1">'[4]Spread Sheet'!#REF!</definedName>
    <definedName name="BLPR2520040129204514662_2_5" localSheetId="29" hidden="1">'[4]Spread Sheet'!#REF!</definedName>
    <definedName name="BLPR2520040129204514662_2_5" localSheetId="30" hidden="1">'[4]Spread Sheet'!#REF!</definedName>
    <definedName name="BLPR2520040129204514662_2_5" localSheetId="37" hidden="1">'[4]Spread Sheet'!#REF!</definedName>
    <definedName name="BLPR2520040129204514662_2_5" hidden="1">'[4]Spread Sheet'!#REF!</definedName>
    <definedName name="BLPR2520040129204514662_3_5" localSheetId="27" hidden="1">'[4]Spread Sheet'!#REF!</definedName>
    <definedName name="BLPR2520040129204514662_3_5" localSheetId="28" hidden="1">'[4]Spread Sheet'!#REF!</definedName>
    <definedName name="BLPR2520040129204514662_3_5" localSheetId="29" hidden="1">'[4]Spread Sheet'!#REF!</definedName>
    <definedName name="BLPR2520040129204514662_3_5" localSheetId="30" hidden="1">'[4]Spread Sheet'!#REF!</definedName>
    <definedName name="BLPR2520040129204514662_3_5" localSheetId="37" hidden="1">'[4]Spread Sheet'!#REF!</definedName>
    <definedName name="BLPR2520040129204514662_3_5" hidden="1">'[4]Spread Sheet'!#REF!</definedName>
    <definedName name="BLPR2520040129204514662_4_5" localSheetId="27" hidden="1">'[4]Spread Sheet'!#REF!</definedName>
    <definedName name="BLPR2520040129204514662_4_5" localSheetId="28" hidden="1">'[4]Spread Sheet'!#REF!</definedName>
    <definedName name="BLPR2520040129204514662_4_5" localSheetId="29" hidden="1">'[4]Spread Sheet'!#REF!</definedName>
    <definedName name="BLPR2520040129204514662_4_5" localSheetId="30" hidden="1">'[4]Spread Sheet'!#REF!</definedName>
    <definedName name="BLPR2520040129204514662_4_5" localSheetId="37" hidden="1">'[4]Spread Sheet'!#REF!</definedName>
    <definedName name="BLPR2520040129204514662_4_5" hidden="1">'[4]Spread Sheet'!#REF!</definedName>
    <definedName name="BLPR2520040129204514662_5_5" localSheetId="27" hidden="1">'[4]Spread Sheet'!#REF!</definedName>
    <definedName name="BLPR2520040129204514662_5_5" localSheetId="28" hidden="1">'[4]Spread Sheet'!#REF!</definedName>
    <definedName name="BLPR2520040129204514662_5_5" localSheetId="29" hidden="1">'[4]Spread Sheet'!#REF!</definedName>
    <definedName name="BLPR2520040129204514662_5_5" localSheetId="30" hidden="1">'[4]Spread Sheet'!#REF!</definedName>
    <definedName name="BLPR2520040129204514662_5_5" localSheetId="37" hidden="1">'[4]Spread Sheet'!#REF!</definedName>
    <definedName name="BLPR2520040129204514662_5_5" hidden="1">'[4]Spread Sheet'!#REF!</definedName>
    <definedName name="BLPR2620040129204514662" localSheetId="27" hidden="1">'[4]Spread Sheet'!#REF!</definedName>
    <definedName name="BLPR2620040129204514662" localSheetId="28" hidden="1">'[4]Spread Sheet'!#REF!</definedName>
    <definedName name="BLPR2620040129204514662" localSheetId="29" hidden="1">'[4]Spread Sheet'!#REF!</definedName>
    <definedName name="BLPR2620040129204514662" localSheetId="30" hidden="1">'[4]Spread Sheet'!#REF!</definedName>
    <definedName name="BLPR2620040129204514662" localSheetId="37" hidden="1">'[4]Spread Sheet'!#REF!</definedName>
    <definedName name="BLPR2620040129204514662" hidden="1">'[4]Spread Sheet'!#REF!</definedName>
    <definedName name="BLPR2620040129204514662_1_5" localSheetId="27" hidden="1">'[4]Spread Sheet'!#REF!</definedName>
    <definedName name="BLPR2620040129204514662_1_5" localSheetId="28" hidden="1">'[4]Spread Sheet'!#REF!</definedName>
    <definedName name="BLPR2620040129204514662_1_5" localSheetId="29" hidden="1">'[4]Spread Sheet'!#REF!</definedName>
    <definedName name="BLPR2620040129204514662_1_5" localSheetId="30" hidden="1">'[4]Spread Sheet'!#REF!</definedName>
    <definedName name="BLPR2620040129204514662_1_5" localSheetId="37" hidden="1">'[4]Spread Sheet'!#REF!</definedName>
    <definedName name="BLPR2620040129204514662_1_5" hidden="1">'[4]Spread Sheet'!#REF!</definedName>
    <definedName name="BLPR2620040129204514662_2_5" localSheetId="27" hidden="1">'[4]Spread Sheet'!#REF!</definedName>
    <definedName name="BLPR2620040129204514662_2_5" localSheetId="28" hidden="1">'[4]Spread Sheet'!#REF!</definedName>
    <definedName name="BLPR2620040129204514662_2_5" localSheetId="29" hidden="1">'[4]Spread Sheet'!#REF!</definedName>
    <definedName name="BLPR2620040129204514662_2_5" localSheetId="30" hidden="1">'[4]Spread Sheet'!#REF!</definedName>
    <definedName name="BLPR2620040129204514662_2_5" localSheetId="37" hidden="1">'[4]Spread Sheet'!#REF!</definedName>
    <definedName name="BLPR2620040129204514662_2_5" hidden="1">'[4]Spread Sheet'!#REF!</definedName>
    <definedName name="BLPR2620040129204514662_3_5" localSheetId="27" hidden="1">'[4]Spread Sheet'!#REF!</definedName>
    <definedName name="BLPR2620040129204514662_3_5" localSheetId="28" hidden="1">'[4]Spread Sheet'!#REF!</definedName>
    <definedName name="BLPR2620040129204514662_3_5" localSheetId="29" hidden="1">'[4]Spread Sheet'!#REF!</definedName>
    <definedName name="BLPR2620040129204514662_3_5" localSheetId="30" hidden="1">'[4]Spread Sheet'!#REF!</definedName>
    <definedName name="BLPR2620040129204514662_3_5" localSheetId="37" hidden="1">'[4]Spread Sheet'!#REF!</definedName>
    <definedName name="BLPR2620040129204514662_3_5" hidden="1">'[4]Spread Sheet'!#REF!</definedName>
    <definedName name="BLPR2620040129204514662_4_5" localSheetId="27" hidden="1">'[4]Spread Sheet'!#REF!</definedName>
    <definedName name="BLPR2620040129204514662_4_5" localSheetId="28" hidden="1">'[4]Spread Sheet'!#REF!</definedName>
    <definedName name="BLPR2620040129204514662_4_5" localSheetId="29" hidden="1">'[4]Spread Sheet'!#REF!</definedName>
    <definedName name="BLPR2620040129204514662_4_5" localSheetId="30" hidden="1">'[4]Spread Sheet'!#REF!</definedName>
    <definedName name="BLPR2620040129204514662_4_5" localSheetId="37" hidden="1">'[4]Spread Sheet'!#REF!</definedName>
    <definedName name="BLPR2620040129204514662_4_5" hidden="1">'[4]Spread Sheet'!#REF!</definedName>
    <definedName name="BLPR2620040129204514662_5_5" localSheetId="27" hidden="1">'[4]Spread Sheet'!#REF!</definedName>
    <definedName name="BLPR2620040129204514662_5_5" localSheetId="28" hidden="1">'[4]Spread Sheet'!#REF!</definedName>
    <definedName name="BLPR2620040129204514662_5_5" localSheetId="29" hidden="1">'[4]Spread Sheet'!#REF!</definedName>
    <definedName name="BLPR2620040129204514662_5_5" localSheetId="30" hidden="1">'[4]Spread Sheet'!#REF!</definedName>
    <definedName name="BLPR2620040129204514662_5_5" localSheetId="37" hidden="1">'[4]Spread Sheet'!#REF!</definedName>
    <definedName name="BLPR2620040129204514662_5_5" hidden="1">'[4]Spread Sheet'!#REF!</definedName>
    <definedName name="BLPR2720040129204514662" localSheetId="27" hidden="1">'[4]Spread Sheet'!#REF!</definedName>
    <definedName name="BLPR2720040129204514662" localSheetId="28" hidden="1">'[4]Spread Sheet'!#REF!</definedName>
    <definedName name="BLPR2720040129204514662" localSheetId="29" hidden="1">'[4]Spread Sheet'!#REF!</definedName>
    <definedName name="BLPR2720040129204514662" localSheetId="30" hidden="1">'[4]Spread Sheet'!#REF!</definedName>
    <definedName name="BLPR2720040129204514662" localSheetId="37" hidden="1">'[4]Spread Sheet'!#REF!</definedName>
    <definedName name="BLPR2720040129204514662" hidden="1">'[4]Spread Sheet'!#REF!</definedName>
    <definedName name="BLPR2720040129204514662_1_5" localSheetId="27" hidden="1">'[4]Spread Sheet'!#REF!</definedName>
    <definedName name="BLPR2720040129204514662_1_5" localSheetId="28" hidden="1">'[4]Spread Sheet'!#REF!</definedName>
    <definedName name="BLPR2720040129204514662_1_5" localSheetId="29" hidden="1">'[4]Spread Sheet'!#REF!</definedName>
    <definedName name="BLPR2720040129204514662_1_5" localSheetId="30" hidden="1">'[4]Spread Sheet'!#REF!</definedName>
    <definedName name="BLPR2720040129204514662_1_5" localSheetId="37" hidden="1">'[4]Spread Sheet'!#REF!</definedName>
    <definedName name="BLPR2720040129204514662_1_5" hidden="1">'[4]Spread Sheet'!#REF!</definedName>
    <definedName name="BLPR2720040129204514662_2_5" localSheetId="27" hidden="1">'[4]Spread Sheet'!#REF!</definedName>
    <definedName name="BLPR2720040129204514662_2_5" localSheetId="28" hidden="1">'[4]Spread Sheet'!#REF!</definedName>
    <definedName name="BLPR2720040129204514662_2_5" localSheetId="29" hidden="1">'[4]Spread Sheet'!#REF!</definedName>
    <definedName name="BLPR2720040129204514662_2_5" localSheetId="30" hidden="1">'[4]Spread Sheet'!#REF!</definedName>
    <definedName name="BLPR2720040129204514662_2_5" localSheetId="37" hidden="1">'[4]Spread Sheet'!#REF!</definedName>
    <definedName name="BLPR2720040129204514662_2_5" hidden="1">'[4]Spread Sheet'!#REF!</definedName>
    <definedName name="BLPR2720040129204514662_3_5" localSheetId="27" hidden="1">'[4]Spread Sheet'!#REF!</definedName>
    <definedName name="BLPR2720040129204514662_3_5" localSheetId="28" hidden="1">'[4]Spread Sheet'!#REF!</definedName>
    <definedName name="BLPR2720040129204514662_3_5" localSheetId="29" hidden="1">'[4]Spread Sheet'!#REF!</definedName>
    <definedName name="BLPR2720040129204514662_3_5" localSheetId="30" hidden="1">'[4]Spread Sheet'!#REF!</definedName>
    <definedName name="BLPR2720040129204514662_3_5" localSheetId="37" hidden="1">'[4]Spread Sheet'!#REF!</definedName>
    <definedName name="BLPR2720040129204514662_3_5" hidden="1">'[4]Spread Sheet'!#REF!</definedName>
    <definedName name="BLPR2720040129204514662_4_5" localSheetId="27" hidden="1">'[4]Spread Sheet'!#REF!</definedName>
    <definedName name="BLPR2720040129204514662_4_5" localSheetId="28" hidden="1">'[4]Spread Sheet'!#REF!</definedName>
    <definedName name="BLPR2720040129204514662_4_5" localSheetId="29" hidden="1">'[4]Spread Sheet'!#REF!</definedName>
    <definedName name="BLPR2720040129204514662_4_5" localSheetId="30" hidden="1">'[4]Spread Sheet'!#REF!</definedName>
    <definedName name="BLPR2720040129204514662_4_5" localSheetId="37" hidden="1">'[4]Spread Sheet'!#REF!</definedName>
    <definedName name="BLPR2720040129204514662_4_5" hidden="1">'[4]Spread Sheet'!#REF!</definedName>
    <definedName name="BLPR2720040129204514662_5_5" localSheetId="27" hidden="1">'[4]Spread Sheet'!#REF!</definedName>
    <definedName name="BLPR2720040129204514662_5_5" localSheetId="28" hidden="1">'[4]Spread Sheet'!#REF!</definedName>
    <definedName name="BLPR2720040129204514662_5_5" localSheetId="29" hidden="1">'[4]Spread Sheet'!#REF!</definedName>
    <definedName name="BLPR2720040129204514662_5_5" localSheetId="30" hidden="1">'[4]Spread Sheet'!#REF!</definedName>
    <definedName name="BLPR2720040129204514662_5_5" localSheetId="37" hidden="1">'[4]Spread Sheet'!#REF!</definedName>
    <definedName name="BLPR2720040129204514662_5_5" hidden="1">'[4]Spread Sheet'!#REF!</definedName>
    <definedName name="BLPR2820040129204514662" localSheetId="27" hidden="1">'[4]Spread Sheet'!#REF!</definedName>
    <definedName name="BLPR2820040129204514662" localSheetId="28" hidden="1">'[4]Spread Sheet'!#REF!</definedName>
    <definedName name="BLPR2820040129204514662" localSheetId="29" hidden="1">'[4]Spread Sheet'!#REF!</definedName>
    <definedName name="BLPR2820040129204514662" localSheetId="30" hidden="1">'[4]Spread Sheet'!#REF!</definedName>
    <definedName name="BLPR2820040129204514662" localSheetId="37" hidden="1">'[4]Spread Sheet'!#REF!</definedName>
    <definedName name="BLPR2820040129204514662" hidden="1">'[4]Spread Sheet'!#REF!</definedName>
    <definedName name="BLPR2820040129204514662_1_5" localSheetId="27" hidden="1">'[4]Spread Sheet'!#REF!</definedName>
    <definedName name="BLPR2820040129204514662_1_5" localSheetId="28" hidden="1">'[4]Spread Sheet'!#REF!</definedName>
    <definedName name="BLPR2820040129204514662_1_5" localSheetId="29" hidden="1">'[4]Spread Sheet'!#REF!</definedName>
    <definedName name="BLPR2820040129204514662_1_5" localSheetId="30" hidden="1">'[4]Spread Sheet'!#REF!</definedName>
    <definedName name="BLPR2820040129204514662_1_5" localSheetId="37" hidden="1">'[4]Spread Sheet'!#REF!</definedName>
    <definedName name="BLPR2820040129204514662_1_5" hidden="1">'[4]Spread Sheet'!#REF!</definedName>
    <definedName name="BLPR2820040129204514662_2_5" localSheetId="27" hidden="1">'[4]Spread Sheet'!#REF!</definedName>
    <definedName name="BLPR2820040129204514662_2_5" localSheetId="28" hidden="1">'[4]Spread Sheet'!#REF!</definedName>
    <definedName name="BLPR2820040129204514662_2_5" localSheetId="29" hidden="1">'[4]Spread Sheet'!#REF!</definedName>
    <definedName name="BLPR2820040129204514662_2_5" localSheetId="30" hidden="1">'[4]Spread Sheet'!#REF!</definedName>
    <definedName name="BLPR2820040129204514662_2_5" localSheetId="37" hidden="1">'[4]Spread Sheet'!#REF!</definedName>
    <definedName name="BLPR2820040129204514662_2_5" hidden="1">'[4]Spread Sheet'!#REF!</definedName>
    <definedName name="BLPR2820040129204514662_3_5" localSheetId="27" hidden="1">'[4]Spread Sheet'!#REF!</definedName>
    <definedName name="BLPR2820040129204514662_3_5" localSheetId="28" hidden="1">'[4]Spread Sheet'!#REF!</definedName>
    <definedName name="BLPR2820040129204514662_3_5" localSheetId="29" hidden="1">'[4]Spread Sheet'!#REF!</definedName>
    <definedName name="BLPR2820040129204514662_3_5" localSheetId="30" hidden="1">'[4]Spread Sheet'!#REF!</definedName>
    <definedName name="BLPR2820040129204514662_3_5" localSheetId="37" hidden="1">'[4]Spread Sheet'!#REF!</definedName>
    <definedName name="BLPR2820040129204514662_3_5" hidden="1">'[4]Spread Sheet'!#REF!</definedName>
    <definedName name="BLPR2820040129204514662_4_5" localSheetId="27" hidden="1">'[4]Spread Sheet'!#REF!</definedName>
    <definedName name="BLPR2820040129204514662_4_5" localSheetId="28" hidden="1">'[4]Spread Sheet'!#REF!</definedName>
    <definedName name="BLPR2820040129204514662_4_5" localSheetId="29" hidden="1">'[4]Spread Sheet'!#REF!</definedName>
    <definedName name="BLPR2820040129204514662_4_5" localSheetId="30" hidden="1">'[4]Spread Sheet'!#REF!</definedName>
    <definedName name="BLPR2820040129204514662_4_5" localSheetId="37" hidden="1">'[4]Spread Sheet'!#REF!</definedName>
    <definedName name="BLPR2820040129204514662_4_5" hidden="1">'[4]Spread Sheet'!#REF!</definedName>
    <definedName name="BLPR2820040129204514662_5_5" localSheetId="27" hidden="1">'[4]Spread Sheet'!#REF!</definedName>
    <definedName name="BLPR2820040129204514662_5_5" localSheetId="28" hidden="1">'[4]Spread Sheet'!#REF!</definedName>
    <definedName name="BLPR2820040129204514662_5_5" localSheetId="29" hidden="1">'[4]Spread Sheet'!#REF!</definedName>
    <definedName name="BLPR2820040129204514662_5_5" localSheetId="30" hidden="1">'[4]Spread Sheet'!#REF!</definedName>
    <definedName name="BLPR2820040129204514662_5_5" localSheetId="37" hidden="1">'[4]Spread Sheet'!#REF!</definedName>
    <definedName name="BLPR2820040129204514662_5_5" hidden="1">'[4]Spread Sheet'!#REF!</definedName>
    <definedName name="BLPR2920040129204514662" localSheetId="27" hidden="1">'[4]Spread Sheet'!#REF!</definedName>
    <definedName name="BLPR2920040129204514662" localSheetId="28" hidden="1">'[4]Spread Sheet'!#REF!</definedName>
    <definedName name="BLPR2920040129204514662" localSheetId="29" hidden="1">'[4]Spread Sheet'!#REF!</definedName>
    <definedName name="BLPR2920040129204514662" localSheetId="30" hidden="1">'[4]Spread Sheet'!#REF!</definedName>
    <definedName name="BLPR2920040129204514662" localSheetId="37" hidden="1">'[4]Spread Sheet'!#REF!</definedName>
    <definedName name="BLPR2920040129204514662" hidden="1">'[4]Spread Sheet'!#REF!</definedName>
    <definedName name="BLPR2920040129204514662_1_5" localSheetId="27" hidden="1">'[4]Spread Sheet'!#REF!</definedName>
    <definedName name="BLPR2920040129204514662_1_5" localSheetId="28" hidden="1">'[4]Spread Sheet'!#REF!</definedName>
    <definedName name="BLPR2920040129204514662_1_5" localSheetId="29" hidden="1">'[4]Spread Sheet'!#REF!</definedName>
    <definedName name="BLPR2920040129204514662_1_5" localSheetId="30" hidden="1">'[4]Spread Sheet'!#REF!</definedName>
    <definedName name="BLPR2920040129204514662_1_5" localSheetId="37" hidden="1">'[4]Spread Sheet'!#REF!</definedName>
    <definedName name="BLPR2920040129204514662_1_5" hidden="1">'[4]Spread Sheet'!#REF!</definedName>
    <definedName name="BLPR2920040129204514662_2_5" localSheetId="27" hidden="1">'[4]Spread Sheet'!#REF!</definedName>
    <definedName name="BLPR2920040129204514662_2_5" localSheetId="28" hidden="1">'[4]Spread Sheet'!#REF!</definedName>
    <definedName name="BLPR2920040129204514662_2_5" localSheetId="29" hidden="1">'[4]Spread Sheet'!#REF!</definedName>
    <definedName name="BLPR2920040129204514662_2_5" localSheetId="30" hidden="1">'[4]Spread Sheet'!#REF!</definedName>
    <definedName name="BLPR2920040129204514662_2_5" localSheetId="37" hidden="1">'[4]Spread Sheet'!#REF!</definedName>
    <definedName name="BLPR2920040129204514662_2_5" hidden="1">'[4]Spread Sheet'!#REF!</definedName>
    <definedName name="BLPR2920040129204514662_3_5" localSheetId="27" hidden="1">'[4]Spread Sheet'!#REF!</definedName>
    <definedName name="BLPR2920040129204514662_3_5" localSheetId="28" hidden="1">'[4]Spread Sheet'!#REF!</definedName>
    <definedName name="BLPR2920040129204514662_3_5" localSheetId="29" hidden="1">'[4]Spread Sheet'!#REF!</definedName>
    <definedName name="BLPR2920040129204514662_3_5" localSheetId="30" hidden="1">'[4]Spread Sheet'!#REF!</definedName>
    <definedName name="BLPR2920040129204514662_3_5" localSheetId="37" hidden="1">'[4]Spread Sheet'!#REF!</definedName>
    <definedName name="BLPR2920040129204514662_3_5" hidden="1">'[4]Spread Sheet'!#REF!</definedName>
    <definedName name="BLPR2920040129204514662_4_5" localSheetId="27" hidden="1">'[4]Spread Sheet'!#REF!</definedName>
    <definedName name="BLPR2920040129204514662_4_5" localSheetId="28" hidden="1">'[4]Spread Sheet'!#REF!</definedName>
    <definedName name="BLPR2920040129204514662_4_5" localSheetId="29" hidden="1">'[4]Spread Sheet'!#REF!</definedName>
    <definedName name="BLPR2920040129204514662_4_5" localSheetId="30" hidden="1">'[4]Spread Sheet'!#REF!</definedName>
    <definedName name="BLPR2920040129204514662_4_5" localSheetId="37" hidden="1">'[4]Spread Sheet'!#REF!</definedName>
    <definedName name="BLPR2920040129204514662_4_5" hidden="1">'[4]Spread Sheet'!#REF!</definedName>
    <definedName name="BLPR2920040129204514662_5_5" localSheetId="27" hidden="1">'[4]Spread Sheet'!#REF!</definedName>
    <definedName name="BLPR2920040129204514662_5_5" localSheetId="28" hidden="1">'[4]Spread Sheet'!#REF!</definedName>
    <definedName name="BLPR2920040129204514662_5_5" localSheetId="29" hidden="1">'[4]Spread Sheet'!#REF!</definedName>
    <definedName name="BLPR2920040129204514662_5_5" localSheetId="30" hidden="1">'[4]Spread Sheet'!#REF!</definedName>
    <definedName name="BLPR2920040129204514662_5_5" localSheetId="37" hidden="1">'[4]Spread Sheet'!#REF!</definedName>
    <definedName name="BLPR2920040129204514662_5_5" hidden="1">'[4]Spread Sheet'!#REF!</definedName>
    <definedName name="BLPR3020040129204514672" localSheetId="27" hidden="1">'[4]Spread Sheet'!#REF!</definedName>
    <definedName name="BLPR3020040129204514672" localSheetId="28" hidden="1">'[4]Spread Sheet'!#REF!</definedName>
    <definedName name="BLPR3020040129204514672" localSheetId="29" hidden="1">'[4]Spread Sheet'!#REF!</definedName>
    <definedName name="BLPR3020040129204514672" localSheetId="30" hidden="1">'[4]Spread Sheet'!#REF!</definedName>
    <definedName name="BLPR3020040129204514672" localSheetId="37" hidden="1">'[4]Spread Sheet'!#REF!</definedName>
    <definedName name="BLPR3020040129204514672" hidden="1">'[4]Spread Sheet'!#REF!</definedName>
    <definedName name="BLPR3020040129204514672_1_5" localSheetId="27" hidden="1">'[4]Spread Sheet'!#REF!</definedName>
    <definedName name="BLPR3020040129204514672_1_5" localSheetId="28" hidden="1">'[4]Spread Sheet'!#REF!</definedName>
    <definedName name="BLPR3020040129204514672_1_5" localSheetId="29" hidden="1">'[4]Spread Sheet'!#REF!</definedName>
    <definedName name="BLPR3020040129204514672_1_5" localSheetId="30" hidden="1">'[4]Spread Sheet'!#REF!</definedName>
    <definedName name="BLPR3020040129204514672_1_5" localSheetId="37" hidden="1">'[4]Spread Sheet'!#REF!</definedName>
    <definedName name="BLPR3020040129204514672_1_5" hidden="1">'[4]Spread Sheet'!#REF!</definedName>
    <definedName name="BLPR3020040129204514672_2_5" localSheetId="27" hidden="1">'[4]Spread Sheet'!#REF!</definedName>
    <definedName name="BLPR3020040129204514672_2_5" localSheetId="28" hidden="1">'[4]Spread Sheet'!#REF!</definedName>
    <definedName name="BLPR3020040129204514672_2_5" localSheetId="29" hidden="1">'[4]Spread Sheet'!#REF!</definedName>
    <definedName name="BLPR3020040129204514672_2_5" localSheetId="30" hidden="1">'[4]Spread Sheet'!#REF!</definedName>
    <definedName name="BLPR3020040129204514672_2_5" localSheetId="37" hidden="1">'[4]Spread Sheet'!#REF!</definedName>
    <definedName name="BLPR3020040129204514672_2_5" hidden="1">'[4]Spread Sheet'!#REF!</definedName>
    <definedName name="BLPR3020040129204514672_3_5" localSheetId="27" hidden="1">'[4]Spread Sheet'!#REF!</definedName>
    <definedName name="BLPR3020040129204514672_3_5" localSheetId="28" hidden="1">'[4]Spread Sheet'!#REF!</definedName>
    <definedName name="BLPR3020040129204514672_3_5" localSheetId="29" hidden="1">'[4]Spread Sheet'!#REF!</definedName>
    <definedName name="BLPR3020040129204514672_3_5" localSheetId="30" hidden="1">'[4]Spread Sheet'!#REF!</definedName>
    <definedName name="BLPR3020040129204514672_3_5" localSheetId="37" hidden="1">'[4]Spread Sheet'!#REF!</definedName>
    <definedName name="BLPR3020040129204514672_3_5" hidden="1">'[4]Spread Sheet'!#REF!</definedName>
    <definedName name="BLPR3020040129204514672_4_5" localSheetId="27" hidden="1">'[4]Spread Sheet'!#REF!</definedName>
    <definedName name="BLPR3020040129204514672_4_5" localSheetId="28" hidden="1">'[4]Spread Sheet'!#REF!</definedName>
    <definedName name="BLPR3020040129204514672_4_5" localSheetId="29" hidden="1">'[4]Spread Sheet'!#REF!</definedName>
    <definedName name="BLPR3020040129204514672_4_5" localSheetId="30" hidden="1">'[4]Spread Sheet'!#REF!</definedName>
    <definedName name="BLPR3020040129204514672_4_5" localSheetId="37" hidden="1">'[4]Spread Sheet'!#REF!</definedName>
    <definedName name="BLPR3020040129204514672_4_5" hidden="1">'[4]Spread Sheet'!#REF!</definedName>
    <definedName name="BLPR3020040129204514672_5_5" localSheetId="27" hidden="1">'[4]Spread Sheet'!#REF!</definedName>
    <definedName name="BLPR3020040129204514672_5_5" localSheetId="28" hidden="1">'[4]Spread Sheet'!#REF!</definedName>
    <definedName name="BLPR3020040129204514672_5_5" localSheetId="29" hidden="1">'[4]Spread Sheet'!#REF!</definedName>
    <definedName name="BLPR3020040129204514672_5_5" localSheetId="30" hidden="1">'[4]Spread Sheet'!#REF!</definedName>
    <definedName name="BLPR3020040129204514672_5_5" localSheetId="37" hidden="1">'[4]Spread Sheet'!#REF!</definedName>
    <definedName name="BLPR3020040129204514672_5_5" hidden="1">'[4]Spread Sheet'!#REF!</definedName>
    <definedName name="BLPR3120040129204514692" localSheetId="27" hidden="1">'[4]Spread Sheet'!#REF!</definedName>
    <definedName name="BLPR3120040129204514692" localSheetId="28" hidden="1">'[4]Spread Sheet'!#REF!</definedName>
    <definedName name="BLPR3120040129204514692" localSheetId="29" hidden="1">'[4]Spread Sheet'!#REF!</definedName>
    <definedName name="BLPR3120040129204514692" localSheetId="30" hidden="1">'[4]Spread Sheet'!#REF!</definedName>
    <definedName name="BLPR3120040129204514692" localSheetId="37" hidden="1">'[4]Spread Sheet'!#REF!</definedName>
    <definedName name="BLPR3120040129204514692" hidden="1">'[4]Spread Sheet'!#REF!</definedName>
    <definedName name="BLPR3120040129204514692_1_1" localSheetId="27" hidden="1">'[4]Spread Sheet'!#REF!</definedName>
    <definedName name="BLPR3120040129204514692_1_1" localSheetId="28" hidden="1">'[4]Spread Sheet'!#REF!</definedName>
    <definedName name="BLPR3120040129204514692_1_1" localSheetId="29" hidden="1">'[4]Spread Sheet'!#REF!</definedName>
    <definedName name="BLPR3120040129204514692_1_1" localSheetId="30" hidden="1">'[4]Spread Sheet'!#REF!</definedName>
    <definedName name="BLPR3120040129204514692_1_1" localSheetId="37" hidden="1">'[4]Spread Sheet'!#REF!</definedName>
    <definedName name="BLPR3120040129204514692_1_1" hidden="1">'[4]Spread Sheet'!#REF!</definedName>
    <definedName name="BLPR320040129203645431" localSheetId="27" hidden="1">'[4]Spread Sheet'!#REF!</definedName>
    <definedName name="BLPR320040129203645431" localSheetId="28" hidden="1">'[4]Spread Sheet'!#REF!</definedName>
    <definedName name="BLPR320040129203645431" localSheetId="29" hidden="1">'[4]Spread Sheet'!#REF!</definedName>
    <definedName name="BLPR320040129203645431" localSheetId="30" hidden="1">'[4]Spread Sheet'!#REF!</definedName>
    <definedName name="BLPR320040129203645431" localSheetId="37" hidden="1">'[4]Spread Sheet'!#REF!</definedName>
    <definedName name="BLPR320040129203645431" hidden="1">'[4]Spread Sheet'!#REF!</definedName>
    <definedName name="BLPR320040129203645431_1_4" localSheetId="27" hidden="1">'[4]Spread Sheet'!#REF!</definedName>
    <definedName name="BLPR320040129203645431_1_4" localSheetId="28" hidden="1">'[4]Spread Sheet'!#REF!</definedName>
    <definedName name="BLPR320040129203645431_1_4" localSheetId="29" hidden="1">'[4]Spread Sheet'!#REF!</definedName>
    <definedName name="BLPR320040129203645431_1_4" localSheetId="30" hidden="1">'[4]Spread Sheet'!#REF!</definedName>
    <definedName name="BLPR320040129203645431_1_4" localSheetId="37" hidden="1">'[4]Spread Sheet'!#REF!</definedName>
    <definedName name="BLPR320040129203645431_1_4" hidden="1">'[4]Spread Sheet'!#REF!</definedName>
    <definedName name="BLPR320040129203645431_2_4" localSheetId="27" hidden="1">'[4]Spread Sheet'!#REF!</definedName>
    <definedName name="BLPR320040129203645431_2_4" localSheetId="28" hidden="1">'[4]Spread Sheet'!#REF!</definedName>
    <definedName name="BLPR320040129203645431_2_4" localSheetId="29" hidden="1">'[4]Spread Sheet'!#REF!</definedName>
    <definedName name="BLPR320040129203645431_2_4" localSheetId="30" hidden="1">'[4]Spread Sheet'!#REF!</definedName>
    <definedName name="BLPR320040129203645431_2_4" localSheetId="37" hidden="1">'[4]Spread Sheet'!#REF!</definedName>
    <definedName name="BLPR320040129203645431_2_4" hidden="1">'[4]Spread Sheet'!#REF!</definedName>
    <definedName name="BLPR320040129203645431_3_4" localSheetId="27" hidden="1">'[4]Spread Sheet'!#REF!</definedName>
    <definedName name="BLPR320040129203645431_3_4" localSheetId="28" hidden="1">'[4]Spread Sheet'!#REF!</definedName>
    <definedName name="BLPR320040129203645431_3_4" localSheetId="29" hidden="1">'[4]Spread Sheet'!#REF!</definedName>
    <definedName name="BLPR320040129203645431_3_4" localSheetId="30" hidden="1">'[4]Spread Sheet'!#REF!</definedName>
    <definedName name="BLPR320040129203645431_3_4" localSheetId="37" hidden="1">'[4]Spread Sheet'!#REF!</definedName>
    <definedName name="BLPR320040129203645431_3_4" hidden="1">'[4]Spread Sheet'!#REF!</definedName>
    <definedName name="BLPR320040129203645431_4_4" localSheetId="27" hidden="1">'[4]Spread Sheet'!#REF!</definedName>
    <definedName name="BLPR320040129203645431_4_4" localSheetId="28" hidden="1">'[4]Spread Sheet'!#REF!</definedName>
    <definedName name="BLPR320040129203645431_4_4" localSheetId="29" hidden="1">'[4]Spread Sheet'!#REF!</definedName>
    <definedName name="BLPR320040129203645431_4_4" localSheetId="30" hidden="1">'[4]Spread Sheet'!#REF!</definedName>
    <definedName name="BLPR320040129203645431_4_4" localSheetId="37" hidden="1">'[4]Spread Sheet'!#REF!</definedName>
    <definedName name="BLPR320040129203645431_4_4" hidden="1">'[4]Spread Sheet'!#REF!</definedName>
    <definedName name="BLPR3220040129204514692" localSheetId="27" hidden="1">'[4]Spread Sheet'!#REF!</definedName>
    <definedName name="BLPR3220040129204514692" localSheetId="28" hidden="1">'[4]Spread Sheet'!#REF!</definedName>
    <definedName name="BLPR3220040129204514692" localSheetId="29" hidden="1">'[4]Spread Sheet'!#REF!</definedName>
    <definedName name="BLPR3220040129204514692" localSheetId="30" hidden="1">'[4]Spread Sheet'!#REF!</definedName>
    <definedName name="BLPR3220040129204514692" localSheetId="37" hidden="1">'[4]Spread Sheet'!#REF!</definedName>
    <definedName name="BLPR3220040129204514692" hidden="1">'[4]Spread Sheet'!#REF!</definedName>
    <definedName name="BLPR3220040129204514692_1_1" localSheetId="27" hidden="1">'[4]Spread Sheet'!#REF!</definedName>
    <definedName name="BLPR3220040129204514692_1_1" localSheetId="28" hidden="1">'[4]Spread Sheet'!#REF!</definedName>
    <definedName name="BLPR3220040129204514692_1_1" localSheetId="29" hidden="1">'[4]Spread Sheet'!#REF!</definedName>
    <definedName name="BLPR3220040129204514692_1_1" localSheetId="30" hidden="1">'[4]Spread Sheet'!#REF!</definedName>
    <definedName name="BLPR3220040129204514692_1_1" localSheetId="37" hidden="1">'[4]Spread Sheet'!#REF!</definedName>
    <definedName name="BLPR3220040129204514692_1_1" hidden="1">'[4]Spread Sheet'!#REF!</definedName>
    <definedName name="BLPR3320040129204514702" localSheetId="27" hidden="1">'[4]Spread Sheet'!#REF!</definedName>
    <definedName name="BLPR3320040129204514702" localSheetId="28" hidden="1">'[4]Spread Sheet'!#REF!</definedName>
    <definedName name="BLPR3320040129204514702" localSheetId="29" hidden="1">'[4]Spread Sheet'!#REF!</definedName>
    <definedName name="BLPR3320040129204514702" localSheetId="30" hidden="1">'[4]Spread Sheet'!#REF!</definedName>
    <definedName name="BLPR3320040129204514702" localSheetId="37" hidden="1">'[4]Spread Sheet'!#REF!</definedName>
    <definedName name="BLPR3320040129204514702" hidden="1">'[4]Spread Sheet'!#REF!</definedName>
    <definedName name="BLPR3320040129204514702_1_1" localSheetId="27" hidden="1">'[4]Spread Sheet'!#REF!</definedName>
    <definedName name="BLPR3320040129204514702_1_1" localSheetId="28" hidden="1">'[4]Spread Sheet'!#REF!</definedName>
    <definedName name="BLPR3320040129204514702_1_1" localSheetId="29" hidden="1">'[4]Spread Sheet'!#REF!</definedName>
    <definedName name="BLPR3320040129204514702_1_1" localSheetId="30" hidden="1">'[4]Spread Sheet'!#REF!</definedName>
    <definedName name="BLPR3320040129204514702_1_1" localSheetId="37" hidden="1">'[4]Spread Sheet'!#REF!</definedName>
    <definedName name="BLPR3320040129204514702_1_1" hidden="1">'[4]Spread Sheet'!#REF!</definedName>
    <definedName name="BLPR3420040129204514702" localSheetId="27" hidden="1">'[4]Spread Sheet'!#REF!</definedName>
    <definedName name="BLPR3420040129204514702" localSheetId="28" hidden="1">'[4]Spread Sheet'!#REF!</definedName>
    <definedName name="BLPR3420040129204514702" localSheetId="29" hidden="1">'[4]Spread Sheet'!#REF!</definedName>
    <definedName name="BLPR3420040129204514702" localSheetId="30" hidden="1">'[4]Spread Sheet'!#REF!</definedName>
    <definedName name="BLPR3420040129204514702" localSheetId="37" hidden="1">'[4]Spread Sheet'!#REF!</definedName>
    <definedName name="BLPR3420040129204514702" hidden="1">'[4]Spread Sheet'!#REF!</definedName>
    <definedName name="BLPR3420040129204514702_1_1" localSheetId="27" hidden="1">'[4]Spread Sheet'!#REF!</definedName>
    <definedName name="BLPR3420040129204514702_1_1" localSheetId="28" hidden="1">'[4]Spread Sheet'!#REF!</definedName>
    <definedName name="BLPR3420040129204514702_1_1" localSheetId="29" hidden="1">'[4]Spread Sheet'!#REF!</definedName>
    <definedName name="BLPR3420040129204514702_1_1" localSheetId="30" hidden="1">'[4]Spread Sheet'!#REF!</definedName>
    <definedName name="BLPR3420040129204514702_1_1" localSheetId="37" hidden="1">'[4]Spread Sheet'!#REF!</definedName>
    <definedName name="BLPR3420040129204514702_1_1" hidden="1">'[4]Spread Sheet'!#REF!</definedName>
    <definedName name="BLPR3520040129204514702" localSheetId="27" hidden="1">'[4]Spread Sheet'!#REF!</definedName>
    <definedName name="BLPR3520040129204514702" localSheetId="28" hidden="1">'[4]Spread Sheet'!#REF!</definedName>
    <definedName name="BLPR3520040129204514702" localSheetId="29" hidden="1">'[4]Spread Sheet'!#REF!</definedName>
    <definedName name="BLPR3520040129204514702" localSheetId="30" hidden="1">'[4]Spread Sheet'!#REF!</definedName>
    <definedName name="BLPR3520040129204514702" localSheetId="37" hidden="1">'[4]Spread Sheet'!#REF!</definedName>
    <definedName name="BLPR3520040129204514702" hidden="1">'[4]Spread Sheet'!#REF!</definedName>
    <definedName name="BLPR3520040129204514702_1_1" localSheetId="27" hidden="1">'[4]Spread Sheet'!#REF!</definedName>
    <definedName name="BLPR3520040129204514702_1_1" localSheetId="28" hidden="1">'[4]Spread Sheet'!#REF!</definedName>
    <definedName name="BLPR3520040129204514702_1_1" localSheetId="29" hidden="1">'[4]Spread Sheet'!#REF!</definedName>
    <definedName name="BLPR3520040129204514702_1_1" localSheetId="30" hidden="1">'[4]Spread Sheet'!#REF!</definedName>
    <definedName name="BLPR3520040129204514702_1_1" localSheetId="37" hidden="1">'[4]Spread Sheet'!#REF!</definedName>
    <definedName name="BLPR3520040129204514702_1_1" hidden="1">'[4]Spread Sheet'!#REF!</definedName>
    <definedName name="BLPR420040129203645431" localSheetId="27" hidden="1">'[4]Spread Sheet'!#REF!</definedName>
    <definedName name="BLPR420040129203645431" localSheetId="28" hidden="1">'[4]Spread Sheet'!#REF!</definedName>
    <definedName name="BLPR420040129203645431" localSheetId="29" hidden="1">'[4]Spread Sheet'!#REF!</definedName>
    <definedName name="BLPR420040129203645431" localSheetId="30" hidden="1">'[4]Spread Sheet'!#REF!</definedName>
    <definedName name="BLPR420040129203645431" localSheetId="37" hidden="1">'[4]Spread Sheet'!#REF!</definedName>
    <definedName name="BLPR420040129203645431" hidden="1">'[4]Spread Sheet'!#REF!</definedName>
    <definedName name="BLPR420040129203645431_1_4" localSheetId="27" hidden="1">'[4]Spread Sheet'!#REF!</definedName>
    <definedName name="BLPR420040129203645431_1_4" localSheetId="28" hidden="1">'[4]Spread Sheet'!#REF!</definedName>
    <definedName name="BLPR420040129203645431_1_4" localSheetId="29" hidden="1">'[4]Spread Sheet'!#REF!</definedName>
    <definedName name="BLPR420040129203645431_1_4" localSheetId="30" hidden="1">'[4]Spread Sheet'!#REF!</definedName>
    <definedName name="BLPR420040129203645431_1_4" localSheetId="37" hidden="1">'[4]Spread Sheet'!#REF!</definedName>
    <definedName name="BLPR420040129203645431_1_4" hidden="1">'[4]Spread Sheet'!#REF!</definedName>
    <definedName name="BLPR420040129203645431_2_4" localSheetId="27" hidden="1">'[4]Spread Sheet'!#REF!</definedName>
    <definedName name="BLPR420040129203645431_2_4" localSheetId="28" hidden="1">'[4]Spread Sheet'!#REF!</definedName>
    <definedName name="BLPR420040129203645431_2_4" localSheetId="29" hidden="1">'[4]Spread Sheet'!#REF!</definedName>
    <definedName name="BLPR420040129203645431_2_4" localSheetId="30" hidden="1">'[4]Spread Sheet'!#REF!</definedName>
    <definedName name="BLPR420040129203645431_2_4" localSheetId="37" hidden="1">'[4]Spread Sheet'!#REF!</definedName>
    <definedName name="BLPR420040129203645431_2_4" hidden="1">'[4]Spread Sheet'!#REF!</definedName>
    <definedName name="BLPR420040129203645431_3_4" localSheetId="27" hidden="1">'[4]Spread Sheet'!#REF!</definedName>
    <definedName name="BLPR420040129203645431_3_4" localSheetId="28" hidden="1">'[4]Spread Sheet'!#REF!</definedName>
    <definedName name="BLPR420040129203645431_3_4" localSheetId="29" hidden="1">'[4]Spread Sheet'!#REF!</definedName>
    <definedName name="BLPR420040129203645431_3_4" localSheetId="30" hidden="1">'[4]Spread Sheet'!#REF!</definedName>
    <definedName name="BLPR420040129203645431_3_4" localSheetId="37" hidden="1">'[4]Spread Sheet'!#REF!</definedName>
    <definedName name="BLPR420040129203645431_3_4" hidden="1">'[4]Spread Sheet'!#REF!</definedName>
    <definedName name="BLPR420040129203645431_4_4" localSheetId="27" hidden="1">'[4]Spread Sheet'!#REF!</definedName>
    <definedName name="BLPR420040129203645431_4_4" localSheetId="28" hidden="1">'[4]Spread Sheet'!#REF!</definedName>
    <definedName name="BLPR420040129203645431_4_4" localSheetId="29" hidden="1">'[4]Spread Sheet'!#REF!</definedName>
    <definedName name="BLPR420040129203645431_4_4" localSheetId="30" hidden="1">'[4]Spread Sheet'!#REF!</definedName>
    <definedName name="BLPR420040129203645431_4_4" localSheetId="37" hidden="1">'[4]Spread Sheet'!#REF!</definedName>
    <definedName name="BLPR420040129203645431_4_4" hidden="1">'[4]Spread Sheet'!#REF!</definedName>
    <definedName name="BLPR520040129203645441" localSheetId="27" hidden="1">'[4]Spread Sheet'!#REF!</definedName>
    <definedName name="BLPR520040129203645441" localSheetId="28" hidden="1">'[4]Spread Sheet'!#REF!</definedName>
    <definedName name="BLPR520040129203645441" localSheetId="29" hidden="1">'[4]Spread Sheet'!#REF!</definedName>
    <definedName name="BLPR520040129203645441" localSheetId="30" hidden="1">'[4]Spread Sheet'!#REF!</definedName>
    <definedName name="BLPR520040129203645441" localSheetId="37" hidden="1">'[4]Spread Sheet'!#REF!</definedName>
    <definedName name="BLPR520040129203645441" hidden="1">'[4]Spread Sheet'!#REF!</definedName>
    <definedName name="BLPR520040129203645441_1_4" localSheetId="27" hidden="1">'[4]Spread Sheet'!#REF!</definedName>
    <definedName name="BLPR520040129203645441_1_4" localSheetId="28" hidden="1">'[4]Spread Sheet'!#REF!</definedName>
    <definedName name="BLPR520040129203645441_1_4" localSheetId="29" hidden="1">'[4]Spread Sheet'!#REF!</definedName>
    <definedName name="BLPR520040129203645441_1_4" localSheetId="30" hidden="1">'[4]Spread Sheet'!#REF!</definedName>
    <definedName name="BLPR520040129203645441_1_4" localSheetId="37" hidden="1">'[4]Spread Sheet'!#REF!</definedName>
    <definedName name="BLPR520040129203645441_1_4" hidden="1">'[4]Spread Sheet'!#REF!</definedName>
    <definedName name="BLPR520040129203645441_2_4" localSheetId="27" hidden="1">'[4]Spread Sheet'!#REF!</definedName>
    <definedName name="BLPR520040129203645441_2_4" localSheetId="28" hidden="1">'[4]Spread Sheet'!#REF!</definedName>
    <definedName name="BLPR520040129203645441_2_4" localSheetId="29" hidden="1">'[4]Spread Sheet'!#REF!</definedName>
    <definedName name="BLPR520040129203645441_2_4" localSheetId="30" hidden="1">'[4]Spread Sheet'!#REF!</definedName>
    <definedName name="BLPR520040129203645441_2_4" localSheetId="37" hidden="1">'[4]Spread Sheet'!#REF!</definedName>
    <definedName name="BLPR520040129203645441_2_4" hidden="1">'[4]Spread Sheet'!#REF!</definedName>
    <definedName name="BLPR520040129203645441_3_4" localSheetId="27" hidden="1">'[4]Spread Sheet'!#REF!</definedName>
    <definedName name="BLPR520040129203645441_3_4" localSheetId="28" hidden="1">'[4]Spread Sheet'!#REF!</definedName>
    <definedName name="BLPR520040129203645441_3_4" localSheetId="29" hidden="1">'[4]Spread Sheet'!#REF!</definedName>
    <definedName name="BLPR520040129203645441_3_4" localSheetId="30" hidden="1">'[4]Spread Sheet'!#REF!</definedName>
    <definedName name="BLPR520040129203645441_3_4" localSheetId="37" hidden="1">'[4]Spread Sheet'!#REF!</definedName>
    <definedName name="BLPR520040129203645441_3_4" hidden="1">'[4]Spread Sheet'!#REF!</definedName>
    <definedName name="BLPR520040129203645441_4_4" localSheetId="27" hidden="1">'[4]Spread Sheet'!#REF!</definedName>
    <definedName name="BLPR520040129203645441_4_4" localSheetId="28" hidden="1">'[4]Spread Sheet'!#REF!</definedName>
    <definedName name="BLPR520040129203645441_4_4" localSheetId="29" hidden="1">'[4]Spread Sheet'!#REF!</definedName>
    <definedName name="BLPR520040129203645441_4_4" localSheetId="30" hidden="1">'[4]Spread Sheet'!#REF!</definedName>
    <definedName name="BLPR520040129203645441_4_4" localSheetId="37" hidden="1">'[4]Spread Sheet'!#REF!</definedName>
    <definedName name="BLPR520040129203645441_4_4" hidden="1">'[4]Spread Sheet'!#REF!</definedName>
    <definedName name="BLPR620040129204149993" localSheetId="27" hidden="1">'[4]Spread Sheet'!#REF!</definedName>
    <definedName name="BLPR620040129204149993" localSheetId="28" hidden="1">'[4]Spread Sheet'!#REF!</definedName>
    <definedName name="BLPR620040129204149993" localSheetId="29" hidden="1">'[4]Spread Sheet'!#REF!</definedName>
    <definedName name="BLPR620040129204149993" localSheetId="30" hidden="1">'[4]Spread Sheet'!#REF!</definedName>
    <definedName name="BLPR620040129204149993" localSheetId="37" hidden="1">'[4]Spread Sheet'!#REF!</definedName>
    <definedName name="BLPR620040129204149993" hidden="1">'[4]Spread Sheet'!#REF!</definedName>
    <definedName name="BLPR620040129204149993_1_5" localSheetId="27" hidden="1">'[4]Spread Sheet'!#REF!</definedName>
    <definedName name="BLPR620040129204149993_1_5" localSheetId="28" hidden="1">'[4]Spread Sheet'!#REF!</definedName>
    <definedName name="BLPR620040129204149993_1_5" localSheetId="29" hidden="1">'[4]Spread Sheet'!#REF!</definedName>
    <definedName name="BLPR620040129204149993_1_5" localSheetId="30" hidden="1">'[4]Spread Sheet'!#REF!</definedName>
    <definedName name="BLPR620040129204149993_1_5" localSheetId="37" hidden="1">'[4]Spread Sheet'!#REF!</definedName>
    <definedName name="BLPR620040129204149993_1_5" hidden="1">'[4]Spread Sheet'!#REF!</definedName>
    <definedName name="BLPR620040129204149993_2_5" localSheetId="27" hidden="1">'[4]Spread Sheet'!#REF!</definedName>
    <definedName name="BLPR620040129204149993_2_5" localSheetId="28" hidden="1">'[4]Spread Sheet'!#REF!</definedName>
    <definedName name="BLPR620040129204149993_2_5" localSheetId="29" hidden="1">'[4]Spread Sheet'!#REF!</definedName>
    <definedName name="BLPR620040129204149993_2_5" localSheetId="30" hidden="1">'[4]Spread Sheet'!#REF!</definedName>
    <definedName name="BLPR620040129204149993_2_5" localSheetId="37" hidden="1">'[4]Spread Sheet'!#REF!</definedName>
    <definedName name="BLPR620040129204149993_2_5" hidden="1">'[4]Spread Sheet'!#REF!</definedName>
    <definedName name="BLPR620040129204149993_3_5" localSheetId="27" hidden="1">'[4]Spread Sheet'!#REF!</definedName>
    <definedName name="BLPR620040129204149993_3_5" localSheetId="28" hidden="1">'[4]Spread Sheet'!#REF!</definedName>
    <definedName name="BLPR620040129204149993_3_5" localSheetId="29" hidden="1">'[4]Spread Sheet'!#REF!</definedName>
    <definedName name="BLPR620040129204149993_3_5" localSheetId="30" hidden="1">'[4]Spread Sheet'!#REF!</definedName>
    <definedName name="BLPR620040129204149993_3_5" localSheetId="37" hidden="1">'[4]Spread Sheet'!#REF!</definedName>
    <definedName name="BLPR620040129204149993_3_5" hidden="1">'[4]Spread Sheet'!#REF!</definedName>
    <definedName name="BLPR620040129204149993_4_5" localSheetId="27" hidden="1">'[4]Spread Sheet'!#REF!</definedName>
    <definedName name="BLPR620040129204149993_4_5" localSheetId="28" hidden="1">'[4]Spread Sheet'!#REF!</definedName>
    <definedName name="BLPR620040129204149993_4_5" localSheetId="29" hidden="1">'[4]Spread Sheet'!#REF!</definedName>
    <definedName name="BLPR620040129204149993_4_5" localSheetId="30" hidden="1">'[4]Spread Sheet'!#REF!</definedName>
    <definedName name="BLPR620040129204149993_4_5" localSheetId="37" hidden="1">'[4]Spread Sheet'!#REF!</definedName>
    <definedName name="BLPR620040129204149993_4_5" hidden="1">'[4]Spread Sheet'!#REF!</definedName>
    <definedName name="BLPR620040129204149993_5_5" localSheetId="27" hidden="1">'[4]Spread Sheet'!#REF!</definedName>
    <definedName name="BLPR620040129204149993_5_5" localSheetId="28" hidden="1">'[4]Spread Sheet'!#REF!</definedName>
    <definedName name="BLPR620040129204149993_5_5" localSheetId="29" hidden="1">'[4]Spread Sheet'!#REF!</definedName>
    <definedName name="BLPR620040129204149993_5_5" localSheetId="30" hidden="1">'[4]Spread Sheet'!#REF!</definedName>
    <definedName name="BLPR620040129204149993_5_5" localSheetId="37" hidden="1">'[4]Spread Sheet'!#REF!</definedName>
    <definedName name="BLPR620040129204149993_5_5" hidden="1">'[4]Spread Sheet'!#REF!</definedName>
    <definedName name="BLPR720040129204514631" localSheetId="27" hidden="1">'[4]Spread Sheet'!#REF!</definedName>
    <definedName name="BLPR720040129204514631" localSheetId="28" hidden="1">'[4]Spread Sheet'!#REF!</definedName>
    <definedName name="BLPR720040129204514631" localSheetId="29" hidden="1">'[4]Spread Sheet'!#REF!</definedName>
    <definedName name="BLPR720040129204514631" localSheetId="30" hidden="1">'[4]Spread Sheet'!#REF!</definedName>
    <definedName name="BLPR720040129204514631" localSheetId="37" hidden="1">'[4]Spread Sheet'!#REF!</definedName>
    <definedName name="BLPR720040129204514631" hidden="1">'[4]Spread Sheet'!#REF!</definedName>
    <definedName name="BLPR720040129204514631_1_5" localSheetId="27" hidden="1">'[4]Spread Sheet'!#REF!</definedName>
    <definedName name="BLPR720040129204514631_1_5" localSheetId="28" hidden="1">'[4]Spread Sheet'!#REF!</definedName>
    <definedName name="BLPR720040129204514631_1_5" localSheetId="29" hidden="1">'[4]Spread Sheet'!#REF!</definedName>
    <definedName name="BLPR720040129204514631_1_5" localSheetId="30" hidden="1">'[4]Spread Sheet'!#REF!</definedName>
    <definedName name="BLPR720040129204514631_1_5" localSheetId="37" hidden="1">'[4]Spread Sheet'!#REF!</definedName>
    <definedName name="BLPR720040129204514631_1_5" hidden="1">'[4]Spread Sheet'!#REF!</definedName>
    <definedName name="BLPR720040129204514631_2_5" localSheetId="27" hidden="1">'[4]Spread Sheet'!#REF!</definedName>
    <definedName name="BLPR720040129204514631_2_5" localSheetId="28" hidden="1">'[4]Spread Sheet'!#REF!</definedName>
    <definedName name="BLPR720040129204514631_2_5" localSheetId="29" hidden="1">'[4]Spread Sheet'!#REF!</definedName>
    <definedName name="BLPR720040129204514631_2_5" localSheetId="30" hidden="1">'[4]Spread Sheet'!#REF!</definedName>
    <definedName name="BLPR720040129204514631_2_5" localSheetId="37" hidden="1">'[4]Spread Sheet'!#REF!</definedName>
    <definedName name="BLPR720040129204514631_2_5" hidden="1">'[4]Spread Sheet'!#REF!</definedName>
    <definedName name="BLPR720040129204514631_3_5" localSheetId="27" hidden="1">'[4]Spread Sheet'!#REF!</definedName>
    <definedName name="BLPR720040129204514631_3_5" localSheetId="28" hidden="1">'[4]Spread Sheet'!#REF!</definedName>
    <definedName name="BLPR720040129204514631_3_5" localSheetId="29" hidden="1">'[4]Spread Sheet'!#REF!</definedName>
    <definedName name="BLPR720040129204514631_3_5" localSheetId="30" hidden="1">'[4]Spread Sheet'!#REF!</definedName>
    <definedName name="BLPR720040129204514631_3_5" localSheetId="37" hidden="1">'[4]Spread Sheet'!#REF!</definedName>
    <definedName name="BLPR720040129204514631_3_5" hidden="1">'[4]Spread Sheet'!#REF!</definedName>
    <definedName name="BLPR720040129204514631_4_5" localSheetId="27" hidden="1">'[4]Spread Sheet'!#REF!</definedName>
    <definedName name="BLPR720040129204514631_4_5" localSheetId="28" hidden="1">'[4]Spread Sheet'!#REF!</definedName>
    <definedName name="BLPR720040129204514631_4_5" localSheetId="29" hidden="1">'[4]Spread Sheet'!#REF!</definedName>
    <definedName name="BLPR720040129204514631_4_5" localSheetId="30" hidden="1">'[4]Spread Sheet'!#REF!</definedName>
    <definedName name="BLPR720040129204514631_4_5" localSheetId="37" hidden="1">'[4]Spread Sheet'!#REF!</definedName>
    <definedName name="BLPR720040129204514631_4_5" hidden="1">'[4]Spread Sheet'!#REF!</definedName>
    <definedName name="BLPR720040129204514631_5_5" localSheetId="27" hidden="1">'[4]Spread Sheet'!#REF!</definedName>
    <definedName name="BLPR720040129204514631_5_5" localSheetId="28" hidden="1">'[4]Spread Sheet'!#REF!</definedName>
    <definedName name="BLPR720040129204514631_5_5" localSheetId="29" hidden="1">'[4]Spread Sheet'!#REF!</definedName>
    <definedName name="BLPR720040129204514631_5_5" localSheetId="30" hidden="1">'[4]Spread Sheet'!#REF!</definedName>
    <definedName name="BLPR720040129204514631_5_5" localSheetId="37" hidden="1">'[4]Spread Sheet'!#REF!</definedName>
    <definedName name="BLPR720040129204514631_5_5" hidden="1">'[4]Spread Sheet'!#REF!</definedName>
    <definedName name="BLPR820040129204514642" localSheetId="27" hidden="1">'[4]Spread Sheet'!#REF!</definedName>
    <definedName name="BLPR820040129204514642" localSheetId="28" hidden="1">'[4]Spread Sheet'!#REF!</definedName>
    <definedName name="BLPR820040129204514642" localSheetId="29" hidden="1">'[4]Spread Sheet'!#REF!</definedName>
    <definedName name="BLPR820040129204514642" localSheetId="30" hidden="1">'[4]Spread Sheet'!#REF!</definedName>
    <definedName name="BLPR820040129204514642" localSheetId="37" hidden="1">'[4]Spread Sheet'!#REF!</definedName>
    <definedName name="BLPR820040129204514642" hidden="1">'[4]Spread Sheet'!#REF!</definedName>
    <definedName name="BLPR820040129204514642_1_5" localSheetId="27" hidden="1">'[4]Spread Sheet'!#REF!</definedName>
    <definedName name="BLPR820040129204514642_1_5" localSheetId="28" hidden="1">'[4]Spread Sheet'!#REF!</definedName>
    <definedName name="BLPR820040129204514642_1_5" localSheetId="29" hidden="1">'[4]Spread Sheet'!#REF!</definedName>
    <definedName name="BLPR820040129204514642_1_5" localSheetId="30" hidden="1">'[4]Spread Sheet'!#REF!</definedName>
    <definedName name="BLPR820040129204514642_1_5" localSheetId="37" hidden="1">'[4]Spread Sheet'!#REF!</definedName>
    <definedName name="BLPR820040129204514642_1_5" hidden="1">'[4]Spread Sheet'!#REF!</definedName>
    <definedName name="BLPR820040129204514642_2_5" localSheetId="27" hidden="1">'[4]Spread Sheet'!#REF!</definedName>
    <definedName name="BLPR820040129204514642_2_5" localSheetId="28" hidden="1">'[4]Spread Sheet'!#REF!</definedName>
    <definedName name="BLPR820040129204514642_2_5" localSheetId="29" hidden="1">'[4]Spread Sheet'!#REF!</definedName>
    <definedName name="BLPR820040129204514642_2_5" localSheetId="30" hidden="1">'[4]Spread Sheet'!#REF!</definedName>
    <definedName name="BLPR820040129204514642_2_5" localSheetId="37" hidden="1">'[4]Spread Sheet'!#REF!</definedName>
    <definedName name="BLPR820040129204514642_2_5" hidden="1">'[4]Spread Sheet'!#REF!</definedName>
    <definedName name="BLPR820040129204514642_3_5" localSheetId="27" hidden="1">'[4]Spread Sheet'!#REF!</definedName>
    <definedName name="BLPR820040129204514642_3_5" localSheetId="28" hidden="1">'[4]Spread Sheet'!#REF!</definedName>
    <definedName name="BLPR820040129204514642_3_5" localSheetId="29" hidden="1">'[4]Spread Sheet'!#REF!</definedName>
    <definedName name="BLPR820040129204514642_3_5" localSheetId="30" hidden="1">'[4]Spread Sheet'!#REF!</definedName>
    <definedName name="BLPR820040129204514642_3_5" localSheetId="37" hidden="1">'[4]Spread Sheet'!#REF!</definedName>
    <definedName name="BLPR820040129204514642_3_5" hidden="1">'[4]Spread Sheet'!#REF!</definedName>
    <definedName name="BLPR820040129204514642_4_5" localSheetId="27" hidden="1">'[4]Spread Sheet'!#REF!</definedName>
    <definedName name="BLPR820040129204514642_4_5" localSheetId="28" hidden="1">'[4]Spread Sheet'!#REF!</definedName>
    <definedName name="BLPR820040129204514642_4_5" localSheetId="29" hidden="1">'[4]Spread Sheet'!#REF!</definedName>
    <definedName name="BLPR820040129204514642_4_5" localSheetId="30" hidden="1">'[4]Spread Sheet'!#REF!</definedName>
    <definedName name="BLPR820040129204514642_4_5" localSheetId="37" hidden="1">'[4]Spread Sheet'!#REF!</definedName>
    <definedName name="BLPR820040129204514642_4_5" hidden="1">'[4]Spread Sheet'!#REF!</definedName>
    <definedName name="BLPR820040129204514642_5_5" localSheetId="27" hidden="1">'[4]Spread Sheet'!#REF!</definedName>
    <definedName name="BLPR820040129204514642_5_5" localSheetId="28" hidden="1">'[4]Spread Sheet'!#REF!</definedName>
    <definedName name="BLPR820040129204514642_5_5" localSheetId="29" hidden="1">'[4]Spread Sheet'!#REF!</definedName>
    <definedName name="BLPR820040129204514642_5_5" localSheetId="30" hidden="1">'[4]Spread Sheet'!#REF!</definedName>
    <definedName name="BLPR820040129204514642_5_5" localSheetId="37" hidden="1">'[4]Spread Sheet'!#REF!</definedName>
    <definedName name="BLPR820040129204514642_5_5" hidden="1">'[4]Spread Sheet'!#REF!</definedName>
    <definedName name="BLPR920040129204514642" localSheetId="27" hidden="1">'[4]Spread Sheet'!#REF!</definedName>
    <definedName name="BLPR920040129204514642" localSheetId="28" hidden="1">'[4]Spread Sheet'!#REF!</definedName>
    <definedName name="BLPR920040129204514642" localSheetId="29" hidden="1">'[4]Spread Sheet'!#REF!</definedName>
    <definedName name="BLPR920040129204514642" localSheetId="30" hidden="1">'[4]Spread Sheet'!#REF!</definedName>
    <definedName name="BLPR920040129204514642" localSheetId="37" hidden="1">'[4]Spread Sheet'!#REF!</definedName>
    <definedName name="BLPR920040129204514642" hidden="1">'[4]Spread Sheet'!#REF!</definedName>
    <definedName name="BLPR920040129204514642_1_5" localSheetId="27" hidden="1">'[4]Spread Sheet'!#REF!</definedName>
    <definedName name="BLPR920040129204514642_1_5" localSheetId="28" hidden="1">'[4]Spread Sheet'!#REF!</definedName>
    <definedName name="BLPR920040129204514642_1_5" localSheetId="29" hidden="1">'[4]Spread Sheet'!#REF!</definedName>
    <definedName name="BLPR920040129204514642_1_5" localSheetId="30" hidden="1">'[4]Spread Sheet'!#REF!</definedName>
    <definedName name="BLPR920040129204514642_1_5" localSheetId="37" hidden="1">'[4]Spread Sheet'!#REF!</definedName>
    <definedName name="BLPR920040129204514642_1_5" hidden="1">'[4]Spread Sheet'!#REF!</definedName>
    <definedName name="BLPR920040129204514642_2_5" localSheetId="27" hidden="1">'[4]Spread Sheet'!#REF!</definedName>
    <definedName name="BLPR920040129204514642_2_5" localSheetId="28" hidden="1">'[4]Spread Sheet'!#REF!</definedName>
    <definedName name="BLPR920040129204514642_2_5" localSheetId="29" hidden="1">'[4]Spread Sheet'!#REF!</definedName>
    <definedName name="BLPR920040129204514642_2_5" localSheetId="30" hidden="1">'[4]Spread Sheet'!#REF!</definedName>
    <definedName name="BLPR920040129204514642_2_5" localSheetId="37" hidden="1">'[4]Spread Sheet'!#REF!</definedName>
    <definedName name="BLPR920040129204514642_2_5" hidden="1">'[4]Spread Sheet'!#REF!</definedName>
    <definedName name="BLPR920040129204514642_3_5" localSheetId="27" hidden="1">'[4]Spread Sheet'!#REF!</definedName>
    <definedName name="BLPR920040129204514642_3_5" localSheetId="28" hidden="1">'[4]Spread Sheet'!#REF!</definedName>
    <definedName name="BLPR920040129204514642_3_5" localSheetId="29" hidden="1">'[4]Spread Sheet'!#REF!</definedName>
    <definedName name="BLPR920040129204514642_3_5" localSheetId="30" hidden="1">'[4]Spread Sheet'!#REF!</definedName>
    <definedName name="BLPR920040129204514642_3_5" localSheetId="37" hidden="1">'[4]Spread Sheet'!#REF!</definedName>
    <definedName name="BLPR920040129204514642_3_5" hidden="1">'[4]Spread Sheet'!#REF!</definedName>
    <definedName name="BLPR920040129204514642_4_5" localSheetId="27" hidden="1">'[4]Spread Sheet'!#REF!</definedName>
    <definedName name="BLPR920040129204514642_4_5" localSheetId="28" hidden="1">'[4]Spread Sheet'!#REF!</definedName>
    <definedName name="BLPR920040129204514642_4_5" localSheetId="29" hidden="1">'[4]Spread Sheet'!#REF!</definedName>
    <definedName name="BLPR920040129204514642_4_5" localSheetId="30" hidden="1">'[4]Spread Sheet'!#REF!</definedName>
    <definedName name="BLPR920040129204514642_4_5" localSheetId="37" hidden="1">'[4]Spread Sheet'!#REF!</definedName>
    <definedName name="BLPR920040129204514642_4_5" hidden="1">'[4]Spread Sheet'!#REF!</definedName>
    <definedName name="BLPR920040129204514642_5_5" localSheetId="27" hidden="1">'[4]Spread Sheet'!#REF!</definedName>
    <definedName name="BLPR920040129204514642_5_5" localSheetId="28" hidden="1">'[4]Spread Sheet'!#REF!</definedName>
    <definedName name="BLPR920040129204514642_5_5" localSheetId="29" hidden="1">'[4]Spread Sheet'!#REF!</definedName>
    <definedName name="BLPR920040129204514642_5_5" localSheetId="30" hidden="1">'[4]Spread Sheet'!#REF!</definedName>
    <definedName name="BLPR920040129204514642_5_5" localSheetId="37" hidden="1">'[4]Spread Sheet'!#REF!</definedName>
    <definedName name="BLPR920040129204514642_5_5" hidden="1">'[4]Spread Sheet'!#REF!</definedName>
    <definedName name="BNE_MESSAGES_HIDDEN" localSheetId="50" hidden="1">#REF!</definedName>
    <definedName name="BNE_MESSAGES_HIDDEN" localSheetId="27" hidden="1">#REF!</definedName>
    <definedName name="BNE_MESSAGES_HIDDEN" localSheetId="28" hidden="1">#REF!</definedName>
    <definedName name="BNE_MESSAGES_HIDDEN" localSheetId="29" hidden="1">#REF!</definedName>
    <definedName name="BNE_MESSAGES_HIDDEN" localSheetId="30" hidden="1">#REF!</definedName>
    <definedName name="BNE_MESSAGES_HIDDEN" localSheetId="37" hidden="1">#REF!</definedName>
    <definedName name="BNE_MESSAGES_HIDDEN" hidden="1">#REF!</definedName>
    <definedName name="canerun" localSheetId="27" hidden="1">#REF!</definedName>
    <definedName name="canerun" localSheetId="28" hidden="1">#REF!</definedName>
    <definedName name="canerun" localSheetId="29" hidden="1">#REF!</definedName>
    <definedName name="canerun" localSheetId="30" hidden="1">#REF!</definedName>
    <definedName name="canerun" localSheetId="37" hidden="1">#REF!</definedName>
    <definedName name="canerun" hidden="1">#REF!</definedName>
    <definedName name="cb_sChart41E9A35_opts" hidden="1">"1, 9, 1, False, 2, False, False, , 0, False, True, 1, 1"</definedName>
    <definedName name="cb_sChart68E08A4_opts" hidden="1">"1, 1, 1, False, 2, True, False, , 0, False, False, 2, 2"</definedName>
    <definedName name="cb_sChart6F544DD_opts" hidden="1">"1, 3, 1, False, 2, False, False, , 0, False, False, 2, 1"</definedName>
    <definedName name="cb_sChart74FE4B0_opts" hidden="1">"1, 4, 1, False, 2, True, False, , 0, False, False, 1, 1"</definedName>
    <definedName name="cb_sChart74FE8FC_opts" hidden="1">"1, 4, 1, False, 2, True, False, , 0, False, False, 1, 1"</definedName>
    <definedName name="cb_sChartF046D89_opts" hidden="1">"1, 1, 1, False, 2, True, False, , 1, False, False, 1, 1"</definedName>
    <definedName name="cb_sChartF048B26_opts" hidden="1">"1, 5, 1, False, 2, False, False, , 1, False, False, 1, 2"</definedName>
    <definedName name="cb_sChartF2B7B01_opts" hidden="1">"1, 1, 1, False, 2, True, False, , 1, False, False, 1, 1"</definedName>
    <definedName name="ccccc" hidden="1">{#N/A,#N/A,FALSE,"Costi per Gruppo ";#N/A,#N/A,FALSE,"New-RegularBevel";#N/A,#N/A,FALSE,"Optiva-Optiva2";#N/A,#N/A,FALSE,"Cathlon-Monoblok";#N/A,#N/A,FALSE,"Stylets";#N/A,#N/A,FALSE,"Totali"}</definedName>
    <definedName name="faf" localSheetId="50" hidden="1">#REF!</definedName>
    <definedName name="faf" localSheetId="52" hidden="1">#REF!</definedName>
    <definedName name="faf" localSheetId="27" hidden="1">#REF!</definedName>
    <definedName name="faf" localSheetId="28" hidden="1">#REF!</definedName>
    <definedName name="faf" localSheetId="29" hidden="1">#REF!</definedName>
    <definedName name="faf" localSheetId="30" hidden="1">#REF!</definedName>
    <definedName name="faf" localSheetId="37" hidden="1">#REF!</definedName>
    <definedName name="faf" hidden="1">#REF!</definedName>
    <definedName name="fl" hidden="1">[5]PopCache!$A$1:$A$2</definedName>
    <definedName name="flowname_weekly" hidden="1">{#N/A,#N/A,TRUE,"Table1";#N/A,#N/A,TRUE,"Table2";#N/A,#N/A,TRUE,"Table3";#N/A,#N/A,TRUE,"Table4";#N/A,#N/A,TRUE,"Table5";#N/A,#N/A,TRUE,"Table6";#N/A,#N/A,TRUE,"Table7";#N/A,#N/A,TRUE,"Table8";#N/A,#N/A,TRUE,"Table9";#N/A,#N/A,TRUE,"Table10";#N/A,#N/A,TRUE,"Table11";#N/A,#N/A,TRUE,"Table12";#N/A,#N/A,TRUE,"Table13";#N/A,#N/A,TRUE,"Table14"}</definedName>
    <definedName name="HTML_CodePage" hidden="1">1252</definedName>
    <definedName name="HTML_Control" localSheetId="2" hidden="1">{"'Server Configuration'!$A$1:$DB$281"}</definedName>
    <definedName name="HTML_Control" localSheetId="50" hidden="1">{"'SERC'!$E$1:$M$37"}</definedName>
    <definedName name="HTML_Control" localSheetId="41" hidden="1">{"'3-13-00'!$A$1:$A$2678"}</definedName>
    <definedName name="HTML_Control" localSheetId="57" hidden="1">{"'Server Configuration'!$A$1:$DB$281"}</definedName>
    <definedName name="HTML_Control" localSheetId="52" hidden="1">{"'Server Configuration'!$A$1:$DB$281"}</definedName>
    <definedName name="HTML_Control" localSheetId="46" hidden="1">{"'3-13-00'!$A$1:$A$2678"}</definedName>
    <definedName name="HTML_Control" localSheetId="49" hidden="1">{"'3-13-00'!$A$1:$A$2678"}</definedName>
    <definedName name="HTML_Control" localSheetId="45" hidden="1">{"'3-13-00'!$A$1:$A$2678"}</definedName>
    <definedName name="HTML_Control" localSheetId="48" hidden="1">{"'3-13-00'!$A$1:$A$2678"}</definedName>
    <definedName name="HTML_Control" localSheetId="47" hidden="1">{"'3-13-00'!$A$1:$A$2678"}</definedName>
    <definedName name="HTML_Control" localSheetId="22" hidden="1">{"'Server Configuration'!$A$1:$DB$281"}</definedName>
    <definedName name="HTML_Control" hidden="1">{"'Server Configuration'!$A$1:$DB$281"}</definedName>
    <definedName name="HTML_Description" hidden="1">""</definedName>
    <definedName name="HTML_Email" hidden="1">""</definedName>
    <definedName name="HTML_Header" localSheetId="50" hidden="1">"3-13-00"</definedName>
    <definedName name="HTML_Header" localSheetId="41" hidden="1">"3-13-00"</definedName>
    <definedName name="HTML_Header" localSheetId="46" hidden="1">"3-13-00"</definedName>
    <definedName name="HTML_Header" localSheetId="49" hidden="1">"3-13-00"</definedName>
    <definedName name="HTML_Header" localSheetId="45" hidden="1">"3-13-00"</definedName>
    <definedName name="HTML_Header" localSheetId="48" hidden="1">"3-13-00"</definedName>
    <definedName name="HTML_Header" localSheetId="47" hidden="1">"3-13-00"</definedName>
    <definedName name="HTML_Header" hidden="1">"Server Configuration"</definedName>
    <definedName name="HTML_LastUpdate" localSheetId="50" hidden="1">"03/13/2000"</definedName>
    <definedName name="HTML_LastUpdate" localSheetId="41" hidden="1">"03/13/2000"</definedName>
    <definedName name="HTML_LastUpdate" localSheetId="46" hidden="1">"03/13/2000"</definedName>
    <definedName name="HTML_LastUpdate" localSheetId="49" hidden="1">"03/13/2000"</definedName>
    <definedName name="HTML_LastUpdate" localSheetId="45" hidden="1">"03/13/2000"</definedName>
    <definedName name="HTML_LastUpdate" localSheetId="48" hidden="1">"03/13/2000"</definedName>
    <definedName name="HTML_LastUpdate" localSheetId="47" hidden="1">"03/13/2000"</definedName>
    <definedName name="HTML_LastUpdate" hidden="1">"2/9/01"</definedName>
    <definedName name="HTML_LineAfter" hidden="1">FALSE</definedName>
    <definedName name="HTML_LineBefore" hidden="1">FALSE</definedName>
    <definedName name="HTML_Name" localSheetId="50" hidden="1">"Deb Kressley"</definedName>
    <definedName name="HTML_Name" localSheetId="41" hidden="1">"Deb Kressley"</definedName>
    <definedName name="HTML_Name" localSheetId="46" hidden="1">"Deb Kressley"</definedName>
    <definedName name="HTML_Name" localSheetId="49" hidden="1">"Deb Kressley"</definedName>
    <definedName name="HTML_Name" localSheetId="45" hidden="1">"Deb Kressley"</definedName>
    <definedName name="HTML_Name" localSheetId="48" hidden="1">"Deb Kressley"</definedName>
    <definedName name="HTML_Name" localSheetId="47" hidden="1">"Deb Kressley"</definedName>
    <definedName name="HTML_Name" hidden="1">"Corporate Network Services"</definedName>
    <definedName name="HTML_OBDlg2" localSheetId="50" hidden="1">FALSE</definedName>
    <definedName name="HTML_OBDlg2" hidden="1">TRUE</definedName>
    <definedName name="HTML_OBDlg3" hidden="1">TRUE</definedName>
    <definedName name="HTML_OBDlg4" hidden="1">TRUE</definedName>
    <definedName name="HTML_OS" hidden="1">0</definedName>
    <definedName name="HTML_PathFile" localSheetId="50" hidden="1">"Z:\News_2001\kb01030515"</definedName>
    <definedName name="HTML_PathFile" localSheetId="41" hidden="1">"H:\DATA\MyHTML.htm"</definedName>
    <definedName name="HTML_PathFile" localSheetId="46" hidden="1">"H:\DATA\MyHTML.htm"</definedName>
    <definedName name="HTML_PathFile" localSheetId="49" hidden="1">"H:\DATA\MyHTML.htm"</definedName>
    <definedName name="HTML_PathFile" localSheetId="45" hidden="1">"H:\DATA\MyHTML.htm"</definedName>
    <definedName name="HTML_PathFile" localSheetId="48" hidden="1">"H:\DATA\MyHTML.htm"</definedName>
    <definedName name="HTML_PathFile" localSheetId="47" hidden="1">"H:\DATA\MyHTML.htm"</definedName>
    <definedName name="HTML_PathFile" hidden="1">"C:\WINNT\Profiles\E003999\Desktop\MyHTML.htm"</definedName>
    <definedName name="HTML_PathTemplate" hidden="1">"Z:\gochart.htm"</definedName>
    <definedName name="HTML_Title" localSheetId="50" hidden="1">"Account"</definedName>
    <definedName name="HTML_Title" localSheetId="41" hidden="1">"Account"</definedName>
    <definedName name="HTML_Title" localSheetId="46" hidden="1">"Account"</definedName>
    <definedName name="HTML_Title" localSheetId="49" hidden="1">"Account"</definedName>
    <definedName name="HTML_Title" localSheetId="45" hidden="1">"Account"</definedName>
    <definedName name="HTML_Title" localSheetId="48" hidden="1">"Account"</definedName>
    <definedName name="HTML_Title" localSheetId="47" hidden="1">"Account"</definedName>
    <definedName name="HTML_Title" hidden="1">"Asset Tracking 2_9_01"</definedName>
    <definedName name="HTML1_1" hidden="1">"[MWHCUST.XLW]Intranet!$A$1:$I$42"</definedName>
    <definedName name="HTML1_10" hidden="1">""</definedName>
    <definedName name="HTML1_11" hidden="1">1</definedName>
    <definedName name="HTML1_12" hidden="1">"E:\Working\pages\Update\MwhCust.htm"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"10/10/96"</definedName>
    <definedName name="HTML1_9" hidden="1">"LGE Energy Division User"</definedName>
    <definedName name="HTML2_1" hidden="1">"[MWHCUST.XLW]Intranet!$A$1:$I$40"</definedName>
    <definedName name="HTML2_10" hidden="1">""</definedName>
    <definedName name="HTML2_11" hidden="1">1</definedName>
    <definedName name="HTML2_12" hidden="1">"E:\Working\pages\Update\mwhcust.htm"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"10/10/96"</definedName>
    <definedName name="HTML2_9" hidden="1">"LGE Energy Division User"</definedName>
    <definedName name="HTML3_1" hidden="1">"[MWHCUST.XLW]Intranet!$A$1:$J$40"</definedName>
    <definedName name="HTML3_10" hidden="1">""</definedName>
    <definedName name="HTML3_11" hidden="1">1</definedName>
    <definedName name="HTML3_12" hidden="1">"E:\Working\pages\Update\MwhCust.htm"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"10/10/96"</definedName>
    <definedName name="HTML3_9" hidden="1">"LGE Energy Division User"</definedName>
    <definedName name="HTMLCount" hidden="1">3</definedName>
    <definedName name="INTERNET"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USTABLE_RATE_LOANS_FDIC" hidden="1">"c6375"</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ROKERED_DEPOSITS_FDIC" hidden="1">"c6486"</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RT_DEBT" hidden="1">"c224"</definedName>
    <definedName name="IQ_CONVEXITY" hidden="1">"c2182"</definedName>
    <definedName name="IQ_CONVEYED_TO_OTHERS_FDIC" hidden="1">"c6534"</definedName>
    <definedName name="IQ_CORE_CAPITAL_RATIO_FDIC" hidden="1">"c6745"</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ET_INT" hidden="1">"c360"</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NET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ET_INT" hidden="1">"c373"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"c189"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C" hidden="1">"c487"</definedName>
    <definedName name="IQ_GAIN_INVEST_REC_BNK" hidden="1">"c488"</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"c505"</definedName>
    <definedName name="IQ_GEO_SEG_EBT" hidden="1">"c506"</definedName>
    <definedName name="IQ_GEO_SEG_GP" hidden="1">"c507"</definedName>
    <definedName name="IQ_GEO_SEG_NI" hidden="1">"c508"</definedName>
    <definedName name="IQ_GEO_SEG_OPER_INC" hidden="1">"c509"</definedName>
    <definedName name="IQ_GEO_SEG_REV" hidden="1">"c510"</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GW" hidden="1">"c519"</definedName>
    <definedName name="IQ_GROSS_INTAN" hidden="1">"c520"</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PARENT" hidden="1">"c2144"</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41085.5125347222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PTIONS_OS" hidden="1">"c858"</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TRANSACTIONS_FDIC" hidden="1">"c6504"</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VG_STORE_SIZE_GROSS" hidden="1">"c2066"</definedName>
    <definedName name="IQ_RETAIL_AVG_STORE_SIZE_NET" hidden="1">"c2067"</definedName>
    <definedName name="IQ_RETAIL_CLOSED_STORES" hidden="1">"c2063"</definedName>
    <definedName name="IQ_RETAIL_DEPOSITS_FDIC" hidden="1">"c6488"</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OCK_BASED_COMP" hidden="1">"c1204"</definedName>
    <definedName name="IQ_STRIKE_PRICE_ISSUED" hidden="1">"c1645"</definedName>
    <definedName name="IQ_STRIKE_PRICE_OS" hidden="1">"c1646"</definedName>
    <definedName name="IQ_STW" hidden="1">"c2166"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MPLATE_BS" hidden="1">"c1211"</definedName>
    <definedName name="IQ_TEMPLATE_CF" hidden="1">"c1212"</definedName>
    <definedName name="IQ_TEMPLATE_IS" hidden="1">"c1213"</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S" hidden="1">"c2119"</definedName>
    <definedName name="IQ_TOTAL_TIME_DEPOSITS_FDIC" hidden="1">"c6497"</definedName>
    <definedName name="IQ_TOTAL_TIME_SAVINGS_DEPOSITS_FDIC" hidden="1">"c6498"</definedName>
    <definedName name="IQ_TOTAL_UNUSAL" hidden="1">"c1308"</definedName>
    <definedName name="IQ_TOTAL_UNUSED_COMMITMENTS_FDIC" hidden="1">"c6536"</definedName>
    <definedName name="IQ_TOTAL_UNUSUAL" hidden="1">"c1508"</definedName>
    <definedName name="IQ_TOTAL_UNUSUAL_BR" hidden="1">"c5517"</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HIGH" hidden="1">"c1337"</definedName>
    <definedName name="IQ_YEARLOW" hidden="1">"c1338"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ijul" localSheetId="50" hidden="1">#REF!</definedName>
    <definedName name="jijul" localSheetId="27" hidden="1">#REF!</definedName>
    <definedName name="jijul" localSheetId="28" hidden="1">#REF!</definedName>
    <definedName name="jijul" localSheetId="29" hidden="1">#REF!</definedName>
    <definedName name="jijul" localSheetId="30" hidden="1">#REF!</definedName>
    <definedName name="jijul" localSheetId="37" hidden="1">#REF!</definedName>
    <definedName name="jijul" hidden="1">#REF!</definedName>
    <definedName name="p" hidden="1">{#N/A,#N/A,TRUE,"Acq-Ass";#N/A,#N/A,TRUE,"Acq-IS";#N/A,#N/A,TRUE,"Acq-BS";#N/A,#N/A,TRUE,"Acq-CF"}</definedName>
    <definedName name="PopCache_GL_INTERFACE_REFERENCE7" hidden="1">[6]PopCache!$A$1:$A$2</definedName>
    <definedName name="_xlnm.Print_Area" localSheetId="50">AFUDC!$A$1:$H$57</definedName>
    <definedName name="_xlnm.Print_Area" localSheetId="53">'ECR EXP B'!$B$1:$O$26</definedName>
    <definedName name="_xlnm.Print_Area" localSheetId="54">'ECR EXP F'!$A$1:$N$25</definedName>
    <definedName name="_xlnm.Print_Area" localSheetId="4">'Index B'!$A$1:$C$42</definedName>
    <definedName name="_xlnm.Print_Area" localSheetId="42">'JURISSEP B'!$E$12:$Q$1345</definedName>
    <definedName name="_xlnm.Print_Area" localSheetId="43">'JURISSEP F'!$E$12:$Q$1346</definedName>
    <definedName name="_xlnm.Print_Area" localSheetId="58">'KU Depr Rates'!$A$1:$R$379</definedName>
    <definedName name="_xlnm.Print_Area" localSheetId="5">'SCH B-1'!$A$1:$G$30</definedName>
    <definedName name="_xlnm.Print_Area" localSheetId="6">'SCH B-2'!$A$1:$H$56</definedName>
    <definedName name="_xlnm.Print_Area" localSheetId="7">'SCH B-2.1 B'!$A$1:$I$113</definedName>
    <definedName name="_xlnm.Print_Area" localSheetId="8">'SCH B-2.1 F'!$A$1:$I$113</definedName>
    <definedName name="_xlnm.Print_Area" localSheetId="9">'SCH B-2.2'!$A$1:$I$62</definedName>
    <definedName name="_xlnm.Print_Area" localSheetId="10">'SCH B-2.3 B'!$A$1:$I$113</definedName>
    <definedName name="_xlnm.Print_Area" localSheetId="11">'SCH B-2.3 F'!$A$1:$J$114</definedName>
    <definedName name="_xlnm.Print_Area" localSheetId="12">'SCH B-2.4'!$A$1:$J$26</definedName>
    <definedName name="_xlnm.Print_Area" localSheetId="13">'SCH B-2.5'!$A$1:$I$26</definedName>
    <definedName name="_xlnm.Print_Area" localSheetId="14">'SCH B-2.6'!$A$1:$O$42</definedName>
    <definedName name="_xlnm.Print_Area" localSheetId="15">'SCH B-2.7'!$A$1:$L$82</definedName>
    <definedName name="_xlnm.Print_Area" localSheetId="16">'SCH B-3 B'!$A$1:$J$116</definedName>
    <definedName name="_xlnm.Print_Area" localSheetId="17">'SCH B-3 F'!$A$1:$J$116</definedName>
    <definedName name="_xlnm.Print_Area" localSheetId="18">'SCH B-3.1'!$A$1:$I$60</definedName>
    <definedName name="_xlnm.Print_Area" localSheetId="19">'SCH B-3.2 B'!$A$1:$K$110</definedName>
    <definedName name="_xlnm.Print_Area" localSheetId="20">'SCH B-3.2 F'!$A$1:$K$110</definedName>
    <definedName name="_xlnm.Print_Area" localSheetId="21">'SCH B-4'!$A$1:$K$50</definedName>
    <definedName name="_xlnm.Print_Area" localSheetId="22">'SCH B-4.1'!$A$1:$H$36</definedName>
    <definedName name="_xlnm.Print_Area" localSheetId="23">'SCH B-4.2 B'!$A$1:$J$182</definedName>
    <definedName name="_xlnm.Print_Area" localSheetId="24">'SCH B-4.2 F'!$A$1:$J$354</definedName>
    <definedName name="_xlnm.Print_Area" localSheetId="25">'SCH B-5'!$A$1:$H$52</definedName>
    <definedName name="_xlnm.Print_Area" localSheetId="26">'SCH B-5.1'!$A$1:$F$50</definedName>
    <definedName name="_xlnm.Print_Area" localSheetId="27">'SCH B-5.2 B (1)'!$A$1:$Q$82</definedName>
    <definedName name="_xlnm.Print_Area" localSheetId="28">'SCH B-5.2 B (2)'!$A$1:$W$38,'SCH B-5.2 B (2)'!$A$49:$W$66</definedName>
    <definedName name="_xlnm.Print_Area" localSheetId="29">'SCH B-5.2 F (1)'!$A$1:$Q$82</definedName>
    <definedName name="_xlnm.Print_Area" localSheetId="30">'SCH B-5.2 F (2)'!$A$1:$W$38,'SCH B-5.2 F (2)'!$A$49:$W$66</definedName>
    <definedName name="_xlnm.Print_Area" localSheetId="31">'SCH B-6'!$A$1:$I$43</definedName>
    <definedName name="_xlnm.Print_Area" localSheetId="32">'SCH B-7 B'!$A$1:$F$203</definedName>
    <definedName name="_xlnm.Print_Area" localSheetId="33">'SCH B-7 F'!$A$1:$F$203</definedName>
    <definedName name="_xlnm.Print_Area" localSheetId="34">'SCH B-7.1 B'!$A$1:$H$28</definedName>
    <definedName name="_xlnm.Print_Area" localSheetId="35">'SCH B-7.1 F'!$A$1:$H$28</definedName>
    <definedName name="_xlnm.Print_Area" localSheetId="36">'SCH B-7.2 B'!$A$1:$F$14</definedName>
    <definedName name="_xlnm.Print_Area" localSheetId="37">'SCH B-7.2 F'!$A$1:$F$21</definedName>
    <definedName name="_xlnm.Print_Area" localSheetId="39">'SCH B-8 KY'!$A$1:$P$121</definedName>
    <definedName name="_xlnm.Print_Area" localSheetId="38">'SCH B-8 TC'!$A$1:$P$119</definedName>
    <definedName name="_xlnm.Print_Area" localSheetId="0">'SUPP SCH B-1.1 B'!$A$1:$R$53</definedName>
    <definedName name="_xlnm.Print_Area" localSheetId="1">'SUPP SCH B-1.1 F'!$A$1:$R$53</definedName>
    <definedName name="Print_Area_MI" localSheetId="4">'Index B'!$A$1:$N$42</definedName>
    <definedName name="_xlnm.Print_Titles" localSheetId="45">'FCPIS B'!$1:$3</definedName>
    <definedName name="_xlnm.Print_Titles" localSheetId="42">'JURISSEP B'!$A:$D,'JURISSEP B'!$2:$11</definedName>
    <definedName name="_xlnm.Print_Titles" localSheetId="43">'JURISSEP F'!$A:$D,'JURISSEP F'!$2:$11</definedName>
    <definedName name="_xlnm.Print_Titles" localSheetId="59">'KU Proposed Depr Rates'!$1:$10</definedName>
    <definedName name="_xlnm.Print_Titles" localSheetId="44">'PIS B'!$1:$8</definedName>
    <definedName name="_xlnm.Print_Titles" localSheetId="47">'PIS F'!$1:$8</definedName>
    <definedName name="print4"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ratings1" hidden="1">{#N/A,#N/A,FALSE,"Capitaliztion Matrix";#N/A,#N/A,FALSE,"4YR P&amp;L";#N/A,#N/A,FALSE,"Program Contributions";#N/A,#N/A,FALSE,"P&amp;L Trans YR 2";#N/A,#N/A,FALSE,"Rev &amp; EBITDA YR2";#N/A,#N/A,FALSE,"P&amp;L Trans YR 1";#N/A,#N/A,FALSE,"Rev &amp; EBITDA YR1"}</definedName>
    <definedName name="SAPBEXhrIndnt" hidden="1">"Wide"</definedName>
    <definedName name="SAPsysID" hidden="1">"708C5W7SBKP804JT78WJ0JNKI"</definedName>
    <definedName name="SAPwbID" hidden="1">"ARS"</definedName>
    <definedName name="sdaf" hidden="1">{#N/A,#N/A,FALSE,"Capitaliztion Matrix";#N/A,#N/A,FALSE,"4YR P&amp;L";#N/A,#N/A,FALSE,"Program Contributions";#N/A,#N/A,FALSE,"P&amp;L Trans YR 2";#N/A,#N/A,FALSE,"Rev &amp; EBITDA YR2";#N/A,#N/A,FALSE,"P&amp;L Trans YR 1";#N/A,#N/A,FALSE,"Rev &amp; EBITDA YR1"}</definedName>
    <definedName name="sencount" hidden="1">1</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 localSheetId="27" hidden="1">#REF!</definedName>
    <definedName name="solver_opt" localSheetId="28" hidden="1">#REF!</definedName>
    <definedName name="solver_opt" localSheetId="29" hidden="1">#REF!</definedName>
    <definedName name="solver_opt" localSheetId="30" hidden="1">#REF!</definedName>
    <definedName name="solver_opt" localSheetId="37"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test"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affas" hidden="1">{#N/A,#N/A,FALSE,"New-RegularBevel";#N/A,#N/A,FALSE,"Optiva-Optiva2";#N/A,#N/A,FALSE,"Cathlon-Monoblok";#N/A,#N/A,FALSE,"Stylets"}</definedName>
    <definedName name="vvvv" hidden="1">{#N/A,#N/A,FALSE,"New-RegularBevel";#N/A,#N/A,FALSE,"Optiva-Optiva2";#N/A,#N/A,FALSE,"Cathlon-Monoblok";#N/A,#N/A,FALSE,"Stylets"}</definedName>
    <definedName name="vvvvv" hidden="1">{#N/A,#N/A,FALSE,"Costi per Gruppo ";#N/A,#N/A,FALSE,"New-RegularBevel";#N/A,#N/A,FALSE,"Optiva-Optiva2";#N/A,#N/A,FALSE,"Cathlon-Monoblok";#N/A,#N/A,FALSE,"Stylets";#N/A,#N/A,FALSE,"Totali"}</definedName>
    <definedName name="wavy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2"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ll." hidden="1">{#N/A,#N/A,FALSE,"Brad BANM_S";#N/A,#N/A,FALSE,"Brad SAM_BANM";#N/A,#N/A,FALSE,"Brad_LD";#N/A,#N/A,FALSE,"BANM-&gt;S";#N/A,#N/A,FALSE,"BANM_S";#N/A,#N/A,FALSE,"S-&gt;BANM";#N/A,#N/A,FALSE,"SAM_BANM";#N/A,#N/A,FALSE,"BANM";#N/A,#N/A,FALSE,"Sam"}</definedName>
    <definedName name="wrn.All._.Financials." hidden="1">{#N/A,#N/A,TRUE,"Assumptions";#N/A,#N/A,TRUE,"Op Projection";#N/A,#N/A,TRUE,"Capital";#N/A,#N/A,TRUE,"Income";#N/A,#N/A,TRUE,"Balance";#N/A,#N/A,TRUE,"Sources&amp;Uses"}</definedName>
    <definedName name="wrn.Balance._.Sheets." hidden="1">{#N/A,#N/A,FALSE,"Bal sht";"Qtrly Bal Sht",#N/A,FALSE,"Bal sht - QTR"}</definedName>
    <definedName name="wrn.Board._.Forecast."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CANWEST._.GLOBAL." hidden="1">{"BS",#N/A,FALSE;"RE",#N/A,FALSE;"IS",#N/A,FALSE;"CASH",#N/A,FALSE}</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DCF." hidden="1">{#N/A,#N/A,FALSE,"Brad_DCFM";#N/A,#N/A,FALSE,"Nick_DCFM";#N/A,#N/A,FALSE,"Mobile_DCFM"}</definedName>
    <definedName name="wrn.Detail._.Income._.Statement." hidden="1">{"Facility Detail",#N/A,FALSE,"P&amp;L Detail"}</definedName>
    <definedName name="wrn.Everything." hidden="1">{"Inc.St. Annual",#N/A,FALSE,"Inc.St.";"Inc.St. Qtr",#N/A,FALSE,"Inc.St.";#N/A,#N/A,FALSE,"Bal.Sht.";"Cash Flow Annual",#N/A,FALSE,"Cash Flow";"Cash Flow Qtr",#N/A,FALSE,"Cash Flow";#N/A,#N/A,FALSE,"Debt";#N/A,#N/A,FALSE,"DCF";"Summary Annual",#N/A,FALSE,"Summary";"Summary Qtr",#N/A,FALSE,"Summary"}</definedName>
    <definedName name="wrn.Facility._.Profit._.and._.Loss."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inancial._.Statements."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ICP." hidden="1">{#N/A,#N/A,FALSE,"ICP Europa";#N/A,#N/A,FALSE,"ICP Francia";#N/A,#N/A,FALSE,"ICP Oriente";#N/A,#N/A,FALSE,"ICP Giappone";#N/A,#N/A,FALSE,"ICP Korea";#N/A,#N/A,FALSE,"ICP Riepilogo"}</definedName>
    <definedName name="wrn.Income._.Statements." hidden="1">{"Income Statement",#N/A,FALSE,"P&amp;L - $";"Quarterly Income Statement",#N/A,FALSE,"P&amp;L Detail"}</definedName>
    <definedName name="wrn.LUXCOS." hidden="1">{"LUX_ASSET",#N/A,FALSE,"CII-Q494.XLS";"LUX_LIAB",#N/A,FALSE,"CII-Q494.XLS";"LUX_INC",#N/A,FALSE,"CII-Q494.XLS";"LUXje",#N/A,FALSE,"CII-Q494.XLS"}</definedName>
    <definedName name="wrn.Market._.Share._.Report."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Phase._.in." hidden="1">{"Phase in summary",#N/A,FALSE,"P&amp;L Phased"}</definedName>
    <definedName name="wrn.PL._.Detail." hidden="1">{#N/A,#N/A,FALSE,"P&amp;L Detail";#N/A,#N/A,FALSE,"P&amp;L Detail";#N/A,#N/A,FALSE,"P&amp;L Detail"}</definedName>
    <definedName name="wrn.Print."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_.All._.Worksheets." hidden="1">{#N/A,#N/A,FALSE,"Capitaliztion Matrix";#N/A,#N/A,FALSE,"4YR P&amp;L";#N/A,#N/A,FALSE,"Program Contributions";#N/A,#N/A,FALSE,"P&amp;L Trans YR 2";#N/A,#N/A,FALSE,"Rev &amp; EBITDA YR2";#N/A,#N/A,FALSE,"P&amp;L Trans YR 1";#N/A,#N/A,FALSE,"Rev &amp; EBITDA YR1"}</definedName>
    <definedName name="wrn.Print2."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ac." hidden="1">{#N/A,#N/A,FALSE,"Op-BS";#N/A,#N/A,FALSE,"Assum";#N/A,#N/A,FALSE,"IS";#N/A,#N/A,FALSE,"Syn+Elim";#N/A,#N/A,FALSE,"BSCF";#N/A,#N/A,FALSE,"Blue_IS";#N/A,#N/A,FALSE,"Blue_BSCF";#N/A,#N/A,FALSE,"Ratings"}</definedName>
    <definedName name="wrn.Produzione." hidden="1">{#N/A,#N/A,FALSE,"Produzione 1";#N/A,#N/A,FALSE,"Rettifica 1";#N/A,#N/A,FALSE,"Produzione 2";#N/A,#N/A,FALSE,"Rettifica 2";#N/A,#N/A,FALSE,"Produzione 3"}</definedName>
    <definedName name="wrn.Quarterly._.Income._.Statement." hidden="1">{"Quarterly Income Statement",#N/A,FALSE,"P&amp;L Detail"}</definedName>
    <definedName name="wrn.Report." hidden="1">{#N/A,#N/A,FALSE,"Cost Comparison";#N/A,#N/A,FALSE,"ICP Comparison "}</definedName>
    <definedName name="wrn.Report._.2." hidden="1">{#N/A,#N/A,TRUE,"Pivots-Employee";#N/A,"Scenerio2",TRUE,"Assumptions Summary"}</definedName>
    <definedName name="wrn.Report1." hidden="1">{#N/A,#N/A,TRUE,"Pivots-Employee";#N/A,"Scenario1",TRUE,"Assumptions Summary"}</definedName>
    <definedName name="wrn.Research._.Dept." hidden="1">{"hc buildup",#N/A,FALSE,"Headcount Build-up";"7xx - ops summary - hc",#N/A,FALSE,"7xx_Research Summary";"7xx operations summary",#N/A,FALSE,"7xx_Research Summary";"720 custom research",#N/A,FALSE,"720_Custom Research";"730 syn research",#N/A,FALSE,"730_Syndicated Research"}</definedName>
    <definedName name="wrn.Revenue._.Cost._.Model."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iew." hidden="1">{"review",#N/A,FALSE,"FACTSHT"}</definedName>
    <definedName name="wrn.review1." hidden="1">{"review",#N/A,FALSE,"FACTSHT"}</definedName>
    <definedName name="wrn.SBEI." hidden="1">{#N/A,#N/A,TRUE,"Table1";#N/A,#N/A,TRUE,"Table2";#N/A,#N/A,TRUE,"Table3";#N/A,#N/A,TRUE,"Table4";#N/A,#N/A,TRUE,"Table5";#N/A,#N/A,TRUE,"Table6";#N/A,#N/A,TRUE,"Table7";#N/A,#N/A,TRUE,"Table8";#N/A,#N/A,TRUE,"Table9";#N/A,#N/A,TRUE,"Table10";#N/A,#N/A,TRUE,"Table11";#N/A,#N/A,TRUE,"Table12";#N/A,#N/A,TRUE,"Table13";#N/A,#N/A,TRUE,"Table14"}</definedName>
    <definedName name="wrn.Statistics." hidden="1">{"Std Poor",#N/A,FALSE,"S&amp;P";"Sum Stats",#N/A,FALSE,"Stats"}</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Vendite." hidden="1">{#N/A,#N/A,FALSE,"Vendite Europa";#N/A,#N/A,FALSE,"Vendite Francia";#N/A,#N/A,FALSE,"Vendite Korea";#N/A,#N/A,FALSE,"Vendite Oriente";#N/A,#N/A,FALSE,"Vendite Giappone";#N/A,#N/A,FALSE,"Vendite Riepilogo"}</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5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2" hidden="1">{"Wkp ComEquity",#N/A,FALSE,"Cap Struct WPs"}</definedName>
    <definedName name="wrn.Wkp._.ComEquity." localSheetId="52" hidden="1">{"Wkp ComEquity",#N/A,FALSE,"Cap Struct WPs"}</definedName>
    <definedName name="wrn.Wkp._.ComEquity." hidden="1">{"Wkp ComEquity",#N/A,FALSE,"Cap Struct WPs"}</definedName>
    <definedName name="wrn.Wkp._.JDITC." localSheetId="2" hidden="1">{"Wkp JDITC",#N/A,FALSE,"Cap Struct WPs"}</definedName>
    <definedName name="wrn.Wkp._.JDITC." localSheetId="52" hidden="1">{"Wkp JDITC",#N/A,FALSE,"Cap Struct WPs"}</definedName>
    <definedName name="wrn.Wkp._.JDITC." hidden="1">{"Wkp JDITC",#N/A,FALSE,"Cap Struct WPs"}</definedName>
    <definedName name="wrn.Wkp._.LTerm._.Debt." localSheetId="2" hidden="1">{"Wkp LTerm Debt",#N/A,FALSE,"Cap Struct WPs"}</definedName>
    <definedName name="wrn.Wkp._.LTerm._.Debt." localSheetId="52" hidden="1">{"Wkp LTerm Debt",#N/A,FALSE,"Cap Struct WPs"}</definedName>
    <definedName name="wrn.Wkp._.LTerm._.Debt." hidden="1">{"Wkp LTerm Debt",#N/A,FALSE,"Cap Struct WPs"}</definedName>
    <definedName name="wrn.Wkp._.LTerm._.Debt._.13Mo._.Avg." localSheetId="2" hidden="1">{"Wkp LTerm Debt 13MoAvg",#N/A,FALSE,"Cap Struct WPs"}</definedName>
    <definedName name="wrn.Wkp._.LTerm._.Debt._.13Mo._.Avg." localSheetId="52" hidden="1">{"Wkp LTerm Debt 13MoAvg",#N/A,FALSE,"Cap Struct WPs"}</definedName>
    <definedName name="wrn.Wkp._.LTerm._.Debt._.13Mo._.Avg." hidden="1">{"Wkp LTerm Debt 13MoAvg",#N/A,FALSE,"Cap Struct WPs"}</definedName>
    <definedName name="wrn.Wkp._.LTerm._.Debt._.Amort." localSheetId="2" hidden="1">{"Wkp Lterm Debt Amort",#N/A,FALSE,"Cap Struct WPs"}</definedName>
    <definedName name="wrn.Wkp._.LTerm._.Debt._.Amort." localSheetId="52" hidden="1">{"Wkp Lterm Debt Amort",#N/A,FALSE,"Cap Struct WPs"}</definedName>
    <definedName name="wrn.Wkp._.LTerm._.Debt._.Amort." hidden="1">{"Wkp Lterm Debt Amort",#N/A,FALSE,"Cap Struct WPs"}</definedName>
    <definedName name="wrn.Wkp._.LTerm._.Debt._.Int." localSheetId="2" hidden="1">{"Wkp LTerm Debt Int",#N/A,FALSE,"Cap Struct WPs"}</definedName>
    <definedName name="wrn.Wkp._.LTerm._.Debt._.Int." localSheetId="52" hidden="1">{"Wkp LTerm Debt Int",#N/A,FALSE,"Cap Struct WPs"}</definedName>
    <definedName name="wrn.Wkp._.LTerm._.Debt._.Int." hidden="1">{"Wkp LTerm Debt Int",#N/A,FALSE,"Cap Struct WPs"}</definedName>
    <definedName name="wrn.Wkp._.PreStock." localSheetId="2" hidden="1">{"Wkp PreStock",#N/A,FALSE,"Cap Struct WPs"}</definedName>
    <definedName name="wrn.Wkp._.PreStock." localSheetId="52" hidden="1">{"Wkp PreStock",#N/A,FALSE,"Cap Struct WPs"}</definedName>
    <definedName name="wrn.Wkp._.PreStock." hidden="1">{"Wkp PreStock",#N/A,FALSE,"Cap Struct WPs"}</definedName>
    <definedName name="wrn.Wkp._.PreStock._.13MoAvg." localSheetId="2" hidden="1">{"Wkp PreStock 13MoAvg",#N/A,FALSE,"Cap Struct WPs"}</definedName>
    <definedName name="wrn.Wkp._.PreStock._.13MoAvg." localSheetId="52" hidden="1">{"Wkp PreStock 13MoAvg",#N/A,FALSE,"Cap Struct WPs"}</definedName>
    <definedName name="wrn.Wkp._.PreStock._.13MoAvg." hidden="1">{"Wkp PreStock 13MoAvg",#N/A,FALSE,"Cap Struct WPs"}</definedName>
    <definedName name="wrn.Wkp._.PreStock._.Amort." localSheetId="2" hidden="1">{"Wkp PreStock Amort",#N/A,FALSE,"Cap Struct WPs"}</definedName>
    <definedName name="wrn.Wkp._.PreStock._.Amort." localSheetId="52" hidden="1">{"Wkp PreStock Amort",#N/A,FALSE,"Cap Struct WPs"}</definedName>
    <definedName name="wrn.Wkp._.PreStock._.Amort." hidden="1">{"Wkp PreStock Amort",#N/A,FALSE,"Cap Struct WPs"}</definedName>
    <definedName name="wrn.Wkp._.PreStock._.Dividend." localSheetId="2" hidden="1">{"Wkp PreStock Dividend",#N/A,FALSE,"Cap Struct WPs"}</definedName>
    <definedName name="wrn.Wkp._.PreStock._.Dividend." localSheetId="52" hidden="1">{"Wkp PreStock Dividend",#N/A,FALSE,"Cap Struct WPs"}</definedName>
    <definedName name="wrn.Wkp._.PreStock._.Dividend." hidden="1">{"Wkp PreStock Dividend",#N/A,FALSE,"Cap Struct WPs"}</definedName>
    <definedName name="wrn.Wkp._.STerm._.Debt." localSheetId="2" hidden="1">{"Wkp STerm Debt",#N/A,FALSE,"Cap Struct WPs"}</definedName>
    <definedName name="wrn.Wkp._.STerm._.Debt." localSheetId="52" hidden="1">{"Wkp STerm Debt",#N/A,FALSE,"Cap Struct WPs"}</definedName>
    <definedName name="wrn.Wkp._.STerm._.Debt." hidden="1">{"Wkp STerm Debt",#N/A,FALSE,"Cap Struct WPs"}</definedName>
    <definedName name="wrn.Wkp._.Unamort._.Debt._.Exp." localSheetId="2" hidden="1">{"Wkp Unamort Debt Exp",#N/A,FALSE,"Cap Struct WPs"}</definedName>
    <definedName name="wrn.Wkp._.Unamort._.Debt._.Exp." localSheetId="52" hidden="1">{"Wkp Unamort Debt Exp",#N/A,FALSE,"Cap Struct WPs"}</definedName>
    <definedName name="wrn.Wkp._.Unamort._.Debt._.Exp." hidden="1">{"Wkp Unamort Debt Exp",#N/A,FALSE,"Cap Struct WPs"}</definedName>
    <definedName name="wrn.Wkp._.Unamort._.PreStock._.Exp." localSheetId="2" hidden="1">{"Wkp Unamort PreStock Exp",#N/A,FALSE,"Cap Struct WPs"}</definedName>
    <definedName name="wrn.Wkp._.Unamort._.PreStock._.Exp." localSheetId="52" hidden="1">{"Wkp Unamort PreStock Exp",#N/A,FALSE,"Cap Struct WPs"}</definedName>
    <definedName name="wrn.Wkp._.Unamort._.PreStock._.Exp." hidden="1">{"Wkp Unamort PreStock Exp",#N/A,FALSE,"Cap Struct WPs"}</definedName>
    <definedName name="xxxx" hidden="1">{#N/A,#N/A,FALSE,"New-RegularBevel";#N/A,#N/A,FALSE,"Optiva-Optiva2";#N/A,#N/A,FALSE,"Cathlon-Monoblok";#N/A,#N/A,FALSE,"Stylets"}</definedName>
    <definedName name="xxxxxxxxxxx" hidden="1">{#N/A,#N/A,FALSE,"Costi per Gruppo ";#N/A,#N/A,FALSE,"New-RegularBevel";#N/A,#N/A,FALSE,"Optiva-Optiva2";#N/A,#N/A,FALSE,"Cathlon-Monoblok";#N/A,#N/A,FALSE,"Stylets";#N/A,#N/A,FALSE,"Totali"}</definedName>
    <definedName name="Z_0827DD1F_A9BE_4D13_BDC7_18E2F5303A4C_.wvu.PrintArea" localSheetId="39" hidden="1">'SCH B-8 KY'!$A$1:$P$127</definedName>
    <definedName name="Z_0827DD1F_A9BE_4D13_BDC7_18E2F5303A4C_.wvu.PrintArea" localSheetId="38" hidden="1">'SCH B-8 TC'!$A$1:$P$127</definedName>
    <definedName name="Z_17EC1D8B_C312_4928_92BF_E4B8E04733C9_.wvu.PrintArea" localSheetId="39" hidden="1">'SCH B-8 KY'!$A$1:$P$127</definedName>
    <definedName name="Z_17EC1D8B_C312_4928_92BF_E4B8E04733C9_.wvu.PrintArea" localSheetId="38" hidden="1">'SCH B-8 TC'!$A$1:$P$127</definedName>
    <definedName name="Z_17F81FAD_A804_409E_AD77_E4B3A0D493B1_.wvu.PrintArea" localSheetId="39" hidden="1">'SCH B-8 KY'!$A$1:$P$127</definedName>
    <definedName name="Z_17F81FAD_A804_409E_AD77_E4B3A0D493B1_.wvu.PrintArea" localSheetId="38" hidden="1">'SCH B-8 TC'!$A$1:$P$127</definedName>
    <definedName name="Z_2B785BFB_7564_44CF_85B0_B660EDED919E_.wvu.PrintArea" localSheetId="39" hidden="1">'SCH B-8 KY'!$A$1:$P$127</definedName>
    <definedName name="Z_2B785BFB_7564_44CF_85B0_B660EDED919E_.wvu.PrintArea" localSheetId="38" hidden="1">'SCH B-8 TC'!$A$1:$P$127</definedName>
    <definedName name="Z_30F99172_C4F2_44CA_968C_724910CD8C0D_.wvu.PrintArea" localSheetId="39" hidden="1">'SCH B-8 KY'!$A$1:$P$127</definedName>
    <definedName name="Z_30F99172_C4F2_44CA_968C_724910CD8C0D_.wvu.PrintArea" localSheetId="38" hidden="1">'SCH B-8 TC'!$A$1:$P$127</definedName>
    <definedName name="Z_4D71A4B5_3501_4D55_925A_603836C1CD6A_.wvu.PrintArea" localSheetId="39" hidden="1">'SCH B-8 KY'!$A$1:$P$127</definedName>
    <definedName name="Z_4D71A4B5_3501_4D55_925A_603836C1CD6A_.wvu.PrintArea" localSheetId="38" hidden="1">'SCH B-8 TC'!$A$1:$P$127</definedName>
    <definedName name="Z_4E8676F3_F8E9_4B82_A801_CEC84738F427_.wvu.PrintArea" localSheetId="39" hidden="1">'SCH B-8 KY'!$A$1:$P$127</definedName>
    <definedName name="Z_4E8676F3_F8E9_4B82_A801_CEC84738F427_.wvu.PrintArea" localSheetId="38" hidden="1">'SCH B-8 TC'!$A$1:$P$127</definedName>
    <definedName name="Z_50E30236_B87B_46B0_8AB7_5CB07C32AD51_.wvu.PrintArea" localSheetId="39" hidden="1">'SCH B-8 KY'!$A$1:$P$127</definedName>
    <definedName name="Z_50E30236_B87B_46B0_8AB7_5CB07C32AD51_.wvu.PrintArea" localSheetId="38" hidden="1">'SCH B-8 TC'!$A$1:$P$127</definedName>
    <definedName name="Z_5446BA9A_8B69_404B_A913_5A53E8937DEF_.wvu.PrintArea" localSheetId="39" hidden="1">'SCH B-8 KY'!$A$1:$P$127</definedName>
    <definedName name="Z_5446BA9A_8B69_404B_A913_5A53E8937DEF_.wvu.PrintArea" localSheetId="38" hidden="1">'SCH B-8 TC'!$A$1:$P$127</definedName>
    <definedName name="Z_5C6CC12D_4976_49E7_B4BF_0BC5FC5930C4_.wvu.PrintArea" localSheetId="39" hidden="1">'SCH B-8 KY'!$A$1:$P$127</definedName>
    <definedName name="Z_5C6CC12D_4976_49E7_B4BF_0BC5FC5930C4_.wvu.PrintArea" localSheetId="38" hidden="1">'SCH B-8 TC'!$A$1:$P$127</definedName>
    <definedName name="Z_650001A7_7F5D_4C25_A793_6874747A9BCA_.wvu.PrintArea" localSheetId="39" hidden="1">'SCH B-8 KY'!$A$1:$P$127</definedName>
    <definedName name="Z_650001A7_7F5D_4C25_A793_6874747A9BCA_.wvu.PrintArea" localSheetId="38" hidden="1">'SCH B-8 TC'!$A$1:$P$127</definedName>
    <definedName name="Z_6806E151_5E14_4AFD_87E4_963C9A6AC622_.wvu.PrintArea" localSheetId="39" hidden="1">'SCH B-8 KY'!$A$1:$P$127</definedName>
    <definedName name="Z_6806E151_5E14_4AFD_87E4_963C9A6AC622_.wvu.PrintArea" localSheetId="38" hidden="1">'SCH B-8 TC'!$A$1:$P$127</definedName>
    <definedName name="Z_6B73F06A_6B8B_492D_98E8_4B1867446724_.wvu.PrintArea" localSheetId="39" hidden="1">'SCH B-8 KY'!$A$1:$P$127</definedName>
    <definedName name="Z_6B73F06A_6B8B_492D_98E8_4B1867446724_.wvu.PrintArea" localSheetId="38" hidden="1">'SCH B-8 TC'!$A$1:$P$127</definedName>
    <definedName name="Z_6B79D4D5_16CF_4897_8F30_1E695809C85C_.wvu.PrintArea" localSheetId="39" hidden="1">'SCH B-8 KY'!$A$1:$P$127</definedName>
    <definedName name="Z_6B79D4D5_16CF_4897_8F30_1E695809C85C_.wvu.PrintArea" localSheetId="38" hidden="1">'SCH B-8 TC'!$A$1:$P$127</definedName>
    <definedName name="Z_7F548A59_6325_4863_A2CD_C4C2FE9990B9_.wvu.PrintArea" localSheetId="39" hidden="1">'SCH B-8 KY'!$A$1:$P$127</definedName>
    <definedName name="Z_7F548A59_6325_4863_A2CD_C4C2FE9990B9_.wvu.PrintArea" localSheetId="38" hidden="1">'SCH B-8 TC'!$A$1:$P$127</definedName>
    <definedName name="Z_949C0204_0136_46BF_80A5_3F78E0511D46_.wvu.PrintArea" localSheetId="39" hidden="1">'SCH B-8 KY'!$A$1:$P$127</definedName>
    <definedName name="Z_949C0204_0136_46BF_80A5_3F78E0511D46_.wvu.PrintArea" localSheetId="38" hidden="1">'SCH B-8 TC'!$A$1:$P$127</definedName>
    <definedName name="Z_9A6DA5E0_B602_4D30_BF57_B9A64673419A_.wvu.PrintArea" localSheetId="39" hidden="1">'SCH B-8 KY'!$A$1:$P$127</definedName>
    <definedName name="Z_9A6DA5E0_B602_4D30_BF57_B9A64673419A_.wvu.PrintArea" localSheetId="38" hidden="1">'SCH B-8 TC'!$A$1:$P$127</definedName>
    <definedName name="Z_9B3B6D0E_03C7_49B0_92DB_C4FD245E93BC_.wvu.PrintArea" localSheetId="39" hidden="1">'SCH B-8 KY'!$A$1:$P$127</definedName>
    <definedName name="Z_9B3B6D0E_03C7_49B0_92DB_C4FD245E93BC_.wvu.PrintArea" localSheetId="38" hidden="1">'SCH B-8 TC'!$A$1:$P$127</definedName>
    <definedName name="Z_B11022C5_E08B_4A9C_A0FF_33A3D6D2F386_.wvu.PrintArea" localSheetId="39" hidden="1">'SCH B-8 KY'!$A$1:$P$127</definedName>
    <definedName name="Z_B11022C5_E08B_4A9C_A0FF_33A3D6D2F386_.wvu.PrintArea" localSheetId="38" hidden="1">'SCH B-8 TC'!$A$1:$P$127</definedName>
    <definedName name="Z_B339DAC4_A962_4729_81C2_E354C0B54027_.wvu.PrintArea" localSheetId="39" hidden="1">'SCH B-8 KY'!$A$1:$P$127</definedName>
    <definedName name="Z_B339DAC4_A962_4729_81C2_E354C0B54027_.wvu.PrintArea" localSheetId="38" hidden="1">'SCH B-8 TC'!$A$1:$P$127</definedName>
    <definedName name="Z_B768E8BE_E40F_4622_8687_5C13CF63FEF1_.wvu.PrintArea" localSheetId="39" hidden="1">'SCH B-8 KY'!$A$1:$P$127</definedName>
    <definedName name="Z_B768E8BE_E40F_4622_8687_5C13CF63FEF1_.wvu.PrintArea" localSheetId="38" hidden="1">'SCH B-8 TC'!$A$1:$P$127</definedName>
    <definedName name="Z_B8F938A3_B40C_4099_ABD8_B6D835D2359F_.wvu.PrintArea" localSheetId="39" hidden="1">'SCH B-8 KY'!$A$1:$P$127</definedName>
    <definedName name="Z_B8F938A3_B40C_4099_ABD8_B6D835D2359F_.wvu.PrintArea" localSheetId="38" hidden="1">'SCH B-8 TC'!$A$1:$P$127</definedName>
    <definedName name="Z_BA17188F_41F9_429B_8466_0B115E6076C4_.wvu.PrintArea" localSheetId="39" hidden="1">'SCH B-8 KY'!$A$1:$P$127</definedName>
    <definedName name="Z_BA17188F_41F9_429B_8466_0B115E6076C4_.wvu.PrintArea" localSheetId="38" hidden="1">'SCH B-8 TC'!$A$1:$P$127</definedName>
    <definedName name="Z_BC5E0361_74E9_4A40_A93E_A28F6B6112CC_.wvu.PrintArea" localSheetId="39" hidden="1">'SCH B-8 KY'!$A$1:$P$127</definedName>
    <definedName name="Z_BC5E0361_74E9_4A40_A93E_A28F6B6112CC_.wvu.PrintArea" localSheetId="38" hidden="1">'SCH B-8 TC'!$A$1:$P$127</definedName>
    <definedName name="Z_BEA31234_456D_4B58_9D73_CDF96CBEAFF0_.wvu.PrintArea" localSheetId="39" hidden="1">'SCH B-8 KY'!$A$1:$P$127</definedName>
    <definedName name="Z_BEA31234_456D_4B58_9D73_CDF96CBEAFF0_.wvu.PrintArea" localSheetId="38" hidden="1">'SCH B-8 TC'!$A$1:$P$127</definedName>
    <definedName name="Z_C26CB08D_E75A_444E_97C0_685DE1198CEB_.wvu.PrintArea" localSheetId="39" hidden="1">'SCH B-8 KY'!$A$1:$P$127</definedName>
    <definedName name="Z_C26CB08D_E75A_444E_97C0_685DE1198CEB_.wvu.PrintArea" localSheetId="38" hidden="1">'SCH B-8 TC'!$A$1:$P$127</definedName>
    <definedName name="Z_CB2DDF95_6E3D_4BC1_9D30_54963EA34987_.wvu.PrintArea" localSheetId="39" hidden="1">'SCH B-8 KY'!$A$1:$P$127</definedName>
    <definedName name="Z_CB2DDF95_6E3D_4BC1_9D30_54963EA34987_.wvu.PrintArea" localSheetId="38" hidden="1">'SCH B-8 TC'!$A$1:$P$127</definedName>
    <definedName name="Z_DC435F00_643C_4507_82D4_894505D8FDA5_.wvu.PrintArea" localSheetId="39" hidden="1">'SCH B-8 KY'!$A$1:$P$127</definedName>
    <definedName name="Z_DC435F00_643C_4507_82D4_894505D8FDA5_.wvu.PrintArea" localSheetId="38" hidden="1">'SCH B-8 TC'!$A$1:$P$127</definedName>
    <definedName name="Z_DF50C4EA_FB13_4C2C_90E3_833D566A43BF_.wvu.PrintArea" localSheetId="39" hidden="1">'SCH B-8 KY'!$A$1:$P$127</definedName>
    <definedName name="Z_DF50C4EA_FB13_4C2C_90E3_833D566A43BF_.wvu.PrintArea" localSheetId="38" hidden="1">'SCH B-8 TC'!$A$1:$P$127</definedName>
  </definedNames>
  <calcPr calcId="152511" iterate="1"/>
</workbook>
</file>

<file path=xl/calcChain.xml><?xml version="1.0" encoding="utf-8"?>
<calcChain xmlns="http://schemas.openxmlformats.org/spreadsheetml/2006/main">
  <c r="T555" i="42" l="1"/>
  <c r="S555" i="42"/>
  <c r="R555" i="42"/>
  <c r="Q555" i="42"/>
  <c r="P555" i="42"/>
  <c r="O555" i="42"/>
  <c r="D355" i="41" l="1"/>
  <c r="D320" i="41"/>
  <c r="D283" i="41"/>
  <c r="D191" i="41"/>
  <c r="B80" i="45" l="1"/>
  <c r="B79" i="45"/>
  <c r="B78" i="45"/>
  <c r="B77" i="45"/>
  <c r="B76" i="45"/>
  <c r="B75" i="45"/>
  <c r="B74" i="45"/>
  <c r="B73" i="45"/>
  <c r="B72" i="45"/>
  <c r="B71" i="45"/>
  <c r="B70" i="45"/>
  <c r="B69" i="45"/>
  <c r="B68" i="45"/>
  <c r="B67" i="45"/>
  <c r="B66" i="45"/>
  <c r="B65" i="45"/>
  <c r="B64" i="45"/>
  <c r="B63" i="45"/>
  <c r="B62" i="45"/>
  <c r="B61" i="45"/>
  <c r="B60" i="45"/>
  <c r="B59" i="45"/>
  <c r="B58" i="45"/>
  <c r="B57" i="45"/>
  <c r="B56" i="45"/>
  <c r="B55" i="45"/>
  <c r="B54" i="45"/>
  <c r="B53" i="45"/>
  <c r="B52" i="45"/>
  <c r="B51" i="45"/>
  <c r="B50" i="45"/>
  <c r="B49" i="45"/>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10" i="45"/>
  <c r="B9" i="45"/>
  <c r="B8" i="45"/>
  <c r="B7" i="45"/>
  <c r="B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V322" i="43"/>
  <c r="G322" i="43"/>
  <c r="E322" i="43"/>
  <c r="C322" i="43"/>
  <c r="B322" i="43"/>
  <c r="A322" i="43"/>
  <c r="V317" i="43"/>
  <c r="G317" i="43"/>
  <c r="E317" i="43"/>
  <c r="C317" i="43"/>
  <c r="B317" i="43"/>
  <c r="A317" i="43"/>
  <c r="V316" i="43"/>
  <c r="G316" i="43"/>
  <c r="E316" i="43"/>
  <c r="C316" i="43"/>
  <c r="B316" i="43"/>
  <c r="A316" i="43"/>
  <c r="E137" i="43"/>
  <c r="E232" i="43"/>
  <c r="E429" i="43"/>
  <c r="E551" i="43"/>
  <c r="B959" i="43"/>
  <c r="B958" i="43"/>
  <c r="B957" i="43"/>
  <c r="B956" i="43"/>
  <c r="B955" i="43"/>
  <c r="B954" i="43"/>
  <c r="B953" i="43"/>
  <c r="B952" i="43"/>
  <c r="B951" i="43"/>
  <c r="B950" i="43"/>
  <c r="B949" i="43"/>
  <c r="B948" i="43"/>
  <c r="B947" i="43"/>
  <c r="B946" i="43"/>
  <c r="B945" i="43"/>
  <c r="B944" i="43"/>
  <c r="B943" i="43"/>
  <c r="B942" i="43"/>
  <c r="B941" i="43"/>
  <c r="B940" i="43"/>
  <c r="B939" i="43"/>
  <c r="B938" i="43"/>
  <c r="B937" i="43"/>
  <c r="B936" i="43"/>
  <c r="B935" i="43"/>
  <c r="B934" i="43"/>
  <c r="B933" i="43"/>
  <c r="B932" i="43"/>
  <c r="B931" i="43"/>
  <c r="B930" i="43"/>
  <c r="B929" i="43"/>
  <c r="B928" i="43"/>
  <c r="B927" i="43"/>
  <c r="B926" i="43"/>
  <c r="B925" i="43"/>
  <c r="B924" i="43"/>
  <c r="B923" i="43"/>
  <c r="B922" i="43"/>
  <c r="B921" i="43"/>
  <c r="B920" i="43"/>
  <c r="B919" i="43"/>
  <c r="B918" i="43"/>
  <c r="B917" i="43"/>
  <c r="B916" i="43"/>
  <c r="B915" i="43"/>
  <c r="B914" i="43"/>
  <c r="B913" i="43"/>
  <c r="B912" i="43"/>
  <c r="B911" i="43"/>
  <c r="B910" i="43"/>
  <c r="B909" i="43"/>
  <c r="B908" i="43"/>
  <c r="B907" i="43"/>
  <c r="B906" i="43"/>
  <c r="B905" i="43"/>
  <c r="B904" i="43"/>
  <c r="B903" i="43"/>
  <c r="B902" i="43"/>
  <c r="B901" i="43"/>
  <c r="B900" i="43"/>
  <c r="B899" i="43"/>
  <c r="B898" i="43"/>
  <c r="B897" i="43"/>
  <c r="B896" i="43"/>
  <c r="B895" i="43"/>
  <c r="B894" i="43"/>
  <c r="B893" i="43"/>
  <c r="B892" i="43"/>
  <c r="B891" i="43"/>
  <c r="B890" i="43"/>
  <c r="B889" i="43"/>
  <c r="B888" i="43"/>
  <c r="B887" i="43"/>
  <c r="B886" i="43"/>
  <c r="B885" i="43"/>
  <c r="B884" i="43"/>
  <c r="B883" i="43"/>
  <c r="B882" i="43"/>
  <c r="B881" i="43"/>
  <c r="B880" i="43"/>
  <c r="B879" i="43"/>
  <c r="B878" i="43"/>
  <c r="B877" i="43"/>
  <c r="B876" i="43"/>
  <c r="B875" i="43"/>
  <c r="B874" i="43"/>
  <c r="B873" i="43"/>
  <c r="B872" i="43"/>
  <c r="B871" i="43"/>
  <c r="B870" i="43"/>
  <c r="B869" i="43"/>
  <c r="B868" i="43"/>
  <c r="B867" i="43"/>
  <c r="B866" i="43"/>
  <c r="B865" i="43"/>
  <c r="B864" i="43"/>
  <c r="B863" i="43"/>
  <c r="B862" i="43"/>
  <c r="B861" i="43"/>
  <c r="B860" i="43"/>
  <c r="B859" i="43"/>
  <c r="B858" i="43"/>
  <c r="B857" i="43"/>
  <c r="B856" i="43"/>
  <c r="B855" i="43"/>
  <c r="B854" i="43"/>
  <c r="B853" i="43"/>
  <c r="B852" i="43"/>
  <c r="B851" i="43"/>
  <c r="B850" i="43"/>
  <c r="B849" i="43"/>
  <c r="B848" i="43"/>
  <c r="A848" i="43"/>
  <c r="B847" i="43"/>
  <c r="A847" i="43"/>
  <c r="B846" i="43"/>
  <c r="A846" i="43"/>
  <c r="B845" i="43"/>
  <c r="A845" i="43"/>
  <c r="B844" i="43"/>
  <c r="A844" i="43"/>
  <c r="B843" i="43"/>
  <c r="A843" i="43"/>
  <c r="B842" i="43"/>
  <c r="A842" i="43"/>
  <c r="B841" i="43"/>
  <c r="A841" i="43"/>
  <c r="B840" i="43"/>
  <c r="A840" i="43"/>
  <c r="B839" i="43"/>
  <c r="A839" i="43"/>
  <c r="B838" i="43"/>
  <c r="A838" i="43"/>
  <c r="B837" i="43"/>
  <c r="A837" i="43"/>
  <c r="B836" i="43"/>
  <c r="A836" i="43"/>
  <c r="B835" i="43"/>
  <c r="A835" i="43"/>
  <c r="B834" i="43"/>
  <c r="A834" i="43"/>
  <c r="B833" i="43"/>
  <c r="A833" i="43"/>
  <c r="B832" i="43"/>
  <c r="A832" i="43"/>
  <c r="B831" i="43"/>
  <c r="A831" i="43"/>
  <c r="B830" i="43"/>
  <c r="A830" i="43"/>
  <c r="B829" i="43"/>
  <c r="A829" i="43"/>
  <c r="B828" i="43"/>
  <c r="A828" i="43"/>
  <c r="B827" i="43"/>
  <c r="A827" i="43"/>
  <c r="B826" i="43"/>
  <c r="A826" i="43"/>
  <c r="B825" i="43"/>
  <c r="A825" i="43"/>
  <c r="B824" i="43"/>
  <c r="A824" i="43"/>
  <c r="B823" i="43"/>
  <c r="A823" i="43"/>
  <c r="B822" i="43"/>
  <c r="A822" i="43"/>
  <c r="B821" i="43"/>
  <c r="A821" i="43"/>
  <c r="B820" i="43"/>
  <c r="A820" i="43"/>
  <c r="B819" i="43"/>
  <c r="A819" i="43"/>
  <c r="B818" i="43"/>
  <c r="A818" i="43"/>
  <c r="B817" i="43"/>
  <c r="A817" i="43"/>
  <c r="B816" i="43"/>
  <c r="A816" i="43"/>
  <c r="B815" i="43"/>
  <c r="A815" i="43"/>
  <c r="B814" i="43"/>
  <c r="A814" i="43"/>
  <c r="B813" i="43"/>
  <c r="A813" i="43"/>
  <c r="B812" i="43"/>
  <c r="A812" i="43"/>
  <c r="B811" i="43"/>
  <c r="A811" i="43"/>
  <c r="B810" i="43"/>
  <c r="A810" i="43"/>
  <c r="B809" i="43"/>
  <c r="A809" i="43"/>
  <c r="B808" i="43"/>
  <c r="A808" i="43"/>
  <c r="B807" i="43"/>
  <c r="A807" i="43"/>
  <c r="B806" i="43"/>
  <c r="A806" i="43"/>
  <c r="B805" i="43"/>
  <c r="A805" i="43"/>
  <c r="B804" i="43"/>
  <c r="A804" i="43"/>
  <c r="B803" i="43"/>
  <c r="A803" i="43"/>
  <c r="B802" i="43"/>
  <c r="A802" i="43"/>
  <c r="B801" i="43"/>
  <c r="A801" i="43"/>
  <c r="B800" i="43"/>
  <c r="A800" i="43"/>
  <c r="B799" i="43"/>
  <c r="A799" i="43"/>
  <c r="B798" i="43"/>
  <c r="A798" i="43"/>
  <c r="B797" i="43"/>
  <c r="A797" i="43"/>
  <c r="B796" i="43"/>
  <c r="A796" i="43"/>
  <c r="B795" i="43"/>
  <c r="A795" i="43"/>
  <c r="B794" i="43"/>
  <c r="A794" i="43"/>
  <c r="B793" i="43"/>
  <c r="A793" i="43"/>
  <c r="B792" i="43"/>
  <c r="A792" i="43"/>
  <c r="B791" i="43"/>
  <c r="A791" i="43"/>
  <c r="B790" i="43"/>
  <c r="A790" i="43"/>
  <c r="B789" i="43"/>
  <c r="A789" i="43"/>
  <c r="B788" i="43"/>
  <c r="A788" i="43"/>
  <c r="B787" i="43"/>
  <c r="A787" i="43"/>
  <c r="B786" i="43"/>
  <c r="A786" i="43"/>
  <c r="B785" i="43"/>
  <c r="A785" i="43"/>
  <c r="B784" i="43"/>
  <c r="A784" i="43"/>
  <c r="B783" i="43"/>
  <c r="A783" i="43"/>
  <c r="B782" i="43"/>
  <c r="A782" i="43"/>
  <c r="B781" i="43"/>
  <c r="A781" i="43"/>
  <c r="B780" i="43"/>
  <c r="A780" i="43"/>
  <c r="B779" i="43"/>
  <c r="A779" i="43"/>
  <c r="B778" i="43"/>
  <c r="A778" i="43"/>
  <c r="B777" i="43"/>
  <c r="A777" i="43"/>
  <c r="B776" i="43"/>
  <c r="A776" i="43"/>
  <c r="B775" i="43"/>
  <c r="A775" i="43"/>
  <c r="B774" i="43"/>
  <c r="A774" i="43"/>
  <c r="B773" i="43"/>
  <c r="A773" i="43"/>
  <c r="B772" i="43"/>
  <c r="A772" i="43"/>
  <c r="B771" i="43"/>
  <c r="A771" i="43"/>
  <c r="B770" i="43"/>
  <c r="A770" i="43"/>
  <c r="B769" i="43"/>
  <c r="A769" i="43"/>
  <c r="B768" i="43"/>
  <c r="A768" i="43"/>
  <c r="B767" i="43"/>
  <c r="A767" i="43"/>
  <c r="B766" i="43"/>
  <c r="A766" i="43"/>
  <c r="B765" i="43"/>
  <c r="A765" i="43"/>
  <c r="B764" i="43"/>
  <c r="A764" i="43"/>
  <c r="B763" i="43"/>
  <c r="A763" i="43"/>
  <c r="B762" i="43"/>
  <c r="A762" i="43"/>
  <c r="B761" i="43"/>
  <c r="A761" i="43"/>
  <c r="B760" i="43"/>
  <c r="A760" i="43"/>
  <c r="B759" i="43"/>
  <c r="A759" i="43"/>
  <c r="B758" i="43"/>
  <c r="A758" i="43"/>
  <c r="B757" i="43"/>
  <c r="A757" i="43"/>
  <c r="B756" i="43"/>
  <c r="A756" i="43"/>
  <c r="B755" i="43"/>
  <c r="A755" i="43"/>
  <c r="B754" i="43"/>
  <c r="A754" i="43"/>
  <c r="B753" i="43"/>
  <c r="A753" i="43"/>
  <c r="B752" i="43"/>
  <c r="A752" i="43"/>
  <c r="B751" i="43"/>
  <c r="A751" i="43"/>
  <c r="B750" i="43"/>
  <c r="A750" i="43"/>
  <c r="B749" i="43"/>
  <c r="A749" i="43"/>
  <c r="B748" i="43"/>
  <c r="A748" i="43"/>
  <c r="B747" i="43"/>
  <c r="A747" i="43"/>
  <c r="B746" i="43"/>
  <c r="A746" i="43"/>
  <c r="B745" i="43"/>
  <c r="A745" i="43"/>
  <c r="B744" i="43"/>
  <c r="A744" i="43"/>
  <c r="B743" i="43"/>
  <c r="A743" i="43"/>
  <c r="B742" i="43"/>
  <c r="A742" i="43"/>
  <c r="D741" i="43"/>
  <c r="C741" i="43"/>
  <c r="B741" i="43"/>
  <c r="A741" i="43"/>
  <c r="D740" i="43"/>
  <c r="C740" i="43"/>
  <c r="B740" i="43"/>
  <c r="A740" i="43"/>
  <c r="D739" i="43"/>
  <c r="C739" i="43"/>
  <c r="B739" i="43"/>
  <c r="A739" i="43"/>
  <c r="D738" i="43"/>
  <c r="C738" i="43"/>
  <c r="B738" i="43"/>
  <c r="A738" i="43"/>
  <c r="D737" i="43"/>
  <c r="C737" i="43"/>
  <c r="B737" i="43"/>
  <c r="A737" i="43"/>
  <c r="D736" i="43"/>
  <c r="C736" i="43"/>
  <c r="B736" i="43"/>
  <c r="A736" i="43"/>
  <c r="D735" i="43"/>
  <c r="C735" i="43"/>
  <c r="B735" i="43"/>
  <c r="A735" i="43"/>
  <c r="D734" i="43"/>
  <c r="C734" i="43"/>
  <c r="B734" i="43"/>
  <c r="A734" i="43"/>
  <c r="D733" i="43"/>
  <c r="C733" i="43"/>
  <c r="B733" i="43"/>
  <c r="A733" i="43"/>
  <c r="D732" i="43"/>
  <c r="C732" i="43"/>
  <c r="B732" i="43"/>
  <c r="A732" i="43"/>
  <c r="D731" i="43"/>
  <c r="C731" i="43"/>
  <c r="B731" i="43"/>
  <c r="A731" i="43"/>
  <c r="D730" i="43"/>
  <c r="C730" i="43"/>
  <c r="B730" i="43"/>
  <c r="A730" i="43"/>
  <c r="D729" i="43"/>
  <c r="C729" i="43"/>
  <c r="B729" i="43"/>
  <c r="A729" i="43"/>
  <c r="D728" i="43"/>
  <c r="C728" i="43"/>
  <c r="B728" i="43"/>
  <c r="A728" i="43"/>
  <c r="D727" i="43"/>
  <c r="C727" i="43"/>
  <c r="B727" i="43"/>
  <c r="A727" i="43"/>
  <c r="D726" i="43"/>
  <c r="C726" i="43"/>
  <c r="B726" i="43"/>
  <c r="A726" i="43"/>
  <c r="D725" i="43"/>
  <c r="C725" i="43"/>
  <c r="B725" i="43"/>
  <c r="A725" i="43"/>
  <c r="D724" i="43"/>
  <c r="C724" i="43"/>
  <c r="B724" i="43"/>
  <c r="A724" i="43"/>
  <c r="D723" i="43"/>
  <c r="C723" i="43"/>
  <c r="B723" i="43"/>
  <c r="A723" i="43"/>
  <c r="D722" i="43"/>
  <c r="C722" i="43"/>
  <c r="B722" i="43"/>
  <c r="A722" i="43"/>
  <c r="D721" i="43"/>
  <c r="C721" i="43"/>
  <c r="B721" i="43"/>
  <c r="A721" i="43"/>
  <c r="D720" i="43"/>
  <c r="C720" i="43"/>
  <c r="B720" i="43"/>
  <c r="A720" i="43"/>
  <c r="U719" i="43"/>
  <c r="D719" i="43"/>
  <c r="C719" i="43"/>
  <c r="B719" i="43"/>
  <c r="A719" i="43"/>
  <c r="U718" i="43"/>
  <c r="D718" i="43"/>
  <c r="C718" i="43"/>
  <c r="B718" i="43"/>
  <c r="A718" i="43"/>
  <c r="U717" i="43"/>
  <c r="D717" i="43"/>
  <c r="C717" i="43"/>
  <c r="B717" i="43"/>
  <c r="A717" i="43"/>
  <c r="U716" i="43"/>
  <c r="D716" i="43"/>
  <c r="C716" i="43"/>
  <c r="B716" i="43"/>
  <c r="A716" i="43"/>
  <c r="U715" i="43"/>
  <c r="D715" i="43"/>
  <c r="C715" i="43"/>
  <c r="B715" i="43"/>
  <c r="A715" i="43"/>
  <c r="U714" i="43"/>
  <c r="D714" i="43"/>
  <c r="C714" i="43"/>
  <c r="B714" i="43"/>
  <c r="A714" i="43"/>
  <c r="U713" i="43"/>
  <c r="D713" i="43"/>
  <c r="C713" i="43"/>
  <c r="B713" i="43"/>
  <c r="A713" i="43"/>
  <c r="U712" i="43"/>
  <c r="D712" i="43"/>
  <c r="C712" i="43"/>
  <c r="B712" i="43"/>
  <c r="A712" i="43"/>
  <c r="U711" i="43"/>
  <c r="D711" i="43"/>
  <c r="C711" i="43"/>
  <c r="B711" i="43"/>
  <c r="A711" i="43"/>
  <c r="U710" i="43"/>
  <c r="D710" i="43"/>
  <c r="C710" i="43"/>
  <c r="B710" i="43"/>
  <c r="A710" i="43"/>
  <c r="V709" i="43"/>
  <c r="U709" i="43"/>
  <c r="D709" i="43"/>
  <c r="C709" i="43"/>
  <c r="B709" i="43"/>
  <c r="A709" i="43"/>
  <c r="V708" i="43"/>
  <c r="U708" i="43"/>
  <c r="D708" i="43"/>
  <c r="C708" i="43"/>
  <c r="B708" i="43"/>
  <c r="A708" i="43"/>
  <c r="V707" i="43"/>
  <c r="U707" i="43"/>
  <c r="D707" i="43"/>
  <c r="C707" i="43"/>
  <c r="B707" i="43"/>
  <c r="A707" i="43"/>
  <c r="V706" i="43"/>
  <c r="U706" i="43"/>
  <c r="D706" i="43"/>
  <c r="C706" i="43"/>
  <c r="B706" i="43"/>
  <c r="A706" i="43"/>
  <c r="V705" i="43"/>
  <c r="U705" i="43"/>
  <c r="D705" i="43"/>
  <c r="C705" i="43"/>
  <c r="B705" i="43"/>
  <c r="A705" i="43"/>
  <c r="V704" i="43"/>
  <c r="U704" i="43"/>
  <c r="G704" i="43"/>
  <c r="D704" i="43"/>
  <c r="C704" i="43"/>
  <c r="B704" i="43"/>
  <c r="A704" i="43"/>
  <c r="V703" i="43"/>
  <c r="U703" i="43"/>
  <c r="G703" i="43"/>
  <c r="D703" i="43"/>
  <c r="C703" i="43"/>
  <c r="B703" i="43"/>
  <c r="A703" i="43"/>
  <c r="V702" i="43"/>
  <c r="U702" i="43"/>
  <c r="G702" i="43"/>
  <c r="D702" i="43"/>
  <c r="C702" i="43"/>
  <c r="B702" i="43"/>
  <c r="A702" i="43"/>
  <c r="V701" i="43"/>
  <c r="U701" i="43"/>
  <c r="G701" i="43"/>
  <c r="D701" i="43"/>
  <c r="C701" i="43"/>
  <c r="B701" i="43"/>
  <c r="A701" i="43"/>
  <c r="V700" i="43"/>
  <c r="U700" i="43"/>
  <c r="G700" i="43"/>
  <c r="D700" i="43"/>
  <c r="C700" i="43"/>
  <c r="B700" i="43"/>
  <c r="A700" i="43"/>
  <c r="V699" i="43"/>
  <c r="U699" i="43"/>
  <c r="G699" i="43"/>
  <c r="D699" i="43"/>
  <c r="C699" i="43"/>
  <c r="B699" i="43"/>
  <c r="A699" i="43"/>
  <c r="V698" i="43"/>
  <c r="U698" i="43"/>
  <c r="G698" i="43"/>
  <c r="D698" i="43"/>
  <c r="C698" i="43"/>
  <c r="B698" i="43"/>
  <c r="A698" i="43"/>
  <c r="V697" i="43"/>
  <c r="U697" i="43"/>
  <c r="G697" i="43"/>
  <c r="D697" i="43"/>
  <c r="C697" i="43"/>
  <c r="B697" i="43"/>
  <c r="A697" i="43"/>
  <c r="V696" i="43"/>
  <c r="U696" i="43"/>
  <c r="G696" i="43"/>
  <c r="D696" i="43"/>
  <c r="C696" i="43"/>
  <c r="B696" i="43"/>
  <c r="A696" i="43"/>
  <c r="V695" i="43"/>
  <c r="U695" i="43"/>
  <c r="G695" i="43"/>
  <c r="D695" i="43"/>
  <c r="C695" i="43"/>
  <c r="B695" i="43"/>
  <c r="A695" i="43"/>
  <c r="V694" i="43"/>
  <c r="U694" i="43"/>
  <c r="G694" i="43"/>
  <c r="D694" i="43"/>
  <c r="C694" i="43"/>
  <c r="B694" i="43"/>
  <c r="A694" i="43"/>
  <c r="V693" i="43"/>
  <c r="U693" i="43"/>
  <c r="G693" i="43"/>
  <c r="D693" i="43"/>
  <c r="C693" i="43"/>
  <c r="B693" i="43"/>
  <c r="A693" i="43"/>
  <c r="V692" i="43"/>
  <c r="U692" i="43"/>
  <c r="G692" i="43"/>
  <c r="D692" i="43"/>
  <c r="C692" i="43"/>
  <c r="B692" i="43"/>
  <c r="A692" i="43"/>
  <c r="V691" i="43"/>
  <c r="U691" i="43"/>
  <c r="G691" i="43"/>
  <c r="D691" i="43"/>
  <c r="C691" i="43"/>
  <c r="B691" i="43"/>
  <c r="A691" i="43"/>
  <c r="V690" i="43"/>
  <c r="U690" i="43"/>
  <c r="G690" i="43"/>
  <c r="C690" i="43"/>
  <c r="B690" i="43"/>
  <c r="A690" i="43"/>
  <c r="V689" i="43"/>
  <c r="U689" i="43"/>
  <c r="G689" i="43"/>
  <c r="E689" i="43"/>
  <c r="C689" i="43"/>
  <c r="B689" i="43"/>
  <c r="A689" i="43"/>
  <c r="V688" i="43"/>
  <c r="U688" i="43"/>
  <c r="G688" i="43"/>
  <c r="E688" i="43"/>
  <c r="C688" i="43"/>
  <c r="B688" i="43"/>
  <c r="A688" i="43"/>
  <c r="V687" i="43"/>
  <c r="U687" i="43"/>
  <c r="G687" i="43"/>
  <c r="E687" i="43"/>
  <c r="C687" i="43"/>
  <c r="B687" i="43"/>
  <c r="A687" i="43"/>
  <c r="V686" i="43"/>
  <c r="U686" i="43"/>
  <c r="G686" i="43"/>
  <c r="E686" i="43"/>
  <c r="C686" i="43"/>
  <c r="B686" i="43"/>
  <c r="A686" i="43"/>
  <c r="V685" i="43"/>
  <c r="U685" i="43"/>
  <c r="G685" i="43"/>
  <c r="E685" i="43"/>
  <c r="C685" i="43"/>
  <c r="B685" i="43"/>
  <c r="A685" i="43"/>
  <c r="V684" i="43"/>
  <c r="U684" i="43"/>
  <c r="G684" i="43"/>
  <c r="E684" i="43"/>
  <c r="C684" i="43"/>
  <c r="B684" i="43"/>
  <c r="A684" i="43"/>
  <c r="V683" i="43"/>
  <c r="U683" i="43"/>
  <c r="G683" i="43"/>
  <c r="E683" i="43"/>
  <c r="C683" i="43"/>
  <c r="B683" i="43"/>
  <c r="A683" i="43"/>
  <c r="V682" i="43"/>
  <c r="U682" i="43"/>
  <c r="G682" i="43"/>
  <c r="E682" i="43"/>
  <c r="C682" i="43"/>
  <c r="B682" i="43"/>
  <c r="A682" i="43"/>
  <c r="V681" i="43"/>
  <c r="U681" i="43"/>
  <c r="G681" i="43"/>
  <c r="E681" i="43"/>
  <c r="C681" i="43"/>
  <c r="B681" i="43"/>
  <c r="A681" i="43"/>
  <c r="V680" i="43"/>
  <c r="U680" i="43"/>
  <c r="G680" i="43"/>
  <c r="E680" i="43"/>
  <c r="C680" i="43"/>
  <c r="B680" i="43"/>
  <c r="A680" i="43"/>
  <c r="V679" i="43"/>
  <c r="U679" i="43"/>
  <c r="G679" i="43"/>
  <c r="E679" i="43"/>
  <c r="C679" i="43"/>
  <c r="B679" i="43"/>
  <c r="A679" i="43"/>
  <c r="V678" i="43"/>
  <c r="U678" i="43"/>
  <c r="G678" i="43"/>
  <c r="E678" i="43"/>
  <c r="C678" i="43"/>
  <c r="B678" i="43"/>
  <c r="A678" i="43"/>
  <c r="V677" i="43"/>
  <c r="U677" i="43"/>
  <c r="G677" i="43"/>
  <c r="E677" i="43"/>
  <c r="C677" i="43"/>
  <c r="B677" i="43"/>
  <c r="A677" i="43"/>
  <c r="V676" i="43"/>
  <c r="U676" i="43"/>
  <c r="G676" i="43"/>
  <c r="E676" i="43"/>
  <c r="C676" i="43"/>
  <c r="B676" i="43"/>
  <c r="A676" i="43"/>
  <c r="V675" i="43"/>
  <c r="U675" i="43"/>
  <c r="G675" i="43"/>
  <c r="C675" i="43"/>
  <c r="B675" i="43"/>
  <c r="A675" i="43"/>
  <c r="V674" i="43"/>
  <c r="U674" i="43"/>
  <c r="G674" i="43"/>
  <c r="C674" i="43"/>
  <c r="B674" i="43"/>
  <c r="A674" i="43"/>
  <c r="V673" i="43"/>
  <c r="U673" i="43"/>
  <c r="G673" i="43"/>
  <c r="C673" i="43"/>
  <c r="B673" i="43"/>
  <c r="A673" i="43"/>
  <c r="V672" i="43"/>
  <c r="U672" i="43"/>
  <c r="G672" i="43"/>
  <c r="E672" i="43"/>
  <c r="C672" i="43"/>
  <c r="B672" i="43"/>
  <c r="A672" i="43"/>
  <c r="V671" i="43"/>
  <c r="U671" i="43"/>
  <c r="G671" i="43"/>
  <c r="E671" i="43"/>
  <c r="C671" i="43"/>
  <c r="B671" i="43"/>
  <c r="A671" i="43"/>
  <c r="V670" i="43"/>
  <c r="U670" i="43"/>
  <c r="G670" i="43"/>
  <c r="E670" i="43"/>
  <c r="C670" i="43"/>
  <c r="B670" i="43"/>
  <c r="A670" i="43"/>
  <c r="V669" i="43"/>
  <c r="U669" i="43"/>
  <c r="G669" i="43"/>
  <c r="E669" i="43"/>
  <c r="C669" i="43"/>
  <c r="B669" i="43"/>
  <c r="A669" i="43"/>
  <c r="V668" i="43"/>
  <c r="U668" i="43"/>
  <c r="G668" i="43"/>
  <c r="E668" i="43"/>
  <c r="C668" i="43"/>
  <c r="B668" i="43"/>
  <c r="A668" i="43"/>
  <c r="V667" i="43"/>
  <c r="U667" i="43"/>
  <c r="G667" i="43"/>
  <c r="E667" i="43"/>
  <c r="C667" i="43"/>
  <c r="B667" i="43"/>
  <c r="A667" i="43"/>
  <c r="V666" i="43"/>
  <c r="U666" i="43"/>
  <c r="G666" i="43"/>
  <c r="E666" i="43"/>
  <c r="C666" i="43"/>
  <c r="B666" i="43"/>
  <c r="A666" i="43"/>
  <c r="V665" i="43"/>
  <c r="U665" i="43"/>
  <c r="G665" i="43"/>
  <c r="E665" i="43"/>
  <c r="C665" i="43"/>
  <c r="B665" i="43"/>
  <c r="A665" i="43"/>
  <c r="V664" i="43"/>
  <c r="U664" i="43"/>
  <c r="G664" i="43"/>
  <c r="E664" i="43"/>
  <c r="C664" i="43"/>
  <c r="B664" i="43"/>
  <c r="A664" i="43"/>
  <c r="V663" i="43"/>
  <c r="U663" i="43"/>
  <c r="G663" i="43"/>
  <c r="E663" i="43"/>
  <c r="C663" i="43"/>
  <c r="B663" i="43"/>
  <c r="A663" i="43"/>
  <c r="V662" i="43"/>
  <c r="U662" i="43"/>
  <c r="G662" i="43"/>
  <c r="E662" i="43"/>
  <c r="C662" i="43"/>
  <c r="B662" i="43"/>
  <c r="A662" i="43"/>
  <c r="V661" i="43"/>
  <c r="U661" i="43"/>
  <c r="G661" i="43"/>
  <c r="E661" i="43"/>
  <c r="C661" i="43"/>
  <c r="B661" i="43"/>
  <c r="A661" i="43"/>
  <c r="V660" i="43"/>
  <c r="U660" i="43"/>
  <c r="G660" i="43"/>
  <c r="E660" i="43"/>
  <c r="C660" i="43"/>
  <c r="B660" i="43"/>
  <c r="A660" i="43"/>
  <c r="V659" i="43"/>
  <c r="U659" i="43"/>
  <c r="G659" i="43"/>
  <c r="E659" i="43"/>
  <c r="C659" i="43"/>
  <c r="B659" i="43"/>
  <c r="A659" i="43"/>
  <c r="V658" i="43"/>
  <c r="U658" i="43"/>
  <c r="G658" i="43"/>
  <c r="E658" i="43"/>
  <c r="C658" i="43"/>
  <c r="B658" i="43"/>
  <c r="A658" i="43"/>
  <c r="V657" i="43"/>
  <c r="U657" i="43"/>
  <c r="G657" i="43"/>
  <c r="E657" i="43"/>
  <c r="C657" i="43"/>
  <c r="B657" i="43"/>
  <c r="A657" i="43"/>
  <c r="V656" i="43"/>
  <c r="U656" i="43"/>
  <c r="G656" i="43"/>
  <c r="C656" i="43"/>
  <c r="B656" i="43"/>
  <c r="A656" i="43"/>
  <c r="V655" i="43"/>
  <c r="U655" i="43"/>
  <c r="G655" i="43"/>
  <c r="D655" i="43"/>
  <c r="C655" i="43"/>
  <c r="B655" i="43"/>
  <c r="A655" i="43"/>
  <c r="V654" i="43"/>
  <c r="U654" i="43"/>
  <c r="G654" i="43"/>
  <c r="E654" i="43"/>
  <c r="D654" i="43" s="1"/>
  <c r="C654" i="43"/>
  <c r="B654" i="43"/>
  <c r="A654" i="43"/>
  <c r="V653" i="43"/>
  <c r="U653" i="43"/>
  <c r="G653" i="43"/>
  <c r="E653" i="43"/>
  <c r="C653" i="43"/>
  <c r="B653" i="43"/>
  <c r="A653" i="43"/>
  <c r="V652" i="43"/>
  <c r="U652" i="43"/>
  <c r="G652" i="43"/>
  <c r="E652" i="43"/>
  <c r="C652" i="43"/>
  <c r="B652" i="43"/>
  <c r="A652" i="43"/>
  <c r="V651" i="43"/>
  <c r="U651" i="43"/>
  <c r="G651" i="43"/>
  <c r="E651" i="43"/>
  <c r="C651" i="43"/>
  <c r="B651" i="43"/>
  <c r="A651" i="43"/>
  <c r="V650" i="43"/>
  <c r="U650" i="43"/>
  <c r="G650" i="43"/>
  <c r="E650" i="43"/>
  <c r="C650" i="43"/>
  <c r="B650" i="43"/>
  <c r="A650" i="43"/>
  <c r="V649" i="43"/>
  <c r="U649" i="43"/>
  <c r="G649" i="43"/>
  <c r="E649" i="43"/>
  <c r="C649" i="43"/>
  <c r="B649" i="43"/>
  <c r="A649" i="43"/>
  <c r="V648" i="43"/>
  <c r="U648" i="43"/>
  <c r="G648" i="43"/>
  <c r="E648" i="43"/>
  <c r="C648" i="43"/>
  <c r="B648" i="43"/>
  <c r="A648" i="43"/>
  <c r="V647" i="43"/>
  <c r="U647" i="43"/>
  <c r="G647" i="43"/>
  <c r="E647" i="43"/>
  <c r="C647" i="43"/>
  <c r="B647" i="43"/>
  <c r="A647" i="43"/>
  <c r="V646" i="43"/>
  <c r="U646" i="43"/>
  <c r="G646" i="43"/>
  <c r="E646" i="43"/>
  <c r="C646" i="43"/>
  <c r="B646" i="43"/>
  <c r="A646" i="43"/>
  <c r="V645" i="43"/>
  <c r="U645" i="43"/>
  <c r="G645" i="43"/>
  <c r="E645" i="43"/>
  <c r="C645" i="43"/>
  <c r="B645" i="43"/>
  <c r="A645" i="43"/>
  <c r="V644" i="43"/>
  <c r="U644" i="43"/>
  <c r="G644" i="43"/>
  <c r="E644" i="43"/>
  <c r="C644" i="43"/>
  <c r="B644" i="43"/>
  <c r="A644" i="43"/>
  <c r="V643" i="43"/>
  <c r="U643" i="43"/>
  <c r="G643" i="43"/>
  <c r="E643" i="43"/>
  <c r="C643" i="43"/>
  <c r="B643" i="43"/>
  <c r="A643" i="43"/>
  <c r="V642" i="43"/>
  <c r="U642" i="43"/>
  <c r="G642" i="43"/>
  <c r="E642" i="43"/>
  <c r="C642" i="43"/>
  <c r="B642" i="43"/>
  <c r="A642" i="43"/>
  <c r="V641" i="43"/>
  <c r="U641" i="43"/>
  <c r="G641" i="43"/>
  <c r="E641" i="43"/>
  <c r="C641" i="43"/>
  <c r="B641" i="43"/>
  <c r="A641" i="43"/>
  <c r="V640" i="43"/>
  <c r="U640" i="43"/>
  <c r="G640" i="43"/>
  <c r="E640" i="43"/>
  <c r="C640" i="43"/>
  <c r="B640" i="43"/>
  <c r="A640" i="43"/>
  <c r="V639" i="43"/>
  <c r="U639" i="43"/>
  <c r="G639" i="43"/>
  <c r="E639" i="43"/>
  <c r="C639" i="43"/>
  <c r="B639" i="43"/>
  <c r="A639" i="43"/>
  <c r="V638" i="43"/>
  <c r="U638" i="43"/>
  <c r="G638" i="43"/>
  <c r="C638" i="43"/>
  <c r="B638" i="43"/>
  <c r="A638" i="43"/>
  <c r="V637" i="43"/>
  <c r="U637" i="43"/>
  <c r="G637" i="43"/>
  <c r="E637" i="43"/>
  <c r="C637" i="43"/>
  <c r="B637" i="43"/>
  <c r="A637" i="43"/>
  <c r="V636" i="43"/>
  <c r="U636" i="43"/>
  <c r="G636" i="43"/>
  <c r="E636" i="43"/>
  <c r="C636" i="43"/>
  <c r="B636" i="43"/>
  <c r="A636" i="43"/>
  <c r="V635" i="43"/>
  <c r="U635" i="43"/>
  <c r="G635" i="43"/>
  <c r="E635" i="43"/>
  <c r="C635" i="43"/>
  <c r="B635" i="43"/>
  <c r="A635" i="43"/>
  <c r="V634" i="43"/>
  <c r="U634" i="43"/>
  <c r="G634" i="43"/>
  <c r="E634" i="43"/>
  <c r="C634" i="43"/>
  <c r="B634" i="43"/>
  <c r="A634" i="43"/>
  <c r="V633" i="43"/>
  <c r="U633" i="43"/>
  <c r="G633" i="43"/>
  <c r="E633" i="43"/>
  <c r="C633" i="43"/>
  <c r="B633" i="43"/>
  <c r="A633" i="43"/>
  <c r="V632" i="43"/>
  <c r="U632" i="43"/>
  <c r="G632" i="43"/>
  <c r="E632" i="43"/>
  <c r="C632" i="43"/>
  <c r="B632" i="43"/>
  <c r="A632" i="43"/>
  <c r="V631" i="43"/>
  <c r="U631" i="43"/>
  <c r="G631" i="43"/>
  <c r="E631" i="43"/>
  <c r="C631" i="43"/>
  <c r="B631" i="43"/>
  <c r="A631" i="43"/>
  <c r="V630" i="43"/>
  <c r="U630" i="43"/>
  <c r="G630" i="43"/>
  <c r="E630" i="43"/>
  <c r="C630" i="43"/>
  <c r="B630" i="43"/>
  <c r="A630" i="43"/>
  <c r="V629" i="43"/>
  <c r="U629" i="43"/>
  <c r="G629" i="43"/>
  <c r="E629" i="43"/>
  <c r="C629" i="43"/>
  <c r="B629" i="43"/>
  <c r="A629" i="43"/>
  <c r="V628" i="43"/>
  <c r="U628" i="43"/>
  <c r="G628" i="43"/>
  <c r="E628" i="43"/>
  <c r="C628" i="43"/>
  <c r="B628" i="43"/>
  <c r="A628" i="43"/>
  <c r="V627" i="43"/>
  <c r="U627" i="43"/>
  <c r="G627" i="43"/>
  <c r="E627" i="43"/>
  <c r="C627" i="43"/>
  <c r="B627" i="43"/>
  <c r="A627" i="43"/>
  <c r="V626" i="43"/>
  <c r="U626" i="43"/>
  <c r="G626" i="43"/>
  <c r="E626" i="43"/>
  <c r="C626" i="43"/>
  <c r="B626" i="43"/>
  <c r="A626" i="43"/>
  <c r="V625" i="43"/>
  <c r="U625" i="43"/>
  <c r="G625" i="43"/>
  <c r="E625" i="43"/>
  <c r="C625" i="43"/>
  <c r="B625" i="43"/>
  <c r="A625" i="43"/>
  <c r="V624" i="43"/>
  <c r="U624" i="43"/>
  <c r="G624" i="43"/>
  <c r="E624" i="43"/>
  <c r="C624" i="43"/>
  <c r="B624" i="43"/>
  <c r="A624" i="43"/>
  <c r="V623" i="43"/>
  <c r="U623" i="43"/>
  <c r="G623" i="43"/>
  <c r="E623" i="43"/>
  <c r="C623" i="43"/>
  <c r="B623" i="43"/>
  <c r="A623" i="43"/>
  <c r="V622" i="43"/>
  <c r="U622" i="43"/>
  <c r="G622" i="43"/>
  <c r="E622" i="43"/>
  <c r="C622" i="43"/>
  <c r="B622" i="43"/>
  <c r="A622" i="43"/>
  <c r="V621" i="43"/>
  <c r="U621" i="43"/>
  <c r="G621" i="43"/>
  <c r="E621" i="43"/>
  <c r="C621" i="43"/>
  <c r="B621" i="43"/>
  <c r="A621" i="43"/>
  <c r="V620" i="43"/>
  <c r="U620" i="43"/>
  <c r="G620" i="43"/>
  <c r="E620" i="43"/>
  <c r="C620" i="43"/>
  <c r="B620" i="43"/>
  <c r="A620" i="43"/>
  <c r="V619" i="43"/>
  <c r="U619" i="43"/>
  <c r="G619" i="43"/>
  <c r="E619" i="43"/>
  <c r="C619" i="43"/>
  <c r="B619" i="43"/>
  <c r="A619" i="43"/>
  <c r="V618" i="43"/>
  <c r="U618" i="43"/>
  <c r="G618" i="43"/>
  <c r="E618" i="43"/>
  <c r="C618" i="43"/>
  <c r="B618" i="43"/>
  <c r="A618" i="43"/>
  <c r="V617" i="43"/>
  <c r="U617" i="43"/>
  <c r="G617" i="43"/>
  <c r="E617" i="43"/>
  <c r="C617" i="43"/>
  <c r="B617" i="43"/>
  <c r="A617" i="43"/>
  <c r="V616" i="43"/>
  <c r="U616" i="43"/>
  <c r="G616" i="43"/>
  <c r="E616" i="43"/>
  <c r="C616" i="43"/>
  <c r="B616" i="43"/>
  <c r="A616" i="43"/>
  <c r="V615" i="43"/>
  <c r="U615" i="43"/>
  <c r="G615" i="43"/>
  <c r="E615" i="43"/>
  <c r="C615" i="43"/>
  <c r="B615" i="43"/>
  <c r="A615" i="43"/>
  <c r="V614" i="43"/>
  <c r="U614" i="43"/>
  <c r="G614" i="43"/>
  <c r="E614" i="43"/>
  <c r="C614" i="43"/>
  <c r="B614" i="43"/>
  <c r="A614" i="43"/>
  <c r="V613" i="43"/>
  <c r="U613" i="43"/>
  <c r="G613" i="43"/>
  <c r="E613" i="43"/>
  <c r="C613" i="43"/>
  <c r="B613" i="43"/>
  <c r="A613" i="43"/>
  <c r="V612" i="43"/>
  <c r="U612" i="43"/>
  <c r="G612" i="43"/>
  <c r="E612" i="43"/>
  <c r="C612" i="43"/>
  <c r="B612" i="43"/>
  <c r="A612" i="43"/>
  <c r="V611" i="43"/>
  <c r="U611" i="43"/>
  <c r="G611" i="43"/>
  <c r="E611" i="43"/>
  <c r="C611" i="43"/>
  <c r="B611" i="43"/>
  <c r="A611" i="43"/>
  <c r="V610" i="43"/>
  <c r="U610" i="43"/>
  <c r="G610" i="43"/>
  <c r="E610" i="43"/>
  <c r="C610" i="43"/>
  <c r="B610" i="43"/>
  <c r="A610" i="43"/>
  <c r="V609" i="43"/>
  <c r="U609" i="43"/>
  <c r="G609" i="43"/>
  <c r="E609" i="43"/>
  <c r="C609" i="43"/>
  <c r="B609" i="43"/>
  <c r="A609" i="43"/>
  <c r="V608" i="43"/>
  <c r="U608" i="43"/>
  <c r="G608" i="43"/>
  <c r="E608" i="43"/>
  <c r="C608" i="43"/>
  <c r="B608" i="43"/>
  <c r="A608" i="43"/>
  <c r="V607" i="43"/>
  <c r="U607" i="43"/>
  <c r="G607" i="43"/>
  <c r="E607" i="43"/>
  <c r="C607" i="43"/>
  <c r="B607" i="43"/>
  <c r="A607" i="43"/>
  <c r="V606" i="43"/>
  <c r="U606" i="43"/>
  <c r="G606" i="43"/>
  <c r="E606" i="43"/>
  <c r="C606" i="43"/>
  <c r="B606" i="43"/>
  <c r="A606" i="43"/>
  <c r="V605" i="43"/>
  <c r="U605" i="43"/>
  <c r="G605" i="43"/>
  <c r="E605" i="43"/>
  <c r="C605" i="43"/>
  <c r="B605" i="43"/>
  <c r="A605" i="43"/>
  <c r="V604" i="43"/>
  <c r="U604" i="43"/>
  <c r="G604" i="43"/>
  <c r="E604" i="43"/>
  <c r="C604" i="43"/>
  <c r="B604" i="43"/>
  <c r="A604" i="43"/>
  <c r="V603" i="43"/>
  <c r="U603" i="43"/>
  <c r="G603" i="43"/>
  <c r="E603" i="43"/>
  <c r="C603" i="43"/>
  <c r="B603" i="43"/>
  <c r="A603" i="43"/>
  <c r="V602" i="43"/>
  <c r="U602" i="43"/>
  <c r="G602" i="43"/>
  <c r="E602" i="43"/>
  <c r="C602" i="43"/>
  <c r="B602" i="43"/>
  <c r="A602" i="43"/>
  <c r="V601" i="43"/>
  <c r="U601" i="43"/>
  <c r="G601" i="43"/>
  <c r="E601" i="43"/>
  <c r="C601" i="43"/>
  <c r="B601" i="43"/>
  <c r="A601" i="43"/>
  <c r="V600" i="43"/>
  <c r="U600" i="43"/>
  <c r="G600" i="43"/>
  <c r="E600" i="43"/>
  <c r="C600" i="43"/>
  <c r="B600" i="43"/>
  <c r="A600" i="43"/>
  <c r="V599" i="43"/>
  <c r="U599" i="43"/>
  <c r="G599" i="43"/>
  <c r="E599" i="43"/>
  <c r="C599" i="43"/>
  <c r="B599" i="43"/>
  <c r="A599" i="43"/>
  <c r="V598" i="43"/>
  <c r="U598" i="43"/>
  <c r="G598" i="43"/>
  <c r="E598" i="43"/>
  <c r="C598" i="43"/>
  <c r="B598" i="43"/>
  <c r="A598" i="43"/>
  <c r="V597" i="43"/>
  <c r="U597" i="43"/>
  <c r="G597" i="43"/>
  <c r="E597" i="43"/>
  <c r="C597" i="43"/>
  <c r="B597" i="43"/>
  <c r="A597" i="43"/>
  <c r="V596" i="43"/>
  <c r="U596" i="43"/>
  <c r="G596" i="43"/>
  <c r="E596" i="43"/>
  <c r="C596" i="43"/>
  <c r="B596" i="43"/>
  <c r="A596" i="43"/>
  <c r="V595" i="43"/>
  <c r="U595" i="43"/>
  <c r="G595" i="43"/>
  <c r="E595" i="43"/>
  <c r="C595" i="43"/>
  <c r="B595" i="43"/>
  <c r="A595" i="43"/>
  <c r="V594" i="43"/>
  <c r="U594" i="43"/>
  <c r="G594" i="43"/>
  <c r="E594" i="43"/>
  <c r="C594" i="43"/>
  <c r="B594" i="43"/>
  <c r="A594" i="43"/>
  <c r="V593" i="43"/>
  <c r="U593" i="43"/>
  <c r="G593" i="43"/>
  <c r="E593" i="43"/>
  <c r="C593" i="43"/>
  <c r="B593" i="43"/>
  <c r="A593" i="43"/>
  <c r="V592" i="43"/>
  <c r="U592" i="43"/>
  <c r="G592" i="43"/>
  <c r="E592" i="43"/>
  <c r="C592" i="43"/>
  <c r="B592" i="43"/>
  <c r="A592" i="43"/>
  <c r="V591" i="43"/>
  <c r="U591" i="43"/>
  <c r="G591" i="43"/>
  <c r="E591" i="43"/>
  <c r="C591" i="43"/>
  <c r="B591" i="43"/>
  <c r="A591" i="43"/>
  <c r="V590" i="43"/>
  <c r="U590" i="43"/>
  <c r="G590" i="43"/>
  <c r="E590" i="43"/>
  <c r="C590" i="43"/>
  <c r="B590" i="43"/>
  <c r="A590" i="43"/>
  <c r="V589" i="43"/>
  <c r="U589" i="43"/>
  <c r="G589" i="43"/>
  <c r="E589" i="43"/>
  <c r="C589" i="43"/>
  <c r="B589" i="43"/>
  <c r="A589" i="43"/>
  <c r="V588" i="43"/>
  <c r="U588" i="43"/>
  <c r="G588" i="43"/>
  <c r="E588" i="43"/>
  <c r="C588" i="43"/>
  <c r="B588" i="43"/>
  <c r="A588" i="43"/>
  <c r="V587" i="43"/>
  <c r="U587" i="43"/>
  <c r="G587" i="43"/>
  <c r="E587" i="43"/>
  <c r="C587" i="43"/>
  <c r="B587" i="43"/>
  <c r="A587" i="43"/>
  <c r="V586" i="43"/>
  <c r="U586" i="43"/>
  <c r="G586" i="43"/>
  <c r="E586" i="43"/>
  <c r="C586" i="43"/>
  <c r="B586" i="43"/>
  <c r="A586" i="43"/>
  <c r="V585" i="43"/>
  <c r="U585" i="43"/>
  <c r="G585" i="43"/>
  <c r="E585" i="43"/>
  <c r="C585" i="43"/>
  <c r="B585" i="43"/>
  <c r="A585" i="43"/>
  <c r="V584" i="43"/>
  <c r="U584" i="43"/>
  <c r="G584" i="43"/>
  <c r="E584" i="43"/>
  <c r="C584" i="43"/>
  <c r="B584" i="43"/>
  <c r="A584" i="43"/>
  <c r="V583" i="43"/>
  <c r="U583" i="43"/>
  <c r="G583" i="43"/>
  <c r="E583" i="43"/>
  <c r="C583" i="43"/>
  <c r="B583" i="43"/>
  <c r="A583" i="43"/>
  <c r="V582" i="43"/>
  <c r="U582" i="43"/>
  <c r="G582" i="43"/>
  <c r="E582" i="43"/>
  <c r="C582" i="43"/>
  <c r="B582" i="43"/>
  <c r="A582" i="43"/>
  <c r="V581" i="43"/>
  <c r="U581" i="43"/>
  <c r="G581" i="43"/>
  <c r="E581" i="43"/>
  <c r="C581" i="43"/>
  <c r="B581" i="43"/>
  <c r="A581" i="43"/>
  <c r="V580" i="43"/>
  <c r="U580" i="43"/>
  <c r="G580" i="43"/>
  <c r="E580" i="43"/>
  <c r="C580" i="43"/>
  <c r="B580" i="43"/>
  <c r="A580" i="43"/>
  <c r="V579" i="43"/>
  <c r="U579" i="43"/>
  <c r="G579" i="43"/>
  <c r="E579" i="43"/>
  <c r="C579" i="43"/>
  <c r="B579" i="43"/>
  <c r="A579" i="43"/>
  <c r="V578" i="43"/>
  <c r="U578" i="43"/>
  <c r="G578" i="43"/>
  <c r="E578" i="43"/>
  <c r="C578" i="43"/>
  <c r="B578" i="43"/>
  <c r="A578" i="43"/>
  <c r="V577" i="43"/>
  <c r="U577" i="43"/>
  <c r="G577" i="43"/>
  <c r="E577" i="43"/>
  <c r="C577" i="43"/>
  <c r="B577" i="43"/>
  <c r="A577" i="43"/>
  <c r="V576" i="43"/>
  <c r="U576" i="43"/>
  <c r="G576" i="43"/>
  <c r="E576" i="43"/>
  <c r="C576" i="43"/>
  <c r="B576" i="43"/>
  <c r="A576" i="43"/>
  <c r="V575" i="43"/>
  <c r="U575" i="43"/>
  <c r="G575" i="43"/>
  <c r="E575" i="43"/>
  <c r="C575" i="43"/>
  <c r="B575" i="43"/>
  <c r="A575" i="43"/>
  <c r="V574" i="43"/>
  <c r="G574" i="43"/>
  <c r="E574" i="43"/>
  <c r="C574" i="43"/>
  <c r="B574" i="43"/>
  <c r="A574" i="43"/>
  <c r="V573" i="43"/>
  <c r="G573" i="43"/>
  <c r="E573" i="43"/>
  <c r="C573" i="43"/>
  <c r="B573" i="43"/>
  <c r="A573" i="43"/>
  <c r="V572" i="43"/>
  <c r="G572" i="43"/>
  <c r="E572" i="43"/>
  <c r="C572" i="43"/>
  <c r="B572" i="43"/>
  <c r="A572" i="43"/>
  <c r="G571" i="43"/>
  <c r="E571" i="43"/>
  <c r="C571" i="43"/>
  <c r="B571" i="43"/>
  <c r="A571" i="43"/>
  <c r="U570" i="43"/>
  <c r="G570" i="43"/>
  <c r="E570" i="43"/>
  <c r="C570" i="43"/>
  <c r="B570" i="43"/>
  <c r="A570" i="43"/>
  <c r="G569" i="43"/>
  <c r="E569" i="43"/>
  <c r="C569" i="43"/>
  <c r="B569" i="43"/>
  <c r="A569" i="43"/>
  <c r="V568" i="43"/>
  <c r="U568" i="43"/>
  <c r="G568" i="43"/>
  <c r="E568" i="43"/>
  <c r="C568" i="43"/>
  <c r="B568" i="43"/>
  <c r="A568" i="43"/>
  <c r="V567" i="43"/>
  <c r="U567" i="43"/>
  <c r="G567" i="43"/>
  <c r="E567" i="43"/>
  <c r="C567" i="43"/>
  <c r="B567" i="43"/>
  <c r="A567" i="43"/>
  <c r="V566" i="43"/>
  <c r="U566" i="43"/>
  <c r="G566" i="43"/>
  <c r="E566" i="43"/>
  <c r="C566" i="43"/>
  <c r="B566" i="43"/>
  <c r="A566" i="43"/>
  <c r="V565" i="43"/>
  <c r="U565" i="43"/>
  <c r="G565" i="43"/>
  <c r="E565" i="43"/>
  <c r="C565" i="43"/>
  <c r="B565" i="43"/>
  <c r="A565" i="43"/>
  <c r="V564" i="43"/>
  <c r="U564" i="43"/>
  <c r="G564" i="43"/>
  <c r="E564" i="43"/>
  <c r="C564" i="43"/>
  <c r="B564" i="43"/>
  <c r="A564" i="43"/>
  <c r="V563" i="43"/>
  <c r="U563" i="43"/>
  <c r="G563" i="43"/>
  <c r="E563" i="43"/>
  <c r="C563" i="43"/>
  <c r="B563" i="43"/>
  <c r="A563" i="43"/>
  <c r="V562" i="43"/>
  <c r="U562" i="43"/>
  <c r="G562" i="43"/>
  <c r="E562" i="43"/>
  <c r="C562" i="43"/>
  <c r="B562" i="43"/>
  <c r="A562" i="43"/>
  <c r="V561" i="43"/>
  <c r="U561" i="43"/>
  <c r="G561" i="43"/>
  <c r="E561" i="43"/>
  <c r="C561" i="43"/>
  <c r="B561" i="43"/>
  <c r="A561" i="43"/>
  <c r="V560" i="43"/>
  <c r="U560" i="43"/>
  <c r="G560" i="43"/>
  <c r="E560" i="43"/>
  <c r="C560" i="43"/>
  <c r="B560" i="43"/>
  <c r="A560" i="43"/>
  <c r="V559" i="43"/>
  <c r="U559" i="43"/>
  <c r="G559" i="43"/>
  <c r="E559" i="43"/>
  <c r="C559" i="43"/>
  <c r="B559" i="43"/>
  <c r="A559" i="43"/>
  <c r="V558" i="43"/>
  <c r="U558" i="43"/>
  <c r="G558" i="43"/>
  <c r="E558" i="43"/>
  <c r="C558" i="43"/>
  <c r="B558" i="43"/>
  <c r="A558" i="43"/>
  <c r="V557" i="43"/>
  <c r="U557" i="43"/>
  <c r="G557" i="43"/>
  <c r="E557" i="43"/>
  <c r="C557" i="43"/>
  <c r="B557" i="43"/>
  <c r="A557" i="43"/>
  <c r="V556" i="43"/>
  <c r="G556" i="43"/>
  <c r="E556" i="43"/>
  <c r="C556" i="43"/>
  <c r="B556" i="43"/>
  <c r="A556" i="43"/>
  <c r="U555" i="43"/>
  <c r="G555" i="43"/>
  <c r="E555" i="43"/>
  <c r="C555" i="43"/>
  <c r="B555" i="43"/>
  <c r="A555" i="43"/>
  <c r="U554" i="43"/>
  <c r="G554" i="43"/>
  <c r="U553" i="43"/>
  <c r="G553" i="43"/>
  <c r="E553" i="43"/>
  <c r="C553" i="43"/>
  <c r="B553" i="43"/>
  <c r="A553" i="43"/>
  <c r="U552" i="43"/>
  <c r="G552" i="43"/>
  <c r="E552" i="43"/>
  <c r="C552" i="43"/>
  <c r="B552" i="43"/>
  <c r="A552" i="43"/>
  <c r="U551" i="43"/>
  <c r="G551" i="43"/>
  <c r="C551" i="43"/>
  <c r="B551" i="43"/>
  <c r="A551" i="43"/>
  <c r="U550" i="43"/>
  <c r="G550" i="43"/>
  <c r="E550" i="43"/>
  <c r="C550" i="43"/>
  <c r="B550" i="43"/>
  <c r="A550" i="43"/>
  <c r="V549" i="43"/>
  <c r="U549" i="43"/>
  <c r="G549" i="43"/>
  <c r="E549" i="43"/>
  <c r="C549" i="43"/>
  <c r="B549" i="43"/>
  <c r="A549" i="43"/>
  <c r="U548" i="43"/>
  <c r="G548" i="43"/>
  <c r="E548" i="43"/>
  <c r="C548" i="43"/>
  <c r="B548" i="43"/>
  <c r="A548" i="43"/>
  <c r="U547" i="43"/>
  <c r="G547" i="43"/>
  <c r="E547" i="43"/>
  <c r="C547" i="43"/>
  <c r="B547" i="43"/>
  <c r="A547" i="43"/>
  <c r="U546" i="43"/>
  <c r="G546" i="43"/>
  <c r="E546" i="43"/>
  <c r="C546" i="43"/>
  <c r="B546" i="43"/>
  <c r="A546" i="43"/>
  <c r="U545" i="43"/>
  <c r="G545" i="43"/>
  <c r="E545" i="43"/>
  <c r="C545" i="43"/>
  <c r="B545" i="43"/>
  <c r="A545" i="43"/>
  <c r="U544" i="43"/>
  <c r="G544" i="43"/>
  <c r="E544" i="43"/>
  <c r="C544" i="43"/>
  <c r="B544" i="43"/>
  <c r="A544" i="43"/>
  <c r="U543" i="43"/>
  <c r="G543" i="43"/>
  <c r="E543" i="43"/>
  <c r="C543" i="43"/>
  <c r="B543" i="43"/>
  <c r="A543" i="43"/>
  <c r="U542" i="43"/>
  <c r="G542" i="43"/>
  <c r="E542" i="43"/>
  <c r="C542" i="43"/>
  <c r="B542" i="43"/>
  <c r="A542" i="43"/>
  <c r="U541" i="43"/>
  <c r="G541" i="43"/>
  <c r="E541" i="43"/>
  <c r="C541" i="43"/>
  <c r="B541" i="43"/>
  <c r="A541" i="43"/>
  <c r="U540" i="43"/>
  <c r="G540" i="43"/>
  <c r="E540" i="43"/>
  <c r="C540" i="43"/>
  <c r="B540" i="43"/>
  <c r="A540" i="43"/>
  <c r="U539" i="43"/>
  <c r="G539" i="43"/>
  <c r="E539" i="43"/>
  <c r="C539" i="43"/>
  <c r="B539" i="43"/>
  <c r="A539" i="43"/>
  <c r="U538" i="43"/>
  <c r="G538" i="43"/>
  <c r="E538" i="43"/>
  <c r="C538" i="43"/>
  <c r="B538" i="43"/>
  <c r="A538" i="43"/>
  <c r="U537" i="43"/>
  <c r="G537" i="43"/>
  <c r="E537" i="43"/>
  <c r="C537" i="43"/>
  <c r="B537" i="43"/>
  <c r="A537" i="43"/>
  <c r="U536" i="43"/>
  <c r="G536" i="43"/>
  <c r="E536" i="43"/>
  <c r="C536" i="43"/>
  <c r="B536" i="43"/>
  <c r="A536" i="43"/>
  <c r="U535" i="43"/>
  <c r="G535" i="43"/>
  <c r="E535" i="43"/>
  <c r="C535" i="43"/>
  <c r="B535" i="43"/>
  <c r="A535" i="43"/>
  <c r="U534" i="43"/>
  <c r="G534" i="43"/>
  <c r="E534" i="43"/>
  <c r="C534" i="43"/>
  <c r="B534" i="43"/>
  <c r="A534" i="43"/>
  <c r="U533" i="43"/>
  <c r="G533" i="43"/>
  <c r="E533" i="43"/>
  <c r="C533" i="43"/>
  <c r="B533" i="43"/>
  <c r="A533" i="43"/>
  <c r="U532" i="43"/>
  <c r="G532" i="43"/>
  <c r="E532" i="43"/>
  <c r="C532" i="43"/>
  <c r="B532" i="43"/>
  <c r="A532" i="43"/>
  <c r="U531" i="43"/>
  <c r="G531" i="43"/>
  <c r="E531" i="43"/>
  <c r="C531" i="43"/>
  <c r="B531" i="43"/>
  <c r="A531" i="43"/>
  <c r="U530" i="43"/>
  <c r="G530" i="43"/>
  <c r="E530" i="43"/>
  <c r="C530" i="43"/>
  <c r="B530" i="43"/>
  <c r="A530" i="43"/>
  <c r="U529" i="43"/>
  <c r="G529" i="43"/>
  <c r="E529" i="43"/>
  <c r="C529" i="43"/>
  <c r="B529" i="43"/>
  <c r="A529" i="43"/>
  <c r="U528" i="43"/>
  <c r="G528" i="43"/>
  <c r="E528" i="43"/>
  <c r="C528" i="43"/>
  <c r="B528" i="43"/>
  <c r="A528" i="43"/>
  <c r="U527" i="43"/>
  <c r="G527" i="43"/>
  <c r="E527" i="43"/>
  <c r="C527" i="43"/>
  <c r="B527" i="43"/>
  <c r="A527" i="43"/>
  <c r="U526" i="43"/>
  <c r="G526" i="43"/>
  <c r="E526" i="43"/>
  <c r="C526" i="43"/>
  <c r="B526" i="43"/>
  <c r="A526" i="43"/>
  <c r="U525" i="43"/>
  <c r="G525" i="43"/>
  <c r="E525" i="43"/>
  <c r="C525" i="43"/>
  <c r="B525" i="43"/>
  <c r="A525" i="43"/>
  <c r="U524" i="43"/>
  <c r="G524" i="43"/>
  <c r="E524" i="43"/>
  <c r="C524" i="43"/>
  <c r="B524" i="43"/>
  <c r="A524" i="43"/>
  <c r="U523" i="43"/>
  <c r="G523" i="43"/>
  <c r="E523" i="43"/>
  <c r="C523" i="43"/>
  <c r="B523" i="43"/>
  <c r="A523" i="43"/>
  <c r="U522" i="43"/>
  <c r="G522" i="43"/>
  <c r="E522" i="43"/>
  <c r="C522" i="43"/>
  <c r="B522" i="43"/>
  <c r="A522" i="43"/>
  <c r="U521" i="43"/>
  <c r="G521" i="43"/>
  <c r="E521" i="43"/>
  <c r="C521" i="43"/>
  <c r="B521" i="43"/>
  <c r="A521" i="43"/>
  <c r="U520" i="43"/>
  <c r="G520" i="43"/>
  <c r="E520" i="43"/>
  <c r="C520" i="43"/>
  <c r="B520" i="43"/>
  <c r="A520" i="43"/>
  <c r="U519" i="43"/>
  <c r="G519" i="43"/>
  <c r="E519" i="43"/>
  <c r="C519" i="43"/>
  <c r="B519" i="43"/>
  <c r="A519" i="43"/>
  <c r="U518" i="43"/>
  <c r="G518" i="43"/>
  <c r="E518" i="43"/>
  <c r="C518" i="43"/>
  <c r="B518" i="43"/>
  <c r="A518" i="43"/>
  <c r="U517" i="43"/>
  <c r="G517" i="43"/>
  <c r="E517" i="43"/>
  <c r="C517" i="43"/>
  <c r="B517" i="43"/>
  <c r="A517" i="43"/>
  <c r="U516" i="43"/>
  <c r="G516" i="43"/>
  <c r="E516" i="43"/>
  <c r="C516" i="43"/>
  <c r="B516" i="43"/>
  <c r="A516" i="43"/>
  <c r="U515" i="43"/>
  <c r="G515" i="43"/>
  <c r="E515" i="43"/>
  <c r="C515" i="43"/>
  <c r="B515" i="43"/>
  <c r="A515" i="43"/>
  <c r="U514" i="43"/>
  <c r="G514" i="43"/>
  <c r="E514" i="43"/>
  <c r="C514" i="43"/>
  <c r="B514" i="43"/>
  <c r="A514" i="43"/>
  <c r="U513" i="43"/>
  <c r="G513" i="43"/>
  <c r="E513" i="43"/>
  <c r="C513" i="43"/>
  <c r="B513" i="43"/>
  <c r="A513" i="43"/>
  <c r="U512" i="43"/>
  <c r="G512" i="43"/>
  <c r="E512" i="43"/>
  <c r="C512" i="43"/>
  <c r="B512" i="43"/>
  <c r="A512" i="43"/>
  <c r="U511" i="43"/>
  <c r="G511" i="43"/>
  <c r="E511" i="43"/>
  <c r="C511" i="43"/>
  <c r="B511" i="43"/>
  <c r="A511" i="43"/>
  <c r="U510" i="43"/>
  <c r="G510" i="43"/>
  <c r="E510" i="43"/>
  <c r="C510" i="43"/>
  <c r="B510" i="43"/>
  <c r="A510" i="43"/>
  <c r="U509" i="43"/>
  <c r="G509" i="43"/>
  <c r="E509" i="43"/>
  <c r="C509" i="43"/>
  <c r="B509" i="43"/>
  <c r="A509" i="43"/>
  <c r="U508" i="43"/>
  <c r="G508" i="43"/>
  <c r="E508" i="43"/>
  <c r="C508" i="43"/>
  <c r="B508" i="43"/>
  <c r="A508" i="43"/>
  <c r="U507" i="43"/>
  <c r="G507" i="43"/>
  <c r="E507" i="43"/>
  <c r="C507" i="43"/>
  <c r="B507" i="43"/>
  <c r="A507" i="43"/>
  <c r="U506" i="43"/>
  <c r="G506" i="43"/>
  <c r="E506" i="43"/>
  <c r="C506" i="43"/>
  <c r="B506" i="43"/>
  <c r="A506" i="43"/>
  <c r="U505" i="43"/>
  <c r="G505" i="43"/>
  <c r="E505" i="43"/>
  <c r="C505" i="43"/>
  <c r="B505" i="43"/>
  <c r="A505" i="43"/>
  <c r="U504" i="43"/>
  <c r="G504" i="43"/>
  <c r="E504" i="43"/>
  <c r="C504" i="43"/>
  <c r="B504" i="43"/>
  <c r="A504" i="43"/>
  <c r="U503" i="43"/>
  <c r="G503" i="43"/>
  <c r="E503" i="43"/>
  <c r="C503" i="43"/>
  <c r="B503" i="43"/>
  <c r="A503" i="43"/>
  <c r="U502" i="43"/>
  <c r="G502" i="43"/>
  <c r="E502" i="43"/>
  <c r="C502" i="43"/>
  <c r="B502" i="43"/>
  <c r="A502" i="43"/>
  <c r="U501" i="43"/>
  <c r="G501" i="43"/>
  <c r="E501" i="43"/>
  <c r="C501" i="43"/>
  <c r="B501" i="43"/>
  <c r="A501" i="43"/>
  <c r="U500" i="43"/>
  <c r="G500" i="43"/>
  <c r="E500" i="43"/>
  <c r="C500" i="43"/>
  <c r="B500" i="43"/>
  <c r="A500" i="43"/>
  <c r="U499" i="43"/>
  <c r="G499" i="43"/>
  <c r="E499" i="43"/>
  <c r="C499" i="43"/>
  <c r="B499" i="43"/>
  <c r="A499" i="43"/>
  <c r="U498" i="43"/>
  <c r="G498" i="43"/>
  <c r="E498" i="43"/>
  <c r="C498" i="43"/>
  <c r="B498" i="43"/>
  <c r="A498" i="43"/>
  <c r="U497" i="43"/>
  <c r="G497" i="43"/>
  <c r="E497" i="43"/>
  <c r="C497" i="43"/>
  <c r="B497" i="43"/>
  <c r="A497" i="43"/>
  <c r="U496" i="43"/>
  <c r="G496" i="43"/>
  <c r="E496" i="43"/>
  <c r="C496" i="43"/>
  <c r="B496" i="43"/>
  <c r="A496" i="43"/>
  <c r="U495" i="43"/>
  <c r="G495" i="43"/>
  <c r="E495" i="43"/>
  <c r="C495" i="43"/>
  <c r="B495" i="43"/>
  <c r="A495" i="43"/>
  <c r="U494" i="43"/>
  <c r="G494" i="43"/>
  <c r="E494" i="43"/>
  <c r="C494" i="43"/>
  <c r="B494" i="43"/>
  <c r="A494" i="43"/>
  <c r="U493" i="43"/>
  <c r="G493" i="43"/>
  <c r="E493" i="43"/>
  <c r="C493" i="43"/>
  <c r="B493" i="43"/>
  <c r="A493" i="43"/>
  <c r="U492" i="43"/>
  <c r="G492" i="43"/>
  <c r="E492" i="43"/>
  <c r="C492" i="43"/>
  <c r="B492" i="43"/>
  <c r="A492" i="43"/>
  <c r="U491" i="43"/>
  <c r="G491" i="43"/>
  <c r="E491" i="43"/>
  <c r="C491" i="43"/>
  <c r="B491" i="43"/>
  <c r="A491" i="43"/>
  <c r="U490" i="43"/>
  <c r="G490" i="43"/>
  <c r="E490" i="43"/>
  <c r="C490" i="43"/>
  <c r="B490" i="43"/>
  <c r="A490" i="43"/>
  <c r="U489" i="43"/>
  <c r="G489" i="43"/>
  <c r="E489" i="43"/>
  <c r="C489" i="43"/>
  <c r="B489" i="43"/>
  <c r="A489" i="43"/>
  <c r="U488" i="43"/>
  <c r="G488" i="43"/>
  <c r="E488" i="43"/>
  <c r="C488" i="43"/>
  <c r="B488" i="43"/>
  <c r="A488" i="43"/>
  <c r="U487" i="43"/>
  <c r="G487" i="43"/>
  <c r="E487" i="43"/>
  <c r="C487" i="43"/>
  <c r="B487" i="43"/>
  <c r="A487" i="43"/>
  <c r="U486" i="43"/>
  <c r="G486" i="43"/>
  <c r="E486" i="43"/>
  <c r="C486" i="43"/>
  <c r="B486" i="43"/>
  <c r="A486" i="43"/>
  <c r="U485" i="43"/>
  <c r="G485" i="43"/>
  <c r="E485" i="43"/>
  <c r="C485" i="43"/>
  <c r="B485" i="43"/>
  <c r="A485" i="43"/>
  <c r="U484" i="43"/>
  <c r="G484" i="43"/>
  <c r="E484" i="43"/>
  <c r="C484" i="43"/>
  <c r="B484" i="43"/>
  <c r="A484" i="43"/>
  <c r="U483" i="43"/>
  <c r="G483" i="43"/>
  <c r="E483" i="43"/>
  <c r="C483" i="43"/>
  <c r="B483" i="43"/>
  <c r="A483" i="43"/>
  <c r="U482" i="43"/>
  <c r="G482" i="43"/>
  <c r="E482" i="43"/>
  <c r="C482" i="43"/>
  <c r="B482" i="43"/>
  <c r="A482" i="43"/>
  <c r="U481" i="43"/>
  <c r="G481" i="43"/>
  <c r="E481" i="43"/>
  <c r="C481" i="43"/>
  <c r="B481" i="43"/>
  <c r="A481" i="43"/>
  <c r="U480" i="43"/>
  <c r="G480" i="43"/>
  <c r="E480" i="43"/>
  <c r="C480" i="43"/>
  <c r="B480" i="43"/>
  <c r="A480" i="43"/>
  <c r="U479" i="43"/>
  <c r="G479" i="43"/>
  <c r="E479" i="43"/>
  <c r="C479" i="43"/>
  <c r="B479" i="43"/>
  <c r="A479" i="43"/>
  <c r="U478" i="43"/>
  <c r="G478" i="43"/>
  <c r="E478" i="43"/>
  <c r="C478" i="43"/>
  <c r="B478" i="43"/>
  <c r="A478" i="43"/>
  <c r="U477" i="43"/>
  <c r="G477" i="43"/>
  <c r="E477" i="43"/>
  <c r="C477" i="43"/>
  <c r="B477" i="43"/>
  <c r="A477" i="43"/>
  <c r="U476" i="43"/>
  <c r="G476" i="43"/>
  <c r="E476" i="43"/>
  <c r="C476" i="43"/>
  <c r="B476" i="43"/>
  <c r="A476" i="43"/>
  <c r="U475" i="43"/>
  <c r="G475" i="43"/>
  <c r="E475" i="43"/>
  <c r="C475" i="43"/>
  <c r="B475" i="43"/>
  <c r="A475" i="43"/>
  <c r="U474" i="43"/>
  <c r="G474" i="43"/>
  <c r="E474" i="43"/>
  <c r="C474" i="43"/>
  <c r="B474" i="43"/>
  <c r="A474" i="43"/>
  <c r="U473" i="43"/>
  <c r="G473" i="43"/>
  <c r="E473" i="43"/>
  <c r="C473" i="43"/>
  <c r="B473" i="43"/>
  <c r="A473" i="43"/>
  <c r="U472" i="43"/>
  <c r="G472" i="43"/>
  <c r="E472" i="43"/>
  <c r="C472" i="43"/>
  <c r="B472" i="43"/>
  <c r="A472" i="43"/>
  <c r="U471" i="43"/>
  <c r="G471" i="43"/>
  <c r="E471" i="43"/>
  <c r="C471" i="43"/>
  <c r="B471" i="43"/>
  <c r="A471" i="43"/>
  <c r="U470" i="43"/>
  <c r="G470" i="43"/>
  <c r="E470" i="43"/>
  <c r="C470" i="43"/>
  <c r="B470" i="43"/>
  <c r="A470" i="43"/>
  <c r="U469" i="43"/>
  <c r="G469" i="43"/>
  <c r="E469" i="43"/>
  <c r="C469" i="43"/>
  <c r="B469" i="43"/>
  <c r="A469" i="43"/>
  <c r="U468" i="43"/>
  <c r="G468" i="43"/>
  <c r="E468" i="43"/>
  <c r="C468" i="43"/>
  <c r="B468" i="43"/>
  <c r="A468" i="43"/>
  <c r="U467" i="43"/>
  <c r="G467" i="43"/>
  <c r="E467" i="43"/>
  <c r="C467" i="43"/>
  <c r="B467" i="43"/>
  <c r="A467" i="43"/>
  <c r="U466" i="43"/>
  <c r="G466" i="43"/>
  <c r="E466" i="43"/>
  <c r="C466" i="43"/>
  <c r="B466" i="43"/>
  <c r="A466" i="43"/>
  <c r="U465" i="43"/>
  <c r="G465" i="43"/>
  <c r="E465" i="43"/>
  <c r="C465" i="43"/>
  <c r="B465" i="43"/>
  <c r="A465" i="43"/>
  <c r="U464" i="43"/>
  <c r="G464" i="43"/>
  <c r="E464" i="43"/>
  <c r="C464" i="43"/>
  <c r="B464" i="43"/>
  <c r="A464" i="43"/>
  <c r="U463" i="43"/>
  <c r="G463" i="43"/>
  <c r="E463" i="43"/>
  <c r="C463" i="43"/>
  <c r="B463" i="43"/>
  <c r="A463" i="43"/>
  <c r="U462" i="43"/>
  <c r="G462" i="43"/>
  <c r="E462" i="43"/>
  <c r="C462" i="43"/>
  <c r="B462" i="43"/>
  <c r="A462" i="43"/>
  <c r="U461" i="43"/>
  <c r="G461" i="43"/>
  <c r="E461" i="43"/>
  <c r="C461" i="43"/>
  <c r="B461" i="43"/>
  <c r="A461" i="43"/>
  <c r="U460" i="43"/>
  <c r="G460" i="43"/>
  <c r="E460" i="43"/>
  <c r="C460" i="43"/>
  <c r="B460" i="43"/>
  <c r="A460" i="43"/>
  <c r="U459" i="43"/>
  <c r="G459" i="43"/>
  <c r="E459" i="43"/>
  <c r="C459" i="43"/>
  <c r="B459" i="43"/>
  <c r="A459" i="43"/>
  <c r="U458" i="43"/>
  <c r="G458" i="43"/>
  <c r="E458" i="43"/>
  <c r="C458" i="43"/>
  <c r="B458" i="43"/>
  <c r="A458" i="43"/>
  <c r="U457" i="43"/>
  <c r="G457" i="43"/>
  <c r="E457" i="43"/>
  <c r="C457" i="43"/>
  <c r="B457" i="43"/>
  <c r="A457" i="43"/>
  <c r="U456" i="43"/>
  <c r="G456" i="43"/>
  <c r="E456" i="43"/>
  <c r="C456" i="43"/>
  <c r="B456" i="43"/>
  <c r="A456" i="43"/>
  <c r="U455" i="43"/>
  <c r="G455" i="43"/>
  <c r="E455" i="43"/>
  <c r="C455" i="43"/>
  <c r="B455" i="43"/>
  <c r="A455" i="43"/>
  <c r="U454" i="43"/>
  <c r="G454" i="43"/>
  <c r="E454" i="43"/>
  <c r="C454" i="43"/>
  <c r="B454" i="43"/>
  <c r="A454" i="43"/>
  <c r="U453" i="43"/>
  <c r="G453" i="43"/>
  <c r="E453" i="43"/>
  <c r="C453" i="43"/>
  <c r="B453" i="43"/>
  <c r="A453" i="43"/>
  <c r="U452" i="43"/>
  <c r="G452" i="43"/>
  <c r="E452" i="43"/>
  <c r="C452" i="43"/>
  <c r="B452" i="43"/>
  <c r="A452" i="43"/>
  <c r="U451" i="43"/>
  <c r="G451" i="43"/>
  <c r="E451" i="43"/>
  <c r="C451" i="43"/>
  <c r="B451" i="43"/>
  <c r="A451" i="43"/>
  <c r="U450" i="43"/>
  <c r="G450" i="43"/>
  <c r="E450" i="43"/>
  <c r="C450" i="43"/>
  <c r="B450" i="43"/>
  <c r="A450" i="43"/>
  <c r="U449" i="43"/>
  <c r="G449" i="43"/>
  <c r="E449" i="43"/>
  <c r="C449" i="43"/>
  <c r="B449" i="43"/>
  <c r="A449" i="43"/>
  <c r="U448" i="43"/>
  <c r="G448" i="43"/>
  <c r="E448" i="43"/>
  <c r="C448" i="43"/>
  <c r="B448" i="43"/>
  <c r="A448" i="43"/>
  <c r="U447" i="43"/>
  <c r="G447" i="43"/>
  <c r="E447" i="43"/>
  <c r="C447" i="43"/>
  <c r="B447" i="43"/>
  <c r="A447" i="43"/>
  <c r="U446" i="43"/>
  <c r="G446" i="43"/>
  <c r="E446" i="43"/>
  <c r="C446" i="43"/>
  <c r="B446" i="43"/>
  <c r="A446" i="43"/>
  <c r="U445" i="43"/>
  <c r="G445" i="43"/>
  <c r="E445" i="43"/>
  <c r="C445" i="43"/>
  <c r="B445" i="43"/>
  <c r="A445" i="43"/>
  <c r="U444" i="43"/>
  <c r="G444" i="43"/>
  <c r="E444" i="43"/>
  <c r="C444" i="43"/>
  <c r="B444" i="43"/>
  <c r="A444" i="43"/>
  <c r="U443" i="43"/>
  <c r="G443" i="43"/>
  <c r="E443" i="43"/>
  <c r="C443" i="43"/>
  <c r="B443" i="43"/>
  <c r="A443" i="43"/>
  <c r="U442" i="43"/>
  <c r="G442" i="43"/>
  <c r="E442" i="43"/>
  <c r="C442" i="43"/>
  <c r="B442" i="43"/>
  <c r="A442" i="43"/>
  <c r="U441" i="43"/>
  <c r="G441" i="43"/>
  <c r="E441" i="43"/>
  <c r="C441" i="43"/>
  <c r="B441" i="43"/>
  <c r="A441" i="43"/>
  <c r="U440" i="43"/>
  <c r="G440" i="43"/>
  <c r="E440" i="43"/>
  <c r="C440" i="43"/>
  <c r="B440" i="43"/>
  <c r="A440" i="43"/>
  <c r="U439" i="43"/>
  <c r="G439" i="43"/>
  <c r="E439" i="43"/>
  <c r="C439" i="43"/>
  <c r="B439" i="43"/>
  <c r="A439" i="43"/>
  <c r="U438" i="43"/>
  <c r="G438" i="43"/>
  <c r="E438" i="43"/>
  <c r="C438" i="43"/>
  <c r="B438" i="43"/>
  <c r="A438" i="43"/>
  <c r="U437" i="43"/>
  <c r="G437" i="43"/>
  <c r="E437" i="43"/>
  <c r="C437" i="43"/>
  <c r="B437" i="43"/>
  <c r="A437" i="43"/>
  <c r="U436" i="43"/>
  <c r="G436" i="43"/>
  <c r="E436" i="43"/>
  <c r="C436" i="43"/>
  <c r="B436" i="43"/>
  <c r="A436" i="43"/>
  <c r="U435" i="43"/>
  <c r="G435" i="43"/>
  <c r="E435" i="43"/>
  <c r="C435" i="43"/>
  <c r="B435" i="43"/>
  <c r="A435" i="43"/>
  <c r="U434" i="43"/>
  <c r="G434" i="43"/>
  <c r="E434" i="43"/>
  <c r="C434" i="43"/>
  <c r="B434" i="43"/>
  <c r="A434" i="43"/>
  <c r="U433" i="43"/>
  <c r="G433" i="43"/>
  <c r="C433" i="43"/>
  <c r="B433" i="43"/>
  <c r="A433" i="43"/>
  <c r="V432" i="43"/>
  <c r="G432" i="43"/>
  <c r="E432" i="43"/>
  <c r="C432" i="43"/>
  <c r="B432" i="43"/>
  <c r="A432" i="43"/>
  <c r="V431" i="43"/>
  <c r="G431" i="43"/>
  <c r="E431" i="43"/>
  <c r="C431" i="43"/>
  <c r="B431" i="43"/>
  <c r="A431" i="43"/>
  <c r="V430" i="43"/>
  <c r="G430" i="43"/>
  <c r="E430" i="43"/>
  <c r="C430" i="43"/>
  <c r="B430" i="43"/>
  <c r="A430" i="43"/>
  <c r="V429" i="43"/>
  <c r="G429" i="43"/>
  <c r="C429" i="43"/>
  <c r="B429" i="43"/>
  <c r="A429" i="43"/>
  <c r="V428" i="43"/>
  <c r="G428" i="43"/>
  <c r="E428" i="43"/>
  <c r="C428" i="43"/>
  <c r="B428" i="43"/>
  <c r="A428" i="43"/>
  <c r="V427" i="43"/>
  <c r="G427" i="43"/>
  <c r="E427" i="43"/>
  <c r="C427" i="43"/>
  <c r="B427" i="43"/>
  <c r="A427" i="43"/>
  <c r="V426" i="43"/>
  <c r="G426" i="43"/>
  <c r="E426" i="43"/>
  <c r="C426" i="43"/>
  <c r="B426" i="43"/>
  <c r="A426" i="43"/>
  <c r="V425" i="43"/>
  <c r="G425" i="43"/>
  <c r="E425" i="43"/>
  <c r="C425" i="43"/>
  <c r="B425" i="43"/>
  <c r="A425" i="43"/>
  <c r="V424" i="43"/>
  <c r="G424" i="43"/>
  <c r="E424" i="43"/>
  <c r="C424" i="43"/>
  <c r="B424" i="43"/>
  <c r="A424" i="43"/>
  <c r="V423" i="43"/>
  <c r="G423" i="43"/>
  <c r="E423" i="43"/>
  <c r="C423" i="43"/>
  <c r="B423" i="43"/>
  <c r="A423" i="43"/>
  <c r="V422" i="43"/>
  <c r="G422" i="43"/>
  <c r="E422" i="43"/>
  <c r="C422" i="43"/>
  <c r="B422" i="43"/>
  <c r="A422" i="43"/>
  <c r="V421" i="43"/>
  <c r="G421" i="43"/>
  <c r="E421" i="43"/>
  <c r="C421" i="43"/>
  <c r="B421" i="43"/>
  <c r="A421" i="43"/>
  <c r="V420" i="43"/>
  <c r="G420" i="43"/>
  <c r="E420" i="43"/>
  <c r="C420" i="43"/>
  <c r="B420" i="43"/>
  <c r="A420" i="43"/>
  <c r="V419" i="43"/>
  <c r="G419" i="43"/>
  <c r="E419" i="43"/>
  <c r="C419" i="43"/>
  <c r="B419" i="43"/>
  <c r="A419" i="43"/>
  <c r="V418" i="43"/>
  <c r="G418" i="43"/>
  <c r="E418" i="43"/>
  <c r="C418" i="43"/>
  <c r="B418" i="43"/>
  <c r="A418" i="43"/>
  <c r="V417" i="43"/>
  <c r="G417" i="43"/>
  <c r="E417" i="43"/>
  <c r="C417" i="43"/>
  <c r="B417" i="43"/>
  <c r="A417" i="43"/>
  <c r="V416" i="43"/>
  <c r="G416" i="43"/>
  <c r="E416" i="43"/>
  <c r="C416" i="43"/>
  <c r="B416" i="43"/>
  <c r="A416" i="43"/>
  <c r="V415" i="43"/>
  <c r="G415" i="43"/>
  <c r="E415" i="43"/>
  <c r="C415" i="43"/>
  <c r="B415" i="43"/>
  <c r="A415" i="43"/>
  <c r="V414" i="43"/>
  <c r="G414" i="43"/>
  <c r="E414" i="43"/>
  <c r="C414" i="43"/>
  <c r="B414" i="43"/>
  <c r="A414" i="43"/>
  <c r="V413" i="43"/>
  <c r="G413" i="43"/>
  <c r="E413" i="43"/>
  <c r="C413" i="43"/>
  <c r="B413" i="43"/>
  <c r="A413" i="43"/>
  <c r="V412" i="43"/>
  <c r="G412" i="43"/>
  <c r="E412" i="43"/>
  <c r="C412" i="43"/>
  <c r="B412" i="43"/>
  <c r="A412" i="43"/>
  <c r="V411" i="43"/>
  <c r="G411" i="43"/>
  <c r="E411" i="43"/>
  <c r="C411" i="43"/>
  <c r="B411" i="43"/>
  <c r="A411" i="43"/>
  <c r="V410" i="43"/>
  <c r="G410" i="43"/>
  <c r="E410" i="43"/>
  <c r="C410" i="43"/>
  <c r="B410" i="43"/>
  <c r="A410" i="43"/>
  <c r="V409" i="43"/>
  <c r="G409" i="43"/>
  <c r="E409" i="43"/>
  <c r="C409" i="43"/>
  <c r="B409" i="43"/>
  <c r="A409" i="43"/>
  <c r="V408" i="43"/>
  <c r="G408" i="43"/>
  <c r="E408" i="43"/>
  <c r="C408" i="43"/>
  <c r="B408" i="43"/>
  <c r="A408" i="43"/>
  <c r="V407" i="43"/>
  <c r="G407" i="43"/>
  <c r="E407" i="43"/>
  <c r="C407" i="43"/>
  <c r="B407" i="43"/>
  <c r="A407" i="43"/>
  <c r="V406" i="43"/>
  <c r="G406" i="43"/>
  <c r="E406" i="43"/>
  <c r="C406" i="43"/>
  <c r="B406" i="43"/>
  <c r="A406" i="43"/>
  <c r="V405" i="43"/>
  <c r="G405" i="43"/>
  <c r="E405" i="43"/>
  <c r="C405" i="43"/>
  <c r="B405" i="43"/>
  <c r="A405" i="43"/>
  <c r="V404" i="43"/>
  <c r="G404" i="43"/>
  <c r="E404" i="43"/>
  <c r="C404" i="43"/>
  <c r="B404" i="43"/>
  <c r="A404" i="43"/>
  <c r="V403" i="43"/>
  <c r="G403" i="43"/>
  <c r="E403" i="43"/>
  <c r="C403" i="43"/>
  <c r="B403" i="43"/>
  <c r="A403" i="43"/>
  <c r="V402" i="43"/>
  <c r="G402" i="43"/>
  <c r="E402" i="43"/>
  <c r="C402" i="43"/>
  <c r="B402" i="43"/>
  <c r="A402" i="43"/>
  <c r="V401" i="43"/>
  <c r="G401" i="43"/>
  <c r="E401" i="43"/>
  <c r="C401" i="43"/>
  <c r="B401" i="43"/>
  <c r="A401" i="43"/>
  <c r="V400" i="43"/>
  <c r="G400" i="43"/>
  <c r="E400" i="43"/>
  <c r="C400" i="43"/>
  <c r="B400" i="43"/>
  <c r="A400" i="43"/>
  <c r="V399" i="43"/>
  <c r="G399" i="43"/>
  <c r="E399" i="43"/>
  <c r="C399" i="43"/>
  <c r="B399" i="43"/>
  <c r="A399" i="43"/>
  <c r="V398" i="43"/>
  <c r="G398" i="43"/>
  <c r="E398" i="43"/>
  <c r="C398" i="43"/>
  <c r="B398" i="43"/>
  <c r="A398" i="43"/>
  <c r="V397" i="43"/>
  <c r="G397" i="43"/>
  <c r="E397" i="43"/>
  <c r="C397" i="43"/>
  <c r="B397" i="43"/>
  <c r="A397" i="43"/>
  <c r="V396" i="43"/>
  <c r="G396" i="43"/>
  <c r="E396" i="43"/>
  <c r="C396" i="43"/>
  <c r="B396" i="43"/>
  <c r="A396" i="43"/>
  <c r="V395" i="43"/>
  <c r="G395" i="43"/>
  <c r="E395" i="43"/>
  <c r="C395" i="43"/>
  <c r="B395" i="43"/>
  <c r="A395" i="43"/>
  <c r="V394" i="43"/>
  <c r="G394" i="43"/>
  <c r="E394" i="43"/>
  <c r="C394" i="43"/>
  <c r="B394" i="43"/>
  <c r="A394" i="43"/>
  <c r="V393" i="43"/>
  <c r="G393" i="43"/>
  <c r="E393" i="43"/>
  <c r="C393" i="43"/>
  <c r="B393" i="43"/>
  <c r="A393" i="43"/>
  <c r="V392" i="43"/>
  <c r="G392" i="43"/>
  <c r="E392" i="43"/>
  <c r="C392" i="43"/>
  <c r="B392" i="43"/>
  <c r="A392" i="43"/>
  <c r="V391" i="43"/>
  <c r="G391" i="43"/>
  <c r="E391" i="43"/>
  <c r="C391" i="43"/>
  <c r="B391" i="43"/>
  <c r="A391" i="43"/>
  <c r="V390" i="43"/>
  <c r="G390" i="43"/>
  <c r="E390" i="43"/>
  <c r="C390" i="43"/>
  <c r="B390" i="43"/>
  <c r="A390" i="43"/>
  <c r="V389" i="43"/>
  <c r="G389" i="43"/>
  <c r="E389" i="43"/>
  <c r="C389" i="43"/>
  <c r="B389" i="43"/>
  <c r="A389" i="43"/>
  <c r="V388" i="43"/>
  <c r="G388" i="43"/>
  <c r="E388" i="43"/>
  <c r="C388" i="43"/>
  <c r="B388" i="43"/>
  <c r="A388" i="43"/>
  <c r="V387" i="43"/>
  <c r="G387" i="43"/>
  <c r="E387" i="43"/>
  <c r="C387" i="43"/>
  <c r="B387" i="43"/>
  <c r="A387" i="43"/>
  <c r="V386" i="43"/>
  <c r="G386" i="43"/>
  <c r="E386" i="43"/>
  <c r="C386" i="43"/>
  <c r="B386" i="43"/>
  <c r="A386" i="43"/>
  <c r="V385" i="43"/>
  <c r="G385" i="43"/>
  <c r="E385" i="43"/>
  <c r="C385" i="43"/>
  <c r="B385" i="43"/>
  <c r="A385" i="43"/>
  <c r="V384" i="43"/>
  <c r="G384" i="43"/>
  <c r="E384" i="43"/>
  <c r="C384" i="43"/>
  <c r="B384" i="43"/>
  <c r="A384" i="43"/>
  <c r="V383" i="43"/>
  <c r="G383" i="43"/>
  <c r="E383" i="43"/>
  <c r="C383" i="43"/>
  <c r="B383" i="43"/>
  <c r="A383" i="43"/>
  <c r="V382" i="43"/>
  <c r="G382" i="43"/>
  <c r="E382" i="43"/>
  <c r="C382" i="43"/>
  <c r="B382" i="43"/>
  <c r="A382" i="43"/>
  <c r="V381" i="43"/>
  <c r="G381" i="43"/>
  <c r="E381" i="43"/>
  <c r="C381" i="43"/>
  <c r="B381" i="43"/>
  <c r="A381" i="43"/>
  <c r="V380" i="43"/>
  <c r="G380" i="43"/>
  <c r="E380" i="43"/>
  <c r="C380" i="43"/>
  <c r="B380" i="43"/>
  <c r="A380" i="43"/>
  <c r="V379" i="43"/>
  <c r="G379" i="43"/>
  <c r="E379" i="43"/>
  <c r="C379" i="43"/>
  <c r="B379" i="43"/>
  <c r="A379" i="43"/>
  <c r="V378" i="43"/>
  <c r="G378" i="43"/>
  <c r="E378" i="43"/>
  <c r="C378" i="43"/>
  <c r="B378" i="43"/>
  <c r="A378" i="43"/>
  <c r="V377" i="43"/>
  <c r="G377" i="43"/>
  <c r="E377" i="43"/>
  <c r="C377" i="43"/>
  <c r="B377" i="43"/>
  <c r="A377" i="43"/>
  <c r="V376" i="43"/>
  <c r="G376" i="43"/>
  <c r="E376" i="43"/>
  <c r="C376" i="43"/>
  <c r="B376" i="43"/>
  <c r="A376" i="43"/>
  <c r="V375" i="43"/>
  <c r="G375" i="43"/>
  <c r="E375" i="43"/>
  <c r="C375" i="43"/>
  <c r="B375" i="43"/>
  <c r="A375" i="43"/>
  <c r="V374" i="43"/>
  <c r="G374" i="43"/>
  <c r="E374" i="43"/>
  <c r="C374" i="43"/>
  <c r="B374" i="43"/>
  <c r="A374" i="43"/>
  <c r="V373" i="43"/>
  <c r="G373" i="43"/>
  <c r="E373" i="43"/>
  <c r="C373" i="43"/>
  <c r="B373" i="43"/>
  <c r="A373" i="43"/>
  <c r="V372" i="43"/>
  <c r="G372" i="43"/>
  <c r="E372" i="43"/>
  <c r="C372" i="43"/>
  <c r="B372" i="43"/>
  <c r="A372" i="43"/>
  <c r="V371" i="43"/>
  <c r="G371" i="43"/>
  <c r="E371" i="43"/>
  <c r="C371" i="43"/>
  <c r="B371" i="43"/>
  <c r="A371" i="43"/>
  <c r="V370" i="43"/>
  <c r="G370" i="43"/>
  <c r="E370" i="43"/>
  <c r="C370" i="43"/>
  <c r="B370" i="43"/>
  <c r="A370" i="43"/>
  <c r="V369" i="43"/>
  <c r="G369" i="43"/>
  <c r="E369" i="43"/>
  <c r="C369" i="43"/>
  <c r="B369" i="43"/>
  <c r="A369" i="43"/>
  <c r="V368" i="43"/>
  <c r="G368" i="43"/>
  <c r="E368" i="43"/>
  <c r="C368" i="43"/>
  <c r="B368" i="43"/>
  <c r="A368" i="43"/>
  <c r="V367" i="43"/>
  <c r="G367" i="43"/>
  <c r="E367" i="43"/>
  <c r="C367" i="43"/>
  <c r="B367" i="43"/>
  <c r="A367" i="43"/>
  <c r="V366" i="43"/>
  <c r="G366" i="43"/>
  <c r="E366" i="43"/>
  <c r="C366" i="43"/>
  <c r="B366" i="43"/>
  <c r="A366" i="43"/>
  <c r="V365" i="43"/>
  <c r="G365" i="43"/>
  <c r="E365" i="43"/>
  <c r="C365" i="43"/>
  <c r="B365" i="43"/>
  <c r="A365" i="43"/>
  <c r="V364" i="43"/>
  <c r="G364" i="43"/>
  <c r="E364" i="43"/>
  <c r="C364" i="43"/>
  <c r="B364" i="43"/>
  <c r="A364" i="43"/>
  <c r="V363" i="43"/>
  <c r="G363" i="43"/>
  <c r="E363" i="43"/>
  <c r="C363" i="43"/>
  <c r="B363" i="43"/>
  <c r="A363" i="43"/>
  <c r="V362" i="43"/>
  <c r="G362" i="43"/>
  <c r="E362" i="43"/>
  <c r="C362" i="43"/>
  <c r="B362" i="43"/>
  <c r="A362" i="43"/>
  <c r="V361" i="43"/>
  <c r="G361" i="43"/>
  <c r="E361" i="43"/>
  <c r="C361" i="43"/>
  <c r="B361" i="43"/>
  <c r="A361" i="43"/>
  <c r="V360" i="43"/>
  <c r="G360" i="43"/>
  <c r="E360" i="43"/>
  <c r="C360" i="43"/>
  <c r="B360" i="43"/>
  <c r="A360" i="43"/>
  <c r="V359" i="43"/>
  <c r="G359" i="43"/>
  <c r="E359" i="43"/>
  <c r="C359" i="43"/>
  <c r="B359" i="43"/>
  <c r="A359" i="43"/>
  <c r="V358" i="43"/>
  <c r="G358" i="43"/>
  <c r="E358" i="43"/>
  <c r="C358" i="43"/>
  <c r="B358" i="43"/>
  <c r="A358" i="43"/>
  <c r="V357" i="43"/>
  <c r="G357" i="43"/>
  <c r="E357" i="43"/>
  <c r="C357" i="43"/>
  <c r="B357" i="43"/>
  <c r="A357" i="43"/>
  <c r="V356" i="43"/>
  <c r="G356" i="43"/>
  <c r="E356" i="43"/>
  <c r="C356" i="43"/>
  <c r="B356" i="43"/>
  <c r="A356" i="43"/>
  <c r="V355" i="43"/>
  <c r="G355" i="43"/>
  <c r="E355" i="43"/>
  <c r="C355" i="43"/>
  <c r="B355" i="43"/>
  <c r="A355" i="43"/>
  <c r="V354" i="43"/>
  <c r="G354" i="43"/>
  <c r="E354" i="43"/>
  <c r="C354" i="43"/>
  <c r="B354" i="43"/>
  <c r="A354" i="43"/>
  <c r="V353" i="43"/>
  <c r="G353" i="43"/>
  <c r="E353" i="43"/>
  <c r="C353" i="43"/>
  <c r="B353" i="43"/>
  <c r="A353" i="43"/>
  <c r="V352" i="43"/>
  <c r="G352" i="43"/>
  <c r="E352" i="43"/>
  <c r="C352" i="43"/>
  <c r="B352" i="43"/>
  <c r="A352" i="43"/>
  <c r="V351" i="43"/>
  <c r="G351" i="43"/>
  <c r="E351" i="43"/>
  <c r="C351" i="43"/>
  <c r="B351" i="43"/>
  <c r="A351" i="43"/>
  <c r="V350" i="43"/>
  <c r="G350" i="43"/>
  <c r="E350" i="43"/>
  <c r="C350" i="43"/>
  <c r="B350" i="43"/>
  <c r="A350" i="43"/>
  <c r="V349" i="43"/>
  <c r="G349" i="43"/>
  <c r="E349" i="43"/>
  <c r="C349" i="43"/>
  <c r="B349" i="43"/>
  <c r="A349" i="43"/>
  <c r="V348" i="43"/>
  <c r="G348" i="43"/>
  <c r="E348" i="43"/>
  <c r="C348" i="43"/>
  <c r="B348" i="43"/>
  <c r="A348" i="43"/>
  <c r="V347" i="43"/>
  <c r="G347" i="43"/>
  <c r="E347" i="43"/>
  <c r="C347" i="43"/>
  <c r="B347" i="43"/>
  <c r="A347" i="43"/>
  <c r="V346" i="43"/>
  <c r="G346" i="43"/>
  <c r="E346" i="43"/>
  <c r="C346" i="43"/>
  <c r="B346" i="43"/>
  <c r="A346" i="43"/>
  <c r="V345" i="43"/>
  <c r="G345" i="43"/>
  <c r="E345" i="43"/>
  <c r="C345" i="43"/>
  <c r="B345" i="43"/>
  <c r="A345" i="43"/>
  <c r="V344" i="43"/>
  <c r="G344" i="43"/>
  <c r="E344" i="43"/>
  <c r="C344" i="43"/>
  <c r="B344" i="43"/>
  <c r="A344" i="43"/>
  <c r="V343" i="43"/>
  <c r="G343" i="43"/>
  <c r="E343" i="43"/>
  <c r="C343" i="43"/>
  <c r="B343" i="43"/>
  <c r="A343" i="43"/>
  <c r="V342" i="43"/>
  <c r="G342" i="43"/>
  <c r="E342" i="43"/>
  <c r="C342" i="43"/>
  <c r="B342" i="43"/>
  <c r="A342" i="43"/>
  <c r="V341" i="43"/>
  <c r="G341" i="43"/>
  <c r="E341" i="43"/>
  <c r="C341" i="43"/>
  <c r="B341" i="43"/>
  <c r="A341" i="43"/>
  <c r="V340" i="43"/>
  <c r="G340" i="43"/>
  <c r="E340" i="43"/>
  <c r="C340" i="43"/>
  <c r="B340" i="43"/>
  <c r="A340" i="43"/>
  <c r="V339" i="43"/>
  <c r="G339" i="43"/>
  <c r="E339" i="43"/>
  <c r="C339" i="43"/>
  <c r="B339" i="43"/>
  <c r="A339" i="43"/>
  <c r="V338" i="43"/>
  <c r="G338" i="43"/>
  <c r="E338" i="43"/>
  <c r="C338" i="43"/>
  <c r="B338" i="43"/>
  <c r="A338" i="43"/>
  <c r="V337" i="43"/>
  <c r="G337" i="43"/>
  <c r="E337" i="43"/>
  <c r="C337" i="43"/>
  <c r="B337" i="43"/>
  <c r="A337" i="43"/>
  <c r="V336" i="43"/>
  <c r="G336" i="43"/>
  <c r="E336" i="43"/>
  <c r="C336" i="43"/>
  <c r="B336" i="43"/>
  <c r="A336" i="43"/>
  <c r="V335" i="43"/>
  <c r="G335" i="43"/>
  <c r="E335" i="43"/>
  <c r="C335" i="43"/>
  <c r="B335" i="43"/>
  <c r="A335" i="43"/>
  <c r="V334" i="43"/>
  <c r="G334" i="43"/>
  <c r="E334" i="43"/>
  <c r="C334" i="43"/>
  <c r="B334" i="43"/>
  <c r="A334" i="43"/>
  <c r="V333" i="43"/>
  <c r="G333" i="43"/>
  <c r="E333" i="43"/>
  <c r="C333" i="43"/>
  <c r="B333" i="43"/>
  <c r="A333" i="43"/>
  <c r="V332" i="43"/>
  <c r="G332" i="43"/>
  <c r="E332" i="43"/>
  <c r="C332" i="43"/>
  <c r="B332" i="43"/>
  <c r="A332" i="43"/>
  <c r="V331" i="43"/>
  <c r="G331" i="43"/>
  <c r="E331" i="43"/>
  <c r="C331" i="43"/>
  <c r="B331" i="43"/>
  <c r="A331" i="43"/>
  <c r="V330" i="43"/>
  <c r="G330" i="43"/>
  <c r="E330" i="43"/>
  <c r="C330" i="43"/>
  <c r="B330" i="43"/>
  <c r="A330" i="43"/>
  <c r="V329" i="43"/>
  <c r="G329" i="43"/>
  <c r="E329" i="43"/>
  <c r="C329" i="43"/>
  <c r="B329" i="43"/>
  <c r="A329" i="43"/>
  <c r="V328" i="43"/>
  <c r="G328" i="43"/>
  <c r="E328" i="43"/>
  <c r="C328" i="43"/>
  <c r="B328" i="43"/>
  <c r="A328" i="43"/>
  <c r="V327" i="43"/>
  <c r="G327" i="43"/>
  <c r="E327" i="43"/>
  <c r="C327" i="43"/>
  <c r="B327" i="43"/>
  <c r="A327" i="43"/>
  <c r="V326" i="43"/>
  <c r="G326" i="43"/>
  <c r="E326" i="43"/>
  <c r="C326" i="43"/>
  <c r="B326" i="43"/>
  <c r="A326" i="43"/>
  <c r="V325" i="43"/>
  <c r="G325" i="43"/>
  <c r="E325" i="43"/>
  <c r="C325" i="43"/>
  <c r="B325" i="43"/>
  <c r="A325" i="43"/>
  <c r="V324" i="43"/>
  <c r="G324" i="43"/>
  <c r="E324" i="43"/>
  <c r="C324" i="43"/>
  <c r="B324" i="43"/>
  <c r="A324" i="43"/>
  <c r="V323" i="43"/>
  <c r="G323" i="43"/>
  <c r="E323" i="43"/>
  <c r="C323" i="43"/>
  <c r="B323" i="43"/>
  <c r="A323" i="43"/>
  <c r="V321" i="43"/>
  <c r="G321" i="43"/>
  <c r="E321" i="43"/>
  <c r="C321" i="43"/>
  <c r="B321" i="43"/>
  <c r="A321" i="43"/>
  <c r="V320" i="43"/>
  <c r="G320" i="43"/>
  <c r="E320" i="43"/>
  <c r="C320" i="43"/>
  <c r="B320" i="43"/>
  <c r="A320" i="43"/>
  <c r="V319" i="43"/>
  <c r="G319" i="43"/>
  <c r="E319" i="43"/>
  <c r="C319" i="43"/>
  <c r="B319" i="43"/>
  <c r="A319" i="43"/>
  <c r="V318" i="43"/>
  <c r="G318" i="43"/>
  <c r="E318" i="43"/>
  <c r="C318" i="43"/>
  <c r="B318" i="43"/>
  <c r="A318" i="43"/>
  <c r="V315" i="43"/>
  <c r="G315" i="43"/>
  <c r="E315" i="43"/>
  <c r="C315" i="43"/>
  <c r="B315" i="43"/>
  <c r="A315" i="43"/>
  <c r="V314" i="43"/>
  <c r="G314" i="43"/>
  <c r="E314" i="43"/>
  <c r="C314" i="43"/>
  <c r="B314" i="43"/>
  <c r="A314" i="43"/>
  <c r="V313" i="43"/>
  <c r="G313" i="43"/>
  <c r="E313" i="43"/>
  <c r="C313" i="43"/>
  <c r="B313" i="43"/>
  <c r="A313" i="43"/>
  <c r="V312" i="43"/>
  <c r="G312" i="43"/>
  <c r="E312" i="43"/>
  <c r="C312" i="43"/>
  <c r="B312" i="43"/>
  <c r="A312" i="43"/>
  <c r="V311" i="43"/>
  <c r="G311" i="43"/>
  <c r="E311" i="43"/>
  <c r="C311" i="43"/>
  <c r="B311" i="43"/>
  <c r="A311" i="43"/>
  <c r="V310" i="43"/>
  <c r="G310" i="43"/>
  <c r="E310" i="43"/>
  <c r="C310" i="43"/>
  <c r="B310" i="43"/>
  <c r="A310" i="43"/>
  <c r="V309" i="43"/>
  <c r="G309" i="43"/>
  <c r="E309" i="43"/>
  <c r="C309" i="43"/>
  <c r="B309" i="43"/>
  <c r="A309" i="43"/>
  <c r="V308" i="43"/>
  <c r="G308" i="43"/>
  <c r="E308" i="43"/>
  <c r="C308" i="43"/>
  <c r="B308" i="43"/>
  <c r="A308" i="43"/>
  <c r="V307" i="43"/>
  <c r="G307" i="43"/>
  <c r="E307" i="43"/>
  <c r="C307" i="43"/>
  <c r="B307" i="43"/>
  <c r="A307" i="43"/>
  <c r="V306" i="43"/>
  <c r="U306" i="43"/>
  <c r="G306" i="43"/>
  <c r="E306" i="43"/>
  <c r="C306" i="43"/>
  <c r="B306" i="43"/>
  <c r="A306" i="43"/>
  <c r="V305" i="43"/>
  <c r="U305" i="43"/>
  <c r="G305" i="43"/>
  <c r="E305" i="43"/>
  <c r="C305" i="43"/>
  <c r="B305" i="43"/>
  <c r="A305" i="43"/>
  <c r="V304" i="43"/>
  <c r="U304" i="43"/>
  <c r="G304" i="43"/>
  <c r="E304" i="43"/>
  <c r="C304" i="43"/>
  <c r="B304" i="43"/>
  <c r="A304" i="43"/>
  <c r="V303" i="43"/>
  <c r="U303" i="43"/>
  <c r="G303" i="43"/>
  <c r="E303" i="43"/>
  <c r="C303" i="43"/>
  <c r="B303" i="43"/>
  <c r="A303" i="43"/>
  <c r="V302" i="43"/>
  <c r="U302" i="43"/>
  <c r="G302" i="43"/>
  <c r="E302" i="43"/>
  <c r="C302" i="43"/>
  <c r="B302" i="43"/>
  <c r="A302" i="43"/>
  <c r="V301" i="43"/>
  <c r="U301" i="43"/>
  <c r="E301" i="43"/>
  <c r="C301" i="43"/>
  <c r="B301" i="43"/>
  <c r="A301" i="43"/>
  <c r="V300" i="43"/>
  <c r="U300" i="43"/>
  <c r="G300" i="43"/>
  <c r="E300" i="43"/>
  <c r="C300" i="43"/>
  <c r="B300" i="43"/>
  <c r="A300" i="43"/>
  <c r="V299" i="43"/>
  <c r="U299" i="43"/>
  <c r="G299" i="43"/>
  <c r="E299" i="43"/>
  <c r="C299" i="43"/>
  <c r="B299" i="43"/>
  <c r="A299" i="43"/>
  <c r="V298" i="43"/>
  <c r="U298" i="43"/>
  <c r="G298" i="43"/>
  <c r="E298" i="43"/>
  <c r="C298" i="43"/>
  <c r="B298" i="43"/>
  <c r="A298" i="43"/>
  <c r="V297" i="43"/>
  <c r="U297" i="43"/>
  <c r="G297" i="43"/>
  <c r="E297" i="43"/>
  <c r="C297" i="43"/>
  <c r="B297" i="43"/>
  <c r="A297" i="43"/>
  <c r="V296" i="43"/>
  <c r="U296" i="43"/>
  <c r="G296" i="43"/>
  <c r="E296" i="43"/>
  <c r="C296" i="43"/>
  <c r="B296" i="43"/>
  <c r="A296" i="43"/>
  <c r="V295" i="43"/>
  <c r="U295" i="43"/>
  <c r="G295" i="43"/>
  <c r="E295" i="43"/>
  <c r="C295" i="43"/>
  <c r="B295" i="43"/>
  <c r="A295" i="43"/>
  <c r="V294" i="43"/>
  <c r="U294" i="43"/>
  <c r="G294" i="43"/>
  <c r="E294" i="43"/>
  <c r="C294" i="43"/>
  <c r="B294" i="43"/>
  <c r="A294" i="43"/>
  <c r="V293" i="43"/>
  <c r="U293" i="43"/>
  <c r="G293" i="43"/>
  <c r="E293" i="43"/>
  <c r="C293" i="43"/>
  <c r="B293" i="43"/>
  <c r="A293" i="43"/>
  <c r="V292" i="43"/>
  <c r="U292" i="43"/>
  <c r="G292" i="43"/>
  <c r="E292" i="43"/>
  <c r="C292" i="43"/>
  <c r="B292" i="43"/>
  <c r="A292" i="43"/>
  <c r="V291" i="43"/>
  <c r="U291" i="43"/>
  <c r="G291" i="43"/>
  <c r="E291" i="43"/>
  <c r="C291" i="43"/>
  <c r="B291" i="43"/>
  <c r="A291" i="43"/>
  <c r="V290" i="43"/>
  <c r="U290" i="43"/>
  <c r="G290" i="43"/>
  <c r="E290" i="43"/>
  <c r="C290" i="43"/>
  <c r="B290" i="43"/>
  <c r="A290" i="43"/>
  <c r="V289" i="43"/>
  <c r="U289" i="43"/>
  <c r="G289" i="43"/>
  <c r="E289" i="43"/>
  <c r="C289" i="43"/>
  <c r="B289" i="43"/>
  <c r="A289" i="43"/>
  <c r="V288" i="43"/>
  <c r="U288" i="43"/>
  <c r="G288" i="43"/>
  <c r="E288" i="43"/>
  <c r="C288" i="43"/>
  <c r="B288" i="43"/>
  <c r="A288" i="43"/>
  <c r="U287" i="43"/>
  <c r="G287" i="43"/>
  <c r="E287" i="43"/>
  <c r="C287" i="43"/>
  <c r="B287" i="43"/>
  <c r="A287" i="43"/>
  <c r="U286" i="43"/>
  <c r="G286" i="43"/>
  <c r="E286" i="43"/>
  <c r="C286" i="43"/>
  <c r="B286" i="43"/>
  <c r="A286" i="43"/>
  <c r="U285" i="43"/>
  <c r="G285" i="43"/>
  <c r="E285" i="43"/>
  <c r="C285" i="43"/>
  <c r="B285" i="43"/>
  <c r="A285" i="43"/>
  <c r="U284" i="43"/>
  <c r="G284" i="43"/>
  <c r="E284" i="43"/>
  <c r="C284" i="43"/>
  <c r="B284" i="43"/>
  <c r="A284" i="43"/>
  <c r="U283" i="43"/>
  <c r="G283" i="43"/>
  <c r="E283" i="43"/>
  <c r="C283" i="43"/>
  <c r="B283" i="43"/>
  <c r="A283" i="43"/>
  <c r="U282" i="43"/>
  <c r="G282" i="43"/>
  <c r="E282" i="43"/>
  <c r="C282" i="43"/>
  <c r="B282" i="43"/>
  <c r="A282" i="43"/>
  <c r="U281" i="43"/>
  <c r="G281" i="43"/>
  <c r="E281" i="43"/>
  <c r="C281" i="43"/>
  <c r="B281" i="43"/>
  <c r="A281" i="43"/>
  <c r="U280" i="43"/>
  <c r="G280" i="43"/>
  <c r="E280" i="43"/>
  <c r="C280" i="43"/>
  <c r="B280" i="43"/>
  <c r="A280" i="43"/>
  <c r="U279" i="43"/>
  <c r="G279" i="43"/>
  <c r="E279" i="43"/>
  <c r="C279" i="43"/>
  <c r="B279" i="43"/>
  <c r="A279" i="43"/>
  <c r="U278" i="43"/>
  <c r="G278" i="43"/>
  <c r="E278" i="43"/>
  <c r="C278" i="43"/>
  <c r="B278" i="43"/>
  <c r="A278" i="43"/>
  <c r="U277" i="43"/>
  <c r="G277" i="43"/>
  <c r="E277" i="43"/>
  <c r="C277" i="43"/>
  <c r="B277" i="43"/>
  <c r="A277" i="43"/>
  <c r="U276" i="43"/>
  <c r="G276" i="43"/>
  <c r="E276" i="43"/>
  <c r="C276" i="43"/>
  <c r="B276" i="43"/>
  <c r="A276" i="43"/>
  <c r="U275" i="43"/>
  <c r="G275" i="43"/>
  <c r="E275" i="43"/>
  <c r="C275" i="43"/>
  <c r="B275" i="43"/>
  <c r="A275" i="43"/>
  <c r="U274" i="43"/>
  <c r="G274" i="43"/>
  <c r="E274" i="43"/>
  <c r="C274" i="43"/>
  <c r="B274" i="43"/>
  <c r="A274" i="43"/>
  <c r="U273" i="43"/>
  <c r="G273" i="43"/>
  <c r="E273" i="43"/>
  <c r="C273" i="43"/>
  <c r="B273" i="43"/>
  <c r="A273" i="43"/>
  <c r="U272" i="43"/>
  <c r="G272" i="43"/>
  <c r="E272" i="43"/>
  <c r="C272" i="43"/>
  <c r="B272" i="43"/>
  <c r="A272" i="43"/>
  <c r="U271" i="43"/>
  <c r="G271" i="43"/>
  <c r="E271" i="43"/>
  <c r="C271" i="43"/>
  <c r="B271" i="43"/>
  <c r="A271" i="43"/>
  <c r="U270" i="43"/>
  <c r="G270" i="43"/>
  <c r="E270" i="43"/>
  <c r="C270" i="43"/>
  <c r="B270" i="43"/>
  <c r="A270" i="43"/>
  <c r="U269" i="43"/>
  <c r="G269" i="43"/>
  <c r="E269" i="43"/>
  <c r="C269" i="43"/>
  <c r="B269" i="43"/>
  <c r="A269" i="43"/>
  <c r="U268" i="43"/>
  <c r="G268" i="43"/>
  <c r="E268" i="43"/>
  <c r="C268" i="43"/>
  <c r="B268" i="43"/>
  <c r="A268" i="43"/>
  <c r="U267" i="43"/>
  <c r="G267" i="43"/>
  <c r="E267" i="43"/>
  <c r="C267" i="43"/>
  <c r="B267" i="43"/>
  <c r="A267" i="43"/>
  <c r="U266" i="43"/>
  <c r="G266" i="43"/>
  <c r="E266" i="43"/>
  <c r="C266" i="43"/>
  <c r="B266" i="43"/>
  <c r="A266" i="43"/>
  <c r="U265" i="43"/>
  <c r="G265" i="43"/>
  <c r="E265" i="43"/>
  <c r="C265" i="43"/>
  <c r="B265" i="43"/>
  <c r="A265" i="43"/>
  <c r="U264" i="43"/>
  <c r="G264" i="43"/>
  <c r="E264" i="43"/>
  <c r="C264" i="43"/>
  <c r="B264" i="43"/>
  <c r="A264" i="43"/>
  <c r="U263" i="43"/>
  <c r="G263" i="43"/>
  <c r="E263" i="43"/>
  <c r="C263" i="43"/>
  <c r="B263" i="43"/>
  <c r="A263" i="43"/>
  <c r="U262" i="43"/>
  <c r="G262" i="43"/>
  <c r="E262" i="43"/>
  <c r="C262" i="43"/>
  <c r="B262" i="43"/>
  <c r="A262" i="43"/>
  <c r="U261" i="43"/>
  <c r="G261" i="43"/>
  <c r="E261" i="43"/>
  <c r="C261" i="43"/>
  <c r="B261" i="43"/>
  <c r="A261" i="43"/>
  <c r="U260" i="43"/>
  <c r="G260" i="43"/>
  <c r="E260" i="43"/>
  <c r="C260" i="43"/>
  <c r="B260" i="43"/>
  <c r="A260" i="43"/>
  <c r="U259" i="43"/>
  <c r="G259" i="43"/>
  <c r="E259" i="43"/>
  <c r="C259" i="43"/>
  <c r="B259" i="43"/>
  <c r="A259" i="43"/>
  <c r="U258" i="43"/>
  <c r="G258" i="43"/>
  <c r="E258" i="43"/>
  <c r="C258" i="43"/>
  <c r="B258" i="43"/>
  <c r="A258" i="43"/>
  <c r="U257" i="43"/>
  <c r="G257" i="43"/>
  <c r="E257" i="43"/>
  <c r="C257" i="43"/>
  <c r="B257" i="43"/>
  <c r="A257" i="43"/>
  <c r="U256" i="43"/>
  <c r="G256" i="43"/>
  <c r="E256" i="43"/>
  <c r="C256" i="43"/>
  <c r="B256" i="43"/>
  <c r="A256" i="43"/>
  <c r="U255" i="43"/>
  <c r="G255" i="43"/>
  <c r="E255" i="43"/>
  <c r="C255" i="43"/>
  <c r="B255" i="43"/>
  <c r="A255" i="43"/>
  <c r="U254" i="43"/>
  <c r="G254" i="43"/>
  <c r="E254" i="43"/>
  <c r="C254" i="43"/>
  <c r="B254" i="43"/>
  <c r="A254" i="43"/>
  <c r="U253" i="43"/>
  <c r="G253" i="43"/>
  <c r="E253" i="43"/>
  <c r="C253" i="43"/>
  <c r="B253" i="43"/>
  <c r="A253" i="43"/>
  <c r="U252" i="43"/>
  <c r="G252" i="43"/>
  <c r="E252" i="43"/>
  <c r="C252" i="43"/>
  <c r="B252" i="43"/>
  <c r="A252" i="43"/>
  <c r="U251" i="43"/>
  <c r="G251" i="43"/>
  <c r="E251" i="43"/>
  <c r="C251" i="43"/>
  <c r="B251" i="43"/>
  <c r="A251" i="43"/>
  <c r="U250" i="43"/>
  <c r="G250" i="43"/>
  <c r="E250" i="43"/>
  <c r="C250" i="43"/>
  <c r="B250" i="43"/>
  <c r="A250" i="43"/>
  <c r="U249" i="43"/>
  <c r="G249" i="43"/>
  <c r="E249" i="43"/>
  <c r="C249" i="43"/>
  <c r="B249" i="43"/>
  <c r="A249" i="43"/>
  <c r="U248" i="43"/>
  <c r="G248" i="43"/>
  <c r="E248" i="43"/>
  <c r="C248" i="43"/>
  <c r="B248" i="43"/>
  <c r="A248" i="43"/>
  <c r="U247" i="43"/>
  <c r="G247" i="43"/>
  <c r="E247" i="43"/>
  <c r="C247" i="43"/>
  <c r="B247" i="43"/>
  <c r="A247" i="43"/>
  <c r="U246" i="43"/>
  <c r="G246" i="43"/>
  <c r="E246" i="43"/>
  <c r="C246" i="43"/>
  <c r="B246" i="43"/>
  <c r="A246" i="43"/>
  <c r="U245" i="43"/>
  <c r="G245" i="43"/>
  <c r="E245" i="43"/>
  <c r="C245" i="43"/>
  <c r="B245" i="43"/>
  <c r="A245" i="43"/>
  <c r="U244" i="43"/>
  <c r="G244" i="43"/>
  <c r="E244" i="43"/>
  <c r="C244" i="43"/>
  <c r="B244" i="43"/>
  <c r="A244" i="43"/>
  <c r="U243" i="43"/>
  <c r="G243" i="43"/>
  <c r="E243" i="43"/>
  <c r="C243" i="43"/>
  <c r="B243" i="43"/>
  <c r="A243" i="43"/>
  <c r="U242" i="43"/>
  <c r="G242" i="43"/>
  <c r="E242" i="43"/>
  <c r="C242" i="43"/>
  <c r="B242" i="43"/>
  <c r="A242" i="43"/>
  <c r="U241" i="43"/>
  <c r="G241" i="43"/>
  <c r="E241" i="43"/>
  <c r="C241" i="43"/>
  <c r="B241" i="43"/>
  <c r="A241" i="43"/>
  <c r="U240" i="43"/>
  <c r="G240" i="43"/>
  <c r="E240" i="43"/>
  <c r="C240" i="43"/>
  <c r="B240" i="43"/>
  <c r="A240" i="43"/>
  <c r="U239" i="43"/>
  <c r="G239" i="43"/>
  <c r="E239" i="43"/>
  <c r="C239" i="43"/>
  <c r="B239" i="43"/>
  <c r="A239" i="43"/>
  <c r="U238" i="43"/>
  <c r="G238" i="43"/>
  <c r="E238" i="43"/>
  <c r="C238" i="43"/>
  <c r="B238" i="43"/>
  <c r="A238" i="43"/>
  <c r="U237" i="43"/>
  <c r="G237" i="43"/>
  <c r="E237" i="43"/>
  <c r="C237" i="43"/>
  <c r="B237" i="43"/>
  <c r="A237" i="43"/>
  <c r="U236" i="43"/>
  <c r="G236" i="43"/>
  <c r="E236" i="43"/>
  <c r="C236" i="43"/>
  <c r="B236" i="43"/>
  <c r="A236" i="43"/>
  <c r="U235" i="43"/>
  <c r="G235" i="43"/>
  <c r="E235" i="43"/>
  <c r="C235" i="43"/>
  <c r="B235" i="43"/>
  <c r="A235" i="43"/>
  <c r="U234" i="43"/>
  <c r="G234" i="43"/>
  <c r="C234" i="43"/>
  <c r="B234" i="43"/>
  <c r="A234" i="43"/>
  <c r="U233" i="43"/>
  <c r="G233" i="43"/>
  <c r="E233" i="43"/>
  <c r="C233" i="43"/>
  <c r="B233" i="43"/>
  <c r="A233" i="43"/>
  <c r="U232" i="43"/>
  <c r="G232" i="43"/>
  <c r="C232" i="43"/>
  <c r="B232" i="43"/>
  <c r="A232" i="43"/>
  <c r="U231" i="43"/>
  <c r="G231" i="43"/>
  <c r="E231" i="43"/>
  <c r="C231" i="43"/>
  <c r="B231" i="43"/>
  <c r="A231" i="43"/>
  <c r="U230" i="43"/>
  <c r="G230" i="43"/>
  <c r="E230" i="43"/>
  <c r="C230" i="43"/>
  <c r="B230" i="43"/>
  <c r="A230" i="43"/>
  <c r="U229" i="43"/>
  <c r="G229" i="43"/>
  <c r="E229" i="43"/>
  <c r="C229" i="43"/>
  <c r="B229" i="43"/>
  <c r="A229" i="43"/>
  <c r="U228" i="43"/>
  <c r="G228" i="43"/>
  <c r="E228" i="43"/>
  <c r="C228" i="43"/>
  <c r="B228" i="43"/>
  <c r="A228" i="43"/>
  <c r="U227" i="43"/>
  <c r="G227" i="43"/>
  <c r="E227" i="43"/>
  <c r="C227" i="43"/>
  <c r="B227" i="43"/>
  <c r="A227" i="43"/>
  <c r="U226" i="43"/>
  <c r="G226" i="43"/>
  <c r="E226" i="43"/>
  <c r="C226" i="43"/>
  <c r="B226" i="43"/>
  <c r="A226" i="43"/>
  <c r="U225" i="43"/>
  <c r="G225" i="43"/>
  <c r="E225" i="43"/>
  <c r="C225" i="43"/>
  <c r="B225" i="43"/>
  <c r="A225" i="43"/>
  <c r="U224" i="43"/>
  <c r="G224" i="43"/>
  <c r="E224" i="43"/>
  <c r="C224" i="43"/>
  <c r="B224" i="43"/>
  <c r="A224" i="43"/>
  <c r="U223" i="43"/>
  <c r="G223" i="43"/>
  <c r="E223" i="43"/>
  <c r="C223" i="43"/>
  <c r="B223" i="43"/>
  <c r="A223" i="43"/>
  <c r="U222" i="43"/>
  <c r="G222" i="43"/>
  <c r="E222" i="43"/>
  <c r="C222" i="43"/>
  <c r="B222" i="43"/>
  <c r="A222" i="43"/>
  <c r="U221" i="43"/>
  <c r="G221" i="43"/>
  <c r="E221" i="43"/>
  <c r="C221" i="43"/>
  <c r="B221" i="43"/>
  <c r="A221" i="43"/>
  <c r="U220" i="43"/>
  <c r="G220" i="43"/>
  <c r="E220" i="43"/>
  <c r="C220" i="43"/>
  <c r="B220" i="43"/>
  <c r="A220" i="43"/>
  <c r="U219" i="43"/>
  <c r="G219" i="43"/>
  <c r="E219" i="43"/>
  <c r="C219" i="43"/>
  <c r="B219" i="43"/>
  <c r="A219" i="43"/>
  <c r="U218" i="43"/>
  <c r="G218" i="43"/>
  <c r="E218" i="43"/>
  <c r="C218" i="43"/>
  <c r="B218" i="43"/>
  <c r="A218" i="43"/>
  <c r="U217" i="43"/>
  <c r="G217" i="43"/>
  <c r="E217" i="43"/>
  <c r="C217" i="43"/>
  <c r="B217" i="43"/>
  <c r="A217" i="43"/>
  <c r="U216" i="43"/>
  <c r="G216" i="43"/>
  <c r="E216" i="43"/>
  <c r="C216" i="43"/>
  <c r="B216" i="43"/>
  <c r="A216" i="43"/>
  <c r="U215" i="43"/>
  <c r="G215" i="43"/>
  <c r="E215" i="43"/>
  <c r="C215" i="43"/>
  <c r="B215" i="43"/>
  <c r="A215" i="43"/>
  <c r="U214" i="43"/>
  <c r="G214" i="43"/>
  <c r="E214" i="43"/>
  <c r="C214" i="43"/>
  <c r="B214" i="43"/>
  <c r="A214" i="43"/>
  <c r="U213" i="43"/>
  <c r="G213" i="43"/>
  <c r="E213" i="43"/>
  <c r="C213" i="43"/>
  <c r="B213" i="43"/>
  <c r="A213" i="43"/>
  <c r="U212" i="43"/>
  <c r="G212" i="43"/>
  <c r="E212" i="43"/>
  <c r="C212" i="43"/>
  <c r="B212" i="43"/>
  <c r="A212" i="43"/>
  <c r="U211" i="43"/>
  <c r="G211" i="43"/>
  <c r="E211" i="43"/>
  <c r="C211" i="43"/>
  <c r="B211" i="43"/>
  <c r="A211" i="43"/>
  <c r="U210" i="43"/>
  <c r="G210" i="43"/>
  <c r="E210" i="43"/>
  <c r="C210" i="43"/>
  <c r="B210" i="43"/>
  <c r="A210" i="43"/>
  <c r="U209" i="43"/>
  <c r="G209" i="43"/>
  <c r="E209" i="43"/>
  <c r="C209" i="43"/>
  <c r="B209" i="43"/>
  <c r="A209" i="43"/>
  <c r="U208" i="43"/>
  <c r="G208" i="43"/>
  <c r="E208" i="43"/>
  <c r="C208" i="43"/>
  <c r="B208" i="43"/>
  <c r="A208" i="43"/>
  <c r="U207" i="43"/>
  <c r="G207" i="43"/>
  <c r="E207" i="43"/>
  <c r="C207" i="43"/>
  <c r="B207" i="43"/>
  <c r="A207" i="43"/>
  <c r="U206" i="43"/>
  <c r="G206" i="43"/>
  <c r="E206" i="43"/>
  <c r="C206" i="43"/>
  <c r="B206" i="43"/>
  <c r="A206" i="43"/>
  <c r="U205" i="43"/>
  <c r="G205" i="43"/>
  <c r="E205" i="43"/>
  <c r="C205" i="43"/>
  <c r="B205" i="43"/>
  <c r="A205" i="43"/>
  <c r="U204" i="43"/>
  <c r="G204" i="43"/>
  <c r="E204" i="43"/>
  <c r="C204" i="43"/>
  <c r="B204" i="43"/>
  <c r="A204" i="43"/>
  <c r="U203" i="43"/>
  <c r="G203" i="43"/>
  <c r="E203" i="43"/>
  <c r="C203" i="43"/>
  <c r="B203" i="43"/>
  <c r="A203" i="43"/>
  <c r="U202" i="43"/>
  <c r="G202" i="43"/>
  <c r="E202" i="43"/>
  <c r="C202" i="43"/>
  <c r="B202" i="43"/>
  <c r="A202" i="43"/>
  <c r="U201" i="43"/>
  <c r="G201" i="43"/>
  <c r="E201" i="43"/>
  <c r="C201" i="43"/>
  <c r="B201" i="43"/>
  <c r="A201" i="43"/>
  <c r="U200" i="43"/>
  <c r="G200" i="43"/>
  <c r="E200" i="43"/>
  <c r="C200" i="43"/>
  <c r="B200" i="43"/>
  <c r="A200" i="43"/>
  <c r="U199" i="43"/>
  <c r="G199" i="43"/>
  <c r="E199" i="43"/>
  <c r="C199" i="43"/>
  <c r="B199" i="43"/>
  <c r="A199" i="43"/>
  <c r="U198" i="43"/>
  <c r="G198" i="43"/>
  <c r="E198" i="43"/>
  <c r="C198" i="43"/>
  <c r="B198" i="43"/>
  <c r="A198" i="43"/>
  <c r="U197" i="43"/>
  <c r="G197" i="43"/>
  <c r="E197" i="43"/>
  <c r="C197" i="43"/>
  <c r="B197" i="43"/>
  <c r="A197" i="43"/>
  <c r="U196" i="43"/>
  <c r="G196" i="43"/>
  <c r="E196" i="43"/>
  <c r="C196" i="43"/>
  <c r="B196" i="43"/>
  <c r="A196" i="43"/>
  <c r="U195" i="43"/>
  <c r="G195" i="43"/>
  <c r="E195" i="43"/>
  <c r="C195" i="43"/>
  <c r="B195" i="43"/>
  <c r="A195" i="43"/>
  <c r="U194" i="43"/>
  <c r="G194" i="43"/>
  <c r="E194" i="43"/>
  <c r="C194" i="43"/>
  <c r="B194" i="43"/>
  <c r="A194" i="43"/>
  <c r="U193" i="43"/>
  <c r="G193" i="43"/>
  <c r="E193" i="43"/>
  <c r="C193" i="43"/>
  <c r="B193" i="43"/>
  <c r="A193" i="43"/>
  <c r="U192" i="43"/>
  <c r="G192" i="43"/>
  <c r="E192" i="43"/>
  <c r="C192" i="43"/>
  <c r="B192" i="43"/>
  <c r="A192" i="43"/>
  <c r="U191" i="43"/>
  <c r="G191" i="43"/>
  <c r="E191" i="43"/>
  <c r="C191" i="43"/>
  <c r="B191" i="43"/>
  <c r="A191" i="43"/>
  <c r="U190" i="43"/>
  <c r="G190" i="43"/>
  <c r="E190" i="43"/>
  <c r="C190" i="43"/>
  <c r="B190" i="43"/>
  <c r="A190" i="43"/>
  <c r="U189" i="43"/>
  <c r="G189" i="43"/>
  <c r="E189" i="43"/>
  <c r="C189" i="43"/>
  <c r="B189" i="43"/>
  <c r="A189" i="43"/>
  <c r="U188" i="43"/>
  <c r="G188" i="43"/>
  <c r="E188" i="43"/>
  <c r="C188" i="43"/>
  <c r="B188" i="43"/>
  <c r="A188" i="43"/>
  <c r="U187" i="43"/>
  <c r="G187" i="43"/>
  <c r="E187" i="43"/>
  <c r="C187" i="43"/>
  <c r="B187" i="43"/>
  <c r="A187" i="43"/>
  <c r="U186" i="43"/>
  <c r="G186" i="43"/>
  <c r="E186" i="43"/>
  <c r="C186" i="43"/>
  <c r="B186" i="43"/>
  <c r="A186" i="43"/>
  <c r="U185" i="43"/>
  <c r="G185" i="43"/>
  <c r="E185" i="43"/>
  <c r="C185" i="43"/>
  <c r="B185" i="43"/>
  <c r="A185" i="43"/>
  <c r="U184" i="43"/>
  <c r="G184" i="43"/>
  <c r="E184" i="43"/>
  <c r="C184" i="43"/>
  <c r="B184" i="43"/>
  <c r="A184" i="43"/>
  <c r="U183" i="43"/>
  <c r="G183" i="43"/>
  <c r="E183" i="43"/>
  <c r="C183" i="43"/>
  <c r="B183" i="43"/>
  <c r="A183" i="43"/>
  <c r="U182" i="43"/>
  <c r="G182" i="43"/>
  <c r="E182" i="43"/>
  <c r="C182" i="43"/>
  <c r="B182" i="43"/>
  <c r="A182" i="43"/>
  <c r="U181" i="43"/>
  <c r="G181" i="43"/>
  <c r="E181" i="43"/>
  <c r="C181" i="43"/>
  <c r="B181" i="43"/>
  <c r="A181" i="43"/>
  <c r="U180" i="43"/>
  <c r="G180" i="43"/>
  <c r="E180" i="43"/>
  <c r="C180" i="43"/>
  <c r="B180" i="43"/>
  <c r="A180" i="43"/>
  <c r="U179" i="43"/>
  <c r="G179" i="43"/>
  <c r="E179" i="43"/>
  <c r="C179" i="43"/>
  <c r="B179" i="43"/>
  <c r="A179" i="43"/>
  <c r="U178" i="43"/>
  <c r="G178" i="43"/>
  <c r="E178" i="43"/>
  <c r="C178" i="43"/>
  <c r="B178" i="43"/>
  <c r="A178" i="43"/>
  <c r="U177" i="43"/>
  <c r="G177" i="43"/>
  <c r="E177" i="43"/>
  <c r="C177" i="43"/>
  <c r="B177" i="43"/>
  <c r="A177" i="43"/>
  <c r="U176" i="43"/>
  <c r="G176" i="43"/>
  <c r="E176" i="43"/>
  <c r="C176" i="43"/>
  <c r="B176" i="43"/>
  <c r="A176" i="43"/>
  <c r="U175" i="43"/>
  <c r="G175" i="43"/>
  <c r="E175" i="43"/>
  <c r="C175" i="43"/>
  <c r="B175" i="43"/>
  <c r="A175" i="43"/>
  <c r="U174" i="43"/>
  <c r="G174" i="43"/>
  <c r="E174" i="43"/>
  <c r="C174" i="43"/>
  <c r="B174" i="43"/>
  <c r="A174" i="43"/>
  <c r="U173" i="43"/>
  <c r="G173" i="43"/>
  <c r="E173" i="43"/>
  <c r="C173" i="43"/>
  <c r="B173" i="43"/>
  <c r="A173" i="43"/>
  <c r="U172" i="43"/>
  <c r="G172" i="43"/>
  <c r="E172" i="43"/>
  <c r="C172" i="43"/>
  <c r="B172" i="43"/>
  <c r="A172" i="43"/>
  <c r="U171" i="43"/>
  <c r="G171" i="43"/>
  <c r="E171" i="43"/>
  <c r="C171" i="43"/>
  <c r="B171" i="43"/>
  <c r="A171" i="43"/>
  <c r="U170" i="43"/>
  <c r="G170" i="43"/>
  <c r="E170" i="43"/>
  <c r="C170" i="43"/>
  <c r="B170" i="43"/>
  <c r="A170" i="43"/>
  <c r="U169" i="43"/>
  <c r="G169" i="43"/>
  <c r="E169" i="43"/>
  <c r="C169" i="43"/>
  <c r="B169" i="43"/>
  <c r="A169" i="43"/>
  <c r="U168" i="43"/>
  <c r="G168" i="43"/>
  <c r="E168" i="43"/>
  <c r="C168" i="43"/>
  <c r="B168" i="43"/>
  <c r="A168" i="43"/>
  <c r="U167" i="43"/>
  <c r="G167" i="43"/>
  <c r="E167" i="43"/>
  <c r="C167" i="43"/>
  <c r="B167" i="43"/>
  <c r="A167" i="43"/>
  <c r="U166" i="43"/>
  <c r="G166" i="43"/>
  <c r="E166" i="43"/>
  <c r="C166" i="43"/>
  <c r="B166" i="43"/>
  <c r="A166" i="43"/>
  <c r="U165" i="43"/>
  <c r="G165" i="43"/>
  <c r="E165" i="43"/>
  <c r="C165" i="43"/>
  <c r="B165" i="43"/>
  <c r="A165" i="43"/>
  <c r="U164" i="43"/>
  <c r="G164" i="43"/>
  <c r="E164" i="43"/>
  <c r="C164" i="43"/>
  <c r="B164" i="43"/>
  <c r="A164" i="43"/>
  <c r="U163" i="43"/>
  <c r="G163" i="43"/>
  <c r="E163" i="43"/>
  <c r="C163" i="43"/>
  <c r="B163" i="43"/>
  <c r="A163" i="43"/>
  <c r="U162" i="43"/>
  <c r="G162" i="43"/>
  <c r="E162" i="43"/>
  <c r="C162" i="43"/>
  <c r="B162" i="43"/>
  <c r="A162" i="43"/>
  <c r="U161" i="43"/>
  <c r="G161" i="43"/>
  <c r="E161" i="43"/>
  <c r="C161" i="43"/>
  <c r="B161" i="43"/>
  <c r="A161" i="43"/>
  <c r="U160" i="43"/>
  <c r="G160" i="43"/>
  <c r="E160" i="43"/>
  <c r="C160" i="43"/>
  <c r="B160" i="43"/>
  <c r="A160" i="43"/>
  <c r="U159" i="43"/>
  <c r="G159" i="43"/>
  <c r="E159" i="43"/>
  <c r="C159" i="43"/>
  <c r="B159" i="43"/>
  <c r="A159" i="43"/>
  <c r="U158" i="43"/>
  <c r="G158" i="43"/>
  <c r="E158" i="43"/>
  <c r="C158" i="43"/>
  <c r="B158" i="43"/>
  <c r="A158" i="43"/>
  <c r="U157" i="43"/>
  <c r="G157" i="43"/>
  <c r="E157" i="43"/>
  <c r="C157" i="43"/>
  <c r="B157" i="43"/>
  <c r="A157" i="43"/>
  <c r="U156" i="43"/>
  <c r="G156" i="43"/>
  <c r="E156" i="43"/>
  <c r="C156" i="43"/>
  <c r="B156" i="43"/>
  <c r="A156" i="43"/>
  <c r="U155" i="43"/>
  <c r="G155" i="43"/>
  <c r="E155" i="43"/>
  <c r="C155" i="43"/>
  <c r="B155" i="43"/>
  <c r="A155" i="43"/>
  <c r="U154" i="43"/>
  <c r="G154" i="43"/>
  <c r="E154" i="43"/>
  <c r="C154" i="43"/>
  <c r="B154" i="43"/>
  <c r="A154" i="43"/>
  <c r="U153" i="43"/>
  <c r="G153" i="43"/>
  <c r="E153" i="43"/>
  <c r="C153" i="43"/>
  <c r="B153" i="43"/>
  <c r="A153" i="43"/>
  <c r="U152" i="43"/>
  <c r="G152" i="43"/>
  <c r="E152" i="43"/>
  <c r="C152" i="43"/>
  <c r="B152" i="43"/>
  <c r="A152" i="43"/>
  <c r="U151" i="43"/>
  <c r="G151" i="43"/>
  <c r="E151" i="43"/>
  <c r="C151" i="43"/>
  <c r="B151" i="43"/>
  <c r="A151" i="43"/>
  <c r="U150" i="43"/>
  <c r="G150" i="43"/>
  <c r="E150" i="43"/>
  <c r="C150" i="43"/>
  <c r="B150" i="43"/>
  <c r="A150" i="43"/>
  <c r="U149" i="43"/>
  <c r="G149" i="43"/>
  <c r="E149" i="43"/>
  <c r="C149" i="43"/>
  <c r="B149" i="43"/>
  <c r="A149" i="43"/>
  <c r="U148" i="43"/>
  <c r="G148" i="43"/>
  <c r="E148" i="43"/>
  <c r="C148" i="43"/>
  <c r="B148" i="43"/>
  <c r="A148" i="43"/>
  <c r="U147" i="43"/>
  <c r="G147" i="43"/>
  <c r="E147" i="43"/>
  <c r="C147" i="43"/>
  <c r="B147" i="43"/>
  <c r="A147" i="43"/>
  <c r="U146" i="43"/>
  <c r="G146" i="43"/>
  <c r="E146" i="43"/>
  <c r="C146" i="43"/>
  <c r="B146" i="43"/>
  <c r="A146" i="43"/>
  <c r="U145" i="43"/>
  <c r="G145" i="43"/>
  <c r="E145" i="43"/>
  <c r="C145" i="43"/>
  <c r="B145" i="43"/>
  <c r="A145" i="43"/>
  <c r="U144" i="43"/>
  <c r="G144" i="43"/>
  <c r="E144" i="43"/>
  <c r="C144" i="43"/>
  <c r="B144" i="43"/>
  <c r="A144" i="43"/>
  <c r="V143" i="43"/>
  <c r="U143" i="43"/>
  <c r="G143" i="43"/>
  <c r="E143" i="43"/>
  <c r="C143" i="43"/>
  <c r="B143" i="43"/>
  <c r="A143" i="43"/>
  <c r="V142" i="43"/>
  <c r="U142" i="43"/>
  <c r="G142" i="43"/>
  <c r="C142" i="43"/>
  <c r="B142" i="43"/>
  <c r="A142" i="43"/>
  <c r="V141" i="43"/>
  <c r="C141" i="43"/>
  <c r="B141" i="43"/>
  <c r="A141" i="43"/>
  <c r="V140" i="43"/>
  <c r="G140" i="43"/>
  <c r="E140" i="43"/>
  <c r="C140" i="43"/>
  <c r="B140" i="43"/>
  <c r="A140" i="43"/>
  <c r="V139" i="43"/>
  <c r="G139" i="43"/>
  <c r="E139" i="43"/>
  <c r="C139" i="43"/>
  <c r="B139" i="43"/>
  <c r="A139" i="43"/>
  <c r="V138" i="43"/>
  <c r="G138" i="43"/>
  <c r="E138" i="43"/>
  <c r="C138" i="43"/>
  <c r="B138" i="43"/>
  <c r="A138" i="43"/>
  <c r="V137" i="43"/>
  <c r="G137" i="43"/>
  <c r="C137" i="43"/>
  <c r="B137" i="43"/>
  <c r="A137" i="43"/>
  <c r="V136" i="43"/>
  <c r="G136" i="43"/>
  <c r="E136" i="43"/>
  <c r="C136" i="43"/>
  <c r="B136" i="43"/>
  <c r="A136" i="43"/>
  <c r="V135" i="43"/>
  <c r="G135" i="43"/>
  <c r="E135" i="43"/>
  <c r="C135" i="43"/>
  <c r="B135" i="43"/>
  <c r="A135" i="43"/>
  <c r="V134" i="43"/>
  <c r="G134" i="43"/>
  <c r="E134" i="43"/>
  <c r="C134" i="43"/>
  <c r="B134" i="43"/>
  <c r="A134" i="43"/>
  <c r="V133" i="43"/>
  <c r="G133" i="43"/>
  <c r="E133" i="43"/>
  <c r="C133" i="43"/>
  <c r="B133" i="43"/>
  <c r="A133" i="43"/>
  <c r="V132" i="43"/>
  <c r="G132" i="43"/>
  <c r="E132" i="43"/>
  <c r="C132" i="43"/>
  <c r="B132" i="43"/>
  <c r="A132" i="43"/>
  <c r="V131" i="43"/>
  <c r="G131" i="43"/>
  <c r="E131" i="43"/>
  <c r="C131" i="43"/>
  <c r="B131" i="43"/>
  <c r="A131" i="43"/>
  <c r="V130" i="43"/>
  <c r="G130" i="43"/>
  <c r="E130" i="43"/>
  <c r="C130" i="43"/>
  <c r="B130" i="43"/>
  <c r="A130" i="43"/>
  <c r="V129" i="43"/>
  <c r="G129" i="43"/>
  <c r="E129" i="43"/>
  <c r="C129" i="43"/>
  <c r="B129" i="43"/>
  <c r="A129" i="43"/>
  <c r="V128" i="43"/>
  <c r="G128" i="43"/>
  <c r="E128" i="43"/>
  <c r="C128" i="43"/>
  <c r="B128" i="43"/>
  <c r="A128" i="43"/>
  <c r="V127" i="43"/>
  <c r="G127" i="43"/>
  <c r="E127" i="43"/>
  <c r="C127" i="43"/>
  <c r="B127" i="43"/>
  <c r="A127" i="43"/>
  <c r="V126" i="43"/>
  <c r="G126" i="43"/>
  <c r="E126" i="43"/>
  <c r="C126" i="43"/>
  <c r="B126" i="43"/>
  <c r="A126" i="43"/>
  <c r="V125" i="43"/>
  <c r="G125" i="43"/>
  <c r="E125" i="43"/>
  <c r="C125" i="43"/>
  <c r="B125" i="43"/>
  <c r="A125" i="43"/>
  <c r="V124" i="43"/>
  <c r="G124" i="43"/>
  <c r="E124" i="43"/>
  <c r="C124" i="43"/>
  <c r="B124" i="43"/>
  <c r="A124" i="43"/>
  <c r="V123" i="43"/>
  <c r="G123" i="43"/>
  <c r="E123" i="43"/>
  <c r="C123" i="43"/>
  <c r="B123" i="43"/>
  <c r="A123" i="43"/>
  <c r="V122" i="43"/>
  <c r="G122" i="43"/>
  <c r="E122" i="43"/>
  <c r="C122" i="43"/>
  <c r="B122" i="43"/>
  <c r="A122" i="43"/>
  <c r="V121" i="43"/>
  <c r="G121" i="43"/>
  <c r="E121" i="43"/>
  <c r="C121" i="43"/>
  <c r="B121" i="43"/>
  <c r="A121" i="43"/>
  <c r="V120" i="43"/>
  <c r="G120" i="43"/>
  <c r="E120" i="43"/>
  <c r="C120" i="43"/>
  <c r="B120" i="43"/>
  <c r="A120" i="43"/>
  <c r="V119" i="43"/>
  <c r="G119" i="43"/>
  <c r="E119" i="43"/>
  <c r="C119" i="43"/>
  <c r="B119" i="43"/>
  <c r="A119" i="43"/>
  <c r="V118" i="43"/>
  <c r="G118" i="43"/>
  <c r="E118" i="43"/>
  <c r="C118" i="43"/>
  <c r="B118" i="43"/>
  <c r="A118" i="43"/>
  <c r="V117" i="43"/>
  <c r="G117" i="43"/>
  <c r="E117" i="43"/>
  <c r="C117" i="43"/>
  <c r="B117" i="43"/>
  <c r="A117" i="43"/>
  <c r="V116" i="43"/>
  <c r="G116" i="43"/>
  <c r="E116" i="43"/>
  <c r="C116" i="43"/>
  <c r="B116" i="43"/>
  <c r="A116" i="43"/>
  <c r="V115" i="43"/>
  <c r="G115" i="43"/>
  <c r="E115" i="43"/>
  <c r="C115" i="43"/>
  <c r="B115" i="43"/>
  <c r="A115" i="43"/>
  <c r="V114" i="43"/>
  <c r="G114" i="43"/>
  <c r="E114" i="43"/>
  <c r="C114" i="43"/>
  <c r="B114" i="43"/>
  <c r="A114" i="43"/>
  <c r="V113" i="43"/>
  <c r="G113" i="43"/>
  <c r="E113" i="43"/>
  <c r="C113" i="43"/>
  <c r="B113" i="43"/>
  <c r="A113" i="43"/>
  <c r="V112" i="43"/>
  <c r="G112" i="43"/>
  <c r="E112" i="43"/>
  <c r="C112" i="43"/>
  <c r="B112" i="43"/>
  <c r="A112" i="43"/>
  <c r="V111" i="43"/>
  <c r="G111" i="43"/>
  <c r="E111" i="43"/>
  <c r="C111" i="43"/>
  <c r="B111" i="43"/>
  <c r="A111" i="43"/>
  <c r="V110" i="43"/>
  <c r="G110" i="43"/>
  <c r="E110" i="43"/>
  <c r="C110" i="43"/>
  <c r="B110" i="43"/>
  <c r="A110" i="43"/>
  <c r="V109" i="43"/>
  <c r="G109" i="43"/>
  <c r="E109" i="43"/>
  <c r="C109" i="43"/>
  <c r="B109" i="43"/>
  <c r="A109" i="43"/>
  <c r="V108" i="43"/>
  <c r="G108" i="43"/>
  <c r="E108" i="43"/>
  <c r="C108" i="43"/>
  <c r="B108" i="43"/>
  <c r="A108" i="43"/>
  <c r="V107" i="43"/>
  <c r="G107" i="43"/>
  <c r="E107" i="43"/>
  <c r="C107" i="43"/>
  <c r="B107" i="43"/>
  <c r="A107" i="43"/>
  <c r="V106" i="43"/>
  <c r="G106" i="43"/>
  <c r="E106" i="43"/>
  <c r="C106" i="43"/>
  <c r="B106" i="43"/>
  <c r="A106" i="43"/>
  <c r="V105" i="43"/>
  <c r="G105" i="43"/>
  <c r="E105" i="43"/>
  <c r="C105" i="43"/>
  <c r="B105" i="43"/>
  <c r="A105" i="43"/>
  <c r="V104" i="43"/>
  <c r="G104" i="43"/>
  <c r="E104" i="43"/>
  <c r="C104" i="43"/>
  <c r="B104" i="43"/>
  <c r="A104" i="43"/>
  <c r="V103" i="43"/>
  <c r="G103" i="43"/>
  <c r="E103" i="43"/>
  <c r="C103" i="43"/>
  <c r="B103" i="43"/>
  <c r="A103" i="43"/>
  <c r="V102" i="43"/>
  <c r="G102" i="43"/>
  <c r="E102" i="43"/>
  <c r="C102" i="43"/>
  <c r="B102" i="43"/>
  <c r="A102" i="43"/>
  <c r="V101" i="43"/>
  <c r="G101" i="43"/>
  <c r="E101" i="43"/>
  <c r="C101" i="43"/>
  <c r="B101" i="43"/>
  <c r="A101" i="43"/>
  <c r="V100" i="43"/>
  <c r="G100" i="43"/>
  <c r="E100" i="43"/>
  <c r="C100" i="43"/>
  <c r="B100" i="43"/>
  <c r="A100" i="43"/>
  <c r="V99" i="43"/>
  <c r="G99" i="43"/>
  <c r="E99" i="43"/>
  <c r="C99" i="43"/>
  <c r="B99" i="43"/>
  <c r="A99" i="43"/>
  <c r="V98" i="43"/>
  <c r="G98" i="43"/>
  <c r="E98" i="43"/>
  <c r="C98" i="43"/>
  <c r="B98" i="43"/>
  <c r="A98" i="43"/>
  <c r="V97" i="43"/>
  <c r="G97" i="43"/>
  <c r="E97" i="43"/>
  <c r="C97" i="43"/>
  <c r="B97" i="43"/>
  <c r="A97" i="43"/>
  <c r="V96" i="43"/>
  <c r="G96" i="43"/>
  <c r="E96" i="43"/>
  <c r="C96" i="43"/>
  <c r="B96" i="43"/>
  <c r="A96" i="43"/>
  <c r="V95" i="43"/>
  <c r="G95" i="43"/>
  <c r="E95" i="43"/>
  <c r="C95" i="43"/>
  <c r="B95" i="43"/>
  <c r="A95" i="43"/>
  <c r="V94" i="43"/>
  <c r="G94" i="43"/>
  <c r="E94" i="43"/>
  <c r="C94" i="43"/>
  <c r="B94" i="43"/>
  <c r="A94" i="43"/>
  <c r="V93" i="43"/>
  <c r="G93" i="43"/>
  <c r="E93" i="43"/>
  <c r="C93" i="43"/>
  <c r="B93" i="43"/>
  <c r="A93" i="43"/>
  <c r="V92" i="43"/>
  <c r="G92" i="43"/>
  <c r="E92" i="43"/>
  <c r="C92" i="43"/>
  <c r="B92" i="43"/>
  <c r="A92" i="43"/>
  <c r="V91" i="43"/>
  <c r="G91" i="43"/>
  <c r="E91" i="43"/>
  <c r="C91" i="43"/>
  <c r="B91" i="43"/>
  <c r="A91" i="43"/>
  <c r="V90" i="43"/>
  <c r="G90" i="43"/>
  <c r="E90" i="43"/>
  <c r="C90" i="43"/>
  <c r="B90" i="43"/>
  <c r="A90" i="43"/>
  <c r="V89" i="43"/>
  <c r="G89" i="43"/>
  <c r="E89" i="43"/>
  <c r="C89" i="43"/>
  <c r="B89" i="43"/>
  <c r="A89" i="43"/>
  <c r="V88" i="43"/>
  <c r="G88" i="43"/>
  <c r="E88" i="43"/>
  <c r="C88" i="43"/>
  <c r="B88" i="43"/>
  <c r="A88" i="43"/>
  <c r="V87" i="43"/>
  <c r="G87" i="43"/>
  <c r="E87" i="43"/>
  <c r="C87" i="43"/>
  <c r="B87" i="43"/>
  <c r="A87" i="43"/>
  <c r="V86" i="43"/>
  <c r="G86" i="43"/>
  <c r="E86" i="43"/>
  <c r="C86" i="43"/>
  <c r="B86" i="43"/>
  <c r="A86" i="43"/>
  <c r="V85" i="43"/>
  <c r="G85" i="43"/>
  <c r="E85" i="43"/>
  <c r="C85" i="43"/>
  <c r="B85" i="43"/>
  <c r="A85" i="43"/>
  <c r="V84" i="43"/>
  <c r="G84" i="43"/>
  <c r="E84" i="43"/>
  <c r="C84" i="43"/>
  <c r="B84" i="43"/>
  <c r="A84" i="43"/>
  <c r="V83" i="43"/>
  <c r="G83" i="43"/>
  <c r="E83" i="43"/>
  <c r="C83" i="43"/>
  <c r="B83" i="43"/>
  <c r="A83" i="43"/>
  <c r="V82" i="43"/>
  <c r="G82" i="43"/>
  <c r="E82" i="43"/>
  <c r="C82" i="43"/>
  <c r="B82" i="43"/>
  <c r="A82" i="43"/>
  <c r="V81" i="43"/>
  <c r="G81" i="43"/>
  <c r="E81" i="43"/>
  <c r="C81" i="43"/>
  <c r="B81" i="43"/>
  <c r="A81" i="43"/>
  <c r="V80" i="43"/>
  <c r="G80" i="43"/>
  <c r="E80" i="43"/>
  <c r="C80" i="43"/>
  <c r="B80" i="43"/>
  <c r="A80" i="43"/>
  <c r="V79" i="43"/>
  <c r="G79" i="43"/>
  <c r="E79" i="43"/>
  <c r="C79" i="43"/>
  <c r="B79" i="43"/>
  <c r="A79" i="43"/>
  <c r="V78" i="43"/>
  <c r="G78" i="43"/>
  <c r="E78" i="43"/>
  <c r="C78" i="43"/>
  <c r="B78" i="43"/>
  <c r="A78" i="43"/>
  <c r="V77" i="43"/>
  <c r="G77" i="43"/>
  <c r="E77" i="43"/>
  <c r="C77" i="43"/>
  <c r="B77" i="43"/>
  <c r="A77" i="43"/>
  <c r="V76" i="43"/>
  <c r="G76" i="43"/>
  <c r="E76" i="43"/>
  <c r="C76" i="43"/>
  <c r="B76" i="43"/>
  <c r="A76" i="43"/>
  <c r="V75" i="43"/>
  <c r="G75" i="43"/>
  <c r="E75" i="43"/>
  <c r="C75" i="43"/>
  <c r="B75" i="43"/>
  <c r="A75" i="43"/>
  <c r="V74" i="43"/>
  <c r="G74" i="43"/>
  <c r="E74" i="43"/>
  <c r="C74" i="43"/>
  <c r="B74" i="43"/>
  <c r="A74" i="43"/>
  <c r="V73" i="43"/>
  <c r="G73" i="43"/>
  <c r="E73" i="43"/>
  <c r="C73" i="43"/>
  <c r="B73" i="43"/>
  <c r="A73" i="43"/>
  <c r="V72" i="43"/>
  <c r="G72" i="43"/>
  <c r="E72" i="43"/>
  <c r="C72" i="43"/>
  <c r="B72" i="43"/>
  <c r="A72" i="43"/>
  <c r="V71" i="43"/>
  <c r="G71" i="43"/>
  <c r="E71" i="43"/>
  <c r="C71" i="43"/>
  <c r="B71" i="43"/>
  <c r="A71" i="43"/>
  <c r="V70" i="43"/>
  <c r="G70" i="43"/>
  <c r="E70" i="43"/>
  <c r="C70" i="43"/>
  <c r="B70" i="43"/>
  <c r="A70" i="43"/>
  <c r="V69" i="43"/>
  <c r="G69" i="43"/>
  <c r="E69" i="43"/>
  <c r="C69" i="43"/>
  <c r="B69" i="43"/>
  <c r="A69" i="43"/>
  <c r="V68" i="43"/>
  <c r="G68" i="43"/>
  <c r="E68" i="43"/>
  <c r="C68" i="43"/>
  <c r="B68" i="43"/>
  <c r="A68" i="43"/>
  <c r="V67" i="43"/>
  <c r="G67" i="43"/>
  <c r="E67" i="43"/>
  <c r="C67" i="43"/>
  <c r="B67" i="43"/>
  <c r="A67" i="43"/>
  <c r="V66" i="43"/>
  <c r="G66" i="43"/>
  <c r="E66" i="43"/>
  <c r="C66" i="43"/>
  <c r="B66" i="43"/>
  <c r="A66" i="43"/>
  <c r="V65" i="43"/>
  <c r="G65" i="43"/>
  <c r="E65" i="43"/>
  <c r="C65" i="43"/>
  <c r="B65" i="43"/>
  <c r="A65" i="43"/>
  <c r="V64" i="43"/>
  <c r="G64" i="43"/>
  <c r="E64" i="43"/>
  <c r="C64" i="43"/>
  <c r="B64" i="43"/>
  <c r="A64" i="43"/>
  <c r="V63" i="43"/>
  <c r="G63" i="43"/>
  <c r="E63" i="43"/>
  <c r="C63" i="43"/>
  <c r="B63" i="43"/>
  <c r="A63" i="43"/>
  <c r="V62" i="43"/>
  <c r="G62" i="43"/>
  <c r="E62" i="43"/>
  <c r="C62" i="43"/>
  <c r="B62" i="43"/>
  <c r="A62" i="43"/>
  <c r="V61" i="43"/>
  <c r="G61" i="43"/>
  <c r="E61" i="43"/>
  <c r="C61" i="43"/>
  <c r="B61" i="43"/>
  <c r="A61" i="43"/>
  <c r="V60" i="43"/>
  <c r="G60" i="43"/>
  <c r="E60" i="43"/>
  <c r="C60" i="43"/>
  <c r="B60" i="43"/>
  <c r="A60" i="43"/>
  <c r="V59" i="43"/>
  <c r="G59" i="43"/>
  <c r="E59" i="43"/>
  <c r="C59" i="43"/>
  <c r="B59" i="43"/>
  <c r="A59" i="43"/>
  <c r="V58" i="43"/>
  <c r="G58" i="43"/>
  <c r="E58" i="43"/>
  <c r="C58" i="43"/>
  <c r="B58" i="43"/>
  <c r="A58" i="43"/>
  <c r="V57" i="43"/>
  <c r="G57" i="43"/>
  <c r="E57" i="43"/>
  <c r="C57" i="43"/>
  <c r="B57" i="43"/>
  <c r="A57" i="43"/>
  <c r="V56" i="43"/>
  <c r="G56" i="43"/>
  <c r="E56" i="43"/>
  <c r="C56" i="43"/>
  <c r="B56" i="43"/>
  <c r="A56" i="43"/>
  <c r="V55" i="43"/>
  <c r="G55" i="43"/>
  <c r="E55" i="43"/>
  <c r="C55" i="43"/>
  <c r="B55" i="43"/>
  <c r="A55" i="43"/>
  <c r="V54" i="43"/>
  <c r="G54" i="43"/>
  <c r="E54" i="43"/>
  <c r="C54" i="43"/>
  <c r="B54" i="43"/>
  <c r="A54" i="43"/>
  <c r="V53" i="43"/>
  <c r="G53" i="43"/>
  <c r="E53" i="43"/>
  <c r="C53" i="43"/>
  <c r="B53" i="43"/>
  <c r="A53" i="43"/>
  <c r="V52" i="43"/>
  <c r="G52" i="43"/>
  <c r="E52" i="43"/>
  <c r="C52" i="43"/>
  <c r="B52" i="43"/>
  <c r="A52" i="43"/>
  <c r="V51" i="43"/>
  <c r="G51" i="43"/>
  <c r="E51" i="43"/>
  <c r="C51" i="43"/>
  <c r="B51" i="43"/>
  <c r="A51" i="43"/>
  <c r="V50" i="43"/>
  <c r="G50" i="43"/>
  <c r="E50" i="43"/>
  <c r="C50" i="43"/>
  <c r="B50" i="43"/>
  <c r="A50" i="43"/>
  <c r="V49" i="43"/>
  <c r="G49" i="43"/>
  <c r="E49" i="43"/>
  <c r="C49" i="43"/>
  <c r="B49" i="43"/>
  <c r="A49" i="43"/>
  <c r="V48" i="43"/>
  <c r="G48" i="43"/>
  <c r="E48" i="43"/>
  <c r="C48" i="43"/>
  <c r="B48" i="43"/>
  <c r="A48" i="43"/>
  <c r="V47" i="43"/>
  <c r="G47" i="43"/>
  <c r="E47" i="43"/>
  <c r="C47" i="43"/>
  <c r="B47" i="43"/>
  <c r="A47" i="43"/>
  <c r="V46" i="43"/>
  <c r="G46" i="43"/>
  <c r="E46" i="43"/>
  <c r="C46" i="43"/>
  <c r="B46" i="43"/>
  <c r="A46" i="43"/>
  <c r="V45" i="43"/>
  <c r="G45" i="43"/>
  <c r="E45" i="43"/>
  <c r="C45" i="43"/>
  <c r="B45" i="43"/>
  <c r="A45" i="43"/>
  <c r="V44" i="43"/>
  <c r="G44" i="43"/>
  <c r="E44" i="43"/>
  <c r="C44" i="43"/>
  <c r="B44" i="43"/>
  <c r="A44" i="43"/>
  <c r="V43" i="43"/>
  <c r="G43" i="43"/>
  <c r="E43" i="43"/>
  <c r="C43" i="43"/>
  <c r="B43" i="43"/>
  <c r="A43" i="43"/>
  <c r="V42" i="43"/>
  <c r="G42" i="43"/>
  <c r="E42" i="43"/>
  <c r="C42" i="43"/>
  <c r="B42" i="43"/>
  <c r="A42" i="43"/>
  <c r="V41" i="43"/>
  <c r="G41" i="43"/>
  <c r="E41" i="43"/>
  <c r="C41" i="43"/>
  <c r="B41" i="43"/>
  <c r="A41" i="43"/>
  <c r="V40" i="43"/>
  <c r="G40" i="43"/>
  <c r="E40" i="43"/>
  <c r="C40" i="43"/>
  <c r="B40" i="43"/>
  <c r="A40" i="43"/>
  <c r="V39" i="43"/>
  <c r="G39" i="43"/>
  <c r="E39" i="43"/>
  <c r="C39" i="43"/>
  <c r="B39" i="43"/>
  <c r="A39" i="43"/>
  <c r="V38" i="43"/>
  <c r="G38" i="43"/>
  <c r="E38" i="43"/>
  <c r="C38" i="43"/>
  <c r="B38" i="43"/>
  <c r="A38" i="43"/>
  <c r="V37" i="43"/>
  <c r="G37" i="43"/>
  <c r="E37" i="43"/>
  <c r="C37" i="43"/>
  <c r="B37" i="43"/>
  <c r="A37" i="43"/>
  <c r="V36" i="43"/>
  <c r="G36" i="43"/>
  <c r="E36" i="43"/>
  <c r="C36" i="43"/>
  <c r="B36" i="43"/>
  <c r="A36" i="43"/>
  <c r="V35" i="43"/>
  <c r="G35" i="43"/>
  <c r="E35" i="43"/>
  <c r="C35" i="43"/>
  <c r="B35" i="43"/>
  <c r="A35" i="43"/>
  <c r="V34" i="43"/>
  <c r="G34" i="43"/>
  <c r="E34" i="43"/>
  <c r="C34" i="43"/>
  <c r="B34" i="43"/>
  <c r="A34" i="43"/>
  <c r="V33" i="43"/>
  <c r="G33" i="43"/>
  <c r="E33" i="43"/>
  <c r="C33" i="43"/>
  <c r="B33" i="43"/>
  <c r="A33" i="43"/>
  <c r="V32" i="43"/>
  <c r="G32" i="43"/>
  <c r="E32" i="43"/>
  <c r="C32" i="43"/>
  <c r="B32" i="43"/>
  <c r="A32" i="43"/>
  <c r="V31" i="43"/>
  <c r="G31" i="43"/>
  <c r="E31" i="43"/>
  <c r="C31" i="43"/>
  <c r="B31" i="43"/>
  <c r="A31" i="43"/>
  <c r="V30" i="43"/>
  <c r="G30" i="43"/>
  <c r="E30" i="43"/>
  <c r="C30" i="43"/>
  <c r="B30" i="43"/>
  <c r="A30" i="43"/>
  <c r="V29" i="43"/>
  <c r="G29" i="43"/>
  <c r="E29" i="43"/>
  <c r="C29" i="43"/>
  <c r="B29" i="43"/>
  <c r="A29" i="43"/>
  <c r="V28" i="43"/>
  <c r="G28" i="43"/>
  <c r="E28" i="43"/>
  <c r="C28" i="43"/>
  <c r="B28" i="43"/>
  <c r="A28" i="43"/>
  <c r="V27" i="43"/>
  <c r="G27" i="43"/>
  <c r="E27" i="43"/>
  <c r="C27" i="43"/>
  <c r="B27" i="43"/>
  <c r="A27" i="43"/>
  <c r="V26" i="43"/>
  <c r="G26" i="43"/>
  <c r="E26" i="43"/>
  <c r="C26" i="43"/>
  <c r="B26" i="43"/>
  <c r="A26" i="43"/>
  <c r="V25" i="43"/>
  <c r="G25" i="43"/>
  <c r="E25" i="43"/>
  <c r="C25" i="43"/>
  <c r="B25" i="43"/>
  <c r="A25" i="43"/>
  <c r="V24" i="43"/>
  <c r="G24" i="43"/>
  <c r="E24" i="43"/>
  <c r="C24" i="43"/>
  <c r="B24" i="43"/>
  <c r="A24" i="43"/>
  <c r="V23" i="43"/>
  <c r="G23" i="43"/>
  <c r="E23" i="43"/>
  <c r="C23" i="43"/>
  <c r="B23" i="43"/>
  <c r="A23" i="43"/>
  <c r="V22" i="43"/>
  <c r="G22" i="43"/>
  <c r="E22" i="43"/>
  <c r="C22" i="43"/>
  <c r="B22" i="43"/>
  <c r="A22" i="43"/>
  <c r="V21" i="43"/>
  <c r="G21" i="43"/>
  <c r="E21" i="43"/>
  <c r="C21" i="43"/>
  <c r="B21" i="43"/>
  <c r="A21" i="43"/>
  <c r="V20" i="43"/>
  <c r="G20" i="43"/>
  <c r="E20" i="43"/>
  <c r="C20" i="43"/>
  <c r="B20" i="43"/>
  <c r="A20" i="43"/>
  <c r="V19" i="43"/>
  <c r="G19" i="43"/>
  <c r="E19" i="43"/>
  <c r="C19" i="43"/>
  <c r="B19" i="43"/>
  <c r="A19" i="43"/>
  <c r="V18" i="43"/>
  <c r="G18" i="43"/>
  <c r="E18" i="43"/>
  <c r="C18" i="43"/>
  <c r="B18" i="43"/>
  <c r="A18" i="43"/>
  <c r="V17" i="43"/>
  <c r="G17" i="43"/>
  <c r="E17" i="43"/>
  <c r="C17" i="43"/>
  <c r="B17" i="43"/>
  <c r="A17" i="43"/>
  <c r="V16" i="43"/>
  <c r="G16" i="43"/>
  <c r="E16" i="43"/>
  <c r="C16" i="43"/>
  <c r="B16" i="43"/>
  <c r="A16" i="43"/>
  <c r="V15" i="43"/>
  <c r="G15" i="43"/>
  <c r="E15" i="43"/>
  <c r="C15" i="43"/>
  <c r="B15" i="43"/>
  <c r="A15" i="43"/>
  <c r="V14" i="43"/>
  <c r="G14" i="43"/>
  <c r="E14" i="43"/>
  <c r="C14" i="43"/>
  <c r="B14" i="43"/>
  <c r="A14" i="43"/>
  <c r="V13" i="43"/>
  <c r="G13" i="43"/>
  <c r="E13" i="43"/>
  <c r="C13" i="43"/>
  <c r="B13" i="43"/>
  <c r="A13" i="43"/>
  <c r="V12" i="43"/>
  <c r="G12" i="43"/>
  <c r="E12" i="43"/>
  <c r="C12" i="43"/>
  <c r="B12" i="43"/>
  <c r="A12" i="43"/>
  <c r="V11" i="43"/>
  <c r="G11" i="43"/>
  <c r="E11" i="43"/>
  <c r="C11" i="43"/>
  <c r="B11" i="43"/>
  <c r="A11" i="43"/>
  <c r="V10" i="43"/>
  <c r="G10" i="43"/>
  <c r="E10" i="43"/>
  <c r="C10" i="43"/>
  <c r="B10" i="43"/>
  <c r="A10" i="43"/>
  <c r="V9" i="43"/>
  <c r="G9" i="43"/>
  <c r="E9" i="43"/>
  <c r="C9" i="43"/>
  <c r="B9" i="43"/>
  <c r="A9" i="43"/>
  <c r="V8" i="43"/>
  <c r="G8" i="43"/>
  <c r="E8" i="43"/>
  <c r="C8" i="43"/>
  <c r="B8" i="43"/>
  <c r="A8" i="43"/>
  <c r="V7" i="43"/>
  <c r="G7" i="43"/>
  <c r="E7" i="43"/>
  <c r="C7" i="43"/>
  <c r="B7" i="43"/>
  <c r="A7" i="43"/>
  <c r="V6" i="43"/>
  <c r="G6" i="43"/>
  <c r="K55" i="18" s="1"/>
  <c r="E6" i="43"/>
  <c r="C6" i="43"/>
  <c r="B6" i="43"/>
  <c r="A6" i="43"/>
  <c r="G322" i="42"/>
  <c r="E322" i="42"/>
  <c r="C322" i="42"/>
  <c r="B322" i="42"/>
  <c r="A322" i="42"/>
  <c r="G317" i="42"/>
  <c r="E317" i="42"/>
  <c r="C317" i="42"/>
  <c r="B317" i="42"/>
  <c r="A317" i="42"/>
  <c r="G316" i="42"/>
  <c r="E316" i="42"/>
  <c r="C316" i="42"/>
  <c r="B316" i="42"/>
  <c r="A316" i="42"/>
  <c r="D45" i="11" l="1"/>
  <c r="D49" i="11"/>
  <c r="D53" i="11"/>
  <c r="D57" i="11"/>
  <c r="K53" i="11"/>
  <c r="D46" i="18"/>
  <c r="D50" i="18"/>
  <c r="D54" i="18"/>
  <c r="D43" i="18"/>
  <c r="D43" i="11"/>
  <c r="D46" i="11"/>
  <c r="D50" i="11"/>
  <c r="D54" i="11"/>
  <c r="D58" i="11"/>
  <c r="D42" i="18"/>
  <c r="D47" i="18"/>
  <c r="D51" i="18"/>
  <c r="D55" i="18"/>
  <c r="K43" i="18"/>
  <c r="K43" i="11"/>
  <c r="D47" i="11"/>
  <c r="D51" i="11"/>
  <c r="D55" i="11"/>
  <c r="D59" i="11"/>
  <c r="D44" i="18"/>
  <c r="D48" i="18"/>
  <c r="D52" i="18"/>
  <c r="D56" i="18"/>
  <c r="K48" i="18"/>
  <c r="V554" i="43"/>
  <c r="D44" i="11"/>
  <c r="D48" i="11"/>
  <c r="D52" i="11"/>
  <c r="D56" i="11"/>
  <c r="K48" i="11"/>
  <c r="D45" i="18"/>
  <c r="D49" i="18"/>
  <c r="D53" i="18"/>
  <c r="D57" i="18"/>
  <c r="U571" i="43"/>
  <c r="U569" i="43"/>
  <c r="K44" i="18" l="1"/>
  <c r="K44" i="11"/>
  <c r="E551" i="42"/>
  <c r="E429" i="42"/>
  <c r="E232" i="42"/>
  <c r="E137" i="42"/>
  <c r="B45" i="44"/>
  <c r="B44" i="44"/>
  <c r="B43" i="44"/>
  <c r="B42" i="44"/>
  <c r="B41" i="44"/>
  <c r="B40" i="44"/>
  <c r="B39" i="44"/>
  <c r="B38" i="44"/>
  <c r="B37" i="44"/>
  <c r="B36" i="44"/>
  <c r="B35" i="44"/>
  <c r="B34"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A45" i="44"/>
  <c r="A44" i="44"/>
  <c r="A43" i="44"/>
  <c r="A42" i="44"/>
  <c r="A41" i="44"/>
  <c r="A40" i="44"/>
  <c r="A39" i="44"/>
  <c r="A38" i="44"/>
  <c r="A37" i="44"/>
  <c r="A36" i="44"/>
  <c r="A35" i="44"/>
  <c r="A34" i="44"/>
  <c r="B33" i="44"/>
  <c r="A33" i="44"/>
  <c r="B32" i="44"/>
  <c r="A32" i="44"/>
  <c r="B31" i="44"/>
  <c r="A31" i="44"/>
  <c r="B30" i="44"/>
  <c r="A30" i="44"/>
  <c r="B29" i="44"/>
  <c r="A29" i="44"/>
  <c r="B28" i="44"/>
  <c r="A28" i="44"/>
  <c r="B27" i="44"/>
  <c r="A27" i="44"/>
  <c r="B26" i="44"/>
  <c r="A26" i="44"/>
  <c r="B25" i="44"/>
  <c r="A25" i="44"/>
  <c r="B24" i="44"/>
  <c r="A24" i="44"/>
  <c r="B23" i="44"/>
  <c r="A23" i="44"/>
  <c r="B22" i="44"/>
  <c r="A22" i="44"/>
  <c r="B21" i="44"/>
  <c r="A21" i="44"/>
  <c r="B20" i="44"/>
  <c r="A20" i="44"/>
  <c r="B19" i="44"/>
  <c r="A19" i="44"/>
  <c r="B18" i="44"/>
  <c r="A18" i="44"/>
  <c r="B17" i="44"/>
  <c r="A17" i="44"/>
  <c r="B16" i="44"/>
  <c r="A16" i="44"/>
  <c r="B15" i="44"/>
  <c r="A15" i="44"/>
  <c r="B14" i="44"/>
  <c r="A14" i="44"/>
  <c r="B13" i="44"/>
  <c r="A13" i="44"/>
  <c r="B12" i="44"/>
  <c r="A12" i="44"/>
  <c r="B11" i="44"/>
  <c r="A11" i="44"/>
  <c r="B10" i="44"/>
  <c r="A10" i="44"/>
  <c r="B9" i="44"/>
  <c r="A9" i="44"/>
  <c r="B8" i="44"/>
  <c r="A8" i="44"/>
  <c r="B7" i="44"/>
  <c r="A7" i="44"/>
  <c r="B6" i="44"/>
  <c r="A6" i="44"/>
  <c r="B959" i="42"/>
  <c r="B958" i="42"/>
  <c r="B957" i="42"/>
  <c r="B956" i="42"/>
  <c r="B955" i="42"/>
  <c r="B954" i="42"/>
  <c r="B953" i="42"/>
  <c r="B952" i="42"/>
  <c r="B951" i="42"/>
  <c r="B950" i="42"/>
  <c r="B949" i="42"/>
  <c r="B948" i="42"/>
  <c r="B947" i="42"/>
  <c r="B946" i="42"/>
  <c r="B945" i="42"/>
  <c r="B944" i="42"/>
  <c r="B943" i="42"/>
  <c r="B942" i="42"/>
  <c r="B941" i="42"/>
  <c r="B940" i="42"/>
  <c r="B939" i="42"/>
  <c r="B938" i="42"/>
  <c r="B937" i="42"/>
  <c r="B936" i="42"/>
  <c r="B935" i="42"/>
  <c r="B934" i="42"/>
  <c r="B933" i="42"/>
  <c r="B932" i="42"/>
  <c r="B931" i="42"/>
  <c r="B930" i="42"/>
  <c r="B929" i="42"/>
  <c r="B928" i="42"/>
  <c r="B927" i="42"/>
  <c r="B926" i="42"/>
  <c r="B925" i="42"/>
  <c r="B924" i="42"/>
  <c r="B923" i="42"/>
  <c r="B922" i="42"/>
  <c r="B921" i="42"/>
  <c r="B920" i="42"/>
  <c r="B919" i="42"/>
  <c r="B918" i="42"/>
  <c r="B917" i="42"/>
  <c r="B916" i="42"/>
  <c r="B915" i="42"/>
  <c r="B914" i="42"/>
  <c r="B913" i="42"/>
  <c r="B912" i="42"/>
  <c r="B911" i="42"/>
  <c r="B910" i="42"/>
  <c r="B909" i="42"/>
  <c r="B908" i="42"/>
  <c r="B907" i="42"/>
  <c r="B906" i="42"/>
  <c r="B905" i="42"/>
  <c r="B904" i="42"/>
  <c r="B903" i="42"/>
  <c r="B902" i="42"/>
  <c r="B901" i="42"/>
  <c r="B900" i="42"/>
  <c r="B899" i="42"/>
  <c r="B898" i="42"/>
  <c r="B897" i="42"/>
  <c r="B896" i="42"/>
  <c r="B895" i="42"/>
  <c r="B894" i="42"/>
  <c r="B893" i="42"/>
  <c r="B892" i="42"/>
  <c r="B891" i="42"/>
  <c r="B890" i="42"/>
  <c r="B889" i="42"/>
  <c r="B888" i="42"/>
  <c r="B887" i="42"/>
  <c r="B886" i="42"/>
  <c r="B885" i="42"/>
  <c r="B884" i="42"/>
  <c r="B883" i="42"/>
  <c r="B882" i="42"/>
  <c r="B881" i="42"/>
  <c r="B880" i="42"/>
  <c r="B879" i="42"/>
  <c r="B878" i="42"/>
  <c r="B877" i="42"/>
  <c r="B876" i="42"/>
  <c r="B875" i="42"/>
  <c r="B874" i="42"/>
  <c r="B873" i="42"/>
  <c r="B872" i="42"/>
  <c r="B871" i="42"/>
  <c r="B870" i="42"/>
  <c r="B869" i="42"/>
  <c r="B868" i="42"/>
  <c r="B867" i="42"/>
  <c r="B866" i="42"/>
  <c r="B865" i="42"/>
  <c r="B864" i="42"/>
  <c r="B863" i="42"/>
  <c r="B862" i="42"/>
  <c r="B861" i="42"/>
  <c r="B860" i="42"/>
  <c r="B859" i="42"/>
  <c r="B858" i="42"/>
  <c r="B857" i="42"/>
  <c r="B856" i="42"/>
  <c r="B855" i="42"/>
  <c r="B854" i="42"/>
  <c r="B853" i="42"/>
  <c r="B852" i="42"/>
  <c r="B851" i="42"/>
  <c r="B850" i="42"/>
  <c r="B849" i="42"/>
  <c r="B848" i="42"/>
  <c r="A848" i="42"/>
  <c r="B847" i="42"/>
  <c r="A847" i="42"/>
  <c r="B846" i="42"/>
  <c r="A846" i="42"/>
  <c r="B845" i="42"/>
  <c r="A845" i="42"/>
  <c r="B844" i="42"/>
  <c r="A844" i="42"/>
  <c r="B843" i="42"/>
  <c r="A843" i="42"/>
  <c r="B842" i="42"/>
  <c r="A842" i="42"/>
  <c r="B841" i="42"/>
  <c r="A841" i="42"/>
  <c r="B840" i="42"/>
  <c r="A840" i="42"/>
  <c r="B839" i="42"/>
  <c r="A839" i="42"/>
  <c r="B838" i="42"/>
  <c r="A838" i="42"/>
  <c r="B837" i="42"/>
  <c r="A837" i="42"/>
  <c r="B836" i="42"/>
  <c r="A836" i="42"/>
  <c r="B835" i="42"/>
  <c r="A835" i="42"/>
  <c r="B834" i="42"/>
  <c r="A834" i="42"/>
  <c r="B833" i="42"/>
  <c r="A833" i="42"/>
  <c r="B832" i="42"/>
  <c r="A832" i="42"/>
  <c r="B831" i="42"/>
  <c r="A831" i="42"/>
  <c r="B830" i="42"/>
  <c r="A830" i="42"/>
  <c r="B829" i="42"/>
  <c r="A829" i="42"/>
  <c r="B828" i="42"/>
  <c r="A828" i="42"/>
  <c r="B827" i="42"/>
  <c r="A827" i="42"/>
  <c r="B826" i="42"/>
  <c r="A826" i="42"/>
  <c r="B825" i="42"/>
  <c r="A825" i="42"/>
  <c r="B824" i="42"/>
  <c r="A824" i="42"/>
  <c r="B823" i="42"/>
  <c r="A823" i="42"/>
  <c r="B822" i="42"/>
  <c r="A822" i="42"/>
  <c r="B821" i="42"/>
  <c r="A821" i="42"/>
  <c r="B820" i="42"/>
  <c r="A820" i="42"/>
  <c r="B819" i="42"/>
  <c r="A819" i="42"/>
  <c r="B818" i="42"/>
  <c r="A818" i="42"/>
  <c r="B817" i="42"/>
  <c r="A817" i="42"/>
  <c r="B816" i="42"/>
  <c r="A816" i="42"/>
  <c r="B815" i="42"/>
  <c r="A815" i="42"/>
  <c r="B814" i="42"/>
  <c r="A814" i="42"/>
  <c r="B813" i="42"/>
  <c r="A813" i="42"/>
  <c r="B812" i="42"/>
  <c r="A812" i="42"/>
  <c r="B811" i="42"/>
  <c r="A811" i="42"/>
  <c r="B810" i="42"/>
  <c r="A810" i="42"/>
  <c r="B809" i="42"/>
  <c r="A809" i="42"/>
  <c r="B808" i="42"/>
  <c r="A808" i="42"/>
  <c r="B807" i="42"/>
  <c r="A807" i="42"/>
  <c r="B806" i="42"/>
  <c r="A806" i="42"/>
  <c r="B805" i="42"/>
  <c r="A805" i="42"/>
  <c r="B804" i="42"/>
  <c r="A804" i="42"/>
  <c r="B803" i="42"/>
  <c r="A803" i="42"/>
  <c r="B802" i="42"/>
  <c r="A802" i="42"/>
  <c r="B801" i="42"/>
  <c r="A801" i="42"/>
  <c r="B800" i="42"/>
  <c r="A800" i="42"/>
  <c r="B799" i="42"/>
  <c r="A799" i="42"/>
  <c r="B798" i="42"/>
  <c r="A798" i="42"/>
  <c r="B797" i="42"/>
  <c r="A797" i="42"/>
  <c r="B796" i="42"/>
  <c r="A796" i="42"/>
  <c r="B795" i="42"/>
  <c r="A795" i="42"/>
  <c r="B794" i="42"/>
  <c r="A794" i="42"/>
  <c r="B793" i="42"/>
  <c r="A793" i="42"/>
  <c r="B792" i="42"/>
  <c r="A792" i="42"/>
  <c r="B791" i="42"/>
  <c r="A791" i="42"/>
  <c r="B790" i="42"/>
  <c r="A790" i="42"/>
  <c r="B789" i="42"/>
  <c r="A789" i="42"/>
  <c r="B788" i="42"/>
  <c r="A788" i="42"/>
  <c r="B787" i="42"/>
  <c r="A787" i="42"/>
  <c r="B786" i="42"/>
  <c r="A786" i="42"/>
  <c r="B785" i="42"/>
  <c r="A785" i="42"/>
  <c r="B784" i="42"/>
  <c r="A784" i="42"/>
  <c r="B783" i="42"/>
  <c r="A783" i="42"/>
  <c r="B782" i="42"/>
  <c r="A782" i="42"/>
  <c r="B781" i="42"/>
  <c r="A781" i="42"/>
  <c r="B780" i="42"/>
  <c r="A780" i="42"/>
  <c r="B779" i="42"/>
  <c r="A779" i="42"/>
  <c r="B778" i="42"/>
  <c r="A778" i="42"/>
  <c r="B777" i="42"/>
  <c r="A777" i="42"/>
  <c r="B776" i="42"/>
  <c r="A776" i="42"/>
  <c r="B775" i="42"/>
  <c r="A775" i="42"/>
  <c r="B774" i="42"/>
  <c r="A774" i="42"/>
  <c r="B773" i="42"/>
  <c r="A773" i="42"/>
  <c r="B772" i="42"/>
  <c r="A772" i="42"/>
  <c r="B771" i="42"/>
  <c r="A771" i="42"/>
  <c r="B770" i="42"/>
  <c r="A770" i="42"/>
  <c r="B769" i="42"/>
  <c r="A769" i="42"/>
  <c r="B768" i="42"/>
  <c r="A768" i="42"/>
  <c r="B767" i="42"/>
  <c r="A767" i="42"/>
  <c r="B766" i="42"/>
  <c r="A766" i="42"/>
  <c r="B765" i="42"/>
  <c r="A765" i="42"/>
  <c r="B764" i="42"/>
  <c r="A764" i="42"/>
  <c r="B763" i="42"/>
  <c r="A763" i="42"/>
  <c r="B762" i="42"/>
  <c r="A762" i="42"/>
  <c r="B761" i="42"/>
  <c r="A761" i="42"/>
  <c r="B760" i="42"/>
  <c r="A760" i="42"/>
  <c r="B759" i="42"/>
  <c r="A759" i="42"/>
  <c r="B758" i="42"/>
  <c r="A758" i="42"/>
  <c r="B757" i="42"/>
  <c r="A757" i="42"/>
  <c r="B756" i="42"/>
  <c r="A756" i="42"/>
  <c r="B755" i="42"/>
  <c r="A755" i="42"/>
  <c r="B754" i="42"/>
  <c r="A754" i="42"/>
  <c r="B753" i="42"/>
  <c r="A753" i="42"/>
  <c r="B752" i="42"/>
  <c r="A752" i="42"/>
  <c r="B751" i="42"/>
  <c r="A751" i="42"/>
  <c r="B750" i="42"/>
  <c r="A750" i="42"/>
  <c r="B749" i="42"/>
  <c r="A749" i="42"/>
  <c r="B748" i="42"/>
  <c r="A748" i="42"/>
  <c r="B747" i="42"/>
  <c r="A747" i="42"/>
  <c r="B746" i="42"/>
  <c r="A746" i="42"/>
  <c r="B745" i="42"/>
  <c r="A745" i="42"/>
  <c r="B744" i="42"/>
  <c r="A744" i="42"/>
  <c r="B743" i="42"/>
  <c r="A743" i="42"/>
  <c r="B742" i="42"/>
  <c r="A742" i="42"/>
  <c r="D741" i="42"/>
  <c r="C741" i="42"/>
  <c r="B741" i="42"/>
  <c r="A741" i="42"/>
  <c r="D740" i="42"/>
  <c r="C740" i="42"/>
  <c r="B740" i="42"/>
  <c r="A740" i="42"/>
  <c r="D739" i="42"/>
  <c r="C739" i="42"/>
  <c r="B739" i="42"/>
  <c r="A739" i="42"/>
  <c r="D738" i="42"/>
  <c r="C738" i="42"/>
  <c r="B738" i="42"/>
  <c r="A738" i="42"/>
  <c r="D737" i="42"/>
  <c r="C737" i="42"/>
  <c r="B737" i="42"/>
  <c r="A737" i="42"/>
  <c r="D736" i="42"/>
  <c r="C736" i="42"/>
  <c r="B736" i="42"/>
  <c r="A736" i="42"/>
  <c r="D735" i="42"/>
  <c r="C735" i="42"/>
  <c r="B735" i="42"/>
  <c r="A735" i="42"/>
  <c r="D734" i="42"/>
  <c r="C734" i="42"/>
  <c r="B734" i="42"/>
  <c r="A734" i="42"/>
  <c r="D733" i="42"/>
  <c r="C733" i="42"/>
  <c r="B733" i="42"/>
  <c r="A733" i="42"/>
  <c r="D732" i="42"/>
  <c r="C732" i="42"/>
  <c r="B732" i="42"/>
  <c r="A732" i="42"/>
  <c r="D731" i="42"/>
  <c r="C731" i="42"/>
  <c r="B731" i="42"/>
  <c r="A731" i="42"/>
  <c r="D730" i="42"/>
  <c r="C730" i="42"/>
  <c r="B730" i="42"/>
  <c r="A730" i="42"/>
  <c r="D729" i="42"/>
  <c r="C729" i="42"/>
  <c r="B729" i="42"/>
  <c r="A729" i="42"/>
  <c r="D728" i="42"/>
  <c r="C728" i="42"/>
  <c r="B728" i="42"/>
  <c r="A728" i="42"/>
  <c r="D727" i="42"/>
  <c r="C727" i="42"/>
  <c r="B727" i="42"/>
  <c r="A727" i="42"/>
  <c r="D726" i="42"/>
  <c r="C726" i="42"/>
  <c r="B726" i="42"/>
  <c r="A726" i="42"/>
  <c r="D725" i="42"/>
  <c r="C725" i="42"/>
  <c r="B725" i="42"/>
  <c r="A725" i="42"/>
  <c r="D724" i="42"/>
  <c r="C724" i="42"/>
  <c r="B724" i="42"/>
  <c r="A724" i="42"/>
  <c r="D723" i="42"/>
  <c r="C723" i="42"/>
  <c r="B723" i="42"/>
  <c r="A723" i="42"/>
  <c r="D722" i="42"/>
  <c r="C722" i="42"/>
  <c r="B722" i="42"/>
  <c r="A722" i="42"/>
  <c r="D721" i="42"/>
  <c r="C721" i="42"/>
  <c r="B721" i="42"/>
  <c r="A721" i="42"/>
  <c r="D720" i="42"/>
  <c r="C720" i="42"/>
  <c r="B720" i="42"/>
  <c r="A720" i="42"/>
  <c r="D719" i="42"/>
  <c r="C719" i="42"/>
  <c r="B719" i="42"/>
  <c r="A719" i="42"/>
  <c r="D718" i="42"/>
  <c r="C718" i="42"/>
  <c r="B718" i="42"/>
  <c r="A718" i="42"/>
  <c r="D717" i="42"/>
  <c r="C717" i="42"/>
  <c r="B717" i="42"/>
  <c r="A717" i="42"/>
  <c r="D716" i="42"/>
  <c r="C716" i="42"/>
  <c r="B716" i="42"/>
  <c r="A716" i="42"/>
  <c r="D715" i="42"/>
  <c r="C715" i="42"/>
  <c r="B715" i="42"/>
  <c r="A715" i="42"/>
  <c r="D714" i="42"/>
  <c r="C714" i="42"/>
  <c r="B714" i="42"/>
  <c r="A714" i="42"/>
  <c r="D713" i="42"/>
  <c r="C713" i="42"/>
  <c r="B713" i="42"/>
  <c r="A713" i="42"/>
  <c r="D712" i="42"/>
  <c r="C712" i="42"/>
  <c r="B712" i="42"/>
  <c r="A712" i="42"/>
  <c r="D711" i="42"/>
  <c r="C711" i="42"/>
  <c r="B711" i="42"/>
  <c r="A711" i="42"/>
  <c r="D710" i="42"/>
  <c r="C710" i="42"/>
  <c r="B710" i="42"/>
  <c r="A710" i="42"/>
  <c r="D709" i="42"/>
  <c r="C709" i="42"/>
  <c r="B709" i="42"/>
  <c r="A709" i="42"/>
  <c r="D708" i="42"/>
  <c r="C708" i="42"/>
  <c r="B708" i="42"/>
  <c r="A708" i="42"/>
  <c r="D707" i="42"/>
  <c r="C707" i="42"/>
  <c r="B707" i="42"/>
  <c r="A707" i="42"/>
  <c r="D706" i="42"/>
  <c r="C706" i="42"/>
  <c r="B706" i="42"/>
  <c r="A706" i="42"/>
  <c r="D705" i="42"/>
  <c r="C705" i="42"/>
  <c r="B705" i="42"/>
  <c r="A705" i="42"/>
  <c r="D704" i="42"/>
  <c r="C704" i="42"/>
  <c r="B704" i="42"/>
  <c r="A704" i="42"/>
  <c r="D703" i="42"/>
  <c r="C703" i="42"/>
  <c r="B703" i="42"/>
  <c r="A703" i="42"/>
  <c r="D702" i="42"/>
  <c r="C702" i="42"/>
  <c r="B702" i="42"/>
  <c r="A702" i="42"/>
  <c r="D701" i="42"/>
  <c r="C701" i="42"/>
  <c r="B701" i="42"/>
  <c r="A701" i="42"/>
  <c r="D700" i="42"/>
  <c r="C700" i="42"/>
  <c r="B700" i="42"/>
  <c r="A700" i="42"/>
  <c r="D699" i="42"/>
  <c r="C699" i="42"/>
  <c r="B699" i="42"/>
  <c r="A699" i="42"/>
  <c r="D698" i="42"/>
  <c r="C698" i="42"/>
  <c r="B698" i="42"/>
  <c r="A698" i="42"/>
  <c r="D697" i="42"/>
  <c r="C697" i="42"/>
  <c r="B697" i="42"/>
  <c r="A697" i="42"/>
  <c r="D696" i="42"/>
  <c r="C696" i="42"/>
  <c r="B696" i="42"/>
  <c r="A696" i="42"/>
  <c r="D695" i="42"/>
  <c r="C695" i="42"/>
  <c r="B695" i="42"/>
  <c r="A695" i="42"/>
  <c r="D694" i="42"/>
  <c r="C694" i="42"/>
  <c r="B694" i="42"/>
  <c r="A694" i="42"/>
  <c r="D693" i="42"/>
  <c r="C693" i="42"/>
  <c r="B693" i="42"/>
  <c r="A693" i="42"/>
  <c r="D692" i="42"/>
  <c r="C692" i="42"/>
  <c r="B692" i="42"/>
  <c r="A692" i="42"/>
  <c r="D691" i="42"/>
  <c r="C691" i="42"/>
  <c r="B691" i="42"/>
  <c r="A691" i="42"/>
  <c r="U690" i="42"/>
  <c r="C690" i="42"/>
  <c r="B690" i="42"/>
  <c r="A690" i="42"/>
  <c r="U689" i="42"/>
  <c r="G689" i="42"/>
  <c r="E689" i="42"/>
  <c r="C689" i="42"/>
  <c r="B689" i="42"/>
  <c r="A689" i="42"/>
  <c r="U688" i="42"/>
  <c r="G688" i="42"/>
  <c r="E688" i="42"/>
  <c r="C688" i="42"/>
  <c r="B688" i="42"/>
  <c r="A688" i="42"/>
  <c r="U687" i="42"/>
  <c r="G687" i="42"/>
  <c r="E687" i="42"/>
  <c r="C687" i="42"/>
  <c r="B687" i="42"/>
  <c r="A687" i="42"/>
  <c r="U686" i="42"/>
  <c r="G686" i="42"/>
  <c r="E686" i="42"/>
  <c r="C686" i="42"/>
  <c r="B686" i="42"/>
  <c r="A686" i="42"/>
  <c r="U685" i="42"/>
  <c r="G685" i="42"/>
  <c r="E685" i="42"/>
  <c r="C685" i="42"/>
  <c r="B685" i="42"/>
  <c r="A685" i="42"/>
  <c r="U684" i="42"/>
  <c r="G684" i="42"/>
  <c r="E684" i="42"/>
  <c r="C684" i="42"/>
  <c r="B684" i="42"/>
  <c r="A684" i="42"/>
  <c r="U683" i="42"/>
  <c r="G683" i="42"/>
  <c r="E683" i="42"/>
  <c r="C683" i="42"/>
  <c r="B683" i="42"/>
  <c r="A683" i="42"/>
  <c r="U682" i="42"/>
  <c r="G682" i="42"/>
  <c r="E682" i="42"/>
  <c r="C682" i="42"/>
  <c r="B682" i="42"/>
  <c r="A682" i="42"/>
  <c r="U681" i="42"/>
  <c r="G681" i="42"/>
  <c r="E681" i="42"/>
  <c r="C681" i="42"/>
  <c r="B681" i="42"/>
  <c r="A681" i="42"/>
  <c r="U680" i="42"/>
  <c r="G680" i="42"/>
  <c r="E680" i="42"/>
  <c r="C680" i="42"/>
  <c r="B680" i="42"/>
  <c r="A680" i="42"/>
  <c r="U679" i="42"/>
  <c r="G679" i="42"/>
  <c r="E679" i="42"/>
  <c r="C679" i="42"/>
  <c r="B679" i="42"/>
  <c r="A679" i="42"/>
  <c r="U678" i="42"/>
  <c r="G678" i="42"/>
  <c r="E678" i="42"/>
  <c r="C678" i="42"/>
  <c r="B678" i="42"/>
  <c r="A678" i="42"/>
  <c r="U677" i="42"/>
  <c r="G677" i="42"/>
  <c r="E677" i="42"/>
  <c r="C677" i="42"/>
  <c r="B677" i="42"/>
  <c r="A677" i="42"/>
  <c r="U676" i="42"/>
  <c r="G676" i="42"/>
  <c r="E676" i="42"/>
  <c r="C676" i="42"/>
  <c r="B676" i="42"/>
  <c r="A676" i="42"/>
  <c r="G675" i="42"/>
  <c r="C675" i="42"/>
  <c r="B675" i="42"/>
  <c r="A675" i="42"/>
  <c r="G674" i="42"/>
  <c r="C674" i="42"/>
  <c r="B674" i="42"/>
  <c r="A674" i="42"/>
  <c r="G673" i="42"/>
  <c r="C673" i="42"/>
  <c r="B673" i="42"/>
  <c r="A673" i="42"/>
  <c r="G672" i="42"/>
  <c r="E672" i="42"/>
  <c r="C672" i="42"/>
  <c r="B672" i="42"/>
  <c r="A672" i="42"/>
  <c r="E671" i="42"/>
  <c r="C671" i="42"/>
  <c r="B671" i="42"/>
  <c r="A671" i="42"/>
  <c r="E670" i="42"/>
  <c r="C670" i="42"/>
  <c r="B670" i="42"/>
  <c r="A670" i="42"/>
  <c r="E669" i="42"/>
  <c r="C669" i="42"/>
  <c r="B669" i="42"/>
  <c r="A669" i="42"/>
  <c r="E668" i="42"/>
  <c r="C668" i="42"/>
  <c r="B668" i="42"/>
  <c r="A668" i="42"/>
  <c r="G667" i="42"/>
  <c r="E667" i="42"/>
  <c r="C667" i="42"/>
  <c r="B667" i="42"/>
  <c r="A667" i="42"/>
  <c r="G666" i="42"/>
  <c r="E666" i="42"/>
  <c r="C666" i="42"/>
  <c r="B666" i="42"/>
  <c r="A666" i="42"/>
  <c r="N665" i="42"/>
  <c r="M665" i="42"/>
  <c r="L665" i="42"/>
  <c r="K665" i="42"/>
  <c r="J665" i="42"/>
  <c r="I665" i="42"/>
  <c r="H665" i="42"/>
  <c r="G665" i="42"/>
  <c r="E665" i="42"/>
  <c r="C665" i="42"/>
  <c r="B665" i="42"/>
  <c r="A665" i="42"/>
  <c r="G664" i="42"/>
  <c r="E664" i="42"/>
  <c r="C664" i="42"/>
  <c r="B664" i="42"/>
  <c r="A664" i="42"/>
  <c r="G663" i="42"/>
  <c r="E663" i="42"/>
  <c r="C663" i="42"/>
  <c r="B663" i="42"/>
  <c r="A663" i="42"/>
  <c r="G662" i="42"/>
  <c r="E662" i="42"/>
  <c r="C662" i="42"/>
  <c r="B662" i="42"/>
  <c r="A662" i="42"/>
  <c r="G661" i="42"/>
  <c r="E661" i="42"/>
  <c r="C661" i="42"/>
  <c r="B661" i="42"/>
  <c r="A661" i="42"/>
  <c r="G660" i="42"/>
  <c r="E660" i="42"/>
  <c r="C660" i="42"/>
  <c r="B660" i="42"/>
  <c r="A660" i="42"/>
  <c r="G659" i="42"/>
  <c r="E659" i="42"/>
  <c r="C659" i="42"/>
  <c r="B659" i="42"/>
  <c r="A659" i="42"/>
  <c r="G658" i="42"/>
  <c r="E658" i="42"/>
  <c r="C658" i="42"/>
  <c r="B658" i="42"/>
  <c r="A658" i="42"/>
  <c r="G657" i="42"/>
  <c r="E657" i="42"/>
  <c r="C657" i="42"/>
  <c r="B657" i="42"/>
  <c r="A657" i="42"/>
  <c r="G656" i="42"/>
  <c r="C656" i="42"/>
  <c r="B656" i="42"/>
  <c r="A656" i="42"/>
  <c r="G655" i="42"/>
  <c r="D655" i="42"/>
  <c r="C655" i="42"/>
  <c r="B655" i="42"/>
  <c r="A655" i="42"/>
  <c r="N654" i="42"/>
  <c r="M654" i="42"/>
  <c r="L654" i="42"/>
  <c r="K654" i="42"/>
  <c r="J654" i="42"/>
  <c r="I654" i="42"/>
  <c r="H654" i="42"/>
  <c r="G654" i="42"/>
  <c r="E654" i="42"/>
  <c r="D654" i="42" s="1"/>
  <c r="C654" i="42"/>
  <c r="B654" i="42"/>
  <c r="A654" i="42"/>
  <c r="G653" i="42"/>
  <c r="E653" i="42"/>
  <c r="C653" i="42"/>
  <c r="B653" i="42"/>
  <c r="A653" i="42"/>
  <c r="G652" i="42"/>
  <c r="E652" i="42"/>
  <c r="C652" i="42"/>
  <c r="B652" i="42"/>
  <c r="A652" i="42"/>
  <c r="G651" i="42"/>
  <c r="E651" i="42"/>
  <c r="C651" i="42"/>
  <c r="B651" i="42"/>
  <c r="A651" i="42"/>
  <c r="G650" i="42"/>
  <c r="E650" i="42"/>
  <c r="C650" i="42"/>
  <c r="B650" i="42"/>
  <c r="A650" i="42"/>
  <c r="U649" i="42"/>
  <c r="G649" i="42"/>
  <c r="E649" i="42"/>
  <c r="C649" i="42"/>
  <c r="B649" i="42"/>
  <c r="A649" i="42"/>
  <c r="U648" i="42"/>
  <c r="G648" i="42"/>
  <c r="E648" i="42"/>
  <c r="C648" i="42"/>
  <c r="B648" i="42"/>
  <c r="A648" i="42"/>
  <c r="N647" i="42"/>
  <c r="M647" i="42"/>
  <c r="L647" i="42"/>
  <c r="K647" i="42"/>
  <c r="J647" i="42"/>
  <c r="I647" i="42"/>
  <c r="U647" i="42" s="1"/>
  <c r="H647" i="42"/>
  <c r="G647" i="42"/>
  <c r="E647" i="42"/>
  <c r="C647" i="42"/>
  <c r="B647" i="42"/>
  <c r="A647" i="42"/>
  <c r="U646" i="42"/>
  <c r="G646" i="42"/>
  <c r="E646" i="42"/>
  <c r="C646" i="42"/>
  <c r="B646" i="42"/>
  <c r="A646" i="42"/>
  <c r="U645" i="42"/>
  <c r="G645" i="42"/>
  <c r="E645" i="42"/>
  <c r="C645" i="42"/>
  <c r="B645" i="42"/>
  <c r="A645" i="42"/>
  <c r="U644" i="42"/>
  <c r="G644" i="42"/>
  <c r="E644" i="42"/>
  <c r="C644" i="42"/>
  <c r="B644" i="42"/>
  <c r="A644" i="42"/>
  <c r="U643" i="42"/>
  <c r="G643" i="42"/>
  <c r="E643" i="42"/>
  <c r="C643" i="42"/>
  <c r="B643" i="42"/>
  <c r="A643" i="42"/>
  <c r="U642" i="42"/>
  <c r="G642" i="42"/>
  <c r="E642" i="42"/>
  <c r="C642" i="42"/>
  <c r="B642" i="42"/>
  <c r="A642" i="42"/>
  <c r="U641" i="42"/>
  <c r="G641" i="42"/>
  <c r="E641" i="42"/>
  <c r="C641" i="42"/>
  <c r="B641" i="42"/>
  <c r="A641" i="42"/>
  <c r="U640" i="42"/>
  <c r="G640" i="42"/>
  <c r="E640" i="42"/>
  <c r="C640" i="42"/>
  <c r="B640" i="42"/>
  <c r="A640" i="42"/>
  <c r="U639" i="42"/>
  <c r="G639" i="42"/>
  <c r="E639" i="42"/>
  <c r="C639" i="42"/>
  <c r="B639" i="42"/>
  <c r="A639" i="42"/>
  <c r="U638" i="42"/>
  <c r="G638" i="42"/>
  <c r="C638" i="42"/>
  <c r="B638" i="42"/>
  <c r="A638" i="42"/>
  <c r="U637" i="42"/>
  <c r="G637" i="42"/>
  <c r="E637" i="42"/>
  <c r="C637" i="42"/>
  <c r="B637" i="42"/>
  <c r="A637" i="42"/>
  <c r="N636" i="42"/>
  <c r="M636" i="42"/>
  <c r="L636" i="42"/>
  <c r="K636" i="42"/>
  <c r="J636" i="42"/>
  <c r="I636" i="42"/>
  <c r="H636" i="42"/>
  <c r="G636" i="42"/>
  <c r="E636" i="42"/>
  <c r="C636" i="42"/>
  <c r="B636" i="42"/>
  <c r="A636" i="42"/>
  <c r="U635" i="42"/>
  <c r="G635" i="42"/>
  <c r="E635" i="42"/>
  <c r="C635" i="42"/>
  <c r="B635" i="42"/>
  <c r="A635" i="42"/>
  <c r="U634" i="42"/>
  <c r="G634" i="42"/>
  <c r="E634" i="42"/>
  <c r="C634" i="42"/>
  <c r="B634" i="42"/>
  <c r="A634" i="42"/>
  <c r="U633" i="42"/>
  <c r="G633" i="42"/>
  <c r="E633" i="42"/>
  <c r="C633" i="42"/>
  <c r="B633" i="42"/>
  <c r="A633" i="42"/>
  <c r="U632" i="42"/>
  <c r="G632" i="42"/>
  <c r="E632" i="42"/>
  <c r="C632" i="42"/>
  <c r="B632" i="42"/>
  <c r="A632" i="42"/>
  <c r="G631" i="42"/>
  <c r="E631" i="42"/>
  <c r="C631" i="42"/>
  <c r="B631" i="42"/>
  <c r="A631" i="42"/>
  <c r="G630" i="42"/>
  <c r="E630" i="42"/>
  <c r="C630" i="42"/>
  <c r="B630" i="42"/>
  <c r="A630" i="42"/>
  <c r="N629" i="42"/>
  <c r="M629" i="42"/>
  <c r="L629" i="42"/>
  <c r="K629" i="42"/>
  <c r="J629" i="42"/>
  <c r="I629" i="42"/>
  <c r="H629" i="42"/>
  <c r="G629" i="42"/>
  <c r="E629" i="42"/>
  <c r="C629" i="42"/>
  <c r="B629" i="42"/>
  <c r="A629" i="42"/>
  <c r="G628" i="42"/>
  <c r="E628" i="42"/>
  <c r="C628" i="42"/>
  <c r="B628" i="42"/>
  <c r="A628" i="42"/>
  <c r="G627" i="42"/>
  <c r="E627" i="42"/>
  <c r="C627" i="42"/>
  <c r="B627" i="42"/>
  <c r="A627" i="42"/>
  <c r="G626" i="42"/>
  <c r="E626" i="42"/>
  <c r="C626" i="42"/>
  <c r="B626" i="42"/>
  <c r="A626" i="42"/>
  <c r="G625" i="42"/>
  <c r="E625" i="42"/>
  <c r="C625" i="42"/>
  <c r="B625" i="42"/>
  <c r="A625" i="42"/>
  <c r="G624" i="42"/>
  <c r="E624" i="42"/>
  <c r="C624" i="42"/>
  <c r="B624" i="42"/>
  <c r="A624" i="42"/>
  <c r="G623" i="42"/>
  <c r="E623" i="42"/>
  <c r="C623" i="42"/>
  <c r="B623" i="42"/>
  <c r="A623" i="42"/>
  <c r="G622" i="42"/>
  <c r="E622" i="42"/>
  <c r="C622" i="42"/>
  <c r="B622" i="42"/>
  <c r="A622" i="42"/>
  <c r="G621" i="42"/>
  <c r="E621" i="42"/>
  <c r="C621" i="42"/>
  <c r="B621" i="42"/>
  <c r="A621" i="42"/>
  <c r="G620" i="42"/>
  <c r="E620" i="42"/>
  <c r="C620" i="42"/>
  <c r="B620" i="42"/>
  <c r="A620" i="42"/>
  <c r="G619" i="42"/>
  <c r="E619" i="42"/>
  <c r="C619" i="42"/>
  <c r="B619" i="42"/>
  <c r="A619" i="42"/>
  <c r="G618" i="42"/>
  <c r="E618" i="42"/>
  <c r="C618" i="42"/>
  <c r="B618" i="42"/>
  <c r="A618" i="42"/>
  <c r="G617" i="42"/>
  <c r="E617" i="42"/>
  <c r="C617" i="42"/>
  <c r="B617" i="42"/>
  <c r="A617" i="42"/>
  <c r="G616" i="42"/>
  <c r="E616" i="42"/>
  <c r="C616" i="42"/>
  <c r="B616" i="42"/>
  <c r="A616" i="42"/>
  <c r="G615" i="42"/>
  <c r="E615" i="42"/>
  <c r="C615" i="42"/>
  <c r="B615" i="42"/>
  <c r="A615" i="42"/>
  <c r="G614" i="42"/>
  <c r="E614" i="42"/>
  <c r="C614" i="42"/>
  <c r="B614" i="42"/>
  <c r="A614" i="42"/>
  <c r="G613" i="42"/>
  <c r="E613" i="42"/>
  <c r="C613" i="42"/>
  <c r="B613" i="42"/>
  <c r="A613" i="42"/>
  <c r="G612" i="42"/>
  <c r="E612" i="42"/>
  <c r="C612" i="42"/>
  <c r="B612" i="42"/>
  <c r="A612" i="42"/>
  <c r="G611" i="42"/>
  <c r="E611" i="42"/>
  <c r="C611" i="42"/>
  <c r="B611" i="42"/>
  <c r="A611" i="42"/>
  <c r="G610" i="42"/>
  <c r="E610" i="42"/>
  <c r="C610" i="42"/>
  <c r="B610" i="42"/>
  <c r="A610" i="42"/>
  <c r="G609" i="42"/>
  <c r="E609" i="42"/>
  <c r="C609" i="42"/>
  <c r="B609" i="42"/>
  <c r="A609" i="42"/>
  <c r="G608" i="42"/>
  <c r="E608" i="42"/>
  <c r="C608" i="42"/>
  <c r="B608" i="42"/>
  <c r="A608" i="42"/>
  <c r="G607" i="42"/>
  <c r="E607" i="42"/>
  <c r="C607" i="42"/>
  <c r="B607" i="42"/>
  <c r="A607" i="42"/>
  <c r="G606" i="42"/>
  <c r="E606" i="42"/>
  <c r="C606" i="42"/>
  <c r="B606" i="42"/>
  <c r="A606" i="42"/>
  <c r="G605" i="42"/>
  <c r="E605" i="42"/>
  <c r="C605" i="42"/>
  <c r="B605" i="42"/>
  <c r="A605" i="42"/>
  <c r="G604" i="42"/>
  <c r="E604" i="42"/>
  <c r="C604" i="42"/>
  <c r="B604" i="42"/>
  <c r="A604" i="42"/>
  <c r="G603" i="42"/>
  <c r="E603" i="42"/>
  <c r="C603" i="42"/>
  <c r="B603" i="42"/>
  <c r="A603" i="42"/>
  <c r="G602" i="42"/>
  <c r="E602" i="42"/>
  <c r="C602" i="42"/>
  <c r="B602" i="42"/>
  <c r="A602" i="42"/>
  <c r="G601" i="42"/>
  <c r="E601" i="42"/>
  <c r="C601" i="42"/>
  <c r="B601" i="42"/>
  <c r="A601" i="42"/>
  <c r="G600" i="42"/>
  <c r="E600" i="42"/>
  <c r="C600" i="42"/>
  <c r="B600" i="42"/>
  <c r="A600" i="42"/>
  <c r="G599" i="42"/>
  <c r="E599" i="42"/>
  <c r="C599" i="42"/>
  <c r="B599" i="42"/>
  <c r="A599" i="42"/>
  <c r="G598" i="42"/>
  <c r="E598" i="42"/>
  <c r="C598" i="42"/>
  <c r="B598" i="42"/>
  <c r="A598" i="42"/>
  <c r="G597" i="42"/>
  <c r="E597" i="42"/>
  <c r="C597" i="42"/>
  <c r="B597" i="42"/>
  <c r="A597" i="42"/>
  <c r="N596" i="42"/>
  <c r="M596" i="42"/>
  <c r="L596" i="42"/>
  <c r="K596" i="42"/>
  <c r="J596" i="42"/>
  <c r="I596" i="42"/>
  <c r="H596" i="42"/>
  <c r="G596" i="42"/>
  <c r="E596" i="42"/>
  <c r="C596" i="42"/>
  <c r="B596" i="42"/>
  <c r="A596" i="42"/>
  <c r="G595" i="42"/>
  <c r="E595" i="42"/>
  <c r="C595" i="42"/>
  <c r="B595" i="42"/>
  <c r="A595" i="42"/>
  <c r="G594" i="42"/>
  <c r="E594" i="42"/>
  <c r="C594" i="42"/>
  <c r="B594" i="42"/>
  <c r="A594" i="42"/>
  <c r="G593" i="42"/>
  <c r="E593" i="42"/>
  <c r="C593" i="42"/>
  <c r="B593" i="42"/>
  <c r="A593" i="42"/>
  <c r="G592" i="42"/>
  <c r="E592" i="42"/>
  <c r="C592" i="42"/>
  <c r="B592" i="42"/>
  <c r="A592" i="42"/>
  <c r="G591" i="42"/>
  <c r="E591" i="42"/>
  <c r="C591" i="42"/>
  <c r="B591" i="42"/>
  <c r="A591" i="42"/>
  <c r="G590" i="42"/>
  <c r="E590" i="42"/>
  <c r="C590" i="42"/>
  <c r="B590" i="42"/>
  <c r="A590" i="42"/>
  <c r="G589" i="42"/>
  <c r="E589" i="42"/>
  <c r="C589" i="42"/>
  <c r="B589" i="42"/>
  <c r="A589" i="42"/>
  <c r="G588" i="42"/>
  <c r="E588" i="42"/>
  <c r="C588" i="42"/>
  <c r="B588" i="42"/>
  <c r="A588" i="42"/>
  <c r="G587" i="42"/>
  <c r="E587" i="42"/>
  <c r="C587" i="42"/>
  <c r="B587" i="42"/>
  <c r="A587" i="42"/>
  <c r="G586" i="42"/>
  <c r="E586" i="42"/>
  <c r="C586" i="42"/>
  <c r="B586" i="42"/>
  <c r="A586" i="42"/>
  <c r="G585" i="42"/>
  <c r="E585" i="42"/>
  <c r="C585" i="42"/>
  <c r="B585" i="42"/>
  <c r="A585" i="42"/>
  <c r="G584" i="42"/>
  <c r="E584" i="42"/>
  <c r="C584" i="42"/>
  <c r="B584" i="42"/>
  <c r="A584" i="42"/>
  <c r="G583" i="42"/>
  <c r="E583" i="42"/>
  <c r="C583" i="42"/>
  <c r="B583" i="42"/>
  <c r="A583" i="42"/>
  <c r="G582" i="42"/>
  <c r="E582" i="42"/>
  <c r="C582" i="42"/>
  <c r="B582" i="42"/>
  <c r="A582" i="42"/>
  <c r="G581" i="42"/>
  <c r="E581" i="42"/>
  <c r="C581" i="42"/>
  <c r="B581" i="42"/>
  <c r="A581" i="42"/>
  <c r="G580" i="42"/>
  <c r="E580" i="42"/>
  <c r="C580" i="42"/>
  <c r="B580" i="42"/>
  <c r="A580" i="42"/>
  <c r="G579" i="42"/>
  <c r="E579" i="42"/>
  <c r="C579" i="42"/>
  <c r="B579" i="42"/>
  <c r="A579" i="42"/>
  <c r="G578" i="42"/>
  <c r="E578" i="42"/>
  <c r="C578" i="42"/>
  <c r="B578" i="42"/>
  <c r="A578" i="42"/>
  <c r="G577" i="42"/>
  <c r="E577" i="42"/>
  <c r="C577" i="42"/>
  <c r="B577" i="42"/>
  <c r="A577" i="42"/>
  <c r="G576" i="42"/>
  <c r="E576" i="42"/>
  <c r="C576" i="42"/>
  <c r="B576" i="42"/>
  <c r="A576" i="42"/>
  <c r="G575" i="42"/>
  <c r="E575" i="42"/>
  <c r="C575" i="42"/>
  <c r="B575" i="42"/>
  <c r="A575" i="42"/>
  <c r="U574" i="42"/>
  <c r="E574" i="42"/>
  <c r="C574" i="42"/>
  <c r="B574" i="42"/>
  <c r="A574" i="42"/>
  <c r="U573" i="42"/>
  <c r="E573" i="42"/>
  <c r="C573" i="42"/>
  <c r="B573" i="42"/>
  <c r="A573" i="42"/>
  <c r="E572" i="42"/>
  <c r="C572" i="42"/>
  <c r="B572" i="42"/>
  <c r="A572" i="42"/>
  <c r="E571" i="42"/>
  <c r="C571" i="42"/>
  <c r="B571" i="42"/>
  <c r="A571" i="42"/>
  <c r="U570" i="42"/>
  <c r="E570" i="42"/>
  <c r="C570" i="42"/>
  <c r="B570" i="42"/>
  <c r="A570" i="42"/>
  <c r="E569" i="42"/>
  <c r="C569" i="42"/>
  <c r="B569" i="42"/>
  <c r="A569" i="42"/>
  <c r="U568" i="42"/>
  <c r="G568" i="42"/>
  <c r="E568" i="42"/>
  <c r="C568" i="42"/>
  <c r="B568" i="42"/>
  <c r="A568" i="42"/>
  <c r="U567" i="42"/>
  <c r="G567" i="42"/>
  <c r="E567" i="42"/>
  <c r="C567" i="42"/>
  <c r="B567" i="42"/>
  <c r="A567" i="42"/>
  <c r="U566" i="42"/>
  <c r="G566" i="42"/>
  <c r="E566" i="42"/>
  <c r="C566" i="42"/>
  <c r="B566" i="42"/>
  <c r="A566" i="42"/>
  <c r="U565" i="42"/>
  <c r="G565" i="42"/>
  <c r="E565" i="42"/>
  <c r="C565" i="42"/>
  <c r="B565" i="42"/>
  <c r="A565" i="42"/>
  <c r="U564" i="42"/>
  <c r="G564" i="42"/>
  <c r="E564" i="42"/>
  <c r="C564" i="42"/>
  <c r="B564" i="42"/>
  <c r="A564" i="42"/>
  <c r="U563" i="42"/>
  <c r="G563" i="42"/>
  <c r="E563" i="42"/>
  <c r="C563" i="42"/>
  <c r="B563" i="42"/>
  <c r="A563" i="42"/>
  <c r="U562" i="42"/>
  <c r="G562" i="42"/>
  <c r="E562" i="42"/>
  <c r="C562" i="42"/>
  <c r="B562" i="42"/>
  <c r="A562" i="42"/>
  <c r="U561" i="42"/>
  <c r="G561" i="42"/>
  <c r="E561" i="42"/>
  <c r="C561" i="42"/>
  <c r="B561" i="42"/>
  <c r="A561" i="42"/>
  <c r="U560" i="42"/>
  <c r="G560" i="42"/>
  <c r="E560" i="42"/>
  <c r="C560" i="42"/>
  <c r="B560" i="42"/>
  <c r="A560" i="42"/>
  <c r="U559" i="42"/>
  <c r="G559" i="42"/>
  <c r="E559" i="42"/>
  <c r="C559" i="42"/>
  <c r="B559" i="42"/>
  <c r="A559" i="42"/>
  <c r="U558" i="42"/>
  <c r="G558" i="42"/>
  <c r="E558" i="42"/>
  <c r="C558" i="42"/>
  <c r="B558" i="42"/>
  <c r="A558" i="42"/>
  <c r="U557" i="42"/>
  <c r="G557" i="42"/>
  <c r="E557" i="42"/>
  <c r="C557" i="42"/>
  <c r="B557" i="42"/>
  <c r="A557" i="42"/>
  <c r="G556" i="42"/>
  <c r="E556" i="42"/>
  <c r="C556" i="42"/>
  <c r="B556" i="42"/>
  <c r="A556" i="42"/>
  <c r="N555" i="42"/>
  <c r="N569" i="42" s="1"/>
  <c r="N571" i="42" s="1"/>
  <c r="M555" i="42"/>
  <c r="M569" i="42" s="1"/>
  <c r="M571" i="42" s="1"/>
  <c r="L555" i="42"/>
  <c r="L569" i="42" s="1"/>
  <c r="L571" i="42" s="1"/>
  <c r="K555" i="42"/>
  <c r="K569" i="42" s="1"/>
  <c r="K571" i="42" s="1"/>
  <c r="J555" i="42"/>
  <c r="J569" i="42" s="1"/>
  <c r="J571" i="42" s="1"/>
  <c r="I555" i="42"/>
  <c r="G555" i="42"/>
  <c r="E555" i="42"/>
  <c r="C555" i="42"/>
  <c r="B555" i="42"/>
  <c r="A555" i="42"/>
  <c r="G554" i="42"/>
  <c r="E554" i="42"/>
  <c r="C554" i="42"/>
  <c r="B554" i="42"/>
  <c r="A554" i="42"/>
  <c r="U553" i="42"/>
  <c r="G553" i="42"/>
  <c r="E553" i="42"/>
  <c r="C553" i="42"/>
  <c r="B553" i="42"/>
  <c r="A553" i="42"/>
  <c r="U552" i="42"/>
  <c r="G552" i="42"/>
  <c r="E552" i="42"/>
  <c r="C552" i="42"/>
  <c r="B552" i="42"/>
  <c r="A552" i="42"/>
  <c r="U551" i="42"/>
  <c r="G551" i="42"/>
  <c r="C551" i="42"/>
  <c r="B551" i="42"/>
  <c r="A551" i="42"/>
  <c r="U550" i="42"/>
  <c r="G550" i="42"/>
  <c r="E550" i="42"/>
  <c r="C550" i="42"/>
  <c r="B550" i="42"/>
  <c r="A550" i="42"/>
  <c r="U549" i="42"/>
  <c r="G549" i="42"/>
  <c r="E549" i="42"/>
  <c r="C549" i="42"/>
  <c r="B549" i="42"/>
  <c r="A549" i="42"/>
  <c r="U548" i="42"/>
  <c r="G548" i="42"/>
  <c r="E548" i="42"/>
  <c r="C548" i="42"/>
  <c r="B548" i="42"/>
  <c r="A548" i="42"/>
  <c r="U547" i="42"/>
  <c r="G547" i="42"/>
  <c r="E547" i="42"/>
  <c r="C547" i="42"/>
  <c r="B547" i="42"/>
  <c r="A547" i="42"/>
  <c r="U546" i="42"/>
  <c r="G546" i="42"/>
  <c r="E546" i="42"/>
  <c r="C546" i="42"/>
  <c r="B546" i="42"/>
  <c r="A546" i="42"/>
  <c r="U545" i="42"/>
  <c r="G545" i="42"/>
  <c r="E545" i="42"/>
  <c r="C545" i="42"/>
  <c r="B545" i="42"/>
  <c r="A545" i="42"/>
  <c r="U544" i="42"/>
  <c r="G544" i="42"/>
  <c r="E544" i="42"/>
  <c r="C544" i="42"/>
  <c r="B544" i="42"/>
  <c r="A544" i="42"/>
  <c r="U543" i="42"/>
  <c r="G543" i="42"/>
  <c r="E543" i="42"/>
  <c r="C543" i="42"/>
  <c r="B543" i="42"/>
  <c r="A543" i="42"/>
  <c r="U542" i="42"/>
  <c r="G542" i="42"/>
  <c r="E542" i="42"/>
  <c r="C542" i="42"/>
  <c r="B542" i="42"/>
  <c r="A542" i="42"/>
  <c r="U541" i="42"/>
  <c r="G541" i="42"/>
  <c r="E541" i="42"/>
  <c r="C541" i="42"/>
  <c r="B541" i="42"/>
  <c r="A541" i="42"/>
  <c r="U540" i="42"/>
  <c r="G540" i="42"/>
  <c r="E540" i="42"/>
  <c r="C540" i="42"/>
  <c r="B540" i="42"/>
  <c r="A540" i="42"/>
  <c r="U539" i="42"/>
  <c r="G539" i="42"/>
  <c r="E539" i="42"/>
  <c r="C539" i="42"/>
  <c r="B539" i="42"/>
  <c r="A539" i="42"/>
  <c r="U538" i="42"/>
  <c r="G538" i="42"/>
  <c r="E538" i="42"/>
  <c r="C538" i="42"/>
  <c r="B538" i="42"/>
  <c r="A538" i="42"/>
  <c r="U537" i="42"/>
  <c r="G537" i="42"/>
  <c r="E537" i="42"/>
  <c r="C537" i="42"/>
  <c r="B537" i="42"/>
  <c r="A537" i="42"/>
  <c r="U536" i="42"/>
  <c r="G536" i="42"/>
  <c r="E536" i="42"/>
  <c r="C536" i="42"/>
  <c r="B536" i="42"/>
  <c r="A536" i="42"/>
  <c r="U535" i="42"/>
  <c r="G535" i="42"/>
  <c r="E535" i="42"/>
  <c r="C535" i="42"/>
  <c r="B535" i="42"/>
  <c r="A535" i="42"/>
  <c r="U534" i="42"/>
  <c r="G534" i="42"/>
  <c r="E534" i="42"/>
  <c r="C534" i="42"/>
  <c r="B534" i="42"/>
  <c r="A534" i="42"/>
  <c r="U533" i="42"/>
  <c r="G533" i="42"/>
  <c r="E533" i="42"/>
  <c r="C533" i="42"/>
  <c r="B533" i="42"/>
  <c r="A533" i="42"/>
  <c r="U532" i="42"/>
  <c r="G532" i="42"/>
  <c r="E532" i="42"/>
  <c r="C532" i="42"/>
  <c r="B532" i="42"/>
  <c r="A532" i="42"/>
  <c r="U531" i="42"/>
  <c r="G531" i="42"/>
  <c r="E531" i="42"/>
  <c r="C531" i="42"/>
  <c r="B531" i="42"/>
  <c r="A531" i="42"/>
  <c r="U530" i="42"/>
  <c r="G530" i="42"/>
  <c r="E530" i="42"/>
  <c r="C530" i="42"/>
  <c r="B530" i="42"/>
  <c r="A530" i="42"/>
  <c r="U529" i="42"/>
  <c r="G529" i="42"/>
  <c r="E529" i="42"/>
  <c r="C529" i="42"/>
  <c r="B529" i="42"/>
  <c r="A529" i="42"/>
  <c r="U528" i="42"/>
  <c r="G528" i="42"/>
  <c r="E528" i="42"/>
  <c r="C528" i="42"/>
  <c r="B528" i="42"/>
  <c r="A528" i="42"/>
  <c r="U527" i="42"/>
  <c r="G527" i="42"/>
  <c r="E527" i="42"/>
  <c r="C527" i="42"/>
  <c r="B527" i="42"/>
  <c r="A527" i="42"/>
  <c r="U526" i="42"/>
  <c r="G526" i="42"/>
  <c r="E526" i="42"/>
  <c r="C526" i="42"/>
  <c r="B526" i="42"/>
  <c r="A526" i="42"/>
  <c r="U525" i="42"/>
  <c r="G525" i="42"/>
  <c r="E525" i="42"/>
  <c r="C525" i="42"/>
  <c r="B525" i="42"/>
  <c r="A525" i="42"/>
  <c r="U524" i="42"/>
  <c r="G524" i="42"/>
  <c r="E524" i="42"/>
  <c r="C524" i="42"/>
  <c r="B524" i="42"/>
  <c r="A524" i="42"/>
  <c r="U523" i="42"/>
  <c r="G523" i="42"/>
  <c r="E523" i="42"/>
  <c r="C523" i="42"/>
  <c r="B523" i="42"/>
  <c r="A523" i="42"/>
  <c r="U522" i="42"/>
  <c r="G522" i="42"/>
  <c r="E522" i="42"/>
  <c r="C522" i="42"/>
  <c r="B522" i="42"/>
  <c r="A522" i="42"/>
  <c r="U521" i="42"/>
  <c r="G521" i="42"/>
  <c r="E521" i="42"/>
  <c r="C521" i="42"/>
  <c r="B521" i="42"/>
  <c r="A521" i="42"/>
  <c r="U520" i="42"/>
  <c r="G520" i="42"/>
  <c r="E520" i="42"/>
  <c r="C520" i="42"/>
  <c r="B520" i="42"/>
  <c r="A520" i="42"/>
  <c r="U519" i="42"/>
  <c r="G519" i="42"/>
  <c r="E519" i="42"/>
  <c r="C519" i="42"/>
  <c r="B519" i="42"/>
  <c r="A519" i="42"/>
  <c r="U518" i="42"/>
  <c r="G518" i="42"/>
  <c r="E518" i="42"/>
  <c r="C518" i="42"/>
  <c r="B518" i="42"/>
  <c r="A518" i="42"/>
  <c r="U517" i="42"/>
  <c r="G517" i="42"/>
  <c r="E517" i="42"/>
  <c r="C517" i="42"/>
  <c r="B517" i="42"/>
  <c r="A517" i="42"/>
  <c r="U516" i="42"/>
  <c r="G516" i="42"/>
  <c r="E516" i="42"/>
  <c r="C516" i="42"/>
  <c r="B516" i="42"/>
  <c r="A516" i="42"/>
  <c r="U515" i="42"/>
  <c r="G515" i="42"/>
  <c r="E515" i="42"/>
  <c r="C515" i="42"/>
  <c r="B515" i="42"/>
  <c r="A515" i="42"/>
  <c r="U514" i="42"/>
  <c r="G514" i="42"/>
  <c r="E514" i="42"/>
  <c r="C514" i="42"/>
  <c r="B514" i="42"/>
  <c r="A514" i="42"/>
  <c r="U513" i="42"/>
  <c r="G513" i="42"/>
  <c r="E513" i="42"/>
  <c r="C513" i="42"/>
  <c r="B513" i="42"/>
  <c r="A513" i="42"/>
  <c r="U512" i="42"/>
  <c r="G512" i="42"/>
  <c r="E512" i="42"/>
  <c r="C512" i="42"/>
  <c r="B512" i="42"/>
  <c r="A512" i="42"/>
  <c r="U511" i="42"/>
  <c r="G511" i="42"/>
  <c r="E511" i="42"/>
  <c r="C511" i="42"/>
  <c r="B511" i="42"/>
  <c r="A511" i="42"/>
  <c r="U510" i="42"/>
  <c r="G510" i="42"/>
  <c r="E510" i="42"/>
  <c r="C510" i="42"/>
  <c r="B510" i="42"/>
  <c r="A510" i="42"/>
  <c r="U509" i="42"/>
  <c r="G509" i="42"/>
  <c r="E509" i="42"/>
  <c r="C509" i="42"/>
  <c r="B509" i="42"/>
  <c r="A509" i="42"/>
  <c r="U508" i="42"/>
  <c r="G508" i="42"/>
  <c r="E508" i="42"/>
  <c r="C508" i="42"/>
  <c r="B508" i="42"/>
  <c r="A508" i="42"/>
  <c r="U507" i="42"/>
  <c r="G507" i="42"/>
  <c r="E507" i="42"/>
  <c r="C507" i="42"/>
  <c r="B507" i="42"/>
  <c r="A507" i="42"/>
  <c r="U506" i="42"/>
  <c r="G506" i="42"/>
  <c r="E506" i="42"/>
  <c r="C506" i="42"/>
  <c r="B506" i="42"/>
  <c r="A506" i="42"/>
  <c r="U505" i="42"/>
  <c r="G505" i="42"/>
  <c r="E505" i="42"/>
  <c r="C505" i="42"/>
  <c r="B505" i="42"/>
  <c r="A505" i="42"/>
  <c r="U504" i="42"/>
  <c r="G504" i="42"/>
  <c r="E504" i="42"/>
  <c r="C504" i="42"/>
  <c r="B504" i="42"/>
  <c r="A504" i="42"/>
  <c r="U503" i="42"/>
  <c r="G503" i="42"/>
  <c r="E503" i="42"/>
  <c r="C503" i="42"/>
  <c r="B503" i="42"/>
  <c r="A503" i="42"/>
  <c r="U502" i="42"/>
  <c r="G502" i="42"/>
  <c r="E502" i="42"/>
  <c r="C502" i="42"/>
  <c r="B502" i="42"/>
  <c r="A502" i="42"/>
  <c r="U501" i="42"/>
  <c r="G501" i="42"/>
  <c r="E501" i="42"/>
  <c r="C501" i="42"/>
  <c r="B501" i="42"/>
  <c r="A501" i="42"/>
  <c r="U500" i="42"/>
  <c r="G500" i="42"/>
  <c r="E500" i="42"/>
  <c r="C500" i="42"/>
  <c r="B500" i="42"/>
  <c r="A500" i="42"/>
  <c r="U499" i="42"/>
  <c r="G499" i="42"/>
  <c r="E499" i="42"/>
  <c r="C499" i="42"/>
  <c r="B499" i="42"/>
  <c r="A499" i="42"/>
  <c r="U498" i="42"/>
  <c r="G498" i="42"/>
  <c r="E498" i="42"/>
  <c r="C498" i="42"/>
  <c r="B498" i="42"/>
  <c r="A498" i="42"/>
  <c r="U497" i="42"/>
  <c r="G497" i="42"/>
  <c r="E497" i="42"/>
  <c r="C497" i="42"/>
  <c r="B497" i="42"/>
  <c r="A497" i="42"/>
  <c r="U496" i="42"/>
  <c r="G496" i="42"/>
  <c r="E496" i="42"/>
  <c r="C496" i="42"/>
  <c r="B496" i="42"/>
  <c r="A496" i="42"/>
  <c r="U495" i="42"/>
  <c r="G495" i="42"/>
  <c r="E495" i="42"/>
  <c r="C495" i="42"/>
  <c r="B495" i="42"/>
  <c r="A495" i="42"/>
  <c r="U494" i="42"/>
  <c r="G494" i="42"/>
  <c r="E494" i="42"/>
  <c r="C494" i="42"/>
  <c r="B494" i="42"/>
  <c r="A494" i="42"/>
  <c r="U493" i="42"/>
  <c r="G493" i="42"/>
  <c r="E493" i="42"/>
  <c r="C493" i="42"/>
  <c r="B493" i="42"/>
  <c r="A493" i="42"/>
  <c r="U492" i="42"/>
  <c r="G492" i="42"/>
  <c r="E492" i="42"/>
  <c r="C492" i="42"/>
  <c r="B492" i="42"/>
  <c r="A492" i="42"/>
  <c r="U491" i="42"/>
  <c r="G491" i="42"/>
  <c r="E491" i="42"/>
  <c r="C491" i="42"/>
  <c r="B491" i="42"/>
  <c r="A491" i="42"/>
  <c r="U490" i="42"/>
  <c r="G490" i="42"/>
  <c r="E490" i="42"/>
  <c r="C490" i="42"/>
  <c r="B490" i="42"/>
  <c r="A490" i="42"/>
  <c r="U489" i="42"/>
  <c r="G489" i="42"/>
  <c r="E489" i="42"/>
  <c r="C489" i="42"/>
  <c r="B489" i="42"/>
  <c r="A489" i="42"/>
  <c r="U488" i="42"/>
  <c r="G488" i="42"/>
  <c r="E488" i="42"/>
  <c r="C488" i="42"/>
  <c r="B488" i="42"/>
  <c r="A488" i="42"/>
  <c r="U487" i="42"/>
  <c r="G487" i="42"/>
  <c r="E487" i="42"/>
  <c r="C487" i="42"/>
  <c r="B487" i="42"/>
  <c r="A487" i="42"/>
  <c r="U486" i="42"/>
  <c r="G486" i="42"/>
  <c r="E486" i="42"/>
  <c r="C486" i="42"/>
  <c r="B486" i="42"/>
  <c r="A486" i="42"/>
  <c r="U485" i="42"/>
  <c r="G485" i="42"/>
  <c r="E485" i="42"/>
  <c r="C485" i="42"/>
  <c r="B485" i="42"/>
  <c r="A485" i="42"/>
  <c r="U484" i="42"/>
  <c r="G484" i="42"/>
  <c r="E484" i="42"/>
  <c r="C484" i="42"/>
  <c r="B484" i="42"/>
  <c r="A484" i="42"/>
  <c r="U483" i="42"/>
  <c r="G483" i="42"/>
  <c r="E483" i="42"/>
  <c r="C483" i="42"/>
  <c r="B483" i="42"/>
  <c r="A483" i="42"/>
  <c r="U482" i="42"/>
  <c r="G482" i="42"/>
  <c r="E482" i="42"/>
  <c r="C482" i="42"/>
  <c r="B482" i="42"/>
  <c r="A482" i="42"/>
  <c r="U481" i="42"/>
  <c r="G481" i="42"/>
  <c r="E481" i="42"/>
  <c r="C481" i="42"/>
  <c r="B481" i="42"/>
  <c r="A481" i="42"/>
  <c r="U480" i="42"/>
  <c r="G480" i="42"/>
  <c r="E480" i="42"/>
  <c r="C480" i="42"/>
  <c r="B480" i="42"/>
  <c r="A480" i="42"/>
  <c r="U479" i="42"/>
  <c r="G479" i="42"/>
  <c r="E479" i="42"/>
  <c r="C479" i="42"/>
  <c r="B479" i="42"/>
  <c r="A479" i="42"/>
  <c r="U478" i="42"/>
  <c r="G478" i="42"/>
  <c r="E478" i="42"/>
  <c r="C478" i="42"/>
  <c r="B478" i="42"/>
  <c r="A478" i="42"/>
  <c r="U477" i="42"/>
  <c r="G477" i="42"/>
  <c r="E477" i="42"/>
  <c r="C477" i="42"/>
  <c r="B477" i="42"/>
  <c r="A477" i="42"/>
  <c r="U476" i="42"/>
  <c r="G476" i="42"/>
  <c r="E476" i="42"/>
  <c r="C476" i="42"/>
  <c r="B476" i="42"/>
  <c r="A476" i="42"/>
  <c r="U475" i="42"/>
  <c r="G475" i="42"/>
  <c r="E475" i="42"/>
  <c r="C475" i="42"/>
  <c r="B475" i="42"/>
  <c r="A475" i="42"/>
  <c r="U474" i="42"/>
  <c r="G474" i="42"/>
  <c r="E474" i="42"/>
  <c r="C474" i="42"/>
  <c r="B474" i="42"/>
  <c r="A474" i="42"/>
  <c r="U473" i="42"/>
  <c r="G473" i="42"/>
  <c r="E473" i="42"/>
  <c r="C473" i="42"/>
  <c r="B473" i="42"/>
  <c r="A473" i="42"/>
  <c r="U472" i="42"/>
  <c r="G472" i="42"/>
  <c r="E472" i="42"/>
  <c r="C472" i="42"/>
  <c r="B472" i="42"/>
  <c r="A472" i="42"/>
  <c r="U471" i="42"/>
  <c r="G471" i="42"/>
  <c r="E471" i="42"/>
  <c r="C471" i="42"/>
  <c r="B471" i="42"/>
  <c r="A471" i="42"/>
  <c r="U470" i="42"/>
  <c r="G470" i="42"/>
  <c r="E470" i="42"/>
  <c r="C470" i="42"/>
  <c r="B470" i="42"/>
  <c r="A470" i="42"/>
  <c r="U469" i="42"/>
  <c r="G469" i="42"/>
  <c r="E469" i="42"/>
  <c r="C469" i="42"/>
  <c r="B469" i="42"/>
  <c r="A469" i="42"/>
  <c r="U468" i="42"/>
  <c r="G468" i="42"/>
  <c r="E468" i="42"/>
  <c r="C468" i="42"/>
  <c r="B468" i="42"/>
  <c r="A468" i="42"/>
  <c r="U467" i="42"/>
  <c r="G467" i="42"/>
  <c r="E467" i="42"/>
  <c r="C467" i="42"/>
  <c r="B467" i="42"/>
  <c r="A467" i="42"/>
  <c r="U466" i="42"/>
  <c r="G466" i="42"/>
  <c r="E466" i="42"/>
  <c r="C466" i="42"/>
  <c r="B466" i="42"/>
  <c r="A466" i="42"/>
  <c r="U465" i="42"/>
  <c r="G465" i="42"/>
  <c r="E465" i="42"/>
  <c r="C465" i="42"/>
  <c r="B465" i="42"/>
  <c r="A465" i="42"/>
  <c r="U464" i="42"/>
  <c r="G464" i="42"/>
  <c r="E464" i="42"/>
  <c r="C464" i="42"/>
  <c r="B464" i="42"/>
  <c r="A464" i="42"/>
  <c r="U463" i="42"/>
  <c r="G463" i="42"/>
  <c r="E463" i="42"/>
  <c r="C463" i="42"/>
  <c r="B463" i="42"/>
  <c r="A463" i="42"/>
  <c r="U462" i="42"/>
  <c r="G462" i="42"/>
  <c r="E462" i="42"/>
  <c r="C462" i="42"/>
  <c r="B462" i="42"/>
  <c r="A462" i="42"/>
  <c r="U461" i="42"/>
  <c r="G461" i="42"/>
  <c r="E461" i="42"/>
  <c r="C461" i="42"/>
  <c r="B461" i="42"/>
  <c r="A461" i="42"/>
  <c r="U460" i="42"/>
  <c r="G460" i="42"/>
  <c r="E460" i="42"/>
  <c r="C460" i="42"/>
  <c r="B460" i="42"/>
  <c r="A460" i="42"/>
  <c r="U459" i="42"/>
  <c r="G459" i="42"/>
  <c r="E459" i="42"/>
  <c r="C459" i="42"/>
  <c r="B459" i="42"/>
  <c r="A459" i="42"/>
  <c r="U458" i="42"/>
  <c r="G458" i="42"/>
  <c r="E458" i="42"/>
  <c r="C458" i="42"/>
  <c r="B458" i="42"/>
  <c r="A458" i="42"/>
  <c r="U457" i="42"/>
  <c r="G457" i="42"/>
  <c r="E457" i="42"/>
  <c r="C457" i="42"/>
  <c r="B457" i="42"/>
  <c r="A457" i="42"/>
  <c r="U456" i="42"/>
  <c r="G456" i="42"/>
  <c r="E456" i="42"/>
  <c r="C456" i="42"/>
  <c r="B456" i="42"/>
  <c r="A456" i="42"/>
  <c r="U455" i="42"/>
  <c r="G455" i="42"/>
  <c r="E455" i="42"/>
  <c r="C455" i="42"/>
  <c r="B455" i="42"/>
  <c r="A455" i="42"/>
  <c r="U454" i="42"/>
  <c r="G454" i="42"/>
  <c r="E454" i="42"/>
  <c r="C454" i="42"/>
  <c r="B454" i="42"/>
  <c r="A454" i="42"/>
  <c r="U453" i="42"/>
  <c r="G453" i="42"/>
  <c r="E453" i="42"/>
  <c r="C453" i="42"/>
  <c r="B453" i="42"/>
  <c r="A453" i="42"/>
  <c r="U452" i="42"/>
  <c r="G452" i="42"/>
  <c r="E452" i="42"/>
  <c r="C452" i="42"/>
  <c r="B452" i="42"/>
  <c r="A452" i="42"/>
  <c r="U451" i="42"/>
  <c r="G451" i="42"/>
  <c r="E451" i="42"/>
  <c r="C451" i="42"/>
  <c r="B451" i="42"/>
  <c r="A451" i="42"/>
  <c r="U450" i="42"/>
  <c r="G450" i="42"/>
  <c r="E450" i="42"/>
  <c r="C450" i="42"/>
  <c r="B450" i="42"/>
  <c r="A450" i="42"/>
  <c r="U449" i="42"/>
  <c r="G449" i="42"/>
  <c r="E449" i="42"/>
  <c r="C449" i="42"/>
  <c r="B449" i="42"/>
  <c r="A449" i="42"/>
  <c r="U448" i="42"/>
  <c r="G448" i="42"/>
  <c r="E448" i="42"/>
  <c r="C448" i="42"/>
  <c r="B448" i="42"/>
  <c r="A448" i="42"/>
  <c r="U447" i="42"/>
  <c r="G447" i="42"/>
  <c r="E447" i="42"/>
  <c r="C447" i="42"/>
  <c r="B447" i="42"/>
  <c r="A447" i="42"/>
  <c r="U446" i="42"/>
  <c r="G446" i="42"/>
  <c r="E446" i="42"/>
  <c r="C446" i="42"/>
  <c r="B446" i="42"/>
  <c r="A446" i="42"/>
  <c r="U445" i="42"/>
  <c r="G445" i="42"/>
  <c r="E445" i="42"/>
  <c r="C445" i="42"/>
  <c r="B445" i="42"/>
  <c r="A445" i="42"/>
  <c r="U444" i="42"/>
  <c r="G444" i="42"/>
  <c r="E444" i="42"/>
  <c r="C444" i="42"/>
  <c r="B444" i="42"/>
  <c r="A444" i="42"/>
  <c r="U443" i="42"/>
  <c r="G443" i="42"/>
  <c r="E443" i="42"/>
  <c r="C443" i="42"/>
  <c r="B443" i="42"/>
  <c r="A443" i="42"/>
  <c r="U442" i="42"/>
  <c r="G442" i="42"/>
  <c r="E442" i="42"/>
  <c r="C442" i="42"/>
  <c r="B442" i="42"/>
  <c r="A442" i="42"/>
  <c r="U441" i="42"/>
  <c r="G441" i="42"/>
  <c r="E441" i="42"/>
  <c r="C441" i="42"/>
  <c r="B441" i="42"/>
  <c r="A441" i="42"/>
  <c r="U440" i="42"/>
  <c r="G440" i="42"/>
  <c r="E440" i="42"/>
  <c r="C440" i="42"/>
  <c r="B440" i="42"/>
  <c r="A440" i="42"/>
  <c r="U439" i="42"/>
  <c r="G439" i="42"/>
  <c r="E439" i="42"/>
  <c r="C439" i="42"/>
  <c r="B439" i="42"/>
  <c r="A439" i="42"/>
  <c r="U438" i="42"/>
  <c r="G438" i="42"/>
  <c r="E438" i="42"/>
  <c r="C438" i="42"/>
  <c r="B438" i="42"/>
  <c r="A438" i="42"/>
  <c r="U437" i="42"/>
  <c r="G437" i="42"/>
  <c r="E437" i="42"/>
  <c r="C437" i="42"/>
  <c r="B437" i="42"/>
  <c r="A437" i="42"/>
  <c r="U436" i="42"/>
  <c r="G436" i="42"/>
  <c r="E436" i="42"/>
  <c r="C436" i="42"/>
  <c r="B436" i="42"/>
  <c r="A436" i="42"/>
  <c r="U435" i="42"/>
  <c r="G435" i="42"/>
  <c r="E435" i="42"/>
  <c r="C435" i="42"/>
  <c r="B435" i="42"/>
  <c r="A435" i="42"/>
  <c r="U434" i="42"/>
  <c r="G434" i="42"/>
  <c r="E434" i="42"/>
  <c r="C434" i="42"/>
  <c r="B434" i="42"/>
  <c r="A434" i="42"/>
  <c r="U433" i="42"/>
  <c r="G433" i="42"/>
  <c r="C433" i="42"/>
  <c r="B433" i="42"/>
  <c r="A433" i="42"/>
  <c r="N432" i="42"/>
  <c r="M432" i="42"/>
  <c r="L432" i="42"/>
  <c r="K432" i="42"/>
  <c r="J432" i="42"/>
  <c r="I432" i="42"/>
  <c r="H432" i="42"/>
  <c r="G432" i="42"/>
  <c r="E432" i="42"/>
  <c r="C432" i="42"/>
  <c r="B432" i="42"/>
  <c r="A432" i="42"/>
  <c r="G431" i="42"/>
  <c r="E431" i="42"/>
  <c r="C431" i="42"/>
  <c r="B431" i="42"/>
  <c r="A431" i="42"/>
  <c r="G430" i="42"/>
  <c r="E430" i="42"/>
  <c r="C430" i="42"/>
  <c r="B430" i="42"/>
  <c r="A430" i="42"/>
  <c r="G429" i="42"/>
  <c r="C429" i="42"/>
  <c r="B429" i="42"/>
  <c r="A429" i="42"/>
  <c r="G428" i="42"/>
  <c r="E428" i="42"/>
  <c r="C428" i="42"/>
  <c r="B428" i="42"/>
  <c r="A428" i="42"/>
  <c r="G427" i="42"/>
  <c r="E427" i="42"/>
  <c r="C427" i="42"/>
  <c r="B427" i="42"/>
  <c r="A427" i="42"/>
  <c r="G426" i="42"/>
  <c r="E426" i="42"/>
  <c r="C426" i="42"/>
  <c r="B426" i="42"/>
  <c r="A426" i="42"/>
  <c r="G425" i="42"/>
  <c r="E425" i="42"/>
  <c r="C425" i="42"/>
  <c r="B425" i="42"/>
  <c r="A425" i="42"/>
  <c r="G424" i="42"/>
  <c r="E424" i="42"/>
  <c r="C424" i="42"/>
  <c r="B424" i="42"/>
  <c r="A424" i="42"/>
  <c r="G423" i="42"/>
  <c r="E423" i="42"/>
  <c r="C423" i="42"/>
  <c r="B423" i="42"/>
  <c r="A423" i="42"/>
  <c r="G422" i="42"/>
  <c r="E422" i="42"/>
  <c r="C422" i="42"/>
  <c r="B422" i="42"/>
  <c r="A422" i="42"/>
  <c r="G421" i="42"/>
  <c r="E421" i="42"/>
  <c r="C421" i="42"/>
  <c r="B421" i="42"/>
  <c r="A421" i="42"/>
  <c r="G420" i="42"/>
  <c r="E420" i="42"/>
  <c r="C420" i="42"/>
  <c r="B420" i="42"/>
  <c r="A420" i="42"/>
  <c r="G419" i="42"/>
  <c r="E419" i="42"/>
  <c r="C419" i="42"/>
  <c r="B419" i="42"/>
  <c r="A419" i="42"/>
  <c r="G418" i="42"/>
  <c r="E418" i="42"/>
  <c r="C418" i="42"/>
  <c r="B418" i="42"/>
  <c r="A418" i="42"/>
  <c r="G417" i="42"/>
  <c r="E417" i="42"/>
  <c r="C417" i="42"/>
  <c r="B417" i="42"/>
  <c r="A417" i="42"/>
  <c r="G416" i="42"/>
  <c r="E416" i="42"/>
  <c r="C416" i="42"/>
  <c r="B416" i="42"/>
  <c r="A416" i="42"/>
  <c r="G415" i="42"/>
  <c r="E415" i="42"/>
  <c r="C415" i="42"/>
  <c r="B415" i="42"/>
  <c r="A415" i="42"/>
  <c r="G414" i="42"/>
  <c r="E414" i="42"/>
  <c r="C414" i="42"/>
  <c r="B414" i="42"/>
  <c r="A414" i="42"/>
  <c r="G413" i="42"/>
  <c r="E413" i="42"/>
  <c r="C413" i="42"/>
  <c r="B413" i="42"/>
  <c r="A413" i="42"/>
  <c r="G412" i="42"/>
  <c r="E412" i="42"/>
  <c r="C412" i="42"/>
  <c r="B412" i="42"/>
  <c r="A412" i="42"/>
  <c r="G411" i="42"/>
  <c r="E411" i="42"/>
  <c r="C411" i="42"/>
  <c r="B411" i="42"/>
  <c r="A411" i="42"/>
  <c r="G410" i="42"/>
  <c r="E410" i="42"/>
  <c r="C410" i="42"/>
  <c r="B410" i="42"/>
  <c r="A410" i="42"/>
  <c r="G409" i="42"/>
  <c r="E409" i="42"/>
  <c r="C409" i="42"/>
  <c r="B409" i="42"/>
  <c r="A409" i="42"/>
  <c r="G408" i="42"/>
  <c r="E408" i="42"/>
  <c r="C408" i="42"/>
  <c r="B408" i="42"/>
  <c r="A408" i="42"/>
  <c r="G407" i="42"/>
  <c r="E407" i="42"/>
  <c r="C407" i="42"/>
  <c r="B407" i="42"/>
  <c r="A407" i="42"/>
  <c r="G406" i="42"/>
  <c r="E406" i="42"/>
  <c r="C406" i="42"/>
  <c r="B406" i="42"/>
  <c r="A406" i="42"/>
  <c r="G405" i="42"/>
  <c r="E405" i="42"/>
  <c r="C405" i="42"/>
  <c r="B405" i="42"/>
  <c r="A405" i="42"/>
  <c r="G404" i="42"/>
  <c r="E404" i="42"/>
  <c r="C404" i="42"/>
  <c r="B404" i="42"/>
  <c r="A404" i="42"/>
  <c r="G403" i="42"/>
  <c r="E403" i="42"/>
  <c r="C403" i="42"/>
  <c r="B403" i="42"/>
  <c r="A403" i="42"/>
  <c r="G402" i="42"/>
  <c r="E402" i="42"/>
  <c r="C402" i="42"/>
  <c r="B402" i="42"/>
  <c r="A402" i="42"/>
  <c r="G401" i="42"/>
  <c r="E401" i="42"/>
  <c r="C401" i="42"/>
  <c r="B401" i="42"/>
  <c r="A401" i="42"/>
  <c r="G400" i="42"/>
  <c r="E400" i="42"/>
  <c r="C400" i="42"/>
  <c r="B400" i="42"/>
  <c r="A400" i="42"/>
  <c r="G399" i="42"/>
  <c r="E399" i="42"/>
  <c r="C399" i="42"/>
  <c r="B399" i="42"/>
  <c r="A399" i="42"/>
  <c r="G398" i="42"/>
  <c r="E398" i="42"/>
  <c r="C398" i="42"/>
  <c r="B398" i="42"/>
  <c r="A398" i="42"/>
  <c r="G397" i="42"/>
  <c r="E397" i="42"/>
  <c r="C397" i="42"/>
  <c r="B397" i="42"/>
  <c r="A397" i="42"/>
  <c r="G396" i="42"/>
  <c r="E396" i="42"/>
  <c r="C396" i="42"/>
  <c r="B396" i="42"/>
  <c r="A396" i="42"/>
  <c r="G395" i="42"/>
  <c r="E395" i="42"/>
  <c r="C395" i="42"/>
  <c r="B395" i="42"/>
  <c r="A395" i="42"/>
  <c r="G394" i="42"/>
  <c r="E394" i="42"/>
  <c r="C394" i="42"/>
  <c r="B394" i="42"/>
  <c r="A394" i="42"/>
  <c r="G393" i="42"/>
  <c r="E393" i="42"/>
  <c r="C393" i="42"/>
  <c r="B393" i="42"/>
  <c r="A393" i="42"/>
  <c r="G392" i="42"/>
  <c r="E392" i="42"/>
  <c r="C392" i="42"/>
  <c r="B392" i="42"/>
  <c r="A392" i="42"/>
  <c r="G391" i="42"/>
  <c r="E391" i="42"/>
  <c r="C391" i="42"/>
  <c r="B391" i="42"/>
  <c r="A391" i="42"/>
  <c r="G390" i="42"/>
  <c r="E390" i="42"/>
  <c r="C390" i="42"/>
  <c r="B390" i="42"/>
  <c r="A390" i="42"/>
  <c r="G389" i="42"/>
  <c r="E389" i="42"/>
  <c r="C389" i="42"/>
  <c r="B389" i="42"/>
  <c r="A389" i="42"/>
  <c r="G388" i="42"/>
  <c r="E388" i="42"/>
  <c r="C388" i="42"/>
  <c r="B388" i="42"/>
  <c r="A388" i="42"/>
  <c r="G387" i="42"/>
  <c r="E387" i="42"/>
  <c r="C387" i="42"/>
  <c r="B387" i="42"/>
  <c r="A387" i="42"/>
  <c r="G386" i="42"/>
  <c r="E386" i="42"/>
  <c r="C386" i="42"/>
  <c r="B386" i="42"/>
  <c r="A386" i="42"/>
  <c r="G385" i="42"/>
  <c r="E385" i="42"/>
  <c r="C385" i="42"/>
  <c r="B385" i="42"/>
  <c r="A385" i="42"/>
  <c r="G384" i="42"/>
  <c r="E384" i="42"/>
  <c r="C384" i="42"/>
  <c r="B384" i="42"/>
  <c r="A384" i="42"/>
  <c r="G383" i="42"/>
  <c r="E383" i="42"/>
  <c r="C383" i="42"/>
  <c r="B383" i="42"/>
  <c r="A383" i="42"/>
  <c r="G382" i="42"/>
  <c r="E382" i="42"/>
  <c r="C382" i="42"/>
  <c r="B382" i="42"/>
  <c r="A382" i="42"/>
  <c r="G381" i="42"/>
  <c r="E381" i="42"/>
  <c r="C381" i="42"/>
  <c r="B381" i="42"/>
  <c r="A381" i="42"/>
  <c r="G380" i="42"/>
  <c r="E380" i="42"/>
  <c r="C380" i="42"/>
  <c r="B380" i="42"/>
  <c r="A380" i="42"/>
  <c r="G379" i="42"/>
  <c r="E379" i="42"/>
  <c r="C379" i="42"/>
  <c r="B379" i="42"/>
  <c r="A379" i="42"/>
  <c r="G378" i="42"/>
  <c r="E378" i="42"/>
  <c r="C378" i="42"/>
  <c r="B378" i="42"/>
  <c r="A378" i="42"/>
  <c r="G377" i="42"/>
  <c r="E377" i="42"/>
  <c r="C377" i="42"/>
  <c r="B377" i="42"/>
  <c r="A377" i="42"/>
  <c r="G376" i="42"/>
  <c r="E376" i="42"/>
  <c r="C376" i="42"/>
  <c r="B376" i="42"/>
  <c r="A376" i="42"/>
  <c r="G375" i="42"/>
  <c r="E375" i="42"/>
  <c r="C375" i="42"/>
  <c r="B375" i="42"/>
  <c r="A375" i="42"/>
  <c r="G374" i="42"/>
  <c r="E374" i="42"/>
  <c r="C374" i="42"/>
  <c r="B374" i="42"/>
  <c r="A374" i="42"/>
  <c r="G373" i="42"/>
  <c r="E373" i="42"/>
  <c r="C373" i="42"/>
  <c r="B373" i="42"/>
  <c r="A373" i="42"/>
  <c r="G372" i="42"/>
  <c r="E372" i="42"/>
  <c r="C372" i="42"/>
  <c r="B372" i="42"/>
  <c r="A372" i="42"/>
  <c r="G371" i="42"/>
  <c r="E371" i="42"/>
  <c r="C371" i="42"/>
  <c r="B371" i="42"/>
  <c r="A371" i="42"/>
  <c r="G370" i="42"/>
  <c r="E370" i="42"/>
  <c r="C370" i="42"/>
  <c r="B370" i="42"/>
  <c r="A370" i="42"/>
  <c r="G369" i="42"/>
  <c r="E369" i="42"/>
  <c r="C369" i="42"/>
  <c r="B369" i="42"/>
  <c r="A369" i="42"/>
  <c r="G368" i="42"/>
  <c r="E368" i="42"/>
  <c r="C368" i="42"/>
  <c r="B368" i="42"/>
  <c r="A368" i="42"/>
  <c r="G367" i="42"/>
  <c r="E367" i="42"/>
  <c r="C367" i="42"/>
  <c r="B367" i="42"/>
  <c r="A367" i="42"/>
  <c r="G366" i="42"/>
  <c r="E366" i="42"/>
  <c r="C366" i="42"/>
  <c r="B366" i="42"/>
  <c r="A366" i="42"/>
  <c r="G365" i="42"/>
  <c r="E365" i="42"/>
  <c r="C365" i="42"/>
  <c r="B365" i="42"/>
  <c r="A365" i="42"/>
  <c r="G364" i="42"/>
  <c r="E364" i="42"/>
  <c r="C364" i="42"/>
  <c r="B364" i="42"/>
  <c r="A364" i="42"/>
  <c r="G363" i="42"/>
  <c r="E363" i="42"/>
  <c r="C363" i="42"/>
  <c r="B363" i="42"/>
  <c r="A363" i="42"/>
  <c r="G362" i="42"/>
  <c r="E362" i="42"/>
  <c r="C362" i="42"/>
  <c r="B362" i="42"/>
  <c r="A362" i="42"/>
  <c r="G361" i="42"/>
  <c r="E361" i="42"/>
  <c r="C361" i="42"/>
  <c r="B361" i="42"/>
  <c r="A361" i="42"/>
  <c r="G360" i="42"/>
  <c r="E360" i="42"/>
  <c r="C360" i="42"/>
  <c r="B360" i="42"/>
  <c r="A360" i="42"/>
  <c r="G359" i="42"/>
  <c r="E359" i="42"/>
  <c r="C359" i="42"/>
  <c r="B359" i="42"/>
  <c r="A359" i="42"/>
  <c r="G358" i="42"/>
  <c r="E358" i="42"/>
  <c r="C358" i="42"/>
  <c r="B358" i="42"/>
  <c r="A358" i="42"/>
  <c r="G357" i="42"/>
  <c r="E357" i="42"/>
  <c r="C357" i="42"/>
  <c r="B357" i="42"/>
  <c r="A357" i="42"/>
  <c r="G356" i="42"/>
  <c r="E356" i="42"/>
  <c r="C356" i="42"/>
  <c r="B356" i="42"/>
  <c r="A356" i="42"/>
  <c r="G355" i="42"/>
  <c r="E355" i="42"/>
  <c r="C355" i="42"/>
  <c r="B355" i="42"/>
  <c r="A355" i="42"/>
  <c r="G354" i="42"/>
  <c r="E354" i="42"/>
  <c r="C354" i="42"/>
  <c r="B354" i="42"/>
  <c r="A354" i="42"/>
  <c r="G353" i="42"/>
  <c r="E353" i="42"/>
  <c r="C353" i="42"/>
  <c r="B353" i="42"/>
  <c r="A353" i="42"/>
  <c r="G352" i="42"/>
  <c r="E352" i="42"/>
  <c r="C352" i="42"/>
  <c r="B352" i="42"/>
  <c r="A352" i="42"/>
  <c r="G351" i="42"/>
  <c r="E351" i="42"/>
  <c r="C351" i="42"/>
  <c r="B351" i="42"/>
  <c r="A351" i="42"/>
  <c r="G350" i="42"/>
  <c r="E350" i="42"/>
  <c r="C350" i="42"/>
  <c r="B350" i="42"/>
  <c r="A350" i="42"/>
  <c r="G349" i="42"/>
  <c r="E349" i="42"/>
  <c r="C349" i="42"/>
  <c r="B349" i="42"/>
  <c r="A349" i="42"/>
  <c r="G348" i="42"/>
  <c r="E348" i="42"/>
  <c r="C348" i="42"/>
  <c r="B348" i="42"/>
  <c r="A348" i="42"/>
  <c r="G347" i="42"/>
  <c r="E347" i="42"/>
  <c r="C347" i="42"/>
  <c r="B347" i="42"/>
  <c r="A347" i="42"/>
  <c r="G346" i="42"/>
  <c r="E346" i="42"/>
  <c r="C346" i="42"/>
  <c r="B346" i="42"/>
  <c r="A346" i="42"/>
  <c r="G345" i="42"/>
  <c r="E345" i="42"/>
  <c r="C345" i="42"/>
  <c r="B345" i="42"/>
  <c r="A345" i="42"/>
  <c r="G344" i="42"/>
  <c r="E344" i="42"/>
  <c r="C344" i="42"/>
  <c r="B344" i="42"/>
  <c r="A344" i="42"/>
  <c r="G343" i="42"/>
  <c r="E343" i="42"/>
  <c r="C343" i="42"/>
  <c r="B343" i="42"/>
  <c r="A343" i="42"/>
  <c r="G342" i="42"/>
  <c r="E342" i="42"/>
  <c r="C342" i="42"/>
  <c r="B342" i="42"/>
  <c r="A342" i="42"/>
  <c r="G341" i="42"/>
  <c r="E341" i="42"/>
  <c r="C341" i="42"/>
  <c r="B341" i="42"/>
  <c r="A341" i="42"/>
  <c r="G340" i="42"/>
  <c r="E340" i="42"/>
  <c r="C340" i="42"/>
  <c r="B340" i="42"/>
  <c r="A340" i="42"/>
  <c r="G339" i="42"/>
  <c r="E339" i="42"/>
  <c r="C339" i="42"/>
  <c r="B339" i="42"/>
  <c r="A339" i="42"/>
  <c r="G338" i="42"/>
  <c r="E338" i="42"/>
  <c r="C338" i="42"/>
  <c r="B338" i="42"/>
  <c r="A338" i="42"/>
  <c r="G337" i="42"/>
  <c r="E337" i="42"/>
  <c r="C337" i="42"/>
  <c r="B337" i="42"/>
  <c r="A337" i="42"/>
  <c r="G336" i="42"/>
  <c r="E336" i="42"/>
  <c r="C336" i="42"/>
  <c r="B336" i="42"/>
  <c r="A336" i="42"/>
  <c r="G335" i="42"/>
  <c r="E335" i="42"/>
  <c r="C335" i="42"/>
  <c r="B335" i="42"/>
  <c r="A335" i="42"/>
  <c r="G334" i="42"/>
  <c r="E334" i="42"/>
  <c r="C334" i="42"/>
  <c r="B334" i="42"/>
  <c r="A334" i="42"/>
  <c r="G333" i="42"/>
  <c r="E333" i="42"/>
  <c r="C333" i="42"/>
  <c r="B333" i="42"/>
  <c r="A333" i="42"/>
  <c r="G332" i="42"/>
  <c r="E332" i="42"/>
  <c r="C332" i="42"/>
  <c r="B332" i="42"/>
  <c r="A332" i="42"/>
  <c r="G331" i="42"/>
  <c r="E331" i="42"/>
  <c r="C331" i="42"/>
  <c r="B331" i="42"/>
  <c r="A331" i="42"/>
  <c r="G330" i="42"/>
  <c r="E330" i="42"/>
  <c r="C330" i="42"/>
  <c r="B330" i="42"/>
  <c r="A330" i="42"/>
  <c r="G329" i="42"/>
  <c r="E329" i="42"/>
  <c r="C329" i="42"/>
  <c r="B329" i="42"/>
  <c r="A329" i="42"/>
  <c r="G328" i="42"/>
  <c r="E328" i="42"/>
  <c r="C328" i="42"/>
  <c r="B328" i="42"/>
  <c r="A328" i="42"/>
  <c r="G327" i="42"/>
  <c r="E327" i="42"/>
  <c r="C327" i="42"/>
  <c r="B327" i="42"/>
  <c r="A327" i="42"/>
  <c r="G326" i="42"/>
  <c r="E326" i="42"/>
  <c r="C326" i="42"/>
  <c r="B326" i="42"/>
  <c r="A326" i="42"/>
  <c r="G325" i="42"/>
  <c r="E325" i="42"/>
  <c r="C325" i="42"/>
  <c r="B325" i="42"/>
  <c r="A325" i="42"/>
  <c r="G324" i="42"/>
  <c r="E324" i="42"/>
  <c r="C324" i="42"/>
  <c r="B324" i="42"/>
  <c r="A324" i="42"/>
  <c r="G323" i="42"/>
  <c r="E323" i="42"/>
  <c r="C323" i="42"/>
  <c r="B323" i="42"/>
  <c r="A323" i="42"/>
  <c r="G321" i="42"/>
  <c r="E321" i="42"/>
  <c r="C321" i="42"/>
  <c r="B321" i="42"/>
  <c r="A321" i="42"/>
  <c r="G320" i="42"/>
  <c r="E320" i="42"/>
  <c r="C320" i="42"/>
  <c r="B320" i="42"/>
  <c r="A320" i="42"/>
  <c r="G319" i="42"/>
  <c r="E319" i="42"/>
  <c r="C319" i="42"/>
  <c r="B319" i="42"/>
  <c r="A319" i="42"/>
  <c r="G318" i="42"/>
  <c r="E318" i="42"/>
  <c r="C318" i="42"/>
  <c r="B318" i="42"/>
  <c r="A318" i="42"/>
  <c r="G315" i="42"/>
  <c r="E315" i="42"/>
  <c r="C315" i="42"/>
  <c r="B315" i="42"/>
  <c r="A315" i="42"/>
  <c r="G314" i="42"/>
  <c r="E314" i="42"/>
  <c r="C314" i="42"/>
  <c r="B314" i="42"/>
  <c r="A314" i="42"/>
  <c r="G313" i="42"/>
  <c r="E313" i="42"/>
  <c r="C313" i="42"/>
  <c r="B313" i="42"/>
  <c r="A313" i="42"/>
  <c r="G312" i="42"/>
  <c r="E312" i="42"/>
  <c r="C312" i="42"/>
  <c r="B312" i="42"/>
  <c r="A312" i="42"/>
  <c r="G311" i="42"/>
  <c r="E311" i="42"/>
  <c r="C311" i="42"/>
  <c r="B311" i="42"/>
  <c r="A311" i="42"/>
  <c r="G310" i="42"/>
  <c r="E310" i="42"/>
  <c r="C310" i="42"/>
  <c r="B310" i="42"/>
  <c r="A310" i="42"/>
  <c r="G309" i="42"/>
  <c r="E309" i="42"/>
  <c r="C309" i="42"/>
  <c r="B309" i="42"/>
  <c r="A309" i="42"/>
  <c r="G308" i="42"/>
  <c r="E308" i="42"/>
  <c r="C308" i="42"/>
  <c r="B308" i="42"/>
  <c r="A308" i="42"/>
  <c r="G307" i="42"/>
  <c r="E307" i="42"/>
  <c r="C307" i="42"/>
  <c r="B307" i="42"/>
  <c r="A307" i="42"/>
  <c r="G306" i="42"/>
  <c r="E306" i="42"/>
  <c r="C306" i="42"/>
  <c r="B306" i="42"/>
  <c r="A306" i="42"/>
  <c r="U305" i="42"/>
  <c r="G305" i="42"/>
  <c r="E305" i="42"/>
  <c r="C305" i="42"/>
  <c r="B305" i="42"/>
  <c r="A305" i="42"/>
  <c r="N304" i="42"/>
  <c r="M304" i="42"/>
  <c r="L304" i="42"/>
  <c r="K304" i="42"/>
  <c r="J304" i="42"/>
  <c r="I304" i="42"/>
  <c r="H304" i="42"/>
  <c r="G304" i="42"/>
  <c r="E304" i="42"/>
  <c r="C304" i="42"/>
  <c r="B304" i="42"/>
  <c r="A304" i="42"/>
  <c r="U303" i="42"/>
  <c r="G303" i="42"/>
  <c r="E303" i="42"/>
  <c r="C303" i="42"/>
  <c r="B303" i="42"/>
  <c r="A303" i="42"/>
  <c r="U302" i="42"/>
  <c r="G302" i="42"/>
  <c r="E302" i="42"/>
  <c r="C302" i="42"/>
  <c r="B302" i="42"/>
  <c r="A302" i="42"/>
  <c r="U301" i="42"/>
  <c r="E301" i="42"/>
  <c r="C301" i="42"/>
  <c r="B301" i="42"/>
  <c r="A301" i="42"/>
  <c r="U300" i="42"/>
  <c r="G300" i="42"/>
  <c r="E300" i="42"/>
  <c r="C300" i="42"/>
  <c r="B300" i="42"/>
  <c r="A300" i="42"/>
  <c r="U299" i="42"/>
  <c r="G299" i="42"/>
  <c r="E299" i="42"/>
  <c r="C299" i="42"/>
  <c r="B299" i="42"/>
  <c r="A299" i="42"/>
  <c r="U298" i="42"/>
  <c r="G298" i="42"/>
  <c r="E298" i="42"/>
  <c r="C298" i="42"/>
  <c r="B298" i="42"/>
  <c r="A298" i="42"/>
  <c r="U297" i="42"/>
  <c r="G297" i="42"/>
  <c r="E297" i="42"/>
  <c r="C297" i="42"/>
  <c r="B297" i="42"/>
  <c r="A297" i="42"/>
  <c r="U296" i="42"/>
  <c r="G296" i="42"/>
  <c r="E296" i="42"/>
  <c r="C296" i="42"/>
  <c r="B296" i="42"/>
  <c r="A296" i="42"/>
  <c r="U295" i="42"/>
  <c r="G295" i="42"/>
  <c r="E295" i="42"/>
  <c r="C295" i="42"/>
  <c r="B295" i="42"/>
  <c r="A295" i="42"/>
  <c r="U294" i="42"/>
  <c r="G294" i="42"/>
  <c r="E294" i="42"/>
  <c r="C294" i="42"/>
  <c r="B294" i="42"/>
  <c r="A294" i="42"/>
  <c r="U293" i="42"/>
  <c r="G293" i="42"/>
  <c r="E293" i="42"/>
  <c r="C293" i="42"/>
  <c r="B293" i="42"/>
  <c r="A293" i="42"/>
  <c r="U292" i="42"/>
  <c r="G292" i="42"/>
  <c r="E292" i="42"/>
  <c r="C292" i="42"/>
  <c r="B292" i="42"/>
  <c r="A292" i="42"/>
  <c r="U291" i="42"/>
  <c r="G291" i="42"/>
  <c r="E291" i="42"/>
  <c r="C291" i="42"/>
  <c r="B291" i="42"/>
  <c r="A291" i="42"/>
  <c r="U290" i="42"/>
  <c r="G290" i="42"/>
  <c r="E290" i="42"/>
  <c r="C290" i="42"/>
  <c r="B290" i="42"/>
  <c r="A290" i="42"/>
  <c r="U289" i="42"/>
  <c r="G289" i="42"/>
  <c r="E289" i="42"/>
  <c r="C289" i="42"/>
  <c r="B289" i="42"/>
  <c r="A289" i="42"/>
  <c r="U288" i="42"/>
  <c r="G288" i="42"/>
  <c r="E288" i="42"/>
  <c r="C288" i="42"/>
  <c r="B288" i="42"/>
  <c r="A288" i="42"/>
  <c r="N287" i="42"/>
  <c r="M287" i="42"/>
  <c r="L287" i="42"/>
  <c r="K287" i="42"/>
  <c r="J287" i="42"/>
  <c r="I287" i="42"/>
  <c r="H287" i="42"/>
  <c r="G287" i="42"/>
  <c r="E287" i="42"/>
  <c r="C287" i="42"/>
  <c r="B287" i="42"/>
  <c r="A287" i="42"/>
  <c r="U286" i="42"/>
  <c r="G286" i="42"/>
  <c r="E286" i="42"/>
  <c r="C286" i="42"/>
  <c r="B286" i="42"/>
  <c r="A286" i="42"/>
  <c r="U285" i="42"/>
  <c r="G285" i="42"/>
  <c r="E285" i="42"/>
  <c r="C285" i="42"/>
  <c r="B285" i="42"/>
  <c r="A285" i="42"/>
  <c r="U284" i="42"/>
  <c r="G284" i="42"/>
  <c r="E284" i="42"/>
  <c r="C284" i="42"/>
  <c r="B284" i="42"/>
  <c r="A284" i="42"/>
  <c r="U283" i="42"/>
  <c r="G283" i="42"/>
  <c r="E283" i="42"/>
  <c r="C283" i="42"/>
  <c r="B283" i="42"/>
  <c r="A283" i="42"/>
  <c r="U282" i="42"/>
  <c r="G282" i="42"/>
  <c r="E282" i="42"/>
  <c r="C282" i="42"/>
  <c r="B282" i="42"/>
  <c r="A282" i="42"/>
  <c r="U281" i="42"/>
  <c r="G281" i="42"/>
  <c r="E281" i="42"/>
  <c r="C281" i="42"/>
  <c r="B281" i="42"/>
  <c r="A281" i="42"/>
  <c r="U280" i="42"/>
  <c r="G280" i="42"/>
  <c r="E280" i="42"/>
  <c r="C280" i="42"/>
  <c r="B280" i="42"/>
  <c r="A280" i="42"/>
  <c r="U279" i="42"/>
  <c r="G279" i="42"/>
  <c r="E279" i="42"/>
  <c r="C279" i="42"/>
  <c r="B279" i="42"/>
  <c r="A279" i="42"/>
  <c r="U278" i="42"/>
  <c r="G278" i="42"/>
  <c r="E278" i="42"/>
  <c r="C278" i="42"/>
  <c r="B278" i="42"/>
  <c r="A278" i="42"/>
  <c r="U277" i="42"/>
  <c r="G277" i="42"/>
  <c r="E277" i="42"/>
  <c r="C277" i="42"/>
  <c r="B277" i="42"/>
  <c r="A277" i="42"/>
  <c r="U276" i="42"/>
  <c r="G276" i="42"/>
  <c r="E276" i="42"/>
  <c r="C276" i="42"/>
  <c r="B276" i="42"/>
  <c r="A276" i="42"/>
  <c r="U275" i="42"/>
  <c r="G275" i="42"/>
  <c r="E275" i="42"/>
  <c r="C275" i="42"/>
  <c r="B275" i="42"/>
  <c r="A275" i="42"/>
  <c r="U274" i="42"/>
  <c r="G274" i="42"/>
  <c r="E274" i="42"/>
  <c r="C274" i="42"/>
  <c r="B274" i="42"/>
  <c r="A274" i="42"/>
  <c r="U273" i="42"/>
  <c r="G273" i="42"/>
  <c r="E273" i="42"/>
  <c r="C273" i="42"/>
  <c r="B273" i="42"/>
  <c r="A273" i="42"/>
  <c r="U272" i="42"/>
  <c r="G272" i="42"/>
  <c r="E272" i="42"/>
  <c r="C272" i="42"/>
  <c r="B272" i="42"/>
  <c r="A272" i="42"/>
  <c r="U271" i="42"/>
  <c r="G271" i="42"/>
  <c r="E271" i="42"/>
  <c r="C271" i="42"/>
  <c r="B271" i="42"/>
  <c r="A271" i="42"/>
  <c r="U270" i="42"/>
  <c r="G270" i="42"/>
  <c r="E270" i="42"/>
  <c r="C270" i="42"/>
  <c r="B270" i="42"/>
  <c r="A270" i="42"/>
  <c r="U269" i="42"/>
  <c r="G269" i="42"/>
  <c r="E269" i="42"/>
  <c r="C269" i="42"/>
  <c r="B269" i="42"/>
  <c r="A269" i="42"/>
  <c r="U268" i="42"/>
  <c r="G268" i="42"/>
  <c r="E268" i="42"/>
  <c r="C268" i="42"/>
  <c r="B268" i="42"/>
  <c r="A268" i="42"/>
  <c r="U267" i="42"/>
  <c r="G267" i="42"/>
  <c r="E267" i="42"/>
  <c r="C267" i="42"/>
  <c r="B267" i="42"/>
  <c r="A267" i="42"/>
  <c r="U266" i="42"/>
  <c r="G266" i="42"/>
  <c r="E266" i="42"/>
  <c r="C266" i="42"/>
  <c r="B266" i="42"/>
  <c r="A266" i="42"/>
  <c r="U265" i="42"/>
  <c r="G265" i="42"/>
  <c r="E265" i="42"/>
  <c r="C265" i="42"/>
  <c r="B265" i="42"/>
  <c r="A265" i="42"/>
  <c r="U264" i="42"/>
  <c r="G264" i="42"/>
  <c r="E264" i="42"/>
  <c r="C264" i="42"/>
  <c r="B264" i="42"/>
  <c r="A264" i="42"/>
  <c r="U263" i="42"/>
  <c r="G263" i="42"/>
  <c r="E263" i="42"/>
  <c r="C263" i="42"/>
  <c r="B263" i="42"/>
  <c r="A263" i="42"/>
  <c r="U262" i="42"/>
  <c r="G262" i="42"/>
  <c r="E262" i="42"/>
  <c r="C262" i="42"/>
  <c r="B262" i="42"/>
  <c r="A262" i="42"/>
  <c r="U261" i="42"/>
  <c r="G261" i="42"/>
  <c r="E261" i="42"/>
  <c r="C261" i="42"/>
  <c r="B261" i="42"/>
  <c r="A261" i="42"/>
  <c r="U260" i="42"/>
  <c r="G260" i="42"/>
  <c r="E260" i="42"/>
  <c r="C260" i="42"/>
  <c r="B260" i="42"/>
  <c r="A260" i="42"/>
  <c r="U259" i="42"/>
  <c r="G259" i="42"/>
  <c r="E259" i="42"/>
  <c r="C259" i="42"/>
  <c r="B259" i="42"/>
  <c r="A259" i="42"/>
  <c r="U258" i="42"/>
  <c r="G258" i="42"/>
  <c r="E258" i="42"/>
  <c r="C258" i="42"/>
  <c r="B258" i="42"/>
  <c r="A258" i="42"/>
  <c r="U257" i="42"/>
  <c r="G257" i="42"/>
  <c r="E257" i="42"/>
  <c r="C257" i="42"/>
  <c r="B257" i="42"/>
  <c r="A257" i="42"/>
  <c r="U256" i="42"/>
  <c r="G256" i="42"/>
  <c r="E256" i="42"/>
  <c r="C256" i="42"/>
  <c r="B256" i="42"/>
  <c r="A256" i="42"/>
  <c r="U255" i="42"/>
  <c r="G255" i="42"/>
  <c r="E255" i="42"/>
  <c r="C255" i="42"/>
  <c r="B255" i="42"/>
  <c r="A255" i="42"/>
  <c r="U254" i="42"/>
  <c r="G254" i="42"/>
  <c r="E254" i="42"/>
  <c r="C254" i="42"/>
  <c r="B254" i="42"/>
  <c r="A254" i="42"/>
  <c r="U253" i="42"/>
  <c r="G253" i="42"/>
  <c r="E253" i="42"/>
  <c r="C253" i="42"/>
  <c r="B253" i="42"/>
  <c r="A253" i="42"/>
  <c r="U252" i="42"/>
  <c r="G252" i="42"/>
  <c r="E252" i="42"/>
  <c r="C252" i="42"/>
  <c r="B252" i="42"/>
  <c r="A252" i="42"/>
  <c r="U251" i="42"/>
  <c r="G251" i="42"/>
  <c r="E251" i="42"/>
  <c r="C251" i="42"/>
  <c r="B251" i="42"/>
  <c r="A251" i="42"/>
  <c r="U250" i="42"/>
  <c r="G250" i="42"/>
  <c r="E250" i="42"/>
  <c r="C250" i="42"/>
  <c r="B250" i="42"/>
  <c r="A250" i="42"/>
  <c r="U249" i="42"/>
  <c r="G249" i="42"/>
  <c r="E249" i="42"/>
  <c r="C249" i="42"/>
  <c r="B249" i="42"/>
  <c r="A249" i="42"/>
  <c r="U248" i="42"/>
  <c r="G248" i="42"/>
  <c r="E248" i="42"/>
  <c r="C248" i="42"/>
  <c r="B248" i="42"/>
  <c r="A248" i="42"/>
  <c r="U247" i="42"/>
  <c r="G247" i="42"/>
  <c r="E247" i="42"/>
  <c r="C247" i="42"/>
  <c r="B247" i="42"/>
  <c r="A247" i="42"/>
  <c r="U246" i="42"/>
  <c r="G246" i="42"/>
  <c r="E246" i="42"/>
  <c r="C246" i="42"/>
  <c r="B246" i="42"/>
  <c r="A246" i="42"/>
  <c r="U245" i="42"/>
  <c r="G245" i="42"/>
  <c r="E245" i="42"/>
  <c r="C245" i="42"/>
  <c r="B245" i="42"/>
  <c r="A245" i="42"/>
  <c r="U244" i="42"/>
  <c r="G244" i="42"/>
  <c r="E244" i="42"/>
  <c r="C244" i="42"/>
  <c r="B244" i="42"/>
  <c r="A244" i="42"/>
  <c r="U243" i="42"/>
  <c r="G243" i="42"/>
  <c r="E243" i="42"/>
  <c r="C243" i="42"/>
  <c r="B243" i="42"/>
  <c r="A243" i="42"/>
  <c r="U242" i="42"/>
  <c r="G242" i="42"/>
  <c r="E242" i="42"/>
  <c r="C242" i="42"/>
  <c r="B242" i="42"/>
  <c r="A242" i="42"/>
  <c r="U241" i="42"/>
  <c r="G241" i="42"/>
  <c r="E241" i="42"/>
  <c r="C241" i="42"/>
  <c r="B241" i="42"/>
  <c r="A241" i="42"/>
  <c r="U240" i="42"/>
  <c r="G240" i="42"/>
  <c r="E240" i="42"/>
  <c r="C240" i="42"/>
  <c r="B240" i="42"/>
  <c r="A240" i="42"/>
  <c r="U239" i="42"/>
  <c r="G239" i="42"/>
  <c r="E239" i="42"/>
  <c r="C239" i="42"/>
  <c r="B239" i="42"/>
  <c r="A239" i="42"/>
  <c r="U238" i="42"/>
  <c r="G238" i="42"/>
  <c r="E238" i="42"/>
  <c r="C238" i="42"/>
  <c r="B238" i="42"/>
  <c r="A238" i="42"/>
  <c r="U237" i="42"/>
  <c r="G237" i="42"/>
  <c r="E237" i="42"/>
  <c r="C237" i="42"/>
  <c r="B237" i="42"/>
  <c r="A237" i="42"/>
  <c r="U236" i="42"/>
  <c r="G236" i="42"/>
  <c r="E236" i="42"/>
  <c r="C236" i="42"/>
  <c r="B236" i="42"/>
  <c r="A236" i="42"/>
  <c r="U235" i="42"/>
  <c r="G235" i="42"/>
  <c r="E235" i="42"/>
  <c r="C235" i="42"/>
  <c r="B235" i="42"/>
  <c r="A235" i="42"/>
  <c r="N234" i="42"/>
  <c r="M234" i="42"/>
  <c r="L234" i="42"/>
  <c r="K234" i="42"/>
  <c r="J234" i="42"/>
  <c r="I234" i="42"/>
  <c r="H234" i="42"/>
  <c r="G234" i="42"/>
  <c r="C234" i="42"/>
  <c r="B234" i="42"/>
  <c r="A234" i="42"/>
  <c r="U233" i="42"/>
  <c r="G233" i="42"/>
  <c r="E233" i="42"/>
  <c r="C233" i="42"/>
  <c r="B233" i="42"/>
  <c r="A233" i="42"/>
  <c r="U232" i="42"/>
  <c r="G232" i="42"/>
  <c r="C232" i="42"/>
  <c r="B232" i="42"/>
  <c r="A232" i="42"/>
  <c r="U231" i="42"/>
  <c r="G231" i="42"/>
  <c r="E231" i="42"/>
  <c r="C231" i="42"/>
  <c r="B231" i="42"/>
  <c r="A231" i="42"/>
  <c r="U230" i="42"/>
  <c r="G230" i="42"/>
  <c r="E230" i="42"/>
  <c r="C230" i="42"/>
  <c r="B230" i="42"/>
  <c r="A230" i="42"/>
  <c r="U229" i="42"/>
  <c r="G229" i="42"/>
  <c r="E229" i="42"/>
  <c r="C229" i="42"/>
  <c r="B229" i="42"/>
  <c r="A229" i="42"/>
  <c r="U228" i="42"/>
  <c r="G228" i="42"/>
  <c r="E228" i="42"/>
  <c r="C228" i="42"/>
  <c r="B228" i="42"/>
  <c r="A228" i="42"/>
  <c r="U227" i="42"/>
  <c r="G227" i="42"/>
  <c r="E227" i="42"/>
  <c r="C227" i="42"/>
  <c r="B227" i="42"/>
  <c r="A227" i="42"/>
  <c r="U226" i="42"/>
  <c r="G226" i="42"/>
  <c r="E226" i="42"/>
  <c r="C226" i="42"/>
  <c r="B226" i="42"/>
  <c r="A226" i="42"/>
  <c r="U225" i="42"/>
  <c r="G225" i="42"/>
  <c r="E225" i="42"/>
  <c r="C225" i="42"/>
  <c r="B225" i="42"/>
  <c r="A225" i="42"/>
  <c r="U224" i="42"/>
  <c r="G224" i="42"/>
  <c r="E224" i="42"/>
  <c r="C224" i="42"/>
  <c r="B224" i="42"/>
  <c r="A224" i="42"/>
  <c r="U223" i="42"/>
  <c r="G223" i="42"/>
  <c r="E223" i="42"/>
  <c r="C223" i="42"/>
  <c r="B223" i="42"/>
  <c r="A223" i="42"/>
  <c r="U222" i="42"/>
  <c r="G222" i="42"/>
  <c r="E222" i="42"/>
  <c r="C222" i="42"/>
  <c r="B222" i="42"/>
  <c r="A222" i="42"/>
  <c r="U221" i="42"/>
  <c r="G221" i="42"/>
  <c r="E221" i="42"/>
  <c r="C221" i="42"/>
  <c r="B221" i="42"/>
  <c r="A221" i="42"/>
  <c r="U220" i="42"/>
  <c r="G220" i="42"/>
  <c r="E220" i="42"/>
  <c r="C220" i="42"/>
  <c r="B220" i="42"/>
  <c r="A220" i="42"/>
  <c r="U219" i="42"/>
  <c r="G219" i="42"/>
  <c r="E219" i="42"/>
  <c r="C219" i="42"/>
  <c r="B219" i="42"/>
  <c r="A219" i="42"/>
  <c r="U218" i="42"/>
  <c r="G218" i="42"/>
  <c r="E218" i="42"/>
  <c r="C218" i="42"/>
  <c r="B218" i="42"/>
  <c r="A218" i="42"/>
  <c r="U217" i="42"/>
  <c r="G217" i="42"/>
  <c r="E217" i="42"/>
  <c r="C217" i="42"/>
  <c r="B217" i="42"/>
  <c r="A217" i="42"/>
  <c r="U216" i="42"/>
  <c r="G216" i="42"/>
  <c r="E216" i="42"/>
  <c r="C216" i="42"/>
  <c r="B216" i="42"/>
  <c r="A216" i="42"/>
  <c r="U215" i="42"/>
  <c r="G215" i="42"/>
  <c r="E215" i="42"/>
  <c r="C215" i="42"/>
  <c r="B215" i="42"/>
  <c r="A215" i="42"/>
  <c r="U214" i="42"/>
  <c r="G214" i="42"/>
  <c r="E214" i="42"/>
  <c r="C214" i="42"/>
  <c r="B214" i="42"/>
  <c r="A214" i="42"/>
  <c r="U213" i="42"/>
  <c r="G213" i="42"/>
  <c r="E213" i="42"/>
  <c r="C213" i="42"/>
  <c r="B213" i="42"/>
  <c r="A213" i="42"/>
  <c r="U212" i="42"/>
  <c r="G212" i="42"/>
  <c r="E212" i="42"/>
  <c r="C212" i="42"/>
  <c r="B212" i="42"/>
  <c r="A212" i="42"/>
  <c r="U211" i="42"/>
  <c r="G211" i="42"/>
  <c r="E211" i="42"/>
  <c r="C211" i="42"/>
  <c r="B211" i="42"/>
  <c r="A211" i="42"/>
  <c r="U210" i="42"/>
  <c r="G210" i="42"/>
  <c r="E210" i="42"/>
  <c r="C210" i="42"/>
  <c r="B210" i="42"/>
  <c r="A210" i="42"/>
  <c r="U209" i="42"/>
  <c r="G209" i="42"/>
  <c r="E209" i="42"/>
  <c r="C209" i="42"/>
  <c r="B209" i="42"/>
  <c r="A209" i="42"/>
  <c r="U208" i="42"/>
  <c r="G208" i="42"/>
  <c r="E208" i="42"/>
  <c r="C208" i="42"/>
  <c r="B208" i="42"/>
  <c r="A208" i="42"/>
  <c r="U207" i="42"/>
  <c r="G207" i="42"/>
  <c r="E207" i="42"/>
  <c r="C207" i="42"/>
  <c r="B207" i="42"/>
  <c r="A207" i="42"/>
  <c r="U206" i="42"/>
  <c r="G206" i="42"/>
  <c r="E206" i="42"/>
  <c r="C206" i="42"/>
  <c r="B206" i="42"/>
  <c r="A206" i="42"/>
  <c r="U205" i="42"/>
  <c r="G205" i="42"/>
  <c r="E205" i="42"/>
  <c r="C205" i="42"/>
  <c r="B205" i="42"/>
  <c r="A205" i="42"/>
  <c r="U204" i="42"/>
  <c r="G204" i="42"/>
  <c r="E204" i="42"/>
  <c r="C204" i="42"/>
  <c r="B204" i="42"/>
  <c r="A204" i="42"/>
  <c r="U203" i="42"/>
  <c r="G203" i="42"/>
  <c r="E203" i="42"/>
  <c r="C203" i="42"/>
  <c r="B203" i="42"/>
  <c r="A203" i="42"/>
  <c r="U202" i="42"/>
  <c r="G202" i="42"/>
  <c r="E202" i="42"/>
  <c r="C202" i="42"/>
  <c r="B202" i="42"/>
  <c r="A202" i="42"/>
  <c r="U201" i="42"/>
  <c r="G201" i="42"/>
  <c r="E201" i="42"/>
  <c r="C201" i="42"/>
  <c r="B201" i="42"/>
  <c r="A201" i="42"/>
  <c r="U200" i="42"/>
  <c r="G200" i="42"/>
  <c r="E200" i="42"/>
  <c r="C200" i="42"/>
  <c r="B200" i="42"/>
  <c r="A200" i="42"/>
  <c r="U199" i="42"/>
  <c r="G199" i="42"/>
  <c r="E199" i="42"/>
  <c r="C199" i="42"/>
  <c r="B199" i="42"/>
  <c r="A199" i="42"/>
  <c r="U198" i="42"/>
  <c r="G198" i="42"/>
  <c r="E198" i="42"/>
  <c r="C198" i="42"/>
  <c r="B198" i="42"/>
  <c r="A198" i="42"/>
  <c r="U197" i="42"/>
  <c r="G197" i="42"/>
  <c r="E197" i="42"/>
  <c r="C197" i="42"/>
  <c r="B197" i="42"/>
  <c r="A197" i="42"/>
  <c r="U196" i="42"/>
  <c r="G196" i="42"/>
  <c r="E196" i="42"/>
  <c r="C196" i="42"/>
  <c r="B196" i="42"/>
  <c r="A196" i="42"/>
  <c r="U195" i="42"/>
  <c r="G195" i="42"/>
  <c r="E195" i="42"/>
  <c r="C195" i="42"/>
  <c r="B195" i="42"/>
  <c r="A195" i="42"/>
  <c r="U194" i="42"/>
  <c r="G194" i="42"/>
  <c r="E194" i="42"/>
  <c r="C194" i="42"/>
  <c r="B194" i="42"/>
  <c r="A194" i="42"/>
  <c r="U193" i="42"/>
  <c r="G193" i="42"/>
  <c r="E193" i="42"/>
  <c r="C193" i="42"/>
  <c r="B193" i="42"/>
  <c r="A193" i="42"/>
  <c r="U192" i="42"/>
  <c r="G192" i="42"/>
  <c r="E192" i="42"/>
  <c r="C192" i="42"/>
  <c r="B192" i="42"/>
  <c r="A192" i="42"/>
  <c r="U191" i="42"/>
  <c r="G191" i="42"/>
  <c r="E191" i="42"/>
  <c r="C191" i="42"/>
  <c r="B191" i="42"/>
  <c r="A191" i="42"/>
  <c r="U190" i="42"/>
  <c r="G190" i="42"/>
  <c r="E190" i="42"/>
  <c r="C190" i="42"/>
  <c r="B190" i="42"/>
  <c r="A190" i="42"/>
  <c r="U189" i="42"/>
  <c r="G189" i="42"/>
  <c r="E189" i="42"/>
  <c r="C189" i="42"/>
  <c r="B189" i="42"/>
  <c r="A189" i="42"/>
  <c r="U188" i="42"/>
  <c r="G188" i="42"/>
  <c r="E188" i="42"/>
  <c r="C188" i="42"/>
  <c r="B188" i="42"/>
  <c r="A188" i="42"/>
  <c r="U187" i="42"/>
  <c r="G187" i="42"/>
  <c r="E187" i="42"/>
  <c r="C187" i="42"/>
  <c r="B187" i="42"/>
  <c r="A187" i="42"/>
  <c r="U186" i="42"/>
  <c r="G186" i="42"/>
  <c r="E186" i="42"/>
  <c r="C186" i="42"/>
  <c r="B186" i="42"/>
  <c r="A186" i="42"/>
  <c r="U185" i="42"/>
  <c r="G185" i="42"/>
  <c r="E185" i="42"/>
  <c r="C185" i="42"/>
  <c r="B185" i="42"/>
  <c r="A185" i="42"/>
  <c r="U184" i="42"/>
  <c r="G184" i="42"/>
  <c r="E184" i="42"/>
  <c r="C184" i="42"/>
  <c r="B184" i="42"/>
  <c r="A184" i="42"/>
  <c r="U183" i="42"/>
  <c r="G183" i="42"/>
  <c r="E183" i="42"/>
  <c r="C183" i="42"/>
  <c r="B183" i="42"/>
  <c r="A183" i="42"/>
  <c r="U182" i="42"/>
  <c r="G182" i="42"/>
  <c r="E182" i="42"/>
  <c r="C182" i="42"/>
  <c r="B182" i="42"/>
  <c r="A182" i="42"/>
  <c r="U181" i="42"/>
  <c r="G181" i="42"/>
  <c r="E181" i="42"/>
  <c r="C181" i="42"/>
  <c r="B181" i="42"/>
  <c r="A181" i="42"/>
  <c r="U180" i="42"/>
  <c r="G180" i="42"/>
  <c r="E180" i="42"/>
  <c r="C180" i="42"/>
  <c r="B180" i="42"/>
  <c r="A180" i="42"/>
  <c r="U179" i="42"/>
  <c r="G179" i="42"/>
  <c r="E179" i="42"/>
  <c r="C179" i="42"/>
  <c r="B179" i="42"/>
  <c r="A179" i="42"/>
  <c r="U178" i="42"/>
  <c r="G178" i="42"/>
  <c r="E178" i="42"/>
  <c r="C178" i="42"/>
  <c r="B178" i="42"/>
  <c r="A178" i="42"/>
  <c r="U177" i="42"/>
  <c r="G177" i="42"/>
  <c r="E177" i="42"/>
  <c r="C177" i="42"/>
  <c r="B177" i="42"/>
  <c r="A177" i="42"/>
  <c r="U176" i="42"/>
  <c r="G176" i="42"/>
  <c r="E176" i="42"/>
  <c r="C176" i="42"/>
  <c r="B176" i="42"/>
  <c r="A176" i="42"/>
  <c r="U175" i="42"/>
  <c r="G175" i="42"/>
  <c r="E175" i="42"/>
  <c r="C175" i="42"/>
  <c r="B175" i="42"/>
  <c r="A175" i="42"/>
  <c r="U174" i="42"/>
  <c r="G174" i="42"/>
  <c r="E174" i="42"/>
  <c r="C174" i="42"/>
  <c r="B174" i="42"/>
  <c r="A174" i="42"/>
  <c r="U173" i="42"/>
  <c r="G173" i="42"/>
  <c r="E173" i="42"/>
  <c r="C173" i="42"/>
  <c r="B173" i="42"/>
  <c r="A173" i="42"/>
  <c r="U172" i="42"/>
  <c r="G172" i="42"/>
  <c r="E172" i="42"/>
  <c r="C172" i="42"/>
  <c r="B172" i="42"/>
  <c r="A172" i="42"/>
  <c r="U171" i="42"/>
  <c r="G171" i="42"/>
  <c r="E171" i="42"/>
  <c r="C171" i="42"/>
  <c r="B171" i="42"/>
  <c r="A171" i="42"/>
  <c r="U170" i="42"/>
  <c r="G170" i="42"/>
  <c r="E170" i="42"/>
  <c r="C170" i="42"/>
  <c r="B170" i="42"/>
  <c r="A170" i="42"/>
  <c r="U169" i="42"/>
  <c r="G169" i="42"/>
  <c r="E169" i="42"/>
  <c r="C169" i="42"/>
  <c r="B169" i="42"/>
  <c r="A169" i="42"/>
  <c r="U168" i="42"/>
  <c r="G168" i="42"/>
  <c r="E168" i="42"/>
  <c r="C168" i="42"/>
  <c r="B168" i="42"/>
  <c r="A168" i="42"/>
  <c r="U167" i="42"/>
  <c r="G167" i="42"/>
  <c r="E167" i="42"/>
  <c r="C167" i="42"/>
  <c r="B167" i="42"/>
  <c r="A167" i="42"/>
  <c r="U166" i="42"/>
  <c r="G166" i="42"/>
  <c r="E166" i="42"/>
  <c r="C166" i="42"/>
  <c r="B166" i="42"/>
  <c r="A166" i="42"/>
  <c r="U165" i="42"/>
  <c r="G165" i="42"/>
  <c r="E165" i="42"/>
  <c r="C165" i="42"/>
  <c r="B165" i="42"/>
  <c r="A165" i="42"/>
  <c r="U164" i="42"/>
  <c r="G164" i="42"/>
  <c r="E164" i="42"/>
  <c r="C164" i="42"/>
  <c r="B164" i="42"/>
  <c r="A164" i="42"/>
  <c r="U163" i="42"/>
  <c r="G163" i="42"/>
  <c r="E163" i="42"/>
  <c r="C163" i="42"/>
  <c r="B163" i="42"/>
  <c r="A163" i="42"/>
  <c r="U162" i="42"/>
  <c r="G162" i="42"/>
  <c r="E162" i="42"/>
  <c r="C162" i="42"/>
  <c r="B162" i="42"/>
  <c r="A162" i="42"/>
  <c r="U161" i="42"/>
  <c r="G161" i="42"/>
  <c r="E161" i="42"/>
  <c r="C161" i="42"/>
  <c r="B161" i="42"/>
  <c r="A161" i="42"/>
  <c r="U160" i="42"/>
  <c r="G160" i="42"/>
  <c r="E160" i="42"/>
  <c r="C160" i="42"/>
  <c r="B160" i="42"/>
  <c r="A160" i="42"/>
  <c r="U159" i="42"/>
  <c r="G159" i="42"/>
  <c r="E159" i="42"/>
  <c r="C159" i="42"/>
  <c r="B159" i="42"/>
  <c r="A159" i="42"/>
  <c r="U158" i="42"/>
  <c r="G158" i="42"/>
  <c r="E158" i="42"/>
  <c r="C158" i="42"/>
  <c r="B158" i="42"/>
  <c r="A158" i="42"/>
  <c r="U157" i="42"/>
  <c r="G157" i="42"/>
  <c r="E157" i="42"/>
  <c r="C157" i="42"/>
  <c r="B157" i="42"/>
  <c r="A157" i="42"/>
  <c r="U156" i="42"/>
  <c r="G156" i="42"/>
  <c r="E156" i="42"/>
  <c r="C156" i="42"/>
  <c r="B156" i="42"/>
  <c r="A156" i="42"/>
  <c r="U155" i="42"/>
  <c r="G155" i="42"/>
  <c r="E155" i="42"/>
  <c r="C155" i="42"/>
  <c r="B155" i="42"/>
  <c r="A155" i="42"/>
  <c r="U154" i="42"/>
  <c r="G154" i="42"/>
  <c r="E154" i="42"/>
  <c r="C154" i="42"/>
  <c r="B154" i="42"/>
  <c r="A154" i="42"/>
  <c r="U153" i="42"/>
  <c r="G153" i="42"/>
  <c r="E153" i="42"/>
  <c r="C153" i="42"/>
  <c r="B153" i="42"/>
  <c r="A153" i="42"/>
  <c r="U152" i="42"/>
  <c r="G152" i="42"/>
  <c r="E152" i="42"/>
  <c r="C152" i="42"/>
  <c r="B152" i="42"/>
  <c r="A152" i="42"/>
  <c r="U151" i="42"/>
  <c r="G151" i="42"/>
  <c r="E151" i="42"/>
  <c r="C151" i="42"/>
  <c r="B151" i="42"/>
  <c r="A151" i="42"/>
  <c r="U150" i="42"/>
  <c r="G150" i="42"/>
  <c r="E150" i="42"/>
  <c r="C150" i="42"/>
  <c r="B150" i="42"/>
  <c r="A150" i="42"/>
  <c r="U149" i="42"/>
  <c r="G149" i="42"/>
  <c r="E149" i="42"/>
  <c r="C149" i="42"/>
  <c r="B149" i="42"/>
  <c r="A149" i="42"/>
  <c r="U148" i="42"/>
  <c r="G148" i="42"/>
  <c r="E148" i="42"/>
  <c r="C148" i="42"/>
  <c r="B148" i="42"/>
  <c r="A148" i="42"/>
  <c r="U147" i="42"/>
  <c r="G147" i="42"/>
  <c r="E147" i="42"/>
  <c r="C147" i="42"/>
  <c r="B147" i="42"/>
  <c r="A147" i="42"/>
  <c r="U146" i="42"/>
  <c r="G146" i="42"/>
  <c r="E146" i="42"/>
  <c r="C146" i="42"/>
  <c r="B146" i="42"/>
  <c r="A146" i="42"/>
  <c r="U145" i="42"/>
  <c r="G145" i="42"/>
  <c r="E145" i="42"/>
  <c r="C145" i="42"/>
  <c r="B145" i="42"/>
  <c r="A145" i="42"/>
  <c r="U144" i="42"/>
  <c r="G144" i="42"/>
  <c r="E144" i="42"/>
  <c r="C144" i="42"/>
  <c r="B144" i="42"/>
  <c r="A144" i="42"/>
  <c r="U143" i="42"/>
  <c r="G143" i="42"/>
  <c r="E143" i="42"/>
  <c r="C143" i="42"/>
  <c r="B143" i="42"/>
  <c r="A143" i="42"/>
  <c r="G142" i="42"/>
  <c r="C142" i="42"/>
  <c r="B142" i="42"/>
  <c r="A142" i="42"/>
  <c r="C141" i="42"/>
  <c r="B141" i="42"/>
  <c r="A141" i="42"/>
  <c r="G140" i="42"/>
  <c r="E140" i="42"/>
  <c r="C140" i="42"/>
  <c r="B140" i="42"/>
  <c r="A140" i="42"/>
  <c r="G139" i="42"/>
  <c r="E139" i="42"/>
  <c r="C139" i="42"/>
  <c r="B139" i="42"/>
  <c r="A139" i="42"/>
  <c r="G138" i="42"/>
  <c r="E138" i="42"/>
  <c r="C138" i="42"/>
  <c r="B138" i="42"/>
  <c r="A138" i="42"/>
  <c r="G137" i="42"/>
  <c r="C137" i="42"/>
  <c r="B137" i="42"/>
  <c r="A137" i="42"/>
  <c r="G136" i="42"/>
  <c r="E136" i="42"/>
  <c r="C136" i="42"/>
  <c r="B136" i="42"/>
  <c r="A136" i="42"/>
  <c r="G135" i="42"/>
  <c r="E135" i="42"/>
  <c r="C135" i="42"/>
  <c r="B135" i="42"/>
  <c r="A135" i="42"/>
  <c r="G134" i="42"/>
  <c r="E134" i="42"/>
  <c r="C134" i="42"/>
  <c r="B134" i="42"/>
  <c r="A134" i="42"/>
  <c r="G133" i="42"/>
  <c r="E133" i="42"/>
  <c r="C133" i="42"/>
  <c r="B133" i="42"/>
  <c r="A133" i="42"/>
  <c r="G132" i="42"/>
  <c r="E132" i="42"/>
  <c r="C132" i="42"/>
  <c r="B132" i="42"/>
  <c r="A132" i="42"/>
  <c r="G131" i="42"/>
  <c r="E131" i="42"/>
  <c r="C131" i="42"/>
  <c r="B131" i="42"/>
  <c r="A131" i="42"/>
  <c r="G130" i="42"/>
  <c r="E130" i="42"/>
  <c r="C130" i="42"/>
  <c r="B130" i="42"/>
  <c r="A130" i="42"/>
  <c r="G129" i="42"/>
  <c r="E129" i="42"/>
  <c r="C129" i="42"/>
  <c r="B129" i="42"/>
  <c r="A129" i="42"/>
  <c r="G128" i="42"/>
  <c r="E128" i="42"/>
  <c r="C128" i="42"/>
  <c r="B128" i="42"/>
  <c r="A128" i="42"/>
  <c r="G127" i="42"/>
  <c r="E127" i="42"/>
  <c r="C127" i="42"/>
  <c r="B127" i="42"/>
  <c r="A127" i="42"/>
  <c r="G126" i="42"/>
  <c r="E126" i="42"/>
  <c r="C126" i="42"/>
  <c r="B126" i="42"/>
  <c r="A126" i="42"/>
  <c r="G125" i="42"/>
  <c r="E125" i="42"/>
  <c r="C125" i="42"/>
  <c r="B125" i="42"/>
  <c r="A125" i="42"/>
  <c r="G124" i="42"/>
  <c r="E124" i="42"/>
  <c r="C124" i="42"/>
  <c r="B124" i="42"/>
  <c r="A124" i="42"/>
  <c r="G123" i="42"/>
  <c r="E123" i="42"/>
  <c r="C123" i="42"/>
  <c r="B123" i="42"/>
  <c r="A123" i="42"/>
  <c r="G122" i="42"/>
  <c r="E122" i="42"/>
  <c r="C122" i="42"/>
  <c r="B122" i="42"/>
  <c r="A122" i="42"/>
  <c r="G121" i="42"/>
  <c r="E121" i="42"/>
  <c r="C121" i="42"/>
  <c r="B121" i="42"/>
  <c r="A121" i="42"/>
  <c r="G120" i="42"/>
  <c r="E120" i="42"/>
  <c r="C120" i="42"/>
  <c r="B120" i="42"/>
  <c r="A120" i="42"/>
  <c r="G119" i="42"/>
  <c r="E119" i="42"/>
  <c r="C119" i="42"/>
  <c r="B119" i="42"/>
  <c r="A119" i="42"/>
  <c r="G118" i="42"/>
  <c r="E118" i="42"/>
  <c r="C118" i="42"/>
  <c r="B118" i="42"/>
  <c r="A118" i="42"/>
  <c r="G117" i="42"/>
  <c r="E117" i="42"/>
  <c r="C117" i="42"/>
  <c r="B117" i="42"/>
  <c r="A117" i="42"/>
  <c r="G116" i="42"/>
  <c r="E116" i="42"/>
  <c r="C116" i="42"/>
  <c r="B116" i="42"/>
  <c r="A116" i="42"/>
  <c r="G115" i="42"/>
  <c r="E115" i="42"/>
  <c r="C115" i="42"/>
  <c r="B115" i="42"/>
  <c r="A115" i="42"/>
  <c r="G114" i="42"/>
  <c r="E114" i="42"/>
  <c r="C114" i="42"/>
  <c r="B114" i="42"/>
  <c r="A114" i="42"/>
  <c r="G113" i="42"/>
  <c r="E113" i="42"/>
  <c r="C113" i="42"/>
  <c r="B113" i="42"/>
  <c r="A113" i="42"/>
  <c r="G112" i="42"/>
  <c r="E112" i="42"/>
  <c r="C112" i="42"/>
  <c r="B112" i="42"/>
  <c r="A112" i="42"/>
  <c r="G111" i="42"/>
  <c r="E111" i="42"/>
  <c r="C111" i="42"/>
  <c r="B111" i="42"/>
  <c r="A111" i="42"/>
  <c r="G110" i="42"/>
  <c r="E110" i="42"/>
  <c r="C110" i="42"/>
  <c r="B110" i="42"/>
  <c r="A110" i="42"/>
  <c r="G109" i="42"/>
  <c r="E109" i="42"/>
  <c r="C109" i="42"/>
  <c r="B109" i="42"/>
  <c r="A109" i="42"/>
  <c r="G108" i="42"/>
  <c r="E108" i="42"/>
  <c r="C108" i="42"/>
  <c r="B108" i="42"/>
  <c r="A108" i="42"/>
  <c r="G107" i="42"/>
  <c r="E107" i="42"/>
  <c r="C107" i="42"/>
  <c r="B107" i="42"/>
  <c r="A107" i="42"/>
  <c r="G106" i="42"/>
  <c r="E106" i="42"/>
  <c r="C106" i="42"/>
  <c r="B106" i="42"/>
  <c r="A106" i="42"/>
  <c r="G105" i="42"/>
  <c r="E105" i="42"/>
  <c r="C105" i="42"/>
  <c r="B105" i="42"/>
  <c r="A105" i="42"/>
  <c r="G104" i="42"/>
  <c r="E104" i="42"/>
  <c r="C104" i="42"/>
  <c r="B104" i="42"/>
  <c r="A104" i="42"/>
  <c r="G103" i="42"/>
  <c r="E103" i="42"/>
  <c r="C103" i="42"/>
  <c r="B103" i="42"/>
  <c r="A103" i="42"/>
  <c r="G102" i="42"/>
  <c r="E102" i="42"/>
  <c r="C102" i="42"/>
  <c r="B102" i="42"/>
  <c r="A102" i="42"/>
  <c r="G101" i="42"/>
  <c r="E101" i="42"/>
  <c r="C101" i="42"/>
  <c r="B101" i="42"/>
  <c r="A101" i="42"/>
  <c r="G100" i="42"/>
  <c r="E100" i="42"/>
  <c r="C100" i="42"/>
  <c r="B100" i="42"/>
  <c r="A100" i="42"/>
  <c r="G99" i="42"/>
  <c r="E99" i="42"/>
  <c r="C99" i="42"/>
  <c r="B99" i="42"/>
  <c r="A99" i="42"/>
  <c r="G98" i="42"/>
  <c r="E98" i="42"/>
  <c r="C98" i="42"/>
  <c r="B98" i="42"/>
  <c r="A98" i="42"/>
  <c r="G97" i="42"/>
  <c r="E97" i="42"/>
  <c r="C97" i="42"/>
  <c r="B97" i="42"/>
  <c r="A97" i="42"/>
  <c r="G96" i="42"/>
  <c r="E96" i="42"/>
  <c r="C96" i="42"/>
  <c r="B96" i="42"/>
  <c r="A96" i="42"/>
  <c r="G95" i="42"/>
  <c r="E95" i="42"/>
  <c r="C95" i="42"/>
  <c r="B95" i="42"/>
  <c r="A95" i="42"/>
  <c r="G94" i="42"/>
  <c r="E94" i="42"/>
  <c r="C94" i="42"/>
  <c r="B94" i="42"/>
  <c r="A94" i="42"/>
  <c r="G93" i="42"/>
  <c r="E93" i="42"/>
  <c r="C93" i="42"/>
  <c r="B93" i="42"/>
  <c r="A93" i="42"/>
  <c r="G92" i="42"/>
  <c r="E92" i="42"/>
  <c r="C92" i="42"/>
  <c r="B92" i="42"/>
  <c r="A92" i="42"/>
  <c r="G91" i="42"/>
  <c r="E91" i="42"/>
  <c r="C91" i="42"/>
  <c r="B91" i="42"/>
  <c r="A91" i="42"/>
  <c r="G90" i="42"/>
  <c r="E90" i="42"/>
  <c r="C90" i="42"/>
  <c r="B90" i="42"/>
  <c r="A90" i="42"/>
  <c r="G89" i="42"/>
  <c r="E89" i="42"/>
  <c r="C89" i="42"/>
  <c r="B89" i="42"/>
  <c r="A89" i="42"/>
  <c r="G88" i="42"/>
  <c r="E88" i="42"/>
  <c r="C88" i="42"/>
  <c r="B88" i="42"/>
  <c r="A88" i="42"/>
  <c r="G87" i="42"/>
  <c r="E87" i="42"/>
  <c r="C87" i="42"/>
  <c r="B87" i="42"/>
  <c r="A87" i="42"/>
  <c r="G86" i="42"/>
  <c r="E86" i="42"/>
  <c r="C86" i="42"/>
  <c r="B86" i="42"/>
  <c r="A86" i="42"/>
  <c r="G85" i="42"/>
  <c r="E85" i="42"/>
  <c r="C85" i="42"/>
  <c r="B85" i="42"/>
  <c r="A85" i="42"/>
  <c r="G84" i="42"/>
  <c r="E84" i="42"/>
  <c r="C84" i="42"/>
  <c r="B84" i="42"/>
  <c r="A84" i="42"/>
  <c r="G83" i="42"/>
  <c r="E83" i="42"/>
  <c r="C83" i="42"/>
  <c r="B83" i="42"/>
  <c r="A83" i="42"/>
  <c r="G82" i="42"/>
  <c r="E82" i="42"/>
  <c r="C82" i="42"/>
  <c r="B82" i="42"/>
  <c r="A82" i="42"/>
  <c r="G81" i="42"/>
  <c r="E81" i="42"/>
  <c r="C81" i="42"/>
  <c r="B81" i="42"/>
  <c r="A81" i="42"/>
  <c r="G80" i="42"/>
  <c r="E80" i="42"/>
  <c r="C80" i="42"/>
  <c r="B80" i="42"/>
  <c r="A80" i="42"/>
  <c r="N79" i="42"/>
  <c r="N141" i="42" s="1"/>
  <c r="M79" i="42"/>
  <c r="M141" i="42" s="1"/>
  <c r="L79" i="42"/>
  <c r="L141" i="42" s="1"/>
  <c r="K79" i="42"/>
  <c r="K141" i="42" s="1"/>
  <c r="J79" i="42"/>
  <c r="J141" i="42" s="1"/>
  <c r="I79" i="42"/>
  <c r="I141" i="42" s="1"/>
  <c r="H79" i="42"/>
  <c r="H141" i="42" s="1"/>
  <c r="G79" i="42"/>
  <c r="E79" i="42"/>
  <c r="C79" i="42"/>
  <c r="B79" i="42"/>
  <c r="A79" i="42"/>
  <c r="G78" i="42"/>
  <c r="E78" i="42"/>
  <c r="C78" i="42"/>
  <c r="B78" i="42"/>
  <c r="A78" i="42"/>
  <c r="G77" i="42"/>
  <c r="E77" i="42"/>
  <c r="C77" i="42"/>
  <c r="B77" i="42"/>
  <c r="A77" i="42"/>
  <c r="G76" i="42"/>
  <c r="E76" i="42"/>
  <c r="C76" i="42"/>
  <c r="B76" i="42"/>
  <c r="A76" i="42"/>
  <c r="G75" i="42"/>
  <c r="E75" i="42"/>
  <c r="C75" i="42"/>
  <c r="B75" i="42"/>
  <c r="A75" i="42"/>
  <c r="G74" i="42"/>
  <c r="E74" i="42"/>
  <c r="C74" i="42"/>
  <c r="B74" i="42"/>
  <c r="A74" i="42"/>
  <c r="G73" i="42"/>
  <c r="E73" i="42"/>
  <c r="C73" i="42"/>
  <c r="B73" i="42"/>
  <c r="A73" i="42"/>
  <c r="G72" i="42"/>
  <c r="E72" i="42"/>
  <c r="C72" i="42"/>
  <c r="B72" i="42"/>
  <c r="A72" i="42"/>
  <c r="G71" i="42"/>
  <c r="E71" i="42"/>
  <c r="C71" i="42"/>
  <c r="B71" i="42"/>
  <c r="A71" i="42"/>
  <c r="G70" i="42"/>
  <c r="E70" i="42"/>
  <c r="C70" i="42"/>
  <c r="B70" i="42"/>
  <c r="A70" i="42"/>
  <c r="G69" i="42"/>
  <c r="E69" i="42"/>
  <c r="C69" i="42"/>
  <c r="B69" i="42"/>
  <c r="A69" i="42"/>
  <c r="G68" i="42"/>
  <c r="E68" i="42"/>
  <c r="C68" i="42"/>
  <c r="B68" i="42"/>
  <c r="A68" i="42"/>
  <c r="G67" i="42"/>
  <c r="E67" i="42"/>
  <c r="C67" i="42"/>
  <c r="B67" i="42"/>
  <c r="A67" i="42"/>
  <c r="G66" i="42"/>
  <c r="E66" i="42"/>
  <c r="C66" i="42"/>
  <c r="B66" i="42"/>
  <c r="A66" i="42"/>
  <c r="G65" i="42"/>
  <c r="E65" i="42"/>
  <c r="C65" i="42"/>
  <c r="B65" i="42"/>
  <c r="A65" i="42"/>
  <c r="G64" i="42"/>
  <c r="E64" i="42"/>
  <c r="C64" i="42"/>
  <c r="B64" i="42"/>
  <c r="A64" i="42"/>
  <c r="G63" i="42"/>
  <c r="E63" i="42"/>
  <c r="C63" i="42"/>
  <c r="B63" i="42"/>
  <c r="A63" i="42"/>
  <c r="G62" i="42"/>
  <c r="E62" i="42"/>
  <c r="C62" i="42"/>
  <c r="B62" i="42"/>
  <c r="A62" i="42"/>
  <c r="G61" i="42"/>
  <c r="E61" i="42"/>
  <c r="C61" i="42"/>
  <c r="B61" i="42"/>
  <c r="A61" i="42"/>
  <c r="G60" i="42"/>
  <c r="E60" i="42"/>
  <c r="C60" i="42"/>
  <c r="B60" i="42"/>
  <c r="A60" i="42"/>
  <c r="G59" i="42"/>
  <c r="E59" i="42"/>
  <c r="C59" i="42"/>
  <c r="B59" i="42"/>
  <c r="A59" i="42"/>
  <c r="G58" i="42"/>
  <c r="E58" i="42"/>
  <c r="C58" i="42"/>
  <c r="B58" i="42"/>
  <c r="A58" i="42"/>
  <c r="G57" i="42"/>
  <c r="E57" i="42"/>
  <c r="C57" i="42"/>
  <c r="B57" i="42"/>
  <c r="A57" i="42"/>
  <c r="G56" i="42"/>
  <c r="E56" i="42"/>
  <c r="C56" i="42"/>
  <c r="B56" i="42"/>
  <c r="A56" i="42"/>
  <c r="G55" i="42"/>
  <c r="E55" i="42"/>
  <c r="C55" i="42"/>
  <c r="B55" i="42"/>
  <c r="A55" i="42"/>
  <c r="G54" i="42"/>
  <c r="E54" i="42"/>
  <c r="C54" i="42"/>
  <c r="B54" i="42"/>
  <c r="A54" i="42"/>
  <c r="G53" i="42"/>
  <c r="E53" i="42"/>
  <c r="C53" i="42"/>
  <c r="B53" i="42"/>
  <c r="A53" i="42"/>
  <c r="G52" i="42"/>
  <c r="E52" i="42"/>
  <c r="C52" i="42"/>
  <c r="B52" i="42"/>
  <c r="A52" i="42"/>
  <c r="G51" i="42"/>
  <c r="E51" i="42"/>
  <c r="C51" i="42"/>
  <c r="B51" i="42"/>
  <c r="A51" i="42"/>
  <c r="G50" i="42"/>
  <c r="E50" i="42"/>
  <c r="C50" i="42"/>
  <c r="B50" i="42"/>
  <c r="A50" i="42"/>
  <c r="G49" i="42"/>
  <c r="E49" i="42"/>
  <c r="C49" i="42"/>
  <c r="B49" i="42"/>
  <c r="A49" i="42"/>
  <c r="G48" i="42"/>
  <c r="E48" i="42"/>
  <c r="C48" i="42"/>
  <c r="B48" i="42"/>
  <c r="A48" i="42"/>
  <c r="G47" i="42"/>
  <c r="E47" i="42"/>
  <c r="C47" i="42"/>
  <c r="B47" i="42"/>
  <c r="A47" i="42"/>
  <c r="G46" i="42"/>
  <c r="E46" i="42"/>
  <c r="C46" i="42"/>
  <c r="B46" i="42"/>
  <c r="A46" i="42"/>
  <c r="G45" i="42"/>
  <c r="E45" i="42"/>
  <c r="C45" i="42"/>
  <c r="B45" i="42"/>
  <c r="A45" i="42"/>
  <c r="G44" i="42"/>
  <c r="E44" i="42"/>
  <c r="C44" i="42"/>
  <c r="B44" i="42"/>
  <c r="A44" i="42"/>
  <c r="G43" i="42"/>
  <c r="E43" i="42"/>
  <c r="C43" i="42"/>
  <c r="B43" i="42"/>
  <c r="A43" i="42"/>
  <c r="G42" i="42"/>
  <c r="E42" i="42"/>
  <c r="C42" i="42"/>
  <c r="B42" i="42"/>
  <c r="A42" i="42"/>
  <c r="G41" i="42"/>
  <c r="E41" i="42"/>
  <c r="C41" i="42"/>
  <c r="B41" i="42"/>
  <c r="A41" i="42"/>
  <c r="G40" i="42"/>
  <c r="E40" i="42"/>
  <c r="C40" i="42"/>
  <c r="B40" i="42"/>
  <c r="A40" i="42"/>
  <c r="G39" i="42"/>
  <c r="E39" i="42"/>
  <c r="C39" i="42"/>
  <c r="B39" i="42"/>
  <c r="A39" i="42"/>
  <c r="G38" i="42"/>
  <c r="E38" i="42"/>
  <c r="C38" i="42"/>
  <c r="B38" i="42"/>
  <c r="A38" i="42"/>
  <c r="G37" i="42"/>
  <c r="E37" i="42"/>
  <c r="C37" i="42"/>
  <c r="B37" i="42"/>
  <c r="A37" i="42"/>
  <c r="G36" i="42"/>
  <c r="E36" i="42"/>
  <c r="C36" i="42"/>
  <c r="B36" i="42"/>
  <c r="A36" i="42"/>
  <c r="G35" i="42"/>
  <c r="E35" i="42"/>
  <c r="C35" i="42"/>
  <c r="B35" i="42"/>
  <c r="A35" i="42"/>
  <c r="G34" i="42"/>
  <c r="E34" i="42"/>
  <c r="C34" i="42"/>
  <c r="B34" i="42"/>
  <c r="A34" i="42"/>
  <c r="G33" i="42"/>
  <c r="E33" i="42"/>
  <c r="C33" i="42"/>
  <c r="B33" i="42"/>
  <c r="A33" i="42"/>
  <c r="G32" i="42"/>
  <c r="E32" i="42"/>
  <c r="C32" i="42"/>
  <c r="B32" i="42"/>
  <c r="A32" i="42"/>
  <c r="G31" i="42"/>
  <c r="E31" i="42"/>
  <c r="C31" i="42"/>
  <c r="B31" i="42"/>
  <c r="A31" i="42"/>
  <c r="G30" i="42"/>
  <c r="E30" i="42"/>
  <c r="C30" i="42"/>
  <c r="B30" i="42"/>
  <c r="A30" i="42"/>
  <c r="G29" i="42"/>
  <c r="E29" i="42"/>
  <c r="C29" i="42"/>
  <c r="B29" i="42"/>
  <c r="A29" i="42"/>
  <c r="G28" i="42"/>
  <c r="E28" i="42"/>
  <c r="C28" i="42"/>
  <c r="B28" i="42"/>
  <c r="A28" i="42"/>
  <c r="G27" i="42"/>
  <c r="E27" i="42"/>
  <c r="C27" i="42"/>
  <c r="B27" i="42"/>
  <c r="A27" i="42"/>
  <c r="G26" i="42"/>
  <c r="E26" i="42"/>
  <c r="C26" i="42"/>
  <c r="B26" i="42"/>
  <c r="A26" i="42"/>
  <c r="G25" i="42"/>
  <c r="E25" i="42"/>
  <c r="C25" i="42"/>
  <c r="B25" i="42"/>
  <c r="A25" i="42"/>
  <c r="G24" i="42"/>
  <c r="E24" i="42"/>
  <c r="C24" i="42"/>
  <c r="B24" i="42"/>
  <c r="A24" i="42"/>
  <c r="G23" i="42"/>
  <c r="E23" i="42"/>
  <c r="C23" i="42"/>
  <c r="B23" i="42"/>
  <c r="A23" i="42"/>
  <c r="G22" i="42"/>
  <c r="E22" i="42"/>
  <c r="C22" i="42"/>
  <c r="B22" i="42"/>
  <c r="A22" i="42"/>
  <c r="G21" i="42"/>
  <c r="E21" i="42"/>
  <c r="C21" i="42"/>
  <c r="B21" i="42"/>
  <c r="A21" i="42"/>
  <c r="G20" i="42"/>
  <c r="E20" i="42"/>
  <c r="C20" i="42"/>
  <c r="B20" i="42"/>
  <c r="A20" i="42"/>
  <c r="G19" i="42"/>
  <c r="E19" i="42"/>
  <c r="C19" i="42"/>
  <c r="B19" i="42"/>
  <c r="A19" i="42"/>
  <c r="G18" i="42"/>
  <c r="E18" i="42"/>
  <c r="C18" i="42"/>
  <c r="B18" i="42"/>
  <c r="A18" i="42"/>
  <c r="G17" i="42"/>
  <c r="E17" i="42"/>
  <c r="C17" i="42"/>
  <c r="B17" i="42"/>
  <c r="A17" i="42"/>
  <c r="G16" i="42"/>
  <c r="E16" i="42"/>
  <c r="C16" i="42"/>
  <c r="B16" i="42"/>
  <c r="A16" i="42"/>
  <c r="G15" i="42"/>
  <c r="E15" i="42"/>
  <c r="C15" i="42"/>
  <c r="B15" i="42"/>
  <c r="A15" i="42"/>
  <c r="G14" i="42"/>
  <c r="E14" i="42"/>
  <c r="C14" i="42"/>
  <c r="B14" i="42"/>
  <c r="A14" i="42"/>
  <c r="G13" i="42"/>
  <c r="E13" i="42"/>
  <c r="C13" i="42"/>
  <c r="B13" i="42"/>
  <c r="A13" i="42"/>
  <c r="G12" i="42"/>
  <c r="E12" i="42"/>
  <c r="C12" i="42"/>
  <c r="B12" i="42"/>
  <c r="A12" i="42"/>
  <c r="G11" i="42"/>
  <c r="E11" i="42"/>
  <c r="C11" i="42"/>
  <c r="B11" i="42"/>
  <c r="A11" i="42"/>
  <c r="G10" i="42"/>
  <c r="E10" i="42"/>
  <c r="C10" i="42"/>
  <c r="B10" i="42"/>
  <c r="A10" i="42"/>
  <c r="G9" i="42"/>
  <c r="E9" i="42"/>
  <c r="C9" i="42"/>
  <c r="B9" i="42"/>
  <c r="A9" i="42"/>
  <c r="G8" i="42"/>
  <c r="E8" i="42"/>
  <c r="C8" i="42"/>
  <c r="B8" i="42"/>
  <c r="A8" i="42"/>
  <c r="G7" i="42"/>
  <c r="E7" i="42"/>
  <c r="C7" i="42"/>
  <c r="B7" i="42"/>
  <c r="A7" i="42"/>
  <c r="G6" i="42"/>
  <c r="E6" i="42"/>
  <c r="C6" i="42"/>
  <c r="B6" i="42"/>
  <c r="A6" i="42"/>
  <c r="U556" i="42" l="1"/>
  <c r="U287" i="42"/>
  <c r="U304" i="42"/>
  <c r="U555" i="42"/>
  <c r="U234" i="42"/>
  <c r="I569" i="42"/>
  <c r="I571" i="42" s="1"/>
  <c r="U636" i="42"/>
  <c r="D19" i="18"/>
  <c r="D19" i="11"/>
  <c r="D18" i="11"/>
  <c r="D16" i="18"/>
  <c r="D18" i="18"/>
  <c r="K17" i="11"/>
  <c r="D26" i="11"/>
  <c r="D20" i="11"/>
  <c r="K18" i="18"/>
  <c r="D25" i="18"/>
  <c r="D17" i="18"/>
  <c r="D17" i="11"/>
  <c r="D27" i="18"/>
  <c r="D23" i="18"/>
  <c r="D15" i="18"/>
  <c r="K22" i="11"/>
  <c r="D27" i="11"/>
  <c r="D23" i="11"/>
  <c r="D15" i="11"/>
  <c r="D24" i="18"/>
  <c r="D28" i="11"/>
  <c r="K25" i="18"/>
  <c r="D26" i="18"/>
  <c r="D22" i="18"/>
  <c r="D14" i="18"/>
  <c r="D22" i="11"/>
  <c r="D14" i="11"/>
  <c r="D20" i="18"/>
  <c r="D16" i="11"/>
  <c r="D21" i="18"/>
  <c r="D13" i="18"/>
  <c r="K12" i="11"/>
  <c r="D25" i="11"/>
  <c r="D21" i="11"/>
  <c r="D13" i="11"/>
  <c r="K13" i="18"/>
  <c r="D12" i="18"/>
  <c r="D24" i="11"/>
  <c r="D12" i="11"/>
  <c r="U571" i="42"/>
  <c r="U569" i="42"/>
  <c r="K13" i="11" l="1"/>
  <c r="K14" i="18"/>
  <c r="D41" i="9" l="1"/>
  <c r="D20" i="9" l="1"/>
  <c r="H78" i="47" l="1"/>
  <c r="H89" i="47"/>
  <c r="H88" i="47"/>
  <c r="H87" i="47"/>
  <c r="H86" i="47"/>
  <c r="H85" i="47"/>
  <c r="H84" i="47"/>
  <c r="H83" i="47"/>
  <c r="H82" i="47"/>
  <c r="H81" i="47"/>
  <c r="H80" i="47"/>
  <c r="H79" i="47"/>
  <c r="H59" i="47"/>
  <c r="H58" i="47"/>
  <c r="H57" i="47"/>
  <c r="H38" i="47"/>
  <c r="H37" i="47"/>
  <c r="H36" i="47"/>
  <c r="H35" i="47"/>
  <c r="H34" i="47"/>
  <c r="H33" i="47"/>
  <c r="B21" i="83" l="1"/>
  <c r="B19" i="83"/>
  <c r="B17" i="83"/>
  <c r="B15" i="83"/>
  <c r="B13" i="83"/>
  <c r="A4" i="83"/>
  <c r="E9" i="83"/>
  <c r="A8" i="83"/>
  <c r="A2" i="83"/>
  <c r="A1" i="83"/>
  <c r="J168" i="64" l="1"/>
  <c r="J167" i="64"/>
  <c r="J166" i="64"/>
  <c r="J165" i="64"/>
  <c r="J164" i="64"/>
  <c r="J163" i="64"/>
  <c r="J162" i="64"/>
  <c r="J161" i="64"/>
  <c r="J160" i="64"/>
  <c r="J159" i="64"/>
  <c r="J158" i="64"/>
  <c r="J157" i="64"/>
  <c r="J156" i="64"/>
  <c r="J155" i="64"/>
  <c r="J154" i="64"/>
  <c r="J153" i="64"/>
  <c r="J152" i="64"/>
  <c r="J151" i="64"/>
  <c r="J150" i="64"/>
  <c r="J149" i="64"/>
  <c r="J148" i="64"/>
  <c r="J147" i="64"/>
  <c r="J146" i="64"/>
  <c r="J145" i="64"/>
  <c r="J144" i="64"/>
  <c r="J143" i="64"/>
  <c r="J142" i="64"/>
  <c r="J141" i="64"/>
  <c r="J140" i="64"/>
  <c r="J139" i="64"/>
  <c r="J138" i="64"/>
  <c r="J137" i="64"/>
  <c r="J136" i="64"/>
  <c r="J135" i="64"/>
  <c r="J134" i="64"/>
  <c r="J133" i="64"/>
  <c r="J132" i="64"/>
  <c r="J131" i="64"/>
  <c r="J130" i="64"/>
  <c r="J129" i="64"/>
  <c r="J128" i="64"/>
  <c r="J127" i="64"/>
  <c r="J126" i="64"/>
  <c r="J125" i="64"/>
  <c r="J112" i="64"/>
  <c r="J111" i="64"/>
  <c r="J110" i="64"/>
  <c r="J109" i="64"/>
  <c r="J108" i="64"/>
  <c r="J107" i="64"/>
  <c r="J106" i="64"/>
  <c r="J105" i="64"/>
  <c r="J104" i="64"/>
  <c r="J103" i="64"/>
  <c r="J102" i="64"/>
  <c r="J101" i="64"/>
  <c r="J100" i="64"/>
  <c r="J99" i="64"/>
  <c r="J98" i="64"/>
  <c r="J97" i="64"/>
  <c r="J96" i="64"/>
  <c r="J95" i="64"/>
  <c r="J94" i="64"/>
  <c r="J93" i="64"/>
  <c r="J92" i="64"/>
  <c r="J91" i="64"/>
  <c r="J90" i="64"/>
  <c r="J89" i="64"/>
  <c r="J88" i="64"/>
  <c r="J87" i="64"/>
  <c r="J86" i="64"/>
  <c r="J85" i="64"/>
  <c r="J84" i="64"/>
  <c r="J83" i="64"/>
  <c r="J82" i="64"/>
  <c r="J81" i="64"/>
  <c r="J80" i="64"/>
  <c r="J79" i="64"/>
  <c r="J78" i="64"/>
  <c r="J77" i="64"/>
  <c r="J76" i="64"/>
  <c r="J75" i="64"/>
  <c r="J74" i="64"/>
  <c r="J73" i="64"/>
  <c r="J72" i="64"/>
  <c r="J71" i="64"/>
  <c r="J70" i="64"/>
  <c r="J69"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A351" i="64"/>
  <c r="A352" i="64" s="1"/>
  <c r="A353" i="64" s="1"/>
  <c r="A354" i="64" s="1"/>
  <c r="A350" i="64"/>
  <c r="A349" i="64"/>
  <c r="O354" i="64"/>
  <c r="M354" i="64"/>
  <c r="P354" i="64" s="1"/>
  <c r="J354" i="64"/>
  <c r="O353" i="64"/>
  <c r="M353" i="64"/>
  <c r="P353" i="64" s="1"/>
  <c r="J353" i="64"/>
  <c r="O352" i="64"/>
  <c r="M352" i="64"/>
  <c r="J352" i="64"/>
  <c r="O351" i="64"/>
  <c r="M351" i="64"/>
  <c r="P351" i="64" s="1"/>
  <c r="J351" i="64"/>
  <c r="O350" i="64"/>
  <c r="M350" i="64"/>
  <c r="P350" i="64" s="1"/>
  <c r="J350" i="64"/>
  <c r="O349" i="64"/>
  <c r="M349" i="64"/>
  <c r="J349" i="64"/>
  <c r="A344" i="64"/>
  <c r="A342" i="64"/>
  <c r="O336" i="64"/>
  <c r="M336" i="64"/>
  <c r="J336" i="64"/>
  <c r="O335" i="64"/>
  <c r="P335" i="64" s="1"/>
  <c r="M335" i="64"/>
  <c r="J335" i="64"/>
  <c r="O334" i="64"/>
  <c r="M334" i="64"/>
  <c r="J334" i="64"/>
  <c r="O333" i="64"/>
  <c r="P333" i="64" s="1"/>
  <c r="M333" i="64"/>
  <c r="J333" i="64"/>
  <c r="O332" i="64"/>
  <c r="M332" i="64"/>
  <c r="J332" i="64"/>
  <c r="O331" i="64"/>
  <c r="P331" i="64" s="1"/>
  <c r="M331" i="64"/>
  <c r="J331" i="64"/>
  <c r="O330" i="64"/>
  <c r="M330" i="64"/>
  <c r="J330" i="64"/>
  <c r="O329" i="64"/>
  <c r="P329" i="64" s="1"/>
  <c r="M329" i="64"/>
  <c r="J329" i="64"/>
  <c r="O328" i="64"/>
  <c r="M328" i="64"/>
  <c r="J328" i="64"/>
  <c r="O327" i="64"/>
  <c r="P327" i="64" s="1"/>
  <c r="M327" i="64"/>
  <c r="J327" i="64"/>
  <c r="O326" i="64"/>
  <c r="M326" i="64"/>
  <c r="J326" i="64"/>
  <c r="O325" i="64"/>
  <c r="P325" i="64" s="1"/>
  <c r="M325" i="64"/>
  <c r="J325" i="64"/>
  <c r="O324" i="64"/>
  <c r="M324" i="64"/>
  <c r="J324" i="64"/>
  <c r="O323" i="64"/>
  <c r="P323" i="64" s="1"/>
  <c r="M323" i="64"/>
  <c r="J323" i="64"/>
  <c r="O322" i="64"/>
  <c r="M322" i="64"/>
  <c r="J322" i="64"/>
  <c r="O321" i="64"/>
  <c r="P321" i="64" s="1"/>
  <c r="M321" i="64"/>
  <c r="J321" i="64"/>
  <c r="O320" i="64"/>
  <c r="M320" i="64"/>
  <c r="J320" i="64"/>
  <c r="O319" i="64"/>
  <c r="P319" i="64" s="1"/>
  <c r="M319" i="64"/>
  <c r="J319" i="64"/>
  <c r="O318" i="64"/>
  <c r="M318" i="64"/>
  <c r="J318" i="64"/>
  <c r="O317" i="64"/>
  <c r="P317" i="64" s="1"/>
  <c r="M317" i="64"/>
  <c r="J317" i="64"/>
  <c r="O316" i="64"/>
  <c r="M316" i="64"/>
  <c r="J316" i="64"/>
  <c r="O315" i="64"/>
  <c r="P315" i="64" s="1"/>
  <c r="M315" i="64"/>
  <c r="J315" i="64"/>
  <c r="O314" i="64"/>
  <c r="M314" i="64"/>
  <c r="J314" i="64"/>
  <c r="O313" i="64"/>
  <c r="P313" i="64" s="1"/>
  <c r="M313" i="64"/>
  <c r="J313" i="64"/>
  <c r="O312" i="64"/>
  <c r="M312" i="64"/>
  <c r="J312" i="64"/>
  <c r="O311" i="64"/>
  <c r="P311" i="64" s="1"/>
  <c r="M311" i="64"/>
  <c r="J311" i="64"/>
  <c r="O310" i="64"/>
  <c r="M310" i="64"/>
  <c r="J310" i="64"/>
  <c r="O309" i="64"/>
  <c r="P309" i="64" s="1"/>
  <c r="M309" i="64"/>
  <c r="J309" i="64"/>
  <c r="O308" i="64"/>
  <c r="M308" i="64"/>
  <c r="J308" i="64"/>
  <c r="O307" i="64"/>
  <c r="P307" i="64" s="1"/>
  <c r="M307" i="64"/>
  <c r="J307" i="64"/>
  <c r="O306" i="64"/>
  <c r="M306" i="64"/>
  <c r="J306" i="64"/>
  <c r="O305" i="64"/>
  <c r="P305" i="64" s="1"/>
  <c r="M305" i="64"/>
  <c r="J305" i="64"/>
  <c r="O304" i="64"/>
  <c r="M304" i="64"/>
  <c r="J304" i="64"/>
  <c r="O303" i="64"/>
  <c r="P303" i="64" s="1"/>
  <c r="M303" i="64"/>
  <c r="J303" i="64"/>
  <c r="O302" i="64"/>
  <c r="M302" i="64"/>
  <c r="J302" i="64"/>
  <c r="O301" i="64"/>
  <c r="P301" i="64" s="1"/>
  <c r="M301" i="64"/>
  <c r="J301" i="64"/>
  <c r="O300" i="64"/>
  <c r="M300" i="64"/>
  <c r="J300" i="64"/>
  <c r="O299" i="64"/>
  <c r="P299" i="64" s="1"/>
  <c r="M299" i="64"/>
  <c r="J299" i="64"/>
  <c r="O298" i="64"/>
  <c r="M298" i="64"/>
  <c r="J298" i="64"/>
  <c r="O297" i="64"/>
  <c r="P297" i="64" s="1"/>
  <c r="M297" i="64"/>
  <c r="J297" i="64"/>
  <c r="O296" i="64"/>
  <c r="M296" i="64"/>
  <c r="J296" i="64"/>
  <c r="O295" i="64"/>
  <c r="P295" i="64" s="1"/>
  <c r="M295" i="64"/>
  <c r="J295" i="64"/>
  <c r="O294" i="64"/>
  <c r="M294" i="64"/>
  <c r="J294" i="64"/>
  <c r="O293" i="64"/>
  <c r="P293" i="64" s="1"/>
  <c r="M293" i="64"/>
  <c r="J293" i="64"/>
  <c r="A288" i="64"/>
  <c r="A286" i="64"/>
  <c r="O280" i="64"/>
  <c r="M280" i="64"/>
  <c r="J280" i="64"/>
  <c r="O279" i="64"/>
  <c r="M279" i="64"/>
  <c r="P279" i="64" s="1"/>
  <c r="J279" i="64"/>
  <c r="O278" i="64"/>
  <c r="M278" i="64"/>
  <c r="J278" i="64"/>
  <c r="O277" i="64"/>
  <c r="M277" i="64"/>
  <c r="J277" i="64"/>
  <c r="O276" i="64"/>
  <c r="M276" i="64"/>
  <c r="J276" i="64"/>
  <c r="O275" i="64"/>
  <c r="M275" i="64"/>
  <c r="P275" i="64" s="1"/>
  <c r="J275" i="64"/>
  <c r="J274" i="64"/>
  <c r="M274" i="64"/>
  <c r="O274" i="64"/>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28" i="63"/>
  <c r="J27" i="63"/>
  <c r="J26" i="63"/>
  <c r="J25" i="63"/>
  <c r="J24" i="63"/>
  <c r="J23" i="63"/>
  <c r="J22" i="63"/>
  <c r="J21" i="63"/>
  <c r="J20" i="63"/>
  <c r="J19" i="63"/>
  <c r="J18" i="63"/>
  <c r="J17" i="63"/>
  <c r="J16" i="63"/>
  <c r="J15" i="63"/>
  <c r="J14" i="63"/>
  <c r="J13" i="63"/>
  <c r="P349" i="64" l="1"/>
  <c r="P352" i="64"/>
  <c r="P294" i="64"/>
  <c r="P298" i="64"/>
  <c r="P302" i="64"/>
  <c r="P306" i="64"/>
  <c r="P310" i="64"/>
  <c r="P314" i="64"/>
  <c r="P318" i="64"/>
  <c r="P322" i="64"/>
  <c r="P326" i="64"/>
  <c r="P330" i="64"/>
  <c r="P334" i="64"/>
  <c r="P296" i="64"/>
  <c r="P300" i="64"/>
  <c r="P304" i="64"/>
  <c r="P308" i="64"/>
  <c r="P312" i="64"/>
  <c r="P316" i="64"/>
  <c r="P320" i="64"/>
  <c r="P324" i="64"/>
  <c r="P328" i="64"/>
  <c r="P332" i="64"/>
  <c r="P336" i="64"/>
  <c r="P278" i="64"/>
  <c r="P276" i="64"/>
  <c r="P280" i="64"/>
  <c r="P274" i="64"/>
  <c r="P277" i="64"/>
  <c r="J78" i="47" l="1"/>
  <c r="I78" i="47"/>
  <c r="F78" i="47"/>
  <c r="J54" i="47"/>
  <c r="I54" i="47"/>
  <c r="H54" i="47"/>
  <c r="F54" i="47"/>
  <c r="J102" i="47"/>
  <c r="I102" i="47"/>
  <c r="H102" i="47"/>
  <c r="F102" i="47"/>
  <c r="J101" i="47"/>
  <c r="I101" i="47"/>
  <c r="H101" i="47"/>
  <c r="F101" i="47"/>
  <c r="J99" i="47"/>
  <c r="I99" i="47"/>
  <c r="H99" i="47"/>
  <c r="F99" i="47"/>
  <c r="J98" i="47"/>
  <c r="I98" i="47"/>
  <c r="H98" i="47"/>
  <c r="F98" i="47"/>
  <c r="J97" i="47"/>
  <c r="I97" i="47"/>
  <c r="H97" i="47"/>
  <c r="F97" i="47"/>
  <c r="J96" i="47"/>
  <c r="I96" i="47"/>
  <c r="H96" i="47"/>
  <c r="F96" i="47"/>
  <c r="J95" i="47"/>
  <c r="I95" i="47"/>
  <c r="H95" i="47"/>
  <c r="F95" i="47"/>
  <c r="J89" i="47"/>
  <c r="I89" i="47"/>
  <c r="F89" i="47"/>
  <c r="J88" i="47"/>
  <c r="I88" i="47"/>
  <c r="F88" i="47"/>
  <c r="J87" i="47"/>
  <c r="I87" i="47"/>
  <c r="F87" i="47"/>
  <c r="J86" i="47"/>
  <c r="I86" i="47"/>
  <c r="F86" i="47"/>
  <c r="J85" i="47"/>
  <c r="I85" i="47"/>
  <c r="F85" i="47"/>
  <c r="J84" i="47"/>
  <c r="I84" i="47"/>
  <c r="F84" i="47"/>
  <c r="J83" i="47"/>
  <c r="I83" i="47"/>
  <c r="F83" i="47"/>
  <c r="J82" i="47"/>
  <c r="I82" i="47"/>
  <c r="F82" i="47"/>
  <c r="J81" i="47"/>
  <c r="I81" i="47"/>
  <c r="F81" i="47"/>
  <c r="J80" i="47"/>
  <c r="I80" i="47"/>
  <c r="F80" i="47"/>
  <c r="J79" i="47"/>
  <c r="I79" i="47"/>
  <c r="F79" i="47"/>
  <c r="J61" i="47"/>
  <c r="I61" i="47"/>
  <c r="H61" i="47"/>
  <c r="F61" i="47"/>
  <c r="J60" i="47"/>
  <c r="I60" i="47"/>
  <c r="H60" i="47"/>
  <c r="F60" i="47"/>
  <c r="J59" i="47"/>
  <c r="I59" i="47"/>
  <c r="F59" i="47"/>
  <c r="J58" i="47"/>
  <c r="I58" i="47"/>
  <c r="F58" i="47"/>
  <c r="J57" i="47"/>
  <c r="I57" i="47"/>
  <c r="F57" i="47"/>
  <c r="J56" i="47"/>
  <c r="I56" i="47"/>
  <c r="H56" i="47"/>
  <c r="F56" i="47"/>
  <c r="J55" i="47"/>
  <c r="I55" i="47"/>
  <c r="H55" i="47"/>
  <c r="F55" i="47"/>
  <c r="J49" i="47"/>
  <c r="I49" i="47"/>
  <c r="H49" i="47"/>
  <c r="F49" i="47"/>
  <c r="J48" i="47"/>
  <c r="I48" i="47"/>
  <c r="H48" i="47"/>
  <c r="F48" i="47"/>
  <c r="J47" i="47"/>
  <c r="I47" i="47"/>
  <c r="H47" i="47"/>
  <c r="F47" i="47"/>
  <c r="J46" i="47"/>
  <c r="I46" i="47"/>
  <c r="H46" i="47"/>
  <c r="F46" i="47"/>
  <c r="J45" i="47"/>
  <c r="I45" i="47"/>
  <c r="H45" i="47"/>
  <c r="F45" i="47"/>
  <c r="J44" i="47"/>
  <c r="I44" i="47"/>
  <c r="H44" i="47"/>
  <c r="F44" i="47"/>
  <c r="J43" i="47"/>
  <c r="I43" i="47"/>
  <c r="H43" i="47"/>
  <c r="F43" i="47"/>
  <c r="J38" i="47"/>
  <c r="I38" i="47"/>
  <c r="F38" i="47"/>
  <c r="J37" i="47"/>
  <c r="I37" i="47"/>
  <c r="F37" i="47"/>
  <c r="J36" i="47"/>
  <c r="I36" i="47"/>
  <c r="F36" i="47"/>
  <c r="J35" i="47"/>
  <c r="I35" i="47"/>
  <c r="F35" i="47"/>
  <c r="J34" i="47"/>
  <c r="I34" i="47"/>
  <c r="F34" i="47"/>
  <c r="J33" i="47"/>
  <c r="I33" i="47"/>
  <c r="F33" i="47"/>
  <c r="J32" i="47"/>
  <c r="I32" i="47"/>
  <c r="H32" i="47"/>
  <c r="F32" i="47"/>
  <c r="J27" i="47"/>
  <c r="I27" i="47"/>
  <c r="H27" i="47"/>
  <c r="F27" i="47"/>
  <c r="J26" i="47"/>
  <c r="I26" i="47"/>
  <c r="H26" i="47"/>
  <c r="F26" i="47"/>
  <c r="J25" i="47"/>
  <c r="I25" i="47"/>
  <c r="H25" i="47"/>
  <c r="F25" i="47"/>
  <c r="J23" i="47"/>
  <c r="I23" i="47"/>
  <c r="H23" i="47"/>
  <c r="F23" i="47"/>
  <c r="J22" i="47"/>
  <c r="I22" i="47"/>
  <c r="H22" i="47"/>
  <c r="F22" i="47"/>
  <c r="J17" i="47"/>
  <c r="I17" i="47"/>
  <c r="H17" i="47"/>
  <c r="F17" i="47"/>
  <c r="J16" i="47"/>
  <c r="I16" i="47"/>
  <c r="H16" i="47"/>
  <c r="F16" i="47"/>
  <c r="P163" i="74"/>
  <c r="P141" i="74"/>
  <c r="J78" i="23" l="1"/>
  <c r="I78" i="23"/>
  <c r="H78" i="23"/>
  <c r="F78" i="23"/>
  <c r="J54" i="23"/>
  <c r="I54" i="23"/>
  <c r="H54" i="23"/>
  <c r="F54" i="23"/>
  <c r="J102" i="23"/>
  <c r="I102" i="23"/>
  <c r="H102" i="23"/>
  <c r="F102" i="23"/>
  <c r="J101" i="23"/>
  <c r="I101" i="23"/>
  <c r="H101" i="23"/>
  <c r="F101" i="23"/>
  <c r="J99" i="23"/>
  <c r="I99" i="23"/>
  <c r="H99" i="23"/>
  <c r="F99" i="23"/>
  <c r="J98" i="23"/>
  <c r="I98" i="23"/>
  <c r="H98" i="23"/>
  <c r="F98" i="23"/>
  <c r="J97" i="23"/>
  <c r="I97" i="23"/>
  <c r="H97" i="23"/>
  <c r="F97" i="23"/>
  <c r="J96" i="23"/>
  <c r="I96" i="23"/>
  <c r="H96" i="23"/>
  <c r="F96" i="23"/>
  <c r="J95" i="23"/>
  <c r="I95" i="23"/>
  <c r="H95" i="23"/>
  <c r="F95" i="23"/>
  <c r="J89" i="23"/>
  <c r="I89" i="23"/>
  <c r="H89" i="23"/>
  <c r="F89" i="23"/>
  <c r="J88" i="23"/>
  <c r="I88" i="23"/>
  <c r="H88" i="23"/>
  <c r="F88" i="23"/>
  <c r="J87" i="23"/>
  <c r="I87" i="23"/>
  <c r="H87" i="23"/>
  <c r="F87" i="23"/>
  <c r="J86" i="23"/>
  <c r="I86" i="23"/>
  <c r="H86" i="23"/>
  <c r="F86" i="23"/>
  <c r="J85" i="23"/>
  <c r="I85" i="23"/>
  <c r="H85" i="23"/>
  <c r="F85" i="23"/>
  <c r="J84" i="23"/>
  <c r="I84" i="23"/>
  <c r="H84" i="23"/>
  <c r="F84" i="23"/>
  <c r="J83" i="23"/>
  <c r="I83" i="23"/>
  <c r="H83" i="23"/>
  <c r="F83" i="23"/>
  <c r="J82" i="23"/>
  <c r="I82" i="23"/>
  <c r="H82" i="23"/>
  <c r="F82" i="23"/>
  <c r="J81" i="23"/>
  <c r="I81" i="23"/>
  <c r="H81" i="23"/>
  <c r="F81" i="23"/>
  <c r="J80" i="23"/>
  <c r="I80" i="23"/>
  <c r="H80" i="23"/>
  <c r="F80" i="23"/>
  <c r="J79" i="23"/>
  <c r="I79" i="23"/>
  <c r="H79" i="23"/>
  <c r="F79" i="23"/>
  <c r="J61" i="23"/>
  <c r="I61" i="23"/>
  <c r="H61" i="23"/>
  <c r="F61" i="23"/>
  <c r="J60" i="23"/>
  <c r="I60" i="23"/>
  <c r="H60" i="23"/>
  <c r="F60" i="23"/>
  <c r="J59" i="23"/>
  <c r="I59" i="23"/>
  <c r="H59" i="23"/>
  <c r="F59" i="23"/>
  <c r="J58" i="23"/>
  <c r="I58" i="23"/>
  <c r="H58" i="23"/>
  <c r="F58" i="23"/>
  <c r="J57" i="23"/>
  <c r="I57" i="23"/>
  <c r="H57" i="23"/>
  <c r="F57" i="23"/>
  <c r="J56" i="23"/>
  <c r="I56" i="23"/>
  <c r="H56" i="23"/>
  <c r="F56" i="23"/>
  <c r="J55" i="23"/>
  <c r="I55" i="23"/>
  <c r="H55" i="23"/>
  <c r="F55" i="23"/>
  <c r="J49" i="23"/>
  <c r="I49" i="23"/>
  <c r="H49" i="23"/>
  <c r="F49" i="23"/>
  <c r="J48" i="23"/>
  <c r="I48" i="23"/>
  <c r="H48" i="23"/>
  <c r="F48" i="23"/>
  <c r="J47" i="23"/>
  <c r="I47" i="23"/>
  <c r="H47" i="23"/>
  <c r="F47" i="23"/>
  <c r="J46" i="23"/>
  <c r="I46" i="23"/>
  <c r="H46" i="23"/>
  <c r="F46" i="23"/>
  <c r="J45" i="23"/>
  <c r="I45" i="23"/>
  <c r="H45" i="23"/>
  <c r="F45" i="23"/>
  <c r="J44" i="23"/>
  <c r="I44" i="23"/>
  <c r="H44" i="23"/>
  <c r="F44" i="23"/>
  <c r="J43" i="23"/>
  <c r="I43" i="23"/>
  <c r="H43" i="23"/>
  <c r="F43" i="23"/>
  <c r="J38" i="23"/>
  <c r="I38" i="23"/>
  <c r="H38" i="23"/>
  <c r="F38" i="23"/>
  <c r="J37" i="23"/>
  <c r="I37" i="23"/>
  <c r="H37" i="23"/>
  <c r="F37" i="23"/>
  <c r="J36" i="23"/>
  <c r="I36" i="23"/>
  <c r="H36" i="23"/>
  <c r="F36" i="23"/>
  <c r="J35" i="23"/>
  <c r="I35" i="23"/>
  <c r="H35" i="23"/>
  <c r="F35" i="23"/>
  <c r="J34" i="23"/>
  <c r="I34" i="23"/>
  <c r="H34" i="23"/>
  <c r="F34" i="23"/>
  <c r="J33" i="23"/>
  <c r="I33" i="23"/>
  <c r="H33" i="23"/>
  <c r="F33" i="23"/>
  <c r="J32" i="23"/>
  <c r="I32" i="23"/>
  <c r="H32" i="23"/>
  <c r="F32" i="23"/>
  <c r="J27" i="23"/>
  <c r="I27" i="23"/>
  <c r="H27" i="23"/>
  <c r="F27" i="23"/>
  <c r="J26" i="23"/>
  <c r="I26" i="23"/>
  <c r="H26" i="23"/>
  <c r="F26" i="23"/>
  <c r="J25" i="23"/>
  <c r="I25" i="23"/>
  <c r="H25" i="23"/>
  <c r="F25" i="23"/>
  <c r="J23" i="23"/>
  <c r="I23" i="23"/>
  <c r="H23" i="23"/>
  <c r="F23" i="23"/>
  <c r="J22" i="23"/>
  <c r="I22" i="23"/>
  <c r="H17" i="23"/>
  <c r="H22" i="23"/>
  <c r="F22" i="23"/>
  <c r="J17" i="23"/>
  <c r="I17" i="23"/>
  <c r="F17" i="23"/>
  <c r="J16" i="23"/>
  <c r="I16" i="23"/>
  <c r="F16" i="23"/>
  <c r="H16" i="23"/>
  <c r="R449" i="46"/>
  <c r="P449" i="46"/>
  <c r="R448" i="46"/>
  <c r="P448" i="46"/>
  <c r="R447" i="46"/>
  <c r="P447" i="46"/>
  <c r="R443" i="46"/>
  <c r="P443" i="46"/>
  <c r="R442" i="46"/>
  <c r="P442" i="46"/>
  <c r="R438" i="46"/>
  <c r="P438" i="46"/>
  <c r="R437" i="46"/>
  <c r="P437" i="46"/>
  <c r="R436" i="46"/>
  <c r="P436" i="46"/>
  <c r="R433" i="46"/>
  <c r="P433" i="46"/>
  <c r="R432" i="46"/>
  <c r="P432" i="46"/>
  <c r="N449" i="46"/>
  <c r="L449" i="46"/>
  <c r="J449" i="46"/>
  <c r="H449" i="46"/>
  <c r="N448" i="46"/>
  <c r="L448" i="46"/>
  <c r="J448" i="46"/>
  <c r="H448" i="46"/>
  <c r="N447" i="46"/>
  <c r="L447" i="46"/>
  <c r="J447" i="46"/>
  <c r="H447" i="46"/>
  <c r="N443" i="46"/>
  <c r="L443" i="46"/>
  <c r="J443" i="46"/>
  <c r="H443" i="46"/>
  <c r="N442" i="46"/>
  <c r="L442" i="46"/>
  <c r="J442" i="46"/>
  <c r="H442" i="46"/>
  <c r="N438" i="46"/>
  <c r="L438" i="46"/>
  <c r="J438" i="46"/>
  <c r="H438" i="46"/>
  <c r="N437" i="46"/>
  <c r="L437" i="46"/>
  <c r="J437" i="46"/>
  <c r="H437" i="46"/>
  <c r="N436" i="46"/>
  <c r="L436" i="46"/>
  <c r="J436" i="46"/>
  <c r="H436" i="46"/>
  <c r="N433" i="46"/>
  <c r="L433" i="46"/>
  <c r="J433" i="46"/>
  <c r="H433" i="46"/>
  <c r="N432" i="46"/>
  <c r="L432" i="46"/>
  <c r="J432" i="46"/>
  <c r="H432" i="46"/>
  <c r="R382" i="46"/>
  <c r="P382" i="46"/>
  <c r="N382" i="46"/>
  <c r="L382" i="46"/>
  <c r="J382" i="46"/>
  <c r="H382" i="46"/>
  <c r="R381" i="46"/>
  <c r="P381" i="46"/>
  <c r="N381" i="46"/>
  <c r="L381" i="46"/>
  <c r="J381" i="46"/>
  <c r="H381" i="46"/>
  <c r="H379" i="46"/>
  <c r="P357" i="46"/>
  <c r="P337" i="46"/>
  <c r="F337" i="46"/>
  <c r="P316" i="46"/>
  <c r="P295" i="46"/>
  <c r="P276" i="46"/>
  <c r="P252" i="46"/>
  <c r="P172" i="46"/>
  <c r="P182" i="46" s="1"/>
  <c r="P147" i="46"/>
  <c r="F106" i="46"/>
  <c r="F62" i="46"/>
  <c r="P60" i="46"/>
  <c r="E98" i="66" l="1"/>
  <c r="E27" i="66"/>
  <c r="F54" i="18" l="1"/>
  <c r="A53" i="18"/>
  <c r="A54" i="18" s="1"/>
  <c r="A55" i="18" s="1"/>
  <c r="A56" i="18" s="1"/>
  <c r="A57" i="18" s="1"/>
  <c r="A54" i="11"/>
  <c r="A55" i="11" s="1"/>
  <c r="A56" i="11" s="1"/>
  <c r="A57" i="11" s="1"/>
  <c r="A58" i="11" s="1"/>
  <c r="A59" i="11" s="1"/>
  <c r="F56" i="11"/>
  <c r="AD3" i="55" l="1"/>
  <c r="M3" i="55"/>
  <c r="AF6" i="65"/>
  <c r="O6" i="65"/>
  <c r="M8" i="55" l="1"/>
  <c r="D197" i="30" l="1"/>
  <c r="D170" i="30"/>
  <c r="D161" i="30"/>
  <c r="D73" i="30"/>
  <c r="D49" i="30"/>
  <c r="D38" i="30"/>
  <c r="D27" i="30"/>
  <c r="D201" i="30"/>
  <c r="D199" i="30"/>
  <c r="D177" i="30"/>
  <c r="D176" i="30"/>
  <c r="D174" i="30"/>
  <c r="D173" i="30"/>
  <c r="D169" i="30"/>
  <c r="D196" i="30" s="1"/>
  <c r="D167" i="30"/>
  <c r="D194" i="30" s="1"/>
  <c r="D165" i="30"/>
  <c r="D181" i="30" s="1"/>
  <c r="D164" i="30"/>
  <c r="D160" i="30"/>
  <c r="D158" i="30"/>
  <c r="D157" i="30"/>
  <c r="D156" i="30"/>
  <c r="D155" i="30"/>
  <c r="D154" i="30"/>
  <c r="D153" i="30"/>
  <c r="D152" i="30"/>
  <c r="D151" i="30"/>
  <c r="D147" i="30"/>
  <c r="D146" i="30"/>
  <c r="D144" i="30"/>
  <c r="D143" i="30"/>
  <c r="D142" i="30"/>
  <c r="D141" i="30"/>
  <c r="D140" i="30"/>
  <c r="D139" i="30"/>
  <c r="D145" i="30" s="1"/>
  <c r="D180" i="30"/>
  <c r="D98" i="30"/>
  <c r="D97" i="30"/>
  <c r="D96" i="30"/>
  <c r="D95" i="30"/>
  <c r="D94" i="30"/>
  <c r="D93" i="30"/>
  <c r="D92" i="30"/>
  <c r="D91" i="30"/>
  <c r="D90" i="30"/>
  <c r="D89" i="30"/>
  <c r="D88" i="30"/>
  <c r="D87" i="30"/>
  <c r="D86" i="30"/>
  <c r="D53" i="30"/>
  <c r="D60" i="30" s="1"/>
  <c r="D19" i="30"/>
  <c r="D48" i="30" s="1"/>
  <c r="D14" i="30"/>
  <c r="D16" i="30" s="1"/>
  <c r="D56" i="30"/>
  <c r="D201" i="69"/>
  <c r="D199" i="69"/>
  <c r="D177" i="69"/>
  <c r="D176" i="69"/>
  <c r="D174" i="69"/>
  <c r="D173" i="69"/>
  <c r="D169" i="69"/>
  <c r="D167" i="69"/>
  <c r="D165" i="69"/>
  <c r="D164" i="69"/>
  <c r="D157" i="69"/>
  <c r="D156" i="69"/>
  <c r="D155" i="69"/>
  <c r="D154" i="69"/>
  <c r="D153" i="69"/>
  <c r="D92" i="69"/>
  <c r="D91" i="69"/>
  <c r="D90" i="69"/>
  <c r="D89" i="69"/>
  <c r="D88" i="69"/>
  <c r="D87" i="69"/>
  <c r="D86" i="69"/>
  <c r="D53" i="69"/>
  <c r="D14" i="69"/>
  <c r="D19" i="69"/>
  <c r="D203" i="69" s="1"/>
  <c r="D175" i="30" l="1"/>
  <c r="D33" i="30"/>
  <c r="D59" i="30"/>
  <c r="D72" i="30"/>
  <c r="D55" i="30"/>
  <c r="D22" i="30"/>
  <c r="D44" i="30"/>
  <c r="D203" i="30"/>
  <c r="D148" i="30"/>
  <c r="D21" i="30"/>
  <c r="D32" i="30"/>
  <c r="D43" i="30"/>
  <c r="D58" i="30"/>
  <c r="D25" i="30"/>
  <c r="D36" i="30"/>
  <c r="D47" i="30"/>
  <c r="D46" i="30"/>
  <c r="D26" i="30"/>
  <c r="D37" i="30"/>
  <c r="D23" i="30"/>
  <c r="D30" i="30"/>
  <c r="D34" i="30"/>
  <c r="D41" i="30"/>
  <c r="D45" i="30"/>
  <c r="D57" i="30"/>
  <c r="D20" i="30"/>
  <c r="D24" i="30"/>
  <c r="D31" i="30"/>
  <c r="D35" i="30"/>
  <c r="D42" i="30"/>
  <c r="D54" i="30"/>
  <c r="M10" i="56" l="1"/>
  <c r="M2" i="56"/>
  <c r="M2" i="55" l="1"/>
  <c r="R34" i="45" l="1"/>
  <c r="R35" i="45"/>
  <c r="R36" i="45"/>
  <c r="R37" i="45"/>
  <c r="R38" i="45"/>
  <c r="R39" i="45"/>
  <c r="R40" i="45"/>
  <c r="R41" i="45"/>
  <c r="R42" i="45"/>
  <c r="R43" i="45"/>
  <c r="R44" i="45"/>
  <c r="R45" i="45"/>
  <c r="H47" i="31" l="1"/>
  <c r="H17" i="31"/>
  <c r="H19" i="31" s="1"/>
  <c r="H81" i="66" l="1"/>
  <c r="L81" i="66"/>
  <c r="J81" i="66"/>
  <c r="U77" i="66"/>
  <c r="T77" i="66"/>
  <c r="J47" i="31"/>
  <c r="J17" i="31"/>
  <c r="J19" i="31" s="1"/>
  <c r="L117" i="31" l="1"/>
  <c r="L107" i="31"/>
  <c r="L95" i="31"/>
  <c r="L90" i="31"/>
  <c r="L84" i="31"/>
  <c r="L119" i="31" s="1"/>
  <c r="P117" i="31"/>
  <c r="P107" i="31"/>
  <c r="P95" i="31"/>
  <c r="P90" i="31"/>
  <c r="P84" i="31"/>
  <c r="P119" i="31" s="1"/>
  <c r="N117" i="31"/>
  <c r="N107" i="31"/>
  <c r="N95" i="31"/>
  <c r="N90" i="31"/>
  <c r="N84" i="31"/>
  <c r="N119" i="31" s="1"/>
  <c r="L57" i="31"/>
  <c r="L47" i="31"/>
  <c r="L28" i="31"/>
  <c r="L17" i="31"/>
  <c r="L19" i="31" s="1"/>
  <c r="L21" i="31" s="1"/>
  <c r="L59" i="31" s="1"/>
  <c r="N57" i="31"/>
  <c r="N47" i="31"/>
  <c r="N28" i="31"/>
  <c r="N17" i="31"/>
  <c r="N19" i="31" s="1"/>
  <c r="N21" i="31" s="1"/>
  <c r="N59" i="31" s="1"/>
  <c r="P57" i="31"/>
  <c r="P47" i="31"/>
  <c r="P28" i="31"/>
  <c r="P17" i="31"/>
  <c r="P19" i="31" s="1"/>
  <c r="P21" i="31" s="1"/>
  <c r="P59" i="31" s="1"/>
  <c r="A16" i="82" l="1"/>
  <c r="A17" i="82" s="1"/>
  <c r="A18" i="82" s="1"/>
  <c r="A19" i="82" s="1"/>
  <c r="Q17" i="82"/>
  <c r="W17" i="82" s="1"/>
  <c r="A16" i="80"/>
  <c r="A17" i="80" s="1"/>
  <c r="A18" i="80" s="1"/>
  <c r="A19" i="80" s="1"/>
  <c r="Q17" i="80"/>
  <c r="W17" i="80" s="1"/>
  <c r="C38" i="3" l="1"/>
  <c r="P60" i="82" l="1"/>
  <c r="O60" i="82"/>
  <c r="N60" i="82"/>
  <c r="M60" i="82"/>
  <c r="L60" i="82"/>
  <c r="K60" i="82"/>
  <c r="P58" i="82"/>
  <c r="O58" i="82"/>
  <c r="N58" i="82"/>
  <c r="M58" i="82"/>
  <c r="L58" i="82"/>
  <c r="K58" i="82"/>
  <c r="J58" i="82"/>
  <c r="I58" i="82"/>
  <c r="H58" i="82"/>
  <c r="G58" i="82"/>
  <c r="F58" i="82"/>
  <c r="E58" i="82"/>
  <c r="D58" i="82"/>
  <c r="A4" i="82"/>
  <c r="A52" i="82" s="1"/>
  <c r="A4" i="81"/>
  <c r="W62" i="82"/>
  <c r="Q62" i="82"/>
  <c r="A54" i="82"/>
  <c r="Q34" i="82"/>
  <c r="W34" i="82" s="1"/>
  <c r="Q33" i="82"/>
  <c r="W33" i="82" s="1"/>
  <c r="Q32" i="82"/>
  <c r="W32" i="82" s="1"/>
  <c r="Q31" i="82"/>
  <c r="W31" i="82" s="1"/>
  <c r="Q30" i="82"/>
  <c r="W30" i="82" s="1"/>
  <c r="Q29" i="82"/>
  <c r="W29" i="82" s="1"/>
  <c r="Q28" i="82"/>
  <c r="Q36" i="82" s="1"/>
  <c r="P24" i="82"/>
  <c r="O24" i="82"/>
  <c r="N24" i="82"/>
  <c r="M24" i="82"/>
  <c r="L24" i="82"/>
  <c r="K24" i="82"/>
  <c r="J24" i="82"/>
  <c r="I24" i="82"/>
  <c r="H24" i="82"/>
  <c r="G24" i="82"/>
  <c r="F24" i="82"/>
  <c r="E24" i="82"/>
  <c r="D24" i="82"/>
  <c r="Q19" i="82"/>
  <c r="W19" i="82" s="1"/>
  <c r="A21" i="82"/>
  <c r="A28" i="82" s="1"/>
  <c r="A29" i="82" s="1"/>
  <c r="A30" i="82" s="1"/>
  <c r="A31" i="82" s="1"/>
  <c r="A32" i="82" s="1"/>
  <c r="A33" i="82" s="1"/>
  <c r="A34" i="82" s="1"/>
  <c r="A36" i="82" s="1"/>
  <c r="A38" i="82" s="1"/>
  <c r="Q18" i="82"/>
  <c r="W18" i="82" s="1"/>
  <c r="Q16" i="82"/>
  <c r="W16" i="82" s="1"/>
  <c r="Q15" i="82"/>
  <c r="W15" i="82" s="1"/>
  <c r="A15" i="82"/>
  <c r="Q14" i="82"/>
  <c r="W14" i="82" s="1"/>
  <c r="W8" i="82"/>
  <c r="W56" i="82" s="1"/>
  <c r="A7" i="82"/>
  <c r="A55" i="82" s="1"/>
  <c r="A2" i="82"/>
  <c r="A50" i="82" s="1"/>
  <c r="A1" i="82"/>
  <c r="A49" i="82" s="1"/>
  <c r="O72" i="81"/>
  <c r="Q72" i="81" s="1"/>
  <c r="O70" i="81"/>
  <c r="Q70" i="81" s="1"/>
  <c r="O68" i="81"/>
  <c r="Q68" i="81" s="1"/>
  <c r="O64" i="81"/>
  <c r="Q64" i="81" s="1"/>
  <c r="O62" i="81"/>
  <c r="Q62" i="81" s="1"/>
  <c r="O60" i="81"/>
  <c r="Q60" i="81" s="1"/>
  <c r="O58" i="81"/>
  <c r="Q58" i="81" s="1"/>
  <c r="O56" i="81"/>
  <c r="Q56" i="81" s="1"/>
  <c r="O54" i="81"/>
  <c r="Q54" i="81" s="1"/>
  <c r="O52" i="81"/>
  <c r="Q52" i="81" s="1"/>
  <c r="O50" i="81"/>
  <c r="Q50" i="81" s="1"/>
  <c r="O48" i="81"/>
  <c r="Q48" i="81" s="1"/>
  <c r="O45" i="81"/>
  <c r="Q45" i="81" s="1"/>
  <c r="O44" i="81"/>
  <c r="Q44" i="81" s="1"/>
  <c r="O43" i="81"/>
  <c r="Q43" i="81" s="1"/>
  <c r="O39" i="81"/>
  <c r="Q39" i="81" s="1"/>
  <c r="O38" i="81"/>
  <c r="Q38" i="81" s="1"/>
  <c r="O37" i="81"/>
  <c r="Q37" i="81" s="1"/>
  <c r="O33" i="81"/>
  <c r="Q33" i="81" s="1"/>
  <c r="O32" i="81"/>
  <c r="Q32" i="81" s="1"/>
  <c r="O31" i="81"/>
  <c r="Q31" i="81" s="1"/>
  <c r="O30" i="81"/>
  <c r="Q30" i="81" s="1"/>
  <c r="O26" i="81"/>
  <c r="Q26" i="81" s="1"/>
  <c r="O25" i="81"/>
  <c r="Q25" i="81" s="1"/>
  <c r="O24" i="81"/>
  <c r="Q24" i="81" s="1"/>
  <c r="O23" i="81"/>
  <c r="Q23" i="81" s="1"/>
  <c r="O22" i="81"/>
  <c r="Q22" i="81" s="1"/>
  <c r="O21" i="81"/>
  <c r="Q21" i="81" s="1"/>
  <c r="O20" i="81"/>
  <c r="Q20" i="81" s="1"/>
  <c r="O19" i="81"/>
  <c r="Q19" i="81" s="1"/>
  <c r="O18" i="81"/>
  <c r="Q18" i="81" s="1"/>
  <c r="O17" i="81"/>
  <c r="Q17" i="81" s="1"/>
  <c r="A17" i="81"/>
  <c r="A18" i="81" s="1"/>
  <c r="A19" i="81" s="1"/>
  <c r="A20" i="81" s="1"/>
  <c r="A21" i="81" s="1"/>
  <c r="A22" i="81" s="1"/>
  <c r="A23" i="81" s="1"/>
  <c r="A24" i="81" s="1"/>
  <c r="A25" i="81" s="1"/>
  <c r="A26" i="81" s="1"/>
  <c r="A27" i="81" s="1"/>
  <c r="A29" i="81" s="1"/>
  <c r="A30" i="81" s="1"/>
  <c r="A31" i="81" s="1"/>
  <c r="A32" i="81" s="1"/>
  <c r="A33" i="81" s="1"/>
  <c r="A34" i="81" s="1"/>
  <c r="A36" i="81" s="1"/>
  <c r="A37" i="81" s="1"/>
  <c r="A38" i="81" s="1"/>
  <c r="A39" i="81" s="1"/>
  <c r="A40" i="81" s="1"/>
  <c r="A42" i="81" s="1"/>
  <c r="A43" i="81" s="1"/>
  <c r="A44" i="81" s="1"/>
  <c r="A45" i="81" s="1"/>
  <c r="A46" i="81" s="1"/>
  <c r="A48" i="81" s="1"/>
  <c r="A50" i="81" s="1"/>
  <c r="A52" i="81" s="1"/>
  <c r="A54" i="81" s="1"/>
  <c r="A56" i="81" s="1"/>
  <c r="A58" i="81" s="1"/>
  <c r="A60" i="81" s="1"/>
  <c r="A62" i="81" s="1"/>
  <c r="A64" i="81" s="1"/>
  <c r="A66" i="81" s="1"/>
  <c r="A68" i="81" s="1"/>
  <c r="A70" i="81" s="1"/>
  <c r="A72" i="81" s="1"/>
  <c r="A74" i="81" s="1"/>
  <c r="A76" i="81" s="1"/>
  <c r="A78" i="81" s="1"/>
  <c r="A80" i="81" s="1"/>
  <c r="A82" i="81" s="1"/>
  <c r="O16" i="81"/>
  <c r="Q16" i="81" s="1"/>
  <c r="A16" i="81"/>
  <c r="O15" i="81"/>
  <c r="Q15" i="81" s="1"/>
  <c r="A15" i="81"/>
  <c r="O14" i="81"/>
  <c r="Q14" i="81" s="1"/>
  <c r="A14" i="81"/>
  <c r="O13" i="81"/>
  <c r="Q13" i="81" s="1"/>
  <c r="A13" i="81"/>
  <c r="O12" i="81"/>
  <c r="Q12" i="81" s="1"/>
  <c r="Q8" i="81"/>
  <c r="A7" i="81"/>
  <c r="A2" i="81"/>
  <c r="A1" i="81"/>
  <c r="E21" i="25"/>
  <c r="E47" i="25"/>
  <c r="P60" i="80"/>
  <c r="O60" i="80"/>
  <c r="N60" i="80"/>
  <c r="M60" i="80"/>
  <c r="L60" i="80"/>
  <c r="K60" i="80"/>
  <c r="J60" i="80"/>
  <c r="I60" i="80"/>
  <c r="H60" i="80"/>
  <c r="G60" i="80"/>
  <c r="F60" i="80"/>
  <c r="E60" i="80"/>
  <c r="W8" i="80"/>
  <c r="A7" i="80"/>
  <c r="A4" i="80"/>
  <c r="A2" i="80"/>
  <c r="A1" i="80"/>
  <c r="Q16" i="80"/>
  <c r="Q40" i="81" l="1"/>
  <c r="W28" i="82"/>
  <c r="W36" i="82"/>
  <c r="Q21" i="82"/>
  <c r="Q38" i="82" s="1"/>
  <c r="Q27" i="81"/>
  <c r="W21" i="82"/>
  <c r="Q34" i="81"/>
  <c r="Q46" i="81"/>
  <c r="Q32" i="80"/>
  <c r="W32" i="80" s="1"/>
  <c r="Q66" i="81" l="1"/>
  <c r="Q74" i="81" s="1"/>
  <c r="W38" i="82"/>
  <c r="Q76" i="81" s="1"/>
  <c r="Q78" i="81" l="1"/>
  <c r="D38" i="59" s="1"/>
  <c r="O56" i="79"/>
  <c r="A4" i="79"/>
  <c r="Q8" i="79"/>
  <c r="A7" i="79"/>
  <c r="A2" i="79"/>
  <c r="A1" i="79"/>
  <c r="W62" i="80"/>
  <c r="Q62" i="80"/>
  <c r="Q60" i="80"/>
  <c r="W60" i="80" s="1"/>
  <c r="W64" i="80" s="1"/>
  <c r="W66" i="80" s="1"/>
  <c r="Q80" i="79" s="1"/>
  <c r="F38" i="58" s="1"/>
  <c r="A54" i="80"/>
  <c r="Q34" i="80"/>
  <c r="W34" i="80" s="1"/>
  <c r="Q33" i="80"/>
  <c r="W33" i="80" s="1"/>
  <c r="Q31" i="80"/>
  <c r="W31" i="80" s="1"/>
  <c r="Q30" i="80"/>
  <c r="W30" i="80" s="1"/>
  <c r="P24" i="80"/>
  <c r="O24" i="80"/>
  <c r="N24" i="80"/>
  <c r="M24" i="80"/>
  <c r="L24" i="80"/>
  <c r="K24" i="80"/>
  <c r="J24" i="80"/>
  <c r="I24" i="80"/>
  <c r="H24" i="80"/>
  <c r="G24" i="80"/>
  <c r="F24" i="80"/>
  <c r="E24" i="80"/>
  <c r="D24" i="80"/>
  <c r="Q19" i="80"/>
  <c r="W19" i="80" s="1"/>
  <c r="Q18" i="80"/>
  <c r="W18" i="80" s="1"/>
  <c r="W16" i="80"/>
  <c r="Q15" i="80"/>
  <c r="W15" i="80" s="1"/>
  <c r="A15" i="80"/>
  <c r="A21" i="80" s="1"/>
  <c r="A28" i="80" s="1"/>
  <c r="A29" i="80" s="1"/>
  <c r="A30" i="80" s="1"/>
  <c r="A31" i="80" s="1"/>
  <c r="A32" i="80" s="1"/>
  <c r="A33" i="80" s="1"/>
  <c r="Q14" i="80"/>
  <c r="W56" i="80"/>
  <c r="A55" i="80"/>
  <c r="A52" i="80"/>
  <c r="A50" i="80"/>
  <c r="A49" i="80"/>
  <c r="A13" i="79"/>
  <c r="A14" i="79" s="1"/>
  <c r="A15" i="79" s="1"/>
  <c r="A16" i="79" s="1"/>
  <c r="A17" i="79" s="1"/>
  <c r="A18" i="79" s="1"/>
  <c r="A19" i="79" s="1"/>
  <c r="A20" i="79" s="1"/>
  <c r="A21" i="79" s="1"/>
  <c r="A22" i="79" s="1"/>
  <c r="A23" i="79" s="1"/>
  <c r="A24" i="79" s="1"/>
  <c r="A25" i="79" s="1"/>
  <c r="A26" i="79" s="1"/>
  <c r="A27" i="79" s="1"/>
  <c r="A29" i="79" s="1"/>
  <c r="A30" i="79" s="1"/>
  <c r="A31" i="79" s="1"/>
  <c r="A32" i="79" s="1"/>
  <c r="A33" i="79" s="1"/>
  <c r="A34" i="79" s="1"/>
  <c r="A36" i="79" s="1"/>
  <c r="A37" i="79" s="1"/>
  <c r="A38" i="79" s="1"/>
  <c r="A39" i="79" s="1"/>
  <c r="A40" i="79" s="1"/>
  <c r="A42" i="79" s="1"/>
  <c r="A43" i="79" s="1"/>
  <c r="A44" i="79" s="1"/>
  <c r="A45" i="79" s="1"/>
  <c r="A46" i="79" s="1"/>
  <c r="A48" i="79" s="1"/>
  <c r="A50" i="79" s="1"/>
  <c r="A52" i="79" s="1"/>
  <c r="A54" i="79" s="1"/>
  <c r="A56" i="79" s="1"/>
  <c r="A58" i="79" s="1"/>
  <c r="A60" i="79" s="1"/>
  <c r="A62" i="79" s="1"/>
  <c r="A64" i="79" s="1"/>
  <c r="A66" i="79" s="1"/>
  <c r="A68" i="79" s="1"/>
  <c r="A70" i="79" s="1"/>
  <c r="A72" i="79" s="1"/>
  <c r="A74" i="79" s="1"/>
  <c r="A76" i="79" s="1"/>
  <c r="A78" i="79" s="1"/>
  <c r="A80" i="79" s="1"/>
  <c r="A82" i="79" s="1"/>
  <c r="Q28" i="80" l="1"/>
  <c r="Q29" i="80"/>
  <c r="W29" i="80" s="1"/>
  <c r="A34" i="80"/>
  <c r="A36" i="80" s="1"/>
  <c r="A38" i="80" s="1"/>
  <c r="Q56" i="79"/>
  <c r="O44" i="79"/>
  <c r="O20" i="79"/>
  <c r="Q20" i="79" s="1"/>
  <c r="O25" i="79"/>
  <c r="Q25" i="79" s="1"/>
  <c r="W28" i="80"/>
  <c r="W14" i="80"/>
  <c r="W21" i="80" s="1"/>
  <c r="Q21" i="80"/>
  <c r="O13" i="79"/>
  <c r="Q13" i="79" s="1"/>
  <c r="O16" i="79"/>
  <c r="O22" i="79"/>
  <c r="Q22" i="79" s="1"/>
  <c r="O43" i="79"/>
  <c r="O31" i="79"/>
  <c r="O30" i="79"/>
  <c r="O24" i="79"/>
  <c r="O23" i="79"/>
  <c r="O15" i="79"/>
  <c r="Q15" i="79" s="1"/>
  <c r="O72" i="79"/>
  <c r="Q72" i="79" s="1"/>
  <c r="O70" i="79"/>
  <c r="Q70" i="79" s="1"/>
  <c r="O68" i="79"/>
  <c r="Q68" i="79" s="1"/>
  <c r="O45" i="79"/>
  <c r="O39" i="79"/>
  <c r="O38" i="79"/>
  <c r="O37" i="79"/>
  <c r="O33" i="79"/>
  <c r="Q33" i="79" s="1"/>
  <c r="O18" i="79"/>
  <c r="Q18" i="79" s="1"/>
  <c r="O12" i="79"/>
  <c r="Q12" i="79" s="1"/>
  <c r="O62" i="79"/>
  <c r="O14" i="79"/>
  <c r="Q14" i="79" s="1"/>
  <c r="O17" i="79"/>
  <c r="O19" i="79"/>
  <c r="Q19" i="79" s="1"/>
  <c r="O21" i="79"/>
  <c r="Q21" i="79" s="1"/>
  <c r="O26" i="79"/>
  <c r="Q26" i="79" s="1"/>
  <c r="Q31" i="79"/>
  <c r="O32" i="79"/>
  <c r="Q32" i="79" s="1"/>
  <c r="Q64" i="80"/>
  <c r="Q66" i="80" s="1"/>
  <c r="Q36" i="80" l="1"/>
  <c r="Q38" i="80" s="1"/>
  <c r="W36" i="80"/>
  <c r="W38" i="80" s="1"/>
  <c r="Q76" i="79" s="1"/>
  <c r="O64" i="79"/>
  <c r="O52" i="79"/>
  <c r="Q52" i="79" s="1"/>
  <c r="O60" i="79"/>
  <c r="O48" i="79"/>
  <c r="Q48" i="79" s="1"/>
  <c r="O54" i="79"/>
  <c r="Q23" i="79"/>
  <c r="Q30" i="79"/>
  <c r="Q34" i="79" s="1"/>
  <c r="O50" i="79"/>
  <c r="Q50" i="79" s="1"/>
  <c r="O58" i="79"/>
  <c r="Q58" i="79" s="1"/>
  <c r="AJ17" i="72"/>
  <c r="AI18" i="72" l="1"/>
  <c r="AH16" i="72"/>
  <c r="F116" i="31" l="1"/>
  <c r="F115" i="31"/>
  <c r="F114" i="31"/>
  <c r="F113" i="31"/>
  <c r="F112" i="31"/>
  <c r="F111" i="31"/>
  <c r="F110" i="31"/>
  <c r="F93" i="31"/>
  <c r="F106" i="31"/>
  <c r="F105" i="31"/>
  <c r="F104" i="31"/>
  <c r="F103" i="31"/>
  <c r="F102" i="31"/>
  <c r="F101" i="31"/>
  <c r="F100" i="31"/>
  <c r="F99" i="31"/>
  <c r="F98" i="31"/>
  <c r="F94" i="31"/>
  <c r="F89" i="31"/>
  <c r="F87" i="31"/>
  <c r="F82" i="31"/>
  <c r="F81" i="31"/>
  <c r="F80" i="31"/>
  <c r="F79" i="31"/>
  <c r="F78" i="31"/>
  <c r="F53" i="31"/>
  <c r="F54" i="31"/>
  <c r="F56" i="31"/>
  <c r="F50" i="31"/>
  <c r="F55" i="31"/>
  <c r="F46" i="31"/>
  <c r="F45" i="31"/>
  <c r="F44" i="31"/>
  <c r="F43" i="31"/>
  <c r="F42" i="31"/>
  <c r="F41" i="31"/>
  <c r="F40" i="31"/>
  <c r="F39" i="31"/>
  <c r="F36" i="31"/>
  <c r="F37" i="31"/>
  <c r="F38" i="31"/>
  <c r="F35" i="31"/>
  <c r="F34" i="31"/>
  <c r="F33" i="31"/>
  <c r="F31" i="31"/>
  <c r="K44" i="78" l="1"/>
  <c r="J44" i="78"/>
  <c r="K31" i="78"/>
  <c r="J31" i="78"/>
  <c r="K20" i="78"/>
  <c r="J20" i="78"/>
  <c r="K11" i="78"/>
  <c r="J11" i="78"/>
  <c r="A66" i="10"/>
  <c r="A67" i="10" s="1"/>
  <c r="A68" i="10" s="1"/>
  <c r="A69" i="10" s="1"/>
  <c r="A70" i="10" s="1"/>
  <c r="A71" i="10" s="1"/>
  <c r="D160" i="69"/>
  <c r="D158" i="69"/>
  <c r="D152" i="69"/>
  <c r="D151" i="69"/>
  <c r="D147" i="69"/>
  <c r="D146" i="69"/>
  <c r="D144" i="69"/>
  <c r="D143" i="69"/>
  <c r="D142" i="69"/>
  <c r="D141" i="69"/>
  <c r="D140" i="69"/>
  <c r="D139" i="69"/>
  <c r="D98" i="69"/>
  <c r="D97" i="69"/>
  <c r="D96" i="69"/>
  <c r="D95" i="69"/>
  <c r="D94" i="69"/>
  <c r="D93" i="69"/>
  <c r="C14" i="67"/>
  <c r="C14" i="68"/>
  <c r="C45" i="26"/>
  <c r="E45" i="25" s="1"/>
  <c r="C20" i="26"/>
  <c r="E19" i="25" s="1"/>
  <c r="H52" i="78" l="1"/>
  <c r="H51" i="78"/>
  <c r="H50" i="78"/>
  <c r="H49" i="78"/>
  <c r="G44" i="78"/>
  <c r="H43" i="78"/>
  <c r="H42" i="78"/>
  <c r="H41" i="78"/>
  <c r="H40" i="78"/>
  <c r="H39" i="78"/>
  <c r="H38" i="78"/>
  <c r="H37" i="78"/>
  <c r="H36" i="78"/>
  <c r="H44" i="78" s="1"/>
  <c r="E44" i="78"/>
  <c r="J45" i="78" s="1"/>
  <c r="E31" i="78"/>
  <c r="J32" i="78" s="1"/>
  <c r="H30" i="78"/>
  <c r="H28" i="78"/>
  <c r="H26" i="78"/>
  <c r="G31" i="78"/>
  <c r="K32" i="78" s="1"/>
  <c r="H19" i="78"/>
  <c r="H18" i="78"/>
  <c r="H17" i="78"/>
  <c r="G20" i="78"/>
  <c r="K21" i="78" s="1"/>
  <c r="H16" i="78"/>
  <c r="H20" i="78" s="1"/>
  <c r="H9" i="78"/>
  <c r="H7" i="78"/>
  <c r="G11" i="78"/>
  <c r="K12" i="78" s="1"/>
  <c r="K42" i="78" l="1"/>
  <c r="K40" i="78"/>
  <c r="K38" i="78"/>
  <c r="K36" i="78"/>
  <c r="K19" i="78"/>
  <c r="K17" i="78"/>
  <c r="K30" i="78"/>
  <c r="K28" i="78"/>
  <c r="K26" i="78"/>
  <c r="K9" i="78"/>
  <c r="K7" i="78"/>
  <c r="K43" i="78"/>
  <c r="K41" i="78"/>
  <c r="K39" i="78"/>
  <c r="K37" i="78"/>
  <c r="K29" i="78"/>
  <c r="K27" i="78"/>
  <c r="K25" i="78"/>
  <c r="K18" i="78"/>
  <c r="K16" i="78"/>
  <c r="K10" i="78"/>
  <c r="K8" i="78"/>
  <c r="K6" i="78"/>
  <c r="E20" i="78"/>
  <c r="J21" i="78" s="1"/>
  <c r="H53" i="78"/>
  <c r="H25" i="78"/>
  <c r="H27" i="78"/>
  <c r="H29" i="78"/>
  <c r="G53" i="78"/>
  <c r="E53" i="78"/>
  <c r="K45" i="78"/>
  <c r="E11" i="78"/>
  <c r="J12" i="78" s="1"/>
  <c r="H6" i="78"/>
  <c r="H8" i="78"/>
  <c r="H10" i="78"/>
  <c r="H11" i="78" l="1"/>
  <c r="E56" i="78"/>
  <c r="H31" i="78"/>
  <c r="J29" i="78"/>
  <c r="L29" i="78" s="1"/>
  <c r="J27" i="78"/>
  <c r="L27" i="78" s="1"/>
  <c r="J25" i="78"/>
  <c r="L25" i="78" s="1"/>
  <c r="J10" i="78"/>
  <c r="L10" i="78" s="1"/>
  <c r="J8" i="78"/>
  <c r="L8" i="78" s="1"/>
  <c r="J6" i="78"/>
  <c r="L6" i="78" s="1"/>
  <c r="J42" i="78"/>
  <c r="L42" i="78" s="1"/>
  <c r="J40" i="78"/>
  <c r="L40" i="78" s="1"/>
  <c r="J38" i="78"/>
  <c r="L38" i="78" s="1"/>
  <c r="J36" i="78"/>
  <c r="L36" i="78" s="1"/>
  <c r="J19" i="78"/>
  <c r="L19" i="78" s="1"/>
  <c r="J17" i="78"/>
  <c r="L17" i="78" s="1"/>
  <c r="J30" i="78"/>
  <c r="L30" i="78" s="1"/>
  <c r="J41" i="78"/>
  <c r="L41" i="78" s="1"/>
  <c r="J37" i="78"/>
  <c r="L37" i="78" s="1"/>
  <c r="J43" i="78"/>
  <c r="L43" i="78" s="1"/>
  <c r="J39" i="78"/>
  <c r="L39" i="78" s="1"/>
  <c r="J28" i="78"/>
  <c r="L28" i="78" s="1"/>
  <c r="J26" i="78"/>
  <c r="L26" i="78" s="1"/>
  <c r="J18" i="78"/>
  <c r="L18" i="78" s="1"/>
  <c r="J16" i="78"/>
  <c r="L16" i="78" s="1"/>
  <c r="J9" i="78"/>
  <c r="L9" i="78" s="1"/>
  <c r="J7" i="78"/>
  <c r="L7" i="78" s="1"/>
  <c r="G56" i="78"/>
  <c r="H56" i="78"/>
  <c r="L31" i="78" l="1"/>
  <c r="M31" i="78" s="1"/>
  <c r="L44" i="78"/>
  <c r="M44" i="78" s="1"/>
  <c r="L11" i="78"/>
  <c r="M11" i="78" s="1"/>
  <c r="L20" i="78"/>
  <c r="M20" i="78" s="1"/>
  <c r="G37" i="9" l="1"/>
  <c r="F37" i="9" s="1"/>
  <c r="G34" i="9"/>
  <c r="G39" i="9"/>
  <c r="F39" i="9"/>
  <c r="G38" i="9"/>
  <c r="F38" i="9" s="1"/>
  <c r="F36" i="9"/>
  <c r="G35" i="9"/>
  <c r="F35" i="9"/>
  <c r="G16" i="9"/>
  <c r="F16" i="9" s="1"/>
  <c r="F15" i="9"/>
  <c r="G18" i="9"/>
  <c r="F18" i="9" s="1"/>
  <c r="G17" i="9"/>
  <c r="F17" i="9" s="1"/>
  <c r="G14" i="9"/>
  <c r="G41" i="9" l="1"/>
  <c r="F41" i="9" s="1"/>
  <c r="F14" i="67"/>
  <c r="F34" i="9"/>
  <c r="F15" i="16"/>
  <c r="F40" i="28" l="1"/>
  <c r="D40" i="28"/>
  <c r="F18" i="28"/>
  <c r="D18" i="28"/>
  <c r="AD8" i="55" l="1"/>
  <c r="AD2" i="55" l="1"/>
  <c r="M4" i="55"/>
  <c r="N8" i="51"/>
  <c r="AD4" i="55" l="1"/>
  <c r="E40" i="28" l="1"/>
  <c r="E18" i="28"/>
  <c r="L13" i="18" l="1"/>
  <c r="L43" i="18"/>
  <c r="AN17" i="76"/>
  <c r="AN18" i="76"/>
  <c r="AM19" i="76"/>
  <c r="W19" i="76"/>
  <c r="AD25" i="76"/>
  <c r="AE25" i="76" s="1"/>
  <c r="AC25" i="76"/>
  <c r="M25" i="76"/>
  <c r="N25" i="76" s="1"/>
  <c r="O25" i="76" s="1"/>
  <c r="P25" i="76" s="1"/>
  <c r="L25" i="76"/>
  <c r="AC24" i="76"/>
  <c r="AD24" i="76" s="1"/>
  <c r="AE24" i="76" s="1"/>
  <c r="AF24" i="76" s="1"/>
  <c r="L24" i="76"/>
  <c r="M24" i="76" s="1"/>
  <c r="AG23" i="76"/>
  <c r="AH23" i="76" s="1"/>
  <c r="AI23" i="76" s="1"/>
  <c r="AJ23" i="76" s="1"/>
  <c r="AK23" i="76" s="1"/>
  <c r="AL23" i="76" s="1"/>
  <c r="AM23" i="76" s="1"/>
  <c r="AC23" i="76"/>
  <c r="AD23" i="76" s="1"/>
  <c r="AE23" i="76" s="1"/>
  <c r="AF23" i="76" s="1"/>
  <c r="L23" i="76"/>
  <c r="M23" i="76" s="1"/>
  <c r="N23" i="76" s="1"/>
  <c r="O23" i="76" s="1"/>
  <c r="P23" i="76" s="1"/>
  <c r="Q23" i="76" s="1"/>
  <c r="R23" i="76" s="1"/>
  <c r="S23" i="76" s="1"/>
  <c r="T23" i="76" s="1"/>
  <c r="U23" i="76" s="1"/>
  <c r="V23" i="76" s="1"/>
  <c r="W23" i="76" s="1"/>
  <c r="X23" i="76" s="1"/>
  <c r="Y23" i="76" s="1"/>
  <c r="Z23" i="76" s="1"/>
  <c r="AA23" i="76" s="1"/>
  <c r="AG22" i="76"/>
  <c r="AH22" i="76" s="1"/>
  <c r="AI22" i="76" s="1"/>
  <c r="AJ22" i="76" s="1"/>
  <c r="AK22" i="76" s="1"/>
  <c r="AL22" i="76" s="1"/>
  <c r="AM22" i="76" s="1"/>
  <c r="AF22" i="76"/>
  <c r="AC22" i="76"/>
  <c r="AD22" i="76" s="1"/>
  <c r="AE22" i="76" s="1"/>
  <c r="L22" i="76"/>
  <c r="M22" i="76" s="1"/>
  <c r="N22" i="76" s="1"/>
  <c r="O22" i="76" s="1"/>
  <c r="P22" i="76" s="1"/>
  <c r="AD21" i="76"/>
  <c r="AE21" i="76" s="1"/>
  <c r="AF21" i="76" s="1"/>
  <c r="AG21" i="76" s="1"/>
  <c r="AH21" i="76" s="1"/>
  <c r="AI21" i="76" s="1"/>
  <c r="AJ21" i="76" s="1"/>
  <c r="AK21" i="76" s="1"/>
  <c r="AL21" i="76" s="1"/>
  <c r="AM21" i="76" s="1"/>
  <c r="AC21" i="76"/>
  <c r="Q21" i="76"/>
  <c r="R21" i="76" s="1"/>
  <c r="S21" i="76" s="1"/>
  <c r="T21" i="76" s="1"/>
  <c r="U21" i="76" s="1"/>
  <c r="V21" i="76" s="1"/>
  <c r="W21" i="76" s="1"/>
  <c r="X21" i="76" s="1"/>
  <c r="Y21" i="76" s="1"/>
  <c r="Z21" i="76" s="1"/>
  <c r="AA21" i="76" s="1"/>
  <c r="M21" i="76"/>
  <c r="N21" i="76" s="1"/>
  <c r="O21" i="76" s="1"/>
  <c r="P21" i="76" s="1"/>
  <c r="L21" i="76"/>
  <c r="F21" i="76"/>
  <c r="B21" i="76"/>
  <c r="E20" i="76"/>
  <c r="G19" i="76"/>
  <c r="E19" i="76"/>
  <c r="K18" i="76"/>
  <c r="K13" i="76"/>
  <c r="F13" i="76"/>
  <c r="G12" i="76"/>
  <c r="N12" i="76" s="1"/>
  <c r="B12" i="76"/>
  <c r="AB11" i="76"/>
  <c r="G11" i="76"/>
  <c r="AC11" i="76" s="1"/>
  <c r="G10" i="76"/>
  <c r="E10" i="76"/>
  <c r="O9" i="76"/>
  <c r="G9" i="76"/>
  <c r="AC9" i="76" s="1"/>
  <c r="E8" i="76"/>
  <c r="L6" i="76"/>
  <c r="M6" i="76" s="1"/>
  <c r="N6" i="76" s="1"/>
  <c r="O6" i="76" s="1"/>
  <c r="P6" i="76" s="1"/>
  <c r="Q6" i="76" s="1"/>
  <c r="R6" i="76" s="1"/>
  <c r="S6" i="76" s="1"/>
  <c r="T6" i="76" s="1"/>
  <c r="U6" i="76" s="1"/>
  <c r="V6" i="76" s="1"/>
  <c r="W6" i="76" s="1"/>
  <c r="X6" i="76" s="1"/>
  <c r="Y6" i="76" s="1"/>
  <c r="Z6" i="76" s="1"/>
  <c r="AA6" i="76" s="1"/>
  <c r="AB6" i="76" s="1"/>
  <c r="AC6" i="76" s="1"/>
  <c r="AD6" i="76" s="1"/>
  <c r="AE6" i="76" s="1"/>
  <c r="AF6" i="76" s="1"/>
  <c r="AG6" i="76" s="1"/>
  <c r="AH6" i="76" s="1"/>
  <c r="AI6" i="76" s="1"/>
  <c r="AJ6" i="76" s="1"/>
  <c r="AK6" i="76" s="1"/>
  <c r="AL6" i="76" s="1"/>
  <c r="AM6" i="76" s="1"/>
  <c r="F6" i="76"/>
  <c r="E5" i="76"/>
  <c r="G5" i="76" s="1"/>
  <c r="G4" i="76"/>
  <c r="E4" i="76"/>
  <c r="AE9" i="76" l="1"/>
  <c r="AD11" i="76"/>
  <c r="O12" i="76"/>
  <c r="M9" i="76"/>
  <c r="AI9" i="76"/>
  <c r="L11" i="76"/>
  <c r="AD12" i="76"/>
  <c r="M11" i="76"/>
  <c r="Q22" i="76"/>
  <c r="R22" i="76" s="1"/>
  <c r="S22" i="76" s="1"/>
  <c r="T22" i="76" s="1"/>
  <c r="P9" i="76"/>
  <c r="G6" i="76"/>
  <c r="G8" i="76"/>
  <c r="E13" i="76"/>
  <c r="AJ10" i="76"/>
  <c r="AF10" i="76"/>
  <c r="AB10" i="76"/>
  <c r="X10" i="76"/>
  <c r="T10" i="76"/>
  <c r="P10" i="76"/>
  <c r="L10" i="76"/>
  <c r="AI10" i="76"/>
  <c r="AD10" i="76"/>
  <c r="Y10" i="76"/>
  <c r="S10" i="76"/>
  <c r="N10" i="76"/>
  <c r="AL10" i="76"/>
  <c r="AE10" i="76"/>
  <c r="W10" i="76"/>
  <c r="Q10" i="76"/>
  <c r="U10" i="76"/>
  <c r="AC10" i="76"/>
  <c r="AM10" i="76"/>
  <c r="AJ9" i="76"/>
  <c r="M10" i="76"/>
  <c r="V10" i="76"/>
  <c r="AG10" i="76"/>
  <c r="AK9" i="76"/>
  <c r="O10" i="76"/>
  <c r="Z10" i="76"/>
  <c r="AH10" i="76"/>
  <c r="G21" i="76"/>
  <c r="E6" i="76"/>
  <c r="R10" i="76"/>
  <c r="AA10" i="76"/>
  <c r="AK10" i="76"/>
  <c r="G20" i="76"/>
  <c r="E21" i="76"/>
  <c r="N24" i="76"/>
  <c r="AF11" i="76"/>
  <c r="AG24" i="76"/>
  <c r="Q25" i="76"/>
  <c r="R25" i="76" s="1"/>
  <c r="S25" i="76" s="1"/>
  <c r="T25" i="76" s="1"/>
  <c r="P12" i="76"/>
  <c r="AF25" i="76"/>
  <c r="AG25" i="76" s="1"/>
  <c r="AH25" i="76" s="1"/>
  <c r="AI25" i="76" s="1"/>
  <c r="AE12" i="76"/>
  <c r="AL9" i="76"/>
  <c r="AH9" i="76"/>
  <c r="AD9" i="76"/>
  <c r="N9" i="76"/>
  <c r="AM9" i="76"/>
  <c r="AG9" i="76"/>
  <c r="AB9" i="76"/>
  <c r="L9" i="76"/>
  <c r="AF9" i="76"/>
  <c r="AC12" i="76"/>
  <c r="Q12" i="76"/>
  <c r="M12" i="76"/>
  <c r="AB12" i="76"/>
  <c r="L12" i="76"/>
  <c r="S12" i="76"/>
  <c r="AE11" i="76"/>
  <c r="AJ25" i="76" l="1"/>
  <c r="AI12" i="76"/>
  <c r="U22" i="76"/>
  <c r="T9" i="76"/>
  <c r="AG12" i="76"/>
  <c r="S9" i="76"/>
  <c r="R9" i="76"/>
  <c r="O24" i="76"/>
  <c r="N11" i="76"/>
  <c r="AM8" i="76"/>
  <c r="AI8" i="76"/>
  <c r="AE8" i="76"/>
  <c r="AE13" i="76" s="1"/>
  <c r="AA8" i="76"/>
  <c r="W8" i="76"/>
  <c r="S8" i="76"/>
  <c r="AJ8" i="76"/>
  <c r="AD8" i="76"/>
  <c r="AD13" i="76" s="1"/>
  <c r="Y8" i="76"/>
  <c r="T8" i="76"/>
  <c r="O8" i="76"/>
  <c r="AG8" i="76"/>
  <c r="Z8" i="76"/>
  <c r="R8" i="76"/>
  <c r="M8" i="76"/>
  <c r="M13" i="76" s="1"/>
  <c r="AH8" i="76"/>
  <c r="X8" i="76"/>
  <c r="P8" i="76"/>
  <c r="G13" i="76"/>
  <c r="AF8" i="76"/>
  <c r="V8" i="76"/>
  <c r="N8" i="76"/>
  <c r="AL8" i="76"/>
  <c r="AC8" i="76"/>
  <c r="AC13" i="76" s="1"/>
  <c r="U8" i="76"/>
  <c r="L8" i="76"/>
  <c r="L13" i="76" s="1"/>
  <c r="L17" i="76" s="1"/>
  <c r="AK8" i="76"/>
  <c r="AB8" i="76"/>
  <c r="AB13" i="76" s="1"/>
  <c r="Q8" i="76"/>
  <c r="AH12" i="76"/>
  <c r="U25" i="76"/>
  <c r="T12" i="76"/>
  <c r="AF12" i="76"/>
  <c r="R12" i="76"/>
  <c r="Q9" i="76"/>
  <c r="AH24" i="76"/>
  <c r="AG11" i="76"/>
  <c r="AF13" i="76" l="1"/>
  <c r="AG13" i="76"/>
  <c r="AI24" i="76"/>
  <c r="AH11" i="76"/>
  <c r="AH13" i="76"/>
  <c r="AK25" i="76"/>
  <c r="AJ12" i="76"/>
  <c r="V25" i="76"/>
  <c r="U12" i="76"/>
  <c r="P24" i="76"/>
  <c r="O11" i="76"/>
  <c r="O13" i="76" s="1"/>
  <c r="L18" i="76"/>
  <c r="M17" i="76"/>
  <c r="N13" i="76"/>
  <c r="V22" i="76"/>
  <c r="U9" i="76"/>
  <c r="M18" i="76" l="1"/>
  <c r="N17" i="76"/>
  <c r="W22" i="76"/>
  <c r="V9" i="76"/>
  <c r="W25" i="76"/>
  <c r="V12" i="76"/>
  <c r="P11" i="76"/>
  <c r="P13" i="76" s="1"/>
  <c r="Q24" i="76"/>
  <c r="AL25" i="76"/>
  <c r="AK12" i="76"/>
  <c r="AJ24" i="76"/>
  <c r="AI11" i="76"/>
  <c r="AI13" i="76" s="1"/>
  <c r="AK24" i="76" l="1"/>
  <c r="AJ11" i="76"/>
  <c r="AJ13" i="76" s="1"/>
  <c r="X22" i="76"/>
  <c r="W9" i="76"/>
  <c r="O17" i="76"/>
  <c r="N18" i="76"/>
  <c r="AM25" i="76"/>
  <c r="AM12" i="76" s="1"/>
  <c r="AL12" i="76"/>
  <c r="X25" i="76"/>
  <c r="W12" i="76"/>
  <c r="R24" i="76"/>
  <c r="Q11" i="76"/>
  <c r="Q13" i="76" s="1"/>
  <c r="S24" i="76" l="1"/>
  <c r="R11" i="76"/>
  <c r="R13" i="76" s="1"/>
  <c r="Y22" i="76"/>
  <c r="X9" i="76"/>
  <c r="Y25" i="76"/>
  <c r="X12" i="76"/>
  <c r="O18" i="76"/>
  <c r="P17" i="76"/>
  <c r="AK11" i="76"/>
  <c r="AK13" i="76" s="1"/>
  <c r="AL24" i="76"/>
  <c r="Z22" i="76" l="1"/>
  <c r="Y9" i="76"/>
  <c r="AM24" i="76"/>
  <c r="AM11" i="76" s="1"/>
  <c r="AM13" i="76" s="1"/>
  <c r="AL11" i="76"/>
  <c r="AL13" i="76" s="1"/>
  <c r="Z25" i="76"/>
  <c r="Y12" i="76"/>
  <c r="T24" i="76"/>
  <c r="S11" i="76"/>
  <c r="S13" i="76" s="1"/>
  <c r="P18" i="76"/>
  <c r="Q17" i="76"/>
  <c r="T11" i="76" l="1"/>
  <c r="T13" i="76" s="1"/>
  <c r="U24" i="76"/>
  <c r="Q18" i="76"/>
  <c r="R17" i="76"/>
  <c r="AA25" i="76"/>
  <c r="AA12" i="76" s="1"/>
  <c r="Z12" i="76"/>
  <c r="AA22" i="76"/>
  <c r="AA9" i="76" s="1"/>
  <c r="Z9" i="76"/>
  <c r="R18" i="76" l="1"/>
  <c r="S17" i="76"/>
  <c r="U11" i="76"/>
  <c r="U13" i="76" s="1"/>
  <c r="V24" i="76"/>
  <c r="T17" i="76" l="1"/>
  <c r="S18" i="76"/>
  <c r="W24" i="76"/>
  <c r="V11" i="76"/>
  <c r="V13" i="76" s="1"/>
  <c r="X24" i="76" l="1"/>
  <c r="W11" i="76"/>
  <c r="W13" i="76" s="1"/>
  <c r="T18" i="76"/>
  <c r="U17" i="76"/>
  <c r="Y24" i="76" l="1"/>
  <c r="X11" i="76"/>
  <c r="X13" i="76" s="1"/>
  <c r="U18" i="76"/>
  <c r="V17" i="76"/>
  <c r="W17" i="76" l="1"/>
  <c r="V18" i="76"/>
  <c r="Z24" i="76"/>
  <c r="Y11" i="76"/>
  <c r="Y13" i="76" s="1"/>
  <c r="W18" i="76" l="1"/>
  <c r="X17" i="76"/>
  <c r="AA24" i="76"/>
  <c r="AA11" i="76" s="1"/>
  <c r="AA13" i="76" s="1"/>
  <c r="Z11" i="76"/>
  <c r="Z13" i="76" s="1"/>
  <c r="X18" i="76" l="1"/>
  <c r="Y17" i="76"/>
  <c r="Z17" i="76" l="1"/>
  <c r="Y18" i="76"/>
  <c r="Z18" i="76" l="1"/>
  <c r="AA17" i="76"/>
  <c r="AA18" i="76" l="1"/>
  <c r="AB17" i="76"/>
  <c r="AB18" i="76" l="1"/>
  <c r="AC17" i="76"/>
  <c r="AC18" i="76" l="1"/>
  <c r="AD17" i="76"/>
  <c r="AE17" i="76" l="1"/>
  <c r="AD18" i="76"/>
  <c r="AE18" i="76" l="1"/>
  <c r="AF17" i="76"/>
  <c r="AF18" i="76" l="1"/>
  <c r="AG17" i="76"/>
  <c r="AG18" i="76" l="1"/>
  <c r="AH17" i="76"/>
  <c r="AH18" i="76" l="1"/>
  <c r="AI17" i="76"/>
  <c r="AJ17" i="76" l="1"/>
  <c r="AI18" i="76"/>
  <c r="AJ18" i="76" l="1"/>
  <c r="AK17" i="76"/>
  <c r="AL17" i="76" l="1"/>
  <c r="AK18" i="76"/>
  <c r="AL18" i="76" l="1"/>
  <c r="AM17" i="76"/>
  <c r="AM18" i="76" s="1"/>
  <c r="C45" i="20" l="1"/>
  <c r="C43" i="20"/>
  <c r="C41" i="20"/>
  <c r="H45" i="20"/>
  <c r="H43" i="20"/>
  <c r="H41" i="20"/>
  <c r="H39" i="20"/>
  <c r="D39" i="20"/>
  <c r="C39" i="20"/>
  <c r="L114" i="19"/>
  <c r="L90" i="19"/>
  <c r="L74" i="19"/>
  <c r="L62" i="19"/>
  <c r="L39" i="19"/>
  <c r="L28" i="19"/>
  <c r="L17" i="19"/>
  <c r="F38" i="28" l="1"/>
  <c r="F36" i="28"/>
  <c r="F34" i="28"/>
  <c r="D38" i="28"/>
  <c r="D36" i="28"/>
  <c r="D34" i="28"/>
  <c r="C43" i="26"/>
  <c r="E43" i="26"/>
  <c r="E41" i="26"/>
  <c r="C41" i="26"/>
  <c r="C39" i="26"/>
  <c r="E39" i="26"/>
  <c r="B591" i="48"/>
  <c r="B590" i="48"/>
  <c r="B589" i="48"/>
  <c r="B587" i="48"/>
  <c r="B586" i="48"/>
  <c r="B585" i="48"/>
  <c r="B584" i="48"/>
  <c r="B582" i="48"/>
  <c r="B581" i="48"/>
  <c r="B580" i="48"/>
  <c r="B225" i="48"/>
  <c r="B220" i="48"/>
  <c r="B205" i="48"/>
  <c r="B193" i="48"/>
  <c r="B185" i="48"/>
  <c r="B176" i="48"/>
  <c r="B167" i="48"/>
  <c r="B150" i="48"/>
  <c r="B141" i="48"/>
  <c r="B130" i="48"/>
  <c r="B111" i="48"/>
  <c r="B98" i="48"/>
  <c r="B85" i="48"/>
  <c r="B74" i="48"/>
  <c r="R46" i="45"/>
  <c r="R28" i="45"/>
  <c r="D28" i="45"/>
  <c r="R27" i="45"/>
  <c r="D27" i="45"/>
  <c r="G13" i="9"/>
  <c r="G20" i="9" s="1"/>
  <c r="F20" i="9" s="1"/>
  <c r="I116" i="5"/>
  <c r="H116" i="5"/>
  <c r="D116" i="5"/>
  <c r="C46" i="41"/>
  <c r="C310" i="41"/>
  <c r="C309" i="41"/>
  <c r="C308" i="41"/>
  <c r="C304" i="41"/>
  <c r="C302" i="41"/>
  <c r="C301" i="41"/>
  <c r="C300" i="41"/>
  <c r="C299" i="41"/>
  <c r="C298" i="41"/>
  <c r="C297" i="41"/>
  <c r="C296" i="41"/>
  <c r="C295" i="41"/>
  <c r="C294" i="41"/>
  <c r="C292" i="41"/>
  <c r="C244" i="41"/>
  <c r="C243" i="41"/>
  <c r="C242" i="41"/>
  <c r="C241" i="41"/>
  <c r="C240" i="41"/>
  <c r="C239" i="41"/>
  <c r="C238" i="41"/>
  <c r="C236" i="41"/>
  <c r="C232" i="41"/>
  <c r="C228" i="41"/>
  <c r="C226" i="41"/>
  <c r="C225" i="41"/>
  <c r="C224" i="41"/>
  <c r="C223" i="41"/>
  <c r="C222" i="41"/>
  <c r="C221" i="41"/>
  <c r="C219" i="41"/>
  <c r="C217" i="41"/>
  <c r="C216" i="41"/>
  <c r="C212" i="41"/>
  <c r="C211" i="41"/>
  <c r="C209" i="41"/>
  <c r="C208" i="41"/>
  <c r="C207" i="41"/>
  <c r="C206" i="41"/>
  <c r="C205" i="41"/>
  <c r="C204" i="41"/>
  <c r="C203" i="41"/>
  <c r="C202" i="41"/>
  <c r="C201" i="41"/>
  <c r="C199" i="41"/>
  <c r="C110" i="41"/>
  <c r="C109" i="41"/>
  <c r="C108" i="41"/>
  <c r="C107" i="41"/>
  <c r="C106" i="41"/>
  <c r="C105" i="41"/>
  <c r="C102" i="41"/>
  <c r="C100" i="41"/>
  <c r="C98" i="41"/>
  <c r="C96" i="41"/>
  <c r="C93" i="41"/>
  <c r="C92" i="41"/>
  <c r="C90" i="41"/>
  <c r="C88" i="41"/>
  <c r="C86" i="41"/>
  <c r="C84" i="41"/>
  <c r="C83" i="41"/>
  <c r="C79" i="41"/>
  <c r="C78" i="41"/>
  <c r="C76" i="41"/>
  <c r="C75" i="41"/>
  <c r="C74" i="41"/>
  <c r="C72" i="41"/>
  <c r="C71" i="41"/>
  <c r="C69" i="41"/>
  <c r="C64" i="41"/>
  <c r="C63" i="41"/>
  <c r="C62" i="41"/>
  <c r="C58" i="41"/>
  <c r="C57" i="41"/>
  <c r="C56" i="41"/>
  <c r="C55" i="41"/>
  <c r="C54" i="41"/>
  <c r="C53" i="41"/>
  <c r="C52" i="41"/>
  <c r="C51" i="41"/>
  <c r="C47" i="41"/>
  <c r="C44" i="41"/>
  <c r="C43" i="41"/>
  <c r="C42" i="41"/>
  <c r="C41" i="41"/>
  <c r="C40" i="41"/>
  <c r="C38" i="41"/>
  <c r="C34" i="41"/>
  <c r="C32" i="41"/>
  <c r="C31" i="41"/>
  <c r="C26" i="41"/>
  <c r="C25" i="41"/>
  <c r="C24" i="41"/>
  <c r="C21" i="41"/>
  <c r="C20" i="41"/>
  <c r="C19" i="41"/>
  <c r="C18" i="41"/>
  <c r="C17" i="41"/>
  <c r="C16" i="41"/>
  <c r="C15" i="41"/>
  <c r="C14" i="41"/>
  <c r="C13" i="41"/>
  <c r="C11" i="41"/>
  <c r="F14" i="68" l="1"/>
  <c r="D15" i="16"/>
  <c r="D45" i="26"/>
  <c r="F45" i="25"/>
  <c r="F27" i="31"/>
  <c r="F26" i="31"/>
  <c r="F24" i="31"/>
  <c r="F20" i="31"/>
  <c r="D29" i="44"/>
  <c r="D28" i="44"/>
  <c r="D6" i="44"/>
  <c r="D7" i="44"/>
  <c r="D8" i="44"/>
  <c r="D9" i="44"/>
  <c r="D10" i="44"/>
  <c r="D11" i="44"/>
  <c r="D12" i="44"/>
  <c r="D13" i="44"/>
  <c r="D14" i="44"/>
  <c r="D15" i="44"/>
  <c r="D16" i="44"/>
  <c r="D17" i="44"/>
  <c r="D18" i="44"/>
  <c r="D19" i="44"/>
  <c r="D20" i="44"/>
  <c r="F19" i="25" l="1"/>
  <c r="D20" i="26"/>
  <c r="N13" i="18" l="1"/>
  <c r="F16" i="28" l="1"/>
  <c r="D16" i="28"/>
  <c r="F14" i="28"/>
  <c r="D14" i="28"/>
  <c r="F12" i="28"/>
  <c r="D12" i="28"/>
  <c r="E18" i="26"/>
  <c r="C18" i="26"/>
  <c r="E16" i="26"/>
  <c r="C16" i="26"/>
  <c r="E14" i="26"/>
  <c r="C14" i="26"/>
  <c r="H20" i="20"/>
  <c r="H18" i="20"/>
  <c r="H16" i="20"/>
  <c r="C20" i="20"/>
  <c r="C18" i="20"/>
  <c r="C16" i="20"/>
  <c r="C14" i="20"/>
  <c r="H14" i="20"/>
  <c r="D14" i="20"/>
  <c r="L114" i="17"/>
  <c r="L90" i="17"/>
  <c r="L74" i="17"/>
  <c r="L62" i="17"/>
  <c r="L39" i="17"/>
  <c r="L28" i="17"/>
  <c r="L17" i="17"/>
  <c r="B591" i="13"/>
  <c r="B590" i="13"/>
  <c r="B589" i="13"/>
  <c r="B587" i="13"/>
  <c r="B586" i="13"/>
  <c r="B585" i="13"/>
  <c r="B584" i="13"/>
  <c r="B582" i="13"/>
  <c r="B581" i="13"/>
  <c r="B580" i="13"/>
  <c r="B225" i="13"/>
  <c r="B220" i="13"/>
  <c r="B205" i="13"/>
  <c r="B193" i="13"/>
  <c r="B185" i="13"/>
  <c r="B176" i="13"/>
  <c r="B167" i="13"/>
  <c r="B150" i="13"/>
  <c r="B141" i="13"/>
  <c r="B130" i="13"/>
  <c r="B111" i="13"/>
  <c r="B110" i="13"/>
  <c r="B109" i="13"/>
  <c r="B108" i="13"/>
  <c r="B107" i="13"/>
  <c r="B106" i="13"/>
  <c r="B105" i="13"/>
  <c r="B104" i="13"/>
  <c r="B102" i="13"/>
  <c r="B98" i="13"/>
  <c r="B97" i="13"/>
  <c r="B96" i="13"/>
  <c r="B95" i="13"/>
  <c r="B94" i="13"/>
  <c r="B93" i="13"/>
  <c r="B92" i="13"/>
  <c r="B91" i="13"/>
  <c r="B89" i="13"/>
  <c r="B85" i="13"/>
  <c r="B84" i="13"/>
  <c r="B83" i="13"/>
  <c r="B82" i="13"/>
  <c r="B81" i="13"/>
  <c r="B80" i="13"/>
  <c r="B79" i="13"/>
  <c r="B76" i="13"/>
  <c r="B74" i="13"/>
  <c r="B73" i="13"/>
  <c r="C310" i="1"/>
  <c r="C309" i="1"/>
  <c r="C308" i="1"/>
  <c r="C304" i="1"/>
  <c r="C302" i="1"/>
  <c r="C301" i="1"/>
  <c r="C300" i="1"/>
  <c r="C299" i="1"/>
  <c r="C298" i="1"/>
  <c r="C297" i="1"/>
  <c r="C296" i="1"/>
  <c r="C295" i="1"/>
  <c r="C294" i="1"/>
  <c r="C292" i="1"/>
  <c r="C244" i="1"/>
  <c r="C243" i="1"/>
  <c r="C242" i="1"/>
  <c r="C241" i="1"/>
  <c r="C240" i="1"/>
  <c r="C239" i="1"/>
  <c r="C238" i="1"/>
  <c r="C236" i="1"/>
  <c r="C232" i="1"/>
  <c r="C228" i="1"/>
  <c r="C226" i="1"/>
  <c r="C225" i="1"/>
  <c r="C224" i="1"/>
  <c r="C223" i="1"/>
  <c r="C222" i="1"/>
  <c r="C221" i="1"/>
  <c r="C219" i="1"/>
  <c r="C217" i="1"/>
  <c r="C216" i="1"/>
  <c r="C212" i="1"/>
  <c r="C211" i="1"/>
  <c r="C209" i="1"/>
  <c r="C208" i="1"/>
  <c r="C207" i="1"/>
  <c r="C206" i="1"/>
  <c r="C205" i="1"/>
  <c r="C204" i="1"/>
  <c r="C203" i="1"/>
  <c r="C202" i="1"/>
  <c r="C201" i="1"/>
  <c r="C199" i="1"/>
  <c r="C110" i="1"/>
  <c r="C109" i="1"/>
  <c r="C108" i="1"/>
  <c r="C107" i="1"/>
  <c r="C106" i="1"/>
  <c r="C105" i="1"/>
  <c r="C102" i="1"/>
  <c r="C100" i="1"/>
  <c r="C98" i="1"/>
  <c r="C96" i="1"/>
  <c r="C93" i="1"/>
  <c r="C92" i="1"/>
  <c r="C90" i="1"/>
  <c r="C88" i="1"/>
  <c r="C86" i="1"/>
  <c r="C84" i="1"/>
  <c r="C83" i="1"/>
  <c r="C79" i="1"/>
  <c r="C78" i="1"/>
  <c r="C76" i="1"/>
  <c r="C75" i="1"/>
  <c r="C74" i="1"/>
  <c r="C72" i="1"/>
  <c r="C71" i="1"/>
  <c r="C69" i="1"/>
  <c r="C64" i="1"/>
  <c r="C63" i="1"/>
  <c r="C62" i="1"/>
  <c r="C58" i="1"/>
  <c r="C57" i="1"/>
  <c r="C56" i="1"/>
  <c r="C55" i="1"/>
  <c r="C54" i="1"/>
  <c r="C53" i="1"/>
  <c r="C52" i="1"/>
  <c r="C51" i="1"/>
  <c r="C47" i="1"/>
  <c r="C44" i="1"/>
  <c r="C43" i="1"/>
  <c r="C42" i="1"/>
  <c r="C41" i="1"/>
  <c r="C40" i="1"/>
  <c r="C38" i="1"/>
  <c r="C34" i="1"/>
  <c r="C32" i="1"/>
  <c r="C31" i="1"/>
  <c r="C26" i="1"/>
  <c r="C25" i="1"/>
  <c r="C24" i="1"/>
  <c r="C21" i="1"/>
  <c r="C20" i="1"/>
  <c r="C19" i="1"/>
  <c r="C18" i="1"/>
  <c r="C17" i="1"/>
  <c r="C16" i="1"/>
  <c r="C15" i="1"/>
  <c r="C14" i="1"/>
  <c r="C13" i="1"/>
  <c r="C11" i="1"/>
  <c r="A41" i="50" l="1"/>
  <c r="A40" i="50" l="1"/>
  <c r="A39" i="50"/>
  <c r="A33" i="50"/>
  <c r="D116" i="4" l="1"/>
  <c r="H116" i="4"/>
  <c r="I81" i="66"/>
  <c r="K81" i="66"/>
  <c r="D116" i="66" l="1"/>
  <c r="D115" i="66"/>
  <c r="D114" i="66"/>
  <c r="D113" i="66"/>
  <c r="D112" i="66"/>
  <c r="D111" i="66"/>
  <c r="D110" i="66"/>
  <c r="D106" i="66"/>
  <c r="D105" i="66"/>
  <c r="D104" i="66"/>
  <c r="D103" i="66"/>
  <c r="D102" i="66"/>
  <c r="D101" i="66"/>
  <c r="D100" i="66"/>
  <c r="D99" i="66"/>
  <c r="D98" i="66"/>
  <c r="D94" i="66"/>
  <c r="D93" i="66"/>
  <c r="D95" i="66" s="1"/>
  <c r="D89" i="66"/>
  <c r="D88" i="66"/>
  <c r="D87" i="66"/>
  <c r="D83" i="66"/>
  <c r="D82" i="66"/>
  <c r="D81" i="66"/>
  <c r="D80" i="66"/>
  <c r="D79" i="66"/>
  <c r="D78" i="66"/>
  <c r="D56" i="66"/>
  <c r="D55" i="66"/>
  <c r="D54" i="66"/>
  <c r="D53" i="66"/>
  <c r="D52" i="66"/>
  <c r="D51" i="66"/>
  <c r="D50" i="66"/>
  <c r="D46" i="66"/>
  <c r="D45" i="66"/>
  <c r="D44" i="66"/>
  <c r="D43" i="66"/>
  <c r="D42" i="66"/>
  <c r="D41" i="66"/>
  <c r="D40" i="66"/>
  <c r="D39" i="66"/>
  <c r="D38" i="66"/>
  <c r="D37" i="66"/>
  <c r="D36" i="66"/>
  <c r="D35" i="66"/>
  <c r="D34" i="66"/>
  <c r="D33" i="66"/>
  <c r="D32" i="66"/>
  <c r="D31" i="66"/>
  <c r="D27" i="66"/>
  <c r="D26" i="66"/>
  <c r="D25" i="66"/>
  <c r="D24" i="66"/>
  <c r="D20" i="66"/>
  <c r="D18" i="66"/>
  <c r="D17" i="66"/>
  <c r="F116" i="66"/>
  <c r="F115" i="66"/>
  <c r="F114" i="66"/>
  <c r="F113" i="66"/>
  <c r="F112" i="66"/>
  <c r="F111" i="66"/>
  <c r="F110" i="66"/>
  <c r="F106" i="66"/>
  <c r="F105" i="66"/>
  <c r="F104" i="66"/>
  <c r="F103" i="66"/>
  <c r="F102" i="66"/>
  <c r="F101" i="66"/>
  <c r="F100" i="66"/>
  <c r="F99" i="66"/>
  <c r="F98" i="66"/>
  <c r="F94" i="66"/>
  <c r="F93" i="66"/>
  <c r="F89" i="66"/>
  <c r="F88" i="66"/>
  <c r="F87" i="66"/>
  <c r="F83" i="66"/>
  <c r="F82" i="66"/>
  <c r="F81" i="66"/>
  <c r="F80" i="66"/>
  <c r="F79" i="66"/>
  <c r="F78" i="66"/>
  <c r="F56" i="66"/>
  <c r="F55" i="66"/>
  <c r="F54" i="66"/>
  <c r="F53" i="66"/>
  <c r="F52" i="66"/>
  <c r="F51" i="66"/>
  <c r="F50" i="66"/>
  <c r="F46" i="66"/>
  <c r="F45" i="66"/>
  <c r="F44" i="66"/>
  <c r="F43" i="66"/>
  <c r="F42" i="66"/>
  <c r="F41" i="66"/>
  <c r="F40" i="66"/>
  <c r="F39" i="66"/>
  <c r="F38" i="66"/>
  <c r="F37" i="66"/>
  <c r="F36" i="66"/>
  <c r="F35" i="66"/>
  <c r="F34" i="66"/>
  <c r="F33" i="66"/>
  <c r="F32" i="66"/>
  <c r="F31" i="66"/>
  <c r="F27" i="66"/>
  <c r="F26" i="66"/>
  <c r="F25" i="66"/>
  <c r="F24" i="66"/>
  <c r="F20" i="66"/>
  <c r="F18" i="66"/>
  <c r="F17" i="66"/>
  <c r="D90" i="66" l="1"/>
  <c r="D117" i="66"/>
  <c r="D84" i="66"/>
  <c r="F84" i="66"/>
  <c r="D19" i="66"/>
  <c r="D107" i="66"/>
  <c r="F57" i="66"/>
  <c r="F90" i="66"/>
  <c r="F19" i="66"/>
  <c r="F21" i="66" s="1"/>
  <c r="F47" i="66"/>
  <c r="F95" i="66"/>
  <c r="D47" i="66"/>
  <c r="F117" i="66"/>
  <c r="E53" i="66"/>
  <c r="F107" i="66"/>
  <c r="D28" i="66"/>
  <c r="F28" i="66"/>
  <c r="D57" i="66"/>
  <c r="D21" i="66"/>
  <c r="K114" i="19" l="1"/>
  <c r="K30" i="50" l="1"/>
  <c r="G64" i="50" l="1"/>
  <c r="F64" i="50"/>
  <c r="E64" i="50"/>
  <c r="D64" i="50"/>
  <c r="C64" i="50"/>
  <c r="H64" i="50"/>
  <c r="A60" i="50"/>
  <c r="A59" i="50"/>
  <c r="A58" i="50"/>
  <c r="A57" i="50"/>
  <c r="A56" i="50"/>
  <c r="A55" i="50"/>
  <c r="A54" i="50"/>
  <c r="A53" i="50"/>
  <c r="A52" i="50"/>
  <c r="H5" i="50" l="1"/>
  <c r="G5" i="50"/>
  <c r="F5" i="50"/>
  <c r="E5" i="50"/>
  <c r="D5" i="50"/>
  <c r="C5" i="50"/>
  <c r="O15" i="50" l="1"/>
  <c r="O5" i="50"/>
  <c r="N23" i="50"/>
  <c r="M23" i="50"/>
  <c r="L23" i="50"/>
  <c r="K23" i="50"/>
  <c r="J23" i="50"/>
  <c r="I23" i="50"/>
  <c r="N22" i="50"/>
  <c r="M22" i="50"/>
  <c r="L22" i="50"/>
  <c r="K22" i="50"/>
  <c r="J22" i="50"/>
  <c r="I22" i="50"/>
  <c r="N21" i="50"/>
  <c r="M21" i="50"/>
  <c r="L21" i="50"/>
  <c r="K21" i="50"/>
  <c r="J21" i="50"/>
  <c r="I21" i="50"/>
  <c r="N20" i="50"/>
  <c r="M20" i="50"/>
  <c r="L20" i="50"/>
  <c r="K20" i="50"/>
  <c r="J20" i="50"/>
  <c r="I20" i="50"/>
  <c r="N15" i="51"/>
  <c r="N14" i="51"/>
  <c r="N13" i="51"/>
  <c r="N12" i="51"/>
  <c r="N11" i="51"/>
  <c r="N10" i="51"/>
  <c r="N9" i="51"/>
  <c r="N7" i="51"/>
  <c r="N6" i="51"/>
  <c r="N5" i="51"/>
  <c r="M22" i="51"/>
  <c r="L22" i="51"/>
  <c r="K22" i="51"/>
  <c r="J22" i="51"/>
  <c r="I22" i="51"/>
  <c r="H22" i="51"/>
  <c r="G22" i="51"/>
  <c r="F22" i="51"/>
  <c r="E22" i="51"/>
  <c r="D22" i="51"/>
  <c r="C22" i="51"/>
  <c r="B22" i="51"/>
  <c r="M21" i="51"/>
  <c r="L21" i="51"/>
  <c r="K21" i="51"/>
  <c r="J21" i="51"/>
  <c r="I21" i="51"/>
  <c r="H21" i="51"/>
  <c r="G21" i="51"/>
  <c r="F21" i="51"/>
  <c r="E21" i="51"/>
  <c r="D21" i="51"/>
  <c r="C21" i="51"/>
  <c r="B21" i="51"/>
  <c r="M20" i="51"/>
  <c r="L20" i="51"/>
  <c r="K20" i="51"/>
  <c r="J20" i="51"/>
  <c r="I20" i="51"/>
  <c r="H20" i="51"/>
  <c r="G20" i="51"/>
  <c r="F20" i="51"/>
  <c r="E20" i="51"/>
  <c r="D20" i="51"/>
  <c r="C20" i="51"/>
  <c r="B20" i="51"/>
  <c r="M19" i="51"/>
  <c r="M24" i="51" s="1"/>
  <c r="L19" i="51"/>
  <c r="L24" i="51" s="1"/>
  <c r="K19" i="51"/>
  <c r="K24" i="51" s="1"/>
  <c r="J19" i="51"/>
  <c r="J24" i="51" s="1"/>
  <c r="I19" i="51"/>
  <c r="I24" i="51" s="1"/>
  <c r="H19" i="51"/>
  <c r="H24" i="51" s="1"/>
  <c r="G19" i="51"/>
  <c r="G24" i="51" s="1"/>
  <c r="F19" i="51"/>
  <c r="F24" i="51" s="1"/>
  <c r="E19" i="51"/>
  <c r="E24" i="51" s="1"/>
  <c r="D19" i="51"/>
  <c r="D24" i="51" s="1"/>
  <c r="C19" i="51"/>
  <c r="C24" i="51" s="1"/>
  <c r="B19" i="51"/>
  <c r="B24" i="51" s="1"/>
  <c r="A62" i="50"/>
  <c r="A61" i="50"/>
  <c r="A51" i="50"/>
  <c r="A50" i="50"/>
  <c r="A49" i="50"/>
  <c r="A48" i="50"/>
  <c r="A47" i="50"/>
  <c r="A46" i="50"/>
  <c r="A45" i="50"/>
  <c r="A44" i="50"/>
  <c r="A42" i="50"/>
  <c r="A38" i="50"/>
  <c r="A37" i="50"/>
  <c r="A36" i="50"/>
  <c r="A35" i="50"/>
  <c r="A34" i="50"/>
  <c r="A31" i="50"/>
  <c r="AD11" i="56"/>
  <c r="AD10" i="56"/>
  <c r="AD2" i="56"/>
  <c r="C71" i="50" l="1"/>
  <c r="C8" i="50" s="1"/>
  <c r="H71" i="50"/>
  <c r="H8" i="50" s="1"/>
  <c r="D71" i="50"/>
  <c r="D8" i="50" s="1"/>
  <c r="E71" i="50"/>
  <c r="E8" i="50" s="1"/>
  <c r="F71" i="50"/>
  <c r="F8" i="50" s="1"/>
  <c r="G71" i="50"/>
  <c r="G8" i="50" s="1"/>
  <c r="K25" i="50"/>
  <c r="N20" i="51"/>
  <c r="N22" i="51"/>
  <c r="N21" i="51"/>
  <c r="J25" i="50"/>
  <c r="N25" i="50"/>
  <c r="E69" i="50"/>
  <c r="L25" i="50"/>
  <c r="I25" i="50"/>
  <c r="M25" i="50"/>
  <c r="F69" i="50"/>
  <c r="H78" i="50"/>
  <c r="H16" i="50" s="1"/>
  <c r="G70" i="50"/>
  <c r="G7" i="50" s="1"/>
  <c r="C73" i="50"/>
  <c r="C10" i="50" s="1"/>
  <c r="C20" i="50" s="1"/>
  <c r="E74" i="50"/>
  <c r="E11" i="50" s="1"/>
  <c r="E21" i="50" s="1"/>
  <c r="G75" i="50"/>
  <c r="G12" i="50" s="1"/>
  <c r="G22" i="50" s="1"/>
  <c r="C77" i="50"/>
  <c r="C14" i="50" s="1"/>
  <c r="C23" i="50" s="1"/>
  <c r="E78" i="50"/>
  <c r="E16" i="50" s="1"/>
  <c r="H70" i="50"/>
  <c r="H7" i="50" s="1"/>
  <c r="F72" i="50"/>
  <c r="F9" i="50" s="1"/>
  <c r="H73" i="50"/>
  <c r="H10" i="50" s="1"/>
  <c r="H20" i="50" s="1"/>
  <c r="D75" i="50"/>
  <c r="D12" i="50" s="1"/>
  <c r="D22" i="50" s="1"/>
  <c r="D77" i="50"/>
  <c r="D14" i="50" s="1"/>
  <c r="D23" i="50" s="1"/>
  <c r="H77" i="50"/>
  <c r="H14" i="50" s="1"/>
  <c r="H23" i="50" s="1"/>
  <c r="C69" i="50"/>
  <c r="G69" i="50"/>
  <c r="E70" i="50"/>
  <c r="E7" i="50" s="1"/>
  <c r="C72" i="50"/>
  <c r="C9" i="50" s="1"/>
  <c r="G72" i="50"/>
  <c r="G9" i="50" s="1"/>
  <c r="E73" i="50"/>
  <c r="E10" i="50" s="1"/>
  <c r="E20" i="50" s="1"/>
  <c r="C74" i="50"/>
  <c r="C11" i="50" s="1"/>
  <c r="C21" i="50" s="1"/>
  <c r="G74" i="50"/>
  <c r="G11" i="50" s="1"/>
  <c r="G21" i="50" s="1"/>
  <c r="E75" i="50"/>
  <c r="E12" i="50" s="1"/>
  <c r="E22" i="50" s="1"/>
  <c r="C76" i="50"/>
  <c r="G76" i="50"/>
  <c r="E77" i="50"/>
  <c r="E14" i="50" s="1"/>
  <c r="E23" i="50" s="1"/>
  <c r="C78" i="50"/>
  <c r="C16" i="50" s="1"/>
  <c r="G78" i="50"/>
  <c r="G16" i="50" s="1"/>
  <c r="C70" i="50"/>
  <c r="C7" i="50" s="1"/>
  <c r="E72" i="50"/>
  <c r="E9" i="50" s="1"/>
  <c r="G73" i="50"/>
  <c r="G10" i="50" s="1"/>
  <c r="G20" i="50" s="1"/>
  <c r="C75" i="50"/>
  <c r="C12" i="50" s="1"/>
  <c r="C22" i="50" s="1"/>
  <c r="E76" i="50"/>
  <c r="G77" i="50"/>
  <c r="G14" i="50" s="1"/>
  <c r="G23" i="50" s="1"/>
  <c r="D70" i="50"/>
  <c r="D7" i="50" s="1"/>
  <c r="D73" i="50"/>
  <c r="D10" i="50" s="1"/>
  <c r="D20" i="50" s="1"/>
  <c r="F74" i="50"/>
  <c r="F11" i="50" s="1"/>
  <c r="F21" i="50" s="1"/>
  <c r="H75" i="50"/>
  <c r="H12" i="50" s="1"/>
  <c r="H22" i="50" s="1"/>
  <c r="F76" i="50"/>
  <c r="F78" i="50"/>
  <c r="F16" i="50" s="1"/>
  <c r="D69" i="50"/>
  <c r="H69" i="50"/>
  <c r="F70" i="50"/>
  <c r="F7" i="50" s="1"/>
  <c r="D72" i="50"/>
  <c r="D9" i="50" s="1"/>
  <c r="H72" i="50"/>
  <c r="H9" i="50" s="1"/>
  <c r="F73" i="50"/>
  <c r="F10" i="50" s="1"/>
  <c r="F20" i="50" s="1"/>
  <c r="D74" i="50"/>
  <c r="D11" i="50" s="1"/>
  <c r="D21" i="50" s="1"/>
  <c r="H74" i="50"/>
  <c r="H11" i="50" s="1"/>
  <c r="H21" i="50" s="1"/>
  <c r="F75" i="50"/>
  <c r="F12" i="50" s="1"/>
  <c r="F22" i="50" s="1"/>
  <c r="D76" i="50"/>
  <c r="H76" i="50"/>
  <c r="F77" i="50"/>
  <c r="F14" i="50" s="1"/>
  <c r="F23" i="50" s="1"/>
  <c r="D78" i="50"/>
  <c r="D16" i="50" s="1"/>
  <c r="N19" i="51"/>
  <c r="N24" i="51"/>
  <c r="N16" i="51"/>
  <c r="O8" i="50" l="1"/>
  <c r="C13" i="50"/>
  <c r="C17" i="50" s="1"/>
  <c r="C80" i="50"/>
  <c r="F13" i="50"/>
  <c r="F17" i="50" s="1"/>
  <c r="F80" i="50"/>
  <c r="D13" i="50"/>
  <c r="D17" i="50" s="1"/>
  <c r="D80" i="50"/>
  <c r="E13" i="50"/>
  <c r="E17" i="50" s="1"/>
  <c r="E80" i="50"/>
  <c r="G13" i="50"/>
  <c r="G17" i="50" s="1"/>
  <c r="G80" i="50"/>
  <c r="H13" i="50"/>
  <c r="H17" i="50" s="1"/>
  <c r="H80" i="50"/>
  <c r="E25" i="50"/>
  <c r="G60" i="82" s="1"/>
  <c r="O9" i="50"/>
  <c r="O20" i="50"/>
  <c r="H25" i="50"/>
  <c r="J60" i="82" s="1"/>
  <c r="O11" i="50"/>
  <c r="F25" i="50"/>
  <c r="H60" i="82" s="1"/>
  <c r="G25" i="50"/>
  <c r="I60" i="82" s="1"/>
  <c r="O22" i="50"/>
  <c r="G79" i="50"/>
  <c r="O16" i="50"/>
  <c r="O7" i="50"/>
  <c r="D79" i="50"/>
  <c r="C79" i="50"/>
  <c r="O12" i="50"/>
  <c r="F79" i="50"/>
  <c r="E79" i="50"/>
  <c r="O6" i="50"/>
  <c r="O14" i="50"/>
  <c r="H79" i="50"/>
  <c r="O23" i="50"/>
  <c r="D25" i="50"/>
  <c r="F60" i="82" s="1"/>
  <c r="O10" i="50"/>
  <c r="O21" i="50"/>
  <c r="C25" i="50"/>
  <c r="E60" i="82" l="1"/>
  <c r="Q60" i="82" s="1"/>
  <c r="O13" i="50"/>
  <c r="O17" i="50" s="1"/>
  <c r="O25" i="50"/>
  <c r="W60" i="82" l="1"/>
  <c r="W64" i="82" s="1"/>
  <c r="W66" i="82" s="1"/>
  <c r="Q80" i="81" s="1"/>
  <c r="Q64" i="82"/>
  <c r="Q66" i="82" s="1"/>
  <c r="Q82" i="81" l="1"/>
  <c r="G21" i="25" s="1"/>
  <c r="F38" i="59"/>
  <c r="D196" i="69" l="1"/>
  <c r="D194" i="69"/>
  <c r="D181" i="69"/>
  <c r="D180" i="69"/>
  <c r="D145" i="69" l="1"/>
  <c r="D148" i="69"/>
  <c r="D60" i="69"/>
  <c r="D16" i="69"/>
  <c r="L41" i="59"/>
  <c r="J41" i="59"/>
  <c r="H41" i="59"/>
  <c r="L41" i="58"/>
  <c r="J41" i="58"/>
  <c r="H41" i="58"/>
  <c r="D48" i="69" l="1"/>
  <c r="D175" i="69"/>
  <c r="D20" i="69"/>
  <c r="D54" i="69"/>
  <c r="D21" i="69"/>
  <c r="D25" i="69"/>
  <c r="D32" i="69"/>
  <c r="D36" i="69"/>
  <c r="D43" i="69"/>
  <c r="D47" i="69"/>
  <c r="D55" i="69"/>
  <c r="D59" i="69"/>
  <c r="D23" i="69"/>
  <c r="D30" i="69"/>
  <c r="D34" i="69"/>
  <c r="D41" i="69"/>
  <c r="D45" i="69"/>
  <c r="D57" i="69"/>
  <c r="D24" i="69"/>
  <c r="D31" i="69"/>
  <c r="D35" i="69"/>
  <c r="D42" i="69"/>
  <c r="D46" i="69"/>
  <c r="D58" i="69"/>
  <c r="D22" i="69"/>
  <c r="D26" i="69"/>
  <c r="D33" i="69"/>
  <c r="D37" i="69"/>
  <c r="D44" i="69"/>
  <c r="D56" i="69"/>
  <c r="K98" i="31" l="1"/>
  <c r="C25" i="68" l="1"/>
  <c r="D25" i="68" s="1"/>
  <c r="R39" i="59"/>
  <c r="J21" i="31"/>
  <c r="D39" i="59" l="1"/>
  <c r="G18" i="28"/>
  <c r="F39" i="59" s="1"/>
  <c r="H21" i="31"/>
  <c r="H28" i="31"/>
  <c r="H57" i="31"/>
  <c r="P39" i="59" l="1"/>
  <c r="N39" i="59"/>
  <c r="H18" i="28"/>
  <c r="D26" i="16" s="1"/>
  <c r="H59" i="31"/>
  <c r="A4" i="67" l="1"/>
  <c r="A22" i="40"/>
  <c r="A29" i="20"/>
  <c r="A4" i="25"/>
  <c r="A25" i="28"/>
  <c r="A4" i="26"/>
  <c r="A30" i="25"/>
  <c r="A29" i="26"/>
  <c r="A7" i="66" l="1"/>
  <c r="M98" i="31"/>
  <c r="O89" i="31"/>
  <c r="O81" i="31"/>
  <c r="F51" i="31" l="1"/>
  <c r="F52" i="31"/>
  <c r="B476" i="13"/>
  <c r="F14" i="9" l="1"/>
  <c r="F13" i="9" l="1"/>
  <c r="C48" i="18" l="1"/>
  <c r="B48" i="18"/>
  <c r="C18" i="18"/>
  <c r="B18" i="18"/>
  <c r="C50" i="11"/>
  <c r="B50" i="11"/>
  <c r="C19" i="11"/>
  <c r="B19" i="11"/>
  <c r="B59" i="11"/>
  <c r="B58" i="11"/>
  <c r="B55" i="11"/>
  <c r="B54" i="11"/>
  <c r="B53" i="11"/>
  <c r="B52" i="11"/>
  <c r="B47" i="11"/>
  <c r="B46" i="11"/>
  <c r="B45" i="11"/>
  <c r="B44" i="11"/>
  <c r="B43" i="11"/>
  <c r="B23" i="18"/>
  <c r="B22" i="18"/>
  <c r="B21" i="18"/>
  <c r="B51" i="18" s="1"/>
  <c r="B20" i="18"/>
  <c r="B15" i="18"/>
  <c r="B45" i="18" l="1"/>
  <c r="B50" i="18"/>
  <c r="B52" i="18"/>
  <c r="B53" i="18"/>
  <c r="C48" i="3" l="1"/>
  <c r="C47" i="3"/>
  <c r="C46" i="3"/>
  <c r="C45" i="3"/>
  <c r="C44" i="3"/>
  <c r="C43" i="3"/>
  <c r="C42" i="3"/>
  <c r="C41" i="3"/>
  <c r="C40" i="3"/>
  <c r="C39" i="3"/>
  <c r="C37" i="3"/>
  <c r="C36" i="3"/>
  <c r="R2" i="58" l="1"/>
  <c r="R2" i="59"/>
  <c r="B27" i="18"/>
  <c r="B57" i="18" s="1"/>
  <c r="B26" i="18"/>
  <c r="B56" i="18" s="1"/>
  <c r="B14" i="18"/>
  <c r="B13" i="18"/>
  <c r="B12" i="18"/>
  <c r="B42" i="18" s="1"/>
  <c r="O274" i="72"/>
  <c r="O273" i="72"/>
  <c r="O272" i="72"/>
  <c r="O271" i="72"/>
  <c r="O270" i="72"/>
  <c r="O269" i="72"/>
  <c r="O268" i="72"/>
  <c r="O267" i="72"/>
  <c r="O266" i="72"/>
  <c r="O265" i="72"/>
  <c r="O264" i="72"/>
  <c r="O263" i="72"/>
  <c r="O262" i="72"/>
  <c r="O261" i="72"/>
  <c r="O260" i="72"/>
  <c r="O259" i="72"/>
  <c r="O258" i="72"/>
  <c r="O257" i="72"/>
  <c r="O256" i="72"/>
  <c r="O255" i="72"/>
  <c r="O254" i="72"/>
  <c r="O253" i="72"/>
  <c r="O252" i="72"/>
  <c r="O251" i="72"/>
  <c r="O250" i="72"/>
  <c r="O249" i="72"/>
  <c r="O248" i="72"/>
  <c r="O247" i="72"/>
  <c r="O246" i="72"/>
  <c r="O245" i="72"/>
  <c r="O244" i="72"/>
  <c r="O243" i="72"/>
  <c r="O242" i="72"/>
  <c r="O241" i="72"/>
  <c r="O240" i="72"/>
  <c r="O239" i="72"/>
  <c r="O238" i="72"/>
  <c r="O237" i="72"/>
  <c r="O236" i="72"/>
  <c r="O235" i="72"/>
  <c r="O234" i="72"/>
  <c r="O233" i="72"/>
  <c r="O232" i="72"/>
  <c r="O231" i="72"/>
  <c r="O230" i="72"/>
  <c r="O229" i="72"/>
  <c r="O228" i="72"/>
  <c r="O227" i="72"/>
  <c r="O226" i="72"/>
  <c r="O225" i="72"/>
  <c r="O224" i="72"/>
  <c r="O223" i="72"/>
  <c r="O222" i="72"/>
  <c r="O221" i="72"/>
  <c r="O220" i="72"/>
  <c r="O219" i="72"/>
  <c r="O218" i="72"/>
  <c r="O217" i="72"/>
  <c r="O216" i="72"/>
  <c r="O215" i="72"/>
  <c r="O214" i="72"/>
  <c r="O213" i="72"/>
  <c r="O212" i="72"/>
  <c r="O211" i="72"/>
  <c r="O210" i="72"/>
  <c r="O209" i="72"/>
  <c r="O208" i="72"/>
  <c r="O207" i="72"/>
  <c r="O206" i="72"/>
  <c r="O205" i="72"/>
  <c r="O204" i="72"/>
  <c r="O203" i="72"/>
  <c r="O202" i="72"/>
  <c r="O201" i="72"/>
  <c r="O200" i="72"/>
  <c r="O199" i="72"/>
  <c r="O198" i="72"/>
  <c r="O197" i="72"/>
  <c r="O196" i="72"/>
  <c r="O195" i="72"/>
  <c r="O194" i="72"/>
  <c r="O193" i="72"/>
  <c r="O192" i="72"/>
  <c r="O191" i="72"/>
  <c r="O190" i="72"/>
  <c r="O189" i="72"/>
  <c r="O188" i="72"/>
  <c r="O187" i="72"/>
  <c r="O186" i="72"/>
  <c r="O185" i="72"/>
  <c r="O184" i="72"/>
  <c r="O183" i="72"/>
  <c r="O182" i="72"/>
  <c r="O181" i="72"/>
  <c r="O180" i="72"/>
  <c r="O179" i="72"/>
  <c r="O178" i="72"/>
  <c r="O177" i="72"/>
  <c r="O176" i="72"/>
  <c r="O175" i="72"/>
  <c r="O174" i="72"/>
  <c r="O173" i="72"/>
  <c r="O172" i="72"/>
  <c r="O171" i="72"/>
  <c r="O170" i="72"/>
  <c r="O169" i="72"/>
  <c r="O168" i="72"/>
  <c r="O167" i="72"/>
  <c r="O166" i="72"/>
  <c r="O165" i="72"/>
  <c r="O164" i="72"/>
  <c r="O163" i="72"/>
  <c r="O162" i="72"/>
  <c r="O161" i="72"/>
  <c r="O160" i="72"/>
  <c r="O159" i="72"/>
  <c r="O158" i="72"/>
  <c r="O157" i="72"/>
  <c r="O156" i="72"/>
  <c r="O155" i="72"/>
  <c r="O154" i="72"/>
  <c r="O153" i="72"/>
  <c r="O152" i="72"/>
  <c r="O151" i="72"/>
  <c r="O150" i="72"/>
  <c r="O149" i="72"/>
  <c r="O148" i="72"/>
  <c r="O147" i="72"/>
  <c r="O146" i="72"/>
  <c r="O145" i="72"/>
  <c r="O144" i="72"/>
  <c r="O143" i="72"/>
  <c r="O142" i="72"/>
  <c r="O141" i="72"/>
  <c r="O140" i="72"/>
  <c r="O139" i="72"/>
  <c r="O138" i="72"/>
  <c r="O137" i="72"/>
  <c r="O136" i="72"/>
  <c r="O135" i="72"/>
  <c r="O134" i="72"/>
  <c r="O133" i="72"/>
  <c r="O132" i="72"/>
  <c r="O131" i="72"/>
  <c r="O130" i="72"/>
  <c r="O129" i="72"/>
  <c r="O128" i="72"/>
  <c r="O127" i="72"/>
  <c r="O126" i="72"/>
  <c r="O125" i="72"/>
  <c r="O124" i="72"/>
  <c r="O123" i="72"/>
  <c r="O122" i="72"/>
  <c r="O121" i="72"/>
  <c r="O120" i="72"/>
  <c r="O119" i="72"/>
  <c r="O118" i="72"/>
  <c r="O117" i="72"/>
  <c r="O116" i="72"/>
  <c r="O115" i="72"/>
  <c r="O114" i="72"/>
  <c r="O113" i="72"/>
  <c r="O112" i="72"/>
  <c r="O111" i="72"/>
  <c r="O110" i="72"/>
  <c r="O109" i="72"/>
  <c r="O108" i="72"/>
  <c r="O107" i="72"/>
  <c r="O106" i="72"/>
  <c r="O105" i="72"/>
  <c r="O104" i="72"/>
  <c r="O103" i="72"/>
  <c r="O102" i="72"/>
  <c r="O101" i="72"/>
  <c r="O100" i="72"/>
  <c r="O99" i="72"/>
  <c r="O98" i="72"/>
  <c r="O97" i="72"/>
  <c r="O96" i="72"/>
  <c r="O95" i="72"/>
  <c r="O94" i="72"/>
  <c r="O93" i="72"/>
  <c r="O92" i="72"/>
  <c r="O91" i="72"/>
  <c r="O90" i="72"/>
  <c r="O89" i="72"/>
  <c r="O88" i="72"/>
  <c r="O87" i="72"/>
  <c r="O86" i="72"/>
  <c r="O85" i="72"/>
  <c r="O84" i="72"/>
  <c r="O83" i="72"/>
  <c r="O82" i="72"/>
  <c r="O81" i="72"/>
  <c r="O80" i="72"/>
  <c r="O79" i="72"/>
  <c r="O78" i="72"/>
  <c r="O77" i="72"/>
  <c r="O76" i="72"/>
  <c r="O75" i="72"/>
  <c r="O74" i="72"/>
  <c r="O73" i="72"/>
  <c r="O72" i="72"/>
  <c r="O71" i="72"/>
  <c r="O70" i="72"/>
  <c r="O69" i="72"/>
  <c r="O68" i="72"/>
  <c r="O67" i="72"/>
  <c r="O66" i="72"/>
  <c r="O65" i="72"/>
  <c r="O64" i="72"/>
  <c r="O63" i="72"/>
  <c r="O62" i="72"/>
  <c r="O61" i="72"/>
  <c r="O60" i="72"/>
  <c r="O59" i="72"/>
  <c r="O58" i="72"/>
  <c r="O57" i="72"/>
  <c r="O56" i="72"/>
  <c r="O55" i="72"/>
  <c r="O54" i="72"/>
  <c r="O53" i="72"/>
  <c r="O52" i="72"/>
  <c r="O51" i="72"/>
  <c r="O50" i="72"/>
  <c r="O49" i="72"/>
  <c r="O48" i="72"/>
  <c r="O47" i="72"/>
  <c r="O46" i="72"/>
  <c r="O45" i="72"/>
  <c r="O44" i="72"/>
  <c r="O43" i="72"/>
  <c r="O42" i="72"/>
  <c r="O41" i="72"/>
  <c r="O40" i="72"/>
  <c r="O39" i="72"/>
  <c r="O38" i="72"/>
  <c r="O37" i="72"/>
  <c r="O36" i="72"/>
  <c r="O35" i="72"/>
  <c r="O34" i="72"/>
  <c r="O33" i="72"/>
  <c r="O32" i="72"/>
  <c r="O31" i="72"/>
  <c r="O30" i="72"/>
  <c r="O29" i="72"/>
  <c r="O28" i="72"/>
  <c r="O27" i="72"/>
  <c r="O26" i="72"/>
  <c r="O25" i="72"/>
  <c r="O24" i="72"/>
  <c r="O23" i="72"/>
  <c r="O22" i="72"/>
  <c r="O21" i="72"/>
  <c r="O20" i="72"/>
  <c r="O19" i="72"/>
  <c r="O18" i="72"/>
  <c r="O17" i="72"/>
  <c r="O16" i="72"/>
  <c r="O15" i="72"/>
  <c r="O14" i="72"/>
  <c r="O13" i="72"/>
  <c r="O12" i="72"/>
  <c r="O11" i="72"/>
  <c r="O10" i="72"/>
  <c r="AF274" i="72"/>
  <c r="AF273" i="72"/>
  <c r="AF272" i="72"/>
  <c r="AF271" i="72"/>
  <c r="AF270" i="72"/>
  <c r="AF269" i="72"/>
  <c r="AF268" i="72"/>
  <c r="AF267" i="72"/>
  <c r="D94" i="31" s="1"/>
  <c r="AF266" i="72"/>
  <c r="AF265" i="72"/>
  <c r="AF264" i="72"/>
  <c r="AF263" i="72"/>
  <c r="AF262" i="72"/>
  <c r="AF261" i="72"/>
  <c r="AF260" i="72"/>
  <c r="AF259" i="72"/>
  <c r="AF258" i="72"/>
  <c r="AF257" i="72"/>
  <c r="AF256" i="72"/>
  <c r="D93" i="31" s="1"/>
  <c r="AF255" i="72"/>
  <c r="AF254" i="72"/>
  <c r="AF253" i="72"/>
  <c r="D112" i="31" s="1"/>
  <c r="AF252" i="72"/>
  <c r="AF251" i="72"/>
  <c r="AF250" i="72"/>
  <c r="AF249" i="72"/>
  <c r="AF248" i="72"/>
  <c r="AF247" i="72"/>
  <c r="AF246" i="72"/>
  <c r="D114" i="31" s="1"/>
  <c r="AF245" i="72"/>
  <c r="AF244" i="72"/>
  <c r="AF243" i="72"/>
  <c r="AF242" i="72"/>
  <c r="AF241" i="72"/>
  <c r="D110" i="31" s="1"/>
  <c r="AF240" i="72"/>
  <c r="AF239" i="72"/>
  <c r="AF238" i="72"/>
  <c r="AF237" i="72"/>
  <c r="AF236" i="72"/>
  <c r="D113" i="31" s="1"/>
  <c r="AF235" i="72"/>
  <c r="AF234" i="72"/>
  <c r="AF233" i="72"/>
  <c r="AF232" i="72"/>
  <c r="AF231" i="72"/>
  <c r="AF230" i="72"/>
  <c r="AF229" i="72"/>
  <c r="AF228" i="72"/>
  <c r="D111" i="31" s="1"/>
  <c r="AF227" i="72"/>
  <c r="AF226" i="72"/>
  <c r="AF225" i="72"/>
  <c r="AF224" i="72"/>
  <c r="AF223" i="72"/>
  <c r="D116" i="31" s="1"/>
  <c r="AF222" i="72"/>
  <c r="AF221" i="72"/>
  <c r="AF220" i="72"/>
  <c r="AF219" i="72"/>
  <c r="AF218" i="72"/>
  <c r="AF217" i="72"/>
  <c r="AF216" i="72"/>
  <c r="AF215" i="72"/>
  <c r="AF214" i="72"/>
  <c r="AF213" i="72"/>
  <c r="AF212" i="72"/>
  <c r="AF211" i="72"/>
  <c r="AG211" i="72" s="1"/>
  <c r="AF210" i="72"/>
  <c r="AF209" i="72"/>
  <c r="AF208" i="72"/>
  <c r="AF207" i="72"/>
  <c r="AF206" i="72"/>
  <c r="AF205" i="72"/>
  <c r="AF204" i="72"/>
  <c r="AF203" i="72"/>
  <c r="AF202" i="72"/>
  <c r="AF201" i="72"/>
  <c r="D104" i="31" s="1"/>
  <c r="AF200" i="72"/>
  <c r="AF199" i="72"/>
  <c r="AF198" i="72"/>
  <c r="AF197" i="72"/>
  <c r="D103" i="31" s="1"/>
  <c r="AF196" i="72"/>
  <c r="AF195" i="72"/>
  <c r="D102" i="31" s="1"/>
  <c r="AF194" i="72"/>
  <c r="AF193" i="72"/>
  <c r="D101" i="31" s="1"/>
  <c r="AF192" i="72"/>
  <c r="AF191" i="72"/>
  <c r="AF190" i="72"/>
  <c r="AF189" i="72"/>
  <c r="AF188" i="72"/>
  <c r="D99" i="31" s="1"/>
  <c r="AF187" i="72"/>
  <c r="AF186" i="72"/>
  <c r="AF185" i="72"/>
  <c r="AF184" i="72"/>
  <c r="AF183" i="72"/>
  <c r="AF182" i="72"/>
  <c r="D98" i="31" s="1"/>
  <c r="E98" i="31" s="1"/>
  <c r="AF181" i="72"/>
  <c r="AF180" i="72"/>
  <c r="AF179" i="72"/>
  <c r="AF178" i="72"/>
  <c r="D100" i="31" s="1"/>
  <c r="AF177" i="72"/>
  <c r="AF176" i="72"/>
  <c r="AF175" i="72"/>
  <c r="AF174" i="72"/>
  <c r="AF173" i="72"/>
  <c r="AF172" i="72"/>
  <c r="AF171" i="72"/>
  <c r="AF170" i="72"/>
  <c r="AF169" i="72"/>
  <c r="AF168" i="72"/>
  <c r="D89" i="31" s="1"/>
  <c r="AF167" i="72"/>
  <c r="AF166" i="72"/>
  <c r="AF165" i="72"/>
  <c r="AF164" i="72"/>
  <c r="AF163" i="72"/>
  <c r="AF162" i="72"/>
  <c r="AF161" i="72"/>
  <c r="AF160" i="72"/>
  <c r="AF159" i="72"/>
  <c r="D81" i="31" s="1"/>
  <c r="AF158" i="72"/>
  <c r="AF157" i="72"/>
  <c r="AF156" i="72"/>
  <c r="AF155" i="72"/>
  <c r="AF154" i="72"/>
  <c r="D82" i="31" s="1"/>
  <c r="AF153" i="72"/>
  <c r="AF152" i="72"/>
  <c r="AF151" i="72"/>
  <c r="AF150" i="72"/>
  <c r="D79" i="31" s="1"/>
  <c r="AF149" i="72"/>
  <c r="AF148" i="72"/>
  <c r="AF147" i="72"/>
  <c r="AF146" i="72"/>
  <c r="D80" i="31" s="1"/>
  <c r="AF145" i="72"/>
  <c r="AF144" i="72"/>
  <c r="AF143" i="72"/>
  <c r="AF142" i="72"/>
  <c r="D78" i="31" s="1"/>
  <c r="AF141" i="72"/>
  <c r="AF140" i="72"/>
  <c r="AF139" i="72"/>
  <c r="AF138" i="72"/>
  <c r="AF137" i="72"/>
  <c r="AF136" i="72"/>
  <c r="AF135" i="72"/>
  <c r="AF134" i="72"/>
  <c r="AF133" i="72"/>
  <c r="AF132" i="72"/>
  <c r="AF131" i="72"/>
  <c r="AF130" i="72"/>
  <c r="AF129" i="72"/>
  <c r="AF128" i="72"/>
  <c r="AF127" i="72"/>
  <c r="AF126" i="72"/>
  <c r="AG126" i="72" s="1"/>
  <c r="AF125" i="72"/>
  <c r="AF124" i="72"/>
  <c r="AF123" i="72"/>
  <c r="AF122" i="72"/>
  <c r="AF121" i="72"/>
  <c r="AF120" i="72"/>
  <c r="AF119" i="72"/>
  <c r="AF118" i="72"/>
  <c r="AF117" i="72"/>
  <c r="AF116" i="72"/>
  <c r="AF115" i="72"/>
  <c r="D51" i="31" s="1"/>
  <c r="AF114" i="72"/>
  <c r="AF113" i="72"/>
  <c r="AF112" i="72"/>
  <c r="AF111" i="72"/>
  <c r="AF110" i="72"/>
  <c r="AF109" i="72"/>
  <c r="AF108" i="72"/>
  <c r="AF107" i="72"/>
  <c r="AF106" i="72"/>
  <c r="D56" i="31" s="1"/>
  <c r="AF105" i="72"/>
  <c r="AF104" i="72"/>
  <c r="AF103" i="72"/>
  <c r="AF102" i="72"/>
  <c r="AF101" i="72"/>
  <c r="AF100" i="72"/>
  <c r="AF99" i="72"/>
  <c r="D55" i="31" s="1"/>
  <c r="AF98" i="72"/>
  <c r="D50" i="31" s="1"/>
  <c r="AF97" i="72"/>
  <c r="AF96" i="72"/>
  <c r="AF95" i="72"/>
  <c r="AF94" i="72"/>
  <c r="AF93" i="72"/>
  <c r="AF92" i="72"/>
  <c r="AF91" i="72"/>
  <c r="D46" i="31" s="1"/>
  <c r="AF90" i="72"/>
  <c r="AF89" i="72"/>
  <c r="AF88" i="72"/>
  <c r="AF87" i="72"/>
  <c r="D43" i="31" s="1"/>
  <c r="AF86" i="72"/>
  <c r="AF85" i="72"/>
  <c r="AF84" i="72"/>
  <c r="AF83" i="72"/>
  <c r="AF82" i="72"/>
  <c r="AF81" i="72"/>
  <c r="AF80" i="72"/>
  <c r="D42" i="31" s="1"/>
  <c r="AF79" i="72"/>
  <c r="D41" i="31" s="1"/>
  <c r="AF78" i="72"/>
  <c r="D40" i="31" s="1"/>
  <c r="AF77" i="72"/>
  <c r="D39" i="31" s="1"/>
  <c r="AF76" i="72"/>
  <c r="AF75" i="72"/>
  <c r="AF74" i="72"/>
  <c r="D38" i="31" s="1"/>
  <c r="AF73" i="72"/>
  <c r="AF72" i="72"/>
  <c r="AF71" i="72"/>
  <c r="AF70" i="72"/>
  <c r="AF69" i="72"/>
  <c r="AF68" i="72"/>
  <c r="AF67" i="72"/>
  <c r="D45" i="31" s="1"/>
  <c r="AF66" i="72"/>
  <c r="AF65" i="72"/>
  <c r="AF64" i="72"/>
  <c r="AF63" i="72"/>
  <c r="AF62" i="72"/>
  <c r="AF61" i="72"/>
  <c r="AF60" i="72"/>
  <c r="AF59" i="72"/>
  <c r="AF58" i="72"/>
  <c r="D35" i="31" s="1"/>
  <c r="AF57" i="72"/>
  <c r="AF56" i="72"/>
  <c r="AF55" i="72"/>
  <c r="AF54" i="72"/>
  <c r="D34" i="31" s="1"/>
  <c r="AF53" i="72"/>
  <c r="AF52" i="72"/>
  <c r="AF51" i="72"/>
  <c r="AF50" i="72"/>
  <c r="D33" i="31" s="1"/>
  <c r="AF49" i="72"/>
  <c r="D31" i="31" s="1"/>
  <c r="AF48" i="72"/>
  <c r="AF47" i="72"/>
  <c r="AF46" i="72"/>
  <c r="AF45" i="72"/>
  <c r="AF44" i="72"/>
  <c r="AF43" i="72"/>
  <c r="D27" i="31" s="1"/>
  <c r="E27" i="31" s="1"/>
  <c r="AF42" i="72"/>
  <c r="AF41" i="72"/>
  <c r="AF40" i="72"/>
  <c r="AF39" i="72"/>
  <c r="D24" i="31" s="1"/>
  <c r="AF38" i="72"/>
  <c r="AF37" i="72"/>
  <c r="AF36" i="72"/>
  <c r="AF35" i="72"/>
  <c r="D26" i="31" s="1"/>
  <c r="AF34" i="72"/>
  <c r="AF33" i="72"/>
  <c r="AF32" i="72"/>
  <c r="AF31" i="72"/>
  <c r="AF30" i="72"/>
  <c r="AF29" i="72"/>
  <c r="AF28" i="72"/>
  <c r="D20" i="31" s="1"/>
  <c r="AF27" i="72"/>
  <c r="AF26" i="72"/>
  <c r="AF25" i="72"/>
  <c r="AF24" i="72"/>
  <c r="AG24" i="72" s="1"/>
  <c r="AF23" i="72"/>
  <c r="AF22" i="72"/>
  <c r="AF21" i="72"/>
  <c r="AF20" i="72"/>
  <c r="AF19" i="72"/>
  <c r="AF18" i="72"/>
  <c r="AF17" i="72"/>
  <c r="AF16" i="72"/>
  <c r="AF15" i="72"/>
  <c r="AF14" i="72"/>
  <c r="AF13" i="72"/>
  <c r="AF12" i="72"/>
  <c r="AG12" i="72" s="1"/>
  <c r="AG25" i="72" s="1"/>
  <c r="AF11" i="72"/>
  <c r="AF10" i="72"/>
  <c r="D47" i="45"/>
  <c r="D45" i="45"/>
  <c r="D44" i="45"/>
  <c r="D43" i="45"/>
  <c r="D42" i="45"/>
  <c r="D41" i="45"/>
  <c r="D40" i="45"/>
  <c r="D39" i="45"/>
  <c r="D38" i="45"/>
  <c r="D37" i="45"/>
  <c r="D36" i="45"/>
  <c r="D35" i="45"/>
  <c r="D34" i="45"/>
  <c r="D33" i="45"/>
  <c r="D32" i="45"/>
  <c r="D31" i="45"/>
  <c r="D30" i="45"/>
  <c r="D29" i="45"/>
  <c r="D26" i="45"/>
  <c r="D25" i="45"/>
  <c r="D24" i="45"/>
  <c r="D23" i="45"/>
  <c r="D20" i="45"/>
  <c r="D19" i="45"/>
  <c r="D18" i="45"/>
  <c r="D17" i="45"/>
  <c r="D16" i="45"/>
  <c r="D15" i="45"/>
  <c r="D14" i="45"/>
  <c r="D13" i="45"/>
  <c r="D12" i="45"/>
  <c r="D11" i="45"/>
  <c r="D10" i="45"/>
  <c r="D9" i="45"/>
  <c r="D8" i="45"/>
  <c r="D7" i="45"/>
  <c r="D6" i="45"/>
  <c r="R31" i="45"/>
  <c r="R30" i="45"/>
  <c r="R29" i="45"/>
  <c r="R26" i="45"/>
  <c r="R25" i="45"/>
  <c r="R20" i="45"/>
  <c r="R19" i="45"/>
  <c r="R18" i="45"/>
  <c r="R17" i="45"/>
  <c r="R16" i="45"/>
  <c r="R15" i="45"/>
  <c r="R14" i="45"/>
  <c r="R13" i="45"/>
  <c r="R12" i="45"/>
  <c r="R11" i="45"/>
  <c r="R10" i="45"/>
  <c r="R9" i="45"/>
  <c r="R8" i="45"/>
  <c r="R7" i="45"/>
  <c r="R6" i="45"/>
  <c r="D45" i="44"/>
  <c r="D44" i="44"/>
  <c r="D43" i="44"/>
  <c r="D42" i="44"/>
  <c r="D41" i="44"/>
  <c r="D40" i="44"/>
  <c r="D39" i="44"/>
  <c r="D38" i="44"/>
  <c r="D37" i="44"/>
  <c r="D36" i="44"/>
  <c r="D35" i="44"/>
  <c r="D34" i="44"/>
  <c r="D33" i="44"/>
  <c r="D32" i="44"/>
  <c r="D30" i="44"/>
  <c r="D27" i="44"/>
  <c r="D26" i="44"/>
  <c r="D25" i="44"/>
  <c r="D24" i="44"/>
  <c r="D23" i="44"/>
  <c r="D53" i="31" l="1"/>
  <c r="E53" i="31" s="1"/>
  <c r="D95" i="31"/>
  <c r="AJ16" i="72"/>
  <c r="AJ18" i="72" s="1"/>
  <c r="D52" i="31"/>
  <c r="D105" i="31"/>
  <c r="D28" i="31"/>
  <c r="D36" i="31"/>
  <c r="D37" i="31"/>
  <c r="D47" i="31" s="1"/>
  <c r="D54" i="31"/>
  <c r="D84" i="31"/>
  <c r="D87" i="31"/>
  <c r="D90" i="31" s="1"/>
  <c r="D106" i="31"/>
  <c r="D107" i="31" s="1"/>
  <c r="D44" i="31"/>
  <c r="AG258" i="72"/>
  <c r="D115" i="31"/>
  <c r="R21" i="45"/>
  <c r="C12" i="40"/>
  <c r="C30" i="40"/>
  <c r="B44" i="18"/>
  <c r="B43" i="18"/>
  <c r="R39" i="58" l="1"/>
  <c r="C25" i="67"/>
  <c r="D25" i="67" s="1"/>
  <c r="G40" i="28" l="1"/>
  <c r="F39" i="58" s="1"/>
  <c r="D39" i="58"/>
  <c r="K54" i="11"/>
  <c r="K56" i="18"/>
  <c r="H40" i="28" l="1"/>
  <c r="F26" i="16" s="1"/>
  <c r="P39" i="58"/>
  <c r="N39" i="58"/>
  <c r="F25" i="11" l="1"/>
  <c r="F24" i="18" l="1"/>
  <c r="K26" i="18"/>
  <c r="K27" i="18" s="1"/>
  <c r="K15" i="18" l="1"/>
  <c r="N14" i="18"/>
  <c r="K23" i="11"/>
  <c r="K24" i="11" s="1"/>
  <c r="I96" i="19"/>
  <c r="I51" i="19"/>
  <c r="I96" i="17"/>
  <c r="I51" i="17"/>
  <c r="I105" i="5"/>
  <c r="I56" i="5"/>
  <c r="H94" i="4"/>
  <c r="H50" i="4"/>
  <c r="A190" i="30" l="1"/>
  <c r="A188" i="30"/>
  <c r="A129" i="30"/>
  <c r="A127" i="30"/>
  <c r="A68" i="30"/>
  <c r="A66" i="30"/>
  <c r="A190" i="69"/>
  <c r="A188" i="69"/>
  <c r="A129" i="69"/>
  <c r="A127" i="69"/>
  <c r="A68" i="69"/>
  <c r="A66" i="69"/>
  <c r="D72" i="69"/>
  <c r="A13" i="69"/>
  <c r="A14" i="69" s="1"/>
  <c r="A15" i="69" s="1"/>
  <c r="A16" i="69" s="1"/>
  <c r="A18" i="69" s="1"/>
  <c r="A19" i="69" s="1"/>
  <c r="A20" i="69" s="1"/>
  <c r="A7" i="69"/>
  <c r="A128" i="69" s="1"/>
  <c r="A4" i="69"/>
  <c r="A125" i="69" s="1"/>
  <c r="A2" i="69"/>
  <c r="A62" i="69" s="1"/>
  <c r="A1" i="69"/>
  <c r="A61" i="69" s="1"/>
  <c r="A184" i="69" l="1"/>
  <c r="A183" i="69"/>
  <c r="A189" i="69"/>
  <c r="A64" i="69"/>
  <c r="A186" i="69"/>
  <c r="A122" i="69"/>
  <c r="A67" i="69"/>
  <c r="A123" i="69"/>
  <c r="A22" i="69"/>
  <c r="A21" i="69"/>
  <c r="A23" i="69" s="1"/>
  <c r="A24" i="69" s="1"/>
  <c r="A25" i="69" s="1"/>
  <c r="A26" i="69" s="1"/>
  <c r="A27" i="69" s="1"/>
  <c r="A29" i="69" s="1"/>
  <c r="A30" i="69" s="1"/>
  <c r="A31" i="69" s="1"/>
  <c r="A32" i="69" s="1"/>
  <c r="A33" i="69" s="1"/>
  <c r="A34" i="69" s="1"/>
  <c r="A35" i="69" s="1"/>
  <c r="A36" i="69" s="1"/>
  <c r="A37" i="69" s="1"/>
  <c r="A38" i="69" s="1"/>
  <c r="A40" i="69" s="1"/>
  <c r="A41" i="69" s="1"/>
  <c r="A42" i="69" s="1"/>
  <c r="A43" i="69" s="1"/>
  <c r="A44" i="69" s="1"/>
  <c r="A45" i="69" s="1"/>
  <c r="A46" i="69" s="1"/>
  <c r="A47" i="69" s="1"/>
  <c r="A48" i="69" s="1"/>
  <c r="A49" i="69" s="1"/>
  <c r="A51" i="69" s="1"/>
  <c r="A52" i="69" s="1"/>
  <c r="A53" i="69" s="1"/>
  <c r="A54" i="69" s="1"/>
  <c r="A55" i="69" s="1"/>
  <c r="A56" i="69" s="1"/>
  <c r="A57" i="69" s="1"/>
  <c r="A58" i="69" s="1"/>
  <c r="A59" i="69" s="1"/>
  <c r="A60" i="69" s="1"/>
  <c r="A72" i="69" s="1"/>
  <c r="A73" i="69" s="1"/>
  <c r="A84" i="69" l="1"/>
  <c r="A85" i="69" s="1"/>
  <c r="A86" i="69" s="1"/>
  <c r="A87" i="69" s="1"/>
  <c r="A88" i="69" s="1"/>
  <c r="A89" i="69" s="1"/>
  <c r="A90" i="69" s="1"/>
  <c r="A91" i="69" s="1"/>
  <c r="A92" i="69" s="1"/>
  <c r="A93" i="69" s="1"/>
  <c r="A94" i="69" s="1"/>
  <c r="A95" i="69" s="1"/>
  <c r="A96" i="69" s="1"/>
  <c r="A97" i="69" s="1"/>
  <c r="A98" i="69" s="1"/>
  <c r="A100" i="69" s="1"/>
  <c r="A101" i="69" s="1"/>
  <c r="A102" i="69" s="1"/>
  <c r="A103" i="69" s="1"/>
  <c r="A104" i="69" s="1"/>
  <c r="A105" i="69" s="1"/>
  <c r="A106" i="69" s="1"/>
  <c r="A107" i="69" s="1"/>
  <c r="A108" i="69" s="1"/>
  <c r="A109" i="69" s="1"/>
  <c r="A110" i="69" s="1"/>
  <c r="A111" i="69" s="1"/>
  <c r="A112" i="69" s="1"/>
  <c r="A114" i="69" s="1"/>
  <c r="A115" i="69" s="1"/>
  <c r="A116" i="69" s="1"/>
  <c r="A117" i="69" s="1"/>
  <c r="A118" i="69" s="1"/>
  <c r="A119" i="69" s="1"/>
  <c r="A120" i="69" s="1"/>
  <c r="A121" i="69" s="1"/>
  <c r="A133" i="69" s="1"/>
  <c r="A134" i="69" s="1"/>
  <c r="A135" i="69" s="1"/>
  <c r="A136" i="69" s="1"/>
  <c r="A138" i="69" s="1"/>
  <c r="A139" i="69" s="1"/>
  <c r="A140" i="69" s="1"/>
  <c r="A141" i="69" s="1"/>
  <c r="A142" i="69" s="1"/>
  <c r="A143" i="69" s="1"/>
  <c r="A144" i="69" s="1"/>
  <c r="A145" i="69" s="1"/>
  <c r="A146" i="69" s="1"/>
  <c r="A147" i="69" s="1"/>
  <c r="A148" i="69" s="1"/>
  <c r="A150" i="69" s="1"/>
  <c r="A151" i="69" s="1"/>
  <c r="A152" i="69" s="1"/>
  <c r="A153" i="69" s="1"/>
  <c r="A154" i="69" s="1"/>
  <c r="A155" i="69" s="1"/>
  <c r="A156" i="69" s="1"/>
  <c r="A157" i="69" s="1"/>
  <c r="A158" i="69" s="1"/>
  <c r="A159" i="69" s="1"/>
  <c r="A160" i="69" s="1"/>
  <c r="A161" i="69" s="1"/>
  <c r="A163" i="69" s="1"/>
  <c r="A164" i="69" s="1"/>
  <c r="A165" i="69" s="1"/>
  <c r="A166" i="69" s="1"/>
  <c r="A167" i="69" s="1"/>
  <c r="A168" i="69" s="1"/>
  <c r="A169" i="69" s="1"/>
  <c r="A170" i="69" s="1"/>
  <c r="A172" i="69" s="1"/>
  <c r="A173" i="69" s="1"/>
  <c r="A174" i="69" s="1"/>
  <c r="A175" i="69" s="1"/>
  <c r="A176" i="69" s="1"/>
  <c r="A177" i="69" s="1"/>
  <c r="A179" i="69" s="1"/>
  <c r="A180" i="69" s="1"/>
  <c r="A181" i="69" s="1"/>
  <c r="A182" i="69" s="1"/>
  <c r="A194" i="69" s="1"/>
  <c r="A195" i="69" s="1"/>
  <c r="A196" i="69" s="1"/>
  <c r="A197" i="69" s="1"/>
  <c r="A199" i="69" s="1"/>
  <c r="A201" i="69" s="1"/>
  <c r="A203" i="69" s="1"/>
  <c r="A75" i="69"/>
  <c r="A76" i="69" s="1"/>
  <c r="A77" i="69" s="1"/>
  <c r="A78" i="69" s="1"/>
  <c r="A79" i="69" s="1"/>
  <c r="A80" i="69" s="1"/>
  <c r="A81" i="69" s="1"/>
  <c r="A82" i="69" s="1"/>
  <c r="A13" i="30"/>
  <c r="A14" i="30" l="1"/>
  <c r="A15" i="30" s="1"/>
  <c r="A16" i="30" s="1"/>
  <c r="D21" i="68"/>
  <c r="A18" i="30" l="1"/>
  <c r="A19" i="30" s="1"/>
  <c r="A20" i="30" s="1"/>
  <c r="A4" i="68"/>
  <c r="F25" i="68"/>
  <c r="E25" i="68"/>
  <c r="E14" i="68"/>
  <c r="A7" i="68"/>
  <c r="A2" i="68"/>
  <c r="A1" i="68"/>
  <c r="F25" i="67"/>
  <c r="E25" i="67"/>
  <c r="E14" i="67"/>
  <c r="A7" i="67"/>
  <c r="A2" i="67"/>
  <c r="A1" i="67"/>
  <c r="A21" i="30" l="1"/>
  <c r="A23" i="30" s="1"/>
  <c r="A24" i="30" s="1"/>
  <c r="A22" i="30"/>
  <c r="G14" i="68"/>
  <c r="G14" i="67"/>
  <c r="B2" i="58"/>
  <c r="B2" i="59"/>
  <c r="A25" i="30" l="1"/>
  <c r="A26" i="30" s="1"/>
  <c r="A27" i="30" s="1"/>
  <c r="A29" i="30" s="1"/>
  <c r="P116" i="66"/>
  <c r="P115" i="66"/>
  <c r="P114" i="66"/>
  <c r="P113" i="66"/>
  <c r="P112" i="66"/>
  <c r="P111" i="66"/>
  <c r="P110" i="66"/>
  <c r="P106" i="66"/>
  <c r="P105" i="66"/>
  <c r="P104" i="66"/>
  <c r="P103" i="66"/>
  <c r="P102" i="66"/>
  <c r="P101" i="66"/>
  <c r="P100" i="66"/>
  <c r="P99" i="66"/>
  <c r="P98" i="66"/>
  <c r="P94" i="66"/>
  <c r="P93" i="66"/>
  <c r="P89" i="66"/>
  <c r="P88" i="66"/>
  <c r="P87" i="66"/>
  <c r="P83" i="66"/>
  <c r="P82" i="66"/>
  <c r="P81" i="66"/>
  <c r="P80" i="66"/>
  <c r="P79" i="66"/>
  <c r="P78" i="66"/>
  <c r="P56" i="66"/>
  <c r="P55" i="66"/>
  <c r="P54" i="66"/>
  <c r="P53" i="66"/>
  <c r="P52" i="66"/>
  <c r="P51" i="66"/>
  <c r="P50" i="66"/>
  <c r="P46" i="66"/>
  <c r="P45" i="66"/>
  <c r="P44" i="66"/>
  <c r="P43" i="66"/>
  <c r="P42" i="66"/>
  <c r="P41" i="66"/>
  <c r="P40" i="66"/>
  <c r="P39" i="66"/>
  <c r="P38" i="66"/>
  <c r="P37" i="66"/>
  <c r="P36" i="66"/>
  <c r="P35" i="66"/>
  <c r="P34" i="66"/>
  <c r="P33" i="66"/>
  <c r="P32" i="66"/>
  <c r="P31" i="66"/>
  <c r="P27" i="66"/>
  <c r="P26" i="66"/>
  <c r="P25" i="66"/>
  <c r="P24" i="66"/>
  <c r="P20" i="66"/>
  <c r="P18" i="66"/>
  <c r="P17" i="66"/>
  <c r="A30" i="30" l="1"/>
  <c r="A31" i="30" s="1"/>
  <c r="A32" i="30" s="1"/>
  <c r="A33" i="30" s="1"/>
  <c r="A34" i="30" s="1"/>
  <c r="A35" i="30" s="1"/>
  <c r="A36" i="30" s="1"/>
  <c r="A37" i="30" s="1"/>
  <c r="A38" i="30" s="1"/>
  <c r="N116" i="66"/>
  <c r="N115" i="66"/>
  <c r="N114" i="66"/>
  <c r="N113" i="66"/>
  <c r="N112" i="66"/>
  <c r="N111" i="66"/>
  <c r="N110" i="66"/>
  <c r="N106" i="66"/>
  <c r="N105" i="66"/>
  <c r="N104" i="66"/>
  <c r="N103" i="66"/>
  <c r="N102" i="66"/>
  <c r="N101" i="66"/>
  <c r="N100" i="66"/>
  <c r="N99" i="66"/>
  <c r="N98" i="66"/>
  <c r="N94" i="66"/>
  <c r="N93" i="66"/>
  <c r="N89" i="66"/>
  <c r="O89" i="66" s="1"/>
  <c r="N88" i="66"/>
  <c r="N87" i="66"/>
  <c r="N83" i="66"/>
  <c r="N82" i="66"/>
  <c r="N81" i="66"/>
  <c r="N80" i="66"/>
  <c r="N79" i="66"/>
  <c r="N78" i="66"/>
  <c r="N56" i="66"/>
  <c r="N55" i="66"/>
  <c r="N54" i="66"/>
  <c r="N53" i="66"/>
  <c r="N52" i="66"/>
  <c r="N51" i="66"/>
  <c r="N50" i="66"/>
  <c r="N46" i="66"/>
  <c r="N45" i="66"/>
  <c r="N44" i="66"/>
  <c r="N43" i="66"/>
  <c r="N42" i="66"/>
  <c r="N41" i="66"/>
  <c r="N40" i="66"/>
  <c r="N39" i="66"/>
  <c r="N38" i="66"/>
  <c r="N37" i="66"/>
  <c r="N36" i="66"/>
  <c r="N35" i="66"/>
  <c r="N34" i="66"/>
  <c r="N33" i="66"/>
  <c r="N32" i="66"/>
  <c r="N31" i="66"/>
  <c r="N27" i="66"/>
  <c r="N26" i="66"/>
  <c r="N25" i="66"/>
  <c r="N24" i="66"/>
  <c r="N20" i="66"/>
  <c r="N18" i="66"/>
  <c r="N17" i="66"/>
  <c r="A40" i="30" l="1"/>
  <c r="A41" i="30" s="1"/>
  <c r="A42" i="30" s="1"/>
  <c r="A43" i="30" s="1"/>
  <c r="A44" i="30" s="1"/>
  <c r="A45" i="30" s="1"/>
  <c r="A46" i="30" s="1"/>
  <c r="A47" i="30" s="1"/>
  <c r="A48" i="30" s="1"/>
  <c r="A49" i="30" s="1"/>
  <c r="A51" i="30" s="1"/>
  <c r="L116" i="66"/>
  <c r="L115" i="66"/>
  <c r="L114" i="66"/>
  <c r="L113" i="66"/>
  <c r="L112" i="66"/>
  <c r="L111" i="66"/>
  <c r="L110" i="66"/>
  <c r="L106" i="66"/>
  <c r="L105" i="66"/>
  <c r="L104" i="66"/>
  <c r="L103" i="66"/>
  <c r="L102" i="66"/>
  <c r="L101" i="66"/>
  <c r="L100" i="66"/>
  <c r="L99" i="66"/>
  <c r="L98" i="66"/>
  <c r="M98" i="66" s="1"/>
  <c r="L94" i="66"/>
  <c r="L93" i="66"/>
  <c r="L89" i="66"/>
  <c r="L88" i="66"/>
  <c r="L87" i="66"/>
  <c r="L83" i="66"/>
  <c r="L82" i="66"/>
  <c r="L80" i="66"/>
  <c r="L79" i="66"/>
  <c r="L78" i="66"/>
  <c r="L56" i="66"/>
  <c r="L55" i="66"/>
  <c r="L54" i="66"/>
  <c r="L53" i="66"/>
  <c r="L52" i="66"/>
  <c r="L51" i="66"/>
  <c r="L50" i="66"/>
  <c r="L46" i="66"/>
  <c r="L45" i="66"/>
  <c r="L44" i="66"/>
  <c r="L43" i="66"/>
  <c r="L42" i="66"/>
  <c r="L41" i="66"/>
  <c r="L40" i="66"/>
  <c r="L39" i="66"/>
  <c r="L38" i="66"/>
  <c r="L37" i="66"/>
  <c r="L36" i="66"/>
  <c r="L35" i="66"/>
  <c r="L34" i="66"/>
  <c r="L33" i="66"/>
  <c r="L32" i="66"/>
  <c r="L31" i="66"/>
  <c r="L27" i="66"/>
  <c r="L26" i="66"/>
  <c r="L25" i="66"/>
  <c r="L24" i="66"/>
  <c r="L20" i="66"/>
  <c r="L18" i="66"/>
  <c r="L17" i="66"/>
  <c r="A52" i="30" l="1"/>
  <c r="A53" i="30" s="1"/>
  <c r="A54" i="30" s="1"/>
  <c r="A55" i="30" s="1"/>
  <c r="A56" i="30" s="1"/>
  <c r="A57" i="30" s="1"/>
  <c r="A58" i="30" s="1"/>
  <c r="A59" i="30" s="1"/>
  <c r="A60" i="30" s="1"/>
  <c r="A72" i="30" s="1"/>
  <c r="A73" i="30" s="1"/>
  <c r="J116" i="66"/>
  <c r="J115" i="66"/>
  <c r="J114" i="66"/>
  <c r="J113" i="66"/>
  <c r="J112" i="66"/>
  <c r="J111" i="66"/>
  <c r="J110" i="66"/>
  <c r="J106" i="66"/>
  <c r="J105" i="66"/>
  <c r="J104" i="66"/>
  <c r="J103" i="66"/>
  <c r="J102" i="66"/>
  <c r="J101" i="66"/>
  <c r="J100" i="66"/>
  <c r="J99" i="66"/>
  <c r="J98" i="66"/>
  <c r="K98" i="66" s="1"/>
  <c r="J94" i="66"/>
  <c r="J93" i="66"/>
  <c r="J89" i="66"/>
  <c r="J88" i="66"/>
  <c r="J87" i="66"/>
  <c r="J83" i="66"/>
  <c r="J82" i="66"/>
  <c r="J80" i="66"/>
  <c r="J79" i="66"/>
  <c r="J78" i="66"/>
  <c r="J56" i="66"/>
  <c r="J55" i="66"/>
  <c r="J54" i="66"/>
  <c r="J53" i="66"/>
  <c r="J52" i="66"/>
  <c r="J51" i="66"/>
  <c r="J50" i="66"/>
  <c r="J46" i="66"/>
  <c r="J45" i="66"/>
  <c r="J44" i="66"/>
  <c r="J43" i="66"/>
  <c r="J42" i="66"/>
  <c r="J41" i="66"/>
  <c r="J40" i="66"/>
  <c r="J39" i="66"/>
  <c r="J38" i="66"/>
  <c r="J37" i="66"/>
  <c r="J36" i="66"/>
  <c r="J35" i="66"/>
  <c r="J34" i="66"/>
  <c r="J33" i="66"/>
  <c r="J32" i="66"/>
  <c r="J31" i="66"/>
  <c r="J27" i="66"/>
  <c r="J26" i="66"/>
  <c r="J25" i="66"/>
  <c r="J24" i="66"/>
  <c r="J20" i="66"/>
  <c r="J18" i="66"/>
  <c r="J17" i="66"/>
  <c r="A84" i="30" l="1"/>
  <c r="A75" i="30"/>
  <c r="A76" i="30" s="1"/>
  <c r="A77" i="30" s="1"/>
  <c r="A78" i="30" s="1"/>
  <c r="A79" i="30" s="1"/>
  <c r="A80" i="30" s="1"/>
  <c r="A81" i="30" s="1"/>
  <c r="A82" i="30" s="1"/>
  <c r="H116" i="66"/>
  <c r="H115" i="66"/>
  <c r="H114" i="66"/>
  <c r="H113" i="66"/>
  <c r="H112" i="66"/>
  <c r="H111" i="66"/>
  <c r="H110" i="66"/>
  <c r="H106" i="66"/>
  <c r="H105" i="66"/>
  <c r="H104" i="66"/>
  <c r="H103" i="66"/>
  <c r="H102" i="66"/>
  <c r="H101" i="66"/>
  <c r="H100" i="66"/>
  <c r="H99" i="66"/>
  <c r="H98" i="66"/>
  <c r="H94" i="66"/>
  <c r="H93" i="66"/>
  <c r="H89" i="66"/>
  <c r="H88" i="66"/>
  <c r="H87" i="66"/>
  <c r="H83" i="66"/>
  <c r="H82" i="66"/>
  <c r="H80" i="66"/>
  <c r="H79" i="66"/>
  <c r="H78" i="66"/>
  <c r="H56" i="66"/>
  <c r="H55" i="66"/>
  <c r="H54" i="66"/>
  <c r="H53" i="66"/>
  <c r="H52" i="66"/>
  <c r="H51" i="66"/>
  <c r="H50" i="66"/>
  <c r="H46" i="66"/>
  <c r="H45" i="66"/>
  <c r="H44" i="66"/>
  <c r="H43" i="66"/>
  <c r="H42" i="66"/>
  <c r="H41" i="66"/>
  <c r="H40" i="66"/>
  <c r="H39" i="66"/>
  <c r="H38" i="66"/>
  <c r="H37" i="66"/>
  <c r="H36" i="66"/>
  <c r="H35" i="66"/>
  <c r="H34" i="66"/>
  <c r="H33" i="66"/>
  <c r="H32" i="66"/>
  <c r="H31" i="66"/>
  <c r="H27" i="66"/>
  <c r="H26" i="66"/>
  <c r="H25" i="66"/>
  <c r="H24" i="66"/>
  <c r="H20" i="66"/>
  <c r="H18" i="66"/>
  <c r="H17" i="66"/>
  <c r="A85" i="30" l="1"/>
  <c r="A86" i="30" s="1"/>
  <c r="A87" i="30" s="1"/>
  <c r="A88" i="30" s="1"/>
  <c r="A89" i="30" s="1"/>
  <c r="A90" i="30" s="1"/>
  <c r="A91" i="30" s="1"/>
  <c r="A92" i="30" s="1"/>
  <c r="A93" i="30" s="1"/>
  <c r="A94" i="30" s="1"/>
  <c r="A95" i="30" s="1"/>
  <c r="A96" i="30" s="1"/>
  <c r="A97" i="30" s="1"/>
  <c r="A98" i="30" s="1"/>
  <c r="E113" i="66"/>
  <c r="E105" i="66"/>
  <c r="E99" i="66"/>
  <c r="E56" i="66"/>
  <c r="E54" i="66"/>
  <c r="E52" i="66"/>
  <c r="E51" i="66"/>
  <c r="E55" i="66"/>
  <c r="E50" i="66"/>
  <c r="E42" i="66"/>
  <c r="E33" i="66"/>
  <c r="E20" i="66"/>
  <c r="P117" i="66"/>
  <c r="N117" i="66"/>
  <c r="L117" i="66"/>
  <c r="J117" i="66"/>
  <c r="H117" i="66"/>
  <c r="O116" i="66"/>
  <c r="M116" i="66"/>
  <c r="K116" i="66"/>
  <c r="I116" i="66"/>
  <c r="G116" i="66"/>
  <c r="E116" i="66"/>
  <c r="O114" i="66"/>
  <c r="M114" i="66"/>
  <c r="K114" i="66"/>
  <c r="I114" i="66"/>
  <c r="G114" i="66"/>
  <c r="E114" i="66"/>
  <c r="O113" i="66"/>
  <c r="M113" i="66"/>
  <c r="K113" i="66"/>
  <c r="I113" i="66"/>
  <c r="G113" i="66"/>
  <c r="O112" i="66"/>
  <c r="M112" i="66"/>
  <c r="K112" i="66"/>
  <c r="I112" i="66"/>
  <c r="G112" i="66"/>
  <c r="E112" i="66"/>
  <c r="O111" i="66"/>
  <c r="M111" i="66"/>
  <c r="K111" i="66"/>
  <c r="I111" i="66"/>
  <c r="G111" i="66"/>
  <c r="E111" i="66"/>
  <c r="O110" i="66"/>
  <c r="M110" i="66"/>
  <c r="K110" i="66"/>
  <c r="I110" i="66"/>
  <c r="G110" i="66"/>
  <c r="E110" i="66"/>
  <c r="P107" i="66"/>
  <c r="N107" i="66"/>
  <c r="L107" i="66"/>
  <c r="J107" i="66"/>
  <c r="H107" i="66"/>
  <c r="G107" i="66" s="1"/>
  <c r="O106" i="66"/>
  <c r="M106" i="66"/>
  <c r="K106" i="66"/>
  <c r="I106" i="66"/>
  <c r="G106" i="66"/>
  <c r="E106" i="66"/>
  <c r="O105" i="66"/>
  <c r="M105" i="66"/>
  <c r="K105" i="66"/>
  <c r="I105" i="66"/>
  <c r="G105" i="66"/>
  <c r="O104" i="66"/>
  <c r="M104" i="66"/>
  <c r="K104" i="66"/>
  <c r="I104" i="66"/>
  <c r="G104" i="66"/>
  <c r="E104" i="66"/>
  <c r="O103" i="66"/>
  <c r="M103" i="66"/>
  <c r="K103" i="66"/>
  <c r="I103" i="66"/>
  <c r="G103" i="66"/>
  <c r="E103" i="66"/>
  <c r="O102" i="66"/>
  <c r="M102" i="66"/>
  <c r="K102" i="66"/>
  <c r="I102" i="66"/>
  <c r="G102" i="66"/>
  <c r="E102" i="66"/>
  <c r="O99" i="66"/>
  <c r="M99" i="66"/>
  <c r="K99" i="66"/>
  <c r="I99" i="66"/>
  <c r="G99" i="66"/>
  <c r="I98" i="66"/>
  <c r="G98" i="66"/>
  <c r="P95" i="66"/>
  <c r="N95" i="66"/>
  <c r="L95" i="66"/>
  <c r="J95" i="66"/>
  <c r="H95" i="66"/>
  <c r="G95" i="66" s="1"/>
  <c r="O94" i="66"/>
  <c r="M94" i="66"/>
  <c r="K94" i="66"/>
  <c r="I94" i="66"/>
  <c r="G94" i="66"/>
  <c r="E94" i="66"/>
  <c r="O93" i="66"/>
  <c r="M93" i="66"/>
  <c r="K93" i="66"/>
  <c r="I93" i="66"/>
  <c r="G93" i="66"/>
  <c r="E93" i="66"/>
  <c r="P90" i="66"/>
  <c r="N90" i="66"/>
  <c r="L90" i="66"/>
  <c r="J90" i="66"/>
  <c r="H90" i="66"/>
  <c r="M89" i="66"/>
  <c r="K89" i="66"/>
  <c r="I89" i="66"/>
  <c r="G89" i="66"/>
  <c r="E89" i="66"/>
  <c r="O87" i="66"/>
  <c r="M87" i="66"/>
  <c r="K87" i="66"/>
  <c r="I87" i="66"/>
  <c r="P84" i="66"/>
  <c r="N84" i="66"/>
  <c r="L84" i="66"/>
  <c r="J84" i="66"/>
  <c r="H84" i="66"/>
  <c r="O82" i="66"/>
  <c r="M82" i="66"/>
  <c r="K82" i="66"/>
  <c r="I82" i="66"/>
  <c r="G82" i="66"/>
  <c r="E82" i="66"/>
  <c r="O80" i="66"/>
  <c r="M80" i="66"/>
  <c r="K80" i="66"/>
  <c r="I80" i="66"/>
  <c r="O79" i="66"/>
  <c r="M79" i="66"/>
  <c r="K79" i="66"/>
  <c r="I79" i="66"/>
  <c r="G79" i="66"/>
  <c r="E79" i="66"/>
  <c r="O78" i="66"/>
  <c r="M78" i="66"/>
  <c r="K78" i="66"/>
  <c r="I78" i="66"/>
  <c r="G78" i="66"/>
  <c r="E78" i="66"/>
  <c r="A77" i="66"/>
  <c r="A78" i="66" s="1"/>
  <c r="A79" i="66" s="1"/>
  <c r="A80" i="66" s="1"/>
  <c r="A81" i="66" s="1"/>
  <c r="A82" i="66" s="1"/>
  <c r="A83" i="66" s="1"/>
  <c r="A84" i="66" s="1"/>
  <c r="A86" i="66" s="1"/>
  <c r="A87" i="66" s="1"/>
  <c r="A88" i="66" s="1"/>
  <c r="A89" i="66" s="1"/>
  <c r="A90" i="66" s="1"/>
  <c r="A92" i="66" s="1"/>
  <c r="A93" i="66" s="1"/>
  <c r="A94" i="66" s="1"/>
  <c r="A95" i="66" s="1"/>
  <c r="A97" i="66" s="1"/>
  <c r="A98" i="66" s="1"/>
  <c r="A99" i="66" s="1"/>
  <c r="A100" i="66" s="1"/>
  <c r="A101" i="66" s="1"/>
  <c r="A102" i="66" s="1"/>
  <c r="A103" i="66" s="1"/>
  <c r="A104" i="66" s="1"/>
  <c r="A105" i="66" s="1"/>
  <c r="A106" i="66" s="1"/>
  <c r="A107" i="66" s="1"/>
  <c r="A109" i="66" s="1"/>
  <c r="A110" i="66" s="1"/>
  <c r="A111" i="66" s="1"/>
  <c r="A112" i="66" s="1"/>
  <c r="A113" i="66" s="1"/>
  <c r="A114" i="66" s="1"/>
  <c r="A115" i="66" s="1"/>
  <c r="A116" i="66" s="1"/>
  <c r="A117" i="66" s="1"/>
  <c r="A119" i="66" s="1"/>
  <c r="A121" i="66" s="1"/>
  <c r="P73" i="66"/>
  <c r="N73" i="66"/>
  <c r="L73" i="66"/>
  <c r="J73" i="66"/>
  <c r="H73" i="66"/>
  <c r="A69" i="66"/>
  <c r="A67" i="66"/>
  <c r="A65" i="66"/>
  <c r="A64" i="66"/>
  <c r="P57" i="66"/>
  <c r="N57" i="66"/>
  <c r="L57" i="66"/>
  <c r="J57" i="66"/>
  <c r="H57" i="66"/>
  <c r="O56" i="66"/>
  <c r="M56" i="66"/>
  <c r="K56" i="66"/>
  <c r="I56" i="66"/>
  <c r="G56" i="66"/>
  <c r="O55" i="66"/>
  <c r="M55" i="66"/>
  <c r="K55" i="66"/>
  <c r="I55" i="66"/>
  <c r="G55" i="66"/>
  <c r="O54" i="66"/>
  <c r="M54" i="66"/>
  <c r="K54" i="66"/>
  <c r="I54" i="66"/>
  <c r="G54" i="66"/>
  <c r="O52" i="66"/>
  <c r="M52" i="66"/>
  <c r="K52" i="66"/>
  <c r="I52" i="66"/>
  <c r="G52" i="66"/>
  <c r="O51" i="66"/>
  <c r="M51" i="66"/>
  <c r="K51" i="66"/>
  <c r="I51" i="66"/>
  <c r="G51" i="66"/>
  <c r="O50" i="66"/>
  <c r="M50" i="66"/>
  <c r="K50" i="66"/>
  <c r="I50" i="66"/>
  <c r="G50" i="66"/>
  <c r="P47" i="66"/>
  <c r="N47" i="66"/>
  <c r="L47" i="66"/>
  <c r="J47" i="66"/>
  <c r="H47" i="66"/>
  <c r="O45" i="66"/>
  <c r="M45" i="66"/>
  <c r="K45" i="66"/>
  <c r="I45" i="66"/>
  <c r="G45" i="66"/>
  <c r="O44" i="66"/>
  <c r="M44" i="66"/>
  <c r="K44" i="66"/>
  <c r="I44" i="66"/>
  <c r="G44" i="66"/>
  <c r="E44" i="66"/>
  <c r="O43" i="66"/>
  <c r="M43" i="66"/>
  <c r="K43" i="66"/>
  <c r="I43" i="66"/>
  <c r="G43" i="66"/>
  <c r="E43" i="66"/>
  <c r="O42" i="66"/>
  <c r="M42" i="66"/>
  <c r="K42" i="66"/>
  <c r="I42" i="66"/>
  <c r="G42" i="66"/>
  <c r="O41" i="66"/>
  <c r="M41" i="66"/>
  <c r="K41" i="66"/>
  <c r="I41" i="66"/>
  <c r="G41" i="66"/>
  <c r="O40" i="66"/>
  <c r="M40" i="66"/>
  <c r="K40" i="66"/>
  <c r="I40" i="66"/>
  <c r="G40" i="66"/>
  <c r="E40" i="66"/>
  <c r="O39" i="66"/>
  <c r="M39" i="66"/>
  <c r="K39" i="66"/>
  <c r="I39" i="66"/>
  <c r="G39" i="66"/>
  <c r="E39" i="66"/>
  <c r="O38" i="66"/>
  <c r="M38" i="66"/>
  <c r="K38" i="66"/>
  <c r="I38" i="66"/>
  <c r="E38" i="66"/>
  <c r="O37" i="66"/>
  <c r="M37" i="66"/>
  <c r="K37" i="66"/>
  <c r="I37" i="66"/>
  <c r="G37" i="66"/>
  <c r="O36" i="66"/>
  <c r="M36" i="66"/>
  <c r="K36" i="66"/>
  <c r="I36" i="66"/>
  <c r="G36" i="66"/>
  <c r="E36" i="66"/>
  <c r="O35" i="66"/>
  <c r="M35" i="66"/>
  <c r="K35" i="66"/>
  <c r="I35" i="66"/>
  <c r="G35" i="66"/>
  <c r="E35" i="66"/>
  <c r="O34" i="66"/>
  <c r="M34" i="66"/>
  <c r="K34" i="66"/>
  <c r="I34" i="66"/>
  <c r="G34" i="66"/>
  <c r="O33" i="66"/>
  <c r="M33" i="66"/>
  <c r="K33" i="66"/>
  <c r="I33" i="66"/>
  <c r="G33" i="66"/>
  <c r="O31" i="66"/>
  <c r="M31" i="66"/>
  <c r="K31" i="66"/>
  <c r="I31" i="66"/>
  <c r="G31" i="66"/>
  <c r="E31" i="66"/>
  <c r="P28" i="66"/>
  <c r="N28" i="66"/>
  <c r="L28" i="66"/>
  <c r="J28" i="66"/>
  <c r="H28" i="66"/>
  <c r="O20" i="66"/>
  <c r="M20" i="66"/>
  <c r="K20" i="66"/>
  <c r="I20" i="66"/>
  <c r="G20" i="66"/>
  <c r="P19" i="66"/>
  <c r="P21" i="66" s="1"/>
  <c r="N19" i="66"/>
  <c r="N21" i="66" s="1"/>
  <c r="L19" i="66"/>
  <c r="L21" i="66" s="1"/>
  <c r="O18" i="66"/>
  <c r="M18" i="66"/>
  <c r="K18" i="66"/>
  <c r="I18" i="66"/>
  <c r="O17" i="66"/>
  <c r="M17" i="66"/>
  <c r="K17" i="66"/>
  <c r="J19" i="66"/>
  <c r="I17" i="66"/>
  <c r="H19" i="66"/>
  <c r="H21" i="66" s="1"/>
  <c r="A16" i="66"/>
  <c r="A17" i="66" s="1"/>
  <c r="A18" i="66" s="1"/>
  <c r="A19" i="66" s="1"/>
  <c r="A20" i="66" s="1"/>
  <c r="A21" i="66" s="1"/>
  <c r="A23" i="66" s="1"/>
  <c r="A24" i="66" s="1"/>
  <c r="A25" i="66" s="1"/>
  <c r="A26" i="66" s="1"/>
  <c r="A27" i="66" s="1"/>
  <c r="A28" i="66" s="1"/>
  <c r="A30" i="66" s="1"/>
  <c r="A31" i="66" s="1"/>
  <c r="A32" i="66" s="1"/>
  <c r="A33" i="66" s="1"/>
  <c r="A34" i="66" s="1"/>
  <c r="A35" i="66" s="1"/>
  <c r="A36" i="66" s="1"/>
  <c r="A37" i="66" s="1"/>
  <c r="A38" i="66" s="1"/>
  <c r="A39" i="66" s="1"/>
  <c r="A40" i="66" s="1"/>
  <c r="A41" i="66" s="1"/>
  <c r="A42" i="66" s="1"/>
  <c r="A43" i="66" s="1"/>
  <c r="A44" i="66" s="1"/>
  <c r="A45" i="66" s="1"/>
  <c r="A46" i="66" s="1"/>
  <c r="A47" i="66" s="1"/>
  <c r="A49" i="66" s="1"/>
  <c r="A50" i="66" s="1"/>
  <c r="A51" i="66" s="1"/>
  <c r="A52" i="66" s="1"/>
  <c r="A53" i="66" s="1"/>
  <c r="A54" i="66" s="1"/>
  <c r="A55" i="66" s="1"/>
  <c r="A56" i="66" s="1"/>
  <c r="A57" i="66" s="1"/>
  <c r="A59" i="66" s="1"/>
  <c r="A68" i="66"/>
  <c r="A2" i="66"/>
  <c r="A63" i="66" s="1"/>
  <c r="A1" i="66"/>
  <c r="A62" i="66" s="1"/>
  <c r="I117" i="66" l="1"/>
  <c r="I90" i="66"/>
  <c r="G57" i="66"/>
  <c r="O57" i="66"/>
  <c r="K84" i="66"/>
  <c r="I107" i="66"/>
  <c r="M84" i="66"/>
  <c r="O90" i="66"/>
  <c r="K107" i="66"/>
  <c r="P59" i="66"/>
  <c r="K57" i="66"/>
  <c r="M117" i="66"/>
  <c r="A100" i="30"/>
  <c r="A101" i="30" s="1"/>
  <c r="A102" i="30" s="1"/>
  <c r="A103" i="30" s="1"/>
  <c r="A104" i="30" s="1"/>
  <c r="A105" i="30" s="1"/>
  <c r="A106" i="30" s="1"/>
  <c r="A107" i="30" s="1"/>
  <c r="A108" i="30" s="1"/>
  <c r="A109" i="30" s="1"/>
  <c r="A110" i="30" s="1"/>
  <c r="A111" i="30" s="1"/>
  <c r="A112" i="30" s="1"/>
  <c r="A114" i="30" s="1"/>
  <c r="O107" i="66"/>
  <c r="M107" i="66"/>
  <c r="O117" i="66"/>
  <c r="P119" i="66"/>
  <c r="O84" i="66"/>
  <c r="M90" i="66"/>
  <c r="M47" i="66"/>
  <c r="N59" i="66"/>
  <c r="O19" i="66"/>
  <c r="M21" i="66"/>
  <c r="K117" i="66"/>
  <c r="K90" i="66"/>
  <c r="M19" i="66"/>
  <c r="K19" i="66"/>
  <c r="I84" i="66"/>
  <c r="I47" i="66"/>
  <c r="I19" i="66"/>
  <c r="L59" i="66"/>
  <c r="G80" i="66"/>
  <c r="G90" i="66"/>
  <c r="G87" i="66"/>
  <c r="N119" i="66"/>
  <c r="O95" i="66"/>
  <c r="E18" i="66"/>
  <c r="J21" i="66"/>
  <c r="I21" i="66" s="1"/>
  <c r="E37" i="66"/>
  <c r="E45" i="66"/>
  <c r="K47" i="66"/>
  <c r="E57" i="66"/>
  <c r="M57" i="66"/>
  <c r="I95" i="66"/>
  <c r="H119" i="66"/>
  <c r="G18" i="66"/>
  <c r="H59" i="66"/>
  <c r="J119" i="66"/>
  <c r="K95" i="66"/>
  <c r="O21" i="66"/>
  <c r="E41" i="66"/>
  <c r="G47" i="66"/>
  <c r="O47" i="66"/>
  <c r="I57" i="66"/>
  <c r="E80" i="66"/>
  <c r="E87" i="66"/>
  <c r="E90" i="66"/>
  <c r="E95" i="66"/>
  <c r="M95" i="66"/>
  <c r="L119" i="66"/>
  <c r="E107" i="66"/>
  <c r="G117" i="66"/>
  <c r="O59" i="66" l="1"/>
  <c r="P121" i="66"/>
  <c r="A115" i="30"/>
  <c r="A116" i="30" s="1"/>
  <c r="A117" i="30" s="1"/>
  <c r="A118" i="30" s="1"/>
  <c r="A119" i="30" s="1"/>
  <c r="A120" i="30" s="1"/>
  <c r="A121" i="30" s="1"/>
  <c r="A133" i="30" s="1"/>
  <c r="A134" i="30" s="1"/>
  <c r="A135" i="30" s="1"/>
  <c r="A136" i="30" s="1"/>
  <c r="A138" i="30" s="1"/>
  <c r="A139" i="30" s="1"/>
  <c r="A140" i="30" s="1"/>
  <c r="A141" i="30" s="1"/>
  <c r="A142" i="30" s="1"/>
  <c r="A143" i="30" s="1"/>
  <c r="A144" i="30" s="1"/>
  <c r="A145" i="30" s="1"/>
  <c r="A146" i="30" s="1"/>
  <c r="A147" i="30" s="1"/>
  <c r="A148" i="30" s="1"/>
  <c r="A150" i="30" s="1"/>
  <c r="A151" i="30" s="1"/>
  <c r="A152" i="30" s="1"/>
  <c r="A153" i="30" s="1"/>
  <c r="A154" i="30" s="1"/>
  <c r="A155" i="30" s="1"/>
  <c r="A156" i="30" s="1"/>
  <c r="A157" i="30" s="1"/>
  <c r="A158" i="30" s="1"/>
  <c r="A159" i="30" s="1"/>
  <c r="A160" i="30" s="1"/>
  <c r="A161" i="30" s="1"/>
  <c r="A163" i="30" s="1"/>
  <c r="A164" i="30" s="1"/>
  <c r="A165" i="30" s="1"/>
  <c r="A166" i="30" s="1"/>
  <c r="A167" i="30" s="1"/>
  <c r="A168" i="30" s="1"/>
  <c r="A169" i="30" s="1"/>
  <c r="A170" i="30" s="1"/>
  <c r="A172" i="30" s="1"/>
  <c r="A173" i="30" s="1"/>
  <c r="A174" i="30" s="1"/>
  <c r="A175" i="30" s="1"/>
  <c r="A176" i="30" s="1"/>
  <c r="A177" i="30" s="1"/>
  <c r="A179" i="30" s="1"/>
  <c r="A180" i="30" s="1"/>
  <c r="A181" i="30" s="1"/>
  <c r="A182" i="30" s="1"/>
  <c r="A194" i="30" s="1"/>
  <c r="A195" i="30" s="1"/>
  <c r="A196" i="30" s="1"/>
  <c r="A197" i="30" s="1"/>
  <c r="A199" i="30" s="1"/>
  <c r="A201" i="30" s="1"/>
  <c r="A203" i="30" s="1"/>
  <c r="O119" i="66"/>
  <c r="I119" i="66"/>
  <c r="E117" i="66"/>
  <c r="H121" i="66"/>
  <c r="M119" i="66"/>
  <c r="E47" i="66"/>
  <c r="F119" i="66"/>
  <c r="G119" i="66" s="1"/>
  <c r="G84" i="66"/>
  <c r="G17" i="66"/>
  <c r="K21" i="66"/>
  <c r="J59" i="66"/>
  <c r="I59" i="66" s="1"/>
  <c r="D119" i="66"/>
  <c r="E84" i="66"/>
  <c r="K119" i="66"/>
  <c r="E17" i="66"/>
  <c r="M59" i="66"/>
  <c r="L121" i="66"/>
  <c r="N121" i="66"/>
  <c r="E119" i="66" l="1"/>
  <c r="G19" i="66"/>
  <c r="E19" i="66"/>
  <c r="K59" i="66"/>
  <c r="J121" i="66"/>
  <c r="R37" i="58"/>
  <c r="R37" i="59"/>
  <c r="E21" i="66" l="1"/>
  <c r="D59" i="66"/>
  <c r="G21" i="66"/>
  <c r="F59" i="66"/>
  <c r="O5" i="65"/>
  <c r="AF5" i="65"/>
  <c r="D21" i="67" l="1"/>
  <c r="O7" i="65"/>
  <c r="E20" i="26" s="1"/>
  <c r="G19" i="25" s="1"/>
  <c r="AF7" i="65"/>
  <c r="E45" i="26" s="1"/>
  <c r="G45" i="25" s="1"/>
  <c r="F121" i="66"/>
  <c r="G59" i="66"/>
  <c r="E59" i="66"/>
  <c r="D121" i="66"/>
  <c r="A232" i="64"/>
  <c r="A230" i="64"/>
  <c r="A176" i="64"/>
  <c r="A174" i="64"/>
  <c r="A120" i="64"/>
  <c r="A118" i="64"/>
  <c r="A64" i="64"/>
  <c r="A62" i="64"/>
  <c r="A7" i="64"/>
  <c r="A343" i="64" s="1"/>
  <c r="A2" i="64"/>
  <c r="A338" i="64" s="1"/>
  <c r="A1" i="64"/>
  <c r="A337" i="64" s="1"/>
  <c r="A4" i="64"/>
  <c r="A340" i="64" s="1"/>
  <c r="O273" i="64"/>
  <c r="M273" i="64"/>
  <c r="J273" i="64"/>
  <c r="O272" i="64"/>
  <c r="M272" i="64"/>
  <c r="J272" i="64"/>
  <c r="O271" i="64"/>
  <c r="M271" i="64"/>
  <c r="J271" i="64"/>
  <c r="O270" i="64"/>
  <c r="M270" i="64"/>
  <c r="J270" i="64"/>
  <c r="O269" i="64"/>
  <c r="M269" i="64"/>
  <c r="J269" i="64"/>
  <c r="O268" i="64"/>
  <c r="M268" i="64"/>
  <c r="J268" i="64"/>
  <c r="O267" i="64"/>
  <c r="M267" i="64"/>
  <c r="J267" i="64"/>
  <c r="O266" i="64"/>
  <c r="M266" i="64"/>
  <c r="J266" i="64"/>
  <c r="O265" i="64"/>
  <c r="M265" i="64"/>
  <c r="J265" i="64"/>
  <c r="O264" i="64"/>
  <c r="M264" i="64"/>
  <c r="J264" i="64"/>
  <c r="O263" i="64"/>
  <c r="M263" i="64"/>
  <c r="J263" i="64"/>
  <c r="O262" i="64"/>
  <c r="M262" i="64"/>
  <c r="J262" i="64"/>
  <c r="O261" i="64"/>
  <c r="M261" i="64"/>
  <c r="J261" i="64"/>
  <c r="O260" i="64"/>
  <c r="M260" i="64"/>
  <c r="J260" i="64"/>
  <c r="O259" i="64"/>
  <c r="M259" i="64"/>
  <c r="J259" i="64"/>
  <c r="O258" i="64"/>
  <c r="M258" i="64"/>
  <c r="J258" i="64"/>
  <c r="O257" i="64"/>
  <c r="M257" i="64"/>
  <c r="J257" i="64"/>
  <c r="O256" i="64"/>
  <c r="M256" i="64"/>
  <c r="J256" i="64"/>
  <c r="O255" i="64"/>
  <c r="M255" i="64"/>
  <c r="J255" i="64"/>
  <c r="O254" i="64"/>
  <c r="M254" i="64"/>
  <c r="J254" i="64"/>
  <c r="O253" i="64"/>
  <c r="M253" i="64"/>
  <c r="J253" i="64"/>
  <c r="O252" i="64"/>
  <c r="M252" i="64"/>
  <c r="J252" i="64"/>
  <c r="O251" i="64"/>
  <c r="M251" i="64"/>
  <c r="J251" i="64"/>
  <c r="O250" i="64"/>
  <c r="M250" i="64"/>
  <c r="J250" i="64"/>
  <c r="O249" i="64"/>
  <c r="M249" i="64"/>
  <c r="J249" i="64"/>
  <c r="O248" i="64"/>
  <c r="M248" i="64"/>
  <c r="J248" i="64"/>
  <c r="O247" i="64"/>
  <c r="M247" i="64"/>
  <c r="J247" i="64"/>
  <c r="O246" i="64"/>
  <c r="M246" i="64"/>
  <c r="J246" i="64"/>
  <c r="O245" i="64"/>
  <c r="M245" i="64"/>
  <c r="J245" i="64"/>
  <c r="O244" i="64"/>
  <c r="M244" i="64"/>
  <c r="J244" i="64"/>
  <c r="O243" i="64"/>
  <c r="M243" i="64"/>
  <c r="J243" i="64"/>
  <c r="O242" i="64"/>
  <c r="M242" i="64"/>
  <c r="J242" i="64"/>
  <c r="O241" i="64"/>
  <c r="M241" i="64"/>
  <c r="J241" i="64"/>
  <c r="O240" i="64"/>
  <c r="M240" i="64"/>
  <c r="J240" i="64"/>
  <c r="O239" i="64"/>
  <c r="M239" i="64"/>
  <c r="J239" i="64"/>
  <c r="O238" i="64"/>
  <c r="M238" i="64"/>
  <c r="J238" i="64"/>
  <c r="O237" i="64"/>
  <c r="M237" i="64"/>
  <c r="J237" i="64"/>
  <c r="O224" i="64"/>
  <c r="M224" i="64"/>
  <c r="J224" i="64"/>
  <c r="O223" i="64"/>
  <c r="M223" i="64"/>
  <c r="J223" i="64"/>
  <c r="O222" i="64"/>
  <c r="M222" i="64"/>
  <c r="J222" i="64"/>
  <c r="O221" i="64"/>
  <c r="M221" i="64"/>
  <c r="J221" i="64"/>
  <c r="O220" i="64"/>
  <c r="M220" i="64"/>
  <c r="J220" i="64"/>
  <c r="O219" i="64"/>
  <c r="M219" i="64"/>
  <c r="J219" i="64"/>
  <c r="O218" i="64"/>
  <c r="M218" i="64"/>
  <c r="J218" i="64"/>
  <c r="O217" i="64"/>
  <c r="M217" i="64"/>
  <c r="J217" i="64"/>
  <c r="O216" i="64"/>
  <c r="M216" i="64"/>
  <c r="J216" i="64"/>
  <c r="O215" i="64"/>
  <c r="M215" i="64"/>
  <c r="J215" i="64"/>
  <c r="O214" i="64"/>
  <c r="M214" i="64"/>
  <c r="J214" i="64"/>
  <c r="O213" i="64"/>
  <c r="M213" i="64"/>
  <c r="J213" i="64"/>
  <c r="O212" i="64"/>
  <c r="M212" i="64"/>
  <c r="J212" i="64"/>
  <c r="O211" i="64"/>
  <c r="M211" i="64"/>
  <c r="J211" i="64"/>
  <c r="O210" i="64"/>
  <c r="M210" i="64"/>
  <c r="J210" i="64"/>
  <c r="O209" i="64"/>
  <c r="M209" i="64"/>
  <c r="J209" i="64"/>
  <c r="O208" i="64"/>
  <c r="M208" i="64"/>
  <c r="J208" i="64"/>
  <c r="O207" i="64"/>
  <c r="M207" i="64"/>
  <c r="J207" i="64"/>
  <c r="O206" i="64"/>
  <c r="M206" i="64"/>
  <c r="J206" i="64"/>
  <c r="O205" i="64"/>
  <c r="M205" i="64"/>
  <c r="J205" i="64"/>
  <c r="O204" i="64"/>
  <c r="M204" i="64"/>
  <c r="J204" i="64"/>
  <c r="O203" i="64"/>
  <c r="M203" i="64"/>
  <c r="J203" i="64"/>
  <c r="O202" i="64"/>
  <c r="M202" i="64"/>
  <c r="J202" i="64"/>
  <c r="O201" i="64"/>
  <c r="M201" i="64"/>
  <c r="J201" i="64"/>
  <c r="O200" i="64"/>
  <c r="M200" i="64"/>
  <c r="J200" i="64"/>
  <c r="O199" i="64"/>
  <c r="M199" i="64"/>
  <c r="J199" i="64"/>
  <c r="O198" i="64"/>
  <c r="M198" i="64"/>
  <c r="J198" i="64"/>
  <c r="O197" i="64"/>
  <c r="M197" i="64"/>
  <c r="J197" i="64"/>
  <c r="O196" i="64"/>
  <c r="M196" i="64"/>
  <c r="J196" i="64"/>
  <c r="O195" i="64"/>
  <c r="M195" i="64"/>
  <c r="J195" i="64"/>
  <c r="O194" i="64"/>
  <c r="M194" i="64"/>
  <c r="J194" i="64"/>
  <c r="O193" i="64"/>
  <c r="M193" i="64"/>
  <c r="J193" i="64"/>
  <c r="O192" i="64"/>
  <c r="M192" i="64"/>
  <c r="J192" i="64"/>
  <c r="O191" i="64"/>
  <c r="M191" i="64"/>
  <c r="J191" i="64"/>
  <c r="O190" i="64"/>
  <c r="M190" i="64"/>
  <c r="J190" i="64"/>
  <c r="O189" i="64"/>
  <c r="M189" i="64"/>
  <c r="J189" i="64"/>
  <c r="O188" i="64"/>
  <c r="M188" i="64"/>
  <c r="J188" i="64"/>
  <c r="O187" i="64"/>
  <c r="M187" i="64"/>
  <c r="J187" i="64"/>
  <c r="O186" i="64"/>
  <c r="M186" i="64"/>
  <c r="J186" i="64"/>
  <c r="O185" i="64"/>
  <c r="M185" i="64"/>
  <c r="J185" i="64"/>
  <c r="O184" i="64"/>
  <c r="M184" i="64"/>
  <c r="J184" i="64"/>
  <c r="O183" i="64"/>
  <c r="M183" i="64"/>
  <c r="J183" i="64"/>
  <c r="O182" i="64"/>
  <c r="M182" i="64"/>
  <c r="J182" i="64"/>
  <c r="O181" i="64"/>
  <c r="M181" i="64"/>
  <c r="J181" i="64"/>
  <c r="O168" i="64"/>
  <c r="M168" i="64"/>
  <c r="O167" i="64"/>
  <c r="M167" i="64"/>
  <c r="O166" i="64"/>
  <c r="M166" i="64"/>
  <c r="O165" i="64"/>
  <c r="M165" i="64"/>
  <c r="O164" i="64"/>
  <c r="M164" i="64"/>
  <c r="O163" i="64"/>
  <c r="M163" i="64"/>
  <c r="O162" i="64"/>
  <c r="M162" i="64"/>
  <c r="O161" i="64"/>
  <c r="M161" i="64"/>
  <c r="O160" i="64"/>
  <c r="M160" i="64"/>
  <c r="O159" i="64"/>
  <c r="M159" i="64"/>
  <c r="O158" i="64"/>
  <c r="M158" i="64"/>
  <c r="O157" i="64"/>
  <c r="M157" i="64"/>
  <c r="O156" i="64"/>
  <c r="M156" i="64"/>
  <c r="O155" i="64"/>
  <c r="M155" i="64"/>
  <c r="O154" i="64"/>
  <c r="M154" i="64"/>
  <c r="O153" i="64"/>
  <c r="M153" i="64"/>
  <c r="O152" i="64"/>
  <c r="M152" i="64"/>
  <c r="O151" i="64"/>
  <c r="M151" i="64"/>
  <c r="O150" i="64"/>
  <c r="M150" i="64"/>
  <c r="O149" i="64"/>
  <c r="M149" i="64"/>
  <c r="O148" i="64"/>
  <c r="M148" i="64"/>
  <c r="O147" i="64"/>
  <c r="M147" i="64"/>
  <c r="O146" i="64"/>
  <c r="M146" i="64"/>
  <c r="O145" i="64"/>
  <c r="M145" i="64"/>
  <c r="O144" i="64"/>
  <c r="M144" i="64"/>
  <c r="O143" i="64"/>
  <c r="M143" i="64"/>
  <c r="O142" i="64"/>
  <c r="M142" i="64"/>
  <c r="O141" i="64"/>
  <c r="M141" i="64"/>
  <c r="O140" i="64"/>
  <c r="M140" i="64"/>
  <c r="O139" i="64"/>
  <c r="M139" i="64"/>
  <c r="O138" i="64"/>
  <c r="M138" i="64"/>
  <c r="O137" i="64"/>
  <c r="M137" i="64"/>
  <c r="O136" i="64"/>
  <c r="M136" i="64"/>
  <c r="O135" i="64"/>
  <c r="M135" i="64"/>
  <c r="O134" i="64"/>
  <c r="M134" i="64"/>
  <c r="O133" i="64"/>
  <c r="M133" i="64"/>
  <c r="O132" i="64"/>
  <c r="M132" i="64"/>
  <c r="O131" i="64"/>
  <c r="M131" i="64"/>
  <c r="O130" i="64"/>
  <c r="M130" i="64"/>
  <c r="O129" i="64"/>
  <c r="M129" i="64"/>
  <c r="O128" i="64"/>
  <c r="M128" i="64"/>
  <c r="O127" i="64"/>
  <c r="M127" i="64"/>
  <c r="O126" i="64"/>
  <c r="M126" i="64"/>
  <c r="O125" i="64"/>
  <c r="M125" i="64"/>
  <c r="O112" i="64"/>
  <c r="M112" i="64"/>
  <c r="O111" i="64"/>
  <c r="M111" i="64"/>
  <c r="O110" i="64"/>
  <c r="M110" i="64"/>
  <c r="O109" i="64"/>
  <c r="M109" i="64"/>
  <c r="O108" i="64"/>
  <c r="M108" i="64"/>
  <c r="O107" i="64"/>
  <c r="M107" i="64"/>
  <c r="O106" i="64"/>
  <c r="M106" i="64"/>
  <c r="O105" i="64"/>
  <c r="M105" i="64"/>
  <c r="O104" i="64"/>
  <c r="M104" i="64"/>
  <c r="O103" i="64"/>
  <c r="M103" i="64"/>
  <c r="O102" i="64"/>
  <c r="M102" i="64"/>
  <c r="O101" i="64"/>
  <c r="M101" i="64"/>
  <c r="O100" i="64"/>
  <c r="M100" i="64"/>
  <c r="O99" i="64"/>
  <c r="M99" i="64"/>
  <c r="O98" i="64"/>
  <c r="M98" i="64"/>
  <c r="O97" i="64"/>
  <c r="M97" i="64"/>
  <c r="O96" i="64"/>
  <c r="M96" i="64"/>
  <c r="O95" i="64"/>
  <c r="M95" i="64"/>
  <c r="O94" i="64"/>
  <c r="M94" i="64"/>
  <c r="O93" i="64"/>
  <c r="M93" i="64"/>
  <c r="O92" i="64"/>
  <c r="M92" i="64"/>
  <c r="O91" i="64"/>
  <c r="M91" i="64"/>
  <c r="O90" i="64"/>
  <c r="M90" i="64"/>
  <c r="O89" i="64"/>
  <c r="M89" i="64"/>
  <c r="O88" i="64"/>
  <c r="M88" i="64"/>
  <c r="O87" i="64"/>
  <c r="M87" i="64"/>
  <c r="O86" i="64"/>
  <c r="M86" i="64"/>
  <c r="O85" i="64"/>
  <c r="M85" i="64"/>
  <c r="O84" i="64"/>
  <c r="M84" i="64"/>
  <c r="O83" i="64"/>
  <c r="M83" i="64"/>
  <c r="O82" i="64"/>
  <c r="M82" i="64"/>
  <c r="O81" i="64"/>
  <c r="M81" i="64"/>
  <c r="O80" i="64"/>
  <c r="M80" i="64"/>
  <c r="O79" i="64"/>
  <c r="M79" i="64"/>
  <c r="O78" i="64"/>
  <c r="M78" i="64"/>
  <c r="O77" i="64"/>
  <c r="M77" i="64"/>
  <c r="O76" i="64"/>
  <c r="M76" i="64"/>
  <c r="O75" i="64"/>
  <c r="M75" i="64"/>
  <c r="O74" i="64"/>
  <c r="M74" i="64"/>
  <c r="O73" i="64"/>
  <c r="M73" i="64"/>
  <c r="O72" i="64"/>
  <c r="M72" i="64"/>
  <c r="O71" i="64"/>
  <c r="M71" i="64"/>
  <c r="O70" i="64"/>
  <c r="M70" i="64"/>
  <c r="O69" i="64"/>
  <c r="M69" i="64"/>
  <c r="O56" i="64"/>
  <c r="M56" i="64"/>
  <c r="O55" i="64"/>
  <c r="M55" i="64"/>
  <c r="O54" i="64"/>
  <c r="M54" i="64"/>
  <c r="O53" i="64"/>
  <c r="M53" i="64"/>
  <c r="O52" i="64"/>
  <c r="M52" i="64"/>
  <c r="O51" i="64"/>
  <c r="M51" i="64"/>
  <c r="O50" i="64"/>
  <c r="M50" i="64"/>
  <c r="O49" i="64"/>
  <c r="M49" i="64"/>
  <c r="O48" i="64"/>
  <c r="M48" i="64"/>
  <c r="O47" i="64"/>
  <c r="M47" i="64"/>
  <c r="O46" i="64"/>
  <c r="M46" i="64"/>
  <c r="O45" i="64"/>
  <c r="M45" i="64"/>
  <c r="O44" i="64"/>
  <c r="M44" i="64"/>
  <c r="O43" i="64"/>
  <c r="M43" i="64"/>
  <c r="O42" i="64"/>
  <c r="M42" i="64"/>
  <c r="O41" i="64"/>
  <c r="M41" i="64"/>
  <c r="O40" i="64"/>
  <c r="M40" i="64"/>
  <c r="O39" i="64"/>
  <c r="M39" i="64"/>
  <c r="O38" i="64"/>
  <c r="M38" i="64"/>
  <c r="O37" i="64"/>
  <c r="M37" i="64"/>
  <c r="O36" i="64"/>
  <c r="M36" i="64"/>
  <c r="O35" i="64"/>
  <c r="M35" i="64"/>
  <c r="O34" i="64"/>
  <c r="M34" i="64"/>
  <c r="O33" i="64"/>
  <c r="M33" i="64"/>
  <c r="O32" i="64"/>
  <c r="M32" i="64"/>
  <c r="O31" i="64"/>
  <c r="M31" i="64"/>
  <c r="O30" i="64"/>
  <c r="M30" i="64"/>
  <c r="O29" i="64"/>
  <c r="M29" i="64"/>
  <c r="O28" i="64"/>
  <c r="M28" i="64"/>
  <c r="O27" i="64"/>
  <c r="M27" i="64"/>
  <c r="O26" i="64"/>
  <c r="M26" i="64"/>
  <c r="O25" i="64"/>
  <c r="M25" i="64"/>
  <c r="O24" i="64"/>
  <c r="M24" i="64"/>
  <c r="O23" i="64"/>
  <c r="M23" i="64"/>
  <c r="O22" i="64"/>
  <c r="M22" i="64"/>
  <c r="O21" i="64"/>
  <c r="M21" i="64"/>
  <c r="O20" i="64"/>
  <c r="M20" i="64"/>
  <c r="O19" i="64"/>
  <c r="M19" i="64"/>
  <c r="O18" i="64"/>
  <c r="M18" i="64"/>
  <c r="O17" i="64"/>
  <c r="M17" i="64"/>
  <c r="O16" i="64"/>
  <c r="M16" i="64"/>
  <c r="O15" i="64"/>
  <c r="M15" i="64"/>
  <c r="O14" i="64"/>
  <c r="M14" i="64"/>
  <c r="A14" i="64"/>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O13" i="64"/>
  <c r="M13" i="64"/>
  <c r="A176" i="63"/>
  <c r="A174" i="63"/>
  <c r="A120" i="63"/>
  <c r="A118" i="63"/>
  <c r="A64" i="63"/>
  <c r="A62" i="63"/>
  <c r="A7" i="63"/>
  <c r="A63" i="63" s="1"/>
  <c r="A4" i="63"/>
  <c r="A60" i="63" s="1"/>
  <c r="A2" i="63"/>
  <c r="A114" i="63" s="1"/>
  <c r="A1" i="63"/>
  <c r="A57" i="63" s="1"/>
  <c r="O182" i="63"/>
  <c r="M182" i="63"/>
  <c r="J182" i="63"/>
  <c r="O181" i="63"/>
  <c r="M181" i="63"/>
  <c r="J181" i="63"/>
  <c r="O168" i="63"/>
  <c r="M168" i="63"/>
  <c r="J168" i="63"/>
  <c r="O167" i="63"/>
  <c r="M167" i="63"/>
  <c r="J167" i="63"/>
  <c r="O166" i="63"/>
  <c r="M166" i="63"/>
  <c r="J166" i="63"/>
  <c r="O165" i="63"/>
  <c r="M165" i="63"/>
  <c r="J165" i="63"/>
  <c r="O164" i="63"/>
  <c r="M164" i="63"/>
  <c r="J164" i="63"/>
  <c r="O163" i="63"/>
  <c r="M163" i="63"/>
  <c r="J163" i="63"/>
  <c r="O162" i="63"/>
  <c r="M162" i="63"/>
  <c r="J162" i="63"/>
  <c r="O161" i="63"/>
  <c r="M161" i="63"/>
  <c r="J161" i="63"/>
  <c r="O160" i="63"/>
  <c r="M160" i="63"/>
  <c r="J160" i="63"/>
  <c r="O159" i="63"/>
  <c r="M159" i="63"/>
  <c r="J159" i="63"/>
  <c r="O158" i="63"/>
  <c r="M158" i="63"/>
  <c r="J158" i="63"/>
  <c r="O157" i="63"/>
  <c r="M157" i="63"/>
  <c r="J157" i="63"/>
  <c r="O156" i="63"/>
  <c r="M156" i="63"/>
  <c r="J156" i="63"/>
  <c r="O155" i="63"/>
  <c r="M155" i="63"/>
  <c r="J155" i="63"/>
  <c r="O154" i="63"/>
  <c r="M154" i="63"/>
  <c r="J154" i="63"/>
  <c r="O153" i="63"/>
  <c r="M153" i="63"/>
  <c r="J153" i="63"/>
  <c r="O152" i="63"/>
  <c r="M152" i="63"/>
  <c r="J152" i="63"/>
  <c r="O151" i="63"/>
  <c r="M151" i="63"/>
  <c r="J151" i="63"/>
  <c r="O150" i="63"/>
  <c r="M150" i="63"/>
  <c r="J150" i="63"/>
  <c r="O149" i="63"/>
  <c r="M149" i="63"/>
  <c r="J149" i="63"/>
  <c r="O148" i="63"/>
  <c r="M148" i="63"/>
  <c r="J148" i="63"/>
  <c r="O147" i="63"/>
  <c r="M147" i="63"/>
  <c r="J147" i="63"/>
  <c r="O146" i="63"/>
  <c r="M146" i="63"/>
  <c r="J146" i="63"/>
  <c r="O145" i="63"/>
  <c r="M145" i="63"/>
  <c r="J145" i="63"/>
  <c r="O144" i="63"/>
  <c r="M144" i="63"/>
  <c r="J144" i="63"/>
  <c r="O143" i="63"/>
  <c r="M143" i="63"/>
  <c r="J143" i="63"/>
  <c r="O142" i="63"/>
  <c r="M142" i="63"/>
  <c r="J142" i="63"/>
  <c r="O141" i="63"/>
  <c r="M141" i="63"/>
  <c r="J141" i="63"/>
  <c r="O140" i="63"/>
  <c r="M140" i="63"/>
  <c r="J140" i="63"/>
  <c r="O139" i="63"/>
  <c r="M139" i="63"/>
  <c r="J139" i="63"/>
  <c r="O138" i="63"/>
  <c r="M138" i="63"/>
  <c r="J138" i="63"/>
  <c r="O137" i="63"/>
  <c r="M137" i="63"/>
  <c r="J137" i="63"/>
  <c r="O136" i="63"/>
  <c r="M136" i="63"/>
  <c r="J136" i="63"/>
  <c r="O135" i="63"/>
  <c r="M135" i="63"/>
  <c r="J135" i="63"/>
  <c r="O134" i="63"/>
  <c r="M134" i="63"/>
  <c r="J134" i="63"/>
  <c r="O133" i="63"/>
  <c r="M133" i="63"/>
  <c r="J133" i="63"/>
  <c r="O132" i="63"/>
  <c r="M132" i="63"/>
  <c r="J132" i="63"/>
  <c r="O131" i="63"/>
  <c r="M131" i="63"/>
  <c r="J131" i="63"/>
  <c r="O130" i="63"/>
  <c r="M130" i="63"/>
  <c r="J130" i="63"/>
  <c r="O129" i="63"/>
  <c r="M129" i="63"/>
  <c r="J129" i="63"/>
  <c r="O128" i="63"/>
  <c r="M128" i="63"/>
  <c r="J128" i="63"/>
  <c r="O127" i="63"/>
  <c r="M127" i="63"/>
  <c r="J127" i="63"/>
  <c r="O126" i="63"/>
  <c r="M126" i="63"/>
  <c r="J126" i="63"/>
  <c r="O125" i="63"/>
  <c r="M125" i="63"/>
  <c r="J125" i="63"/>
  <c r="O112" i="63"/>
  <c r="M112" i="63"/>
  <c r="J112" i="63"/>
  <c r="O111" i="63"/>
  <c r="M111" i="63"/>
  <c r="J111" i="63"/>
  <c r="O110" i="63"/>
  <c r="M110" i="63"/>
  <c r="J110" i="63"/>
  <c r="O109" i="63"/>
  <c r="M109" i="63"/>
  <c r="J109" i="63"/>
  <c r="O108" i="63"/>
  <c r="M108" i="63"/>
  <c r="J108" i="63"/>
  <c r="O107" i="63"/>
  <c r="M107" i="63"/>
  <c r="J107" i="63"/>
  <c r="O106" i="63"/>
  <c r="M106" i="63"/>
  <c r="J106" i="63"/>
  <c r="O105" i="63"/>
  <c r="M105" i="63"/>
  <c r="J105" i="63"/>
  <c r="O104" i="63"/>
  <c r="M104" i="63"/>
  <c r="J104" i="63"/>
  <c r="O103" i="63"/>
  <c r="M103" i="63"/>
  <c r="J103" i="63"/>
  <c r="O102" i="63"/>
  <c r="M102" i="63"/>
  <c r="J102" i="63"/>
  <c r="O101" i="63"/>
  <c r="M101" i="63"/>
  <c r="J101" i="63"/>
  <c r="O100" i="63"/>
  <c r="M100" i="63"/>
  <c r="J100" i="63"/>
  <c r="O99" i="63"/>
  <c r="M99" i="63"/>
  <c r="J99" i="63"/>
  <c r="O98" i="63"/>
  <c r="M98" i="63"/>
  <c r="J98" i="63"/>
  <c r="O97" i="63"/>
  <c r="M97" i="63"/>
  <c r="J97" i="63"/>
  <c r="O96" i="63"/>
  <c r="M96" i="63"/>
  <c r="J96" i="63"/>
  <c r="O95" i="63"/>
  <c r="M95" i="63"/>
  <c r="J95" i="63"/>
  <c r="O94" i="63"/>
  <c r="M94" i="63"/>
  <c r="J94" i="63"/>
  <c r="O93" i="63"/>
  <c r="M93" i="63"/>
  <c r="J93" i="63"/>
  <c r="O92" i="63"/>
  <c r="M92" i="63"/>
  <c r="J92" i="63"/>
  <c r="O91" i="63"/>
  <c r="M91" i="63"/>
  <c r="J91" i="63"/>
  <c r="O90" i="63"/>
  <c r="M90" i="63"/>
  <c r="J90" i="63"/>
  <c r="O89" i="63"/>
  <c r="M89" i="63"/>
  <c r="J89" i="63"/>
  <c r="O88" i="63"/>
  <c r="M88" i="63"/>
  <c r="J88" i="63"/>
  <c r="O87" i="63"/>
  <c r="M87" i="63"/>
  <c r="J87" i="63"/>
  <c r="O86" i="63"/>
  <c r="M86" i="63"/>
  <c r="J86" i="63"/>
  <c r="O85" i="63"/>
  <c r="M85" i="63"/>
  <c r="J85" i="63"/>
  <c r="O84" i="63"/>
  <c r="M84" i="63"/>
  <c r="J84" i="63"/>
  <c r="O83" i="63"/>
  <c r="M83" i="63"/>
  <c r="J83" i="63"/>
  <c r="O82" i="63"/>
  <c r="M82" i="63"/>
  <c r="J82" i="63"/>
  <c r="O81" i="63"/>
  <c r="M81" i="63"/>
  <c r="J81" i="63"/>
  <c r="O80" i="63"/>
  <c r="M80" i="63"/>
  <c r="J80" i="63"/>
  <c r="O79" i="63"/>
  <c r="M79" i="63"/>
  <c r="J79" i="63"/>
  <c r="O78" i="63"/>
  <c r="M78" i="63"/>
  <c r="J78" i="63"/>
  <c r="O77" i="63"/>
  <c r="M77" i="63"/>
  <c r="J77" i="63"/>
  <c r="O76" i="63"/>
  <c r="M76" i="63"/>
  <c r="J76" i="63"/>
  <c r="O75" i="63"/>
  <c r="M75" i="63"/>
  <c r="J75" i="63"/>
  <c r="O74" i="63"/>
  <c r="M74" i="63"/>
  <c r="J74" i="63"/>
  <c r="O73" i="63"/>
  <c r="M73" i="63"/>
  <c r="J73" i="63"/>
  <c r="O72" i="63"/>
  <c r="M72" i="63"/>
  <c r="J72" i="63"/>
  <c r="O71" i="63"/>
  <c r="M71" i="63"/>
  <c r="J71" i="63"/>
  <c r="O70" i="63"/>
  <c r="M70" i="63"/>
  <c r="J70" i="63"/>
  <c r="O69" i="63"/>
  <c r="M69" i="63"/>
  <c r="J69" i="63"/>
  <c r="O56" i="63"/>
  <c r="M56" i="63"/>
  <c r="O55" i="63"/>
  <c r="M55" i="63"/>
  <c r="O54" i="63"/>
  <c r="M54" i="63"/>
  <c r="O53" i="63"/>
  <c r="M53" i="63"/>
  <c r="O52" i="63"/>
  <c r="M52" i="63"/>
  <c r="O51" i="63"/>
  <c r="M51" i="63"/>
  <c r="O50" i="63"/>
  <c r="M50" i="63"/>
  <c r="O49" i="63"/>
  <c r="M49" i="63"/>
  <c r="O48" i="63"/>
  <c r="M48" i="63"/>
  <c r="O47" i="63"/>
  <c r="M47" i="63"/>
  <c r="O46" i="63"/>
  <c r="M46" i="63"/>
  <c r="O45" i="63"/>
  <c r="M45" i="63"/>
  <c r="O44" i="63"/>
  <c r="M44" i="63"/>
  <c r="O43" i="63"/>
  <c r="M43" i="63"/>
  <c r="O42" i="63"/>
  <c r="M42" i="63"/>
  <c r="O41" i="63"/>
  <c r="M41" i="63"/>
  <c r="O40" i="63"/>
  <c r="M40" i="63"/>
  <c r="O39" i="63"/>
  <c r="M39" i="63"/>
  <c r="O38" i="63"/>
  <c r="M38" i="63"/>
  <c r="O37" i="63"/>
  <c r="M37" i="63"/>
  <c r="O36" i="63"/>
  <c r="M36" i="63"/>
  <c r="O35" i="63"/>
  <c r="M35" i="63"/>
  <c r="O34" i="63"/>
  <c r="M34" i="63"/>
  <c r="O33" i="63"/>
  <c r="M33" i="63"/>
  <c r="O32" i="63"/>
  <c r="M32" i="63"/>
  <c r="O31" i="63"/>
  <c r="M31" i="63"/>
  <c r="O30" i="63"/>
  <c r="M30" i="63"/>
  <c r="O29" i="63"/>
  <c r="M29" i="63"/>
  <c r="O28" i="63"/>
  <c r="M28" i="63"/>
  <c r="O27" i="63"/>
  <c r="M27" i="63"/>
  <c r="O26" i="63"/>
  <c r="M26" i="63"/>
  <c r="O25" i="63"/>
  <c r="M25" i="63"/>
  <c r="O24" i="63"/>
  <c r="M24" i="63"/>
  <c r="O23" i="63"/>
  <c r="M23" i="63"/>
  <c r="O22" i="63"/>
  <c r="M22" i="63"/>
  <c r="O21" i="63"/>
  <c r="M21" i="63"/>
  <c r="O20" i="63"/>
  <c r="M20" i="63"/>
  <c r="O19" i="63"/>
  <c r="M19" i="63"/>
  <c r="O18" i="63"/>
  <c r="M18" i="63"/>
  <c r="O17" i="63"/>
  <c r="M17" i="63"/>
  <c r="O16" i="63"/>
  <c r="M16" i="63"/>
  <c r="O15" i="63"/>
  <c r="M15" i="63"/>
  <c r="O14" i="63"/>
  <c r="M14" i="63"/>
  <c r="A14" i="63"/>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A90" i="63" s="1"/>
  <c r="A91" i="63" s="1"/>
  <c r="A92" i="63" s="1"/>
  <c r="A93" i="63" s="1"/>
  <c r="A94" i="63" s="1"/>
  <c r="A95" i="63" s="1"/>
  <c r="A96" i="63" s="1"/>
  <c r="A97" i="63" s="1"/>
  <c r="A98" i="63" s="1"/>
  <c r="A99" i="63" s="1"/>
  <c r="A100" i="63" s="1"/>
  <c r="A101" i="63" s="1"/>
  <c r="A102" i="63" s="1"/>
  <c r="A103" i="63" s="1"/>
  <c r="A104" i="63" s="1"/>
  <c r="A105" i="63" s="1"/>
  <c r="A106" i="63" s="1"/>
  <c r="A107" i="63" s="1"/>
  <c r="A108" i="63" s="1"/>
  <c r="A109" i="63" s="1"/>
  <c r="A110" i="63" s="1"/>
  <c r="A111" i="63" s="1"/>
  <c r="A112" i="63" s="1"/>
  <c r="A125" i="63" s="1"/>
  <c r="A126" i="63" s="1"/>
  <c r="A127" i="63" s="1"/>
  <c r="A128" i="63" s="1"/>
  <c r="A129" i="63" s="1"/>
  <c r="A130" i="63" s="1"/>
  <c r="A131" i="63" s="1"/>
  <c r="A132" i="63" s="1"/>
  <c r="A133" i="63" s="1"/>
  <c r="A134" i="63" s="1"/>
  <c r="A135" i="63" s="1"/>
  <c r="A136" i="63" s="1"/>
  <c r="A137" i="63" s="1"/>
  <c r="A138" i="63" s="1"/>
  <c r="A139" i="63" s="1"/>
  <c r="A140" i="63" s="1"/>
  <c r="A141" i="63" s="1"/>
  <c r="A142" i="63" s="1"/>
  <c r="A143" i="63" s="1"/>
  <c r="A144" i="63" s="1"/>
  <c r="A145" i="63" s="1"/>
  <c r="A146" i="63" s="1"/>
  <c r="A147" i="63" s="1"/>
  <c r="A148" i="63" s="1"/>
  <c r="A149" i="63" s="1"/>
  <c r="A150" i="63" s="1"/>
  <c r="A151" i="63" s="1"/>
  <c r="A152" i="63" s="1"/>
  <c r="A153" i="63" s="1"/>
  <c r="A154" i="63" s="1"/>
  <c r="A155" i="63" s="1"/>
  <c r="A156" i="63" s="1"/>
  <c r="A157" i="63" s="1"/>
  <c r="A158" i="63" s="1"/>
  <c r="A159" i="63" s="1"/>
  <c r="A160" i="63" s="1"/>
  <c r="A161" i="63" s="1"/>
  <c r="A162" i="63" s="1"/>
  <c r="A163" i="63" s="1"/>
  <c r="A164" i="63" s="1"/>
  <c r="A165" i="63" s="1"/>
  <c r="A166" i="63" s="1"/>
  <c r="A167" i="63" s="1"/>
  <c r="A168" i="63" s="1"/>
  <c r="A181" i="63" s="1"/>
  <c r="A182" i="63" s="1"/>
  <c r="O13" i="63"/>
  <c r="M13" i="63"/>
  <c r="A60" i="64" l="1"/>
  <c r="A284" i="64"/>
  <c r="A113" i="64"/>
  <c r="A281" i="64"/>
  <c r="A63" i="64"/>
  <c r="A287" i="64"/>
  <c r="A58" i="64"/>
  <c r="A282" i="64"/>
  <c r="F37" i="58"/>
  <c r="F37" i="59"/>
  <c r="P43" i="64"/>
  <c r="P47" i="64"/>
  <c r="P51" i="64"/>
  <c r="P71" i="64"/>
  <c r="P75" i="64"/>
  <c r="P79" i="64"/>
  <c r="P83" i="64"/>
  <c r="P87" i="64"/>
  <c r="P91" i="64"/>
  <c r="P103" i="64"/>
  <c r="P195" i="64"/>
  <c r="P203" i="64"/>
  <c r="P211" i="64"/>
  <c r="P107" i="64"/>
  <c r="P25" i="63"/>
  <c r="P33" i="63"/>
  <c r="P49" i="63"/>
  <c r="P81" i="63"/>
  <c r="P85" i="63"/>
  <c r="P89" i="63"/>
  <c r="P93" i="63"/>
  <c r="P97" i="63"/>
  <c r="P109" i="63"/>
  <c r="P125" i="63"/>
  <c r="P132" i="63"/>
  <c r="P135" i="63"/>
  <c r="P139" i="63"/>
  <c r="P143" i="63"/>
  <c r="P147" i="63"/>
  <c r="P167" i="63"/>
  <c r="P134" i="63"/>
  <c r="P138" i="63"/>
  <c r="P129" i="63"/>
  <c r="P13" i="64"/>
  <c r="P18" i="64"/>
  <c r="P22" i="64"/>
  <c r="P125" i="64"/>
  <c r="P152" i="64"/>
  <c r="P201" i="64"/>
  <c r="P209" i="64"/>
  <c r="P103" i="63"/>
  <c r="P112" i="63"/>
  <c r="P153" i="63"/>
  <c r="P157" i="63"/>
  <c r="P161" i="63"/>
  <c r="P41" i="64"/>
  <c r="P69" i="64"/>
  <c r="P77" i="64"/>
  <c r="P156" i="64"/>
  <c r="P168" i="64"/>
  <c r="P15" i="64"/>
  <c r="P111" i="64"/>
  <c r="P128" i="63"/>
  <c r="P164" i="63"/>
  <c r="P214" i="64"/>
  <c r="P222" i="64"/>
  <c r="P242" i="64"/>
  <c r="P250" i="64"/>
  <c r="A172" i="63"/>
  <c r="P148" i="63"/>
  <c r="P156" i="63"/>
  <c r="P160" i="63"/>
  <c r="P166" i="63"/>
  <c r="P182" i="63"/>
  <c r="P101" i="63"/>
  <c r="P255" i="64"/>
  <c r="P259" i="64"/>
  <c r="P263" i="64"/>
  <c r="P267" i="64"/>
  <c r="P271" i="64"/>
  <c r="P27" i="63"/>
  <c r="P35" i="63"/>
  <c r="P43" i="63"/>
  <c r="P51" i="63"/>
  <c r="P71" i="63"/>
  <c r="P75" i="63"/>
  <c r="P79" i="63"/>
  <c r="P92" i="63"/>
  <c r="P99" i="63"/>
  <c r="P104" i="63"/>
  <c r="P107" i="63"/>
  <c r="P111" i="63"/>
  <c r="P127" i="63"/>
  <c r="P131" i="63"/>
  <c r="P133" i="63"/>
  <c r="P137" i="63"/>
  <c r="P141" i="63"/>
  <c r="P145" i="63"/>
  <c r="P151" i="63"/>
  <c r="P155" i="63"/>
  <c r="P159" i="63"/>
  <c r="P163" i="63"/>
  <c r="P165" i="63"/>
  <c r="P181" i="63"/>
  <c r="P81" i="64"/>
  <c r="P85" i="64"/>
  <c r="P89" i="64"/>
  <c r="P99" i="64"/>
  <c r="P158" i="64"/>
  <c r="P162" i="64"/>
  <c r="P182" i="64"/>
  <c r="P183" i="64"/>
  <c r="P190" i="64"/>
  <c r="P198" i="64"/>
  <c r="P206" i="64"/>
  <c r="P245" i="64"/>
  <c r="P253" i="64"/>
  <c r="P18" i="63"/>
  <c r="P22" i="63"/>
  <c r="P30" i="63"/>
  <c r="P38" i="63"/>
  <c r="P42" i="63"/>
  <c r="P50" i="63"/>
  <c r="P86" i="63"/>
  <c r="P90" i="63"/>
  <c r="P94" i="63"/>
  <c r="P106" i="63"/>
  <c r="P110" i="63"/>
  <c r="P140" i="63"/>
  <c r="P144" i="63"/>
  <c r="P150" i="63"/>
  <c r="P154" i="63"/>
  <c r="P168" i="63"/>
  <c r="P93" i="64"/>
  <c r="P97" i="64"/>
  <c r="P101" i="64"/>
  <c r="P105" i="64"/>
  <c r="P165" i="64"/>
  <c r="P185" i="64"/>
  <c r="P239" i="64"/>
  <c r="P247" i="64"/>
  <c r="P272" i="64"/>
  <c r="P257" i="64"/>
  <c r="P261" i="64"/>
  <c r="P265" i="64"/>
  <c r="P269" i="64"/>
  <c r="P273" i="64"/>
  <c r="P23" i="64"/>
  <c r="P27" i="64"/>
  <c r="P127" i="64"/>
  <c r="P159" i="64"/>
  <c r="P163" i="64"/>
  <c r="P193" i="64"/>
  <c r="P217" i="64"/>
  <c r="P237" i="64"/>
  <c r="P254" i="64"/>
  <c r="P45" i="64"/>
  <c r="P73" i="64"/>
  <c r="P95" i="64"/>
  <c r="P109" i="64"/>
  <c r="P133" i="64"/>
  <c r="P141" i="64"/>
  <c r="P145" i="64"/>
  <c r="P149" i="64"/>
  <c r="P187" i="64"/>
  <c r="P219" i="64"/>
  <c r="P29" i="64"/>
  <c r="P33" i="64"/>
  <c r="P37" i="64"/>
  <c r="P55" i="64"/>
  <c r="P130" i="64"/>
  <c r="P136" i="64"/>
  <c r="P140" i="64"/>
  <c r="P157" i="64"/>
  <c r="P161" i="64"/>
  <c r="P191" i="64"/>
  <c r="P207" i="64"/>
  <c r="P223" i="64"/>
  <c r="P251" i="64"/>
  <c r="A169" i="64"/>
  <c r="A225" i="64"/>
  <c r="A231" i="64"/>
  <c r="A226" i="64"/>
  <c r="P39" i="64"/>
  <c r="P49" i="64"/>
  <c r="P53" i="64"/>
  <c r="P142" i="64"/>
  <c r="P143" i="64"/>
  <c r="P146" i="64"/>
  <c r="P147" i="64"/>
  <c r="P181" i="64"/>
  <c r="P199" i="64"/>
  <c r="P215" i="64"/>
  <c r="P243" i="64"/>
  <c r="A175" i="64"/>
  <c r="A228" i="64"/>
  <c r="P20" i="64"/>
  <c r="P25" i="64"/>
  <c r="P90" i="64"/>
  <c r="P92" i="64"/>
  <c r="P94" i="64"/>
  <c r="P96" i="64"/>
  <c r="P98" i="64"/>
  <c r="P100" i="64"/>
  <c r="P102" i="64"/>
  <c r="P104" i="64"/>
  <c r="P106" i="64"/>
  <c r="P108" i="64"/>
  <c r="P110" i="64"/>
  <c r="P112" i="64"/>
  <c r="P126" i="64"/>
  <c r="P128" i="64"/>
  <c r="P132" i="64"/>
  <c r="P134" i="64"/>
  <c r="P135" i="64"/>
  <c r="P138" i="64"/>
  <c r="P139" i="64"/>
  <c r="P144" i="64"/>
  <c r="P148" i="64"/>
  <c r="P150" i="64"/>
  <c r="P151" i="64"/>
  <c r="P154" i="64"/>
  <c r="P155" i="64"/>
  <c r="P160" i="64"/>
  <c r="P164" i="64"/>
  <c r="P166" i="64"/>
  <c r="P167" i="64"/>
  <c r="P184" i="64"/>
  <c r="P186" i="64"/>
  <c r="P189" i="64"/>
  <c r="P194" i="64"/>
  <c r="P197" i="64"/>
  <c r="P202" i="64"/>
  <c r="P205" i="64"/>
  <c r="P210" i="64"/>
  <c r="P213" i="64"/>
  <c r="P218" i="64"/>
  <c r="P221" i="64"/>
  <c r="P238" i="64"/>
  <c r="P241" i="64"/>
  <c r="P246" i="64"/>
  <c r="P249" i="64"/>
  <c r="A170" i="64"/>
  <c r="P31" i="64"/>
  <c r="P137" i="64"/>
  <c r="P153" i="64"/>
  <c r="A172" i="64"/>
  <c r="P17" i="64"/>
  <c r="P21" i="64"/>
  <c r="P30" i="64"/>
  <c r="P34" i="64"/>
  <c r="P35" i="64"/>
  <c r="A57" i="64"/>
  <c r="A119" i="64"/>
  <c r="A114" i="64"/>
  <c r="P19" i="64"/>
  <c r="P32" i="64"/>
  <c r="P129" i="64"/>
  <c r="P131" i="64"/>
  <c r="A116" i="64"/>
  <c r="P16" i="64"/>
  <c r="P28" i="64"/>
  <c r="P38" i="64"/>
  <c r="P40" i="64"/>
  <c r="P42" i="64"/>
  <c r="P44" i="64"/>
  <c r="P46" i="64"/>
  <c r="P48" i="64"/>
  <c r="P50" i="64"/>
  <c r="P52" i="64"/>
  <c r="P54" i="64"/>
  <c r="P56" i="64"/>
  <c r="P70" i="64"/>
  <c r="P72" i="64"/>
  <c r="P74" i="64"/>
  <c r="P76" i="64"/>
  <c r="P78" i="64"/>
  <c r="P80" i="64"/>
  <c r="P82" i="64"/>
  <c r="P84" i="64"/>
  <c r="P86" i="64"/>
  <c r="P88" i="64"/>
  <c r="P14" i="64"/>
  <c r="P24" i="64"/>
  <c r="P26" i="64"/>
  <c r="P36" i="64"/>
  <c r="P256" i="64"/>
  <c r="P258" i="64"/>
  <c r="P260" i="64"/>
  <c r="P262" i="64"/>
  <c r="P264" i="64"/>
  <c r="P266" i="64"/>
  <c r="P268" i="64"/>
  <c r="P270" i="64"/>
  <c r="P188" i="64"/>
  <c r="P192" i="64"/>
  <c r="P196" i="64"/>
  <c r="P200" i="64"/>
  <c r="P204" i="64"/>
  <c r="P208" i="64"/>
  <c r="P212" i="64"/>
  <c r="P216" i="64"/>
  <c r="P220" i="64"/>
  <c r="P224" i="64"/>
  <c r="P240" i="64"/>
  <c r="P244" i="64"/>
  <c r="P248" i="64"/>
  <c r="P252" i="64"/>
  <c r="P14" i="63"/>
  <c r="P19" i="63"/>
  <c r="P95" i="63"/>
  <c r="A169" i="63"/>
  <c r="A175" i="63"/>
  <c r="P36" i="63"/>
  <c r="P40" i="63"/>
  <c r="P48" i="63"/>
  <c r="P52" i="63"/>
  <c r="P56" i="63"/>
  <c r="P72" i="63"/>
  <c r="P76" i="63"/>
  <c r="P80" i="63"/>
  <c r="P84" i="63"/>
  <c r="P88" i="63"/>
  <c r="P96" i="63"/>
  <c r="P100" i="63"/>
  <c r="P102" i="63"/>
  <c r="P108" i="63"/>
  <c r="P126" i="63"/>
  <c r="P130" i="63"/>
  <c r="P136" i="63"/>
  <c r="P142" i="63"/>
  <c r="P146" i="63"/>
  <c r="P152" i="63"/>
  <c r="P158" i="63"/>
  <c r="P162" i="63"/>
  <c r="A170" i="63"/>
  <c r="P44" i="63"/>
  <c r="A119" i="63"/>
  <c r="P17" i="63"/>
  <c r="P46" i="63"/>
  <c r="P54" i="63"/>
  <c r="P70" i="63"/>
  <c r="P149" i="63"/>
  <c r="A58" i="63"/>
  <c r="A113" i="63"/>
  <c r="P15" i="63"/>
  <c r="P20" i="63"/>
  <c r="P24" i="63"/>
  <c r="P28" i="63"/>
  <c r="P32" i="63"/>
  <c r="P41" i="63"/>
  <c r="P69" i="63"/>
  <c r="P73" i="63"/>
  <c r="P77" i="63"/>
  <c r="P83" i="63"/>
  <c r="P87" i="63"/>
  <c r="P91" i="63"/>
  <c r="P98" i="63"/>
  <c r="P105" i="63"/>
  <c r="A116" i="63"/>
  <c r="P23" i="63"/>
  <c r="P26" i="63"/>
  <c r="P29" i="63"/>
  <c r="P39" i="63"/>
  <c r="P45" i="63"/>
  <c r="P55" i="63"/>
  <c r="P78" i="63"/>
  <c r="P82" i="63"/>
  <c r="P16" i="63"/>
  <c r="P21" i="63"/>
  <c r="P31" i="63"/>
  <c r="P34" i="63"/>
  <c r="P37" i="63"/>
  <c r="P47" i="63"/>
  <c r="P53" i="63"/>
  <c r="P74" i="63"/>
  <c r="P13" i="63"/>
  <c r="K14" i="11" l="1"/>
  <c r="N43" i="18" l="1"/>
  <c r="N44" i="18" l="1"/>
  <c r="R45" i="58" l="1"/>
  <c r="R45" i="59"/>
  <c r="R38" i="59" l="1"/>
  <c r="L30" i="59"/>
  <c r="J30" i="59"/>
  <c r="L23" i="59"/>
  <c r="A18" i="59"/>
  <c r="A20" i="59" s="1"/>
  <c r="A21" i="59" s="1"/>
  <c r="A23" i="59" s="1"/>
  <c r="A25" i="59" s="1"/>
  <c r="A26" i="59" s="1"/>
  <c r="A27" i="59" s="1"/>
  <c r="A28" i="59" s="1"/>
  <c r="A30" i="59" s="1"/>
  <c r="A32" i="59" s="1"/>
  <c r="A34" i="59" s="1"/>
  <c r="A35" i="59" s="1"/>
  <c r="A36" i="59" s="1"/>
  <c r="A37" i="59" s="1"/>
  <c r="A38" i="59" s="1"/>
  <c r="A5" i="59"/>
  <c r="A5" i="58"/>
  <c r="R38" i="58"/>
  <c r="C20" i="67" s="1"/>
  <c r="A39" i="59" l="1"/>
  <c r="A41" i="59" s="1"/>
  <c r="A43" i="59" s="1"/>
  <c r="A45" i="59" s="1"/>
  <c r="A47" i="59" s="1"/>
  <c r="A49" i="59" s="1"/>
  <c r="L32" i="59"/>
  <c r="L43" i="59" s="1"/>
  <c r="L47" i="59" s="1"/>
  <c r="C20" i="68"/>
  <c r="K90" i="19"/>
  <c r="K74" i="19"/>
  <c r="K62" i="19"/>
  <c r="L30" i="58"/>
  <c r="J30" i="58"/>
  <c r="A18" i="58"/>
  <c r="A20" i="58" s="1"/>
  <c r="A21" i="58" s="1"/>
  <c r="A23" i="58" s="1"/>
  <c r="A25" i="58" s="1"/>
  <c r="A26" i="58" s="1"/>
  <c r="A27" i="58" s="1"/>
  <c r="A28" i="58" s="1"/>
  <c r="A30" i="58" l="1"/>
  <c r="A32" i="58" s="1"/>
  <c r="A34" i="58" s="1"/>
  <c r="A35" i="58" s="1"/>
  <c r="A36" i="58" s="1"/>
  <c r="A37" i="58" s="1"/>
  <c r="A38" i="58" s="1"/>
  <c r="A39" i="58" l="1"/>
  <c r="A41" i="58" s="1"/>
  <c r="A43" i="58" s="1"/>
  <c r="A45" i="58" s="1"/>
  <c r="A47" i="58" s="1"/>
  <c r="A49" i="58" s="1"/>
  <c r="D27" i="58"/>
  <c r="R27" i="58"/>
  <c r="C23" i="67" s="1"/>
  <c r="D27" i="59"/>
  <c r="R27" i="59"/>
  <c r="C23" i="68" l="1"/>
  <c r="P27" i="59"/>
  <c r="P27" i="58"/>
  <c r="H27" i="59"/>
  <c r="H30" i="59" s="1"/>
  <c r="H27" i="58"/>
  <c r="H30" i="58" s="1"/>
  <c r="D23" i="67" l="1"/>
  <c r="E23" i="67" s="1"/>
  <c r="D23" i="68"/>
  <c r="E23" i="68" s="1"/>
  <c r="F27" i="59" l="1"/>
  <c r="F27" i="58"/>
  <c r="M16" i="51"/>
  <c r="L16" i="51"/>
  <c r="K16" i="51"/>
  <c r="J16" i="51"/>
  <c r="I16" i="51"/>
  <c r="H16" i="51"/>
  <c r="G16" i="51"/>
  <c r="F16" i="51"/>
  <c r="E16" i="51"/>
  <c r="D16" i="51"/>
  <c r="C16" i="51"/>
  <c r="B16" i="51"/>
  <c r="G38" i="28" l="1"/>
  <c r="G16" i="28"/>
  <c r="F30" i="59"/>
  <c r="N27" i="59"/>
  <c r="F30" i="58"/>
  <c r="N27" i="58"/>
  <c r="N17" i="50"/>
  <c r="M17" i="50"/>
  <c r="L17" i="50"/>
  <c r="K17" i="50"/>
  <c r="J17" i="50"/>
  <c r="I17" i="50"/>
  <c r="N25" i="51" l="1"/>
  <c r="D20" i="67" s="1"/>
  <c r="E20" i="67" l="1"/>
  <c r="O26" i="50"/>
  <c r="D20" i="68" s="1"/>
  <c r="A43" i="18"/>
  <c r="A44" i="18" s="1"/>
  <c r="F27" i="18"/>
  <c r="H21" i="59" s="1"/>
  <c r="A13" i="18"/>
  <c r="A14" i="18" s="1"/>
  <c r="B20" i="11"/>
  <c r="B51" i="11" s="1"/>
  <c r="A44" i="11"/>
  <c r="A45" i="11" s="1"/>
  <c r="A46" i="11" s="1"/>
  <c r="A47" i="11" s="1"/>
  <c r="A48" i="11" s="1"/>
  <c r="A49" i="11" s="1"/>
  <c r="A50" i="11" s="1"/>
  <c r="A51" i="11" s="1"/>
  <c r="A52" i="11" s="1"/>
  <c r="A53" i="11" s="1"/>
  <c r="F41" i="58" l="1"/>
  <c r="F41" i="59"/>
  <c r="A61" i="11"/>
  <c r="A45" i="18"/>
  <c r="A46" i="18" s="1"/>
  <c r="A47" i="18" s="1"/>
  <c r="A48" i="18" s="1"/>
  <c r="A49" i="18" s="1"/>
  <c r="A50" i="18" s="1"/>
  <c r="A51" i="18" s="1"/>
  <c r="A52" i="18" s="1"/>
  <c r="A15" i="18"/>
  <c r="A16" i="18" s="1"/>
  <c r="A17" i="18" s="1"/>
  <c r="A18" i="18" s="1"/>
  <c r="A19" i="18" s="1"/>
  <c r="A20" i="18" s="1"/>
  <c r="C35" i="40"/>
  <c r="D17" i="67" s="1"/>
  <c r="E20" i="68"/>
  <c r="A13" i="11"/>
  <c r="A14" i="11" s="1"/>
  <c r="A15" i="11" s="1"/>
  <c r="A16" i="11" s="1"/>
  <c r="A17" i="11" s="1"/>
  <c r="A18" i="11" s="1"/>
  <c r="A19" i="11" s="1"/>
  <c r="A20" i="11" s="1"/>
  <c r="A21" i="11" s="1"/>
  <c r="A22" i="11" s="1"/>
  <c r="A23" i="11" s="1"/>
  <c r="A24" i="11" s="1"/>
  <c r="A25" i="11" s="1"/>
  <c r="A26" i="11" s="1"/>
  <c r="A27" i="11" s="1"/>
  <c r="A28" i="11" s="1"/>
  <c r="A21" i="18" l="1"/>
  <c r="A22" i="18" s="1"/>
  <c r="A23" i="18" s="1"/>
  <c r="A24" i="18" s="1"/>
  <c r="A25" i="18" s="1"/>
  <c r="A26" i="18" s="1"/>
  <c r="A27" i="18" s="1"/>
  <c r="A30" i="11"/>
  <c r="C55" i="18"/>
  <c r="C49" i="18"/>
  <c r="C47" i="18"/>
  <c r="C46" i="18"/>
  <c r="C25" i="18"/>
  <c r="C19" i="18"/>
  <c r="C17" i="18"/>
  <c r="C16" i="18"/>
  <c r="B25" i="18"/>
  <c r="B19" i="18"/>
  <c r="B17" i="18"/>
  <c r="B16" i="18"/>
  <c r="C57" i="11"/>
  <c r="C51" i="11"/>
  <c r="C49" i="11"/>
  <c r="C48" i="11"/>
  <c r="C26" i="11"/>
  <c r="C20" i="11"/>
  <c r="C18" i="11"/>
  <c r="C17" i="11"/>
  <c r="B26" i="11"/>
  <c r="B57" i="11" s="1"/>
  <c r="B18" i="11"/>
  <c r="B49" i="11" s="1"/>
  <c r="B17" i="11"/>
  <c r="B48" i="11" s="1"/>
  <c r="H38" i="28"/>
  <c r="F24" i="16" s="1"/>
  <c r="F23" i="67" s="1"/>
  <c r="G23" i="67" s="1"/>
  <c r="E38" i="28"/>
  <c r="R28" i="58"/>
  <c r="C24" i="67" s="1"/>
  <c r="E24" i="67" s="1"/>
  <c r="D28" i="59"/>
  <c r="N28" i="59" s="1"/>
  <c r="R26" i="59"/>
  <c r="R28" i="59"/>
  <c r="D37" i="58"/>
  <c r="D43" i="26"/>
  <c r="E43" i="25"/>
  <c r="R36" i="58" s="1"/>
  <c r="E41" i="25"/>
  <c r="G39" i="25"/>
  <c r="E39" i="25"/>
  <c r="D37" i="59"/>
  <c r="G15" i="25"/>
  <c r="G13" i="25"/>
  <c r="E17" i="25"/>
  <c r="R36" i="59" s="1"/>
  <c r="E15" i="25"/>
  <c r="E13" i="25"/>
  <c r="B579" i="48"/>
  <c r="B578" i="48"/>
  <c r="B577" i="48"/>
  <c r="B576" i="48"/>
  <c r="B575" i="48"/>
  <c r="B574" i="48"/>
  <c r="B573" i="48"/>
  <c r="B572" i="48"/>
  <c r="B571" i="48"/>
  <c r="B570" i="48"/>
  <c r="B569" i="48"/>
  <c r="B568" i="48"/>
  <c r="B567" i="48"/>
  <c r="B566" i="48"/>
  <c r="B565" i="48"/>
  <c r="B564" i="48"/>
  <c r="B563" i="48"/>
  <c r="B562" i="48"/>
  <c r="B561" i="48"/>
  <c r="B560" i="48"/>
  <c r="B559" i="48"/>
  <c r="B558" i="48"/>
  <c r="B557" i="48"/>
  <c r="B556" i="48"/>
  <c r="B555" i="48"/>
  <c r="B554" i="48"/>
  <c r="B553" i="48"/>
  <c r="B552" i="48"/>
  <c r="B551" i="48"/>
  <c r="B550" i="48"/>
  <c r="B549" i="48"/>
  <c r="B548" i="48"/>
  <c r="B547" i="48"/>
  <c r="B546" i="48"/>
  <c r="B545" i="48"/>
  <c r="B544" i="48"/>
  <c r="B543" i="48"/>
  <c r="B542" i="48"/>
  <c r="B541" i="48"/>
  <c r="B540" i="48"/>
  <c r="B539" i="48"/>
  <c r="B538" i="48"/>
  <c r="B537" i="48"/>
  <c r="B536" i="48"/>
  <c r="B535" i="48"/>
  <c r="B534" i="48"/>
  <c r="B533" i="48"/>
  <c r="B532" i="48"/>
  <c r="B531" i="48"/>
  <c r="B530" i="48"/>
  <c r="B529" i="48"/>
  <c r="B528" i="48"/>
  <c r="B527" i="48"/>
  <c r="B526" i="48"/>
  <c r="B525" i="48"/>
  <c r="B524" i="48"/>
  <c r="B523" i="48"/>
  <c r="B522" i="48"/>
  <c r="B521" i="48"/>
  <c r="B520" i="48"/>
  <c r="B519" i="48"/>
  <c r="B518" i="48"/>
  <c r="B517" i="48"/>
  <c r="B516" i="48"/>
  <c r="B515" i="48"/>
  <c r="B514" i="48"/>
  <c r="B513" i="48"/>
  <c r="B512" i="48"/>
  <c r="B511" i="48"/>
  <c r="B510" i="48"/>
  <c r="B509" i="48"/>
  <c r="B508" i="48"/>
  <c r="B507" i="48"/>
  <c r="B506" i="48"/>
  <c r="B505" i="48"/>
  <c r="B504" i="48"/>
  <c r="B503" i="48"/>
  <c r="B502" i="48"/>
  <c r="B501" i="48"/>
  <c r="B500" i="48"/>
  <c r="B499" i="48"/>
  <c r="B498" i="48"/>
  <c r="B497" i="48"/>
  <c r="B496" i="48"/>
  <c r="B495" i="48"/>
  <c r="B494" i="48"/>
  <c r="B493" i="48"/>
  <c r="B492" i="48"/>
  <c r="B491" i="48"/>
  <c r="B490" i="48"/>
  <c r="B489" i="48"/>
  <c r="B488" i="48"/>
  <c r="B487" i="48"/>
  <c r="B486" i="48"/>
  <c r="B485" i="48"/>
  <c r="B484" i="48"/>
  <c r="B483" i="48"/>
  <c r="B482" i="48"/>
  <c r="B480" i="48"/>
  <c r="B479" i="48"/>
  <c r="B478" i="48"/>
  <c r="B477" i="48"/>
  <c r="B476" i="48"/>
  <c r="B475" i="48"/>
  <c r="B474" i="48"/>
  <c r="B473" i="48"/>
  <c r="B472" i="48"/>
  <c r="B471" i="48"/>
  <c r="B470" i="48"/>
  <c r="B469" i="48"/>
  <c r="B468" i="48"/>
  <c r="B467" i="48"/>
  <c r="B466" i="48"/>
  <c r="B465" i="48"/>
  <c r="B464" i="48"/>
  <c r="B463" i="48"/>
  <c r="B462" i="48"/>
  <c r="B461" i="48"/>
  <c r="B460" i="48"/>
  <c r="B459" i="48"/>
  <c r="B458" i="48"/>
  <c r="B457" i="48"/>
  <c r="B456" i="48"/>
  <c r="B455" i="48"/>
  <c r="B454" i="48"/>
  <c r="B453" i="48"/>
  <c r="B452" i="48"/>
  <c r="B451" i="48"/>
  <c r="B450" i="48"/>
  <c r="B449" i="48"/>
  <c r="B448" i="48"/>
  <c r="B447" i="48"/>
  <c r="B446" i="48"/>
  <c r="B445" i="48"/>
  <c r="B444" i="48"/>
  <c r="B443" i="48"/>
  <c r="B442" i="48"/>
  <c r="B441" i="48"/>
  <c r="B440" i="48"/>
  <c r="B439" i="48"/>
  <c r="B438" i="48"/>
  <c r="B437" i="48"/>
  <c r="B436" i="48"/>
  <c r="B435" i="48"/>
  <c r="B434" i="48"/>
  <c r="B433" i="48"/>
  <c r="B432" i="48"/>
  <c r="B431" i="48"/>
  <c r="B430" i="48"/>
  <c r="B429" i="48"/>
  <c r="B428" i="48"/>
  <c r="B427" i="48"/>
  <c r="B426" i="48"/>
  <c r="B425" i="48"/>
  <c r="B424" i="48"/>
  <c r="B423" i="48"/>
  <c r="B422" i="48"/>
  <c r="B421" i="48"/>
  <c r="B420" i="48"/>
  <c r="B419" i="48"/>
  <c r="B417" i="48"/>
  <c r="B416" i="48"/>
  <c r="B415" i="48"/>
  <c r="B414" i="48"/>
  <c r="B413" i="48"/>
  <c r="B412" i="48"/>
  <c r="B411" i="48"/>
  <c r="B410" i="48"/>
  <c r="B409" i="48"/>
  <c r="B408" i="48"/>
  <c r="B407" i="48"/>
  <c r="B406" i="48"/>
  <c r="B405" i="48"/>
  <c r="B404" i="48"/>
  <c r="B402" i="48"/>
  <c r="B400" i="48"/>
  <c r="B399" i="48"/>
  <c r="B398" i="48"/>
  <c r="B396" i="48"/>
  <c r="B395" i="48"/>
  <c r="B393" i="48"/>
  <c r="B392" i="48"/>
  <c r="B391" i="48"/>
  <c r="B390" i="48"/>
  <c r="B389" i="48"/>
  <c r="B388" i="48"/>
  <c r="B387" i="48"/>
  <c r="B385" i="48"/>
  <c r="B219" i="48"/>
  <c r="B218" i="48"/>
  <c r="B217" i="48"/>
  <c r="B216" i="48"/>
  <c r="B215" i="48"/>
  <c r="B214" i="48"/>
  <c r="B213" i="48"/>
  <c r="B212" i="48"/>
  <c r="B204" i="48"/>
  <c r="B203" i="48"/>
  <c r="B202" i="48"/>
  <c r="B201" i="48"/>
  <c r="B200" i="48"/>
  <c r="B199" i="48"/>
  <c r="B198" i="48"/>
  <c r="B197" i="48"/>
  <c r="B196" i="48"/>
  <c r="B192" i="48"/>
  <c r="B191" i="48"/>
  <c r="B190" i="48"/>
  <c r="B184" i="48"/>
  <c r="B183" i="48"/>
  <c r="B182" i="48"/>
  <c r="B181" i="48"/>
  <c r="B180" i="48"/>
  <c r="B179" i="48"/>
  <c r="B175" i="48"/>
  <c r="B174" i="48"/>
  <c r="B173" i="48"/>
  <c r="B172" i="48"/>
  <c r="B166" i="48"/>
  <c r="B165" i="48"/>
  <c r="B164" i="48"/>
  <c r="B163" i="48"/>
  <c r="B162" i="48"/>
  <c r="B161" i="48"/>
  <c r="B160" i="48"/>
  <c r="B149" i="48"/>
  <c r="B148" i="48"/>
  <c r="B147" i="48"/>
  <c r="B146" i="48"/>
  <c r="B140" i="48"/>
  <c r="B139" i="48"/>
  <c r="B138" i="48"/>
  <c r="B137" i="48"/>
  <c r="B136" i="48"/>
  <c r="B135" i="48"/>
  <c r="B129" i="48"/>
  <c r="B128" i="48"/>
  <c r="B127" i="48"/>
  <c r="B126" i="48"/>
  <c r="B125" i="48"/>
  <c r="B124" i="48"/>
  <c r="B123" i="48"/>
  <c r="B122" i="48"/>
  <c r="B121" i="48"/>
  <c r="B110" i="48"/>
  <c r="B109" i="48"/>
  <c r="B108" i="48"/>
  <c r="B107" i="48"/>
  <c r="B106" i="48"/>
  <c r="B105" i="48"/>
  <c r="B104" i="48"/>
  <c r="B103" i="48"/>
  <c r="B97" i="48"/>
  <c r="B96" i="48"/>
  <c r="B95" i="48"/>
  <c r="B94" i="48"/>
  <c r="B93" i="48"/>
  <c r="B92" i="48"/>
  <c r="B91" i="48"/>
  <c r="B84" i="48"/>
  <c r="B83" i="48"/>
  <c r="B82" i="48"/>
  <c r="B81" i="48"/>
  <c r="B80" i="48"/>
  <c r="B79" i="48"/>
  <c r="B73" i="48"/>
  <c r="B72" i="48"/>
  <c r="R1" i="48"/>
  <c r="S1" i="48" s="1"/>
  <c r="T1" i="48" s="1"/>
  <c r="F22" i="14" l="1"/>
  <c r="F67" i="14"/>
  <c r="F42" i="14"/>
  <c r="F64" i="14"/>
  <c r="F20" i="14"/>
  <c r="F24" i="14"/>
  <c r="F65" i="14"/>
  <c r="F21" i="14"/>
  <c r="F25" i="14"/>
  <c r="F43" i="14"/>
  <c r="F34" i="14"/>
  <c r="F56" i="14"/>
  <c r="F44" i="14"/>
  <c r="F32" i="14"/>
  <c r="F23" i="14"/>
  <c r="F63" i="14"/>
  <c r="F35" i="14"/>
  <c r="F70" i="14"/>
  <c r="F68" i="14"/>
  <c r="F33" i="14"/>
  <c r="F66" i="14"/>
  <c r="F57" i="14"/>
  <c r="F69" i="14"/>
  <c r="F58" i="14"/>
  <c r="A29" i="18"/>
  <c r="A59" i="18"/>
  <c r="G17" i="25"/>
  <c r="D36" i="59" s="1"/>
  <c r="N36" i="59" s="1"/>
  <c r="D18" i="26"/>
  <c r="B55" i="18"/>
  <c r="B46" i="18"/>
  <c r="B49" i="18"/>
  <c r="B47" i="18"/>
  <c r="F101" i="14"/>
  <c r="F105" i="14"/>
  <c r="F110" i="14"/>
  <c r="F108" i="14"/>
  <c r="D26" i="59"/>
  <c r="N26" i="59" s="1"/>
  <c r="N30" i="59" s="1"/>
  <c r="E12" i="28"/>
  <c r="C24" i="68"/>
  <c r="E24" i="68" s="1"/>
  <c r="P28" i="59"/>
  <c r="F36" i="14"/>
  <c r="F109" i="14"/>
  <c r="C22" i="68"/>
  <c r="E22" i="68" s="1"/>
  <c r="R30" i="59"/>
  <c r="F15" i="14"/>
  <c r="F59" i="14"/>
  <c r="F81" i="14"/>
  <c r="F102" i="14"/>
  <c r="F19" i="14"/>
  <c r="F30" i="14"/>
  <c r="F41" i="14"/>
  <c r="F71" i="14"/>
  <c r="F78" i="14"/>
  <c r="F82" i="14"/>
  <c r="F86" i="14"/>
  <c r="F103" i="14"/>
  <c r="F107" i="14"/>
  <c r="F14" i="14"/>
  <c r="F76" i="14"/>
  <c r="F80" i="14"/>
  <c r="F84" i="14"/>
  <c r="F26" i="14"/>
  <c r="F37" i="14"/>
  <c r="F77" i="14"/>
  <c r="F85" i="14"/>
  <c r="F106" i="14"/>
  <c r="R35" i="59"/>
  <c r="R41" i="59" s="1"/>
  <c r="D35" i="59"/>
  <c r="N35" i="59" s="1"/>
  <c r="F13" i="14"/>
  <c r="F31" i="14"/>
  <c r="F75" i="14"/>
  <c r="F79" i="14"/>
  <c r="F83" i="14"/>
  <c r="F87" i="14"/>
  <c r="F104" i="14"/>
  <c r="R35" i="58"/>
  <c r="C21" i="67" s="1"/>
  <c r="E21" i="67" s="1"/>
  <c r="H36" i="28"/>
  <c r="F25" i="16" s="1"/>
  <c r="F24" i="67" s="1"/>
  <c r="G24" i="67" s="1"/>
  <c r="D28" i="58"/>
  <c r="E34" i="28"/>
  <c r="R26" i="58"/>
  <c r="H34" i="28"/>
  <c r="F23" i="16" s="1"/>
  <c r="F22" i="67" s="1"/>
  <c r="D26" i="58"/>
  <c r="N37" i="58"/>
  <c r="N37" i="59"/>
  <c r="P37" i="59"/>
  <c r="G43" i="25"/>
  <c r="D36" i="58" s="1"/>
  <c r="N36" i="58" s="1"/>
  <c r="D39" i="26"/>
  <c r="D41" i="26"/>
  <c r="G41" i="25"/>
  <c r="E36" i="28"/>
  <c r="F22" i="16" l="1"/>
  <c r="F21" i="67" s="1"/>
  <c r="P26" i="59"/>
  <c r="P30" i="59" s="1"/>
  <c r="P36" i="59"/>
  <c r="D41" i="59"/>
  <c r="R41" i="58"/>
  <c r="D30" i="59"/>
  <c r="G21" i="67"/>
  <c r="R30" i="58"/>
  <c r="C22" i="67"/>
  <c r="E22" i="67" s="1"/>
  <c r="G22" i="67" s="1"/>
  <c r="C21" i="68"/>
  <c r="E21" i="68" s="1"/>
  <c r="P35" i="59"/>
  <c r="C17" i="40"/>
  <c r="D17" i="68"/>
  <c r="P38" i="59"/>
  <c r="N38" i="59"/>
  <c r="N41" i="59" s="1"/>
  <c r="P26" i="58"/>
  <c r="N26" i="58"/>
  <c r="D30" i="58"/>
  <c r="D35" i="58"/>
  <c r="P28" i="58"/>
  <c r="N28" i="58"/>
  <c r="P41" i="59" l="1"/>
  <c r="N35" i="58"/>
  <c r="N30" i="58"/>
  <c r="P30" i="58"/>
  <c r="A4" i="47"/>
  <c r="A67" i="47" s="1"/>
  <c r="A71" i="47"/>
  <c r="A69" i="47"/>
  <c r="A66" i="47"/>
  <c r="A15" i="47"/>
  <c r="A16" i="47" s="1"/>
  <c r="A17" i="47" s="1"/>
  <c r="A18" i="47" s="1"/>
  <c r="A20" i="47" s="1"/>
  <c r="A21" i="47" s="1"/>
  <c r="A22" i="47" s="1"/>
  <c r="A7" i="47"/>
  <c r="A70" i="47" s="1"/>
  <c r="A2" i="47"/>
  <c r="A65" i="47" s="1"/>
  <c r="A1" i="47"/>
  <c r="F57" i="18" l="1"/>
  <c r="H21" i="58" s="1"/>
  <c r="A24" i="47"/>
  <c r="A23" i="47"/>
  <c r="A25" i="47" s="1"/>
  <c r="A26" i="47" s="1"/>
  <c r="A27" i="47" s="1"/>
  <c r="A28" i="47" s="1"/>
  <c r="A29" i="47" s="1"/>
  <c r="A31" i="47" s="1"/>
  <c r="A32" i="47" s="1"/>
  <c r="A33" i="47" s="1"/>
  <c r="A34" i="47" s="1"/>
  <c r="A35" i="47" s="1"/>
  <c r="A36" i="47" s="1"/>
  <c r="A37" i="47" s="1"/>
  <c r="A38" i="47" s="1"/>
  <c r="A39" i="47" s="1"/>
  <c r="A40" i="47" s="1"/>
  <c r="A42" i="47" s="1"/>
  <c r="A43" i="47" s="1"/>
  <c r="A44" i="47" s="1"/>
  <c r="A45" i="47" s="1"/>
  <c r="A46" i="47" s="1"/>
  <c r="A47" i="47" s="1"/>
  <c r="A48" i="47" s="1"/>
  <c r="A49" i="47" s="1"/>
  <c r="A50" i="47" s="1"/>
  <c r="A51" i="47" s="1"/>
  <c r="A53" i="47" s="1"/>
  <c r="A54" i="47" s="1"/>
  <c r="A55" i="47" s="1"/>
  <c r="A56" i="47" s="1"/>
  <c r="A57" i="47" s="1"/>
  <c r="A58" i="47" s="1"/>
  <c r="A59" i="47" s="1"/>
  <c r="A60" i="47" s="1"/>
  <c r="A61" i="47" s="1"/>
  <c r="A62" i="47" s="1"/>
  <c r="A63" i="47" s="1"/>
  <c r="A77" i="47" s="1"/>
  <c r="A78" i="47" s="1"/>
  <c r="A79" i="47" s="1"/>
  <c r="A80" i="47" s="1"/>
  <c r="A81" i="47" s="1"/>
  <c r="A82" i="47" s="1"/>
  <c r="A83" i="47" s="1"/>
  <c r="A84" i="47" s="1"/>
  <c r="A85" i="47" s="1"/>
  <c r="A86" i="47" s="1"/>
  <c r="A87" i="47" s="1"/>
  <c r="A88" i="47" s="1"/>
  <c r="A89" i="47" s="1"/>
  <c r="A90" i="47" s="1"/>
  <c r="A91" i="47" s="1"/>
  <c r="A93" i="47" s="1"/>
  <c r="A94" i="47" s="1"/>
  <c r="A95" i="47" s="1"/>
  <c r="A96" i="47" s="1"/>
  <c r="A97" i="47" s="1"/>
  <c r="A98" i="47" s="1"/>
  <c r="A99" i="47" s="1"/>
  <c r="A100" i="47" s="1"/>
  <c r="A101" i="47" s="1"/>
  <c r="A102" i="47" s="1"/>
  <c r="A103" i="47" s="1"/>
  <c r="A104" i="47" s="1"/>
  <c r="A106" i="47" s="1"/>
  <c r="A64" i="47"/>
  <c r="E67" i="5"/>
  <c r="K57" i="18" l="1"/>
  <c r="F59" i="11"/>
  <c r="K45" i="11"/>
  <c r="K55" i="11"/>
  <c r="K45" i="18"/>
  <c r="E45" i="5"/>
  <c r="E23" i="5"/>
  <c r="E34" i="5"/>
  <c r="D19" i="5"/>
  <c r="E107" i="19"/>
  <c r="E59" i="19"/>
  <c r="E14" i="19"/>
  <c r="I95" i="5"/>
  <c r="I65" i="5"/>
  <c r="I43" i="5"/>
  <c r="I21" i="5"/>
  <c r="E97" i="5"/>
  <c r="E93" i="5"/>
  <c r="E86" i="5"/>
  <c r="E82" i="5"/>
  <c r="E78" i="5"/>
  <c r="E69" i="5"/>
  <c r="E58" i="19"/>
  <c r="E84" i="19"/>
  <c r="E26" i="19"/>
  <c r="I84" i="5"/>
  <c r="I76" i="5"/>
  <c r="I32" i="5"/>
  <c r="E99" i="5"/>
  <c r="E95" i="5"/>
  <c r="E91" i="5"/>
  <c r="E84" i="5"/>
  <c r="E80" i="5"/>
  <c r="E76" i="5"/>
  <c r="E71" i="5"/>
  <c r="D20" i="5"/>
  <c r="E47" i="5"/>
  <c r="D14" i="5"/>
  <c r="D21" i="5"/>
  <c r="E30" i="5"/>
  <c r="E41" i="5"/>
  <c r="E63" i="5"/>
  <c r="D13" i="5"/>
  <c r="E25" i="5"/>
  <c r="E36" i="5"/>
  <c r="E89" i="19"/>
  <c r="D15" i="5"/>
  <c r="D22" i="5"/>
  <c r="E32" i="5"/>
  <c r="E43" i="5"/>
  <c r="E65" i="5"/>
  <c r="E14" i="5"/>
  <c r="E19" i="5"/>
  <c r="E21" i="5"/>
  <c r="F23" i="5"/>
  <c r="F30" i="5"/>
  <c r="F34" i="5"/>
  <c r="F41" i="5"/>
  <c r="F45" i="5"/>
  <c r="F63" i="5"/>
  <c r="F67" i="5"/>
  <c r="F71" i="5"/>
  <c r="F78" i="5"/>
  <c r="F84" i="5"/>
  <c r="F91" i="5"/>
  <c r="F95" i="5"/>
  <c r="F99" i="5"/>
  <c r="I24" i="5"/>
  <c r="I46" i="5"/>
  <c r="I79" i="5"/>
  <c r="I98" i="5"/>
  <c r="E15" i="19"/>
  <c r="E87" i="19"/>
  <c r="E32" i="19"/>
  <c r="F13" i="5"/>
  <c r="F14" i="5"/>
  <c r="F15" i="5"/>
  <c r="F19" i="5"/>
  <c r="F20" i="5"/>
  <c r="F21" i="5"/>
  <c r="F22" i="5"/>
  <c r="E24" i="5"/>
  <c r="E26" i="5"/>
  <c r="E31" i="5"/>
  <c r="E33" i="5"/>
  <c r="E35" i="5"/>
  <c r="E37" i="5"/>
  <c r="E42" i="5"/>
  <c r="E44" i="5"/>
  <c r="E46" i="5"/>
  <c r="E48" i="5"/>
  <c r="E64" i="5"/>
  <c r="E66" i="5"/>
  <c r="E68" i="5"/>
  <c r="E70" i="5"/>
  <c r="E75" i="5"/>
  <c r="E77" i="5"/>
  <c r="E79" i="5"/>
  <c r="E81" i="5"/>
  <c r="E83" i="5"/>
  <c r="E85" i="5"/>
  <c r="E87" i="5"/>
  <c r="E92" i="5"/>
  <c r="E94" i="5"/>
  <c r="E96" i="5"/>
  <c r="E98" i="5"/>
  <c r="E111" i="5"/>
  <c r="I14" i="5"/>
  <c r="I25" i="5"/>
  <c r="I36" i="5"/>
  <c r="I47" i="5"/>
  <c r="I69" i="5"/>
  <c r="I80" i="5"/>
  <c r="I91" i="5"/>
  <c r="I99" i="5"/>
  <c r="E22" i="19"/>
  <c r="E35" i="19"/>
  <c r="E79" i="19"/>
  <c r="E109" i="19"/>
  <c r="E37" i="19"/>
  <c r="E108" i="19"/>
  <c r="E88" i="19"/>
  <c r="E112" i="19"/>
  <c r="E106" i="19"/>
  <c r="E83" i="19"/>
  <c r="E78" i="19"/>
  <c r="E45" i="19"/>
  <c r="E34" i="19"/>
  <c r="E25" i="19"/>
  <c r="E20" i="19"/>
  <c r="I97" i="5"/>
  <c r="I93" i="5"/>
  <c r="I86" i="5"/>
  <c r="I82" i="5"/>
  <c r="I78" i="5"/>
  <c r="I71" i="5"/>
  <c r="I67" i="5"/>
  <c r="I63" i="5"/>
  <c r="I45" i="5"/>
  <c r="I41" i="5"/>
  <c r="I34" i="5"/>
  <c r="I30" i="5"/>
  <c r="I23" i="5"/>
  <c r="I19" i="5"/>
  <c r="D111" i="5"/>
  <c r="D99" i="5"/>
  <c r="D98" i="5"/>
  <c r="D97" i="5"/>
  <c r="D96" i="5"/>
  <c r="D95" i="5"/>
  <c r="D94" i="5"/>
  <c r="D93" i="5"/>
  <c r="D92" i="5"/>
  <c r="D91" i="5"/>
  <c r="D87" i="5"/>
  <c r="D86" i="5"/>
  <c r="D85" i="5"/>
  <c r="D84" i="5"/>
  <c r="D83" i="5"/>
  <c r="D82" i="5"/>
  <c r="D81" i="5"/>
  <c r="D80" i="5"/>
  <c r="D79" i="5"/>
  <c r="D78" i="5"/>
  <c r="D77" i="5"/>
  <c r="D76" i="5"/>
  <c r="D75" i="5"/>
  <c r="D71" i="5"/>
  <c r="D70" i="5"/>
  <c r="D69" i="5"/>
  <c r="D68" i="5"/>
  <c r="D67" i="5"/>
  <c r="D66" i="5"/>
  <c r="D65" i="5"/>
  <c r="D64" i="5"/>
  <c r="D63" i="5"/>
  <c r="D48" i="5"/>
  <c r="D47" i="5"/>
  <c r="D46" i="5"/>
  <c r="D45" i="5"/>
  <c r="D44" i="5"/>
  <c r="D43" i="5"/>
  <c r="D42" i="5"/>
  <c r="D41" i="5"/>
  <c r="D37" i="5"/>
  <c r="D36" i="5"/>
  <c r="D35" i="5"/>
  <c r="D34" i="5"/>
  <c r="D33" i="5"/>
  <c r="D32" i="5"/>
  <c r="D31" i="5"/>
  <c r="D30" i="5"/>
  <c r="D26" i="5"/>
  <c r="D25" i="5"/>
  <c r="D24" i="5"/>
  <c r="D23" i="5"/>
  <c r="E110" i="19"/>
  <c r="E85" i="19"/>
  <c r="E44" i="19"/>
  <c r="E36" i="19"/>
  <c r="E104" i="19"/>
  <c r="E81" i="19"/>
  <c r="E73" i="19"/>
  <c r="E43" i="19"/>
  <c r="E33" i="19"/>
  <c r="E24" i="19"/>
  <c r="E16" i="19"/>
  <c r="I111" i="5"/>
  <c r="I96" i="5"/>
  <c r="I92" i="5"/>
  <c r="I85" i="5"/>
  <c r="I81" i="5"/>
  <c r="I77" i="5"/>
  <c r="I70" i="5"/>
  <c r="I66" i="5"/>
  <c r="I48" i="5"/>
  <c r="I44" i="5"/>
  <c r="I37" i="5"/>
  <c r="I33" i="5"/>
  <c r="I26" i="5"/>
  <c r="I22" i="5"/>
  <c r="I15" i="5"/>
  <c r="G111" i="5"/>
  <c r="G99" i="5"/>
  <c r="G98" i="5"/>
  <c r="G97" i="5"/>
  <c r="G96" i="5"/>
  <c r="G95" i="5"/>
  <c r="G94" i="5"/>
  <c r="G93" i="5"/>
  <c r="G92" i="5"/>
  <c r="G91" i="5"/>
  <c r="G87" i="5"/>
  <c r="G86" i="5"/>
  <c r="G85" i="5"/>
  <c r="G84" i="5"/>
  <c r="G83" i="5"/>
  <c r="G82" i="5"/>
  <c r="G81" i="5"/>
  <c r="G80" i="5"/>
  <c r="G79" i="5"/>
  <c r="G78" i="5"/>
  <c r="G77" i="5"/>
  <c r="G76" i="5"/>
  <c r="G75" i="5"/>
  <c r="G71" i="5"/>
  <c r="G70" i="5"/>
  <c r="G69" i="5"/>
  <c r="G68" i="5"/>
  <c r="G67" i="5"/>
  <c r="G66" i="5"/>
  <c r="G65" i="5"/>
  <c r="G64" i="5"/>
  <c r="G63" i="5"/>
  <c r="G48" i="5"/>
  <c r="G47" i="5"/>
  <c r="G46" i="5"/>
  <c r="G45" i="5"/>
  <c r="G44" i="5"/>
  <c r="G43" i="5"/>
  <c r="G42" i="5"/>
  <c r="G41" i="5"/>
  <c r="G37" i="5"/>
  <c r="G36" i="5"/>
  <c r="G35" i="5"/>
  <c r="G34" i="5"/>
  <c r="G33" i="5"/>
  <c r="G32" i="5"/>
  <c r="G31" i="5"/>
  <c r="G30" i="5"/>
  <c r="G26" i="5"/>
  <c r="G25" i="5"/>
  <c r="G24" i="5"/>
  <c r="G23" i="5"/>
  <c r="E13" i="5"/>
  <c r="E15" i="5"/>
  <c r="E20" i="5"/>
  <c r="E22" i="5"/>
  <c r="F25" i="5"/>
  <c r="F32" i="5"/>
  <c r="F36" i="5"/>
  <c r="F43" i="5"/>
  <c r="F47" i="5"/>
  <c r="F65" i="5"/>
  <c r="F69" i="5"/>
  <c r="F76" i="5"/>
  <c r="F80" i="5"/>
  <c r="F82" i="5"/>
  <c r="F86" i="5"/>
  <c r="F93" i="5"/>
  <c r="F97" i="5"/>
  <c r="I13" i="5"/>
  <c r="I35" i="5"/>
  <c r="I68" i="5"/>
  <c r="I87" i="5"/>
  <c r="E27" i="19"/>
  <c r="E61" i="19"/>
  <c r="E86" i="19"/>
  <c r="G13" i="5"/>
  <c r="G14" i="5"/>
  <c r="G15" i="5"/>
  <c r="G19" i="5"/>
  <c r="G20" i="5"/>
  <c r="G21" i="5"/>
  <c r="G22" i="5"/>
  <c r="F24" i="5"/>
  <c r="F26" i="5"/>
  <c r="F31" i="5"/>
  <c r="F33" i="5"/>
  <c r="F35" i="5"/>
  <c r="F37" i="5"/>
  <c r="F42" i="5"/>
  <c r="F44" i="5"/>
  <c r="F46" i="5"/>
  <c r="F48" i="5"/>
  <c r="F64" i="5"/>
  <c r="F66" i="5"/>
  <c r="F68" i="5"/>
  <c r="F70" i="5"/>
  <c r="F75" i="5"/>
  <c r="F77" i="5"/>
  <c r="F79" i="5"/>
  <c r="F81" i="5"/>
  <c r="F83" i="5"/>
  <c r="F85" i="5"/>
  <c r="F87" i="5"/>
  <c r="F92" i="5"/>
  <c r="F94" i="5"/>
  <c r="F96" i="5"/>
  <c r="F98" i="5"/>
  <c r="F111" i="5"/>
  <c r="I20" i="5"/>
  <c r="I31" i="5"/>
  <c r="I42" i="5"/>
  <c r="I64" i="5"/>
  <c r="I75" i="5"/>
  <c r="I83" i="5"/>
  <c r="I94" i="5"/>
  <c r="E23" i="19"/>
  <c r="E38" i="19"/>
  <c r="E80" i="19"/>
  <c r="E113" i="19"/>
  <c r="E60" i="19"/>
  <c r="E111" i="19"/>
  <c r="H42" i="19"/>
  <c r="H37" i="19"/>
  <c r="H32" i="19"/>
  <c r="H69" i="19"/>
  <c r="H33" i="19"/>
  <c r="H23" i="19"/>
  <c r="H20" i="19"/>
  <c r="H71" i="19"/>
  <c r="H65" i="19"/>
  <c r="H59" i="19"/>
  <c r="H105" i="19"/>
  <c r="H34" i="19"/>
  <c r="H31" i="19"/>
  <c r="H86" i="19"/>
  <c r="H24" i="19"/>
  <c r="H58" i="19"/>
  <c r="H45" i="19"/>
  <c r="H36" i="19"/>
  <c r="H84" i="19"/>
  <c r="H109" i="19"/>
  <c r="H108" i="19"/>
  <c r="H87" i="19"/>
  <c r="H66" i="19"/>
  <c r="H43" i="19"/>
  <c r="H35" i="19"/>
  <c r="H44" i="19"/>
  <c r="H16" i="19"/>
  <c r="H15" i="19"/>
  <c r="H110" i="19"/>
  <c r="H111" i="19"/>
  <c r="H77" i="19"/>
  <c r="H104" i="19"/>
  <c r="H113" i="19"/>
  <c r="H14" i="19"/>
  <c r="H106" i="19"/>
  <c r="H85" i="19"/>
  <c r="H78" i="19"/>
  <c r="H72" i="19"/>
  <c r="H68" i="19"/>
  <c r="H112" i="19"/>
  <c r="H60" i="19"/>
  <c r="G34" i="14"/>
  <c r="G69" i="14"/>
  <c r="G13" i="14"/>
  <c r="G84" i="14"/>
  <c r="G14" i="14"/>
  <c r="G42" i="14"/>
  <c r="G77" i="14"/>
  <c r="G105" i="14"/>
  <c r="G57" i="14"/>
  <c r="G33" i="14"/>
  <c r="G41" i="14"/>
  <c r="G68" i="14"/>
  <c r="G103" i="14"/>
  <c r="G83" i="14"/>
  <c r="G65" i="14"/>
  <c r="G56" i="14"/>
  <c r="G76" i="14"/>
  <c r="G108" i="14"/>
  <c r="G22" i="14"/>
  <c r="G101" i="14"/>
  <c r="G75" i="14"/>
  <c r="G102" i="14"/>
  <c r="G32" i="14"/>
  <c r="G67" i="14"/>
  <c r="G23" i="14"/>
  <c r="G107" i="14"/>
  <c r="G36" i="14"/>
  <c r="G63" i="14"/>
  <c r="G64" i="14"/>
  <c r="G106" i="14"/>
  <c r="G66" i="14"/>
  <c r="G58" i="14"/>
  <c r="G30" i="14"/>
  <c r="G110" i="14"/>
  <c r="G43" i="14"/>
  <c r="G70" i="14"/>
  <c r="G15" i="14"/>
  <c r="G44" i="14"/>
  <c r="G35" i="14"/>
  <c r="G31" i="14"/>
  <c r="H87" i="17"/>
  <c r="H86" i="17"/>
  <c r="H68" i="17"/>
  <c r="H44" i="17"/>
  <c r="H109" i="17"/>
  <c r="H20" i="17"/>
  <c r="H43" i="17"/>
  <c r="H77" i="17"/>
  <c r="H110" i="17"/>
  <c r="H15" i="17"/>
  <c r="H31" i="17"/>
  <c r="H72" i="17"/>
  <c r="H70" i="17"/>
  <c r="H65" i="17"/>
  <c r="H69" i="17"/>
  <c r="H37" i="17"/>
  <c r="H59" i="17"/>
  <c r="H24" i="17"/>
  <c r="H35" i="17"/>
  <c r="H45" i="17"/>
  <c r="H67" i="17"/>
  <c r="H66" i="17"/>
  <c r="H111" i="17"/>
  <c r="H108" i="17"/>
  <c r="H34" i="17"/>
  <c r="H16" i="17"/>
  <c r="H42" i="17"/>
  <c r="H84" i="17"/>
  <c r="H106" i="17"/>
  <c r="H105" i="17"/>
  <c r="H88" i="17"/>
  <c r="H113" i="17"/>
  <c r="H14" i="17"/>
  <c r="H36" i="17"/>
  <c r="H33" i="17"/>
  <c r="H71" i="17"/>
  <c r="H32" i="17"/>
  <c r="H112" i="17"/>
  <c r="H58" i="17"/>
  <c r="H78" i="17"/>
  <c r="H60" i="17"/>
  <c r="H104" i="17"/>
  <c r="H23" i="17"/>
  <c r="H79" i="17"/>
  <c r="G64" i="12"/>
  <c r="G86" i="12"/>
  <c r="G70" i="12"/>
  <c r="G22" i="12"/>
  <c r="G44" i="12"/>
  <c r="G106" i="12"/>
  <c r="G35" i="12"/>
  <c r="G83" i="12"/>
  <c r="G105" i="12"/>
  <c r="G65" i="12"/>
  <c r="G110" i="12"/>
  <c r="G69" i="12"/>
  <c r="G101" i="12"/>
  <c r="G41" i="12"/>
  <c r="G66" i="12"/>
  <c r="G30" i="12"/>
  <c r="G56" i="12"/>
  <c r="G32" i="12"/>
  <c r="G108" i="12"/>
  <c r="G13" i="12"/>
  <c r="G102" i="12"/>
  <c r="G36" i="12"/>
  <c r="G107" i="12"/>
  <c r="G63" i="12"/>
  <c r="G33" i="12"/>
  <c r="G58" i="12"/>
  <c r="G34" i="12"/>
  <c r="G103" i="12"/>
  <c r="G57" i="12"/>
  <c r="G67" i="12"/>
  <c r="G14" i="12"/>
  <c r="G42" i="12"/>
  <c r="G15" i="12"/>
  <c r="G43" i="12"/>
  <c r="G68" i="12"/>
  <c r="G77" i="12"/>
  <c r="G23" i="12"/>
  <c r="G76" i="12"/>
  <c r="G84" i="12"/>
  <c r="G75" i="12"/>
  <c r="G31" i="12"/>
  <c r="E77" i="19"/>
  <c r="E82" i="19"/>
  <c r="H18" i="58" l="1"/>
  <c r="H23" i="58" s="1"/>
  <c r="H32" i="58" s="1"/>
  <c r="H43" i="58" s="1"/>
  <c r="H47" i="58" s="1"/>
  <c r="K49" i="18"/>
  <c r="K50" i="18" s="1"/>
  <c r="G109" i="14"/>
  <c r="G85" i="14"/>
  <c r="I38" i="5"/>
  <c r="I16" i="5"/>
  <c r="I49" i="5"/>
  <c r="I27" i="5"/>
  <c r="D59" i="18"/>
  <c r="D15" i="67" s="1"/>
  <c r="E105" i="19"/>
  <c r="E31" i="19"/>
  <c r="E42" i="19"/>
  <c r="E21" i="19"/>
  <c r="E67" i="19" l="1"/>
  <c r="E69" i="19"/>
  <c r="E72" i="19"/>
  <c r="E70" i="19"/>
  <c r="E66" i="19"/>
  <c r="E71" i="19"/>
  <c r="E68" i="19"/>
  <c r="E65" i="19" l="1"/>
  <c r="A7" i="40" l="1"/>
  <c r="A25" i="40" s="1"/>
  <c r="A4" i="40"/>
  <c r="A2" i="40"/>
  <c r="A20" i="40" s="1"/>
  <c r="A1" i="40"/>
  <c r="A19" i="40" s="1"/>
  <c r="E33" i="40"/>
  <c r="E32" i="40"/>
  <c r="E31" i="40"/>
  <c r="A31" i="40"/>
  <c r="A32" i="40" s="1"/>
  <c r="A33" i="40" s="1"/>
  <c r="A26" i="40"/>
  <c r="A21" i="40"/>
  <c r="E15" i="40"/>
  <c r="E14" i="40"/>
  <c r="E13" i="40"/>
  <c r="A13" i="40"/>
  <c r="A14" i="40" s="1"/>
  <c r="A15" i="40" s="1"/>
  <c r="J20" i="20"/>
  <c r="J18" i="20"/>
  <c r="J16" i="20"/>
  <c r="H81" i="10" l="1"/>
  <c r="E81" i="10"/>
  <c r="G81" i="10" s="1"/>
  <c r="G80" i="10"/>
  <c r="G79" i="10"/>
  <c r="G78" i="10"/>
  <c r="G77" i="10"/>
  <c r="G76" i="10"/>
  <c r="G75" i="10"/>
  <c r="G74" i="10"/>
  <c r="G73" i="10"/>
  <c r="G72" i="10"/>
  <c r="G71" i="10"/>
  <c r="G70" i="10"/>
  <c r="G69" i="10"/>
  <c r="G68" i="10"/>
  <c r="G67" i="10"/>
  <c r="G66" i="10"/>
  <c r="G65" i="10"/>
  <c r="G64" i="10"/>
  <c r="G63" i="10"/>
  <c r="G62" i="10"/>
  <c r="G61" i="10"/>
  <c r="G60" i="10"/>
  <c r="G59" i="10"/>
  <c r="G58" i="10"/>
  <c r="G57" i="10"/>
  <c r="G56" i="10"/>
  <c r="A56" i="10"/>
  <c r="A57" i="10" s="1"/>
  <c r="A58" i="10" s="1"/>
  <c r="A59" i="10" s="1"/>
  <c r="A60" i="10" s="1"/>
  <c r="A61" i="10" s="1"/>
  <c r="A62" i="10" s="1"/>
  <c r="A63" i="10" s="1"/>
  <c r="A64" i="10" s="1"/>
  <c r="A65" i="10" s="1"/>
  <c r="H40" i="10"/>
  <c r="E40" i="10"/>
  <c r="G40" i="10" s="1"/>
  <c r="G39" i="10"/>
  <c r="G38" i="10"/>
  <c r="G37" i="10"/>
  <c r="G36" i="10"/>
  <c r="G35" i="10"/>
  <c r="G34" i="10"/>
  <c r="G33" i="10"/>
  <c r="G32" i="10"/>
  <c r="G31" i="10"/>
  <c r="G30" i="10"/>
  <c r="G29" i="10"/>
  <c r="G28" i="10"/>
  <c r="G27" i="10"/>
  <c r="G26" i="10"/>
  <c r="G25" i="10"/>
  <c r="G24" i="10"/>
  <c r="G23" i="10"/>
  <c r="G22" i="10"/>
  <c r="G21" i="10"/>
  <c r="G20" i="10"/>
  <c r="G19" i="10"/>
  <c r="G18" i="10"/>
  <c r="G17" i="10"/>
  <c r="G16" i="10"/>
  <c r="G15" i="10"/>
  <c r="A15" i="10"/>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72" i="10" l="1"/>
  <c r="A73" i="10" s="1"/>
  <c r="A74" i="10" s="1"/>
  <c r="A75" i="10" s="1"/>
  <c r="A76" i="10" s="1"/>
  <c r="A77" i="10" s="1"/>
  <c r="A78" i="10" s="1"/>
  <c r="A79" i="10" s="1"/>
  <c r="A80" i="10" s="1"/>
  <c r="A81" i="10" s="1"/>
  <c r="C13" i="37"/>
  <c r="C11" i="37"/>
  <c r="A9" i="37"/>
  <c r="A7" i="37"/>
  <c r="B579" i="13" l="1"/>
  <c r="B578" i="13"/>
  <c r="B577" i="13"/>
  <c r="B576" i="13"/>
  <c r="B575" i="13"/>
  <c r="B574" i="13"/>
  <c r="B573" i="13"/>
  <c r="B572" i="13"/>
  <c r="B571" i="13"/>
  <c r="B570" i="13"/>
  <c r="B569" i="13"/>
  <c r="B568" i="13"/>
  <c r="B567" i="13"/>
  <c r="B566" i="13"/>
  <c r="B565" i="13"/>
  <c r="B564" i="13"/>
  <c r="B563"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2" i="13"/>
  <c r="B480" i="13"/>
  <c r="B479" i="13"/>
  <c r="B478" i="13"/>
  <c r="B477" i="13"/>
  <c r="B475" i="13"/>
  <c r="B474" i="13"/>
  <c r="B473" i="13"/>
  <c r="B472" i="13"/>
  <c r="B471" i="13"/>
  <c r="B470" i="13"/>
  <c r="B469" i="13"/>
  <c r="B468" i="13"/>
  <c r="B467" i="13"/>
  <c r="B466" i="13"/>
  <c r="B465" i="13"/>
  <c r="B464" i="13"/>
  <c r="B463" i="13"/>
  <c r="B462" i="13"/>
  <c r="B461" i="13"/>
  <c r="B460" i="13"/>
  <c r="B459" i="13"/>
  <c r="B458" i="13"/>
  <c r="B457" i="13"/>
  <c r="B456" i="13"/>
  <c r="B455" i="13"/>
  <c r="B454" i="13"/>
  <c r="B453" i="13"/>
  <c r="B452" i="13"/>
  <c r="B451" i="13"/>
  <c r="B450" i="13"/>
  <c r="B449" i="13"/>
  <c r="B448" i="13"/>
  <c r="B447" i="13"/>
  <c r="B446" i="13"/>
  <c r="B445" i="13"/>
  <c r="B444" i="13"/>
  <c r="B443" i="13"/>
  <c r="B442" i="13"/>
  <c r="B441" i="13"/>
  <c r="B440" i="13"/>
  <c r="B439" i="13"/>
  <c r="B438" i="13"/>
  <c r="B437" i="13"/>
  <c r="B436" i="13"/>
  <c r="B435" i="13"/>
  <c r="B434" i="13"/>
  <c r="B433" i="13"/>
  <c r="B432" i="13"/>
  <c r="B431" i="13"/>
  <c r="B430" i="13"/>
  <c r="B429" i="13"/>
  <c r="B428" i="13"/>
  <c r="B427" i="13"/>
  <c r="B426" i="13"/>
  <c r="B424" i="13"/>
  <c r="B422" i="13"/>
  <c r="B421" i="13"/>
  <c r="B419" i="13"/>
  <c r="B417" i="13"/>
  <c r="B416" i="13"/>
  <c r="B415" i="13"/>
  <c r="B414" i="13"/>
  <c r="B413" i="13"/>
  <c r="B412" i="13"/>
  <c r="B411" i="13"/>
  <c r="B410" i="13"/>
  <c r="B409" i="13"/>
  <c r="B408" i="13"/>
  <c r="B407" i="13"/>
  <c r="B406" i="13"/>
  <c r="B405" i="13"/>
  <c r="B404" i="13"/>
  <c r="B402" i="13"/>
  <c r="B400" i="13"/>
  <c r="B399" i="13"/>
  <c r="B398" i="13"/>
  <c r="B396" i="13"/>
  <c r="B395" i="13"/>
  <c r="B393" i="13"/>
  <c r="B392" i="13"/>
  <c r="B391" i="13"/>
  <c r="B390" i="13"/>
  <c r="B389" i="13"/>
  <c r="B388" i="13"/>
  <c r="B387" i="13"/>
  <c r="B385" i="13"/>
  <c r="D117" i="31" l="1"/>
  <c r="F117" i="31"/>
  <c r="F107" i="31"/>
  <c r="F95" i="31"/>
  <c r="F90" i="31"/>
  <c r="F84" i="31"/>
  <c r="D57" i="31"/>
  <c r="F57" i="31"/>
  <c r="F47" i="31"/>
  <c r="F28" i="31"/>
  <c r="D119" i="31" l="1"/>
  <c r="F119" i="31"/>
  <c r="P121" i="31" l="1"/>
  <c r="O57" i="31" l="1"/>
  <c r="O47" i="31"/>
  <c r="O19" i="31"/>
  <c r="A77" i="31"/>
  <c r="A78" i="31" s="1"/>
  <c r="A79" i="31" s="1"/>
  <c r="A80" i="31" s="1"/>
  <c r="A81" i="31" s="1"/>
  <c r="A82" i="31" s="1"/>
  <c r="A83" i="31" s="1"/>
  <c r="A84" i="31" s="1"/>
  <c r="A86" i="31" s="1"/>
  <c r="E57" i="31"/>
  <c r="E56" i="31"/>
  <c r="E55" i="31"/>
  <c r="E54" i="31"/>
  <c r="E52" i="31"/>
  <c r="E51" i="31"/>
  <c r="E50" i="31"/>
  <c r="E47" i="31"/>
  <c r="E45" i="31"/>
  <c r="E44" i="31"/>
  <c r="E43" i="31"/>
  <c r="E42" i="31"/>
  <c r="E41" i="31"/>
  <c r="E40" i="31"/>
  <c r="E39" i="31"/>
  <c r="E38" i="31"/>
  <c r="E37" i="31"/>
  <c r="E36" i="31"/>
  <c r="E35" i="31"/>
  <c r="E33" i="31"/>
  <c r="E31" i="31"/>
  <c r="E28" i="31"/>
  <c r="E26" i="31"/>
  <c r="E24" i="31"/>
  <c r="E20" i="31"/>
  <c r="G56" i="31"/>
  <c r="G55" i="31"/>
  <c r="G54" i="31"/>
  <c r="G52" i="31"/>
  <c r="G51" i="31"/>
  <c r="G50" i="31"/>
  <c r="G45" i="31"/>
  <c r="G44" i="31"/>
  <c r="G43" i="31"/>
  <c r="G42" i="31"/>
  <c r="G41" i="31"/>
  <c r="G40" i="31"/>
  <c r="G39" i="31"/>
  <c r="G37" i="31"/>
  <c r="G36" i="31"/>
  <c r="G35" i="31"/>
  <c r="G34" i="31"/>
  <c r="G33" i="31"/>
  <c r="G31" i="31"/>
  <c r="G26" i="31"/>
  <c r="G24" i="31"/>
  <c r="G20" i="31"/>
  <c r="O56" i="31"/>
  <c r="O55" i="31"/>
  <c r="O54" i="31"/>
  <c r="O52" i="31"/>
  <c r="O51" i="31"/>
  <c r="O50" i="31"/>
  <c r="O45" i="31"/>
  <c r="O44" i="31"/>
  <c r="O43" i="31"/>
  <c r="O42" i="31"/>
  <c r="O41" i="31"/>
  <c r="O40" i="31"/>
  <c r="O39" i="31"/>
  <c r="O38" i="31"/>
  <c r="O37" i="31"/>
  <c r="O36" i="31"/>
  <c r="O35" i="31"/>
  <c r="O34" i="31"/>
  <c r="O33" i="31"/>
  <c r="O31" i="31"/>
  <c r="O26" i="31"/>
  <c r="O24" i="31"/>
  <c r="O20" i="31"/>
  <c r="O18" i="31"/>
  <c r="O17" i="31"/>
  <c r="M56" i="31"/>
  <c r="M55" i="31"/>
  <c r="M54" i="31"/>
  <c r="M52" i="31"/>
  <c r="M51" i="31"/>
  <c r="M50" i="31"/>
  <c r="M45" i="31"/>
  <c r="M44" i="31"/>
  <c r="M43" i="31"/>
  <c r="M42" i="31"/>
  <c r="M41" i="31"/>
  <c r="M40" i="31"/>
  <c r="M39" i="31"/>
  <c r="M38" i="31"/>
  <c r="M37" i="31"/>
  <c r="M36" i="31"/>
  <c r="M35" i="31"/>
  <c r="M34" i="31"/>
  <c r="M33" i="31"/>
  <c r="M31" i="31"/>
  <c r="M26" i="31"/>
  <c r="M24" i="31"/>
  <c r="M20" i="31"/>
  <c r="M18" i="31"/>
  <c r="M17" i="31"/>
  <c r="K56" i="31"/>
  <c r="K55" i="31"/>
  <c r="K54" i="31"/>
  <c r="K52" i="31"/>
  <c r="K51" i="31"/>
  <c r="K50" i="31"/>
  <c r="K45" i="31"/>
  <c r="K44" i="31"/>
  <c r="K43" i="31"/>
  <c r="K42" i="31"/>
  <c r="K41" i="31"/>
  <c r="K40" i="31"/>
  <c r="K39" i="31"/>
  <c r="K38" i="31"/>
  <c r="K37" i="31"/>
  <c r="K36" i="31"/>
  <c r="K35" i="31"/>
  <c r="K34" i="31"/>
  <c r="K33" i="31"/>
  <c r="K31" i="31"/>
  <c r="K26" i="31"/>
  <c r="K24" i="31"/>
  <c r="K20" i="31"/>
  <c r="K18" i="31"/>
  <c r="A87" i="31" l="1"/>
  <c r="A88" i="31" s="1"/>
  <c r="A89" i="31" s="1"/>
  <c r="A90" i="31" s="1"/>
  <c r="A92" i="31" s="1"/>
  <c r="A93" i="31" s="1"/>
  <c r="A94" i="31" s="1"/>
  <c r="A95" i="31" s="1"/>
  <c r="A97" i="31" s="1"/>
  <c r="A98" i="31" s="1"/>
  <c r="A99" i="31" s="1"/>
  <c r="A100" i="31" s="1"/>
  <c r="A101" i="31" s="1"/>
  <c r="A102" i="31" s="1"/>
  <c r="A103" i="31" s="1"/>
  <c r="A104" i="31" s="1"/>
  <c r="A105" i="31" s="1"/>
  <c r="A106" i="31" s="1"/>
  <c r="A107" i="31" s="1"/>
  <c r="A109" i="31" s="1"/>
  <c r="A110" i="31" s="1"/>
  <c r="A111" i="31" s="1"/>
  <c r="A112" i="31" s="1"/>
  <c r="A113" i="31" s="1"/>
  <c r="A114" i="31" s="1"/>
  <c r="A115" i="31" s="1"/>
  <c r="A116" i="31" s="1"/>
  <c r="A117" i="31" s="1"/>
  <c r="A119" i="31" s="1"/>
  <c r="M28" i="31"/>
  <c r="O28" i="31"/>
  <c r="M57" i="31"/>
  <c r="M19" i="31"/>
  <c r="M47" i="31"/>
  <c r="L121" i="31" l="1"/>
  <c r="M21" i="31"/>
  <c r="O21" i="31"/>
  <c r="O59" i="31" l="1"/>
  <c r="N121" i="31"/>
  <c r="M59" i="31"/>
  <c r="O119" i="31" l="1"/>
  <c r="O117" i="31"/>
  <c r="O116" i="31"/>
  <c r="O114" i="31"/>
  <c r="O113" i="31"/>
  <c r="O112" i="31"/>
  <c r="O111" i="31"/>
  <c r="O110" i="31"/>
  <c r="O107" i="31"/>
  <c r="O106" i="31"/>
  <c r="O105" i="31"/>
  <c r="O104" i="31"/>
  <c r="O103" i="31"/>
  <c r="O102" i="31"/>
  <c r="O101" i="31"/>
  <c r="O99" i="31"/>
  <c r="O95" i="31"/>
  <c r="O94" i="31"/>
  <c r="O93" i="31"/>
  <c r="O90" i="31"/>
  <c r="O87" i="31"/>
  <c r="O84" i="31"/>
  <c r="O82" i="31"/>
  <c r="O80" i="31"/>
  <c r="O79" i="31"/>
  <c r="O78" i="31"/>
  <c r="M119" i="31"/>
  <c r="M117" i="31"/>
  <c r="M116" i="31"/>
  <c r="M114" i="31"/>
  <c r="M113" i="31"/>
  <c r="M112" i="31"/>
  <c r="M111" i="31"/>
  <c r="M110" i="31"/>
  <c r="M107" i="31"/>
  <c r="M106" i="31"/>
  <c r="M105" i="31"/>
  <c r="M104" i="31"/>
  <c r="M103" i="31"/>
  <c r="M102" i="31"/>
  <c r="M101" i="31"/>
  <c r="M99" i="31"/>
  <c r="M95" i="31"/>
  <c r="M94" i="31"/>
  <c r="M93" i="31"/>
  <c r="M90" i="31"/>
  <c r="M89" i="31"/>
  <c r="M87" i="31"/>
  <c r="M84" i="31"/>
  <c r="M82" i="31"/>
  <c r="M81" i="31"/>
  <c r="M80" i="31"/>
  <c r="M79" i="31"/>
  <c r="M78" i="31"/>
  <c r="K116" i="31"/>
  <c r="K114" i="31"/>
  <c r="K113" i="31"/>
  <c r="K112" i="31"/>
  <c r="K111" i="31"/>
  <c r="K110" i="31"/>
  <c r="K106" i="31"/>
  <c r="K105" i="31"/>
  <c r="K104" i="31"/>
  <c r="K103" i="31"/>
  <c r="K102" i="31"/>
  <c r="K101" i="31"/>
  <c r="K99" i="31"/>
  <c r="K94" i="31"/>
  <c r="K93" i="31"/>
  <c r="K89" i="31"/>
  <c r="K87" i="31"/>
  <c r="K82" i="31"/>
  <c r="K81" i="31"/>
  <c r="K80" i="31"/>
  <c r="K79" i="31"/>
  <c r="K78" i="31"/>
  <c r="E119" i="31"/>
  <c r="E117" i="31"/>
  <c r="E116" i="31"/>
  <c r="E114" i="31"/>
  <c r="E113" i="31"/>
  <c r="E112" i="31"/>
  <c r="E111" i="31"/>
  <c r="E110" i="31"/>
  <c r="E107" i="31"/>
  <c r="E106" i="31"/>
  <c r="E105" i="31"/>
  <c r="E104" i="31"/>
  <c r="E103" i="31"/>
  <c r="E102" i="31"/>
  <c r="E101" i="31"/>
  <c r="E99" i="31"/>
  <c r="E95" i="31"/>
  <c r="E94" i="31"/>
  <c r="E93" i="31"/>
  <c r="E90" i="31"/>
  <c r="E89" i="31"/>
  <c r="E87" i="31"/>
  <c r="E84" i="31"/>
  <c r="E82" i="31"/>
  <c r="E81" i="31"/>
  <c r="E80" i="31"/>
  <c r="E79" i="31"/>
  <c r="E78" i="31"/>
  <c r="G116" i="31"/>
  <c r="G114" i="31"/>
  <c r="G113" i="31"/>
  <c r="G112" i="31"/>
  <c r="G111" i="31"/>
  <c r="G110" i="31"/>
  <c r="G106" i="31"/>
  <c r="G105" i="31"/>
  <c r="G104" i="31"/>
  <c r="G103" i="31"/>
  <c r="G102" i="31"/>
  <c r="G101" i="31"/>
  <c r="G99" i="31"/>
  <c r="G98" i="31"/>
  <c r="G94" i="31"/>
  <c r="G93" i="31"/>
  <c r="G89" i="31"/>
  <c r="G87" i="31"/>
  <c r="G82" i="31"/>
  <c r="G80" i="31"/>
  <c r="G79" i="31"/>
  <c r="G78" i="31"/>
  <c r="J117" i="31" l="1"/>
  <c r="J107" i="31"/>
  <c r="J95" i="31"/>
  <c r="J90" i="31"/>
  <c r="J84" i="31"/>
  <c r="K84" i="31" s="1"/>
  <c r="I116" i="31"/>
  <c r="I114" i="31"/>
  <c r="I113" i="31"/>
  <c r="I112" i="31"/>
  <c r="I111" i="31"/>
  <c r="I110" i="31"/>
  <c r="I106" i="31"/>
  <c r="I105" i="31"/>
  <c r="I104" i="31"/>
  <c r="I103" i="31"/>
  <c r="I102" i="31"/>
  <c r="I101" i="31"/>
  <c r="I99" i="31"/>
  <c r="I98" i="31"/>
  <c r="I94" i="31"/>
  <c r="I93" i="31"/>
  <c r="I89" i="31"/>
  <c r="I87" i="31"/>
  <c r="I82" i="31"/>
  <c r="I81" i="31"/>
  <c r="I80" i="31"/>
  <c r="I79" i="31"/>
  <c r="I78" i="31"/>
  <c r="H84" i="31"/>
  <c r="G84" i="31" s="1"/>
  <c r="H117" i="31"/>
  <c r="G117" i="31" s="1"/>
  <c r="H107" i="31"/>
  <c r="G107" i="31" s="1"/>
  <c r="H95" i="31"/>
  <c r="G95" i="31" s="1"/>
  <c r="H90" i="31"/>
  <c r="G90" i="31" s="1"/>
  <c r="I95" i="31" l="1"/>
  <c r="K95" i="31"/>
  <c r="I117" i="31"/>
  <c r="K117" i="31"/>
  <c r="I90" i="31"/>
  <c r="K90" i="31"/>
  <c r="H119" i="31"/>
  <c r="G119" i="31" s="1"/>
  <c r="I107" i="31"/>
  <c r="K107" i="31"/>
  <c r="J119" i="31"/>
  <c r="I84" i="31"/>
  <c r="I119" i="31" l="1"/>
  <c r="K119" i="31"/>
  <c r="I56" i="31"/>
  <c r="I55" i="31"/>
  <c r="I54" i="31"/>
  <c r="I52" i="31"/>
  <c r="I51" i="31"/>
  <c r="I50" i="31"/>
  <c r="I45" i="31"/>
  <c r="I44" i="31"/>
  <c r="I43" i="31"/>
  <c r="I42" i="31"/>
  <c r="I41" i="31"/>
  <c r="I40" i="31"/>
  <c r="I39" i="31"/>
  <c r="I38" i="31"/>
  <c r="I37" i="31"/>
  <c r="I36" i="31"/>
  <c r="I35" i="31"/>
  <c r="I34" i="31"/>
  <c r="I33" i="31"/>
  <c r="I31" i="31"/>
  <c r="J57" i="31"/>
  <c r="K47" i="31"/>
  <c r="I26" i="31"/>
  <c r="I24" i="31"/>
  <c r="J28" i="31"/>
  <c r="K28" i="31" s="1"/>
  <c r="I20" i="31"/>
  <c r="I18" i="31"/>
  <c r="K17" i="31"/>
  <c r="K57" i="31" l="1"/>
  <c r="G57" i="31" l="1"/>
  <c r="I57" i="31"/>
  <c r="K19" i="31"/>
  <c r="G28" i="31"/>
  <c r="I28" i="31"/>
  <c r="I17" i="31"/>
  <c r="G47" i="31"/>
  <c r="I47" i="31"/>
  <c r="I19" i="31" l="1"/>
  <c r="K21" i="31"/>
  <c r="J59" i="31"/>
  <c r="A16" i="31"/>
  <c r="A17" i="31" s="1"/>
  <c r="A18" i="31" s="1"/>
  <c r="A19" i="31" s="1"/>
  <c r="A20" i="31" s="1"/>
  <c r="A21" i="31" s="1"/>
  <c r="A23" i="31" s="1"/>
  <c r="A24" i="31" s="1"/>
  <c r="A25" i="31" s="1"/>
  <c r="A26" i="31" s="1"/>
  <c r="A27" i="31" s="1"/>
  <c r="A28" i="31" s="1"/>
  <c r="A30" i="31" s="1"/>
  <c r="A31" i="31" s="1"/>
  <c r="A32" i="31" s="1"/>
  <c r="A33" i="31" s="1"/>
  <c r="A34" i="31" s="1"/>
  <c r="A35" i="31" s="1"/>
  <c r="A36" i="31" s="1"/>
  <c r="A37" i="31" s="1"/>
  <c r="A38" i="31" s="1"/>
  <c r="A39" i="31" s="1"/>
  <c r="A40" i="31" s="1"/>
  <c r="A41" i="31" s="1"/>
  <c r="A42" i="31" s="1"/>
  <c r="A43" i="31" s="1"/>
  <c r="A44" i="31" s="1"/>
  <c r="A45" i="31" s="1"/>
  <c r="A46" i="31" s="1"/>
  <c r="A47" i="31" s="1"/>
  <c r="A49" i="31" s="1"/>
  <c r="A50" i="31" s="1"/>
  <c r="A51" i="31" s="1"/>
  <c r="A52" i="31" s="1"/>
  <c r="A53" i="31" s="1"/>
  <c r="A54" i="31" s="1"/>
  <c r="A55" i="31" s="1"/>
  <c r="A56" i="31" s="1"/>
  <c r="A57" i="31" s="1"/>
  <c r="A59" i="31" s="1"/>
  <c r="K59" i="31" l="1"/>
  <c r="J121" i="31"/>
  <c r="I21" i="31"/>
  <c r="H121" i="31"/>
  <c r="D22" i="16"/>
  <c r="F21" i="68" s="1"/>
  <c r="G21" i="68" s="1"/>
  <c r="I59" i="31" l="1"/>
  <c r="A8" i="33"/>
  <c r="A4" i="33"/>
  <c r="A2" i="33"/>
  <c r="A1" i="33"/>
  <c r="A69" i="31"/>
  <c r="A67" i="31"/>
  <c r="A64" i="31"/>
  <c r="A65" i="31"/>
  <c r="A7" i="31"/>
  <c r="A68" i="31" s="1"/>
  <c r="A2" i="31"/>
  <c r="A63" i="31" s="1"/>
  <c r="A1" i="31"/>
  <c r="A62" i="31" s="1"/>
  <c r="P73" i="31"/>
  <c r="N73" i="31"/>
  <c r="L73" i="31"/>
  <c r="J73" i="31"/>
  <c r="H73" i="31"/>
  <c r="A4" i="30" l="1"/>
  <c r="A186" i="30" s="1"/>
  <c r="A7" i="30"/>
  <c r="A189" i="30" s="1"/>
  <c r="A2" i="30"/>
  <c r="A184" i="30" s="1"/>
  <c r="A1" i="30"/>
  <c r="A183" i="30" s="1"/>
  <c r="A24" i="28"/>
  <c r="H16" i="28"/>
  <c r="D24" i="16" s="1"/>
  <c r="F23" i="68" s="1"/>
  <c r="G23" i="68" s="1"/>
  <c r="E16" i="28"/>
  <c r="E14" i="28"/>
  <c r="A62" i="30" l="1"/>
  <c r="A123" i="30"/>
  <c r="A67" i="30"/>
  <c r="A128" i="30"/>
  <c r="A61" i="30"/>
  <c r="A122" i="30"/>
  <c r="A64" i="30"/>
  <c r="A125" i="30"/>
  <c r="H14" i="28"/>
  <c r="D25" i="16" s="1"/>
  <c r="F24" i="68" s="1"/>
  <c r="G24" i="68" s="1"/>
  <c r="H12" i="28"/>
  <c r="D23" i="16" s="1"/>
  <c r="F22" i="68" s="1"/>
  <c r="G22" i="68" s="1"/>
  <c r="A7" i="28"/>
  <c r="A28" i="28" s="1"/>
  <c r="A4" i="28"/>
  <c r="A2" i="28"/>
  <c r="A23" i="28" s="1"/>
  <c r="A1" i="28"/>
  <c r="A22" i="28" s="1"/>
  <c r="E49" i="25"/>
  <c r="E47" i="26"/>
  <c r="C47" i="26"/>
  <c r="E22" i="26"/>
  <c r="C22" i="26"/>
  <c r="A33" i="26"/>
  <c r="A28" i="26"/>
  <c r="D16" i="26"/>
  <c r="D14" i="26"/>
  <c r="A7" i="26"/>
  <c r="A32" i="26" s="1"/>
  <c r="A2" i="26"/>
  <c r="A27" i="26" s="1"/>
  <c r="A1" i="26"/>
  <c r="A26" i="26" s="1"/>
  <c r="F43" i="25"/>
  <c r="F41" i="25"/>
  <c r="F39" i="25"/>
  <c r="A34" i="25"/>
  <c r="A29" i="25"/>
  <c r="F17" i="25"/>
  <c r="F15" i="25"/>
  <c r="A7" i="25"/>
  <c r="A33" i="25" s="1"/>
  <c r="A2" i="25"/>
  <c r="A28" i="25" s="1"/>
  <c r="A1" i="25"/>
  <c r="A27" i="25" s="1"/>
  <c r="G23" i="25" l="1"/>
  <c r="E23" i="25"/>
  <c r="F13" i="25"/>
  <c r="F21" i="25" l="1"/>
  <c r="D21" i="16"/>
  <c r="F20" i="68" s="1"/>
  <c r="G20" i="68" s="1"/>
  <c r="A71" i="23"/>
  <c r="A69" i="23"/>
  <c r="A66" i="23"/>
  <c r="A15" i="23"/>
  <c r="A16" i="23" s="1"/>
  <c r="A17" i="23" s="1"/>
  <c r="A18" i="23" s="1"/>
  <c r="A20" i="23" s="1"/>
  <c r="A21" i="23" s="1"/>
  <c r="A22" i="23" s="1"/>
  <c r="A7" i="23"/>
  <c r="A4" i="23"/>
  <c r="A67" i="23" s="1"/>
  <c r="A2" i="23"/>
  <c r="A1" i="23"/>
  <c r="A65" i="23" l="1"/>
  <c r="A23" i="23"/>
  <c r="A25" i="23" s="1"/>
  <c r="A26" i="23" s="1"/>
  <c r="A27" i="23" s="1"/>
  <c r="A28" i="23" s="1"/>
  <c r="A29" i="23" s="1"/>
  <c r="A31" i="23" s="1"/>
  <c r="A32" i="23" s="1"/>
  <c r="A33" i="23" s="1"/>
  <c r="A34" i="23" s="1"/>
  <c r="A35" i="23" s="1"/>
  <c r="A36" i="23" s="1"/>
  <c r="A37" i="23" s="1"/>
  <c r="A38" i="23" s="1"/>
  <c r="A39" i="23" s="1"/>
  <c r="A40" i="23" s="1"/>
  <c r="A42" i="23" s="1"/>
  <c r="A43" i="23" s="1"/>
  <c r="A44" i="23" s="1"/>
  <c r="A45" i="23" s="1"/>
  <c r="A46" i="23" s="1"/>
  <c r="A47" i="23" s="1"/>
  <c r="A48" i="23" s="1"/>
  <c r="A49" i="23" s="1"/>
  <c r="A50" i="23" s="1"/>
  <c r="A51" i="23" s="1"/>
  <c r="A53" i="23" s="1"/>
  <c r="A54" i="23" s="1"/>
  <c r="A55" i="23" s="1"/>
  <c r="A56" i="23" s="1"/>
  <c r="A57" i="23" s="1"/>
  <c r="A58" i="23" s="1"/>
  <c r="A59" i="23" s="1"/>
  <c r="A60" i="23" s="1"/>
  <c r="A61" i="23" s="1"/>
  <c r="A62" i="23" s="1"/>
  <c r="A63" i="23" s="1"/>
  <c r="A77" i="23" s="1"/>
  <c r="A78" i="23" s="1"/>
  <c r="A79" i="23" s="1"/>
  <c r="A80" i="23" s="1"/>
  <c r="A81" i="23" s="1"/>
  <c r="A82" i="23" s="1"/>
  <c r="A83" i="23" s="1"/>
  <c r="A84" i="23" s="1"/>
  <c r="A85" i="23" s="1"/>
  <c r="A86" i="23" s="1"/>
  <c r="A87" i="23" s="1"/>
  <c r="A88" i="23" s="1"/>
  <c r="A89" i="23" s="1"/>
  <c r="A90" i="23" s="1"/>
  <c r="A91" i="23" s="1"/>
  <c r="A93" i="23" s="1"/>
  <c r="A94" i="23" s="1"/>
  <c r="A95" i="23" s="1"/>
  <c r="A96" i="23" s="1"/>
  <c r="A97" i="23" s="1"/>
  <c r="A98" i="23" s="1"/>
  <c r="A99" i="23" s="1"/>
  <c r="A100" i="23" s="1"/>
  <c r="A101" i="23" s="1"/>
  <c r="A102" i="23" s="1"/>
  <c r="A103" i="23" s="1"/>
  <c r="A104" i="23" s="1"/>
  <c r="A106" i="23" s="1"/>
  <c r="A24" i="23"/>
  <c r="A64" i="23"/>
  <c r="A70" i="23"/>
  <c r="E47" i="20" l="1"/>
  <c r="D47" i="20"/>
  <c r="C47" i="20"/>
  <c r="F45" i="20"/>
  <c r="F43" i="20"/>
  <c r="F41" i="20"/>
  <c r="F39" i="20"/>
  <c r="E22" i="20"/>
  <c r="D22" i="20"/>
  <c r="A33" i="20"/>
  <c r="A28" i="20"/>
  <c r="F20" i="20"/>
  <c r="G20" i="20" s="1"/>
  <c r="F18" i="20"/>
  <c r="G18" i="20" s="1"/>
  <c r="F16" i="20"/>
  <c r="G16" i="20" s="1"/>
  <c r="F14" i="20"/>
  <c r="G14" i="20" s="1"/>
  <c r="D12" i="40" s="1"/>
  <c r="A7" i="20"/>
  <c r="A32" i="20" s="1"/>
  <c r="A4" i="20"/>
  <c r="A2" i="20"/>
  <c r="A27" i="20" s="1"/>
  <c r="A1" i="20"/>
  <c r="A26" i="20" s="1"/>
  <c r="N114" i="19"/>
  <c r="N74" i="19"/>
  <c r="N62" i="19"/>
  <c r="N39" i="19"/>
  <c r="N28" i="19"/>
  <c r="A98" i="19"/>
  <c r="A96" i="19"/>
  <c r="A93" i="19"/>
  <c r="A53" i="19"/>
  <c r="A51" i="19"/>
  <c r="A48" i="19"/>
  <c r="H17" i="19"/>
  <c r="A14" i="19"/>
  <c r="A15" i="19" s="1"/>
  <c r="A16" i="19" s="1"/>
  <c r="A17" i="19" s="1"/>
  <c r="A19" i="19" s="1"/>
  <c r="A20" i="19" s="1"/>
  <c r="A21" i="19" s="1"/>
  <c r="A7" i="19"/>
  <c r="A52" i="19" s="1"/>
  <c r="A4" i="19"/>
  <c r="A94" i="19" s="1"/>
  <c r="A2" i="19"/>
  <c r="A92" i="19" s="1"/>
  <c r="A1" i="19"/>
  <c r="J41" i="20" l="1"/>
  <c r="G41" i="20"/>
  <c r="J43" i="20"/>
  <c r="G43" i="20"/>
  <c r="J45" i="20"/>
  <c r="G45" i="20"/>
  <c r="E114" i="19"/>
  <c r="O114" i="19" s="1"/>
  <c r="P114" i="19" s="1"/>
  <c r="E74" i="19"/>
  <c r="O74" i="19" s="1"/>
  <c r="P74" i="19" s="1"/>
  <c r="E90" i="19"/>
  <c r="E28" i="19"/>
  <c r="O28" i="19" s="1"/>
  <c r="P28" i="19" s="1"/>
  <c r="E62" i="19"/>
  <c r="O62" i="19" s="1"/>
  <c r="P62" i="19" s="1"/>
  <c r="F61" i="19" s="1"/>
  <c r="E39" i="19"/>
  <c r="O39" i="19" s="1"/>
  <c r="P39" i="19" s="1"/>
  <c r="F47" i="20"/>
  <c r="F22" i="20"/>
  <c r="C22" i="20"/>
  <c r="E17" i="19"/>
  <c r="A47" i="19"/>
  <c r="A23" i="19"/>
  <c r="A22" i="19"/>
  <c r="A24" i="19" s="1"/>
  <c r="A25" i="19" s="1"/>
  <c r="A26" i="19" s="1"/>
  <c r="A27" i="19" s="1"/>
  <c r="A28" i="19" s="1"/>
  <c r="A30" i="19" s="1"/>
  <c r="A31" i="19" s="1"/>
  <c r="A32" i="19" s="1"/>
  <c r="A33" i="19" s="1"/>
  <c r="A34" i="19" s="1"/>
  <c r="A35" i="19" s="1"/>
  <c r="A36" i="19" s="1"/>
  <c r="A37" i="19" s="1"/>
  <c r="A38" i="19" s="1"/>
  <c r="A39" i="19" s="1"/>
  <c r="A41" i="19" s="1"/>
  <c r="A42" i="19" s="1"/>
  <c r="A43" i="19" s="1"/>
  <c r="A44" i="19" s="1"/>
  <c r="A45" i="19" s="1"/>
  <c r="A58" i="19" s="1"/>
  <c r="A59" i="19" s="1"/>
  <c r="A60" i="19" s="1"/>
  <c r="A61" i="19" s="1"/>
  <c r="A62" i="19" s="1"/>
  <c r="A64" i="19" s="1"/>
  <c r="A65" i="19" s="1"/>
  <c r="A66" i="19" s="1"/>
  <c r="A67" i="19" s="1"/>
  <c r="A68" i="19" s="1"/>
  <c r="A69" i="19" s="1"/>
  <c r="A70" i="19" s="1"/>
  <c r="A71" i="19" s="1"/>
  <c r="A72" i="19" s="1"/>
  <c r="A73" i="19" s="1"/>
  <c r="A74" i="19" s="1"/>
  <c r="A76" i="19" s="1"/>
  <c r="A77" i="19" s="1"/>
  <c r="A78" i="19" s="1"/>
  <c r="A79" i="19" s="1"/>
  <c r="A80" i="19" s="1"/>
  <c r="A81" i="19" s="1"/>
  <c r="A82" i="19" s="1"/>
  <c r="A83" i="19" s="1"/>
  <c r="A84" i="19" s="1"/>
  <c r="A85" i="19" s="1"/>
  <c r="A86" i="19" s="1"/>
  <c r="A87" i="19" s="1"/>
  <c r="A88" i="19" s="1"/>
  <c r="A89" i="19" s="1"/>
  <c r="A90" i="19" s="1"/>
  <c r="A103" i="19" s="1"/>
  <c r="A104" i="19" s="1"/>
  <c r="A105" i="19" s="1"/>
  <c r="A106" i="19" s="1"/>
  <c r="A107" i="19" s="1"/>
  <c r="A108" i="19" s="1"/>
  <c r="A109" i="19" s="1"/>
  <c r="A110" i="19" s="1"/>
  <c r="A111" i="19" s="1"/>
  <c r="A112" i="19" s="1"/>
  <c r="A113" i="19" s="1"/>
  <c r="A114" i="19" s="1"/>
  <c r="A116" i="19" s="1"/>
  <c r="A91" i="19"/>
  <c r="A46" i="19"/>
  <c r="A49" i="19"/>
  <c r="A97" i="19"/>
  <c r="A38" i="18"/>
  <c r="A34" i="18"/>
  <c r="A33" i="18"/>
  <c r="A7" i="18"/>
  <c r="A37" i="18" s="1"/>
  <c r="A4" i="18"/>
  <c r="A2" i="18"/>
  <c r="A32" i="18" s="1"/>
  <c r="A1" i="18"/>
  <c r="A31" i="18" s="1"/>
  <c r="N114" i="17"/>
  <c r="N28" i="17"/>
  <c r="N39" i="17"/>
  <c r="N62" i="17"/>
  <c r="N74" i="17"/>
  <c r="C17" i="67" l="1"/>
  <c r="E17" i="67" s="1"/>
  <c r="E48" i="18"/>
  <c r="F48" i="18" s="1"/>
  <c r="H61" i="19" s="1"/>
  <c r="H62" i="19" s="1"/>
  <c r="G61" i="19"/>
  <c r="C17" i="68"/>
  <c r="E17" i="68" s="1"/>
  <c r="F18" i="31"/>
  <c r="F17" i="31" s="1"/>
  <c r="D18" i="31"/>
  <c r="D17" i="31" s="1"/>
  <c r="F113" i="19"/>
  <c r="F109" i="19"/>
  <c r="F105" i="19"/>
  <c r="F111" i="19"/>
  <c r="F110" i="19"/>
  <c r="G110" i="19" s="1"/>
  <c r="I110" i="19" s="1"/>
  <c r="E100" i="47" s="1"/>
  <c r="F106" i="19"/>
  <c r="F112" i="19"/>
  <c r="F108" i="19"/>
  <c r="F104" i="19"/>
  <c r="F107" i="19"/>
  <c r="E56" i="18" s="1"/>
  <c r="F56" i="18" s="1"/>
  <c r="E116" i="19"/>
  <c r="F71" i="19"/>
  <c r="F67" i="19"/>
  <c r="F70" i="19"/>
  <c r="F66" i="19"/>
  <c r="F73" i="19"/>
  <c r="E49" i="18" s="1"/>
  <c r="F49" i="18" s="1"/>
  <c r="H73" i="19" s="1"/>
  <c r="F69" i="19"/>
  <c r="F65" i="19"/>
  <c r="F72" i="19"/>
  <c r="F68" i="19"/>
  <c r="F45" i="19"/>
  <c r="G45" i="19" s="1"/>
  <c r="I45" i="19" s="1"/>
  <c r="E46" i="47" s="1"/>
  <c r="F59" i="19"/>
  <c r="F60" i="19"/>
  <c r="F44" i="19"/>
  <c r="G44" i="19" s="1"/>
  <c r="I44" i="19" s="1"/>
  <c r="E45" i="47" s="1"/>
  <c r="F43" i="19"/>
  <c r="G43" i="19" s="1"/>
  <c r="I43" i="19" s="1"/>
  <c r="E44" i="47" s="1"/>
  <c r="F58" i="19"/>
  <c r="F42" i="19"/>
  <c r="G42" i="19" s="1"/>
  <c r="I42" i="19" s="1"/>
  <c r="E43" i="47" s="1"/>
  <c r="F24" i="19"/>
  <c r="G24" i="19" s="1"/>
  <c r="I24" i="19" s="1"/>
  <c r="E25" i="47" s="1"/>
  <c r="F20" i="19"/>
  <c r="G20" i="19" s="1"/>
  <c r="F27" i="19"/>
  <c r="F23" i="19"/>
  <c r="G23" i="19" s="1"/>
  <c r="I23" i="19" s="1"/>
  <c r="E24" i="47" s="1"/>
  <c r="F26" i="19"/>
  <c r="F22" i="19"/>
  <c r="F25" i="19"/>
  <c r="F21" i="19"/>
  <c r="F36" i="19"/>
  <c r="F32" i="19"/>
  <c r="F38" i="19"/>
  <c r="E47" i="18" s="1"/>
  <c r="F47" i="18" s="1"/>
  <c r="H38" i="19" s="1"/>
  <c r="H39" i="19" s="1"/>
  <c r="F35" i="19"/>
  <c r="F31" i="19"/>
  <c r="F34" i="19"/>
  <c r="F37" i="19"/>
  <c r="F33" i="19"/>
  <c r="I61" i="19" l="1"/>
  <c r="E50" i="47" s="1"/>
  <c r="G26" i="19"/>
  <c r="E45" i="18"/>
  <c r="F45" i="18" s="1"/>
  <c r="H26" i="19" s="1"/>
  <c r="H107" i="19"/>
  <c r="H114" i="19" s="1"/>
  <c r="H67" i="19"/>
  <c r="G18" i="31"/>
  <c r="R21" i="58"/>
  <c r="C15" i="67"/>
  <c r="E15" i="67" s="1"/>
  <c r="E18" i="31"/>
  <c r="G21" i="19"/>
  <c r="E42" i="18"/>
  <c r="F42" i="18" s="1"/>
  <c r="H70" i="19" s="1"/>
  <c r="G25" i="19"/>
  <c r="E44" i="18"/>
  <c r="F44" i="18" s="1"/>
  <c r="G27" i="19"/>
  <c r="E46" i="18"/>
  <c r="F46" i="18" s="1"/>
  <c r="G22" i="19"/>
  <c r="E43" i="18"/>
  <c r="F43" i="18" s="1"/>
  <c r="I20" i="19"/>
  <c r="E21" i="47" s="1"/>
  <c r="A4" i="17"/>
  <c r="A94" i="17" s="1"/>
  <c r="A98" i="17"/>
  <c r="A96" i="17"/>
  <c r="A93" i="17"/>
  <c r="A53" i="17"/>
  <c r="A51" i="17"/>
  <c r="A48" i="17"/>
  <c r="A14" i="17"/>
  <c r="A15" i="17" s="1"/>
  <c r="A16" i="17" s="1"/>
  <c r="A17" i="17" s="1"/>
  <c r="A19" i="17" s="1"/>
  <c r="A20" i="17" s="1"/>
  <c r="A21" i="17" s="1"/>
  <c r="A7" i="17"/>
  <c r="A52" i="17" s="1"/>
  <c r="A2" i="17"/>
  <c r="A47" i="17" s="1"/>
  <c r="A1" i="17"/>
  <c r="A91" i="17" s="1"/>
  <c r="I26" i="19" l="1"/>
  <c r="E27" i="47" s="1"/>
  <c r="H74" i="19"/>
  <c r="H22" i="19"/>
  <c r="I22" i="19" s="1"/>
  <c r="E23" i="47" s="1"/>
  <c r="H79" i="19"/>
  <c r="H25" i="19"/>
  <c r="I25" i="19" s="1"/>
  <c r="E26" i="47" s="1"/>
  <c r="F19" i="31"/>
  <c r="G17" i="31"/>
  <c r="D19" i="31"/>
  <c r="E17" i="31"/>
  <c r="G28" i="19"/>
  <c r="H27" i="19"/>
  <c r="I27" i="19" s="1"/>
  <c r="E28" i="47" s="1"/>
  <c r="H21" i="19"/>
  <c r="I21" i="19" s="1"/>
  <c r="E22" i="47" s="1"/>
  <c r="A92" i="17"/>
  <c r="A97" i="17"/>
  <c r="A23" i="17"/>
  <c r="A22" i="17"/>
  <c r="A24" i="17" s="1"/>
  <c r="A25" i="17" s="1"/>
  <c r="A26" i="17" s="1"/>
  <c r="A27" i="17" s="1"/>
  <c r="A28" i="17" s="1"/>
  <c r="A30" i="17" s="1"/>
  <c r="A31" i="17" s="1"/>
  <c r="A32" i="17" s="1"/>
  <c r="A33" i="17" s="1"/>
  <c r="A34" i="17" s="1"/>
  <c r="A35" i="17" s="1"/>
  <c r="A36" i="17" s="1"/>
  <c r="A37" i="17" s="1"/>
  <c r="A38" i="17" s="1"/>
  <c r="A39" i="17" s="1"/>
  <c r="A41" i="17" s="1"/>
  <c r="A42" i="17" s="1"/>
  <c r="A43" i="17" s="1"/>
  <c r="A44" i="17" s="1"/>
  <c r="A45" i="17" s="1"/>
  <c r="A58" i="17" s="1"/>
  <c r="A59" i="17" s="1"/>
  <c r="A60" i="17" s="1"/>
  <c r="A61" i="17" s="1"/>
  <c r="A62" i="17" s="1"/>
  <c r="A64" i="17" s="1"/>
  <c r="A65" i="17" s="1"/>
  <c r="A66" i="17" s="1"/>
  <c r="A67" i="17" s="1"/>
  <c r="A68" i="17" s="1"/>
  <c r="A69" i="17" s="1"/>
  <c r="A70" i="17" s="1"/>
  <c r="A71" i="17" s="1"/>
  <c r="A72" i="17" s="1"/>
  <c r="A73" i="17" s="1"/>
  <c r="A74" i="17" s="1"/>
  <c r="A76" i="17" s="1"/>
  <c r="A77" i="17" s="1"/>
  <c r="A78" i="17" s="1"/>
  <c r="A79" i="17" s="1"/>
  <c r="A80" i="17" s="1"/>
  <c r="A81" i="17" s="1"/>
  <c r="A82" i="17" s="1"/>
  <c r="A83" i="17" s="1"/>
  <c r="A84" i="17" s="1"/>
  <c r="A85" i="17" s="1"/>
  <c r="A86" i="17" s="1"/>
  <c r="A87" i="17" s="1"/>
  <c r="A88" i="17" s="1"/>
  <c r="A89" i="17" s="1"/>
  <c r="A90" i="17" s="1"/>
  <c r="A103" i="17" s="1"/>
  <c r="A104" i="17" s="1"/>
  <c r="A105" i="17" s="1"/>
  <c r="A106" i="17" s="1"/>
  <c r="A107" i="17" s="1"/>
  <c r="A108" i="17" s="1"/>
  <c r="A109" i="17" s="1"/>
  <c r="A110" i="17" s="1"/>
  <c r="A111" i="17" s="1"/>
  <c r="A112" i="17" s="1"/>
  <c r="A113" i="17" s="1"/>
  <c r="A114" i="17" s="1"/>
  <c r="A116" i="17" s="1"/>
  <c r="A46" i="17"/>
  <c r="A49" i="17"/>
  <c r="F21" i="31" l="1"/>
  <c r="G19" i="31"/>
  <c r="D21" i="31"/>
  <c r="E19" i="31"/>
  <c r="H28" i="19"/>
  <c r="E29" i="47"/>
  <c r="I28" i="19"/>
  <c r="H17" i="17"/>
  <c r="F59" i="31" l="1"/>
  <c r="G21" i="31"/>
  <c r="D59" i="31"/>
  <c r="E21" i="31"/>
  <c r="F121" i="31" l="1"/>
  <c r="G59" i="31"/>
  <c r="D121" i="31"/>
  <c r="E59" i="31"/>
  <c r="A5" i="16" l="1"/>
  <c r="A8" i="16"/>
  <c r="A4" i="16"/>
  <c r="A2" i="16"/>
  <c r="A1" i="16"/>
  <c r="G16" i="14"/>
  <c r="A32" i="15"/>
  <c r="A36" i="15"/>
  <c r="A31" i="15"/>
  <c r="A7" i="15"/>
  <c r="A35" i="15" s="1"/>
  <c r="A4" i="15"/>
  <c r="A2" i="15"/>
  <c r="A30" i="15" s="1"/>
  <c r="A1" i="15"/>
  <c r="D110" i="14"/>
  <c r="D113" i="19" s="1"/>
  <c r="D109" i="14"/>
  <c r="D112" i="19" s="1"/>
  <c r="D108" i="14"/>
  <c r="D111" i="19" s="1"/>
  <c r="D107" i="14"/>
  <c r="D110" i="19" s="1"/>
  <c r="D106" i="14"/>
  <c r="D109" i="19" s="1"/>
  <c r="D105" i="14"/>
  <c r="D108" i="19" s="1"/>
  <c r="D104" i="14"/>
  <c r="D107" i="19" s="1"/>
  <c r="D103" i="14"/>
  <c r="D106" i="19" s="1"/>
  <c r="D102" i="14"/>
  <c r="D105" i="19" s="1"/>
  <c r="D101" i="14"/>
  <c r="D104" i="19" s="1"/>
  <c r="D87" i="14"/>
  <c r="D86" i="14"/>
  <c r="D88" i="19" s="1"/>
  <c r="D85" i="14"/>
  <c r="D87" i="19" s="1"/>
  <c r="D84" i="14"/>
  <c r="D86" i="19" s="1"/>
  <c r="D83" i="14"/>
  <c r="D85" i="19" s="1"/>
  <c r="D82" i="14"/>
  <c r="D84" i="19" s="1"/>
  <c r="D81" i="14"/>
  <c r="D83" i="19" s="1"/>
  <c r="D80" i="14"/>
  <c r="D82" i="19" s="1"/>
  <c r="D79" i="14"/>
  <c r="D81" i="19" s="1"/>
  <c r="D78" i="14"/>
  <c r="D80" i="19" s="1"/>
  <c r="D77" i="14"/>
  <c r="D79" i="19" s="1"/>
  <c r="D76" i="14"/>
  <c r="D78" i="19" s="1"/>
  <c r="D75" i="14"/>
  <c r="D77" i="19" s="1"/>
  <c r="D71" i="14"/>
  <c r="D70" i="14"/>
  <c r="D72" i="19" s="1"/>
  <c r="D69" i="14"/>
  <c r="D71" i="19" s="1"/>
  <c r="D68" i="14"/>
  <c r="D70" i="19" s="1"/>
  <c r="D67" i="14"/>
  <c r="D69" i="19" s="1"/>
  <c r="D66" i="14"/>
  <c r="D68" i="19" s="1"/>
  <c r="D65" i="14"/>
  <c r="D67" i="19" s="1"/>
  <c r="D64" i="14"/>
  <c r="D66" i="19" s="1"/>
  <c r="D63" i="14"/>
  <c r="D65" i="19" s="1"/>
  <c r="D59" i="14"/>
  <c r="D58" i="14"/>
  <c r="D60" i="19" s="1"/>
  <c r="D57" i="14"/>
  <c r="D59" i="19" s="1"/>
  <c r="D56" i="14"/>
  <c r="D58" i="19" s="1"/>
  <c r="D44" i="14"/>
  <c r="D45" i="19" s="1"/>
  <c r="D43" i="14"/>
  <c r="D44" i="19" s="1"/>
  <c r="D42" i="14"/>
  <c r="D43" i="19" s="1"/>
  <c r="D41" i="14"/>
  <c r="D37" i="14"/>
  <c r="D36" i="14"/>
  <c r="D37" i="19" s="1"/>
  <c r="D35" i="14"/>
  <c r="D36" i="19" s="1"/>
  <c r="D34" i="14"/>
  <c r="D35" i="19" s="1"/>
  <c r="D33" i="14"/>
  <c r="D34" i="19" s="1"/>
  <c r="D32" i="14"/>
  <c r="D33" i="19" s="1"/>
  <c r="D31" i="14"/>
  <c r="D32" i="19" s="1"/>
  <c r="D30" i="14"/>
  <c r="D26" i="14"/>
  <c r="D25" i="14"/>
  <c r="D26" i="19" s="1"/>
  <c r="D24" i="14"/>
  <c r="D25" i="19" s="1"/>
  <c r="D23" i="14"/>
  <c r="D24" i="19" s="1"/>
  <c r="D22" i="14"/>
  <c r="D23" i="19" s="1"/>
  <c r="D21" i="14"/>
  <c r="D22" i="19" s="1"/>
  <c r="D20" i="14"/>
  <c r="D19" i="14"/>
  <c r="D20" i="19" s="1"/>
  <c r="D15" i="14"/>
  <c r="D16" i="19" s="1"/>
  <c r="D14" i="14"/>
  <c r="D15" i="19" s="1"/>
  <c r="D13" i="14"/>
  <c r="D14" i="19" s="1"/>
  <c r="A4" i="14"/>
  <c r="A92" i="14" s="1"/>
  <c r="H108" i="14"/>
  <c r="D101" i="47" s="1"/>
  <c r="G101" i="47" s="1"/>
  <c r="H102" i="14"/>
  <c r="D95" i="47" s="1"/>
  <c r="G95" i="47" s="1"/>
  <c r="A96" i="14"/>
  <c r="A94" i="14"/>
  <c r="A91" i="14"/>
  <c r="H70" i="14"/>
  <c r="D61" i="47" s="1"/>
  <c r="G61" i="47" s="1"/>
  <c r="H69" i="14"/>
  <c r="D60" i="47" s="1"/>
  <c r="G60" i="47" s="1"/>
  <c r="H68" i="14"/>
  <c r="D59" i="47" s="1"/>
  <c r="G59" i="47" s="1"/>
  <c r="H67" i="14"/>
  <c r="D58" i="47" s="1"/>
  <c r="G58" i="47" s="1"/>
  <c r="H66" i="14"/>
  <c r="D57" i="47" s="1"/>
  <c r="G57" i="47" s="1"/>
  <c r="H58" i="14"/>
  <c r="D49" i="47" s="1"/>
  <c r="G49" i="47" s="1"/>
  <c r="H57" i="14"/>
  <c r="D48" i="47" s="1"/>
  <c r="G48" i="47" s="1"/>
  <c r="H56" i="14"/>
  <c r="D47" i="47" s="1"/>
  <c r="G47" i="47" s="1"/>
  <c r="A52" i="14"/>
  <c r="A50" i="14"/>
  <c r="A47" i="14"/>
  <c r="H44" i="14"/>
  <c r="D46" i="47" s="1"/>
  <c r="G46" i="47" s="1"/>
  <c r="H43" i="14"/>
  <c r="D45" i="47" s="1"/>
  <c r="G45" i="47" s="1"/>
  <c r="H42" i="14"/>
  <c r="D44" i="47" s="1"/>
  <c r="G44" i="47" s="1"/>
  <c r="H36" i="14"/>
  <c r="D38" i="47" s="1"/>
  <c r="G38" i="47" s="1"/>
  <c r="H34" i="14"/>
  <c r="D36" i="47" s="1"/>
  <c r="G36" i="47" s="1"/>
  <c r="H32" i="14"/>
  <c r="D34" i="47" s="1"/>
  <c r="G34" i="47" s="1"/>
  <c r="H22" i="14"/>
  <c r="D24" i="47" s="1"/>
  <c r="A13" i="14"/>
  <c r="A14" i="14" s="1"/>
  <c r="A15" i="14" s="1"/>
  <c r="A16" i="14" s="1"/>
  <c r="A18" i="14" s="1"/>
  <c r="A19" i="14" s="1"/>
  <c r="A20" i="14" s="1"/>
  <c r="A7" i="14"/>
  <c r="A51" i="14" s="1"/>
  <c r="A2" i="14"/>
  <c r="A46" i="14" s="1"/>
  <c r="A1" i="14"/>
  <c r="A89" i="14" s="1"/>
  <c r="B219" i="13"/>
  <c r="B218" i="13"/>
  <c r="B217" i="13"/>
  <c r="B216" i="13"/>
  <c r="B215" i="13"/>
  <c r="B214" i="13"/>
  <c r="B213" i="13"/>
  <c r="B204" i="13"/>
  <c r="B203" i="13"/>
  <c r="B202" i="13"/>
  <c r="B201" i="13"/>
  <c r="B200" i="13"/>
  <c r="B199" i="13"/>
  <c r="B198" i="13"/>
  <c r="B197" i="13"/>
  <c r="B192" i="13"/>
  <c r="B191" i="13"/>
  <c r="B190" i="13"/>
  <c r="B184" i="13"/>
  <c r="B183" i="13"/>
  <c r="B182" i="13"/>
  <c r="B181" i="13"/>
  <c r="B180" i="13"/>
  <c r="B175" i="13"/>
  <c r="B174" i="13"/>
  <c r="B173" i="13"/>
  <c r="B172" i="13"/>
  <c r="B166" i="13"/>
  <c r="B165" i="13"/>
  <c r="B164" i="13"/>
  <c r="B163" i="13"/>
  <c r="B162" i="13"/>
  <c r="B161" i="13"/>
  <c r="B149" i="13"/>
  <c r="B148" i="13"/>
  <c r="B147" i="13"/>
  <c r="B140" i="13"/>
  <c r="B139" i="13"/>
  <c r="B138" i="13"/>
  <c r="B137" i="13"/>
  <c r="B136" i="13"/>
  <c r="B129" i="13"/>
  <c r="B128" i="13"/>
  <c r="B127" i="13"/>
  <c r="B126" i="13"/>
  <c r="B125" i="13"/>
  <c r="B124" i="13"/>
  <c r="B123" i="13"/>
  <c r="B122" i="13"/>
  <c r="B72" i="13"/>
  <c r="R1" i="13"/>
  <c r="S1" i="13" s="1"/>
  <c r="T1" i="13" s="1"/>
  <c r="D61" i="19" l="1"/>
  <c r="E59" i="14"/>
  <c r="E50" i="11" s="1"/>
  <c r="F110" i="12"/>
  <c r="A95" i="14"/>
  <c r="F19" i="12"/>
  <c r="F34" i="12"/>
  <c r="F63" i="12"/>
  <c r="F78" i="12"/>
  <c r="F107" i="12"/>
  <c r="D27" i="19"/>
  <c r="D38" i="19"/>
  <c r="F23" i="12"/>
  <c r="F41" i="12"/>
  <c r="F67" i="12"/>
  <c r="F82" i="12"/>
  <c r="F103" i="12"/>
  <c r="F13" i="12"/>
  <c r="F24" i="12"/>
  <c r="F35" i="12"/>
  <c r="F57" i="12"/>
  <c r="F68" i="12"/>
  <c r="F79" i="12"/>
  <c r="F87" i="12"/>
  <c r="F108" i="12"/>
  <c r="F14" i="12"/>
  <c r="F21" i="12"/>
  <c r="F25" i="12"/>
  <c r="F32" i="12"/>
  <c r="F36" i="12"/>
  <c r="F43" i="12"/>
  <c r="F58" i="12"/>
  <c r="F65" i="12"/>
  <c r="F69" i="12"/>
  <c r="F76" i="12"/>
  <c r="F80" i="12"/>
  <c r="F84" i="12"/>
  <c r="F101" i="12"/>
  <c r="F105" i="12"/>
  <c r="F109" i="12"/>
  <c r="A45" i="14"/>
  <c r="E63" i="14"/>
  <c r="D89" i="19"/>
  <c r="D90" i="19" s="1"/>
  <c r="F30" i="12"/>
  <c r="F56" i="12"/>
  <c r="F71" i="12"/>
  <c r="F86" i="12"/>
  <c r="F20" i="12"/>
  <c r="F31" i="12"/>
  <c r="F42" i="12"/>
  <c r="F64" i="12"/>
  <c r="F75" i="12"/>
  <c r="F83" i="12"/>
  <c r="F104" i="12"/>
  <c r="D73" i="19"/>
  <c r="D74" i="19" s="1"/>
  <c r="F15" i="12"/>
  <c r="F22" i="12"/>
  <c r="F26" i="12"/>
  <c r="F33" i="12"/>
  <c r="F37" i="12"/>
  <c r="F44" i="12"/>
  <c r="F59" i="12"/>
  <c r="F66" i="12"/>
  <c r="F70" i="12"/>
  <c r="F77" i="12"/>
  <c r="F81" i="12"/>
  <c r="F85" i="12"/>
  <c r="F102" i="12"/>
  <c r="F106" i="12"/>
  <c r="E26" i="14"/>
  <c r="E48" i="11" s="1"/>
  <c r="E70" i="14"/>
  <c r="E109" i="14"/>
  <c r="E43" i="14"/>
  <c r="D17" i="19"/>
  <c r="E87" i="14"/>
  <c r="D60" i="14"/>
  <c r="C47" i="15" s="1"/>
  <c r="D114" i="19"/>
  <c r="E103" i="14"/>
  <c r="E85" i="14"/>
  <c r="E41" i="14"/>
  <c r="D42" i="19"/>
  <c r="D62" i="19" s="1"/>
  <c r="D27" i="14"/>
  <c r="C43" i="15" s="1"/>
  <c r="D21" i="19"/>
  <c r="D28" i="19" s="1"/>
  <c r="D38" i="14"/>
  <c r="C45" i="15" s="1"/>
  <c r="D31" i="19"/>
  <c r="E19" i="14"/>
  <c r="E43" i="11" s="1"/>
  <c r="H109" i="14"/>
  <c r="D102" i="47" s="1"/>
  <c r="G102" i="47" s="1"/>
  <c r="E58" i="14"/>
  <c r="E68" i="14"/>
  <c r="E66" i="14"/>
  <c r="E56" i="14"/>
  <c r="E69" i="14"/>
  <c r="E34" i="14"/>
  <c r="E36" i="14"/>
  <c r="F41" i="15"/>
  <c r="A29" i="15"/>
  <c r="E81" i="14"/>
  <c r="E55" i="11" s="1"/>
  <c r="D72" i="14"/>
  <c r="C49" i="15" s="1"/>
  <c r="E30" i="14"/>
  <c r="D16" i="14"/>
  <c r="C41" i="15" s="1"/>
  <c r="E106" i="14"/>
  <c r="E77" i="14"/>
  <c r="E65" i="14"/>
  <c r="E32" i="14"/>
  <c r="E21" i="14"/>
  <c r="E45" i="11" s="1"/>
  <c r="A48" i="14"/>
  <c r="H31" i="14"/>
  <c r="D33" i="47" s="1"/>
  <c r="G33" i="47" s="1"/>
  <c r="E31" i="14"/>
  <c r="E24" i="14"/>
  <c r="E46" i="11" s="1"/>
  <c r="H35" i="14"/>
  <c r="D37" i="47" s="1"/>
  <c r="G37" i="47" s="1"/>
  <c r="E35" i="14"/>
  <c r="A22" i="14"/>
  <c r="A21" i="14"/>
  <c r="A23" i="14" s="1"/>
  <c r="A24" i="14" s="1"/>
  <c r="A25" i="14" s="1"/>
  <c r="A26" i="14" s="1"/>
  <c r="A27" i="14" s="1"/>
  <c r="A29" i="14" s="1"/>
  <c r="A30" i="14" s="1"/>
  <c r="A31" i="14" s="1"/>
  <c r="A32" i="14" s="1"/>
  <c r="A33" i="14" s="1"/>
  <c r="A34" i="14" s="1"/>
  <c r="A35" i="14" s="1"/>
  <c r="A36" i="14" s="1"/>
  <c r="A37" i="14" s="1"/>
  <c r="A38" i="14" s="1"/>
  <c r="A40" i="14" s="1"/>
  <c r="A41" i="14" s="1"/>
  <c r="A42" i="14" s="1"/>
  <c r="A43" i="14" s="1"/>
  <c r="A44" i="14" s="1"/>
  <c r="A56" i="14" s="1"/>
  <c r="A57" i="14" s="1"/>
  <c r="A58" i="14" s="1"/>
  <c r="A59" i="14" s="1"/>
  <c r="A60" i="14" s="1"/>
  <c r="A62" i="14" s="1"/>
  <c r="A63" i="14" s="1"/>
  <c r="A64" i="14" s="1"/>
  <c r="A65" i="14" s="1"/>
  <c r="A66" i="14" s="1"/>
  <c r="A67" i="14" s="1"/>
  <c r="A68" i="14" s="1"/>
  <c r="A69" i="14" s="1"/>
  <c r="A70" i="14" s="1"/>
  <c r="A71" i="14" s="1"/>
  <c r="A72" i="14" s="1"/>
  <c r="A74" i="14" s="1"/>
  <c r="A75" i="14" s="1"/>
  <c r="A76" i="14" s="1"/>
  <c r="A77" i="14" s="1"/>
  <c r="A78" i="14" s="1"/>
  <c r="A79" i="14" s="1"/>
  <c r="A80" i="14" s="1"/>
  <c r="A81" i="14" s="1"/>
  <c r="A82" i="14" s="1"/>
  <c r="A83" i="14" s="1"/>
  <c r="A84" i="14" s="1"/>
  <c r="A85" i="14" s="1"/>
  <c r="A86" i="14" s="1"/>
  <c r="A87" i="14" s="1"/>
  <c r="A88" i="14" s="1"/>
  <c r="A100" i="14" s="1"/>
  <c r="A101" i="14" s="1"/>
  <c r="A102" i="14" s="1"/>
  <c r="A103" i="14" s="1"/>
  <c r="A104" i="14" s="1"/>
  <c r="A105" i="14" s="1"/>
  <c r="A106" i="14" s="1"/>
  <c r="A107" i="14" s="1"/>
  <c r="A108" i="14" s="1"/>
  <c r="A109" i="14" s="1"/>
  <c r="A110" i="14" s="1"/>
  <c r="A111" i="14" s="1"/>
  <c r="A113" i="14" s="1"/>
  <c r="H33" i="14"/>
  <c r="D35" i="47" s="1"/>
  <c r="G35" i="47" s="1"/>
  <c r="E33" i="14"/>
  <c r="E20" i="14"/>
  <c r="E44" i="11" s="1"/>
  <c r="F27" i="14"/>
  <c r="E43" i="15" s="1"/>
  <c r="E37" i="14"/>
  <c r="E49" i="11" s="1"/>
  <c r="F49" i="11" s="1"/>
  <c r="G37" i="14" s="1"/>
  <c r="G38" i="14" s="1"/>
  <c r="F45" i="15" s="1"/>
  <c r="F60" i="14"/>
  <c r="E47" i="15" s="1"/>
  <c r="H41" i="14"/>
  <c r="D43" i="47" s="1"/>
  <c r="G43" i="47" s="1"/>
  <c r="E42" i="14"/>
  <c r="E44" i="14"/>
  <c r="E57" i="14"/>
  <c r="E64" i="14"/>
  <c r="E67" i="14"/>
  <c r="E75" i="14"/>
  <c r="E79" i="14"/>
  <c r="E53" i="11" s="1"/>
  <c r="E83" i="14"/>
  <c r="A90" i="14"/>
  <c r="E104" i="14"/>
  <c r="E58" i="11" s="1"/>
  <c r="F58" i="11" s="1"/>
  <c r="H107" i="14"/>
  <c r="D100" i="47" s="1"/>
  <c r="E108" i="14"/>
  <c r="E110" i="14" s="1"/>
  <c r="E101" i="14"/>
  <c r="E25" i="14"/>
  <c r="E47" i="11" s="1"/>
  <c r="E71" i="14"/>
  <c r="E51" i="11" s="1"/>
  <c r="F51" i="11" s="1"/>
  <c r="G71" i="14" s="1"/>
  <c r="D88" i="14"/>
  <c r="C51" i="15" s="1"/>
  <c r="H77" i="14"/>
  <c r="D80" i="47" s="1"/>
  <c r="G80" i="47" s="1"/>
  <c r="E78" i="14"/>
  <c r="E52" i="11" s="1"/>
  <c r="E82" i="14"/>
  <c r="H85" i="14"/>
  <c r="D88" i="47" s="1"/>
  <c r="G88" i="47" s="1"/>
  <c r="E86" i="14"/>
  <c r="H101" i="14"/>
  <c r="D94" i="47" s="1"/>
  <c r="E102" i="14"/>
  <c r="H106" i="14"/>
  <c r="D99" i="47" s="1"/>
  <c r="G99" i="47" s="1"/>
  <c r="F38" i="14"/>
  <c r="E45" i="15" s="1"/>
  <c r="H30" i="14"/>
  <c r="D32" i="47" s="1"/>
  <c r="G32" i="47" s="1"/>
  <c r="F72" i="14"/>
  <c r="E49" i="15" s="1"/>
  <c r="H63" i="14"/>
  <c r="D54" i="47" s="1"/>
  <c r="G54" i="47" s="1"/>
  <c r="H64" i="14"/>
  <c r="D55" i="47" s="1"/>
  <c r="G55" i="47" s="1"/>
  <c r="H65" i="14"/>
  <c r="D56" i="47" s="1"/>
  <c r="G56" i="47" s="1"/>
  <c r="H75" i="14"/>
  <c r="D78" i="47" s="1"/>
  <c r="G78" i="47" s="1"/>
  <c r="H83" i="14"/>
  <c r="D86" i="47" s="1"/>
  <c r="G86" i="47" s="1"/>
  <c r="D111" i="14"/>
  <c r="C53" i="15" s="1"/>
  <c r="H103" i="14"/>
  <c r="D96" i="47" s="1"/>
  <c r="G96" i="47" s="1"/>
  <c r="F50" i="11" l="1"/>
  <c r="G59" i="14" s="1"/>
  <c r="H59" i="14" s="1"/>
  <c r="K49" i="11"/>
  <c r="K50" i="11" s="1"/>
  <c r="F47" i="11"/>
  <c r="G25" i="14" s="1"/>
  <c r="H25" i="14" s="1"/>
  <c r="D27" i="47" s="1"/>
  <c r="G27" i="47" s="1"/>
  <c r="F52" i="11"/>
  <c r="G78" i="14" s="1"/>
  <c r="H78" i="14" s="1"/>
  <c r="D81" i="47" s="1"/>
  <c r="G81" i="47" s="1"/>
  <c r="F55" i="11"/>
  <c r="G81" i="14" s="1"/>
  <c r="H81" i="14" s="1"/>
  <c r="D84" i="47" s="1"/>
  <c r="G84" i="47" s="1"/>
  <c r="F53" i="11"/>
  <c r="G79" i="14" s="1"/>
  <c r="H79" i="14" s="1"/>
  <c r="D82" i="47" s="1"/>
  <c r="G82" i="47" s="1"/>
  <c r="G104" i="14"/>
  <c r="G111" i="14" s="1"/>
  <c r="F53" i="15" s="1"/>
  <c r="G82" i="14"/>
  <c r="H82" i="14" s="1"/>
  <c r="D85" i="47" s="1"/>
  <c r="G85" i="47" s="1"/>
  <c r="D39" i="19"/>
  <c r="D116" i="19" s="1"/>
  <c r="F48" i="11"/>
  <c r="D61" i="11"/>
  <c r="D13" i="67" s="1"/>
  <c r="D16" i="67" s="1"/>
  <c r="D18" i="67" s="1"/>
  <c r="D27" i="67" s="1"/>
  <c r="G86" i="14"/>
  <c r="H86" i="14" s="1"/>
  <c r="D89" i="47" s="1"/>
  <c r="G89" i="47" s="1"/>
  <c r="F43" i="11"/>
  <c r="F45" i="11"/>
  <c r="G21" i="14" s="1"/>
  <c r="H21" i="14" s="1"/>
  <c r="D23" i="47" s="1"/>
  <c r="G23" i="47" s="1"/>
  <c r="F44" i="11"/>
  <c r="F46" i="11"/>
  <c r="G45" i="15"/>
  <c r="H37" i="14"/>
  <c r="D39" i="47" s="1"/>
  <c r="D40" i="47" s="1"/>
  <c r="F89" i="19"/>
  <c r="E55" i="18" s="1"/>
  <c r="F55" i="18" s="1"/>
  <c r="E57" i="11"/>
  <c r="F57" i="11" s="1"/>
  <c r="G87" i="14" s="1"/>
  <c r="H71" i="14"/>
  <c r="D62" i="47" s="1"/>
  <c r="G62" i="47" s="1"/>
  <c r="G72" i="14"/>
  <c r="F49" i="15" s="1"/>
  <c r="G49" i="15" s="1"/>
  <c r="G40" i="47"/>
  <c r="G94" i="47"/>
  <c r="G51" i="47"/>
  <c r="C55" i="15"/>
  <c r="D49" i="15"/>
  <c r="D43" i="15"/>
  <c r="D45" i="15"/>
  <c r="D47" i="15"/>
  <c r="D113" i="14"/>
  <c r="R18" i="58" s="1"/>
  <c r="E84" i="14"/>
  <c r="H84" i="14"/>
  <c r="D87" i="47" s="1"/>
  <c r="G87" i="47" s="1"/>
  <c r="E80" i="14"/>
  <c r="H15" i="14"/>
  <c r="D17" i="47" s="1"/>
  <c r="G17" i="47" s="1"/>
  <c r="E15" i="14"/>
  <c r="H110" i="14"/>
  <c r="D103" i="47" s="1"/>
  <c r="G103" i="47" s="1"/>
  <c r="F16" i="14"/>
  <c r="E13" i="14"/>
  <c r="H13" i="14"/>
  <c r="D15" i="47" s="1"/>
  <c r="E105" i="14"/>
  <c r="H105" i="14"/>
  <c r="D98" i="47" s="1"/>
  <c r="G98" i="47" s="1"/>
  <c r="E76" i="14"/>
  <c r="H76" i="14"/>
  <c r="D79" i="47" s="1"/>
  <c r="G79" i="47" s="1"/>
  <c r="F88" i="14"/>
  <c r="E51" i="15" s="1"/>
  <c r="F111" i="14"/>
  <c r="E53" i="15" s="1"/>
  <c r="E23" i="14"/>
  <c r="H23" i="14"/>
  <c r="D25" i="47" s="1"/>
  <c r="G25" i="47" s="1"/>
  <c r="H14" i="14"/>
  <c r="D16" i="47" s="1"/>
  <c r="G16" i="47" s="1"/>
  <c r="E14" i="14"/>
  <c r="F15" i="19" s="1"/>
  <c r="G15" i="19" s="1"/>
  <c r="G26" i="14" l="1"/>
  <c r="H26" i="14" s="1"/>
  <c r="D28" i="47" s="1"/>
  <c r="G19" i="14"/>
  <c r="H19" i="14" s="1"/>
  <c r="D21" i="47" s="1"/>
  <c r="G21" i="47" s="1"/>
  <c r="G60" i="14"/>
  <c r="F47" i="15" s="1"/>
  <c r="G47" i="15" s="1"/>
  <c r="D50" i="47"/>
  <c r="D51" i="47" s="1"/>
  <c r="H60" i="14"/>
  <c r="F82" i="19"/>
  <c r="E52" i="18" s="1"/>
  <c r="F52" i="18" s="1"/>
  <c r="H82" i="19" s="1"/>
  <c r="E54" i="11"/>
  <c r="F54" i="11" s="1"/>
  <c r="G80" i="14" s="1"/>
  <c r="H80" i="14" s="1"/>
  <c r="D83" i="47" s="1"/>
  <c r="G83" i="47" s="1"/>
  <c r="G24" i="14"/>
  <c r="H24" i="14" s="1"/>
  <c r="D26" i="47" s="1"/>
  <c r="G26" i="47" s="1"/>
  <c r="H104" i="14"/>
  <c r="D97" i="47" s="1"/>
  <c r="C13" i="67"/>
  <c r="R23" i="58"/>
  <c r="R32" i="58" s="1"/>
  <c r="G20" i="14"/>
  <c r="H20" i="14" s="1"/>
  <c r="D22" i="47" s="1"/>
  <c r="G22" i="47" s="1"/>
  <c r="J18" i="58"/>
  <c r="D63" i="47"/>
  <c r="J21" i="58"/>
  <c r="G63" i="47"/>
  <c r="H72" i="14"/>
  <c r="H38" i="14"/>
  <c r="H89" i="19"/>
  <c r="H87" i="14"/>
  <c r="D90" i="47" s="1"/>
  <c r="G90" i="47" s="1"/>
  <c r="M17" i="19"/>
  <c r="I15" i="19"/>
  <c r="E16" i="47" s="1"/>
  <c r="G15" i="47"/>
  <c r="G18" i="47" s="1"/>
  <c r="D18" i="47"/>
  <c r="D53" i="15"/>
  <c r="G53" i="15"/>
  <c r="D51" i="15"/>
  <c r="F113" i="14"/>
  <c r="E41" i="15"/>
  <c r="H16" i="14"/>
  <c r="G97" i="47" l="1"/>
  <c r="G104" i="47" s="1"/>
  <c r="G29" i="47"/>
  <c r="G88" i="14"/>
  <c r="F51" i="15" s="1"/>
  <c r="G51" i="15" s="1"/>
  <c r="F61" i="11"/>
  <c r="G91" i="47"/>
  <c r="H111" i="14"/>
  <c r="D104" i="47"/>
  <c r="C16" i="67"/>
  <c r="C18" i="67" s="1"/>
  <c r="C27" i="67" s="1"/>
  <c r="E13" i="67"/>
  <c r="E16" i="67" s="1"/>
  <c r="E18" i="67" s="1"/>
  <c r="E27" i="67" s="1"/>
  <c r="G27" i="14"/>
  <c r="F43" i="15" s="1"/>
  <c r="G43" i="15" s="1"/>
  <c r="D29" i="47"/>
  <c r="H27" i="14"/>
  <c r="J23" i="58"/>
  <c r="J32" i="58" s="1"/>
  <c r="J43" i="58" s="1"/>
  <c r="J45" i="58" s="1"/>
  <c r="D91" i="47"/>
  <c r="H88" i="14"/>
  <c r="N17" i="19"/>
  <c r="O17" i="19"/>
  <c r="E55" i="15"/>
  <c r="D41" i="15"/>
  <c r="G41" i="15"/>
  <c r="H110" i="12"/>
  <c r="D103" i="23" s="1"/>
  <c r="G103" i="23" s="1"/>
  <c r="H108" i="12"/>
  <c r="D101" i="23" s="1"/>
  <c r="G101" i="23" s="1"/>
  <c r="H107" i="12"/>
  <c r="D100" i="23" s="1"/>
  <c r="H106" i="12"/>
  <c r="D99" i="23" s="1"/>
  <c r="G99" i="23" s="1"/>
  <c r="H105" i="12"/>
  <c r="D98" i="23" s="1"/>
  <c r="G98" i="23" s="1"/>
  <c r="H103" i="12"/>
  <c r="D96" i="23" s="1"/>
  <c r="G96" i="23" s="1"/>
  <c r="H102" i="12"/>
  <c r="D95" i="23" s="1"/>
  <c r="H101" i="12"/>
  <c r="D94" i="23" s="1"/>
  <c r="G94" i="23" s="1"/>
  <c r="H86" i="12"/>
  <c r="D89" i="23" s="1"/>
  <c r="G89" i="23" s="1"/>
  <c r="H84" i="12"/>
  <c r="D87" i="23" s="1"/>
  <c r="G87" i="23" s="1"/>
  <c r="H83" i="12"/>
  <c r="D86" i="23" s="1"/>
  <c r="G86" i="23" s="1"/>
  <c r="H77" i="12"/>
  <c r="D80" i="23" s="1"/>
  <c r="G80" i="23" s="1"/>
  <c r="H76" i="12"/>
  <c r="D79" i="23" s="1"/>
  <c r="G79" i="23" s="1"/>
  <c r="H75" i="12"/>
  <c r="D78" i="23" s="1"/>
  <c r="G78" i="23" s="1"/>
  <c r="H70" i="12"/>
  <c r="D61" i="23" s="1"/>
  <c r="G61" i="23" s="1"/>
  <c r="H69" i="12"/>
  <c r="D60" i="23" s="1"/>
  <c r="G60" i="23" s="1"/>
  <c r="H68" i="12"/>
  <c r="D59" i="23" s="1"/>
  <c r="G59" i="23" s="1"/>
  <c r="H67" i="12"/>
  <c r="D58" i="23" s="1"/>
  <c r="G58" i="23" s="1"/>
  <c r="H66" i="12"/>
  <c r="D57" i="23" s="1"/>
  <c r="G57" i="23" s="1"/>
  <c r="H65" i="12"/>
  <c r="D56" i="23" s="1"/>
  <c r="G56" i="23" s="1"/>
  <c r="H64" i="12"/>
  <c r="D55" i="23" s="1"/>
  <c r="G55" i="23" s="1"/>
  <c r="H63" i="12"/>
  <c r="D54" i="23" s="1"/>
  <c r="G54" i="23" s="1"/>
  <c r="H58" i="12"/>
  <c r="D49" i="23" s="1"/>
  <c r="G49" i="23" s="1"/>
  <c r="H57" i="12"/>
  <c r="D48" i="23" s="1"/>
  <c r="G48" i="23" s="1"/>
  <c r="H56" i="12"/>
  <c r="D47" i="23" s="1"/>
  <c r="G47" i="23" s="1"/>
  <c r="H44" i="12"/>
  <c r="D46" i="23" s="1"/>
  <c r="G46" i="23" s="1"/>
  <c r="H43" i="12"/>
  <c r="D45" i="23" s="1"/>
  <c r="G45" i="23" s="1"/>
  <c r="H42" i="12"/>
  <c r="D44" i="23" s="1"/>
  <c r="G44" i="23" s="1"/>
  <c r="H41" i="12"/>
  <c r="D43" i="23" s="1"/>
  <c r="G43" i="23" s="1"/>
  <c r="H36" i="12"/>
  <c r="D38" i="23" s="1"/>
  <c r="G38" i="23" s="1"/>
  <c r="H35" i="12"/>
  <c r="D37" i="23" s="1"/>
  <c r="G37" i="23" s="1"/>
  <c r="H34" i="12"/>
  <c r="D36" i="23" s="1"/>
  <c r="G36" i="23" s="1"/>
  <c r="H33" i="12"/>
  <c r="D35" i="23" s="1"/>
  <c r="G35" i="23" s="1"/>
  <c r="H32" i="12"/>
  <c r="D34" i="23" s="1"/>
  <c r="G34" i="23" s="1"/>
  <c r="H31" i="12"/>
  <c r="D33" i="23" s="1"/>
  <c r="G33" i="23" s="1"/>
  <c r="H30" i="12"/>
  <c r="D32" i="23" s="1"/>
  <c r="G32" i="23" s="1"/>
  <c r="H23" i="12"/>
  <c r="D25" i="23" s="1"/>
  <c r="G25" i="23" s="1"/>
  <c r="H22" i="12"/>
  <c r="D24" i="23" s="1"/>
  <c r="H15" i="12"/>
  <c r="D17" i="23" s="1"/>
  <c r="G17" i="23" s="1"/>
  <c r="H14" i="12"/>
  <c r="D16" i="23" s="1"/>
  <c r="G16" i="23" s="1"/>
  <c r="H13" i="12"/>
  <c r="D15" i="23" s="1"/>
  <c r="A4" i="12"/>
  <c r="A92" i="12" s="1"/>
  <c r="A96" i="12"/>
  <c r="A94" i="12"/>
  <c r="A91" i="12"/>
  <c r="A52" i="12"/>
  <c r="A50" i="12"/>
  <c r="A47" i="12"/>
  <c r="A13" i="12"/>
  <c r="A14" i="12" s="1"/>
  <c r="A15" i="12" s="1"/>
  <c r="A16" i="12" s="1"/>
  <c r="A18" i="12" s="1"/>
  <c r="A19" i="12" s="1"/>
  <c r="A20" i="12" s="1"/>
  <c r="A7" i="12"/>
  <c r="A51" i="12" s="1"/>
  <c r="A2" i="12"/>
  <c r="A46" i="12" s="1"/>
  <c r="A1" i="12"/>
  <c r="A89" i="12" s="1"/>
  <c r="A39" i="11"/>
  <c r="A35" i="11"/>
  <c r="A34" i="11"/>
  <c r="A7" i="11"/>
  <c r="A38" i="11" s="1"/>
  <c r="A4" i="11"/>
  <c r="A2" i="11"/>
  <c r="A33" i="11" s="1"/>
  <c r="A1" i="11"/>
  <c r="A32" i="11" s="1"/>
  <c r="A45" i="10"/>
  <c r="A50" i="10"/>
  <c r="A46" i="10"/>
  <c r="A44" i="10"/>
  <c r="A8" i="10"/>
  <c r="A49" i="10" s="1"/>
  <c r="A5" i="10"/>
  <c r="A2" i="10"/>
  <c r="A43" i="10" s="1"/>
  <c r="A1" i="10"/>
  <c r="A42" i="10" s="1"/>
  <c r="A29" i="9"/>
  <c r="A25" i="9"/>
  <c r="A24" i="9"/>
  <c r="A7" i="9"/>
  <c r="A28" i="9" s="1"/>
  <c r="A4" i="9"/>
  <c r="A2" i="9"/>
  <c r="A23" i="9" s="1"/>
  <c r="A1" i="9"/>
  <c r="A22" i="9" s="1"/>
  <c r="A21" i="8"/>
  <c r="A17" i="8"/>
  <c r="A16" i="8"/>
  <c r="A7" i="8"/>
  <c r="A20" i="8" s="1"/>
  <c r="A4" i="8"/>
  <c r="A2" i="8"/>
  <c r="A15" i="8" s="1"/>
  <c r="A1" i="8"/>
  <c r="A14" i="8" s="1"/>
  <c r="A17" i="7"/>
  <c r="A21" i="7"/>
  <c r="A16" i="7"/>
  <c r="A4" i="7"/>
  <c r="A7" i="7"/>
  <c r="A20" i="7" s="1"/>
  <c r="A2" i="7"/>
  <c r="A15" i="7" s="1"/>
  <c r="A1" i="7"/>
  <c r="A14" i="7" s="1"/>
  <c r="I112" i="5"/>
  <c r="A102" i="5"/>
  <c r="A105" i="5"/>
  <c r="A107" i="5"/>
  <c r="A4" i="4"/>
  <c r="A4" i="5"/>
  <c r="A103" i="5" s="1"/>
  <c r="A58" i="5"/>
  <c r="A56" i="5"/>
  <c r="A53" i="5"/>
  <c r="A13" i="5"/>
  <c r="A14" i="5" s="1"/>
  <c r="A15" i="5" s="1"/>
  <c r="A16" i="5" s="1"/>
  <c r="A18" i="5" s="1"/>
  <c r="A19" i="5" s="1"/>
  <c r="A20" i="5" s="1"/>
  <c r="A7" i="5"/>
  <c r="A57" i="5" s="1"/>
  <c r="A2" i="5"/>
  <c r="A52" i="5" s="1"/>
  <c r="A1" i="5"/>
  <c r="A51" i="5" s="1"/>
  <c r="A96" i="4"/>
  <c r="A94" i="4"/>
  <c r="A91" i="4"/>
  <c r="A52" i="4"/>
  <c r="A50" i="4"/>
  <c r="A47" i="4"/>
  <c r="G106" i="47" l="1"/>
  <c r="G113" i="14"/>
  <c r="A95" i="12"/>
  <c r="F55" i="15"/>
  <c r="H113" i="14"/>
  <c r="D106" i="47"/>
  <c r="A90" i="12"/>
  <c r="J47" i="58"/>
  <c r="G55" i="15"/>
  <c r="F14" i="16" s="1"/>
  <c r="P17" i="19"/>
  <c r="F14" i="19" s="1"/>
  <c r="G14" i="19" s="1"/>
  <c r="G95" i="23"/>
  <c r="G40" i="23"/>
  <c r="G51" i="23"/>
  <c r="D18" i="23"/>
  <c r="G15" i="23"/>
  <c r="G18" i="23" s="1"/>
  <c r="A22" i="12"/>
  <c r="A21" i="12"/>
  <c r="A23" i="12" s="1"/>
  <c r="A24" i="12" s="1"/>
  <c r="A25" i="12" s="1"/>
  <c r="A26" i="12" s="1"/>
  <c r="A27" i="12" s="1"/>
  <c r="A29" i="12" s="1"/>
  <c r="A30" i="12" s="1"/>
  <c r="A31" i="12" s="1"/>
  <c r="A32" i="12" s="1"/>
  <c r="A33" i="12" s="1"/>
  <c r="A34" i="12" s="1"/>
  <c r="A35" i="12" s="1"/>
  <c r="A36" i="12" s="1"/>
  <c r="A37" i="12" s="1"/>
  <c r="A38" i="12" s="1"/>
  <c r="A40" i="12" s="1"/>
  <c r="A41" i="12" s="1"/>
  <c r="A42" i="12" s="1"/>
  <c r="A43" i="12" s="1"/>
  <c r="A44" i="12" s="1"/>
  <c r="A56" i="12" s="1"/>
  <c r="A57" i="12" s="1"/>
  <c r="A58" i="12" s="1"/>
  <c r="A59" i="12" s="1"/>
  <c r="A60" i="12" s="1"/>
  <c r="A62" i="12" s="1"/>
  <c r="A63" i="12" s="1"/>
  <c r="A64" i="12" s="1"/>
  <c r="A65" i="12" s="1"/>
  <c r="A66" i="12" s="1"/>
  <c r="A67" i="12" s="1"/>
  <c r="A68" i="12" s="1"/>
  <c r="A69" i="12" s="1"/>
  <c r="A70" i="12" s="1"/>
  <c r="A71" i="12" s="1"/>
  <c r="A72" i="12" s="1"/>
  <c r="A74" i="12" s="1"/>
  <c r="A75" i="12" s="1"/>
  <c r="A76" i="12" s="1"/>
  <c r="A77" i="12" s="1"/>
  <c r="A78" i="12" s="1"/>
  <c r="A79" i="12" s="1"/>
  <c r="A80" i="12" s="1"/>
  <c r="A81" i="12" s="1"/>
  <c r="A82" i="12" s="1"/>
  <c r="A83" i="12" s="1"/>
  <c r="A84" i="12" s="1"/>
  <c r="A85" i="12" s="1"/>
  <c r="A86" i="12" s="1"/>
  <c r="A87" i="12" s="1"/>
  <c r="A88" i="12" s="1"/>
  <c r="A100" i="12" s="1"/>
  <c r="A101" i="12" s="1"/>
  <c r="A102" i="12" s="1"/>
  <c r="A103" i="12" s="1"/>
  <c r="A104" i="12" s="1"/>
  <c r="A105" i="12" s="1"/>
  <c r="A106" i="12" s="1"/>
  <c r="A107" i="12" s="1"/>
  <c r="A108" i="12" s="1"/>
  <c r="A109" i="12" s="1"/>
  <c r="A110" i="12" s="1"/>
  <c r="A111" i="12" s="1"/>
  <c r="A113" i="12" s="1"/>
  <c r="F16" i="12"/>
  <c r="E13" i="15" s="1"/>
  <c r="F60" i="12"/>
  <c r="E19" i="15" s="1"/>
  <c r="A45" i="12"/>
  <c r="F38" i="12"/>
  <c r="E17" i="15" s="1"/>
  <c r="G16" i="12"/>
  <c r="F13" i="15" s="1"/>
  <c r="F27" i="12"/>
  <c r="E15" i="15" s="1"/>
  <c r="A48" i="12"/>
  <c r="F111" i="12"/>
  <c r="E25" i="15" s="1"/>
  <c r="A106" i="5"/>
  <c r="A101" i="5"/>
  <c r="A100" i="5"/>
  <c r="F38" i="5"/>
  <c r="A22" i="5"/>
  <c r="A21" i="5"/>
  <c r="A23" i="5" s="1"/>
  <c r="A24" i="5" s="1"/>
  <c r="A25" i="5" s="1"/>
  <c r="A26" i="5" s="1"/>
  <c r="A27" i="5" s="1"/>
  <c r="A29" i="5" s="1"/>
  <c r="A30" i="5" s="1"/>
  <c r="A31" i="5" s="1"/>
  <c r="A32" i="5" s="1"/>
  <c r="A33" i="5" s="1"/>
  <c r="A34" i="5" s="1"/>
  <c r="A35" i="5" s="1"/>
  <c r="A36" i="5" s="1"/>
  <c r="A37" i="5" s="1"/>
  <c r="A38" i="5" s="1"/>
  <c r="A40" i="5" s="1"/>
  <c r="A41" i="5" s="1"/>
  <c r="A42" i="5" s="1"/>
  <c r="A43" i="5" s="1"/>
  <c r="A44" i="5" s="1"/>
  <c r="A45" i="5" s="1"/>
  <c r="A46" i="5" s="1"/>
  <c r="A47" i="5" s="1"/>
  <c r="A48" i="5" s="1"/>
  <c r="A49" i="5" s="1"/>
  <c r="A62" i="5" s="1"/>
  <c r="A63" i="5" s="1"/>
  <c r="A64" i="5" s="1"/>
  <c r="A65" i="5" s="1"/>
  <c r="A66" i="5" s="1"/>
  <c r="A67" i="5" s="1"/>
  <c r="A68" i="5" s="1"/>
  <c r="A69" i="5" s="1"/>
  <c r="A70" i="5" s="1"/>
  <c r="A71" i="5" s="1"/>
  <c r="A72" i="5" s="1"/>
  <c r="A74" i="5" s="1"/>
  <c r="A75" i="5" s="1"/>
  <c r="A76" i="5" s="1"/>
  <c r="A77" i="5" s="1"/>
  <c r="A78" i="5" s="1"/>
  <c r="A79" i="5" s="1"/>
  <c r="A80" i="5" s="1"/>
  <c r="A81" i="5" s="1"/>
  <c r="A82" i="5" s="1"/>
  <c r="A83" i="5" s="1"/>
  <c r="A84" i="5" s="1"/>
  <c r="A85" i="5" s="1"/>
  <c r="A86" i="5" s="1"/>
  <c r="A87" i="5" s="1"/>
  <c r="A88" i="5" s="1"/>
  <c r="A90" i="5" s="1"/>
  <c r="A91" i="5" s="1"/>
  <c r="A92" i="5" s="1"/>
  <c r="A93" i="5" s="1"/>
  <c r="A94" i="5" s="1"/>
  <c r="A95" i="5" s="1"/>
  <c r="A96" i="5" s="1"/>
  <c r="A97" i="5" s="1"/>
  <c r="A98" i="5" s="1"/>
  <c r="A99" i="5" s="1"/>
  <c r="A111" i="5" s="1"/>
  <c r="A112" i="5" s="1"/>
  <c r="A114" i="5" s="1"/>
  <c r="H22" i="5"/>
  <c r="G16" i="5"/>
  <c r="A54" i="5"/>
  <c r="F13" i="67" l="1"/>
  <c r="G13" i="67" s="1"/>
  <c r="F16" i="19"/>
  <c r="G16" i="19" s="1"/>
  <c r="I16" i="19" s="1"/>
  <c r="E17" i="47" s="1"/>
  <c r="I14" i="19"/>
  <c r="H87" i="5"/>
  <c r="H32" i="5"/>
  <c r="F112" i="5"/>
  <c r="G112" i="5"/>
  <c r="E112" i="5"/>
  <c r="D112" i="5"/>
  <c r="H93" i="5"/>
  <c r="G13" i="15"/>
  <c r="F88" i="12"/>
  <c r="E23" i="15" s="1"/>
  <c r="F72" i="12"/>
  <c r="E21" i="15" s="1"/>
  <c r="H16" i="12"/>
  <c r="D27" i="5"/>
  <c r="H19" i="5"/>
  <c r="H21" i="5"/>
  <c r="H97" i="5"/>
  <c r="H41" i="5"/>
  <c r="H65" i="5"/>
  <c r="H95" i="5"/>
  <c r="H45" i="5"/>
  <c r="H69" i="5"/>
  <c r="H34" i="5"/>
  <c r="H82" i="5"/>
  <c r="H66" i="5"/>
  <c r="H80" i="5"/>
  <c r="H36" i="5"/>
  <c r="E49" i="5"/>
  <c r="F16" i="5"/>
  <c r="H26" i="5"/>
  <c r="H35" i="5"/>
  <c r="H79" i="5"/>
  <c r="H46" i="5"/>
  <c r="D49" i="5"/>
  <c r="H78" i="5"/>
  <c r="H68" i="5"/>
  <c r="G27" i="5"/>
  <c r="H63" i="5"/>
  <c r="H47" i="5"/>
  <c r="H37" i="5"/>
  <c r="H31" i="5"/>
  <c r="H98" i="5"/>
  <c r="H64" i="5"/>
  <c r="H42" i="5"/>
  <c r="H94" i="5"/>
  <c r="H81" i="5"/>
  <c r="H24" i="5"/>
  <c r="H99" i="5"/>
  <c r="G38" i="5"/>
  <c r="H111" i="5"/>
  <c r="H15" i="5"/>
  <c r="H48" i="5"/>
  <c r="G49" i="5"/>
  <c r="E27" i="5"/>
  <c r="H96" i="5"/>
  <c r="H33" i="5"/>
  <c r="H85" i="5"/>
  <c r="H77" i="5"/>
  <c r="F27" i="5"/>
  <c r="E38" i="5"/>
  <c r="H83" i="5"/>
  <c r="F72" i="5"/>
  <c r="E88" i="5"/>
  <c r="H67" i="5"/>
  <c r="H14" i="5"/>
  <c r="H92" i="5"/>
  <c r="G72" i="5"/>
  <c r="H71" i="5"/>
  <c r="H43" i="5"/>
  <c r="H25" i="5"/>
  <c r="H91" i="5"/>
  <c r="H23" i="5"/>
  <c r="H84" i="5"/>
  <c r="H20" i="5"/>
  <c r="D38" i="5"/>
  <c r="H30" i="5"/>
  <c r="D16" i="5"/>
  <c r="H13" i="5"/>
  <c r="G88" i="5"/>
  <c r="F49" i="5"/>
  <c r="E16" i="5"/>
  <c r="H76" i="5"/>
  <c r="E72" i="5"/>
  <c r="D88" i="5"/>
  <c r="H75" i="5"/>
  <c r="H70" i="5"/>
  <c r="H44" i="5"/>
  <c r="H86" i="5"/>
  <c r="F88" i="5"/>
  <c r="D72" i="5"/>
  <c r="G17" i="19" l="1"/>
  <c r="E15" i="47"/>
  <c r="E18" i="47" s="1"/>
  <c r="I17" i="19"/>
  <c r="H112" i="5"/>
  <c r="E27" i="15"/>
  <c r="F113" i="12"/>
  <c r="F114" i="5"/>
  <c r="H38" i="5"/>
  <c r="H72" i="5"/>
  <c r="I88" i="5"/>
  <c r="H27" i="5"/>
  <c r="G114" i="5"/>
  <c r="I72" i="5"/>
  <c r="H16" i="5"/>
  <c r="H49" i="5"/>
  <c r="H88" i="5"/>
  <c r="E114" i="5"/>
  <c r="D114" i="5"/>
  <c r="D117" i="5" s="1"/>
  <c r="H114" i="5" l="1"/>
  <c r="H117" i="5" s="1"/>
  <c r="I114" i="5"/>
  <c r="I117" i="5" s="1"/>
  <c r="E63" i="4" l="1"/>
  <c r="D23" i="4"/>
  <c r="A13" i="4"/>
  <c r="A14" i="4" s="1"/>
  <c r="A15" i="4" s="1"/>
  <c r="A16" i="4" s="1"/>
  <c r="A7" i="4"/>
  <c r="A2" i="4"/>
  <c r="A1" i="4"/>
  <c r="F56" i="4" l="1"/>
  <c r="F31" i="4"/>
  <c r="F101" i="4"/>
  <c r="G69" i="4"/>
  <c r="D85" i="4"/>
  <c r="F66" i="4"/>
  <c r="D35" i="4"/>
  <c r="F32" i="4"/>
  <c r="G83" i="4"/>
  <c r="E68" i="4"/>
  <c r="E66" i="4"/>
  <c r="E86" i="4"/>
  <c r="F82" i="4"/>
  <c r="E23" i="17"/>
  <c r="E112" i="17"/>
  <c r="E108" i="17"/>
  <c r="E104" i="17"/>
  <c r="E89" i="17"/>
  <c r="E85" i="17"/>
  <c r="E81" i="17"/>
  <c r="E77" i="17"/>
  <c r="E70" i="17"/>
  <c r="E66" i="17"/>
  <c r="E59" i="17"/>
  <c r="E42" i="17"/>
  <c r="E35" i="17"/>
  <c r="E31" i="17"/>
  <c r="E24" i="17"/>
  <c r="E16" i="17"/>
  <c r="E78" i="17"/>
  <c r="E60" i="17"/>
  <c r="E36" i="17"/>
  <c r="E20" i="17"/>
  <c r="E111" i="17"/>
  <c r="E107" i="17"/>
  <c r="E88" i="17"/>
  <c r="E84" i="17"/>
  <c r="E80" i="17"/>
  <c r="E73" i="17"/>
  <c r="E69" i="17"/>
  <c r="E65" i="17"/>
  <c r="E58" i="17"/>
  <c r="E45" i="17"/>
  <c r="E38" i="17"/>
  <c r="E34" i="17"/>
  <c r="E27" i="17"/>
  <c r="E22" i="17"/>
  <c r="E15" i="17"/>
  <c r="E109" i="17"/>
  <c r="E86" i="17"/>
  <c r="E71" i="17"/>
  <c r="E43" i="17"/>
  <c r="E25" i="17"/>
  <c r="E110" i="17"/>
  <c r="E106" i="17"/>
  <c r="E87" i="17"/>
  <c r="E83" i="17"/>
  <c r="E79" i="17"/>
  <c r="E72" i="17"/>
  <c r="E68" i="17"/>
  <c r="E61" i="17"/>
  <c r="E44" i="17"/>
  <c r="E37" i="17"/>
  <c r="E33" i="17"/>
  <c r="E26" i="17"/>
  <c r="E21" i="17"/>
  <c r="E14" i="17"/>
  <c r="E113" i="17"/>
  <c r="E105" i="17"/>
  <c r="E82" i="17"/>
  <c r="E67" i="17"/>
  <c r="E32" i="17"/>
  <c r="G110" i="4"/>
  <c r="G109" i="4"/>
  <c r="G108" i="4"/>
  <c r="G107" i="4"/>
  <c r="G106" i="4"/>
  <c r="G105" i="4"/>
  <c r="G104" i="4"/>
  <c r="G103" i="4"/>
  <c r="G102" i="4"/>
  <c r="F85" i="4"/>
  <c r="F81" i="4"/>
  <c r="F77" i="4"/>
  <c r="D71" i="4"/>
  <c r="D67" i="4"/>
  <c r="D63" i="4"/>
  <c r="D34" i="4"/>
  <c r="D30" i="4"/>
  <c r="F110" i="4"/>
  <c r="F109" i="4"/>
  <c r="F108" i="4"/>
  <c r="F107" i="4"/>
  <c r="F106" i="4"/>
  <c r="F105" i="4"/>
  <c r="F104" i="4"/>
  <c r="F103" i="4"/>
  <c r="G101" i="4"/>
  <c r="F84" i="4"/>
  <c r="F80" i="4"/>
  <c r="F76" i="4"/>
  <c r="D70" i="4"/>
  <c r="D66" i="4"/>
  <c r="D37" i="4"/>
  <c r="D33" i="4"/>
  <c r="E110" i="4"/>
  <c r="E109" i="4"/>
  <c r="E108" i="4"/>
  <c r="E107" i="4"/>
  <c r="E106" i="4"/>
  <c r="E105" i="4"/>
  <c r="E104" i="4"/>
  <c r="E103" i="4"/>
  <c r="F87" i="4"/>
  <c r="F83" i="4"/>
  <c r="F79" i="4"/>
  <c r="D75" i="4"/>
  <c r="D69" i="4"/>
  <c r="D65" i="4"/>
  <c r="G36" i="4"/>
  <c r="G32" i="4"/>
  <c r="D110" i="4"/>
  <c r="D109" i="4"/>
  <c r="D108" i="4"/>
  <c r="D107" i="4"/>
  <c r="D106" i="4"/>
  <c r="D105" i="4"/>
  <c r="D104" i="4"/>
  <c r="D103" i="4"/>
  <c r="D86" i="4"/>
  <c r="D82" i="4"/>
  <c r="D78" i="4"/>
  <c r="E64" i="4"/>
  <c r="F68" i="4"/>
  <c r="F64" i="4"/>
  <c r="G35" i="4"/>
  <c r="G31" i="4"/>
  <c r="F42" i="4"/>
  <c r="G57" i="4"/>
  <c r="G34" i="4"/>
  <c r="F35" i="4"/>
  <c r="F30" i="4"/>
  <c r="E30" i="4"/>
  <c r="D102" i="4"/>
  <c r="E87" i="4"/>
  <c r="E81" i="4"/>
  <c r="E76" i="4"/>
  <c r="G67" i="4"/>
  <c r="E35" i="4"/>
  <c r="E102" i="4"/>
  <c r="D84" i="4"/>
  <c r="D79" i="4"/>
  <c r="F70" i="4"/>
  <c r="F65" i="4"/>
  <c r="E31" i="4"/>
  <c r="G87" i="4"/>
  <c r="F75" i="4"/>
  <c r="D101" i="4"/>
  <c r="G80" i="4"/>
  <c r="G64" i="4"/>
  <c r="F86" i="4"/>
  <c r="G78" i="4"/>
  <c r="E69" i="4"/>
  <c r="F41" i="4"/>
  <c r="F37" i="4"/>
  <c r="E32" i="4"/>
  <c r="E77" i="4"/>
  <c r="G81" i="4"/>
  <c r="F71" i="4"/>
  <c r="F78" i="4"/>
  <c r="G43" i="4"/>
  <c r="F58" i="4"/>
  <c r="G33" i="4"/>
  <c r="F34" i="4"/>
  <c r="E37" i="4"/>
  <c r="G77" i="4"/>
  <c r="E85" i="4"/>
  <c r="E80" i="4"/>
  <c r="G71" i="4"/>
  <c r="G66" i="4"/>
  <c r="D32" i="4"/>
  <c r="E101" i="4"/>
  <c r="D83" i="4"/>
  <c r="D77" i="4"/>
  <c r="F69" i="4"/>
  <c r="F63" i="4"/>
  <c r="E71" i="4"/>
  <c r="G84" i="4"/>
  <c r="G68" i="4"/>
  <c r="G76" i="4"/>
  <c r="E78" i="4"/>
  <c r="D31" i="4"/>
  <c r="G79" i="4"/>
  <c r="G82" i="4"/>
  <c r="D64" i="4"/>
  <c r="G37" i="4"/>
  <c r="E33" i="4"/>
  <c r="E83" i="4"/>
  <c r="G63" i="4"/>
  <c r="D80" i="4"/>
  <c r="P8" i="66"/>
  <c r="P69" i="66" s="1"/>
  <c r="J8" i="63"/>
  <c r="J8" i="64"/>
  <c r="J8" i="47"/>
  <c r="G8" i="40"/>
  <c r="G26" i="40" s="1"/>
  <c r="P8" i="31"/>
  <c r="P69" i="31" s="1"/>
  <c r="G8" i="25"/>
  <c r="G34" i="25" s="1"/>
  <c r="H8" i="28"/>
  <c r="H29" i="28" s="1"/>
  <c r="E8" i="26"/>
  <c r="E33" i="26" s="1"/>
  <c r="J8" i="23"/>
  <c r="J8" i="20"/>
  <c r="J33" i="20" s="1"/>
  <c r="I8" i="19"/>
  <c r="H8" i="18"/>
  <c r="H38" i="18" s="1"/>
  <c r="I8" i="17"/>
  <c r="F9" i="16"/>
  <c r="F8" i="69"/>
  <c r="G8" i="68"/>
  <c r="G8" i="67"/>
  <c r="F8" i="30"/>
  <c r="E9" i="33"/>
  <c r="F44" i="4"/>
  <c r="F59" i="4"/>
  <c r="G30" i="4"/>
  <c r="F33" i="4"/>
  <c r="E34" i="4"/>
  <c r="D36" i="4"/>
  <c r="F102" i="4"/>
  <c r="E84" i="4"/>
  <c r="E79" i="4"/>
  <c r="G70" i="4"/>
  <c r="G65" i="4"/>
  <c r="G85" i="4"/>
  <c r="D87" i="4"/>
  <c r="D81" i="4"/>
  <c r="D76" i="4"/>
  <c r="F67" i="4"/>
  <c r="F36" i="4"/>
  <c r="E67" i="4"/>
  <c r="E82" i="4"/>
  <c r="E65" i="4"/>
  <c r="G86" i="4"/>
  <c r="E75" i="4"/>
  <c r="E70" i="4"/>
  <c r="D68" i="4"/>
  <c r="G75" i="4"/>
  <c r="E36" i="4"/>
  <c r="G8" i="15"/>
  <c r="G36" i="15" s="1"/>
  <c r="H8" i="14"/>
  <c r="I8" i="7"/>
  <c r="I21" i="7" s="1"/>
  <c r="I8" i="5"/>
  <c r="H8" i="12"/>
  <c r="H8" i="11"/>
  <c r="H39" i="11" s="1"/>
  <c r="K9" i="10"/>
  <c r="K50" i="10" s="1"/>
  <c r="N8" i="9"/>
  <c r="N29" i="9" s="1"/>
  <c r="H8" i="8"/>
  <c r="H21" i="8" s="1"/>
  <c r="H8" i="4"/>
  <c r="H96" i="4" s="1"/>
  <c r="A89" i="4"/>
  <c r="A45" i="4"/>
  <c r="A95" i="4"/>
  <c r="A51" i="4"/>
  <c r="A90" i="4"/>
  <c r="A46" i="4"/>
  <c r="A92" i="4"/>
  <c r="A48" i="4"/>
  <c r="A18" i="4"/>
  <c r="A19" i="4" s="1"/>
  <c r="A20" i="4" s="1"/>
  <c r="D58" i="4"/>
  <c r="G58" i="4"/>
  <c r="G42" i="4"/>
  <c r="G59" i="4"/>
  <c r="D44" i="4"/>
  <c r="D41" i="4"/>
  <c r="E44" i="4"/>
  <c r="D59" i="4"/>
  <c r="G41" i="4"/>
  <c r="G44" i="4"/>
  <c r="E59" i="4"/>
  <c r="G56" i="4"/>
  <c r="D56" i="4"/>
  <c r="E41" i="4"/>
  <c r="E42" i="4"/>
  <c r="D42" i="4"/>
  <c r="E56" i="4"/>
  <c r="E58" i="4"/>
  <c r="D43" i="4"/>
  <c r="E43" i="4"/>
  <c r="F43" i="4"/>
  <c r="E57" i="4"/>
  <c r="F57" i="4"/>
  <c r="D57" i="4"/>
  <c r="D22" i="4"/>
  <c r="D20" i="4"/>
  <c r="E22" i="4"/>
  <c r="F14" i="4"/>
  <c r="D19" i="4"/>
  <c r="F22" i="4"/>
  <c r="G22" i="4"/>
  <c r="D26" i="4"/>
  <c r="G15" i="4"/>
  <c r="D21" i="4"/>
  <c r="D24" i="4"/>
  <c r="F13" i="4"/>
  <c r="E25" i="4"/>
  <c r="G14" i="4"/>
  <c r="E19" i="4"/>
  <c r="E26" i="4"/>
  <c r="D25" i="4"/>
  <c r="G26" i="4"/>
  <c r="D14" i="4"/>
  <c r="E20" i="4"/>
  <c r="E21" i="4"/>
  <c r="E23" i="4"/>
  <c r="E24" i="4"/>
  <c r="E13" i="4"/>
  <c r="D13" i="4"/>
  <c r="D15" i="4"/>
  <c r="G13" i="4"/>
  <c r="E15" i="4"/>
  <c r="F19" i="4"/>
  <c r="F20" i="4"/>
  <c r="F21" i="4"/>
  <c r="F23" i="4"/>
  <c r="F24" i="4"/>
  <c r="F25" i="4"/>
  <c r="F26" i="4"/>
  <c r="E14" i="4"/>
  <c r="F15" i="4"/>
  <c r="G19" i="4"/>
  <c r="G20" i="4"/>
  <c r="G21" i="4"/>
  <c r="G23" i="4"/>
  <c r="G24" i="4"/>
  <c r="G25" i="4"/>
  <c r="J288" i="64" l="1"/>
  <c r="J344" i="64"/>
  <c r="K19" i="18"/>
  <c r="K20" i="18" s="1"/>
  <c r="H86" i="4"/>
  <c r="D86" i="12" s="1"/>
  <c r="E86" i="12" s="1"/>
  <c r="H87" i="4"/>
  <c r="D87" i="12" s="1"/>
  <c r="H106" i="4"/>
  <c r="D106" i="12" s="1"/>
  <c r="H110" i="4"/>
  <c r="D110" i="12" s="1"/>
  <c r="D113" i="17" s="1"/>
  <c r="H32" i="4"/>
  <c r="D32" i="12" s="1"/>
  <c r="D33" i="17" s="1"/>
  <c r="H68" i="4"/>
  <c r="D68" i="12" s="1"/>
  <c r="D70" i="17" s="1"/>
  <c r="H65" i="4"/>
  <c r="D65" i="12" s="1"/>
  <c r="D67" i="17" s="1"/>
  <c r="H105" i="4"/>
  <c r="D105" i="12" s="1"/>
  <c r="E105" i="12" s="1"/>
  <c r="F28" i="11" s="1"/>
  <c r="H109" i="4"/>
  <c r="D109" i="12" s="1"/>
  <c r="D112" i="17" s="1"/>
  <c r="G38" i="4"/>
  <c r="F72" i="4"/>
  <c r="H85" i="4"/>
  <c r="D85" i="12" s="1"/>
  <c r="E85" i="12" s="1"/>
  <c r="H33" i="4"/>
  <c r="D33" i="12" s="1"/>
  <c r="D34" i="17" s="1"/>
  <c r="H71" i="4"/>
  <c r="D71" i="12" s="1"/>
  <c r="H30" i="4"/>
  <c r="D30" i="12" s="1"/>
  <c r="D31" i="17" s="1"/>
  <c r="H70" i="4"/>
  <c r="D70" i="12" s="1"/>
  <c r="D72" i="17" s="1"/>
  <c r="H101" i="4"/>
  <c r="D101" i="12" s="1"/>
  <c r="D104" i="17" s="1"/>
  <c r="H76" i="4"/>
  <c r="D76" i="12" s="1"/>
  <c r="E76" i="12" s="1"/>
  <c r="G72" i="4"/>
  <c r="H83" i="4"/>
  <c r="D83" i="12" s="1"/>
  <c r="D85" i="17" s="1"/>
  <c r="H69" i="4"/>
  <c r="D69" i="12" s="1"/>
  <c r="D71" i="17" s="1"/>
  <c r="H82" i="4"/>
  <c r="D82" i="12" s="1"/>
  <c r="D84" i="17" s="1"/>
  <c r="H63" i="4"/>
  <c r="D63" i="12" s="1"/>
  <c r="E63" i="12" s="1"/>
  <c r="E111" i="4"/>
  <c r="G88" i="4"/>
  <c r="F38" i="4"/>
  <c r="E88" i="4"/>
  <c r="H80" i="4"/>
  <c r="D80" i="12" s="1"/>
  <c r="E80" i="12" s="1"/>
  <c r="E23" i="11" s="1"/>
  <c r="F23" i="11" s="1"/>
  <c r="G80" i="12" s="1"/>
  <c r="H80" i="12" s="1"/>
  <c r="D83" i="23" s="1"/>
  <c r="G83" i="23" s="1"/>
  <c r="H31" i="4"/>
  <c r="D31" i="12" s="1"/>
  <c r="D32" i="17" s="1"/>
  <c r="H84" i="4"/>
  <c r="D84" i="12" s="1"/>
  <c r="E84" i="12" s="1"/>
  <c r="D88" i="4"/>
  <c r="H66" i="4"/>
  <c r="D66" i="12" s="1"/>
  <c r="E66" i="12" s="1"/>
  <c r="H81" i="4"/>
  <c r="D81" i="12" s="1"/>
  <c r="D83" i="17" s="1"/>
  <c r="H64" i="4"/>
  <c r="D64" i="12" s="1"/>
  <c r="D66" i="17" s="1"/>
  <c r="D111" i="4"/>
  <c r="H78" i="4"/>
  <c r="D78" i="12" s="1"/>
  <c r="E78" i="12" s="1"/>
  <c r="E21" i="11" s="1"/>
  <c r="F21" i="11" s="1"/>
  <c r="G78" i="12" s="1"/>
  <c r="H78" i="12" s="1"/>
  <c r="D81" i="23" s="1"/>
  <c r="G81" i="23" s="1"/>
  <c r="H104" i="4"/>
  <c r="D104" i="12" s="1"/>
  <c r="D107" i="17" s="1"/>
  <c r="H108" i="4"/>
  <c r="D108" i="12" s="1"/>
  <c r="H37" i="4"/>
  <c r="D37" i="12" s="1"/>
  <c r="F111" i="4"/>
  <c r="H34" i="4"/>
  <c r="D34" i="12" s="1"/>
  <c r="D35" i="17" s="1"/>
  <c r="D72" i="4"/>
  <c r="H79" i="4"/>
  <c r="D79" i="12" s="1"/>
  <c r="E79" i="12" s="1"/>
  <c r="E22" i="11" s="1"/>
  <c r="F22" i="11" s="1"/>
  <c r="G79" i="12" s="1"/>
  <c r="H79" i="12" s="1"/>
  <c r="D82" i="23" s="1"/>
  <c r="G82" i="23" s="1"/>
  <c r="E72" i="4"/>
  <c r="E109" i="12"/>
  <c r="H77" i="4"/>
  <c r="D77" i="12" s="1"/>
  <c r="E77" i="12" s="1"/>
  <c r="H36" i="4"/>
  <c r="D36" i="12" s="1"/>
  <c r="E36" i="12" s="1"/>
  <c r="H75" i="4"/>
  <c r="D75" i="12" s="1"/>
  <c r="H67" i="4"/>
  <c r="D67" i="12" s="1"/>
  <c r="D69" i="17" s="1"/>
  <c r="E38" i="4"/>
  <c r="F88" i="4"/>
  <c r="H35" i="4"/>
  <c r="D35" i="12" s="1"/>
  <c r="D36" i="17" s="1"/>
  <c r="D38" i="4"/>
  <c r="H102" i="4"/>
  <c r="D102" i="12" s="1"/>
  <c r="D105" i="17" s="1"/>
  <c r="F129" i="69"/>
  <c r="F68" i="69"/>
  <c r="F190" i="69"/>
  <c r="I98" i="19"/>
  <c r="I53" i="19"/>
  <c r="E17" i="17"/>
  <c r="E39" i="17"/>
  <c r="O39" i="17" s="1"/>
  <c r="P39" i="17" s="1"/>
  <c r="J64" i="63"/>
  <c r="J176" i="63"/>
  <c r="J120" i="63"/>
  <c r="F190" i="30"/>
  <c r="F68" i="30"/>
  <c r="F129" i="30"/>
  <c r="J71" i="47"/>
  <c r="G111" i="4"/>
  <c r="I98" i="17"/>
  <c r="I53" i="17"/>
  <c r="J71" i="23"/>
  <c r="J64" i="64"/>
  <c r="J120" i="64"/>
  <c r="J232" i="64"/>
  <c r="J176" i="64"/>
  <c r="H103" i="4"/>
  <c r="D103" i="12" s="1"/>
  <c r="H107" i="4"/>
  <c r="D107" i="12" s="1"/>
  <c r="D110" i="17" s="1"/>
  <c r="E74" i="17"/>
  <c r="O74" i="17" s="1"/>
  <c r="P74" i="17" s="1"/>
  <c r="E28" i="17"/>
  <c r="O28" i="17" s="1"/>
  <c r="P28" i="17" s="1"/>
  <c r="E62" i="17"/>
  <c r="O62" i="17" s="1"/>
  <c r="P62" i="17" s="1"/>
  <c r="E90" i="17"/>
  <c r="E114" i="17"/>
  <c r="O114" i="17" s="1"/>
  <c r="P114" i="17" s="1"/>
  <c r="F60" i="4"/>
  <c r="D60" i="4"/>
  <c r="E60" i="4"/>
  <c r="G60" i="4"/>
  <c r="H52" i="14"/>
  <c r="H96" i="14"/>
  <c r="H52" i="4"/>
  <c r="I107" i="5"/>
  <c r="I58" i="5"/>
  <c r="H52" i="12"/>
  <c r="H96" i="12"/>
  <c r="A21" i="4"/>
  <c r="A23" i="4" s="1"/>
  <c r="A24" i="4" s="1"/>
  <c r="A25" i="4" s="1"/>
  <c r="A26" i="4" s="1"/>
  <c r="A27" i="4" s="1"/>
  <c r="A22" i="4"/>
  <c r="H41" i="4"/>
  <c r="H44" i="4"/>
  <c r="D44" i="12" s="1"/>
  <c r="H58" i="4"/>
  <c r="D58" i="12" s="1"/>
  <c r="H59" i="4"/>
  <c r="D59" i="12" s="1"/>
  <c r="H42" i="4"/>
  <c r="D42" i="12" s="1"/>
  <c r="H56" i="4"/>
  <c r="D56" i="12" s="1"/>
  <c r="H43" i="4"/>
  <c r="D43" i="12" s="1"/>
  <c r="H57" i="4"/>
  <c r="D57" i="12" s="1"/>
  <c r="H22" i="4"/>
  <c r="D22" i="12" s="1"/>
  <c r="D23" i="17" s="1"/>
  <c r="D27" i="4"/>
  <c r="H14" i="4"/>
  <c r="D14" i="12" s="1"/>
  <c r="H20" i="4"/>
  <c r="D20" i="12" s="1"/>
  <c r="H26" i="4"/>
  <c r="D26" i="12" s="1"/>
  <c r="H25" i="4"/>
  <c r="D25" i="12" s="1"/>
  <c r="H24" i="4"/>
  <c r="D24" i="12" s="1"/>
  <c r="H21" i="4"/>
  <c r="D21" i="12" s="1"/>
  <c r="E27" i="4"/>
  <c r="F16" i="4"/>
  <c r="E16" i="4"/>
  <c r="D16" i="4"/>
  <c r="H13" i="4"/>
  <c r="D13" i="12" s="1"/>
  <c r="G16" i="4"/>
  <c r="H19" i="4"/>
  <c r="D19" i="12" s="1"/>
  <c r="H23" i="4"/>
  <c r="D23" i="12" s="1"/>
  <c r="H15" i="4"/>
  <c r="D15" i="12" s="1"/>
  <c r="G27" i="4"/>
  <c r="F27" i="4"/>
  <c r="G85" i="12" l="1"/>
  <c r="H85" i="12" s="1"/>
  <c r="D88" i="23" s="1"/>
  <c r="G88" i="23" s="1"/>
  <c r="H18" i="59"/>
  <c r="H23" i="59" s="1"/>
  <c r="H32" i="59" s="1"/>
  <c r="H43" i="59" s="1"/>
  <c r="H47" i="59" s="1"/>
  <c r="D88" i="17"/>
  <c r="E32" i="12"/>
  <c r="E104" i="12"/>
  <c r="E27" i="11" s="1"/>
  <c r="F27" i="11" s="1"/>
  <c r="G109" i="12"/>
  <c r="H109" i="12" s="1"/>
  <c r="D102" i="23" s="1"/>
  <c r="G102" i="23" s="1"/>
  <c r="D61" i="17"/>
  <c r="D30" i="11"/>
  <c r="D13" i="68" s="1"/>
  <c r="E59" i="12"/>
  <c r="E19" i="11" s="1"/>
  <c r="E87" i="12"/>
  <c r="E26" i="11" s="1"/>
  <c r="F26" i="11" s="1"/>
  <c r="G87" i="12" s="1"/>
  <c r="E65" i="12"/>
  <c r="G104" i="12"/>
  <c r="H104" i="12" s="1"/>
  <c r="G82" i="12"/>
  <c r="H82" i="12" s="1"/>
  <c r="D85" i="23" s="1"/>
  <c r="G85" i="23" s="1"/>
  <c r="E71" i="12"/>
  <c r="E20" i="11" s="1"/>
  <c r="F20" i="11" s="1"/>
  <c r="G71" i="12" s="1"/>
  <c r="E68" i="12"/>
  <c r="D86" i="17"/>
  <c r="D89" i="17"/>
  <c r="D78" i="17"/>
  <c r="D73" i="17"/>
  <c r="D65" i="17"/>
  <c r="D79" i="17"/>
  <c r="E30" i="12"/>
  <c r="D109" i="17"/>
  <c r="E106" i="12"/>
  <c r="D87" i="17"/>
  <c r="E70" i="12"/>
  <c r="D38" i="17"/>
  <c r="D68" i="17"/>
  <c r="D82" i="17"/>
  <c r="D80" i="17"/>
  <c r="E83" i="12"/>
  <c r="E35" i="12"/>
  <c r="D108" i="17"/>
  <c r="E33" i="12"/>
  <c r="E69" i="12"/>
  <c r="E101" i="12"/>
  <c r="E31" i="12"/>
  <c r="E34" i="12"/>
  <c r="E81" i="12"/>
  <c r="E24" i="11" s="1"/>
  <c r="F24" i="11" s="1"/>
  <c r="G81" i="12" s="1"/>
  <c r="H81" i="12" s="1"/>
  <c r="D84" i="23" s="1"/>
  <c r="G84" i="23" s="1"/>
  <c r="E67" i="12"/>
  <c r="D72" i="12"/>
  <c r="C21" i="15" s="1"/>
  <c r="D21" i="15" s="1"/>
  <c r="H88" i="4"/>
  <c r="E64" i="12"/>
  <c r="E82" i="12"/>
  <c r="H72" i="4"/>
  <c r="D38" i="12"/>
  <c r="C17" i="15" s="1"/>
  <c r="D17" i="15" s="1"/>
  <c r="D37" i="17"/>
  <c r="D39" i="17" s="1"/>
  <c r="E37" i="12"/>
  <c r="E18" i="11" s="1"/>
  <c r="F18" i="11" s="1"/>
  <c r="G37" i="12" s="1"/>
  <c r="D81" i="17"/>
  <c r="E108" i="12"/>
  <c r="E110" i="12" s="1"/>
  <c r="D111" i="17"/>
  <c r="H38" i="4"/>
  <c r="F110" i="17"/>
  <c r="G110" i="17" s="1"/>
  <c r="I110" i="17" s="1"/>
  <c r="E100" i="23" s="1"/>
  <c r="F104" i="17"/>
  <c r="G104" i="17" s="1"/>
  <c r="F109" i="17"/>
  <c r="G109" i="17" s="1"/>
  <c r="I109" i="17" s="1"/>
  <c r="E99" i="23" s="1"/>
  <c r="F113" i="17"/>
  <c r="G113" i="17" s="1"/>
  <c r="I113" i="17" s="1"/>
  <c r="E103" i="23" s="1"/>
  <c r="F106" i="17"/>
  <c r="G106" i="17" s="1"/>
  <c r="I106" i="17" s="1"/>
  <c r="E96" i="23" s="1"/>
  <c r="F111" i="17"/>
  <c r="G111" i="17" s="1"/>
  <c r="I111" i="17" s="1"/>
  <c r="E101" i="23" s="1"/>
  <c r="F105" i="17"/>
  <c r="G105" i="17" s="1"/>
  <c r="I105" i="17" s="1"/>
  <c r="E95" i="23" s="1"/>
  <c r="F112" i="17"/>
  <c r="G112" i="17" s="1"/>
  <c r="I112" i="17" s="1"/>
  <c r="E102" i="23" s="1"/>
  <c r="F107" i="17"/>
  <c r="F108" i="17"/>
  <c r="G108" i="17" s="1"/>
  <c r="I108" i="17" s="1"/>
  <c r="E98" i="23" s="1"/>
  <c r="F37" i="17"/>
  <c r="G37" i="17" s="1"/>
  <c r="I37" i="17" s="1"/>
  <c r="E38" i="23" s="1"/>
  <c r="F38" i="17"/>
  <c r="F32" i="17"/>
  <c r="G32" i="17" s="1"/>
  <c r="I32" i="17" s="1"/>
  <c r="E33" i="23" s="1"/>
  <c r="F33" i="17"/>
  <c r="G33" i="17" s="1"/>
  <c r="I33" i="17" s="1"/>
  <c r="E34" i="23" s="1"/>
  <c r="F34" i="17"/>
  <c r="G34" i="17" s="1"/>
  <c r="I34" i="17" s="1"/>
  <c r="E35" i="23" s="1"/>
  <c r="F35" i="17"/>
  <c r="G35" i="17" s="1"/>
  <c r="I35" i="17" s="1"/>
  <c r="E36" i="23" s="1"/>
  <c r="F36" i="17"/>
  <c r="G36" i="17" s="1"/>
  <c r="I36" i="17" s="1"/>
  <c r="E37" i="23" s="1"/>
  <c r="F31" i="17"/>
  <c r="G31" i="17" s="1"/>
  <c r="I31" i="17" s="1"/>
  <c r="E102" i="12"/>
  <c r="F60" i="17"/>
  <c r="G60" i="17" s="1"/>
  <c r="I60" i="17" s="1"/>
  <c r="E49" i="23" s="1"/>
  <c r="F42" i="17"/>
  <c r="G42" i="17" s="1"/>
  <c r="F45" i="17"/>
  <c r="G45" i="17" s="1"/>
  <c r="I45" i="17" s="1"/>
  <c r="E46" i="23" s="1"/>
  <c r="F61" i="17"/>
  <c r="F44" i="17"/>
  <c r="G44" i="17" s="1"/>
  <c r="I44" i="17" s="1"/>
  <c r="E45" i="23" s="1"/>
  <c r="F43" i="17"/>
  <c r="G43" i="17" s="1"/>
  <c r="I43" i="17" s="1"/>
  <c r="E44" i="23" s="1"/>
  <c r="F59" i="17"/>
  <c r="G59" i="17" s="1"/>
  <c r="I59" i="17" s="1"/>
  <c r="E48" i="23" s="1"/>
  <c r="F58" i="17"/>
  <c r="G58" i="17" s="1"/>
  <c r="I58" i="17" s="1"/>
  <c r="E47" i="23" s="1"/>
  <c r="D29" i="18"/>
  <c r="D15" i="68" s="1"/>
  <c r="E116" i="17"/>
  <c r="F72" i="17"/>
  <c r="G72" i="17" s="1"/>
  <c r="I72" i="17" s="1"/>
  <c r="E61" i="23" s="1"/>
  <c r="F73" i="17"/>
  <c r="F68" i="17"/>
  <c r="G68" i="17" s="1"/>
  <c r="I68" i="17" s="1"/>
  <c r="E57" i="23" s="1"/>
  <c r="F69" i="17"/>
  <c r="G69" i="17" s="1"/>
  <c r="I69" i="17" s="1"/>
  <c r="E58" i="23" s="1"/>
  <c r="F70" i="17"/>
  <c r="G70" i="17" s="1"/>
  <c r="I70" i="17" s="1"/>
  <c r="E59" i="23" s="1"/>
  <c r="F71" i="17"/>
  <c r="G71" i="17" s="1"/>
  <c r="I71" i="17" s="1"/>
  <c r="E60" i="23" s="1"/>
  <c r="F65" i="17"/>
  <c r="G65" i="17" s="1"/>
  <c r="I65" i="17" s="1"/>
  <c r="F66" i="17"/>
  <c r="G66" i="17" s="1"/>
  <c r="I66" i="17" s="1"/>
  <c r="E55" i="23" s="1"/>
  <c r="F67" i="17"/>
  <c r="G67" i="17" s="1"/>
  <c r="I67" i="17" s="1"/>
  <c r="E56" i="23" s="1"/>
  <c r="H111" i="4"/>
  <c r="D111" i="12"/>
  <c r="C25" i="15" s="1"/>
  <c r="D25" i="15" s="1"/>
  <c r="F25" i="17"/>
  <c r="F26" i="17"/>
  <c r="F23" i="17"/>
  <c r="G23" i="17" s="1"/>
  <c r="I23" i="17" s="1"/>
  <c r="E24" i="23" s="1"/>
  <c r="F20" i="17"/>
  <c r="G20" i="17" s="1"/>
  <c r="F21" i="17"/>
  <c r="F22" i="17"/>
  <c r="F27" i="17"/>
  <c r="F24" i="17"/>
  <c r="G24" i="17" s="1"/>
  <c r="I24" i="17" s="1"/>
  <c r="E25" i="23" s="1"/>
  <c r="E103" i="12"/>
  <c r="D106" i="17"/>
  <c r="D77" i="17"/>
  <c r="E75" i="12"/>
  <c r="D88" i="12"/>
  <c r="C23" i="15" s="1"/>
  <c r="D23" i="15" s="1"/>
  <c r="D59" i="17"/>
  <c r="E57" i="12"/>
  <c r="D58" i="17"/>
  <c r="E56" i="12"/>
  <c r="D60" i="17"/>
  <c r="E58" i="12"/>
  <c r="F82" i="17"/>
  <c r="D16" i="17"/>
  <c r="E15" i="12"/>
  <c r="D14" i="17"/>
  <c r="E13" i="12"/>
  <c r="D16" i="12"/>
  <c r="D27" i="17"/>
  <c r="E26" i="12"/>
  <c r="E17" i="11" s="1"/>
  <c r="D45" i="17"/>
  <c r="E44" i="12"/>
  <c r="D24" i="17"/>
  <c r="E23" i="12"/>
  <c r="D22" i="17"/>
  <c r="E21" i="12"/>
  <c r="E14" i="11" s="1"/>
  <c r="D21" i="17"/>
  <c r="E20" i="12"/>
  <c r="E13" i="11" s="1"/>
  <c r="D43" i="17"/>
  <c r="E42" i="12"/>
  <c r="H60" i="4"/>
  <c r="D41" i="12"/>
  <c r="D20" i="17"/>
  <c r="E19" i="12"/>
  <c r="D27" i="12"/>
  <c r="C15" i="15" s="1"/>
  <c r="D15" i="15" s="1"/>
  <c r="E12" i="40" s="1"/>
  <c r="D25" i="17"/>
  <c r="E24" i="12"/>
  <c r="E15" i="11" s="1"/>
  <c r="D15" i="17"/>
  <c r="E14" i="12"/>
  <c r="F15" i="17" s="1"/>
  <c r="G15" i="17" s="1"/>
  <c r="D44" i="17"/>
  <c r="E43" i="12"/>
  <c r="D26" i="17"/>
  <c r="E25" i="12"/>
  <c r="E16" i="11" s="1"/>
  <c r="A29" i="4"/>
  <c r="A30" i="4" s="1"/>
  <c r="A31" i="4" s="1"/>
  <c r="A32" i="4" s="1"/>
  <c r="A33" i="4" s="1"/>
  <c r="A34" i="4" s="1"/>
  <c r="A35" i="4" s="1"/>
  <c r="A36" i="4" s="1"/>
  <c r="A37" i="4" s="1"/>
  <c r="A38" i="4" s="1"/>
  <c r="D113" i="4"/>
  <c r="D117" i="4" s="1"/>
  <c r="E113" i="4"/>
  <c r="G113" i="4"/>
  <c r="F113" i="4"/>
  <c r="H16" i="4"/>
  <c r="H27" i="4"/>
  <c r="K18" i="11" l="1"/>
  <c r="K19" i="11" s="1"/>
  <c r="F89" i="17"/>
  <c r="E25" i="18" s="1"/>
  <c r="F25" i="18" s="1"/>
  <c r="H111" i="12"/>
  <c r="F19" i="11"/>
  <c r="G59" i="12" s="1"/>
  <c r="H59" i="12" s="1"/>
  <c r="G61" i="17"/>
  <c r="G62" i="17" s="1"/>
  <c r="E18" i="18"/>
  <c r="F18" i="18" s="1"/>
  <c r="H61" i="17" s="1"/>
  <c r="H62" i="17" s="1"/>
  <c r="G82" i="17"/>
  <c r="E22" i="18"/>
  <c r="F22" i="18" s="1"/>
  <c r="H82" i="17" s="1"/>
  <c r="G26" i="17"/>
  <c r="E15" i="18"/>
  <c r="F15" i="18" s="1"/>
  <c r="H26" i="17" s="1"/>
  <c r="F16" i="11"/>
  <c r="G25" i="12" s="1"/>
  <c r="H25" i="12" s="1"/>
  <c r="D27" i="23" s="1"/>
  <c r="G27" i="23" s="1"/>
  <c r="E12" i="11"/>
  <c r="F12" i="11" s="1"/>
  <c r="G111" i="12"/>
  <c r="F25" i="15" s="1"/>
  <c r="G25" i="15" s="1"/>
  <c r="D97" i="23"/>
  <c r="G97" i="23" s="1"/>
  <c r="G104" i="23" s="1"/>
  <c r="D74" i="17"/>
  <c r="D114" i="17"/>
  <c r="D90" i="17"/>
  <c r="D16" i="68"/>
  <c r="D18" i="68" s="1"/>
  <c r="D27" i="68" s="1"/>
  <c r="E12" i="18"/>
  <c r="F12" i="18" s="1"/>
  <c r="G21" i="17"/>
  <c r="E14" i="18"/>
  <c r="F14" i="18" s="1"/>
  <c r="H25" i="17" s="1"/>
  <c r="G25" i="17"/>
  <c r="E17" i="18"/>
  <c r="F17" i="18" s="1"/>
  <c r="H38" i="17" s="1"/>
  <c r="H39" i="17" s="1"/>
  <c r="G38" i="17"/>
  <c r="I20" i="17"/>
  <c r="C15" i="68"/>
  <c r="E15" i="68" s="1"/>
  <c r="R21" i="59"/>
  <c r="F14" i="11"/>
  <c r="G21" i="12" s="1"/>
  <c r="H21" i="12" s="1"/>
  <c r="D23" i="23" s="1"/>
  <c r="G23" i="23" s="1"/>
  <c r="F13" i="11"/>
  <c r="E16" i="18"/>
  <c r="F16" i="18" s="1"/>
  <c r="H27" i="17" s="1"/>
  <c r="G27" i="17"/>
  <c r="E54" i="23"/>
  <c r="I42" i="17"/>
  <c r="E32" i="23"/>
  <c r="I104" i="17"/>
  <c r="F15" i="11"/>
  <c r="G24" i="12" s="1"/>
  <c r="H24" i="12" s="1"/>
  <c r="D26" i="23" s="1"/>
  <c r="G26" i="23" s="1"/>
  <c r="E13" i="18"/>
  <c r="F13" i="18" s="1"/>
  <c r="H22" i="17" s="1"/>
  <c r="G22" i="17"/>
  <c r="E19" i="18"/>
  <c r="F19" i="18" s="1"/>
  <c r="H73" i="17" s="1"/>
  <c r="H74" i="17" s="1"/>
  <c r="G73" i="17"/>
  <c r="E26" i="18"/>
  <c r="F26" i="18" s="1"/>
  <c r="G107" i="17"/>
  <c r="G114" i="17" s="1"/>
  <c r="I14" i="20"/>
  <c r="J14" i="20" s="1"/>
  <c r="E17" i="40"/>
  <c r="G72" i="12"/>
  <c r="F21" i="15" s="1"/>
  <c r="G21" i="15" s="1"/>
  <c r="H71" i="12"/>
  <c r="H72" i="12" s="1"/>
  <c r="F17" i="11"/>
  <c r="D28" i="17"/>
  <c r="H87" i="12"/>
  <c r="G88" i="12"/>
  <c r="F23" i="15" s="1"/>
  <c r="G23" i="15" s="1"/>
  <c r="C13" i="15"/>
  <c r="D42" i="17"/>
  <c r="D62" i="17" s="1"/>
  <c r="E41" i="12"/>
  <c r="D60" i="12"/>
  <c r="C19" i="15" s="1"/>
  <c r="D19" i="15" s="1"/>
  <c r="M17" i="17"/>
  <c r="I15" i="17"/>
  <c r="E16" i="23" s="1"/>
  <c r="D17" i="17"/>
  <c r="H37" i="12"/>
  <c r="G38" i="12"/>
  <c r="F17" i="15" s="1"/>
  <c r="G17" i="15" s="1"/>
  <c r="A40" i="4"/>
  <c r="A41" i="4" s="1"/>
  <c r="A42" i="4" s="1"/>
  <c r="A43" i="4" s="1"/>
  <c r="A44" i="4" s="1"/>
  <c r="A56" i="4" s="1"/>
  <c r="A57" i="4" s="1"/>
  <c r="A58" i="4" s="1"/>
  <c r="A59" i="4" s="1"/>
  <c r="A60" i="4" s="1"/>
  <c r="H113" i="4"/>
  <c r="H117" i="4" s="1"/>
  <c r="J18" i="59" l="1"/>
  <c r="J21" i="59"/>
  <c r="F18" i="59"/>
  <c r="G89" i="17"/>
  <c r="M90" i="17" s="1"/>
  <c r="I82" i="17"/>
  <c r="E83" i="23" s="1"/>
  <c r="G60" i="12"/>
  <c r="F19" i="15" s="1"/>
  <c r="G19" i="15" s="1"/>
  <c r="D50" i="23"/>
  <c r="D51" i="23" s="1"/>
  <c r="H60" i="12"/>
  <c r="I26" i="17"/>
  <c r="E27" i="23" s="1"/>
  <c r="I61" i="17"/>
  <c r="E50" i="23" s="1"/>
  <c r="D104" i="23"/>
  <c r="H107" i="17"/>
  <c r="H114" i="17" s="1"/>
  <c r="H85" i="17"/>
  <c r="I27" i="17"/>
  <c r="E28" i="23" s="1"/>
  <c r="I22" i="20"/>
  <c r="I22" i="17"/>
  <c r="E23" i="23" s="1"/>
  <c r="G28" i="17"/>
  <c r="G20" i="12"/>
  <c r="H20" i="12" s="1"/>
  <c r="D22" i="23" s="1"/>
  <c r="G22" i="23" s="1"/>
  <c r="F30" i="11"/>
  <c r="E21" i="23"/>
  <c r="G19" i="12"/>
  <c r="H19" i="12" s="1"/>
  <c r="D21" i="23" s="1"/>
  <c r="G21" i="23" s="1"/>
  <c r="G74" i="17"/>
  <c r="I73" i="17"/>
  <c r="G39" i="17"/>
  <c r="I38" i="17"/>
  <c r="H21" i="17"/>
  <c r="E94" i="23"/>
  <c r="E43" i="23"/>
  <c r="I25" i="17"/>
  <c r="E26" i="23" s="1"/>
  <c r="D62" i="23"/>
  <c r="G62" i="23" s="1"/>
  <c r="G63" i="23" s="1"/>
  <c r="H89" i="17"/>
  <c r="G26" i="12"/>
  <c r="H26" i="12" s="1"/>
  <c r="D90" i="23"/>
  <c r="H88" i="12"/>
  <c r="C27" i="15"/>
  <c r="R18" i="59" s="1"/>
  <c r="D13" i="15"/>
  <c r="O17" i="17"/>
  <c r="N17" i="17"/>
  <c r="D39" i="23"/>
  <c r="D40" i="23" s="1"/>
  <c r="H38" i="12"/>
  <c r="D116" i="17"/>
  <c r="D113" i="12"/>
  <c r="C13" i="68" s="1"/>
  <c r="A62" i="4"/>
  <c r="A63" i="4" s="1"/>
  <c r="A64" i="4" s="1"/>
  <c r="A65" i="4" s="1"/>
  <c r="A66" i="4" s="1"/>
  <c r="A67" i="4" s="1"/>
  <c r="A68" i="4" s="1"/>
  <c r="A69" i="4" s="1"/>
  <c r="A70" i="4" s="1"/>
  <c r="A71" i="4" s="1"/>
  <c r="A72" i="4" s="1"/>
  <c r="I62" i="17" l="1"/>
  <c r="R23" i="59"/>
  <c r="R32" i="59" s="1"/>
  <c r="R43" i="59" s="1"/>
  <c r="R47" i="59" s="1"/>
  <c r="E51" i="23"/>
  <c r="I107" i="17"/>
  <c r="E97" i="23" s="1"/>
  <c r="E104" i="23" s="1"/>
  <c r="G29" i="23"/>
  <c r="C16" i="68"/>
  <c r="C18" i="68" s="1"/>
  <c r="C27" i="68" s="1"/>
  <c r="E13" i="68"/>
  <c r="E16" i="68" s="1"/>
  <c r="E18" i="68" s="1"/>
  <c r="E27" i="68" s="1"/>
  <c r="E62" i="23"/>
  <c r="E63" i="23" s="1"/>
  <c r="I74" i="17"/>
  <c r="E39" i="23"/>
  <c r="E40" i="23" s="1"/>
  <c r="I39" i="17"/>
  <c r="I21" i="17"/>
  <c r="H28" i="17"/>
  <c r="D63" i="23"/>
  <c r="H27" i="12"/>
  <c r="H113" i="12" s="1"/>
  <c r="D28" i="23"/>
  <c r="D29" i="23" s="1"/>
  <c r="G27" i="12"/>
  <c r="I89" i="17"/>
  <c r="E90" i="23" s="1"/>
  <c r="P17" i="17"/>
  <c r="F14" i="17" s="1"/>
  <c r="G14" i="17" s="1"/>
  <c r="D91" i="23"/>
  <c r="G90" i="23"/>
  <c r="G91" i="23" s="1"/>
  <c r="N90" i="17"/>
  <c r="O90" i="17"/>
  <c r="A74" i="4"/>
  <c r="A75" i="4" s="1"/>
  <c r="A76" i="4" s="1"/>
  <c r="A77" i="4" s="1"/>
  <c r="A78" i="4" s="1"/>
  <c r="A79" i="4" s="1"/>
  <c r="A80" i="4" s="1"/>
  <c r="A81" i="4" s="1"/>
  <c r="A82" i="4" s="1"/>
  <c r="A83" i="4" s="1"/>
  <c r="A84" i="4" s="1"/>
  <c r="A85" i="4" s="1"/>
  <c r="A86" i="4" s="1"/>
  <c r="A87" i="4" s="1"/>
  <c r="A88" i="4" s="1"/>
  <c r="H49" i="59" l="1"/>
  <c r="R49" i="59"/>
  <c r="L49" i="59"/>
  <c r="I114" i="17"/>
  <c r="G106" i="23"/>
  <c r="F16" i="17"/>
  <c r="G16" i="17" s="1"/>
  <c r="I16" i="17" s="1"/>
  <c r="E17" i="23" s="1"/>
  <c r="E22" i="23"/>
  <c r="E29" i="23" s="1"/>
  <c r="I28" i="17"/>
  <c r="D106" i="23"/>
  <c r="F15" i="15"/>
  <c r="G113" i="12"/>
  <c r="P90" i="17"/>
  <c r="F86" i="17" s="1"/>
  <c r="G86" i="17" s="1"/>
  <c r="I86" i="17" s="1"/>
  <c r="E87" i="23" s="1"/>
  <c r="I14" i="17"/>
  <c r="A100" i="4"/>
  <c r="A101" i="4" s="1"/>
  <c r="A102" i="4" s="1"/>
  <c r="A103" i="4" s="1"/>
  <c r="A104" i="4" s="1"/>
  <c r="A105" i="4" s="1"/>
  <c r="A106" i="4" s="1"/>
  <c r="A107" i="4" s="1"/>
  <c r="A108" i="4" s="1"/>
  <c r="A109" i="4" s="1"/>
  <c r="A110" i="4" s="1"/>
  <c r="A111" i="4" s="1"/>
  <c r="A113" i="4" s="1"/>
  <c r="G38" i="19"/>
  <c r="I38" i="19" s="1"/>
  <c r="E39" i="47" s="1"/>
  <c r="G34" i="19"/>
  <c r="I34" i="19" s="1"/>
  <c r="E35" i="47" s="1"/>
  <c r="G35" i="19"/>
  <c r="I35" i="19" s="1"/>
  <c r="E36" i="47" s="1"/>
  <c r="G36" i="19"/>
  <c r="I36" i="19" s="1"/>
  <c r="E37" i="47" s="1"/>
  <c r="G32" i="19"/>
  <c r="G31" i="19"/>
  <c r="I31" i="19" s="1"/>
  <c r="E32" i="47" s="1"/>
  <c r="G37" i="19"/>
  <c r="I37" i="19" s="1"/>
  <c r="E38" i="47" s="1"/>
  <c r="G33" i="19"/>
  <c r="I33" i="19" s="1"/>
  <c r="E34" i="47" s="1"/>
  <c r="G17" i="17" l="1"/>
  <c r="G15" i="15"/>
  <c r="G27" i="15" s="1"/>
  <c r="D14" i="16" s="1"/>
  <c r="F13" i="68" s="1"/>
  <c r="G13" i="68" s="1"/>
  <c r="F27" i="15"/>
  <c r="F87" i="17"/>
  <c r="G87" i="17" s="1"/>
  <c r="I87" i="17" s="1"/>
  <c r="E88" i="23" s="1"/>
  <c r="F78" i="17"/>
  <c r="G78" i="17" s="1"/>
  <c r="I78" i="17" s="1"/>
  <c r="E79" i="23" s="1"/>
  <c r="F88" i="17"/>
  <c r="G88" i="17" s="1"/>
  <c r="I88" i="17" s="1"/>
  <c r="E89" i="23" s="1"/>
  <c r="F80" i="17"/>
  <c r="F81" i="17"/>
  <c r="F83" i="17"/>
  <c r="F79" i="17"/>
  <c r="G79" i="17" s="1"/>
  <c r="I79" i="17" s="1"/>
  <c r="E80" i="23" s="1"/>
  <c r="F77" i="17"/>
  <c r="G77" i="17" s="1"/>
  <c r="I77" i="17" s="1"/>
  <c r="F84" i="17"/>
  <c r="G84" i="17" s="1"/>
  <c r="I84" i="17" s="1"/>
  <c r="E85" i="23" s="1"/>
  <c r="F85" i="17"/>
  <c r="G85" i="17" s="1"/>
  <c r="I85" i="17" s="1"/>
  <c r="E86" i="23" s="1"/>
  <c r="G39" i="19"/>
  <c r="I17" i="17"/>
  <c r="E15" i="23"/>
  <c r="E18" i="23" s="1"/>
  <c r="I32" i="19"/>
  <c r="E33" i="47" s="1"/>
  <c r="E40" i="47" s="1"/>
  <c r="G89" i="19"/>
  <c r="I89" i="19" s="1"/>
  <c r="E90" i="47" s="1"/>
  <c r="G82" i="19"/>
  <c r="G80" i="17" l="1"/>
  <c r="E20" i="18"/>
  <c r="F20" i="18" s="1"/>
  <c r="G81" i="17"/>
  <c r="E21" i="18"/>
  <c r="F21" i="18" s="1"/>
  <c r="H81" i="17" s="1"/>
  <c r="G83" i="17"/>
  <c r="E23" i="18"/>
  <c r="F23" i="18" s="1"/>
  <c r="H83" i="17" s="1"/>
  <c r="I39" i="19"/>
  <c r="E78" i="23"/>
  <c r="I82" i="19"/>
  <c r="E83" i="47" s="1"/>
  <c r="M90" i="19"/>
  <c r="G66" i="19"/>
  <c r="I66" i="19" s="1"/>
  <c r="E55" i="47" s="1"/>
  <c r="G69" i="19"/>
  <c r="I69" i="19" s="1"/>
  <c r="E58" i="47" s="1"/>
  <c r="G72" i="19"/>
  <c r="I72" i="19" s="1"/>
  <c r="E61" i="47" s="1"/>
  <c r="G68" i="19"/>
  <c r="I68" i="19" s="1"/>
  <c r="E57" i="47" s="1"/>
  <c r="G71" i="19"/>
  <c r="I71" i="19" s="1"/>
  <c r="E60" i="47" s="1"/>
  <c r="G73" i="19"/>
  <c r="I73" i="19" s="1"/>
  <c r="E62" i="47" s="1"/>
  <c r="G70" i="19"/>
  <c r="I70" i="19" s="1"/>
  <c r="E59" i="47" s="1"/>
  <c r="G65" i="19"/>
  <c r="I65" i="19" s="1"/>
  <c r="E54" i="47" s="1"/>
  <c r="G67" i="19"/>
  <c r="I67" i="19" s="1"/>
  <c r="E56" i="47" s="1"/>
  <c r="F21" i="59" l="1"/>
  <c r="F23" i="59" s="1"/>
  <c r="F32" i="59" s="1"/>
  <c r="F43" i="59" s="1"/>
  <c r="F47" i="59" s="1"/>
  <c r="F49" i="59" s="1"/>
  <c r="G90" i="17"/>
  <c r="G116" i="17" s="1"/>
  <c r="H80" i="17"/>
  <c r="H90" i="17" s="1"/>
  <c r="H116" i="17" s="1"/>
  <c r="F29" i="18"/>
  <c r="J23" i="59"/>
  <c r="J32" i="59" s="1"/>
  <c r="J43" i="59" s="1"/>
  <c r="I81" i="17"/>
  <c r="E82" i="23" s="1"/>
  <c r="I83" i="17"/>
  <c r="E84" i="23" s="1"/>
  <c r="E63" i="47"/>
  <c r="O90" i="19"/>
  <c r="N90" i="19"/>
  <c r="G74" i="19"/>
  <c r="I74" i="19"/>
  <c r="G60" i="19"/>
  <c r="I60" i="19" s="1"/>
  <c r="E49" i="47" s="1"/>
  <c r="G59" i="19"/>
  <c r="I59" i="19" s="1"/>
  <c r="E48" i="47" s="1"/>
  <c r="G58" i="19"/>
  <c r="I58" i="19" s="1"/>
  <c r="E47" i="47" s="1"/>
  <c r="D21" i="59" l="1"/>
  <c r="P21" i="59" s="1"/>
  <c r="I80" i="17"/>
  <c r="J45" i="59"/>
  <c r="N45" i="59" s="1"/>
  <c r="E51" i="47"/>
  <c r="P90" i="19"/>
  <c r="I62" i="19"/>
  <c r="G62" i="19"/>
  <c r="N21" i="59" l="1"/>
  <c r="J47" i="59"/>
  <c r="J49" i="59" s="1"/>
  <c r="E81" i="23"/>
  <c r="E91" i="23" s="1"/>
  <c r="E106" i="23" s="1"/>
  <c r="I90" i="17"/>
  <c r="I116" i="17" s="1"/>
  <c r="D16" i="16" s="1"/>
  <c r="F85" i="19"/>
  <c r="G85" i="19" s="1"/>
  <c r="I85" i="19" s="1"/>
  <c r="E86" i="47" s="1"/>
  <c r="F81" i="19"/>
  <c r="F77" i="19"/>
  <c r="G77" i="19" s="1"/>
  <c r="F87" i="19"/>
  <c r="G87" i="19" s="1"/>
  <c r="I87" i="19" s="1"/>
  <c r="E88" i="47" s="1"/>
  <c r="F79" i="19"/>
  <c r="G79" i="19" s="1"/>
  <c r="I79" i="19" s="1"/>
  <c r="E80" i="47" s="1"/>
  <c r="F86" i="19"/>
  <c r="G86" i="19" s="1"/>
  <c r="I86" i="19" s="1"/>
  <c r="E87" i="47" s="1"/>
  <c r="F78" i="19"/>
  <c r="G78" i="19" s="1"/>
  <c r="I78" i="19" s="1"/>
  <c r="E79" i="47" s="1"/>
  <c r="F88" i="19"/>
  <c r="F84" i="19"/>
  <c r="G84" i="19" s="1"/>
  <c r="I84" i="19" s="1"/>
  <c r="E85" i="47" s="1"/>
  <c r="F80" i="19"/>
  <c r="F83" i="19"/>
  <c r="F15" i="68" l="1"/>
  <c r="D17" i="16"/>
  <c r="G81" i="19"/>
  <c r="E51" i="18"/>
  <c r="F51" i="18" s="1"/>
  <c r="H81" i="19" s="1"/>
  <c r="G80" i="19"/>
  <c r="E50" i="18"/>
  <c r="F50" i="18" s="1"/>
  <c r="G83" i="19"/>
  <c r="E53" i="18"/>
  <c r="F53" i="18" s="1"/>
  <c r="H83" i="19" s="1"/>
  <c r="G88" i="19"/>
  <c r="I77" i="19"/>
  <c r="E78" i="47" s="1"/>
  <c r="G112" i="19"/>
  <c r="I112" i="19" s="1"/>
  <c r="E102" i="47" s="1"/>
  <c r="G105" i="19"/>
  <c r="I105" i="19" s="1"/>
  <c r="E95" i="47" s="1"/>
  <c r="G108" i="19"/>
  <c r="I108" i="19" s="1"/>
  <c r="E98" i="47" s="1"/>
  <c r="G107" i="19"/>
  <c r="I107" i="19" s="1"/>
  <c r="E97" i="47" s="1"/>
  <c r="G106" i="19"/>
  <c r="I106" i="19" s="1"/>
  <c r="E96" i="47" s="1"/>
  <c r="G109" i="19"/>
  <c r="I109" i="19" s="1"/>
  <c r="E99" i="47" s="1"/>
  <c r="G113" i="19"/>
  <c r="I113" i="19" s="1"/>
  <c r="E103" i="47" s="1"/>
  <c r="G111" i="19"/>
  <c r="I111" i="19" s="1"/>
  <c r="E101" i="47" s="1"/>
  <c r="G104" i="19"/>
  <c r="I104" i="19" s="1"/>
  <c r="E94" i="47" s="1"/>
  <c r="H80" i="19" l="1"/>
  <c r="I80" i="19" s="1"/>
  <c r="E81" i="47" s="1"/>
  <c r="F21" i="58"/>
  <c r="G90" i="19"/>
  <c r="G15" i="68"/>
  <c r="F16" i="68"/>
  <c r="G16" i="68" s="1"/>
  <c r="I83" i="19"/>
  <c r="E84" i="47" s="1"/>
  <c r="I81" i="19"/>
  <c r="E82" i="47" s="1"/>
  <c r="L23" i="58"/>
  <c r="L32" i="58" s="1"/>
  <c r="L43" i="58" s="1"/>
  <c r="H88" i="19"/>
  <c r="F59" i="18"/>
  <c r="E104" i="47"/>
  <c r="I114" i="19"/>
  <c r="G114" i="19"/>
  <c r="J22" i="20"/>
  <c r="D18" i="16" s="1"/>
  <c r="H22" i="20"/>
  <c r="D18" i="59" s="1"/>
  <c r="H90" i="19" l="1"/>
  <c r="H116" i="19" s="1"/>
  <c r="G116" i="19"/>
  <c r="D19" i="16"/>
  <c r="D28" i="16" s="1"/>
  <c r="F17" i="68"/>
  <c r="L47" i="58"/>
  <c r="N45" i="58"/>
  <c r="D23" i="59"/>
  <c r="D32" i="59" s="1"/>
  <c r="D43" i="59" s="1"/>
  <c r="D47" i="59" s="1"/>
  <c r="D49" i="59" s="1"/>
  <c r="P18" i="59"/>
  <c r="P23" i="59" s="1"/>
  <c r="P32" i="59" s="1"/>
  <c r="P43" i="59" s="1"/>
  <c r="P47" i="59" s="1"/>
  <c r="P49" i="59" s="1"/>
  <c r="N18" i="59"/>
  <c r="N23" i="59" s="1"/>
  <c r="N32" i="59" s="1"/>
  <c r="N43" i="59" s="1"/>
  <c r="I88" i="19"/>
  <c r="D21" i="58" l="1"/>
  <c r="P21" i="58" s="1"/>
  <c r="N47" i="59"/>
  <c r="N49" i="59" s="1"/>
  <c r="F29" i="68"/>
  <c r="N21" i="58"/>
  <c r="G17" i="68"/>
  <c r="F18" i="68"/>
  <c r="E89" i="47"/>
  <c r="E91" i="47" s="1"/>
  <c r="E106" i="47" s="1"/>
  <c r="I90" i="19"/>
  <c r="I116" i="19" s="1"/>
  <c r="F16" i="16" s="1"/>
  <c r="H47" i="20"/>
  <c r="D18" i="58" s="1"/>
  <c r="G39" i="20"/>
  <c r="D30" i="40" s="1"/>
  <c r="E30" i="40" s="1"/>
  <c r="F18" i="58" s="1"/>
  <c r="G18" i="68" l="1"/>
  <c r="F27" i="68"/>
  <c r="G27" i="68" s="1"/>
  <c r="F17" i="16"/>
  <c r="F15" i="67"/>
  <c r="P18" i="58"/>
  <c r="P23" i="58" s="1"/>
  <c r="P32" i="58" s="1"/>
  <c r="D23" i="58"/>
  <c r="D32" i="58" s="1"/>
  <c r="N18" i="58"/>
  <c r="N23" i="58" s="1"/>
  <c r="N32" i="58" s="1"/>
  <c r="F23" i="58"/>
  <c r="F32" i="58" s="1"/>
  <c r="F43" i="58" s="1"/>
  <c r="F47" i="58" s="1"/>
  <c r="I39" i="20"/>
  <c r="I47" i="20" s="1"/>
  <c r="E35" i="40"/>
  <c r="G15" i="67" l="1"/>
  <c r="F16" i="67"/>
  <c r="J39" i="20"/>
  <c r="J47" i="20" s="1"/>
  <c r="F18" i="16" s="1"/>
  <c r="F19" i="16" l="1"/>
  <c r="F17" i="67"/>
  <c r="G17" i="67" s="1"/>
  <c r="G16" i="67"/>
  <c r="P35" i="58"/>
  <c r="P36" i="58"/>
  <c r="P37" i="58"/>
  <c r="R43" i="58"/>
  <c r="F18" i="67" l="1"/>
  <c r="G18" i="67" s="1"/>
  <c r="R47" i="58"/>
  <c r="R49" i="58" l="1"/>
  <c r="H49" i="58"/>
  <c r="J49" i="58"/>
  <c r="L49" i="58"/>
  <c r="F49" i="58"/>
  <c r="Q17" i="79" l="1"/>
  <c r="Q16" i="79" l="1"/>
  <c r="Q54" i="79" l="1"/>
  <c r="Q24" i="79"/>
  <c r="Q27" i="79" s="1"/>
  <c r="Q45" i="79" l="1"/>
  <c r="Q43" i="79"/>
  <c r="Q44" i="79" l="1"/>
  <c r="Q46" i="79" s="1"/>
  <c r="Q37" i="79" l="1"/>
  <c r="Q38" i="79"/>
  <c r="Q39" i="79"/>
  <c r="Q60" i="79"/>
  <c r="Q62" i="79"/>
  <c r="Q64" i="79"/>
  <c r="Q40" i="79" l="1"/>
  <c r="Q66" i="79" s="1"/>
  <c r="Q74" i="79" s="1"/>
  <c r="Q78" i="79" s="1"/>
  <c r="Q82" i="79" l="1"/>
  <c r="G47" i="25" s="1"/>
  <c r="D38" i="58"/>
  <c r="N38" i="58" l="1"/>
  <c r="N41" i="58" s="1"/>
  <c r="N43" i="58" s="1"/>
  <c r="D41" i="58"/>
  <c r="D43" i="58" s="1"/>
  <c r="D47" i="58" s="1"/>
  <c r="D49" i="58" s="1"/>
  <c r="P38" i="58"/>
  <c r="P41" i="58" s="1"/>
  <c r="P43" i="58" s="1"/>
  <c r="P47" i="58" s="1"/>
  <c r="P49" i="58" s="1"/>
  <c r="F21" i="16"/>
  <c r="F47" i="25"/>
  <c r="G49" i="25"/>
  <c r="F20" i="67" l="1"/>
  <c r="F28" i="16"/>
  <c r="N47" i="58"/>
  <c r="N49" i="58" s="1"/>
  <c r="F29" i="67"/>
  <c r="G20" i="67" l="1"/>
  <c r="F27" i="67"/>
  <c r="G27" i="67" s="1"/>
</calcChain>
</file>

<file path=xl/sharedStrings.xml><?xml version="1.0" encoding="utf-8"?>
<sst xmlns="http://schemas.openxmlformats.org/spreadsheetml/2006/main" count="36795" uniqueCount="3445">
  <si>
    <t>KENTUCKY UTILITIES COMPANY</t>
  </si>
  <si>
    <t>KENTUCKY - TOTAL PLANT IN SERVICE - ELECTRIC - NBV - REGULATORY ACCOUNTING</t>
  </si>
  <si>
    <t>Beginning</t>
  </si>
  <si>
    <t>Transfers/</t>
  </si>
  <si>
    <t>Ending</t>
  </si>
  <si>
    <t>Total Plant in Service</t>
  </si>
  <si>
    <t>Balance</t>
  </si>
  <si>
    <t>Additions</t>
  </si>
  <si>
    <t>Retirements</t>
  </si>
  <si>
    <t>Adjustments</t>
  </si>
  <si>
    <t>Net Additions</t>
  </si>
  <si>
    <t>Reserve</t>
  </si>
  <si>
    <t>Net Book Value</t>
  </si>
  <si>
    <t>Difference</t>
  </si>
  <si>
    <t>TOTAL 101 &amp; 106</t>
  </si>
  <si>
    <t>Plant in Service</t>
  </si>
  <si>
    <t>Electric Distribution</t>
  </si>
  <si>
    <t>KY</t>
  </si>
  <si>
    <t>E360.20-Land</t>
  </si>
  <si>
    <t>E361.00-Structures and Improvements</t>
  </si>
  <si>
    <t>E362.00-Station Equipment</t>
  </si>
  <si>
    <t>E364.00-Poles, Towers, and Fixtures</t>
  </si>
  <si>
    <t>E365.00-OH Conductors and Devices</t>
  </si>
  <si>
    <t>E366.00-Underground Conduit</t>
  </si>
  <si>
    <t>E367.00-UG Conductors and Devices</t>
  </si>
  <si>
    <t>E368.00-Line Transformers</t>
  </si>
  <si>
    <t>E369.00-Services</t>
  </si>
  <si>
    <t>E370.00-Meters</t>
  </si>
  <si>
    <t>E371.00-Install on Customer Premise</t>
  </si>
  <si>
    <t>E373.00-Street Lighting / Signal Sy</t>
  </si>
  <si>
    <t>E374.05-ARO Cost Elec Dist (L/B)</t>
  </si>
  <si>
    <t>E374.07-ARO Cost Elec Dist (Eqp)</t>
  </si>
  <si>
    <t>Electric General Plant</t>
  </si>
  <si>
    <t>E389.20-Land</t>
  </si>
  <si>
    <t>E390.10-Structures and Improvements</t>
  </si>
  <si>
    <t>E390.20-Improvements to Leased Property</t>
  </si>
  <si>
    <t>E391.10-Office Equipment</t>
  </si>
  <si>
    <t>E391.20-Non PC Computer Equipment</t>
  </si>
  <si>
    <t>E391.30-Cash Processing Equipment</t>
  </si>
  <si>
    <t>E391.31-Personal Computers</t>
  </si>
  <si>
    <t>E392.00-Cars and Light Trucks</t>
  </si>
  <si>
    <t>E392.10-Heavy Trucks and Other</t>
  </si>
  <si>
    <t>E393.00-Stores Equipment</t>
  </si>
  <si>
    <t>E394.00-Tools, Shop, and Garage Equ</t>
  </si>
  <si>
    <t>E395.00-Laboratory Equipment</t>
  </si>
  <si>
    <t>E397.20-DSM Communication Equipment</t>
  </si>
  <si>
    <t>E398.00-Miscellaneous Equipment</t>
  </si>
  <si>
    <t>Electric Hydro Production</t>
  </si>
  <si>
    <t>E330.10-Land Rights</t>
  </si>
  <si>
    <t>E331.00-Structures and Improvements</t>
  </si>
  <si>
    <t>E332.00-Reservoirs, Dams, and Water</t>
  </si>
  <si>
    <t>E333.00-Water Wheels, Turbines, Gen</t>
  </si>
  <si>
    <t>E334.00-Accessory Electric Equipmen</t>
  </si>
  <si>
    <t>E335.00-Misc Power Plant Equipment</t>
  </si>
  <si>
    <t>E336.00-Roads, Railroads, and Bridg</t>
  </si>
  <si>
    <t>E337.07-ARO Cost Hydro Prod (Eqp)</t>
  </si>
  <si>
    <t>Electric Intangible Plant</t>
  </si>
  <si>
    <t>E301.00-Organization</t>
  </si>
  <si>
    <t>E302.00-Franchises and Consents</t>
  </si>
  <si>
    <t>E303.00-Misc Intangible Plant</t>
  </si>
  <si>
    <t>E303.10-CCS Software</t>
  </si>
  <si>
    <t>Electric Other Production</t>
  </si>
  <si>
    <t>E340.20-Land</t>
  </si>
  <si>
    <t>E341.00-Structures and Improvements</t>
  </si>
  <si>
    <t>E342.00-Fuel Holders, Producers, Ac</t>
  </si>
  <si>
    <t>E342.01-AROP Fuel Holders, Prod, Ac</t>
  </si>
  <si>
    <t>E343.00-Prime Movers</t>
  </si>
  <si>
    <t>E344.00-Generators</t>
  </si>
  <si>
    <t>E345.00-Accessory Electric Equipmen</t>
  </si>
  <si>
    <t>E345.01-AROP Accessory Electric Equipmen</t>
  </si>
  <si>
    <t>E346.00-Misc Power Plant Equipment</t>
  </si>
  <si>
    <t>E347.07-ARO Cost Other Prod (Eqp)</t>
  </si>
  <si>
    <t>Electric Steam Production</t>
  </si>
  <si>
    <t>E310.20-Land</t>
  </si>
  <si>
    <t>E311.00-Structures and Improvements</t>
  </si>
  <si>
    <t xml:space="preserve">E311.01-AROP Structures and Improv </t>
  </si>
  <si>
    <t>E312.00-Boiler Plant Equipment</t>
  </si>
  <si>
    <t>E312.01-AROP Boiler Plant Equipment</t>
  </si>
  <si>
    <t>E314.00-Turbogenerator Units</t>
  </si>
  <si>
    <t>E314.01-AROP Turbogenerator Units</t>
  </si>
  <si>
    <t>E315.00-Accessory Electric Equipmen</t>
  </si>
  <si>
    <t>E315.01-AROP Accessory Electric Equipmen</t>
  </si>
  <si>
    <t>E316.00-Misc Power Plant Equip</t>
  </si>
  <si>
    <t>E317.07-ARO Cost Steam (Eqp)</t>
  </si>
  <si>
    <t>Electric Transmission</t>
  </si>
  <si>
    <t>E350.10-Land Rights</t>
  </si>
  <si>
    <t>E350.20-Land</t>
  </si>
  <si>
    <t>E352.10-Struct &amp; Imp-Non Sys Contro</t>
  </si>
  <si>
    <t>E352.20-Struct &amp; Imp-Sys Control/Co</t>
  </si>
  <si>
    <t>E353.10-Station Equipment - Non Sys</t>
  </si>
  <si>
    <t>E353.11-AROP Station Equip Non Sys</t>
  </si>
  <si>
    <t>E353.20-Station Equip-Sys Control</t>
  </si>
  <si>
    <t>E354.00-Towers and Fixtures</t>
  </si>
  <si>
    <t>E355.00-Poles and Fixtures</t>
  </si>
  <si>
    <t>E356.00-OH Conductors and Devices</t>
  </si>
  <si>
    <t>E357.00-Underground Conduit</t>
  </si>
  <si>
    <t>E358.00-UG Conductors and Devices</t>
  </si>
  <si>
    <t>E359.15-ARO Cost Transm (L/B)</t>
  </si>
  <si>
    <t>E359.17-ARO Cost Transm (Eqp)</t>
  </si>
  <si>
    <t>Total Plant in Service - KY</t>
  </si>
  <si>
    <t>VIRGINIA - TOTAL PLANT IN SERVICE - ELECTRIC - NBV - REGULATORY ACCOUNTING</t>
  </si>
  <si>
    <t>VA</t>
  </si>
  <si>
    <t>E360.10-Land Rights</t>
  </si>
  <si>
    <t>E390.20-Structures and Improvements</t>
  </si>
  <si>
    <t>E391.20-Non PC Computer Equipmen</t>
  </si>
  <si>
    <t>E358.00-Underground Conductors a</t>
  </si>
  <si>
    <t>Total Plant in Service - Electric - VA</t>
  </si>
  <si>
    <t>TENNESSEE - TOTAL PLANT IN SERVICE - ELECTRIC - NBV - REGULATORY ACCOUNTING</t>
  </si>
  <si>
    <t>TN</t>
  </si>
  <si>
    <t>E367.00-Underground Conductors a</t>
  </si>
  <si>
    <t>Total Plant in Service - Electric - TN</t>
  </si>
  <si>
    <t>PLANT HELD FOR FUTURE USE - REGULATORY ACCOUNTING</t>
  </si>
  <si>
    <t>105 Plant Held for Future Use</t>
  </si>
  <si>
    <t>Steam Production</t>
  </si>
  <si>
    <t>E315.00-Accessory Electric Equip</t>
  </si>
  <si>
    <t xml:space="preserve">Total Plant Held for Future Use </t>
  </si>
  <si>
    <t>ELECTRIC PLANT - PURCHASED OR SOLD - REGULATORY ACCOUNTING</t>
  </si>
  <si>
    <t>102 Electric Plant - Purchased or Sold</t>
  </si>
  <si>
    <t>E310.20-Structures and Improvements</t>
  </si>
  <si>
    <t>Total Electric Plant - Purchased or Sold</t>
  </si>
  <si>
    <t>Rate Case Constants</t>
  </si>
  <si>
    <t>Rate Case Constants:</t>
  </si>
  <si>
    <t>Company:</t>
  </si>
  <si>
    <t>PSC Case Number:</t>
  </si>
  <si>
    <t>Base Year:</t>
  </si>
  <si>
    <t>Forecasted Test Year:</t>
  </si>
  <si>
    <t>Types of Filing:</t>
  </si>
  <si>
    <t>Original:</t>
  </si>
  <si>
    <t>Updated:</t>
  </si>
  <si>
    <t>Revised:</t>
  </si>
  <si>
    <t>WITNESS:</t>
  </si>
  <si>
    <t>LINE NO.</t>
  </si>
  <si>
    <t>GROSS ADDITIONS, RETIREMENTS, AND TRANSFERS</t>
  </si>
  <si>
    <t>DATA:__X__BASE  PERIOD____FORECASTED  PERIOD</t>
  </si>
  <si>
    <t>ACCT. NO.</t>
  </si>
  <si>
    <t>ACCOUNT TITLE</t>
  </si>
  <si>
    <t>BASE PERIOD BEGINNING BALANCE</t>
  </si>
  <si>
    <t>ADDITIONS</t>
  </si>
  <si>
    <t>RETIREMENTS</t>
  </si>
  <si>
    <t>SCHEDULE B-2.3</t>
  </si>
  <si>
    <t>TRANSFERS</t>
  </si>
  <si>
    <t>BASE PERIOD ENDING BALANCE</t>
  </si>
  <si>
    <t>$</t>
  </si>
  <si>
    <t>Total Intangible Plant</t>
  </si>
  <si>
    <t>Engines and engine-driven generators</t>
  </si>
  <si>
    <t>Total Electric Other Production</t>
  </si>
  <si>
    <t>Total Electric Steam Production</t>
  </si>
  <si>
    <t>Total Electric Hydro Production</t>
  </si>
  <si>
    <t>Structures and Improvements</t>
  </si>
  <si>
    <t xml:space="preserve">Station Equipment </t>
  </si>
  <si>
    <t>Total Electric Transmission</t>
  </si>
  <si>
    <t>ARO Cost Elec Distribution</t>
  </si>
  <si>
    <t>ARO Cost Elec Transmission</t>
  </si>
  <si>
    <t>Total Electric Distribution</t>
  </si>
  <si>
    <t>Land and Land Rights</t>
  </si>
  <si>
    <t>Transportation Equipment</t>
  </si>
  <si>
    <t>Office Furniture and Equipment</t>
  </si>
  <si>
    <t>Communication Equipment</t>
  </si>
  <si>
    <t>Total Electric General Plant</t>
  </si>
  <si>
    <t>TOTAL ELECTRIC PLANT IN SERVICE</t>
  </si>
  <si>
    <t xml:space="preserve"> </t>
  </si>
  <si>
    <t>DATA:____BASE  PERIOD__X__FORECASTED  PERIOD</t>
  </si>
  <si>
    <t>FORECAST PERIOD BEGINNING BALANCE</t>
  </si>
  <si>
    <t>FORECAST PERIOD     ENDING BALANCE</t>
  </si>
  <si>
    <t>FORECAST PERIOD            13 MONTH AVERAGE</t>
  </si>
  <si>
    <r>
      <t>TYPE OF FILING: __</t>
    </r>
    <r>
      <rPr>
        <u/>
        <sz val="10"/>
        <rFont val="Arial"/>
        <family val="2"/>
      </rPr>
      <t>X__</t>
    </r>
    <r>
      <rPr>
        <sz val="10"/>
        <rFont val="Arial"/>
        <family val="2"/>
      </rPr>
      <t xml:space="preserve"> ORIGINAL  _____ UPDATED  _____ REVISED</t>
    </r>
  </si>
  <si>
    <r>
      <t>TYPE OF FILING: ___</t>
    </r>
    <r>
      <rPr>
        <u/>
        <sz val="10"/>
        <rFont val="Arial"/>
        <family val="2"/>
      </rPr>
      <t>__</t>
    </r>
    <r>
      <rPr>
        <sz val="10"/>
        <rFont val="Arial"/>
        <family val="2"/>
      </rPr>
      <t xml:space="preserve"> ORIGINAL  __X__ UPDATED  _____ REVISED</t>
    </r>
  </si>
  <si>
    <r>
      <t>TYPE OF FILING: ___</t>
    </r>
    <r>
      <rPr>
        <u/>
        <sz val="10"/>
        <rFont val="Arial"/>
        <family val="2"/>
      </rPr>
      <t>__</t>
    </r>
    <r>
      <rPr>
        <sz val="10"/>
        <rFont val="Arial"/>
        <family val="2"/>
      </rPr>
      <t xml:space="preserve"> ORIGINAL  _____ UPDATED  __X__ REVISED</t>
    </r>
  </si>
  <si>
    <t>PAGE 4 OF 6</t>
  </si>
  <si>
    <t>PAGE 5 OF 6</t>
  </si>
  <si>
    <t>PAGE 6 OF 6</t>
  </si>
  <si>
    <t>PAGE 3 OF 6</t>
  </si>
  <si>
    <t>PAGE 2 OF 6</t>
  </si>
  <si>
    <t>PAGE 1 OF 6</t>
  </si>
  <si>
    <t>DATA:__X__BASE  PERIOD__X__FORECASTED  PERIOD</t>
  </si>
  <si>
    <t>SCHEDULE B-2.4</t>
  </si>
  <si>
    <t>PAGE 1 OF 1</t>
  </si>
  <si>
    <t>PAGE 1 OF 2</t>
  </si>
  <si>
    <t>DESCRIPTION OF PROPERTY</t>
  </si>
  <si>
    <t>PROPERTY MERGED OR ACQUIRED</t>
  </si>
  <si>
    <t>COST BASIS</t>
  </si>
  <si>
    <t>ACQUISITION ADJUSTMENT</t>
  </si>
  <si>
    <t>COMMISSION APPROVAL DATE (DOCKET NO.)</t>
  </si>
  <si>
    <t>DATE OF ACQUISITION</t>
  </si>
  <si>
    <t>EXPLANATION OF TREATMENT</t>
  </si>
  <si>
    <t>PAGE 2 OF 2</t>
  </si>
  <si>
    <t>LEASED PROPERTY</t>
  </si>
  <si>
    <t>SCHEDULE B-2.5</t>
  </si>
  <si>
    <t>IDENTIFICATION OR REFERENCE NUMBER</t>
  </si>
  <si>
    <t>DESCRIPTION OF TYPE AND USE OF PROPERTY</t>
  </si>
  <si>
    <t>NAME OF LESSEE</t>
  </si>
  <si>
    <t>FREQUENCY OF PAYMENT</t>
  </si>
  <si>
    <t>AMOUNT OF LEASE PAYMENT</t>
  </si>
  <si>
    <t>DOLLAR VALUE OF PROPERTY INVOLVED</t>
  </si>
  <si>
    <t>EXPLANATION METHOD OF CAPITALIZATION</t>
  </si>
  <si>
    <t>PROPERTY HELD FOR FUTURE USE INCLUDED IN RATE BASE</t>
  </si>
  <si>
    <t>SCHEDULE B-2.6</t>
  </si>
  <si>
    <t>DESCRIPTION AND LOCATION OF PROPERTY</t>
  </si>
  <si>
    <t>ACQUISTION DATE</t>
  </si>
  <si>
    <t>ORIGINAL COST</t>
  </si>
  <si>
    <t>ACCUMULATED DEPRECIATION</t>
  </si>
  <si>
    <t>NET ORIGINAL COST</t>
  </si>
  <si>
    <t>AMOUNT</t>
  </si>
  <si>
    <t>ACCT NO.</t>
  </si>
  <si>
    <t>REVENUE REALIZED</t>
  </si>
  <si>
    <t>DESCRIPTION</t>
  </si>
  <si>
    <t>EXPENSES INCURRED</t>
  </si>
  <si>
    <t>SCHEDULE B-2.7</t>
  </si>
  <si>
    <t>PROPERTY EXCLUDED FROM RATE BASE</t>
  </si>
  <si>
    <t>(FOR REASONS OTHER THAN JURISDICTIONAL ALLOCATION)</t>
  </si>
  <si>
    <t>IN-SERVICE DATE</t>
  </si>
  <si>
    <t>PERIOD REVENUE AND EXPENSE</t>
  </si>
  <si>
    <t>REASONS FOR EXCLUSION</t>
  </si>
  <si>
    <t>ACCOUNT TITLE OR DESCRIPTION OF EXCLUDED PROPERTY</t>
  </si>
  <si>
    <t>SCHEDULE B-2.2</t>
  </si>
  <si>
    <t>PROPOSED ADJUSTMENTS TO PLANT IN SERVICE</t>
  </si>
  <si>
    <t>TOTAL COMPANY ADJUSTMENT</t>
  </si>
  <si>
    <t>JURISDICTIONAL PERCENT</t>
  </si>
  <si>
    <t>JURISDICTIONAL ADJUSTMENTS</t>
  </si>
  <si>
    <t>WORKPAPER REFERENCE NO.</t>
  </si>
  <si>
    <t>DESCRIPTION AND PURPOSE OF ADJUSTMENT</t>
  </si>
  <si>
    <t>PLANT IN SERVICE BY ACCOUNTS AND SUBACCOUNTS</t>
  </si>
  <si>
    <t>ACCOUNT / SUBACCOUNT TITLES</t>
  </si>
  <si>
    <t>BASE PERIOD TOTAL COMPANY</t>
  </si>
  <si>
    <t>JURIS. PERCENT</t>
  </si>
  <si>
    <t>JURISDICTIONAL TOTAL</t>
  </si>
  <si>
    <t>ADJUSTMENTS</t>
  </si>
  <si>
    <t>ADJUSTED JURISDICTION</t>
  </si>
  <si>
    <t>SCHEDULE B-2.1</t>
  </si>
  <si>
    <t xml:space="preserve">         KENTUCKY UTILITIES COMPANY</t>
  </si>
  <si>
    <t xml:space="preserve">     ELECTRIC COST OF SERVICE STUDY</t>
  </si>
  <si>
    <t xml:space="preserve">          JURISDICTIONAL SEPARATION</t>
  </si>
  <si>
    <t>RATE BASE: END OF YEAR</t>
  </si>
  <si>
    <t>ALLOCATION METHOD: AVG 12 CP (COMBINED CO SYS)</t>
  </si>
  <si>
    <t>TOTAL</t>
  </si>
  <si>
    <t>KENTUCKY</t>
  </si>
  <si>
    <t>VIRGINIA</t>
  </si>
  <si>
    <t>FERC &amp;</t>
  </si>
  <si>
    <t>TENNESSEE</t>
  </si>
  <si>
    <t>STATE</t>
  </si>
  <si>
    <t>FERC</t>
  </si>
  <si>
    <t>ALLOC</t>
  </si>
  <si>
    <t>UTILITIES</t>
  </si>
  <si>
    <t>JURISDICTION</t>
  </si>
  <si>
    <t>PRIMARY</t>
  </si>
  <si>
    <t>TRANSMISSION</t>
  </si>
  <si>
    <t>(1)</t>
  </si>
  <si>
    <t>(2)</t>
  </si>
  <si>
    <t>(6)</t>
  </si>
  <si>
    <t>(7)</t>
  </si>
  <si>
    <t>(8)</t>
  </si>
  <si>
    <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</si>
  <si>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</si>
  <si>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</si>
  <si>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</si>
  <si>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</si>
  <si>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</si>
  <si>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</si>
  <si>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</si>
  <si>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</si>
  <si>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MATERIALS &amp; SUPPLIES</t>
  </si>
  <si>
    <t xml:space="preserve">    FUEL INVENTORY</t>
  </si>
  <si>
    <t xml:space="preserve">    PREPAYMENTS</t>
  </si>
  <si>
    <t xml:space="preserve">    WORKING CASH</t>
  </si>
  <si>
    <t xml:space="preserve">    EMISSION ALLOWANCES</t>
  </si>
  <si>
    <t xml:space="preserve">     TOTAL ADDITIONS</t>
  </si>
  <si>
    <t>DEDUCT:</t>
  </si>
  <si>
    <t xml:space="preserve">    RESERVE FOR DEF TAXES</t>
  </si>
  <si>
    <t xml:space="preserve">    RESERVE FOR ITC</t>
  </si>
  <si>
    <t xml:space="preserve">    CUSTOMER ADVANCES</t>
  </si>
  <si>
    <t xml:space="preserve">    CUSTOMER DEPOSITS-VIRGINIA</t>
  </si>
  <si>
    <t xml:space="preserve">    DEFERRED FUEL-VIRGINIA</t>
  </si>
  <si>
    <t xml:space="preserve">    OPEB UNFUNDED-VIRGINIA</t>
  </si>
  <si>
    <t xml:space="preserve">    WORKMANS COMPENSATION-FERC</t>
  </si>
  <si>
    <t xml:space="preserve">    VESTED VACATION-FERC</t>
  </si>
  <si>
    <t xml:space="preserve">    MEDICAL AND DENTAL RESERVE-FERC</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</si>
  <si>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</si>
  <si>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</si>
  <si>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</si>
  <si>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</si>
  <si>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</si>
  <si>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</si>
  <si>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</si>
  <si>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</si>
  <si>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</si>
  <si>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(GAIN) / LOSS DISPOSITION ALLOWANCES</t>
  </si>
  <si>
    <t xml:space="preserve">    (GAIN) / LOSS DISPOSITION PROPERTY-VA</t>
  </si>
  <si>
    <t xml:space="preserve">    CHARITABLE CONTRIBUTIONS-VA</t>
  </si>
  <si>
    <t xml:space="preserve">    INTEREST ON CUSTOMER DEPOSITS-VA</t>
  </si>
  <si>
    <t xml:space="preserve">    ACCRETION EXPENSE</t>
  </si>
  <si>
    <t xml:space="preserve">     TOTAL OPERATING EXPENSES</t>
  </si>
  <si>
    <t>RETURN</t>
  </si>
  <si>
    <t>RATE OF RETURN</t>
  </si>
  <si>
    <t>ELECTRIC PLANT IN SERVICE</t>
  </si>
  <si>
    <t>INTANGIBLE PLANT</t>
  </si>
  <si>
    <t xml:space="preserve"> 301-ORGANIZATION</t>
  </si>
  <si>
    <t>PTDGPLT</t>
  </si>
  <si>
    <t xml:space="preserve"> 302-FRANCHISE</t>
  </si>
  <si>
    <t>KURETPLT</t>
  </si>
  <si>
    <t xml:space="preserve"> 303-SOFTWARE</t>
  </si>
  <si>
    <t>TOTAL INTANGIBLE PLANT</t>
  </si>
  <si>
    <t>PRODUCTION PLANT</t>
  </si>
  <si>
    <t>STEAM PRODUCTION PLANT</t>
  </si>
  <si>
    <t xml:space="preserve"> 310-LAND</t>
  </si>
  <si>
    <t>DEMPROD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</si>
  <si>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</si>
  <si>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</si>
  <si>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</si>
  <si>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</si>
  <si>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</si>
  <si>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</si>
  <si>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</si>
  <si>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DEMFERC</t>
  </si>
  <si>
    <t xml:space="preserve"> FERC-AFUDC POST</t>
  </si>
  <si>
    <t>DEMFERCP</t>
  </si>
  <si>
    <t>TOTAL STEAM PROD PLANT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</si>
  <si>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</si>
  <si>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</si>
  <si>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</si>
  <si>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</si>
  <si>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</si>
  <si>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</si>
  <si>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</si>
  <si>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</si>
  <si>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</si>
  <si>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 xml:space="preserve"> TOTAL HYDRAULIC PROD PLANT</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</si>
  <si>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</si>
  <si>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</si>
  <si>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</si>
  <si>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</si>
  <si>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</si>
  <si>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</si>
  <si>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</si>
  <si>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</si>
  <si>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</si>
  <si>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 xml:space="preserve"> TOTAL OTHER PROD PLANT</t>
  </si>
  <si>
    <t>TOTAL PRODUCTION PLANT</t>
  </si>
  <si>
    <t>ELECTRIC PLANT IN SERVICE CON'T</t>
  </si>
  <si>
    <t>TRANSMISSION PLANT</t>
  </si>
  <si>
    <t>KENTUCKY SYSTEM PROPERTY</t>
  </si>
  <si>
    <t xml:space="preserve"> 350-LAND &amp; LAND RIGHTS</t>
  </si>
  <si>
    <t>DEMTRANNF</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</si>
  <si>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</si>
  <si>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</si>
  <si>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</si>
  <si>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</si>
  <si>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</si>
  <si>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</si>
  <si>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</si>
  <si>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</si>
  <si>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</si>
  <si>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</si>
  <si>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DEMVA</t>
  </si>
  <si>
    <t>TOTAL VIRGINIA PROPERTY</t>
  </si>
  <si>
    <t>VIRGINIA PROPERTY-500 KV LINE</t>
  </si>
  <si>
    <t>DEMTRANNVF</t>
  </si>
  <si>
    <t>TOTAL VIRGINIA PROPERTY-500 KV LINE</t>
  </si>
  <si>
    <t>TOTAL TRANSMISSION PLANT</t>
  </si>
  <si>
    <t>DISTRIBUTION PLANT</t>
  </si>
  <si>
    <t xml:space="preserve"> KENTUCKY DISTRIBUTION PLANT</t>
  </si>
  <si>
    <t xml:space="preserve"> 360-LAND &amp; LAND RIGHTS</t>
  </si>
  <si>
    <t>DEM360K</t>
  </si>
  <si>
    <t xml:space="preserve"> 361-STRUCTURES AND IMPROVEMENTS</t>
  </si>
  <si>
    <t>DEM361K</t>
  </si>
  <si>
    <t xml:space="preserve"> 362-STATION EQUIPMENT</t>
  </si>
  <si>
    <t>DEM362K</t>
  </si>
  <si>
    <t xml:space="preserve"> 364-POLES, TOWERS, AND FIXTURES</t>
  </si>
  <si>
    <t>DEM364K</t>
  </si>
  <si>
    <t xml:space="preserve"> 365-OH CONDUCTORS AND DEVICES</t>
  </si>
  <si>
    <t>DEM365K</t>
  </si>
  <si>
    <t xml:space="preserve"> 366-UNDERGROUND CONDUIT</t>
  </si>
  <si>
    <t>DEM366K</t>
  </si>
  <si>
    <t xml:space="preserve"> 367-UG CONDUCTORS AND DEVICES</t>
  </si>
  <si>
    <t>DEM367K</t>
  </si>
  <si>
    <t xml:space="preserve"> 368-LINE TRANSFORMERS</t>
  </si>
  <si>
    <t xml:space="preserve">    POWER POOL</t>
  </si>
  <si>
    <t>DPRODKY</t>
  </si>
  <si>
    <t xml:space="preserve">    ALL OTHER</t>
  </si>
  <si>
    <t>DEM368K</t>
  </si>
  <si>
    <t xml:space="preserve"> TOTAL 368-LINE TRANSFORMERS</t>
  </si>
  <si>
    <t xml:space="preserve"> 369-SERVICES</t>
  </si>
  <si>
    <t>CUST369K</t>
  </si>
  <si>
    <t xml:space="preserve"> 370-METERS</t>
  </si>
  <si>
    <t>CUST370K</t>
  </si>
  <si>
    <t xml:space="preserve"> 371-INSTALL ON CUSTOMER PREMISES</t>
  </si>
  <si>
    <t>CUST371K</t>
  </si>
  <si>
    <t xml:space="preserve"> 373-STREET LIGHTING</t>
  </si>
  <si>
    <t>CUST373K</t>
  </si>
  <si>
    <t xml:space="preserve"> 374-ARO COST KY ELEC DISTRIB</t>
  </si>
  <si>
    <t>DEM374K</t>
  </si>
  <si>
    <t xml:space="preserve"> TOTAL KENTUCKY DISTRIB PLANT</t>
  </si>
  <si>
    <t xml:space="preserve"> VIRGINIA DISTRIBUTION PLANT</t>
  </si>
  <si>
    <t>DEM360V</t>
  </si>
  <si>
    <t>DEM361V</t>
  </si>
  <si>
    <t>DEM362V</t>
  </si>
  <si>
    <t>DEM364V</t>
  </si>
  <si>
    <t>DEM365V</t>
  </si>
  <si>
    <t>DEM367V</t>
  </si>
  <si>
    <t>DPRODVA</t>
  </si>
  <si>
    <t>DEM368V</t>
  </si>
  <si>
    <t>CUST369V</t>
  </si>
  <si>
    <t>CUST370V</t>
  </si>
  <si>
    <t>CUST371V</t>
  </si>
  <si>
    <t>CUST373V</t>
  </si>
  <si>
    <t xml:space="preserve"> TOTAL VIRGINIA DISTRIB PLANT</t>
  </si>
  <si>
    <t xml:space="preserve"> TENNESSEE DISTRIBUTION PLANT</t>
  </si>
  <si>
    <t>DEM360T</t>
  </si>
  <si>
    <t>DEM361T</t>
  </si>
  <si>
    <t>DEM362T</t>
  </si>
  <si>
    <t>DEM364T</t>
  </si>
  <si>
    <t>DEM365T</t>
  </si>
  <si>
    <t>DEM368T</t>
  </si>
  <si>
    <t>CUST369T</t>
  </si>
  <si>
    <t>CUST370T</t>
  </si>
  <si>
    <t>CUST371T</t>
  </si>
  <si>
    <t xml:space="preserve"> TOTAL TENNESSEE DISTRIB PLANT</t>
  </si>
  <si>
    <t>TOTAL DISTRIBUTION PLANT</t>
  </si>
  <si>
    <t xml:space="preserve"> GENERAL PLANT</t>
  </si>
  <si>
    <t xml:space="preserve"> 389-LAND &amp; LAND RIGHTS</t>
  </si>
  <si>
    <t>LABOR</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</si>
  <si>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</si>
  <si>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</si>
  <si>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</si>
  <si>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</si>
  <si>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</si>
  <si>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</si>
  <si>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</si>
  <si>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</si>
  <si>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DEMAND SIDE MANAGEMENT</t>
  </si>
  <si>
    <t>LABPTDKY</t>
  </si>
  <si>
    <t xml:space="preserve"> TOTAL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</si>
  <si>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</si>
  <si>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</si>
  <si>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</si>
  <si>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</si>
  <si>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</si>
  <si>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</si>
  <si>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GENERAL</t>
  </si>
  <si>
    <t xml:space="preserve"> TOTAL PLANT HELD FOR FUTURE USE</t>
  </si>
  <si>
    <t>TOTAL ELECTRIC PLANT</t>
  </si>
  <si>
    <t>ACCUMULATED PROVISION FOR DEP</t>
  </si>
  <si>
    <t xml:space="preserve"> PRODUCTION PLANT</t>
  </si>
  <si>
    <t xml:space="preserve">  STEAM PRODUCTION PLANT</t>
  </si>
  <si>
    <t xml:space="preserve">    SYSTEM</t>
  </si>
  <si>
    <t>STMSYS</t>
  </si>
  <si>
    <t xml:space="preserve">    FERC-AFUDC PRE</t>
  </si>
  <si>
    <t xml:space="preserve">    FERC-AFUDC POST</t>
  </si>
  <si>
    <t xml:space="preserve">     TOTAL STEAM PROD PLT</t>
  </si>
  <si>
    <t xml:space="preserve">  HYDRAULIC PRODUCTION PLANT</t>
  </si>
  <si>
    <t>HYDSYS</t>
  </si>
  <si>
    <t xml:space="preserve">     TOTAL HYDRO PROD PLT</t>
  </si>
  <si>
    <t xml:space="preserve">  OTHER PRODUCTION PLANT</t>
  </si>
  <si>
    <t>OTHSYS</t>
  </si>
  <si>
    <t xml:space="preserve">     TOTAL OTHER PROD PLT</t>
  </si>
  <si>
    <t xml:space="preserve"> TOTAL PRODUCTION PLANT</t>
  </si>
  <si>
    <t xml:space="preserve"> TRANSMISSION PLANT</t>
  </si>
  <si>
    <t xml:space="preserve">  KENTUCKY SYSTEM PROPERTY</t>
  </si>
  <si>
    <t>KYTRPLTXF</t>
  </si>
  <si>
    <t xml:space="preserve">  VIRGINIA PROPERTY</t>
  </si>
  <si>
    <t>TRPLTVA</t>
  </si>
  <si>
    <t xml:space="preserve">  FERC-AFUDC PRE</t>
  </si>
  <si>
    <t xml:space="preserve">  FERC-AFUDC POST</t>
  </si>
  <si>
    <t xml:space="preserve"> TOTAL TRANSMISSION PLANT</t>
  </si>
  <si>
    <t xml:space="preserve"> DISTRIBUTION PLANT-VA &amp; TN </t>
  </si>
  <si>
    <t>DIRACDEP</t>
  </si>
  <si>
    <t xml:space="preserve"> DISTRIBUTION PLANT-KY &amp; FERC</t>
  </si>
  <si>
    <t>DISTPLTKF</t>
  </si>
  <si>
    <t xml:space="preserve"> TOTAL DISTRIBUTION PLANT</t>
  </si>
  <si>
    <t>GENPLT</t>
  </si>
  <si>
    <t xml:space="preserve"> INTANGIBLE PLANT-FRANCHISES</t>
  </si>
  <si>
    <t>PLT302TOT</t>
  </si>
  <si>
    <t xml:space="preserve"> INTANGIBLE PLANT-SOFTWARE</t>
  </si>
  <si>
    <t>PLT303TOT</t>
  </si>
  <si>
    <t>TOTAL DEPRECIATION RESERVE</t>
  </si>
  <si>
    <t>NET ELECTRIC PLANT IN SERVICE</t>
  </si>
  <si>
    <t>ADDITIONS TO NET PLANT</t>
  </si>
  <si>
    <t>CONSTRUCTION WORK IN PROGRESS</t>
  </si>
  <si>
    <t xml:space="preserve">   SYSTEM</t>
  </si>
  <si>
    <t>PRODSYS</t>
  </si>
  <si>
    <t xml:space="preserve">   FERC-AFUDC PRE</t>
  </si>
  <si>
    <t xml:space="preserve">   FERC-AFUDC POST</t>
  </si>
  <si>
    <t xml:space="preserve">    TOTAL PRODUCTION PLANT</t>
  </si>
  <si>
    <t xml:space="preserve">   TRANS VIRGINIA-KY SYSTEM</t>
  </si>
  <si>
    <t xml:space="preserve">   TRANS VIRGINIA</t>
  </si>
  <si>
    <t>VATRPLT</t>
  </si>
  <si>
    <t xml:space="preserve">    TOTAL TRANSMISSION PLT</t>
  </si>
  <si>
    <t xml:space="preserve"> DISTRIBUTION - VA &amp; TN </t>
  </si>
  <si>
    <t>DIRCWIP</t>
  </si>
  <si>
    <t xml:space="preserve"> DISTRIBUTION - KY &amp; FERC</t>
  </si>
  <si>
    <t>PLANTKY</t>
  </si>
  <si>
    <t xml:space="preserve">    TOTAL DISTRIBUTION PLT</t>
  </si>
  <si>
    <t>TOTAL CWIP</t>
  </si>
  <si>
    <t>WORKING CAPITAL</t>
  </si>
  <si>
    <t xml:space="preserve"> MATERIALS &amp; SUPPLIES</t>
  </si>
  <si>
    <t xml:space="preserve">  FUEL STOCK</t>
  </si>
  <si>
    <t>ENERGY</t>
  </si>
  <si>
    <t xml:space="preserve">  PLANT MATERIAL &amp; SUPPLIES</t>
  </si>
  <si>
    <t xml:space="preserve">    PRODUCTION</t>
  </si>
  <si>
    <t>PRODPLT</t>
  </si>
  <si>
    <t xml:space="preserve">    TRANSMISSION</t>
  </si>
  <si>
    <t>TRANPLTXF</t>
  </si>
  <si>
    <t xml:space="preserve">    DISTRIBUTION</t>
  </si>
  <si>
    <t>DISTPLT</t>
  </si>
  <si>
    <t xml:space="preserve">    GENERAL</t>
  </si>
  <si>
    <t xml:space="preserve">    STORES UNDISTRIBUTED</t>
  </si>
  <si>
    <t>M_S</t>
  </si>
  <si>
    <t xml:space="preserve">  TOTAL PLT MAT &amp; SUPPLIES</t>
  </si>
  <si>
    <t xml:space="preserve"> TOTAL MATERIALS &amp; SUPPLIES</t>
  </si>
  <si>
    <t xml:space="preserve"> PREPAYMENTS</t>
  </si>
  <si>
    <t xml:space="preserve">  PREPAYMENTS OTHER THAN TAXES</t>
  </si>
  <si>
    <t>EXP9245TOT</t>
  </si>
  <si>
    <t xml:space="preserve">  PUBLIC SERVICE COMM TAX</t>
  </si>
  <si>
    <t>REVKY</t>
  </si>
  <si>
    <t xml:space="preserve"> TOTAL PREPAYMENTS</t>
  </si>
  <si>
    <t xml:space="preserve"> WORKING CASH - CALC BY JURIS</t>
  </si>
  <si>
    <t>TOTAL WORKING CAPITAL</t>
  </si>
  <si>
    <t>EMISSION ALLOWANCES</t>
  </si>
  <si>
    <t>TOTAL ADDITIONS TO NET PLANT</t>
  </si>
  <si>
    <t>DEDUCTIONS FROM NET PLANT</t>
  </si>
  <si>
    <t>ACCUMULATED DEFERRED INC TAX</t>
  </si>
  <si>
    <t xml:space="preserve">  VIRGINIA PROPERTY-500 KV LINE</t>
  </si>
  <si>
    <t xml:space="preserve">  VIRGINIA PROPERTY-OTHER</t>
  </si>
  <si>
    <t xml:space="preserve"> DISTRIBUTION - VA</t>
  </si>
  <si>
    <t>DIRACDFTX</t>
  </si>
  <si>
    <t xml:space="preserve"> DISTRIBUTION PLT KY,FERC &amp; TN</t>
  </si>
  <si>
    <t>DPLTXVA</t>
  </si>
  <si>
    <t>TOTAL DEFERRED INCOME TAX</t>
  </si>
  <si>
    <t>ACCUM DEFER INVEST TAX CREDITS</t>
  </si>
  <si>
    <t xml:space="preserve">  PRODUCTION</t>
  </si>
  <si>
    <t xml:space="preserve">  TRANSMISSION</t>
  </si>
  <si>
    <t xml:space="preserve">  TRANSMISSION - VA</t>
  </si>
  <si>
    <t xml:space="preserve">  DISTRIBUTION - VA</t>
  </si>
  <si>
    <t>DIRACITC</t>
  </si>
  <si>
    <t xml:space="preserve">  DISTRIBUTION PLT KY,FERC &amp; TN</t>
  </si>
  <si>
    <t xml:space="preserve">  GENERAL</t>
  </si>
  <si>
    <t>TOTAL DEFERRED INVEST CREDIT</t>
  </si>
  <si>
    <t>CUSTOMER ADVANCES</t>
  </si>
  <si>
    <t>CUSTADV</t>
  </si>
  <si>
    <t>CUSTOMER DEPOSITS-VIRGINIA</t>
  </si>
  <si>
    <t>CUSTDEP</t>
  </si>
  <si>
    <t>DEFERRED FUEL-VIRGINIA</t>
  </si>
  <si>
    <t>DFUELVA</t>
  </si>
  <si>
    <t>OPEB UNFUNDED-VIRGINIA</t>
  </si>
  <si>
    <t>WORKMANS COMPENSATION-FERC</t>
  </si>
  <si>
    <t>VESTED VACATION-FERC</t>
  </si>
  <si>
    <t>MEDICAL AND DENTAL RESERVE-FERC</t>
  </si>
  <si>
    <t>TOTAL DEDUCTIONS FROM NET PLT</t>
  </si>
  <si>
    <t>RATE BASE</t>
  </si>
  <si>
    <t>SALES OF ELECTRICITY</t>
  </si>
  <si>
    <t xml:space="preserve">  440-RESIDENTIAL</t>
  </si>
  <si>
    <t xml:space="preserve">  442-COMMERCIAL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</si>
  <si>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</si>
  <si>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</si>
  <si>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</si>
  <si>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</si>
  <si>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</si>
  <si>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</si>
  <si>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</si>
  <si>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</si>
  <si>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</si>
  <si>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</si>
  <si>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OTHER OPERATING REVENUES</t>
  </si>
  <si>
    <t xml:space="preserve">  450-LATE PAYMENT CHARGES</t>
  </si>
  <si>
    <t>DIR450REV</t>
  </si>
  <si>
    <t xml:space="preserve">  451-RECONNECT CHARGES</t>
  </si>
  <si>
    <t>DIR451REC</t>
  </si>
  <si>
    <t xml:space="preserve">  451-OTHER SERVICE CHARGES</t>
  </si>
  <si>
    <t>DIR451OTH</t>
  </si>
  <si>
    <t xml:space="preserve">  454-RENT FROM ELEC PROPERTY</t>
  </si>
  <si>
    <t>DIR454REV</t>
  </si>
  <si>
    <t xml:space="preserve">  456-TRANSMISSION SERVICE</t>
  </si>
  <si>
    <t xml:space="preserve">  456-ANCILLARY SERVICES</t>
  </si>
  <si>
    <t>DEMTRAN</t>
  </si>
  <si>
    <t xml:space="preserve">  456-TAX REMITTANCE COMPENSATION</t>
  </si>
  <si>
    <t xml:space="preserve">  456-RETURN CHECK CHARGES</t>
  </si>
  <si>
    <t>DIR456CHK</t>
  </si>
  <si>
    <t xml:space="preserve">  456-OTHER MISC REVENUES</t>
  </si>
  <si>
    <t>DIR456OTH</t>
  </si>
  <si>
    <t xml:space="preserve">  456-EXCESS FACILITIES CHARGES</t>
  </si>
  <si>
    <t>DIR456FAC</t>
  </si>
  <si>
    <t>TOTAL OTHER REVENUES</t>
  </si>
  <si>
    <t>TOTAL OPERATING REVENUES</t>
  </si>
  <si>
    <t>OPERATION &amp; MAINTENANCE EXP</t>
  </si>
  <si>
    <t>PRODUCTION EXPENSE-STEAM</t>
  </si>
  <si>
    <t xml:space="preserve">  500-SUPERV &amp; ENGINEERING</t>
  </si>
  <si>
    <t>STMPLT</t>
  </si>
  <si>
    <t xml:space="preserve">  501-FUEL</t>
  </si>
  <si>
    <t>REVFERC</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</si>
  <si>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</si>
  <si>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</si>
  <si>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</si>
  <si>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</si>
  <si>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</si>
  <si>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</si>
  <si>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</si>
  <si>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</si>
  <si>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</si>
  <si>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</si>
  <si>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</si>
  <si>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</si>
  <si>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HYDPLT</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</si>
  <si>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</si>
  <si>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</si>
  <si>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</si>
  <si>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</si>
  <si>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</si>
  <si>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</si>
  <si>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 xml:space="preserve">  542-STRUCTURES</t>
  </si>
  <si>
    <t xml:space="preserve">  543-RESERV, DAMS &amp; WATERWAY</t>
  </si>
  <si>
    <t xml:space="preserve">  544-ELECTRIC PLANT</t>
  </si>
  <si>
    <t xml:space="preserve">  545-MISC HYDRAULIC PLANT</t>
  </si>
  <si>
    <t xml:space="preserve">    TOTAL HYDRO MAINTENANCE</t>
  </si>
  <si>
    <t>TOTAL HYDRO GENERATION</t>
  </si>
  <si>
    <t>PRODUCTION EXPENSE-OTHER</t>
  </si>
  <si>
    <t xml:space="preserve">  546-SUPERV &amp; ENGINEERING</t>
  </si>
  <si>
    <t>OTHPLT</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</si>
  <si>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</si>
  <si>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</si>
  <si>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</si>
  <si>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</si>
  <si>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</si>
  <si>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</si>
  <si>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</si>
  <si>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</si>
  <si>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</si>
  <si>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</si>
  <si>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</si>
  <si>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</si>
  <si>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</si>
  <si>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</si>
  <si>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</si>
  <si>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</si>
  <si>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</si>
  <si>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</si>
  <si>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</si>
  <si>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LABTROP</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</si>
  <si>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</si>
  <si>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</si>
  <si>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</si>
  <si>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</si>
  <si>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</si>
  <si>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</si>
  <si>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</si>
  <si>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575-MISO DAY 1 &amp;2 EXP</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</si>
  <si>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</si>
  <si>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</si>
  <si>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</si>
  <si>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</si>
  <si>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</si>
  <si>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</si>
  <si>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</si>
  <si>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</si>
  <si>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</si>
  <si>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DISTRIBUTION EXPENSES</t>
  </si>
  <si>
    <t xml:space="preserve">  580-SUPERV &amp; ENGINEERING</t>
  </si>
  <si>
    <t xml:space="preserve">  581-DIST SYSTEM CONTROL</t>
  </si>
  <si>
    <t>PLT3602TOT</t>
  </si>
  <si>
    <t xml:space="preserve">  582-STATION EXPENSES</t>
  </si>
  <si>
    <t xml:space="preserve">  583-OVERHEAD LINES</t>
  </si>
  <si>
    <t>PLT3645TOT</t>
  </si>
  <si>
    <t xml:space="preserve">  584-UNDERGROUND LINES</t>
  </si>
  <si>
    <t>PLT3667TOT</t>
  </si>
  <si>
    <t xml:space="preserve">  585-STREET LIGHTING</t>
  </si>
  <si>
    <t>PLT373TOT</t>
  </si>
  <si>
    <t xml:space="preserve">  586-METERS</t>
  </si>
  <si>
    <t>PLT370TOT</t>
  </si>
  <si>
    <t xml:space="preserve">  587-CUSTOMER INSTALLATIONS</t>
  </si>
  <si>
    <t>PLT371TOT</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</si>
  <si>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</si>
  <si>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</si>
  <si>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</si>
  <si>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</si>
  <si>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</si>
  <si>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</si>
  <si>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</si>
  <si>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</si>
  <si>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</si>
  <si>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PLT368TOT</t>
  </si>
  <si>
    <t xml:space="preserve">  596-MAINT OF ST LIGHTING</t>
  </si>
  <si>
    <t xml:space="preserve">  597-MAINT OF METERS</t>
  </si>
  <si>
    <t xml:space="preserve">  598-MISCELLANEOUS</t>
  </si>
  <si>
    <t xml:space="preserve">    TOTAL DISTR MAINTENANCE</t>
  </si>
  <si>
    <t>TOTAL DISTRIBUTION EXPENSES</t>
  </si>
  <si>
    <t>CUSTOMER ACCOUNTING EXPENSES</t>
  </si>
  <si>
    <t xml:space="preserve">  901-SUPERVISION</t>
  </si>
  <si>
    <t>LABCA</t>
  </si>
  <si>
    <t xml:space="preserve">  902-METER READING</t>
  </si>
  <si>
    <t>CUST902</t>
  </si>
  <si>
    <t xml:space="preserve">  903-CUSTOMER RECORDS</t>
  </si>
  <si>
    <t>CUST903</t>
  </si>
  <si>
    <t xml:space="preserve">  904-UNCOLLECTIBLE ACCOUNTS</t>
  </si>
  <si>
    <t>CUST904</t>
  </si>
  <si>
    <t xml:space="preserve">  905-MISCELLANEOUS</t>
  </si>
  <si>
    <t>EXP9024CA</t>
  </si>
  <si>
    <t>TOTAL CUSTOMER ACCOUNTS</t>
  </si>
  <si>
    <t>CUSTOMER SERVICES</t>
  </si>
  <si>
    <t xml:space="preserve">  907-SUPERVISION</t>
  </si>
  <si>
    <t>LABSA</t>
  </si>
  <si>
    <t xml:space="preserve">  908-CUSTOMER ASSISTANCE</t>
  </si>
  <si>
    <t>CUST908</t>
  </si>
  <si>
    <t xml:space="preserve">  909-INFORMATION &amp; INSTRUCT</t>
  </si>
  <si>
    <t>CUST909</t>
  </si>
  <si>
    <t xml:space="preserve">  910-MISCELLANEOUS</t>
  </si>
  <si>
    <t>EXP9089CS</t>
  </si>
  <si>
    <t>TOTAL CUSTOMER SERVICE</t>
  </si>
  <si>
    <t>SALES EXPENSE</t>
  </si>
  <si>
    <t xml:space="preserve">  911-SUPERVISION</t>
  </si>
  <si>
    <t xml:space="preserve">  912-DEMONSTRATING &amp; SELLING</t>
  </si>
  <si>
    <t>CUST912</t>
  </si>
  <si>
    <t xml:space="preserve">  913-ADVERTISING</t>
  </si>
  <si>
    <t>CUST913</t>
  </si>
  <si>
    <t xml:space="preserve">  916-MISCELLANEOUS</t>
  </si>
  <si>
    <t>EXP9123SA</t>
  </si>
  <si>
    <t>TOTAL SALES EXPENSE</t>
  </si>
  <si>
    <t>ADMINISTRATIVE &amp; GENERAL</t>
  </si>
  <si>
    <t xml:space="preserve"> PLANT COMPONENT</t>
  </si>
  <si>
    <t xml:space="preserve">  924-PROPERTY INSURANCE</t>
  </si>
  <si>
    <t>PLANT</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</si>
  <si>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</si>
  <si>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</si>
  <si>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</si>
  <si>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</si>
  <si>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</si>
  <si>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</si>
  <si>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</si>
  <si>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</si>
  <si>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</si>
  <si>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REVNJVA</t>
  </si>
  <si>
    <t>LABORXF</t>
  </si>
  <si>
    <t xml:space="preserve">  931-RENTS</t>
  </si>
  <si>
    <t xml:space="preserve">  935-MAINTENANCE</t>
  </si>
  <si>
    <t xml:space="preserve">     TOTAL LABOR COMPONENT</t>
  </si>
  <si>
    <t xml:space="preserve">  928-REGULATORY COMMISSION</t>
  </si>
  <si>
    <t>DIRECT</t>
  </si>
  <si>
    <t xml:space="preserve">    FEDERAL JURISDICTION</t>
  </si>
  <si>
    <t xml:space="preserve">    VIRGINIA JURISDICTION</t>
  </si>
  <si>
    <t>REVVA</t>
  </si>
  <si>
    <t xml:space="preserve">    928 ALLOCATED</t>
  </si>
  <si>
    <t xml:space="preserve">      TOTAL ACCOUNT 928</t>
  </si>
  <si>
    <t xml:space="preserve">  927-FRANCHISE NJ VA</t>
  </si>
  <si>
    <t>ENERGY1</t>
  </si>
  <si>
    <t>TOTAL ADMINISTRATIVE &amp; GEN</t>
  </si>
  <si>
    <t>TOTAL OPERATION &amp; MAINTENANCE</t>
  </si>
  <si>
    <t>DEPRECIATION &amp; AMORT EXPENSE</t>
  </si>
  <si>
    <t>DEPRECIATION EXPENSE</t>
  </si>
  <si>
    <t xml:space="preserve"> DISTRIBUTION PLANT</t>
  </si>
  <si>
    <t xml:space="preserve">   DISTRIBUTION-KENTUCKY</t>
  </si>
  <si>
    <t>KYDIST</t>
  </si>
  <si>
    <t xml:space="preserve">   DISTRIBUTION-VIRGINIA</t>
  </si>
  <si>
    <t>VADIST</t>
  </si>
  <si>
    <t xml:space="preserve">   DISTRIBUTION-TENNESSEE</t>
  </si>
  <si>
    <t>TNDIST</t>
  </si>
  <si>
    <t>TOTAL DEPREC &amp; AMORT EXP</t>
  </si>
  <si>
    <t xml:space="preserve">  KENTUCKY DISTRIBUTION PROPERTY</t>
  </si>
  <si>
    <t xml:space="preserve">  VIRGINIA DISTRIBUTION PROPERTY</t>
  </si>
  <si>
    <t>ACCRETION</t>
  </si>
  <si>
    <t>TOTAL ACCRETION EXPENSE</t>
  </si>
  <si>
    <t>OTHER TAXES &amp; OTHER EXPENSES</t>
  </si>
  <si>
    <t>TAXES OTHER THAN INCOME TAX</t>
  </si>
  <si>
    <t xml:space="preserve">  PROPERTY TAXES</t>
  </si>
  <si>
    <t>NETPLANT</t>
  </si>
  <si>
    <t xml:space="preserve">  PSC ASSESSMENT-KY REVENUE</t>
  </si>
  <si>
    <t xml:space="preserve">  VA GROSS RECEIPTS TAX</t>
  </si>
  <si>
    <t xml:space="preserve">  MISCELLANEOUS</t>
  </si>
  <si>
    <t>TOTAL OTHER TAXES</t>
  </si>
  <si>
    <t>GAIN DISPOSITION OF ALLOWANCES</t>
  </si>
  <si>
    <t>GAIN/LOSS PROP DISPOSITION (NET)</t>
  </si>
  <si>
    <t>CHARITABLE CONTRIBUTIONS-VA ONLY</t>
  </si>
  <si>
    <t>INVESTMENT TAX CREDIT ADJ</t>
  </si>
  <si>
    <t xml:space="preserve">  TRANSMISSION VA</t>
  </si>
  <si>
    <t xml:space="preserve">  DISTRIBUTION - DIRECT</t>
  </si>
  <si>
    <t>DIRITCADJ</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</si>
  <si>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</si>
  <si>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</si>
  <si>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</si>
  <si>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</si>
  <si>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</si>
  <si>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</si>
  <si>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</si>
  <si>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</si>
  <si>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</si>
  <si>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</si>
  <si>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RATEBASE</t>
  </si>
  <si>
    <t xml:space="preserve">    INT ON CUSTOMER DEPOSITS</t>
  </si>
  <si>
    <t>CUSTDEPI</t>
  </si>
  <si>
    <t xml:space="preserve">    AFUDC-INTEREST POST FERC</t>
  </si>
  <si>
    <t>AFUDC</t>
  </si>
  <si>
    <t xml:space="preserve"> TOTAL DEDUCTIONS</t>
  </si>
  <si>
    <t xml:space="preserve"> PLUS: ABOVE THE LINE DIFF:</t>
  </si>
  <si>
    <t xml:space="preserve">  SEC. 199 DEDUCTION-STATE</t>
  </si>
  <si>
    <t xml:space="preserve">  DEPREC-EQUITY AFUDC PRE</t>
  </si>
  <si>
    <t xml:space="preserve">  DEPREC-EQUITY AFUDC POST</t>
  </si>
  <si>
    <t xml:space="preserve">  OTHER</t>
  </si>
  <si>
    <t>STATE TAXABLE INCOME</t>
  </si>
  <si>
    <t>STATE TAX</t>
  </si>
  <si>
    <t>STATE TAX ADJUSTMENTS</t>
  </si>
  <si>
    <t>KENTUCKY TAX CREDITS</t>
  </si>
  <si>
    <t>203(E) EXCESS</t>
  </si>
  <si>
    <t>PLANTKF</t>
  </si>
  <si>
    <t>STATE TAX TOTAL</t>
  </si>
  <si>
    <t>SEC. 199 DEDUCTION-FEDERAL INCREMENT</t>
  </si>
  <si>
    <t>STATE TAX ADJUSTS FOR FEDERAL</t>
  </si>
  <si>
    <t>EXCESS DEFERRED TAXES</t>
  </si>
  <si>
    <t>FEDERAL TAX ADJUSTMENTS</t>
  </si>
  <si>
    <t xml:space="preserve"> FEDERAL TAX TOTAL</t>
  </si>
  <si>
    <t>STATE TAX RATE</t>
  </si>
  <si>
    <t>FEDERAL TAX RATE - CURRENT</t>
  </si>
  <si>
    <t>1 - EFFECTIVE TAX RATE</t>
  </si>
  <si>
    <t>EFFECTIVE TAX RATE</t>
  </si>
  <si>
    <t>FACTOR FOR TAXABLE BASIS</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</si>
  <si>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</si>
  <si>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</si>
  <si>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</si>
  <si>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</si>
  <si>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</si>
  <si>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</si>
  <si>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</si>
  <si>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</si>
  <si>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</si>
  <si>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</si>
  <si>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</si>
  <si>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</si>
  <si>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</si>
  <si>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</si>
  <si>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</si>
  <si>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</si>
  <si>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</si>
  <si>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</si>
  <si>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</si>
  <si>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</si>
  <si>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</si>
  <si>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</si>
  <si>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</si>
  <si>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</si>
  <si>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</si>
  <si>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</si>
  <si>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</si>
  <si>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</si>
  <si>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</si>
  <si>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</si>
  <si>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</si>
  <si>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</si>
  <si>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</si>
  <si>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</si>
  <si>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</si>
  <si>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</si>
  <si>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</si>
  <si>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</si>
  <si>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</si>
  <si>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</si>
  <si>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</si>
  <si>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</si>
  <si>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</si>
  <si>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</si>
  <si>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</si>
  <si>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</si>
  <si>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</si>
  <si>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</si>
  <si>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</si>
  <si>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</si>
  <si>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</si>
  <si>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</si>
  <si>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DISTRIBUTION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</si>
  <si>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</si>
  <si>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</si>
  <si>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</si>
  <si>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</si>
  <si>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</si>
  <si>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</si>
  <si>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</si>
  <si>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</si>
  <si>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</si>
  <si>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</si>
  <si>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</si>
  <si>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</si>
  <si>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</si>
  <si>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</si>
  <si>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</si>
  <si>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</si>
  <si>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</si>
  <si>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 xml:space="preserve">      FERC 598</t>
  </si>
  <si>
    <t xml:space="preserve"> TOTAL DISTRIBUTION LABOR</t>
  </si>
  <si>
    <t xml:space="preserve"> TOT PROD, TRNS &amp; DISTR LABOR</t>
  </si>
  <si>
    <t xml:space="preserve"> CUSTOMER ACCOUNTING</t>
  </si>
  <si>
    <t xml:space="preserve">      FERC 901</t>
  </si>
  <si>
    <t>EXP9025CA</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</si>
  <si>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</si>
  <si>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</si>
  <si>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</si>
  <si>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</si>
  <si>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</si>
  <si>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</si>
  <si>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</si>
  <si>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EXP9080CS</t>
  </si>
  <si>
    <t xml:space="preserve">      FERC 908</t>
  </si>
  <si>
    <t xml:space="preserve">      FERC 909</t>
  </si>
  <si>
    <t xml:space="preserve">      FERC 910</t>
  </si>
  <si>
    <t xml:space="preserve">      FERC 912</t>
  </si>
  <si>
    <t xml:space="preserve">      FERC 913</t>
  </si>
  <si>
    <t xml:space="preserve">      FERC 916</t>
  </si>
  <si>
    <t xml:space="preserve"> TOTAL CUSTOMER SERVICE AND SALES LABOR</t>
  </si>
  <si>
    <t>TOTAL PROD, TRAN, DIST, CUSTOMER LABOR</t>
  </si>
  <si>
    <t>ADMIN &amp; GENERAL LABOR</t>
  </si>
  <si>
    <t xml:space="preserve">      FERC 920</t>
  </si>
  <si>
    <t>PTDCUSTLABOR</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</si>
  <si>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</si>
  <si>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</si>
  <si>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</si>
  <si>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</si>
  <si>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</si>
  <si>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</si>
  <si>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</si>
  <si>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</si>
  <si>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</si>
  <si>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</si>
  <si>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</si>
  <si>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</si>
  <si>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</si>
  <si>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ALLOCATION FACTOR TABLE</t>
  </si>
  <si>
    <t>DEMAND RELATED</t>
  </si>
  <si>
    <t>-</t>
  </si>
  <si>
    <t>PRODUCTION ALLOCATORS</t>
  </si>
  <si>
    <t>DEMAND (12 CP GEN LEV)-PROD</t>
  </si>
  <si>
    <t>DEMAND (12 CP GEN LEV)-FERC</t>
  </si>
  <si>
    <t>DEMAND (12 CP GEN)-PROD VA</t>
  </si>
  <si>
    <t>DEMAND (12 CP GEN)-PROD KY</t>
  </si>
  <si>
    <t>DEM (12 CP GEN LV)-FERC POST</t>
  </si>
  <si>
    <t>DEM (12 CP GEN LV)-NON VA</t>
  </si>
  <si>
    <t>DEMPRODNV</t>
  </si>
  <si>
    <t>TRANSMISSION ALLOCATORS</t>
  </si>
  <si>
    <t>DEMAND (12 CP GEN LEV)-TRAN</t>
  </si>
  <si>
    <t>DEMAND (12 CP GEN LEV)-VA</t>
  </si>
  <si>
    <t>DEM (12 CP GEN LEV)-NON FERC</t>
  </si>
  <si>
    <t>DEM (12 CP GN LEV)-TRAN FERC</t>
  </si>
  <si>
    <t>DEMFERCT</t>
  </si>
  <si>
    <t>DEM (12 CP GEN LEV)-NON VA&amp;FERC</t>
  </si>
  <si>
    <t>DISTRIBUTION ALLOCATORS</t>
  </si>
  <si>
    <t>DIRECT ASSIGN 360 KY</t>
  </si>
  <si>
    <t>DIRECT ASSIGN 361 KY</t>
  </si>
  <si>
    <t>DIRECT ASSIGN 362 KY</t>
  </si>
  <si>
    <t>DIRECT ASSIGN 364 KY</t>
  </si>
  <si>
    <t>DIRECT ASSIGN 365 KY</t>
  </si>
  <si>
    <t>DIRECT ASSIGN 366 KY</t>
  </si>
  <si>
    <t>DIRECT ASSIGN 367 KY</t>
  </si>
  <si>
    <t>DIRECT ASSIGN 368 KY</t>
  </si>
  <si>
    <t>DIRECT ASSIGN 374 KY</t>
  </si>
  <si>
    <t>DIRECT ASSIGN 360-VA</t>
  </si>
  <si>
    <t>DIRECT ASSIGN 361-VA</t>
  </si>
  <si>
    <t>DIRECT ASSIGN 362-VA</t>
  </si>
  <si>
    <t>DIRECT ASSIGN 364-VA</t>
  </si>
  <si>
    <t>DIRECT ASSIGN 365-VA</t>
  </si>
  <si>
    <t>DIRECT ASSIGN 367-VA</t>
  </si>
  <si>
    <t>DIRECT ASSIGN 368-VA</t>
  </si>
  <si>
    <t>DIRECT ASSIGN 360-TN</t>
  </si>
  <si>
    <t>DIRECT ASSIGN 361-TN</t>
  </si>
  <si>
    <t>DIRECT ASSIGN 362-TN</t>
  </si>
  <si>
    <t>DIRECT ASSIGN 364-TN</t>
  </si>
  <si>
    <t>DIRECT ASSIGN 365-TN</t>
  </si>
  <si>
    <t>DIRECT ASSIGN 368-TN</t>
  </si>
  <si>
    <t>DIRECT ASSIGN 369-TN</t>
  </si>
  <si>
    <t>DIRECT ASSIGN 370-TN</t>
  </si>
  <si>
    <t>DIRECT ASSIGN 371-TN</t>
  </si>
  <si>
    <t xml:space="preserve">DIR ASSIGN ACC.DEPRC.DIST.VA&amp;TN </t>
  </si>
  <si>
    <t>DIR ASSIGN CWIP DIST VA &amp; TN</t>
  </si>
  <si>
    <t>DIR ASSIGN RENT REVENUE</t>
  </si>
  <si>
    <t>DIR ASSIGN EXCESS FACILITIES REV.</t>
  </si>
  <si>
    <t>DIR ASSIGN OTHER MISC REV.</t>
  </si>
  <si>
    <t>DIR ASSIGN RECONNECT REV</t>
  </si>
  <si>
    <t>DIR ASSIGN OTHER SERVICE REV</t>
  </si>
  <si>
    <t>DIR ASSIGN RETURN CHECK REV</t>
  </si>
  <si>
    <t>DIR ASSIGN 203(E) EXCESS</t>
  </si>
  <si>
    <t>DIR203E</t>
  </si>
  <si>
    <t>DIR ASSIGN ITC ADJ</t>
  </si>
  <si>
    <t>DIR ASSIGN DEFERRED FUEL-VIRGINIA</t>
  </si>
  <si>
    <t>ENERGY (MWH AT GEN LEVEL)</t>
  </si>
  <si>
    <t>ENERGY (MWH RETAIL @ GEN LEVEL)</t>
  </si>
  <si>
    <t>CUSTOMER</t>
  </si>
  <si>
    <t>DIRECT ASSIGN 369-SERV KY</t>
  </si>
  <si>
    <t>DIRECT ASSIGN 370 METERS KY</t>
  </si>
  <si>
    <t>DIRECT ASSIGN 371 CUST INST KY</t>
  </si>
  <si>
    <t>DIRECT ASSIGN 373 ST LIGHT KY</t>
  </si>
  <si>
    <t>CUSTOMER DEPOSITS</t>
  </si>
  <si>
    <t>DIR ASSIGN 902-METER READING</t>
  </si>
  <si>
    <t>DIR ASSIGN 903-CUSTOMER REC</t>
  </si>
  <si>
    <t>DIR ASSIGN 904-UNCOLL ACCTS</t>
  </si>
  <si>
    <t>DIR ASSIGN ACCT 369-SERV VA</t>
  </si>
  <si>
    <t>DIR ASSIGN ACCT 370 METERS VA</t>
  </si>
  <si>
    <t>DIR ASSIGN ACCT 371 CUST INST VA</t>
  </si>
  <si>
    <t>DIR ASGN ACCT 373 ST LIGHT VA</t>
  </si>
  <si>
    <t>DIR ASSIGN 908-CUST ASSIST</t>
  </si>
  <si>
    <t>DIR ASSIGN 909-INFO &amp; INSTRCT</t>
  </si>
  <si>
    <t>DIR ASSIGN 912-DEM &amp; SELLING</t>
  </si>
  <si>
    <t>DIR ASSIGN 913-ADVERTISING</t>
  </si>
  <si>
    <t>CUSTOMER ANNUALIZATION</t>
  </si>
  <si>
    <t>CUSTANN</t>
  </si>
  <si>
    <t>CUSTOMER DEPOSITS INTEREST</t>
  </si>
  <si>
    <t>DIR ASSIGN LATE PAYMENT REVENUE</t>
  </si>
  <si>
    <t>INTERNALLY DEVELOPED</t>
  </si>
  <si>
    <t>PROD-TRANSM-DISTR-GENL PLT</t>
  </si>
  <si>
    <t>PROD-TRANSM-DISTR-GENL PLT KY</t>
  </si>
  <si>
    <t>ALLOCATED O&amp;M LABOR EXPENSE</t>
  </si>
  <si>
    <t>TOTAL STEAM PROD PLANT-SYSTEM</t>
  </si>
  <si>
    <t>ALLOCATED NON A&amp;G LABOR EXPENSE</t>
  </si>
  <si>
    <t>TOT HYDRAULIC PROD PLANT-SYS</t>
  </si>
  <si>
    <t>TOTAL OTHER PROD PLANT-SYS</t>
  </si>
  <si>
    <t>TRANSM KENTUCKY SYSTEM PROP</t>
  </si>
  <si>
    <t>KYTRPLT</t>
  </si>
  <si>
    <t>TRANSM VIRGINIA PROPERTY</t>
  </si>
  <si>
    <t>TRANSM VIRGINIA PROP TOTAL</t>
  </si>
  <si>
    <t>VATRPLTT</t>
  </si>
  <si>
    <t>TOTAL DIST PLANT KY &amp; FERC</t>
  </si>
  <si>
    <t>TOTAL GENERAL PLANT</t>
  </si>
  <si>
    <t>ACCT 302-FRANCHISE</t>
  </si>
  <si>
    <t>ACCT 303-SOFTWARE</t>
  </si>
  <si>
    <t>TOTAL PRODUCTION PLANT SYSTEM</t>
  </si>
  <si>
    <t>TRANPLT</t>
  </si>
  <si>
    <t>TOTAL TRANSMISSION PLANT EXCL FERC</t>
  </si>
  <si>
    <t>MAT &amp; SUPPLIES DISTRIBUTED</t>
  </si>
  <si>
    <t>ACCT 924 &amp; 925 INSURANCE</t>
  </si>
  <si>
    <t>REVENUE SALE OF ELECT-KY</t>
  </si>
  <si>
    <t>CWIP PROD FERC-POST ALLOC</t>
  </si>
  <si>
    <t>CWIP TRAN FERC-POST ALLOC</t>
  </si>
  <si>
    <t>CWIPTP</t>
  </si>
  <si>
    <t>ACC DEF INC TX PROD FERC-POST</t>
  </si>
  <si>
    <t>ADITPP</t>
  </si>
  <si>
    <t>ACC DEF INC TX TRAN FERC-POST</t>
  </si>
  <si>
    <t>ADITTP</t>
  </si>
  <si>
    <t>TRANSMISSION PLANT EXCL VA</t>
  </si>
  <si>
    <t>TRANPLTX</t>
  </si>
  <si>
    <t>TRANSM PLANT VA</t>
  </si>
  <si>
    <t>TOT ACCT 364 &amp; 365-OVHD LINE</t>
  </si>
  <si>
    <t>TOTAL ELECTRIC PLANT KY</t>
  </si>
  <si>
    <t>TOTAL ELECTRIC PLANT KY &amp; FERC</t>
  </si>
  <si>
    <t>TOTAL ELECTRIC PLANT VA</t>
  </si>
  <si>
    <t>PLANTVA</t>
  </si>
  <si>
    <t>TOTAL HYDRAULIC PROD PLANT</t>
  </si>
  <si>
    <t>TOTAL OTHER PROD PLANT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</si>
  <si>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</si>
  <si>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</si>
  <si>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</si>
  <si>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</si>
  <si>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</si>
  <si>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</si>
  <si>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</si>
  <si>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</si>
  <si>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</si>
  <si>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</si>
  <si>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</si>
  <si>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</si>
  <si>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</si>
  <si>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REVENUE SALE OF ELECT-VA</t>
  </si>
  <si>
    <t>REVENUE SALE OF ELECT</t>
  </si>
  <si>
    <t>REVENUE</t>
  </si>
  <si>
    <t>REV SALE OF ELECT-VA NON JUR</t>
  </si>
  <si>
    <t>REV SALE OF ELECT-EXCL FERC</t>
  </si>
  <si>
    <t>REVENUEX</t>
  </si>
  <si>
    <t>KENTUCKY DISTRIBUTION PLANT</t>
  </si>
  <si>
    <t>VIRGINIA DISTRIBUTION PLANT</t>
  </si>
  <si>
    <t>TENNESSEE DISTRIBUTION PLT</t>
  </si>
  <si>
    <t>TOTAL CWIP FERC-AFUDC POST</t>
  </si>
  <si>
    <t>TOTAL 203(E) EXCESS</t>
  </si>
  <si>
    <t>TAX203E</t>
  </si>
  <si>
    <t>STEAM OPERATING EXP 501-507</t>
  </si>
  <si>
    <t>EXP5017STM</t>
  </si>
  <si>
    <t>STEAM MAINTENANCE EXP 511-514</t>
  </si>
  <si>
    <t>EXP5114STM</t>
  </si>
  <si>
    <t>HYDRO OPERATING EXP 536-540</t>
  </si>
  <si>
    <t>EXP5360HYD</t>
  </si>
  <si>
    <t>HYDRO MAINTENANCE EXP 542-545</t>
  </si>
  <si>
    <t>EXP5425HYD</t>
  </si>
  <si>
    <t>OTHER PROD OPER EXP 547-549</t>
  </si>
  <si>
    <t>EXP5479OTH</t>
  </si>
  <si>
    <t>OTHER PROD MAINT EXP 552-554</t>
  </si>
  <si>
    <t>EXP5524OTH</t>
  </si>
  <si>
    <t>TOT STEAM OPERATIONS LABOR</t>
  </si>
  <si>
    <t>LABSTMOP</t>
  </si>
  <si>
    <t>TOT STEAM MAINTENANCE LABOR</t>
  </si>
  <si>
    <t>LABSTMMN</t>
  </si>
  <si>
    <t>TOT HYDRO OPERATIONS LABOR</t>
  </si>
  <si>
    <t>LABHYDOP</t>
  </si>
  <si>
    <t>TOT HYDRO MAINTENANCE LABOR</t>
  </si>
  <si>
    <t>LABHYDMN</t>
  </si>
  <si>
    <t>TOT OTHER OPERATIONS LABOR</t>
  </si>
  <si>
    <t>LABOTHOP</t>
  </si>
  <si>
    <t>TOT OTHER MAINTENANCE LABOR</t>
  </si>
  <si>
    <t>LABOTHMN</t>
  </si>
  <si>
    <t>TRANSM OPER EXP 562-567</t>
  </si>
  <si>
    <t>EXP5627TX</t>
  </si>
  <si>
    <t>TRANSM MAINT EXP 569-573</t>
  </si>
  <si>
    <t>EXP5693TX</t>
  </si>
  <si>
    <t>TOT TRANSM OPERATIONS LABOR</t>
  </si>
  <si>
    <t>TOT TRANSM MAINTENANCE LABOR</t>
  </si>
  <si>
    <t>LABTRMN</t>
  </si>
  <si>
    <t>DISTR OPER EXP 582-589</t>
  </si>
  <si>
    <t>EXP5829DIS</t>
  </si>
  <si>
    <t>DISTR MAINT EXP 591-598</t>
  </si>
  <si>
    <t>EXP5918DIS</t>
  </si>
  <si>
    <t>TOT DISTR OPERATIONS LABOR</t>
  </si>
  <si>
    <t>LABDISOP</t>
  </si>
  <si>
    <t>TOT DISTR MAINTENANCE LABOR</t>
  </si>
  <si>
    <t>LABDISMN</t>
  </si>
  <si>
    <t>CUST ACCT EXP 902, 903 &amp; 905</t>
  </si>
  <si>
    <t>TOTAL CUST ACCOUNTS LABOR</t>
  </si>
  <si>
    <t>CUST SERVICES &amp; SALES EXP</t>
  </si>
  <si>
    <t>TOTAL CUST SERVICES LABOR</t>
  </si>
  <si>
    <t>LABCS</t>
  </si>
  <si>
    <t>SALES EXPENSE 912-916</t>
  </si>
  <si>
    <t>EXP9126SA</t>
  </si>
  <si>
    <t>TOTAL SALES EXP LABOR</t>
  </si>
  <si>
    <t>TOT ADMINISTRATIVE &amp; GEN EXP</t>
  </si>
  <si>
    <t>A_GEXP</t>
  </si>
  <si>
    <t>ACCT 930-EPRI &amp; ADVERTISING</t>
  </si>
  <si>
    <t>EXP930A</t>
  </si>
  <si>
    <t>TOTAL CUSTOMER SERVICES EXP</t>
  </si>
  <si>
    <t>CUSTSER</t>
  </si>
  <si>
    <t>DISTRIBUTION PLANT EXCL VA</t>
  </si>
  <si>
    <t>ACCT 926 DIR ASSIGN COMP.KY RET</t>
  </si>
  <si>
    <t>ACCT 926 DIR ASSIGN COMP.VAJ</t>
  </si>
  <si>
    <t>LABPTDVAJ</t>
  </si>
  <si>
    <t>ACCT 926 DIR ASSIGN COMP.VANJ</t>
  </si>
  <si>
    <t>LABPTDVNJ</t>
  </si>
  <si>
    <t>ACCT 926 DIR ASSIGN COMP.FERC</t>
  </si>
  <si>
    <t>LABPTDFER</t>
  </si>
  <si>
    <t>203(E) EXCESS DEF TAXES EXCL VA</t>
  </si>
  <si>
    <t>STATE203E</t>
  </si>
  <si>
    <t>ALLOC O&amp;M LABOR EXPENSE EXCL FERC</t>
  </si>
  <si>
    <t>TRANSM KENTUCKY SYS PROP XFERC</t>
  </si>
  <si>
    <t>REVENUES FROM ELECTRIC SALES</t>
  </si>
  <si>
    <t>440-RESIDENTIAL</t>
  </si>
  <si>
    <t>442-COMMERCIAL</t>
  </si>
  <si>
    <t>442-LARGE COMMERCIAL</t>
  </si>
  <si>
    <t>442-INDUSTRIAL</t>
  </si>
  <si>
    <t>442-MINE POWER</t>
  </si>
  <si>
    <t>444-PUBLIC ST &amp; HWY LIGHTING</t>
  </si>
  <si>
    <t>445-OTHER PUBLIC AUTHORITIES</t>
  </si>
  <si>
    <t>445-MUNICIPAL PUMPING</t>
  </si>
  <si>
    <t>447-SALES FOR RESALE-MUNICIPAL WHOLESALE</t>
  </si>
  <si>
    <t>ANNUALIZATION</t>
  </si>
  <si>
    <t>449-PROVISION FOR RATE REFUND</t>
  </si>
  <si>
    <t>RATIO TABLE</t>
  </si>
  <si>
    <t>CAPACITY RELATED</t>
  </si>
  <si>
    <t xml:space="preserve">DIR ASSIGN ACCUM DEPREC.VA &amp; TN </t>
  </si>
  <si>
    <t>DIR ASSIGN CWIP VA &amp; TN</t>
  </si>
  <si>
    <t>DIR ASSIGN ACC DFD TAX VA</t>
  </si>
  <si>
    <t>DIR ASSIGN ACC ITC VA</t>
  </si>
  <si>
    <t>DIR ASSIGN RECONNECT REV.</t>
  </si>
  <si>
    <t>DIR ASSIGN OTHER SERVICE REV.</t>
  </si>
  <si>
    <t>DIR ASSIGN RETURN CHECK REV.</t>
  </si>
  <si>
    <t>DIR ASSIGN ACCT 369-SERV KY</t>
  </si>
  <si>
    <t>DIR ASSIGN ACCT 370 METERS KY</t>
  </si>
  <si>
    <t>DIR ASN ACCT 371 CUST INST KY</t>
  </si>
  <si>
    <t>DIR ASGN ACCT 373 ST LIGHT KY</t>
  </si>
  <si>
    <t>DIR ASN ACCT 371 CUST INST VA</t>
  </si>
  <si>
    <t>LATE PAYMENT REVENUES</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</si>
  <si>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</si>
  <si>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</si>
  <si>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</si>
  <si>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</si>
  <si>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</si>
  <si>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</si>
  <si>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</si>
  <si>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</si>
  <si>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</si>
  <si>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SCHEDULE B-2</t>
  </si>
  <si>
    <t>PLANT IN SERVICE BY MAJOR PROPERTY GROUPING</t>
  </si>
  <si>
    <t>MAJOR PROPERTY GROUPING</t>
  </si>
  <si>
    <t>STEAM PRODUCTION</t>
  </si>
  <si>
    <t>13 MO AVG FORECAST PERIOD        TOTAL COMPANY</t>
  </si>
  <si>
    <t>HYDO PRODUCTION</t>
  </si>
  <si>
    <t>OTHER PRODUCTION</t>
  </si>
  <si>
    <t>DISTRIBUTION</t>
  </si>
  <si>
    <t>GENERAL</t>
  </si>
  <si>
    <t>ELECTRIC:</t>
  </si>
  <si>
    <t>13 MO AVG ADJUSTED JURISDICTION</t>
  </si>
  <si>
    <t>TOTAL ELECTRIC</t>
  </si>
  <si>
    <t>SCHEDULE B-1</t>
  </si>
  <si>
    <t>JURISDICTIONAL RATE BASE SUMMARY</t>
  </si>
  <si>
    <t>RATE BASE COMPONENT</t>
  </si>
  <si>
    <t>SUPPORTING SCHEDULE REFERENCE</t>
  </si>
  <si>
    <t>BASE PERIOD</t>
  </si>
  <si>
    <t>13 MONTH AVG FORECAST PERIOD</t>
  </si>
  <si>
    <t>Accumulated Depreciation and Amortization</t>
  </si>
  <si>
    <t>Construction Work in Progress</t>
  </si>
  <si>
    <t>Cash Working Capital Allowance</t>
  </si>
  <si>
    <t>Property Held for Future Use</t>
  </si>
  <si>
    <t>B-2</t>
  </si>
  <si>
    <t>B-2.6</t>
  </si>
  <si>
    <t>B-3</t>
  </si>
  <si>
    <t>B-5</t>
  </si>
  <si>
    <t>B-4</t>
  </si>
  <si>
    <t>Other Working Capital Allowances</t>
  </si>
  <si>
    <t>Customer Advances for Construction</t>
  </si>
  <si>
    <t>B-6</t>
  </si>
  <si>
    <t>Deferred Income Taxes</t>
  </si>
  <si>
    <t>Investment Tax Credits</t>
  </si>
  <si>
    <t>Other Items</t>
  </si>
  <si>
    <t>Rate Base (Lines 6 through 12)</t>
  </si>
  <si>
    <t>WORKPAPER REFERENCE NO(S).: SEE BELOW</t>
  </si>
  <si>
    <t>WORKPAPER REFERENCE NO(S).:</t>
  </si>
  <si>
    <t>SCHEDULE B-3</t>
  </si>
  <si>
    <t>ACCUMULATED DEPRECIATION AND AMORTIZATION</t>
  </si>
  <si>
    <t>BASE PERIOD TOTAL COMPANY INVESTMENT</t>
  </si>
  <si>
    <t>TOTAL COMPANY</t>
  </si>
  <si>
    <t>RESERVE BALANCES</t>
  </si>
  <si>
    <t>RWIP</t>
  </si>
  <si>
    <t>Allocation</t>
  </si>
  <si>
    <t>SCHEDULE B-3.1</t>
  </si>
  <si>
    <t>ADJUSTMENTS TO ACCUMULATED DEPRECIATION AND AMORTIZATION</t>
  </si>
  <si>
    <t>Net Plant in Service (Lines 1+2+3)</t>
  </si>
  <si>
    <t>Net Plant (Lines 4+5)</t>
  </si>
  <si>
    <t>13 MONTH AVERAGE RESERVE BALANCES</t>
  </si>
  <si>
    <t xml:space="preserve">TOTAL ELECTRIC PLANT </t>
  </si>
  <si>
    <t>SCHEDULE B-4</t>
  </si>
  <si>
    <t>CONSTRUCTION AMOUNT</t>
  </si>
  <si>
    <t>AFUDC CAPITALIZED</t>
  </si>
  <si>
    <t>INDIRECT COSTS</t>
  </si>
  <si>
    <t>TOTAL COSTS</t>
  </si>
  <si>
    <t>ACCUMULATED COSTS</t>
  </si>
  <si>
    <t>SCHEDULE B-4.1</t>
  </si>
  <si>
    <t>CONSTRUCTION WORK IN PROGRESS - PERCENT COMPLETE</t>
  </si>
  <si>
    <t>(A)</t>
  </si>
  <si>
    <t>(B)</t>
  </si>
  <si>
    <t>PROJECT NO.</t>
  </si>
  <si>
    <t>DESCRIPTION OF PROJECT</t>
  </si>
  <si>
    <t>(C)</t>
  </si>
  <si>
    <t>DATE CONSTRUCTION BEGAN</t>
  </si>
  <si>
    <t>ESTIMATED COMPLETION DATE</t>
  </si>
  <si>
    <t>PERCENT OF ELAPSED TIME</t>
  </si>
  <si>
    <t>ORIGINAL BUDGET ESTIMATE</t>
  </si>
  <si>
    <t>CURRENT BUDGET ESTIMATE</t>
  </si>
  <si>
    <t>TOTAL PROJECT EXPENDITURES</t>
  </si>
  <si>
    <t>PERCENT OF TOTAL EXPENDITURES</t>
  </si>
  <si>
    <t>(D)</t>
  </si>
  <si>
    <t>(E)</t>
  </si>
  <si>
    <t>(F)</t>
  </si>
  <si>
    <t>(G)</t>
  </si>
  <si>
    <t>(H)</t>
  </si>
  <si>
    <t>(I)</t>
  </si>
  <si>
    <t>(J)=(I) / (H)</t>
  </si>
  <si>
    <t>PROJECT DURATION</t>
  </si>
  <si>
    <t>TIME PERIOD</t>
  </si>
  <si>
    <t>FROM PERIOD TO END OF PROJECT</t>
  </si>
  <si>
    <t>SCHEDULE B-3.2</t>
  </si>
  <si>
    <t>DEPRECIATION ACCRUAL RATES AND ACCUMULATED BALANCES BY ACCOUNT</t>
  </si>
  <si>
    <t>ACCOUNT TITLE OR MAJOR PROPERTY GROUPING</t>
  </si>
  <si>
    <t>PLANT INVESTMENT</t>
  </si>
  <si>
    <t>ACCUMULATED BALANCE</t>
  </si>
  <si>
    <t>CALCULATED DEPRECIATION EXPENSE</t>
  </si>
  <si>
    <t>(G=DxF)</t>
  </si>
  <si>
    <t>% NET SALVAGE</t>
  </si>
  <si>
    <t>CURVE FORM</t>
  </si>
  <si>
    <t>(J)</t>
  </si>
  <si>
    <t>CALC.</t>
  </si>
  <si>
    <t>CAPITAL</t>
  </si>
  <si>
    <t>COST OF</t>
  </si>
  <si>
    <t>GROSS</t>
  </si>
  <si>
    <t>NET</t>
  </si>
  <si>
    <t>ANNUAL</t>
  </si>
  <si>
    <t>RECOVERY</t>
  </si>
  <si>
    <t>REMOVAL</t>
  </si>
  <si>
    <t>SALVAGE</t>
  </si>
  <si>
    <t>COMPOSITE</t>
  </si>
  <si>
    <t>ACCRUAL</t>
  </si>
  <si>
    <t>SURVIVOR</t>
  </si>
  <si>
    <t>REMAINING</t>
  </si>
  <si>
    <t>ACCOUNT</t>
  </si>
  <si>
    <t>PERCENT</t>
  </si>
  <si>
    <t>RATE %</t>
  </si>
  <si>
    <t>RATE</t>
  </si>
  <si>
    <t>CURVE</t>
  </si>
  <si>
    <t>LIFE</t>
  </si>
  <si>
    <t xml:space="preserve">DEPRECIABLE PLANT </t>
  </si>
  <si>
    <t>FRANCHISES AND CONSENTS</t>
  </si>
  <si>
    <t>20-SQ</t>
  </si>
  <si>
    <t>MISCELLANEOUS INTANGIBLE PLANT</t>
  </si>
  <si>
    <t>5-SQ</t>
  </si>
  <si>
    <t>CCS SOFTWARE</t>
  </si>
  <si>
    <t>SQUARE</t>
  </si>
  <si>
    <t xml:space="preserve">    TOTAL INTANGIBLE PLANT </t>
  </si>
  <si>
    <t xml:space="preserve">STEAM PRODUCTION PLANT </t>
  </si>
  <si>
    <t xml:space="preserve">STRUCTURES AND IMPROVEMENTS                   </t>
  </si>
  <si>
    <t xml:space="preserve">  TRIMBLE COUNTY UNIT 2</t>
  </si>
  <si>
    <t xml:space="preserve">  TRIMBLE COUNTY UNIT 2 SCRUBBER</t>
  </si>
  <si>
    <t xml:space="preserve">  SYSTEM LABORATORY</t>
  </si>
  <si>
    <t xml:space="preserve">  TYRONE UNIT 3</t>
  </si>
  <si>
    <t xml:space="preserve">  TYRONE UNITS 1 AND 2</t>
  </si>
  <si>
    <t xml:space="preserve">  GREEN RIVER UNIT 3</t>
  </si>
  <si>
    <t xml:space="preserve">  GREEN RIVER UNIT 4</t>
  </si>
  <si>
    <t xml:space="preserve">  GREEN RIVER UNITS 1 AND 2</t>
  </si>
  <si>
    <t xml:space="preserve">  BROWN UNIT 1</t>
  </si>
  <si>
    <t xml:space="preserve">  BROWN UNIT 2</t>
  </si>
  <si>
    <t xml:space="preserve">  BROWN UNIT 3</t>
  </si>
  <si>
    <t xml:space="preserve">  BROWN UNIT 1, 2 AND 3 SCRUBBER</t>
  </si>
  <si>
    <t xml:space="preserve">  PINEVILLE UNIT 3</t>
  </si>
  <si>
    <t xml:space="preserve">  GHENT UNIT 1 SCRUBBER</t>
  </si>
  <si>
    <t xml:space="preserve">  GHENT UNIT 1  </t>
  </si>
  <si>
    <t xml:space="preserve">  GHENT UNIT 2</t>
  </si>
  <si>
    <t xml:space="preserve">  GHENT UNIT 3</t>
  </si>
  <si>
    <t xml:space="preserve">  GHENT UNIT 4</t>
  </si>
  <si>
    <t xml:space="preserve">  GHENT UNIT 2 SCRUBBER</t>
  </si>
  <si>
    <t>TOTAL ACCOUNT 311 - STRUCTURES AND IMPROVEMENTS</t>
  </si>
  <si>
    <t xml:space="preserve">BOILER PLANT EQUIPMENT </t>
  </si>
  <si>
    <t>60-R2.5</t>
  </si>
  <si>
    <t xml:space="preserve">  GHENT UNIT 3 SCRUBBER</t>
  </si>
  <si>
    <t xml:space="preserve">  GHENT UNIT 4 SCRUBBER</t>
  </si>
  <si>
    <t>TOTAL ACCOUNT 312 - BOILER PLANT EQUIPMENT</t>
  </si>
  <si>
    <t xml:space="preserve">TURBOGENERATOR UNITS </t>
  </si>
  <si>
    <t>TOTAL ACCOUNT 314 - TURBOGENERATOR UNITS</t>
  </si>
  <si>
    <t xml:space="preserve">ACCESSORY ELECTRIC EQUIPMENT </t>
  </si>
  <si>
    <t>70-S3</t>
  </si>
  <si>
    <t>TOTAL ACCOUNT 315 - ACCESSORY ELECTRIC EQUIPMENT</t>
  </si>
  <si>
    <t xml:space="preserve">MISCELLANEOUS POWER PLANT EQUIPMENT </t>
  </si>
  <si>
    <t>70-R1.5</t>
  </si>
  <si>
    <t xml:space="preserve">    TOTAL STEAM PRODUCTION PLANT </t>
  </si>
  <si>
    <t>LAND RIGHTS</t>
  </si>
  <si>
    <t xml:space="preserve">  DIX DAM  </t>
  </si>
  <si>
    <t>100-R4</t>
  </si>
  <si>
    <t>TOTAL ACCOUNT 330.1 - LAND RIGHTS</t>
  </si>
  <si>
    <t>STRUCTURES AND IMPROVEMENTS</t>
  </si>
  <si>
    <t xml:space="preserve">  DIX DAM                  </t>
  </si>
  <si>
    <t>90-S2.5</t>
  </si>
  <si>
    <t>TOTAL ACCOUNT 331 - STRUCTURES AND IMPROVEMENTS</t>
  </si>
  <si>
    <t>RESERVOIRS, DAMS AND WATERWAY</t>
  </si>
  <si>
    <t>TOTAL ACCOUNT 332 - RESERVOIRS, DAMS AND WATERWAYS</t>
  </si>
  <si>
    <t>WATER WHEELS, TURBINES AND GENERATORS</t>
  </si>
  <si>
    <t xml:space="preserve">  DIX DAM                   </t>
  </si>
  <si>
    <t>75-R3</t>
  </si>
  <si>
    <t>TOTAL ACCOUNT 333 - WATER WHEELS, TURBINES AND GENERATORS</t>
  </si>
  <si>
    <t>ACCESSORY ELECTRIC EQUIPMENT</t>
  </si>
  <si>
    <t>40-L2.5</t>
  </si>
  <si>
    <t>TOTAL ACCOUNT 334 - ACCESSORY ELECTRIC EQUIPMENT</t>
  </si>
  <si>
    <t>MISCELLANEOUS POWER PLANT EQUIPMENT</t>
  </si>
  <si>
    <t>TOTAL ACCOUNT 335 - MISCELLANEOUS POWER PLANT EQUIPMENT</t>
  </si>
  <si>
    <t>ROADS, RAILROADS AND BRIDGES</t>
  </si>
  <si>
    <t>TOTAL ACCOUNT 336 - ROADS, RAILROADS AND BRIDGES</t>
  </si>
  <si>
    <t xml:space="preserve">    TOTAL HYDRAULIC PRODUCTION PLANT </t>
  </si>
  <si>
    <t xml:space="preserve">  BROWN CT UNIT 9 GAS PIPE</t>
  </si>
  <si>
    <t>TOTAL ACCOUNT 340.1 - LAND RIGHTS</t>
  </si>
  <si>
    <t xml:space="preserve">  TRIMBLE COUNTY CT 5</t>
  </si>
  <si>
    <t xml:space="preserve">  TRIMBLE COUNTY CT 6</t>
  </si>
  <si>
    <t xml:space="preserve">  TRIMBLE COUNTY CT 7</t>
  </si>
  <si>
    <t xml:space="preserve">  TRIMBLE COUNTY CT 8</t>
  </si>
  <si>
    <t xml:space="preserve">  TRIMBLE COUNTY CT 9</t>
  </si>
  <si>
    <t xml:space="preserve">  TRIMBLE COUNTY CT 10</t>
  </si>
  <si>
    <t xml:space="preserve">  BROWN CT 5</t>
  </si>
  <si>
    <t xml:space="preserve">  BROWN CT 6</t>
  </si>
  <si>
    <t xml:space="preserve">  BROWN CT 7</t>
  </si>
  <si>
    <t xml:space="preserve">  BROWN CT 8</t>
  </si>
  <si>
    <t xml:space="preserve">  BROWN CT 9</t>
  </si>
  <si>
    <t xml:space="preserve">  BROWN CT 10</t>
  </si>
  <si>
    <t xml:space="preserve">  BROWN CT 11</t>
  </si>
  <si>
    <t xml:space="preserve">  HAEFLING UNITS 1, 2 AND 3</t>
  </si>
  <si>
    <t xml:space="preserve">  PADDY'S RUN GENERATOR 13</t>
  </si>
  <si>
    <t>TOTAL ACCOUNT 341 - STRUCTURES AND IMPROVEMENTS</t>
  </si>
  <si>
    <t>FUEL HOLDERS, PRODUCERS AND ACCESSORIES</t>
  </si>
  <si>
    <t>45-R2.5</t>
  </si>
  <si>
    <t xml:space="preserve">  TRIMBLE COUNTY CT PIPELINE</t>
  </si>
  <si>
    <t>TOTAL ACCOUNT 342 - FUEL HOLDERS, PRODUCERS AND ACCESSORIES</t>
  </si>
  <si>
    <t>PRIME MOVERS</t>
  </si>
  <si>
    <t>35-R1.5</t>
  </si>
  <si>
    <t>TOTAL ACCOUNT 343 - PRIME MOVERS</t>
  </si>
  <si>
    <t xml:space="preserve">GENERATORS                                    </t>
  </si>
  <si>
    <t>TOTAL ACCOUNT 344 - GENERATORS</t>
  </si>
  <si>
    <t xml:space="preserve">ACCESSORY ELECTRIC EQUIPMENT                  </t>
  </si>
  <si>
    <t>TOTAL ACCOUNT 345 - ACCESSORY ELECTRIC EQUIPMENT</t>
  </si>
  <si>
    <t xml:space="preserve">MISCELLANEOUS POWER PLANT EQUIPMENT                 </t>
  </si>
  <si>
    <t>TOTAL ACCOUNT 346 - MISCELLANEOUS POWER PLANT EQUIPMENT</t>
  </si>
  <si>
    <t xml:space="preserve">    TOTAL OTHER PRODUCTION PLANT </t>
  </si>
  <si>
    <t xml:space="preserve">TRANSMISSION PLANT </t>
  </si>
  <si>
    <t xml:space="preserve">LAND RIGHTS        </t>
  </si>
  <si>
    <t>STRUCTURES AND IMPROVEMENTS - NON SYS CONTROL/COM</t>
  </si>
  <si>
    <t xml:space="preserve">STRUCTURES AND IMPROVEMENTS - SYS CONTROL/COM  </t>
  </si>
  <si>
    <t xml:space="preserve">STATION EQUIPMENT - NON SYS CONTROL/COM      </t>
  </si>
  <si>
    <t>60-R2</t>
  </si>
  <si>
    <t xml:space="preserve">STATION EQUIPMENT - SYS CONTROL/COM          </t>
  </si>
  <si>
    <t xml:space="preserve">TOWERS AND FIXTURES                          </t>
  </si>
  <si>
    <t>70-R4</t>
  </si>
  <si>
    <t xml:space="preserve">POLES AND FIXTURES                           </t>
  </si>
  <si>
    <t xml:space="preserve">OVERHEAD CONDUCTORS AND DEVICES              </t>
  </si>
  <si>
    <t xml:space="preserve">UNDERGROUND CONDUIT                          </t>
  </si>
  <si>
    <t xml:space="preserve">UNDERGROUND CONDUCTORS AND DEVICES           </t>
  </si>
  <si>
    <t xml:space="preserve">    TOTAL TRANSMISSION PLANT </t>
  </si>
  <si>
    <t xml:space="preserve">DISTRIBUTION PLANT </t>
  </si>
  <si>
    <t xml:space="preserve">LAND RIGHTS               </t>
  </si>
  <si>
    <t>65-R4</t>
  </si>
  <si>
    <t xml:space="preserve">STRUCTURES AND IMPROVEMENTS         </t>
  </si>
  <si>
    <t xml:space="preserve">STATION EQUIPMENT                  </t>
  </si>
  <si>
    <t>54-R2</t>
  </si>
  <si>
    <t xml:space="preserve">POLES, TOWERS AND FIXTURES        </t>
  </si>
  <si>
    <t xml:space="preserve">OVERHEAD CONDUCTORS AND DEVICES    </t>
  </si>
  <si>
    <t xml:space="preserve">UNDERGROUND CONDUIT                 </t>
  </si>
  <si>
    <t>50-R4</t>
  </si>
  <si>
    <t xml:space="preserve">UNDERGROUND CONDUCTORS AND DEVICES </t>
  </si>
  <si>
    <t xml:space="preserve">LINE TRANSFORMERS                  </t>
  </si>
  <si>
    <t xml:space="preserve">SERVICES                           </t>
  </si>
  <si>
    <t xml:space="preserve">METERS                             </t>
  </si>
  <si>
    <t xml:space="preserve">INSTALLATIONS ON CUSTOMER PREMISES </t>
  </si>
  <si>
    <t xml:space="preserve">STREET LIGHTING AND SIGNAL SYSTEMS </t>
  </si>
  <si>
    <t xml:space="preserve">    TOTAL DISTRIBUTION PLANT </t>
  </si>
  <si>
    <t xml:space="preserve">GENERAL PLANT </t>
  </si>
  <si>
    <t>STRUCTURES AND IMPROVEMENTS - TO OWNED PROPERTY</t>
  </si>
  <si>
    <t>STRUCTURES AND IMPROVEMENTS - LEASEHOLDS</t>
  </si>
  <si>
    <t xml:space="preserve">OFFICE FURNITURE AND EQUIPMENT               </t>
  </si>
  <si>
    <t xml:space="preserve">NON PC COMPUTER EQUIPMENT                    </t>
  </si>
  <si>
    <t>PERSONAL COMPUTERS</t>
  </si>
  <si>
    <t>4-SQ</t>
  </si>
  <si>
    <t>TRANSPORTATION EQUIPMENT - CARS AND LIGHT TRUCKS</t>
  </si>
  <si>
    <t>TRANSPORTATION EQUIPMENT - HEAVY TRUCKS AND OTHER</t>
  </si>
  <si>
    <t xml:space="preserve">STORES EQUIPMENT                             </t>
  </si>
  <si>
    <t>25-SQ</t>
  </si>
  <si>
    <t xml:space="preserve">TOOLS, SHOP AND GARAGE EQUIPMENT             </t>
  </si>
  <si>
    <t xml:space="preserve">POWER OPERATED EQUIPMENT - LARGE MACHINERY            </t>
  </si>
  <si>
    <t>10-SQ</t>
  </si>
  <si>
    <t xml:space="preserve">    TOTAL GENERAL PLANT </t>
  </si>
  <si>
    <t xml:space="preserve">    TOTAL DEPRECIABLE PLANT </t>
  </si>
  <si>
    <t>5-SQ, SQUARE</t>
  </si>
  <si>
    <t xml:space="preserve">WORKPAPER REFERENCE NO(S).: </t>
  </si>
  <si>
    <t>ARO amounts excluded from rate base</t>
  </si>
  <si>
    <t>ALLOWANCE FOR WORKING CAPITAL</t>
  </si>
  <si>
    <t>SCHEDULE B-5</t>
  </si>
  <si>
    <t>WORKING CAPITAL COMPONENT</t>
  </si>
  <si>
    <t>DESCRIPTION OF METHODOLOGY USED TO DETERMINE JURISDICTIONAL REQUIREMENT</t>
  </si>
  <si>
    <t>JURISDICTIONAL AMOUNT</t>
  </si>
  <si>
    <t>FUEL STOCK</t>
  </si>
  <si>
    <t>MATERIAL AND SUPPLIES</t>
  </si>
  <si>
    <t>CASH WORKING CAPITAL</t>
  </si>
  <si>
    <t>TOTAL WORKING CAPITAL REQUIREMENTS</t>
  </si>
  <si>
    <t>PREPAYMENTS (a)</t>
  </si>
  <si>
    <t>(a) Excludes PSC fees.</t>
  </si>
  <si>
    <t>13 MONTH AVERAGE BALANCE</t>
  </si>
  <si>
    <t>B-5.1</t>
  </si>
  <si>
    <t>B-5.2</t>
  </si>
  <si>
    <t>SCHEDULE B-5.1</t>
  </si>
  <si>
    <t>13 MONTH AVERAGE FOR PERIOD</t>
  </si>
  <si>
    <t>TOTAL OTHER WORKING CAPITAL</t>
  </si>
  <si>
    <t>OTHER WORKING CAPITAL COMPONENTS</t>
  </si>
  <si>
    <t>CASH WORKING CAPITAL COMPONENTS</t>
  </si>
  <si>
    <t>SCHEDULE B-5.2</t>
  </si>
  <si>
    <t>ELECTRIC POWER PURCHASED</t>
  </si>
  <si>
    <t>O&amp;M LESS PURCHASE POWER EXPENSE (LINE 1 - 2)</t>
  </si>
  <si>
    <t>SCHEDULE B-6</t>
  </si>
  <si>
    <t>CERTAIN DEFERRED CREDITS AND ACCUMULATED DEFERRED INCOME TAXES</t>
  </si>
  <si>
    <t>Deferred Investment Tax Credits</t>
  </si>
  <si>
    <t>UTILITY PLANT</t>
  </si>
  <si>
    <t>CURRENT AND ACCRUED ASSETS</t>
  </si>
  <si>
    <t>Total Current and Accrued Assets</t>
  </si>
  <si>
    <t>PROPRIETARY CAPITAL</t>
  </si>
  <si>
    <t>LONG-TERM DEBT</t>
  </si>
  <si>
    <t>CURRENT AND ACCRUED LIABILITIES</t>
  </si>
  <si>
    <t>Total Current and Accrued Liabilities</t>
  </si>
  <si>
    <t>DEFERRED CREDITS</t>
  </si>
  <si>
    <t>Total Deferred Credits</t>
  </si>
  <si>
    <t>190, 282, 283</t>
  </si>
  <si>
    <t>DESCRIPTION OF FACTORS AND/OR METHOD OF ALLOCATION</t>
  </si>
  <si>
    <t>SCHEDULE B-7</t>
  </si>
  <si>
    <t>JURISDICTIONAL PERCENTAGE</t>
  </si>
  <si>
    <t>COMPARATIVE BALANCE SHEETS</t>
  </si>
  <si>
    <t xml:space="preserve">WORKPAPER REFERENCE NO(S).:  </t>
  </si>
  <si>
    <t>Utility Plant</t>
  </si>
  <si>
    <t>Total Deferred Debits</t>
  </si>
  <si>
    <t>Total Assets</t>
  </si>
  <si>
    <t>SCHEDULE B-8</t>
  </si>
  <si>
    <t>FORECAST</t>
  </si>
  <si>
    <t>PERIOD</t>
  </si>
  <si>
    <t>% CHANGE</t>
  </si>
  <si>
    <t>BASE</t>
  </si>
  <si>
    <t>LINE</t>
  </si>
  <si>
    <t>NO.</t>
  </si>
  <si>
    <t>SCHEDULE B-7.1</t>
  </si>
  <si>
    <t>JURISDICTIONAL STATISTICS - RATE BASE</t>
  </si>
  <si>
    <t>STATISTIC TOTAL COMPANY</t>
  </si>
  <si>
    <t>ADJUSTMENT TO TOTAL COMPANY STATISTIC</t>
  </si>
  <si>
    <t>ADJUSTED STATISTIC FOR TOTAL COMPANY</t>
  </si>
  <si>
    <t>(E=C+D)</t>
  </si>
  <si>
    <t>ALLOCATION FACTOR %</t>
  </si>
  <si>
    <t>(G=F/E)</t>
  </si>
  <si>
    <t>PROCEDURES APPROVED IN PRIOR CASE</t>
  </si>
  <si>
    <t>RATIONALE FOR CHANGE</t>
  </si>
  <si>
    <t>EXPLANATION OF CHANGES IN JURISDICTIONAL PROCEDURES - RATE BASE</t>
  </si>
  <si>
    <t>SCHEDULE B-7.2</t>
  </si>
  <si>
    <t>13 MO AVG</t>
  </si>
  <si>
    <t>Ending CWIP</t>
  </si>
  <si>
    <t xml:space="preserve">   KU Distribution - KY </t>
  </si>
  <si>
    <t xml:space="preserve">   KU Distribution - VA </t>
  </si>
  <si>
    <t xml:space="preserve">   KU General - KY </t>
  </si>
  <si>
    <t xml:space="preserve">   KU General - VA </t>
  </si>
  <si>
    <t xml:space="preserve">   KU Hydro Production </t>
  </si>
  <si>
    <t xml:space="preserve">   KU Intangible - KY </t>
  </si>
  <si>
    <t xml:space="preserve">   KU Land - KY </t>
  </si>
  <si>
    <t xml:space="preserve">   KU Other Production </t>
  </si>
  <si>
    <t xml:space="preserve">   KU Steam Production </t>
  </si>
  <si>
    <t xml:space="preserve">   KU Steam Production ECR 2009 </t>
  </si>
  <si>
    <t xml:space="preserve">   KU Steam Production ECR 2011 </t>
  </si>
  <si>
    <t xml:space="preserve">   KU Steam Production ECR Future Plan </t>
  </si>
  <si>
    <t xml:space="preserve">   KU Transmission - KY </t>
  </si>
  <si>
    <t xml:space="preserve">   KU Transmission - VA </t>
  </si>
  <si>
    <t xml:space="preserve">   KY CWIP &amp; RWIP Total </t>
  </si>
  <si>
    <t>CWIP FERC AFUDC - POST</t>
  </si>
  <si>
    <t>Ending RWIP</t>
  </si>
  <si>
    <t>ASSETS</t>
  </si>
  <si>
    <t>Total Utility Plant</t>
  </si>
  <si>
    <t>Less: Accumulated Provision for Depreciation</t>
  </si>
  <si>
    <t>Net Utility Plant</t>
  </si>
  <si>
    <t>OTHER PROPERTY AND INVESTMENTS</t>
  </si>
  <si>
    <t>Nonutility Property-Less Reserve</t>
  </si>
  <si>
    <t>Investment in Subsidiary Companies</t>
  </si>
  <si>
    <t>Other Investments</t>
  </si>
  <si>
    <t>Special Funds</t>
  </si>
  <si>
    <t>Total Other Property and Investments</t>
  </si>
  <si>
    <t>Cash</t>
  </si>
  <si>
    <t>Special Deposits</t>
  </si>
  <si>
    <t>Working Funds</t>
  </si>
  <si>
    <t>Temporary Cash Investments</t>
  </si>
  <si>
    <t>Customer Accounts Receivable</t>
  </si>
  <si>
    <t>Other Accounts Receivable</t>
  </si>
  <si>
    <t>Less: Accum Prov. for Uncollectable Accts-Credit</t>
  </si>
  <si>
    <t>Accounts Receivable from Associated Companies</t>
  </si>
  <si>
    <t>Fuel</t>
  </si>
  <si>
    <t>Plant Materials and Operating Supplies</t>
  </si>
  <si>
    <t>Allowances</t>
  </si>
  <si>
    <t>Stores Expense Undistributed</t>
  </si>
  <si>
    <t>Prepayments</t>
  </si>
  <si>
    <t>Accrued Utility Revenues</t>
  </si>
  <si>
    <t>Miscellaneous Current Assets</t>
  </si>
  <si>
    <t>DEFERRED DEBITS</t>
  </si>
  <si>
    <t>Unamortized Debt Expense</t>
  </si>
  <si>
    <t>Other Regulatory Assets</t>
  </si>
  <si>
    <t>Preliminary Survey and Inventory</t>
  </si>
  <si>
    <t>Clearing Accounts</t>
  </si>
  <si>
    <t>Miscellaneous Deferred Debits</t>
  </si>
  <si>
    <t>Unamortized Loss on Re-Acquired Debt</t>
  </si>
  <si>
    <t>Accumulated Deferred Income Taxes</t>
  </si>
  <si>
    <t>LIABILITIES &amp; PROPRIETARY CAPITAL</t>
  </si>
  <si>
    <t>Common Stock Issued</t>
  </si>
  <si>
    <t>Paid in Capital</t>
  </si>
  <si>
    <t>(Less) Capital Stock Expense</t>
  </si>
  <si>
    <t>Other Comprehensive Income</t>
  </si>
  <si>
    <t>Retained Earnings</t>
  </si>
  <si>
    <t>Unappropriated Undistributed Subsidiary Earnings</t>
  </si>
  <si>
    <t>Total Proprietary Capital</t>
  </si>
  <si>
    <t>Bonds</t>
  </si>
  <si>
    <t>Unamortized Discount on Long-Term Debt</t>
  </si>
  <si>
    <t>Total Long-Term Debt</t>
  </si>
  <si>
    <t>OTHER NON-CURRENT LIABILITIES</t>
  </si>
  <si>
    <t>Accumulated Provision for Injuries and Damages</t>
  </si>
  <si>
    <t>Accumulated Provision for Pensions and Benefits</t>
  </si>
  <si>
    <t>Total Other Non-Current Liabilities</t>
  </si>
  <si>
    <t>Accounts Payable</t>
  </si>
  <si>
    <t>Accounts Payable to Associated Companies</t>
  </si>
  <si>
    <t>Customer Deposits</t>
  </si>
  <si>
    <t>Taxes Accrued</t>
  </si>
  <si>
    <t>Interest Accrued</t>
  </si>
  <si>
    <t>Tax Collections Payable</t>
  </si>
  <si>
    <t>Miscellaneous Current and Accrued Liabilities</t>
  </si>
  <si>
    <t>Accumulated Deferred Investment Tax Credits</t>
  </si>
  <si>
    <t>Other Deferred Credits</t>
  </si>
  <si>
    <t>Other Regulatory Liabilities</t>
  </si>
  <si>
    <t>Asset Retirement Obligation</t>
  </si>
  <si>
    <t>Miscellaneous Long-Term Liabilities</t>
  </si>
  <si>
    <t>Total Liabilities and Stockholders Equity</t>
  </si>
  <si>
    <t>Notes Payable</t>
  </si>
  <si>
    <t>Notes Payable to Associated Companies</t>
  </si>
  <si>
    <t>Long-Term Debt to Associated Companies</t>
  </si>
  <si>
    <t>B-1</t>
  </si>
  <si>
    <t>B-2.1</t>
  </si>
  <si>
    <t>B-2.2</t>
  </si>
  <si>
    <t>B-2.3</t>
  </si>
  <si>
    <t>B-2.4</t>
  </si>
  <si>
    <t>B-2.5</t>
  </si>
  <si>
    <t>B-3.1</t>
  </si>
  <si>
    <t>B-4.1</t>
  </si>
  <si>
    <t>B-7</t>
  </si>
  <si>
    <t>B-7.1</t>
  </si>
  <si>
    <t>B-7.2</t>
  </si>
  <si>
    <t>SCHEDULE</t>
  </si>
  <si>
    <t>B-2.7</t>
  </si>
  <si>
    <t>B-8</t>
  </si>
  <si>
    <t>ACQUISITION COST</t>
  </si>
  <si>
    <t>13 MO AVG PLANT INVESTMENT</t>
  </si>
  <si>
    <t>13 MO AVG ACCUMULATED BALANCE</t>
  </si>
  <si>
    <t>Non-utility property not included in rate base</t>
  </si>
  <si>
    <t>THE COMPANY DOES NOT HAVE ANY CAPITAL LEASES.</t>
  </si>
  <si>
    <t>THE COMPANY HAS NOT MERGED OR ACQUIRED PROPERTY FROM OTHER THAN AFFILIATED COMPANIES.</t>
  </si>
  <si>
    <t>SCHEDULE  B</t>
  </si>
  <si>
    <t>JURISDICTIONAL RATE BASE SUMMARY FOR THE BASE AND FORECASTED PERIOD</t>
  </si>
  <si>
    <t>BASE PERIOD:</t>
  </si>
  <si>
    <t>FORECASTED TEST PERIOD:</t>
  </si>
  <si>
    <t>RATE BASE SUMMARY</t>
  </si>
  <si>
    <t>PLANT IN SERVICE BY MAJOR GROUPING</t>
  </si>
  <si>
    <t>GROSS ADDITIONS, RETIREMENTS AND TRANSFERS</t>
  </si>
  <si>
    <t>DEFERRED CREDITS AND ACCUMULATED DEFERRED INCOME TAXES</t>
  </si>
  <si>
    <t>JURISDICTIONAL PERCENTAGES</t>
  </si>
  <si>
    <t>EXPLANATION OF CHANGES IN JURISDICTIONAL PROCEDURES</t>
  </si>
  <si>
    <t xml:space="preserve">Augusta </t>
  </si>
  <si>
    <t>Blackmount Substation</t>
  </si>
  <si>
    <t>Campbellsville</t>
  </si>
  <si>
    <t>Carrollton</t>
  </si>
  <si>
    <t>Cumberland Substation</t>
  </si>
  <si>
    <t>Graham Generating Plant</t>
  </si>
  <si>
    <t>Iron Works Pike Substation</t>
  </si>
  <si>
    <t>Lexington Generating Plant</t>
  </si>
  <si>
    <t>Lexington</t>
  </si>
  <si>
    <t>Middlesboro</t>
  </si>
  <si>
    <t>Nortonville</t>
  </si>
  <si>
    <t>Pineville</t>
  </si>
  <si>
    <t>Williamsburg</t>
  </si>
  <si>
    <t>Retired Great Crossing substation 0672</t>
  </si>
  <si>
    <t>Retired London Substation 0533</t>
  </si>
  <si>
    <t>Richmond Substation</t>
  </si>
  <si>
    <t>Richmond Valley View Plant Site</t>
  </si>
  <si>
    <t>Russell Springs</t>
  </si>
  <si>
    <t>Salt Lick</t>
  </si>
  <si>
    <t>Stamping Ground</t>
  </si>
  <si>
    <t>Winchester</t>
  </si>
  <si>
    <t>Graham Generating Plant - Land Rights</t>
  </si>
  <si>
    <t>Morehead - Land Rights</t>
  </si>
  <si>
    <t>Nortonville - Land Rights</t>
  </si>
  <si>
    <t>Williamsburg - Land Rights</t>
  </si>
  <si>
    <t>Land and Land Rights:</t>
  </si>
  <si>
    <t>Land and site prep located at Pennington Gap intended for Substation</t>
  </si>
  <si>
    <t>301</t>
  </si>
  <si>
    <t>Organization</t>
  </si>
  <si>
    <t>302</t>
  </si>
  <si>
    <t>Franchises and Consents</t>
  </si>
  <si>
    <t>303</t>
  </si>
  <si>
    <t>Misc Intangible Plant</t>
  </si>
  <si>
    <t>310</t>
  </si>
  <si>
    <t>311</t>
  </si>
  <si>
    <t>312</t>
  </si>
  <si>
    <t>Boiler Plant Equipment</t>
  </si>
  <si>
    <t>314</t>
  </si>
  <si>
    <t>Turbogenerator Units</t>
  </si>
  <si>
    <t>315</t>
  </si>
  <si>
    <t>Accessory Electric Equipment</t>
  </si>
  <si>
    <t>316</t>
  </si>
  <si>
    <t>Misc Power Plant Equip</t>
  </si>
  <si>
    <t>317</t>
  </si>
  <si>
    <t>330</t>
  </si>
  <si>
    <t>331</t>
  </si>
  <si>
    <t>332</t>
  </si>
  <si>
    <t>Reservoirs, Dams, and Water</t>
  </si>
  <si>
    <t>333</t>
  </si>
  <si>
    <t>Water Wheels, Turbines, Generators</t>
  </si>
  <si>
    <t>334</t>
  </si>
  <si>
    <t>335</t>
  </si>
  <si>
    <t>Misc Power Plant Equipment</t>
  </si>
  <si>
    <t>336</t>
  </si>
  <si>
    <t>Roads, Railroads, and Bridges</t>
  </si>
  <si>
    <t>337</t>
  </si>
  <si>
    <t>340</t>
  </si>
  <si>
    <t>341</t>
  </si>
  <si>
    <t>342</t>
  </si>
  <si>
    <t>Fuel Holders, Producers, Accessories</t>
  </si>
  <si>
    <t>343</t>
  </si>
  <si>
    <t>Prime Movers</t>
  </si>
  <si>
    <t>ARO Cost Steam Production</t>
  </si>
  <si>
    <t>ARO Cost Hydro Production</t>
  </si>
  <si>
    <t>344</t>
  </si>
  <si>
    <t>Generators</t>
  </si>
  <si>
    <t>345</t>
  </si>
  <si>
    <t>346</t>
  </si>
  <si>
    <t>347</t>
  </si>
  <si>
    <t>350</t>
  </si>
  <si>
    <t>352</t>
  </si>
  <si>
    <t>353</t>
  </si>
  <si>
    <t>354</t>
  </si>
  <si>
    <t>Towers and Fixtures</t>
  </si>
  <si>
    <t>355</t>
  </si>
  <si>
    <t>Poles and Fixtures</t>
  </si>
  <si>
    <t>356</t>
  </si>
  <si>
    <t>OH Conductors and Devices</t>
  </si>
  <si>
    <t>357</t>
  </si>
  <si>
    <t>Underground Conduit</t>
  </si>
  <si>
    <t>358</t>
  </si>
  <si>
    <t>UG Conductors and Devices</t>
  </si>
  <si>
    <t>359</t>
  </si>
  <si>
    <t>360</t>
  </si>
  <si>
    <t>361</t>
  </si>
  <si>
    <t>362</t>
  </si>
  <si>
    <t>Station Equipment</t>
  </si>
  <si>
    <t>364</t>
  </si>
  <si>
    <t>Poles, Towers, and Fixtures</t>
  </si>
  <si>
    <t>365</t>
  </si>
  <si>
    <t>366</t>
  </si>
  <si>
    <t>367</t>
  </si>
  <si>
    <t>368</t>
  </si>
  <si>
    <t>Line Transformers</t>
  </si>
  <si>
    <t>369</t>
  </si>
  <si>
    <t>Services</t>
  </si>
  <si>
    <t>370</t>
  </si>
  <si>
    <t>Meters</t>
  </si>
  <si>
    <t>371</t>
  </si>
  <si>
    <t>Install on Customer Premise</t>
  </si>
  <si>
    <t>373</t>
  </si>
  <si>
    <t>Street Lighting / Signal Systems</t>
  </si>
  <si>
    <t>374</t>
  </si>
  <si>
    <t>ARO Cost Other Production</t>
  </si>
  <si>
    <t>389</t>
  </si>
  <si>
    <t>390</t>
  </si>
  <si>
    <t>391</t>
  </si>
  <si>
    <t>392</t>
  </si>
  <si>
    <t>393</t>
  </si>
  <si>
    <t>Stores Equipment</t>
  </si>
  <si>
    <t>394</t>
  </si>
  <si>
    <t>Tools, Shop, and Garage Equipment</t>
  </si>
  <si>
    <t>395</t>
  </si>
  <si>
    <t>Laboratory Equipment</t>
  </si>
  <si>
    <t>396</t>
  </si>
  <si>
    <t>Power Operated Equipment</t>
  </si>
  <si>
    <t>397</t>
  </si>
  <si>
    <t>398</t>
  </si>
  <si>
    <t>Miscellaneous Equipment</t>
  </si>
  <si>
    <t>PRODUCTION</t>
  </si>
  <si>
    <t>ADJUSTMENTS TO CONSTRUCTION WORK IN PROGRESS</t>
  </si>
  <si>
    <t>SCHEDULE B-4.2</t>
  </si>
  <si>
    <t>Remove ECR CWIP</t>
  </si>
  <si>
    <t>Interest, Dividends and Rents Receivable</t>
  </si>
  <si>
    <t>Check</t>
  </si>
  <si>
    <t>13 Month Average</t>
  </si>
  <si>
    <t>CO</t>
  </si>
  <si>
    <t>ST</t>
  </si>
  <si>
    <t>ACCT</t>
  </si>
  <si>
    <t>Ending Gross Plant Balance</t>
  </si>
  <si>
    <t xml:space="preserve">   KU-1301 KY - Intangible - Organization </t>
  </si>
  <si>
    <t xml:space="preserve">   KU-1301 VA - Intangible - Organization </t>
  </si>
  <si>
    <t xml:space="preserve">   KU-1302 - Intangible - Franchises and Consents </t>
  </si>
  <si>
    <t xml:space="preserve">   KU-1303 - Intangible - Software </t>
  </si>
  <si>
    <t xml:space="preserve">   KU-1303 - Intangible - Software - CCS </t>
  </si>
  <si>
    <t xml:space="preserve">   KU-1310 - Steam Production - ECR 2009 </t>
  </si>
  <si>
    <t xml:space="preserve">   KU-1310 - Steam Production - ECR 2011 </t>
  </si>
  <si>
    <t xml:space="preserve">   KU-1310 - Steam Production - Land &amp; Land Rights </t>
  </si>
  <si>
    <t xml:space="preserve">   KU-1311 - Steam Production - ECR 2009 </t>
  </si>
  <si>
    <t xml:space="preserve">   KU-1311 - Steam Production - Structures and Improvements </t>
  </si>
  <si>
    <t xml:space="preserve">   KU-1312 - Steam Production - Boiler Plant Equipment </t>
  </si>
  <si>
    <t xml:space="preserve">   KU-1312 - Steam Production - ECR 2009 </t>
  </si>
  <si>
    <t xml:space="preserve">   KU-1312 - Steam Production - ECR 2011 </t>
  </si>
  <si>
    <t xml:space="preserve">   KU-1312 - Steam Production - ECR Future Plan </t>
  </si>
  <si>
    <t xml:space="preserve">   KU-1314 - Steam Production - Turbogenerator Units </t>
  </si>
  <si>
    <t xml:space="preserve">   KU-1315 - Steam Production - Accessory Electric Equipment </t>
  </si>
  <si>
    <t xml:space="preserve">   KU-1315 - Steam Production - ECR 2011 </t>
  </si>
  <si>
    <t xml:space="preserve">   KU-1316 - Steam Production - Misc Power Plant Equipment </t>
  </si>
  <si>
    <t xml:space="preserve">   KU-1317 - Steam Production - ARO </t>
  </si>
  <si>
    <t xml:space="preserve">   KU-1330 - Hydro Production - Land &amp; Land Rights </t>
  </si>
  <si>
    <t xml:space="preserve">   KU-1331 - Hydro Production - Structures and Improvements </t>
  </si>
  <si>
    <t xml:space="preserve">   KU-1332 - Hydro Production - Reservoirs, Dams, and Water </t>
  </si>
  <si>
    <t xml:space="preserve">   KU-1333 - Hydro Production - Water Wheels, Turbine Gen </t>
  </si>
  <si>
    <t xml:space="preserve">   KU-1334 - Hydro Production - Accessory Electric Equipment </t>
  </si>
  <si>
    <t xml:space="preserve">   KU-1335 - Hydro Production - Misc Power Plant Equipment </t>
  </si>
  <si>
    <t xml:space="preserve">   KU-1336 - Hydro Production - Roads, Railroads, and Bridges </t>
  </si>
  <si>
    <t xml:space="preserve">   KU-1337 - Hydro Production - ARO </t>
  </si>
  <si>
    <t xml:space="preserve">   KU-1340 - Other Production - Land &amp; Land Rights </t>
  </si>
  <si>
    <t xml:space="preserve">   KU-1341 - Other Production - Structures and Improvements </t>
  </si>
  <si>
    <t xml:space="preserve">   KU-1342 - Other Production - Fuel Holders, Producers, Acc </t>
  </si>
  <si>
    <t xml:space="preserve">   KU-1343 - Other Production - Prime Movers </t>
  </si>
  <si>
    <t xml:space="preserve">   KU-1344 - Other Production - Generators </t>
  </si>
  <si>
    <t xml:space="preserve">   KU-1345 - Other Production - Accessory Electric Equipment </t>
  </si>
  <si>
    <t xml:space="preserve">   KU-1346 - Other Production - Misc Power Plant Equipment </t>
  </si>
  <si>
    <t xml:space="preserve">   KU-1350 KY - Electric Transmission - Land &amp; Land Rights </t>
  </si>
  <si>
    <t xml:space="preserve">   KU-1350 TN - Electric Transmission - Land &amp; Land Rights </t>
  </si>
  <si>
    <t xml:space="preserve">   KU-1350 VA - Electric Transmission - Land &amp; Land Rights </t>
  </si>
  <si>
    <t xml:space="preserve">   KU-1352 - Electric Transmission - Structures and Improvements </t>
  </si>
  <si>
    <t xml:space="preserve">   KU-1352 KY - Electric Transmission - Structures and Improvements </t>
  </si>
  <si>
    <t xml:space="preserve">   KU-1352 VA - Electric Transmission - Structures and Improvements </t>
  </si>
  <si>
    <t xml:space="preserve">   KU-1353 KY - Electric Transmission - Station Equipment </t>
  </si>
  <si>
    <t xml:space="preserve">   KU-1353 SYSTEM - Electric Transmission - Station Equipment </t>
  </si>
  <si>
    <t xml:space="preserve">   KU-1353 VA - Electric Transmission - Station Equipment </t>
  </si>
  <si>
    <t xml:space="preserve">   KU-1354 KY - Electric Transmission - Towers and Fixtures </t>
  </si>
  <si>
    <t xml:space="preserve">   KU-1354 VA - Electric Transmission - Towers and Fixtures </t>
  </si>
  <si>
    <t xml:space="preserve">   KU-1355 KY - Electric Transmission - Poles and Fixtures </t>
  </si>
  <si>
    <t xml:space="preserve">   KU-1355 TN - Electric Transmission - Poles and Fixtures </t>
  </si>
  <si>
    <t xml:space="preserve">   KU-1355 VA - Electric Transmission - Poles and Fixtures </t>
  </si>
  <si>
    <t xml:space="preserve">   KU-1356 KY - Electric Transmission - OH Conductors and Devices </t>
  </si>
  <si>
    <t xml:space="preserve">   KU-1356 TN - Electric Transmission - OH Conductors and Devices </t>
  </si>
  <si>
    <t xml:space="preserve">   KU-1356 VA - Electric Transmission - OH Conductors and Devices </t>
  </si>
  <si>
    <t xml:space="preserve">   KU-1357 KY - Electric Transmission - Underground Conduit </t>
  </si>
  <si>
    <t xml:space="preserve">   KU-1358 KY - Electric Transmission - UG Conductors and Devices </t>
  </si>
  <si>
    <t xml:space="preserve">   KU-1359 - Electric Transmission - ARO </t>
  </si>
  <si>
    <t xml:space="preserve">   KU-1360 KY - Electric Distribution - Future Use </t>
  </si>
  <si>
    <t xml:space="preserve">   KU-1360 KY - Electric Distribution - Land &amp; Land Rights </t>
  </si>
  <si>
    <t xml:space="preserve">   KU-1360 TN - Electric Distribution - Land &amp; Land Rights </t>
  </si>
  <si>
    <t xml:space="preserve">   KU-1360 VA - Electric Distribution - Land &amp; Land Rights </t>
  </si>
  <si>
    <t xml:space="preserve">   KU-1361 KY - Electric Distribution - Structures and Improvements </t>
  </si>
  <si>
    <t xml:space="preserve">   KU-1361 TN - Electric Distribution - Structures and Improvements </t>
  </si>
  <si>
    <t xml:space="preserve">   KU-1361 VA - Electric Distribution - Structures and Improvements </t>
  </si>
  <si>
    <t xml:space="preserve">   KU-1362 KY - Electric Distribution - Station Equipment </t>
  </si>
  <si>
    <t xml:space="preserve">   KU-1362 TN - Electric Distribution - Station Equipment </t>
  </si>
  <si>
    <t xml:space="preserve">   KU-1362 VA - Electric Distribution - Station Equipment </t>
  </si>
  <si>
    <t xml:space="preserve">   KU-1364 KY - Electric Distribution - Poles, Towers, and Fixtures </t>
  </si>
  <si>
    <t xml:space="preserve">   KU-1364 TN - Electric Distribution - Poles, Towers, and Fixtures </t>
  </si>
  <si>
    <t xml:space="preserve">   KU-1364 VA - Electric Distribution - Poles, Towers, and Fixtures </t>
  </si>
  <si>
    <t xml:space="preserve">   KU-1365 KY - Electric Distribution - Overhead Conductor </t>
  </si>
  <si>
    <t xml:space="preserve">   KU-1365 TN - Electric Distribution - Overhead Conductor </t>
  </si>
  <si>
    <t xml:space="preserve">   KU-1365 VA - Electric Distribution - Overhead Conductor </t>
  </si>
  <si>
    <t xml:space="preserve">   KU-1366 KY - Electric Distribution - Underground Conduit </t>
  </si>
  <si>
    <t xml:space="preserve">   KU-1367 KY - Electric Distribution - Underground Conductors </t>
  </si>
  <si>
    <t xml:space="preserve">   KU-1367 VA - Electric Distribution - Underground Conductors </t>
  </si>
  <si>
    <t xml:space="preserve">   KU-1368 KY - Electric Distribution -  Line Transformers </t>
  </si>
  <si>
    <t xml:space="preserve">   KU-1368 TN - Electric Distribution -  Line Transformers </t>
  </si>
  <si>
    <t xml:space="preserve">   KU-1368 VA - Electric Distribution -  Line Transformers </t>
  </si>
  <si>
    <t xml:space="preserve">   KU-1369 KY - Electric Distribution - Services </t>
  </si>
  <si>
    <t xml:space="preserve">   KU-1369 TN - Electric Distribution - Services </t>
  </si>
  <si>
    <t xml:space="preserve">   KU-1369 VA - Electric Distribution - Services </t>
  </si>
  <si>
    <t xml:space="preserve">   KU-1370 KY - Electric Distribution - Meters </t>
  </si>
  <si>
    <t xml:space="preserve">   KU-1370 TN - Electric Distribution - Meters </t>
  </si>
  <si>
    <t xml:space="preserve">   KU-1370 VA - Electric Distribution - Meters </t>
  </si>
  <si>
    <t xml:space="preserve">   KU-1371 KY - Electric Distribution - Install on Customers </t>
  </si>
  <si>
    <t xml:space="preserve">   KU-1373 KY - Electric Distribution - Street Lighting and Sign </t>
  </si>
  <si>
    <t xml:space="preserve">   KU-1373 VA - Electric Distribution - Street Lighting and Sign </t>
  </si>
  <si>
    <t xml:space="preserve">   KU-1374 - Electric Distribution - ARO </t>
  </si>
  <si>
    <t xml:space="preserve">   KU-1389 KY - Electric General - Land &amp; Land Rights </t>
  </si>
  <si>
    <t xml:space="preserve">   KU-1389 VA - Electric General - Land &amp; Land Rights </t>
  </si>
  <si>
    <t xml:space="preserve">   KU-1390 - Electric General - Structures and Improvements </t>
  </si>
  <si>
    <t xml:space="preserve">   KU-1390 KY - Electric General - Structures and Improvements </t>
  </si>
  <si>
    <t xml:space="preserve">   KU-1390 VA - Electric General - Structures and Improvements </t>
  </si>
  <si>
    <t xml:space="preserve">   KU-1391 - Electric General - Office Equipment </t>
  </si>
  <si>
    <t xml:space="preserve">   KU-1391 KY - Electric General - Office Equipment </t>
  </si>
  <si>
    <t xml:space="preserve">   KU-1391 VA - Electric General - Office Equipment </t>
  </si>
  <si>
    <t xml:space="preserve">   KU-1392 - Electric General - ECR 2009 </t>
  </si>
  <si>
    <t xml:space="preserve">   KU-1392 KY - Electric General - Transportation Equipment </t>
  </si>
  <si>
    <t xml:space="preserve">   KU-1393 KY - Electric General - Stores Equipment </t>
  </si>
  <si>
    <t xml:space="preserve">   KU-1393 VA - Electric General - Stores Equipment </t>
  </si>
  <si>
    <t xml:space="preserve">   KU-1394 KY - Electric General - Tools, Shop, Garage Equipment </t>
  </si>
  <si>
    <t xml:space="preserve">   KU-1394 VA - Electric General - Tools, Shop, Garage Equipment </t>
  </si>
  <si>
    <t xml:space="preserve">   KU-1396 - Electric General - Power Operated Equipment </t>
  </si>
  <si>
    <t xml:space="preserve">   KU-1396 VA - Electric General - Power Operated Equipment </t>
  </si>
  <si>
    <t xml:space="preserve">   KU-1397 - Electric General - DSM </t>
  </si>
  <si>
    <t xml:space="preserve">   KU-1397 KY - Electric General - Communication Equipment </t>
  </si>
  <si>
    <t xml:space="preserve">   KU-1397 VA - Electric General - Communication Equipment </t>
  </si>
  <si>
    <t xml:space="preserve">   KU-3121 - Common Nonutility - Property </t>
  </si>
  <si>
    <t xml:space="preserve">   KY Plant Account Total </t>
  </si>
  <si>
    <t>Less: Retirements</t>
  </si>
  <si>
    <t>Ending Accum Depreciation</t>
  </si>
  <si>
    <t>Total Depreciation Expense</t>
  </si>
  <si>
    <t>LESS Adjustments:</t>
  </si>
  <si>
    <t>Adjusted KY Plant Total</t>
  </si>
  <si>
    <t>3.9-7.5</t>
  </si>
  <si>
    <t>4-SQ, 5-SQ, 20-SQ</t>
  </si>
  <si>
    <t>-1%,-2%,-3%,-4%,-5%,-11%</t>
  </si>
  <si>
    <t>REMAINING SERVICE LIFE</t>
  </si>
  <si>
    <t>SCH 7, 7.1, 7.2</t>
  </si>
  <si>
    <t>(000s)</t>
  </si>
  <si>
    <t>Kentucky Utilities </t>
  </si>
  <si>
    <t>ASSETS AND OTHER DEBITS</t>
  </si>
  <si>
    <t xml:space="preserve">     Utility Plant at Original Cost</t>
  </si>
  <si>
    <t xml:space="preserve">          101.0 - Plant in Service</t>
  </si>
  <si>
    <t xml:space="preserve">          101.1 - Plant in Service</t>
  </si>
  <si>
    <t xml:space="preserve">          105.0 Future use in plant</t>
  </si>
  <si>
    <t xml:space="preserve">          106.0 - Comp const not class</t>
  </si>
  <si>
    <t xml:space="preserve">          107.0 CWIP</t>
  </si>
  <si>
    <t xml:space="preserve">     Gross Utility Plant</t>
  </si>
  <si>
    <t xml:space="preserve">     Less Reserve for Depreciation and Amortization</t>
  </si>
  <si>
    <t xml:space="preserve">          108.0 - Accumulated provision for Depreciation</t>
  </si>
  <si>
    <t xml:space="preserve">          108.1 - Accumulated provision for Depr Elec Intangible NC</t>
  </si>
  <si>
    <t xml:space="preserve">          108.2 - Accumulated provision for Depr Elec ARO</t>
  </si>
  <si>
    <t xml:space="preserve">          111.1 - Accumulated provision for amortization</t>
  </si>
  <si>
    <t xml:space="preserve">          111.2 - Accumulated provision for Amort Elec Intangible NC</t>
  </si>
  <si>
    <t xml:space="preserve">          254.15 - Accumulated provision - Salvage</t>
  </si>
  <si>
    <t xml:space="preserve">          254.16 - Accumulated provision - COR BB</t>
  </si>
  <si>
    <t xml:space="preserve">          254.2 - Accumulated provision - COR</t>
  </si>
  <si>
    <t xml:space="preserve">     Accumulated Provision for Depreciation and Amortization</t>
  </si>
  <si>
    <t>Total Utility Net Plant</t>
  </si>
  <si>
    <t>INVESTMENTS</t>
  </si>
  <si>
    <t xml:space="preserve">     Investment in Subsidiary companies</t>
  </si>
  <si>
    <t xml:space="preserve">          123.0 - Invest in affl companies</t>
  </si>
  <si>
    <t xml:space="preserve">     Investment in Subsidiaries</t>
  </si>
  <si>
    <t xml:space="preserve">     Nonutility Property Less Reserve</t>
  </si>
  <si>
    <t xml:space="preserve">          121.0 - Nonutility property</t>
  </si>
  <si>
    <t xml:space="preserve">     Net nonutility property</t>
  </si>
  <si>
    <t xml:space="preserve">     Special Funds</t>
  </si>
  <si>
    <t>Total other Property and Investments</t>
  </si>
  <si>
    <t xml:space="preserve">     Cash</t>
  </si>
  <si>
    <t xml:space="preserve">          131.0 -  Cash</t>
  </si>
  <si>
    <t xml:space="preserve">     Special Deposits &amp; TCI</t>
  </si>
  <si>
    <t xml:space="preserve">          136.0 - Temp cash invest</t>
  </si>
  <si>
    <t xml:space="preserve">     Accounts Receivable - Less Reserves</t>
  </si>
  <si>
    <t xml:space="preserve">          135.0 - Working Funds</t>
  </si>
  <si>
    <t xml:space="preserve">          142.0 - Customer accounts receivable</t>
  </si>
  <si>
    <t xml:space="preserve">          143.0 - Other AR</t>
  </si>
  <si>
    <t xml:space="preserve">          143.5 - Other AR Customer</t>
  </si>
  <si>
    <t xml:space="preserve">          143.7 - Other Acct Rec (Prepayments)</t>
  </si>
  <si>
    <t xml:space="preserve">          144.8 - Acc prov - customers</t>
  </si>
  <si>
    <t xml:space="preserve">          144.9 - Acc. prov - Other</t>
  </si>
  <si>
    <t xml:space="preserve">          171.0 - Interest and dividends receivable</t>
  </si>
  <si>
    <t xml:space="preserve">          172.0 - Rents receivable</t>
  </si>
  <si>
    <t xml:space="preserve">          Unbilled Revenues (Asset)</t>
  </si>
  <si>
    <t xml:space="preserve">     Accounts Receivable from Assoc Cos.</t>
  </si>
  <si>
    <t xml:space="preserve">          146 - Acct Rec From Assoc Co (LKE)</t>
  </si>
  <si>
    <t xml:space="preserve">          146.4 - Acct Rec From Assoc Co (Non LKE)</t>
  </si>
  <si>
    <t xml:space="preserve">     Inventories</t>
  </si>
  <si>
    <t xml:space="preserve">          151.0 - Fuel Stock</t>
  </si>
  <si>
    <t xml:space="preserve">          154.0 - Plant materials and operating supplies</t>
  </si>
  <si>
    <t xml:space="preserve">          158.0 - Allowance inventory</t>
  </si>
  <si>
    <t xml:space="preserve">          163.0 - Stores expense undistributed</t>
  </si>
  <si>
    <t xml:space="preserve">     Prepayments</t>
  </si>
  <si>
    <t xml:space="preserve">          165.0 - prepayments</t>
  </si>
  <si>
    <t xml:space="preserve">          165.9 - Tax prepayments</t>
  </si>
  <si>
    <t xml:space="preserve">     Other current and accrued assets</t>
  </si>
  <si>
    <t xml:space="preserve">          174.1 - Misc accrued assets</t>
  </si>
  <si>
    <t>DEFERRED DEBITS &amp; OTHER</t>
  </si>
  <si>
    <t xml:space="preserve">     Unamortized Debt Expenses</t>
  </si>
  <si>
    <t xml:space="preserve">          189.0 - Unamort loss on reacquired debt</t>
  </si>
  <si>
    <t xml:space="preserve">     Accumulated Deferred Income Tax Asset</t>
  </si>
  <si>
    <t xml:space="preserve">          190.0 - Accumulated deferred Income taxes - acc amort property</t>
  </si>
  <si>
    <t xml:space="preserve">          190.3 Acc Def Inc Tax NC FASB 109</t>
  </si>
  <si>
    <t xml:space="preserve">          190.4 Accum Def Inc Tax Cur (Cur Liab)</t>
  </si>
  <si>
    <t xml:space="preserve">     Regulatory Assets</t>
  </si>
  <si>
    <t xml:space="preserve">          182 - Regulatory assets Deferred Tax</t>
  </si>
  <si>
    <t xml:space="preserve">          182 - Regulatory assets Pension &amp; Postretirement</t>
  </si>
  <si>
    <t xml:space="preserve">          182 - Regulatory assets Storm Costs</t>
  </si>
  <si>
    <t xml:space="preserve">          182 - Regulatory assets Rate Mechanisms</t>
  </si>
  <si>
    <t xml:space="preserve">          182 - Other Regulatory assets (non current)</t>
  </si>
  <si>
    <t xml:space="preserve">          182 - Other Regulatory assets (Current)</t>
  </si>
  <si>
    <t xml:space="preserve">     Miscellaneous deferred debits</t>
  </si>
  <si>
    <t xml:space="preserve">          183.1 - Preliminary survey and investigation charges</t>
  </si>
  <si>
    <t xml:space="preserve">          183.2 - OtherPreliminary Survey</t>
  </si>
  <si>
    <t xml:space="preserve">          184.0 - Clearing accounts</t>
  </si>
  <si>
    <t xml:space="preserve">          184.2 - Clearing Accounts (Accr Pension)</t>
  </si>
  <si>
    <t xml:space="preserve">          184.3 - Clearing Accounts</t>
  </si>
  <si>
    <t xml:space="preserve">          184.4 - Clearing Accounts (O/Cur Liab)</t>
  </si>
  <si>
    <t xml:space="preserve">          184.5 - Clearing Accounts (O/LT Liab)</t>
  </si>
  <si>
    <t xml:space="preserve">          186.2 - Misc deferred debits (O/Assets LT)</t>
  </si>
  <si>
    <t xml:space="preserve">          186.6 - Misc Def Debits LTPC</t>
  </si>
  <si>
    <t>Total Deferred Debits &amp; Other</t>
  </si>
  <si>
    <t>TOTAL ASSETS</t>
  </si>
  <si>
    <t>LIABILITIES AND OTHER CREDITS</t>
  </si>
  <si>
    <t xml:space="preserve">     Common and Preferred Stock</t>
  </si>
  <si>
    <t xml:space="preserve">          201.0 - Common stock</t>
  </si>
  <si>
    <t xml:space="preserve">     Common and Preferred stock issued</t>
  </si>
  <si>
    <t xml:space="preserve">     Less Common Stock Expense</t>
  </si>
  <si>
    <t xml:space="preserve">          214.0 - Capital stock expense</t>
  </si>
  <si>
    <t xml:space="preserve">     Common Stock Expense</t>
  </si>
  <si>
    <t xml:space="preserve">     Paid in Capital</t>
  </si>
  <si>
    <t xml:space="preserve">          211.2 - Pd-in-capital - common stock</t>
  </si>
  <si>
    <t xml:space="preserve">     Paid-in-capital</t>
  </si>
  <si>
    <t xml:space="preserve">     Retained Earnings</t>
  </si>
  <si>
    <t xml:space="preserve">          216.0 - Unappropriated retained earnings</t>
  </si>
  <si>
    <t xml:space="preserve">     Other comprehensive income</t>
  </si>
  <si>
    <t xml:space="preserve">          219 - Other Comprehensive Income</t>
  </si>
  <si>
    <t xml:space="preserve">          219.1 - OCI Equity Invest EEI</t>
  </si>
  <si>
    <t xml:space="preserve">     Domestic Debt</t>
  </si>
  <si>
    <t xml:space="preserve">          221.0 - Domestic bonds current</t>
  </si>
  <si>
    <t xml:space="preserve">          221.3 - Domestic bonds noncurrent</t>
  </si>
  <si>
    <t xml:space="preserve">          226 - Unamortized discount on long-term debt</t>
  </si>
  <si>
    <t xml:space="preserve">     Intercompany and Foreign Debt</t>
  </si>
  <si>
    <t>Total Long-term Debt</t>
  </si>
  <si>
    <t>TOTAL CAPITALIZATION</t>
  </si>
  <si>
    <t xml:space="preserve">     Short Term Notes Payable to associated companies</t>
  </si>
  <si>
    <t xml:space="preserve">     Notes Payable</t>
  </si>
  <si>
    <t xml:space="preserve">          231.3 - Notes Payable (Commercial Paper)</t>
  </si>
  <si>
    <t xml:space="preserve">     Accounts Payable</t>
  </si>
  <si>
    <t xml:space="preserve">          232.2 - AP Payroll</t>
  </si>
  <si>
    <t xml:space="preserve">          232.4 - AP Other</t>
  </si>
  <si>
    <t xml:space="preserve">          232.5 - AP (O/Cur Liab)</t>
  </si>
  <si>
    <t xml:space="preserve">     Accounts Payable to associated companies</t>
  </si>
  <si>
    <t xml:space="preserve">          232.7 - AP Intercompany</t>
  </si>
  <si>
    <t xml:space="preserve">          234.0 - AP to Assoc Co (LKE)</t>
  </si>
  <si>
    <t xml:space="preserve">     Customer deposits current</t>
  </si>
  <si>
    <t xml:space="preserve">     Taxes accrued</t>
  </si>
  <si>
    <t xml:space="preserve">     Interest accrued</t>
  </si>
  <si>
    <t xml:space="preserve">          237.0 - Interest Accrued</t>
  </si>
  <si>
    <t xml:space="preserve">     Dividends Payable Affiliate</t>
  </si>
  <si>
    <t xml:space="preserve">     Misc. Current Liabilities</t>
  </si>
  <si>
    <t xml:space="preserve">          241.1 - Tax collections payable (O/Cur Liab)</t>
  </si>
  <si>
    <t xml:space="preserve">          241.2 - Tax Coll Payable (Accr Sal &amp; Ben)</t>
  </si>
  <si>
    <t xml:space="preserve">          242.0 - Misc current liab</t>
  </si>
  <si>
    <t xml:space="preserve">          242.1 - Misc Cur &amp; Accr Liab (AP)</t>
  </si>
  <si>
    <t xml:space="preserve">          242.2 - Misc Cur &amp; Accr Liab (Accr Sal &amp; Ben)</t>
  </si>
  <si>
    <t xml:space="preserve">          242.7 - Vested Vacation Unfunded Reserve</t>
  </si>
  <si>
    <t xml:space="preserve">          242.9 - Medical Expense Unfunded Reserve</t>
  </si>
  <si>
    <t xml:space="preserve">     Miscellaneous Current Liabilities</t>
  </si>
  <si>
    <t xml:space="preserve">     Accum Deferred Income Tax Liability</t>
  </si>
  <si>
    <t xml:space="preserve">          282.0 - Accumulated deferred Income taxes -other property</t>
  </si>
  <si>
    <t xml:space="preserve">          283.0 - Accumulated deferred income taxes - other (noncurrent)</t>
  </si>
  <si>
    <t xml:space="preserve">          283.1 - Acc def inc tax NC FASB 109</t>
  </si>
  <si>
    <t xml:space="preserve">     Investment tax credits</t>
  </si>
  <si>
    <t xml:space="preserve">          255.0 - Accumulated deferred investment tax credits</t>
  </si>
  <si>
    <t xml:space="preserve">          255.1 - Accumulated Deferred ITC (Job Dev Cr)</t>
  </si>
  <si>
    <t xml:space="preserve">     Regulatory Liabilities</t>
  </si>
  <si>
    <t xml:space="preserve">          254 - Other Reg Liabilities Current</t>
  </si>
  <si>
    <t xml:space="preserve">          254 - Other Reg Liabilities Non Current</t>
  </si>
  <si>
    <t xml:space="preserve">          254 - Reg Liabilities Rate Mechanisms</t>
  </si>
  <si>
    <t xml:space="preserve">          254 - Reg Liabilities Postretirement</t>
  </si>
  <si>
    <t xml:space="preserve">          254 - Reg Liabilities Deferred Tax</t>
  </si>
  <si>
    <t xml:space="preserve">     Customer advances for construction</t>
  </si>
  <si>
    <t xml:space="preserve">          252.0 Customer advances for construction Current</t>
  </si>
  <si>
    <t xml:space="preserve">          252.1 - Customer advances for construction LT</t>
  </si>
  <si>
    <t xml:space="preserve">     </t>
  </si>
  <si>
    <t xml:space="preserve">     Asset Retirement Obligations</t>
  </si>
  <si>
    <t xml:space="preserve">          230.0 - Asset Retirement Obligations</t>
  </si>
  <si>
    <t xml:space="preserve">          230.1 - Asset Retirement Obligations (O/Cur Liab)</t>
  </si>
  <si>
    <t xml:space="preserve">     Other Deferred Credits</t>
  </si>
  <si>
    <t xml:space="preserve">          253.0 - Other deferred credits current</t>
  </si>
  <si>
    <t xml:space="preserve">          253.1 - Other deferred credits - non current</t>
  </si>
  <si>
    <t xml:space="preserve">          253.2 - Other deferred credits (LT Tax Position)</t>
  </si>
  <si>
    <t xml:space="preserve">     Misc Long Term Liabilities</t>
  </si>
  <si>
    <t xml:space="preserve">          228.4 - Accum Provision Inj &amp; Dam (Accr Sal &amp; Ben)</t>
  </si>
  <si>
    <t xml:space="preserve">          228.5 - Accum Provision Inj &amp; Dam (O/LT Liab)</t>
  </si>
  <si>
    <t xml:space="preserve">     Misc Long Term Liabilities Due To Assoc Co</t>
  </si>
  <si>
    <t xml:space="preserve">     Accumulated Provision for Post Retirement Benefits</t>
  </si>
  <si>
    <t xml:space="preserve">          228.2 - Accumulated prov for pen (O/LT Liab)</t>
  </si>
  <si>
    <t xml:space="preserve">          228.3 - Accumulated provision for pensions and benefits</t>
  </si>
  <si>
    <t xml:space="preserve">          228.6 - Accumulated prov for pen (O/LT Liab FAS 106)</t>
  </si>
  <si>
    <t>ECR amounts excluded from rate base</t>
  </si>
  <si>
    <t>DSM amounts excluded from rate base</t>
  </si>
  <si>
    <t>408.14- ECR PROPERTY TAX</t>
  </si>
  <si>
    <t>411.8-GAIN-DISP OF ALLOW</t>
  </si>
  <si>
    <t>509.3 - ECR SO2/NOX EMISSION ALLOWANCES</t>
  </si>
  <si>
    <t xml:space="preserve">     Subtotal ECR COS</t>
  </si>
  <si>
    <t>ECR CASH WORKING CAPITAL</t>
  </si>
  <si>
    <t>ECR O&amp;M WORKING CAPITAL ALLOWANCE</t>
  </si>
  <si>
    <t>KU_ECR </t>
  </si>
  <si>
    <t>LGE_ECR</t>
  </si>
  <si>
    <t>13MOAVG</t>
  </si>
  <si>
    <t>JURIS % (PRODSYS)</t>
  </si>
  <si>
    <t>JURIS AMT</t>
  </si>
  <si>
    <t>Deferred Income Taxes (a)</t>
  </si>
  <si>
    <t>KU Cumulative Deferreds</t>
  </si>
  <si>
    <t>LG&amp;E Electric Cumulative Deferreds</t>
  </si>
  <si>
    <t>LG&amp;E Gas Cumulative Deferreds</t>
  </si>
  <si>
    <t>JURIS % (DIRECT) 100%</t>
  </si>
  <si>
    <t>B-3.2</t>
  </si>
  <si>
    <t>B-4.2</t>
  </si>
  <si>
    <t>TOTAL ADJUSTMENTS</t>
  </si>
  <si>
    <t>Kentucky</t>
  </si>
  <si>
    <t>Other</t>
  </si>
  <si>
    <t>Total</t>
  </si>
  <si>
    <t>Jurisdictional</t>
  </si>
  <si>
    <t>Company</t>
  </si>
  <si>
    <t>Title of Account</t>
  </si>
  <si>
    <t>Rate Base</t>
  </si>
  <si>
    <t>ECR Rate Base</t>
  </si>
  <si>
    <t>Base Rate Base</t>
  </si>
  <si>
    <t xml:space="preserve">Rate Base </t>
  </si>
  <si>
    <t>Utility Plant at Original Cost</t>
  </si>
  <si>
    <t>Deduct:</t>
  </si>
  <si>
    <t xml:space="preserve">  Reserve for Depreciation</t>
  </si>
  <si>
    <t xml:space="preserve">  Customer Advances for Construction</t>
  </si>
  <si>
    <t xml:space="preserve">  Accumulated Deferred Income Taxes</t>
  </si>
  <si>
    <t xml:space="preserve">  Investment Tax Credit (a)</t>
  </si>
  <si>
    <t>Total Deductions</t>
  </si>
  <si>
    <t>Net Plant Deductions</t>
  </si>
  <si>
    <t>Add:</t>
  </si>
  <si>
    <t xml:space="preserve">  Materials and Supplies (b) </t>
  </si>
  <si>
    <t xml:space="preserve">  Prepayments (b)(c)</t>
  </si>
  <si>
    <t xml:space="preserve">  Emission Allowances (b)</t>
  </si>
  <si>
    <t xml:space="preserve">     Total Additions</t>
  </si>
  <si>
    <t>Total Net Original Cost Rate Base</t>
  </si>
  <si>
    <t>Percentage of Rate Base to Total Company Rate Base</t>
  </si>
  <si>
    <t>(a)</t>
  </si>
  <si>
    <t>Reflects investment tax credit treatment per Case No. 2007-00178.</t>
  </si>
  <si>
    <t>(b)</t>
  </si>
  <si>
    <t>Average for 13 months.</t>
  </si>
  <si>
    <t>(c)</t>
  </si>
  <si>
    <t>Excludes PSC fees.</t>
  </si>
  <si>
    <t>DSM Rate Base</t>
  </si>
  <si>
    <t>ARO Rate Base</t>
  </si>
  <si>
    <t>Pro Forma</t>
  </si>
  <si>
    <t>(2 + 8)</t>
  </si>
  <si>
    <t>(2 - 3 - 4 - 5 - 6)</t>
  </si>
  <si>
    <t>ARO Balance Sheet Offset</t>
  </si>
  <si>
    <t>Total Net Original Cost Rate Base for Capital Allocation</t>
  </si>
  <si>
    <t>SUPPORTING SCHEDULE B-1.1</t>
  </si>
  <si>
    <t>PAGE 1 OF 4</t>
  </si>
  <si>
    <t>PAGE 2 OF 4</t>
  </si>
  <si>
    <t>PAGE 3 OF 4</t>
  </si>
  <si>
    <t>PAGE 4 OF 4</t>
  </si>
  <si>
    <t>KU</t>
  </si>
  <si>
    <t>Aug-14</t>
  </si>
  <si>
    <t>Depr. Grp Balance</t>
  </si>
  <si>
    <t>ECR Plan</t>
  </si>
  <si>
    <t>Exclusion from when project was identified as an ECR Project.</t>
  </si>
  <si>
    <t>2009 Plan</t>
  </si>
  <si>
    <t>Project 123557</t>
  </si>
  <si>
    <t>Project 125101</t>
  </si>
  <si>
    <t>Ghent CCP</t>
  </si>
  <si>
    <t>Project 122609, 138873</t>
  </si>
  <si>
    <t>TC Ash</t>
  </si>
  <si>
    <t>Project 121682</t>
  </si>
  <si>
    <t>Project 127137</t>
  </si>
  <si>
    <t>CWIP</t>
  </si>
  <si>
    <t>Exclusion</t>
  </si>
  <si>
    <t>monthly</t>
  </si>
  <si>
    <t>BRN 3 SCR</t>
  </si>
  <si>
    <t>BRN ATB Expansion</t>
  </si>
  <si>
    <t>TC Re-use</t>
  </si>
  <si>
    <t>Accum Depr</t>
  </si>
  <si>
    <t>136480KU</t>
  </si>
  <si>
    <t>GS GE Test Equip Pool KU</t>
  </si>
  <si>
    <t>Environmental Equipment KU</t>
  </si>
  <si>
    <t>140342KU</t>
  </si>
  <si>
    <t>HR Cap Equip Improvmnts KU</t>
  </si>
  <si>
    <t>Thirteen Month Average</t>
  </si>
  <si>
    <t>EMISSION ALLOWANCES (b)</t>
  </si>
  <si>
    <t>(b) Excludes ECR amounts.</t>
  </si>
  <si>
    <t>JURIS FACTOR %</t>
  </si>
  <si>
    <t>COMPARATIVE BALANCE SHEETS - TOTAL COMPANY</t>
  </si>
  <si>
    <t>COMPARATIVE BALANCE SHEETS - JURISDICTIONAL</t>
  </si>
  <si>
    <t>Adjustment to Balance</t>
  </si>
  <si>
    <t>2013</t>
  </si>
  <si>
    <t>STATISTIC FOR RATE AREA (SCHEDULE B-1)</t>
  </si>
  <si>
    <t>THERE HAVE BEEN NO CHANGES IN JURISIDICTIONAL PROCEDURES FROM PRIOR CASE.</t>
  </si>
  <si>
    <t>DESCRIPTIONS BY ACCOUNT OR MAJOR GROUPINGS</t>
  </si>
  <si>
    <t>Allowance for Funds Used Duriing Construction</t>
  </si>
  <si>
    <t>ALLOCATOR</t>
  </si>
  <si>
    <t>Total Production, Transmission, Distribution, and General plant</t>
  </si>
  <si>
    <t>Demand - Virginia and FERC Jurisdictions</t>
  </si>
  <si>
    <t>Kentucky System Property</t>
  </si>
  <si>
    <t>System Demand - Average 12 Coincident Peaks</t>
  </si>
  <si>
    <t>Retail Demand - Average 12 Coincident Peaks</t>
  </si>
  <si>
    <t xml:space="preserve">Virginia Situs Plant Directly Assigned </t>
  </si>
  <si>
    <t>Virginia Property</t>
  </si>
  <si>
    <t>Tennessee Property</t>
  </si>
  <si>
    <t xml:space="preserve">Kentucky Situs Plant Directly Assigned </t>
  </si>
  <si>
    <t>Kentucky Situs Plant Directly Assigned to Retail and Wholesale</t>
  </si>
  <si>
    <t xml:space="preserve">Tennessee Situs Plant Directly Assigned </t>
  </si>
  <si>
    <t>Total Kentucky Retail Production, Transmission, Distribution, and General plant</t>
  </si>
  <si>
    <t>PLANT IN SERVICE</t>
  </si>
  <si>
    <t>Allocated O&amp;M Labor Expense</t>
  </si>
  <si>
    <t>LABOR, DIRECT</t>
  </si>
  <si>
    <t>Allocated O&amp;M Labor Expense, DSM Plant Directly Assigned to Kentucky Retail</t>
  </si>
  <si>
    <t>Plant Account 302</t>
  </si>
  <si>
    <t>Plant Account 303</t>
  </si>
  <si>
    <t>311-316</t>
  </si>
  <si>
    <t>332-335</t>
  </si>
  <si>
    <t>341-346</t>
  </si>
  <si>
    <t>350-358</t>
  </si>
  <si>
    <t>352-356</t>
  </si>
  <si>
    <t>310-317</t>
  </si>
  <si>
    <t>Total Steam Production Plant</t>
  </si>
  <si>
    <t>ALL</t>
  </si>
  <si>
    <t>330-337</t>
  </si>
  <si>
    <t>Total Hydraulic Production Plant</t>
  </si>
  <si>
    <t>Total Other Production Plant</t>
  </si>
  <si>
    <t>340-347</t>
  </si>
  <si>
    <t>Kentucky System Transmission Property</t>
  </si>
  <si>
    <t>Virginia Transmission Property</t>
  </si>
  <si>
    <t>350-359</t>
  </si>
  <si>
    <t>350-356</t>
  </si>
  <si>
    <t>Kentucky System Transmission Plant</t>
  </si>
  <si>
    <t>Virginia and Tennessee Distribution System</t>
  </si>
  <si>
    <t>Kentucky Distribution System</t>
  </si>
  <si>
    <t>360-371</t>
  </si>
  <si>
    <t>360-374</t>
  </si>
  <si>
    <t>DISTPLTK</t>
  </si>
  <si>
    <t>Total Kentucky Distribution Plant</t>
  </si>
  <si>
    <t>Total Virginia and Tennessee Distribution Plant</t>
  </si>
  <si>
    <t>389-398</t>
  </si>
  <si>
    <t>General Plant</t>
  </si>
  <si>
    <t>Total General Plant</t>
  </si>
  <si>
    <t>Production Plant</t>
  </si>
  <si>
    <t>Total Production Plant</t>
  </si>
  <si>
    <t>Total Production System Plant</t>
  </si>
  <si>
    <t xml:space="preserve">Virginia and Tennessee Directly Assigned </t>
  </si>
  <si>
    <t>310-347</t>
  </si>
  <si>
    <t>Total Kentucky Electric Plant</t>
  </si>
  <si>
    <t>Virginia Tranmission Plant</t>
  </si>
  <si>
    <t>Virginia System Transmission Plant</t>
  </si>
  <si>
    <t>Fuel Inventory</t>
  </si>
  <si>
    <t>Energy at Generation Level</t>
  </si>
  <si>
    <t>Material and Supplies</t>
  </si>
  <si>
    <t>FUNCTIONAL</t>
  </si>
  <si>
    <t>Production, Transmission, and Distribution Functional Plant</t>
  </si>
  <si>
    <t>Emission Allowances</t>
  </si>
  <si>
    <t>Stores Undistributed</t>
  </si>
  <si>
    <t>M&amp;S</t>
  </si>
  <si>
    <t>Total Material and Supplies</t>
  </si>
  <si>
    <t>EXP9245</t>
  </si>
  <si>
    <t>Total Account 924 and 925 Expense</t>
  </si>
  <si>
    <t>Virginia Distribution System</t>
  </si>
  <si>
    <t>Kentucky and Tennessee Distribution System</t>
  </si>
  <si>
    <t xml:space="preserve">Virginia Directly Assigned </t>
  </si>
  <si>
    <t>Directly Assigned</t>
  </si>
  <si>
    <t>PAGE 1 OF 8</t>
  </si>
  <si>
    <t>PAGE 2 OF 8</t>
  </si>
  <si>
    <t>PAGE 3 OF 8</t>
  </si>
  <si>
    <t>PAGE 4 OF 8</t>
  </si>
  <si>
    <t>PAGE 6 OF 8</t>
  </si>
  <si>
    <t>PAGE 5 OF 8</t>
  </si>
  <si>
    <t>PAGE 7 OF 8</t>
  </si>
  <si>
    <t>PAGE 8 OF 8</t>
  </si>
  <si>
    <t>CHECK</t>
  </si>
  <si>
    <t>ALLOCATION FROM JURISDICTIONAL SEPARATION STUDY</t>
  </si>
  <si>
    <t>Description</t>
  </si>
  <si>
    <t>ECR</t>
  </si>
  <si>
    <t>ARO</t>
  </si>
  <si>
    <t>DSM</t>
  </si>
  <si>
    <t>CHECK TOTALS</t>
  </si>
  <si>
    <t>plus RWIP</t>
  </si>
  <si>
    <t>E370.01-Meters AMS</t>
  </si>
  <si>
    <t>E397.00- Microwave, Fiber, Other</t>
  </si>
  <si>
    <t>E397.10-Comm Eq Radio and Telephone</t>
  </si>
  <si>
    <t>E360.25-Land Held for Future Use</t>
  </si>
  <si>
    <t>Other Production</t>
  </si>
  <si>
    <t xml:space="preserve">   KU-1311 - Steam Production - ECR 2011 </t>
  </si>
  <si>
    <t xml:space="preserve">   KU-1312 - Steam Production - ECR 2016 </t>
  </si>
  <si>
    <t xml:space="preserve">   KU-1315 - Steam Production - ECR 2009 </t>
  </si>
  <si>
    <t xml:space="preserve">   KU-1316 - Steam Production - ECR 2011 </t>
  </si>
  <si>
    <t xml:space="preserve">   KU-1340 - Other Production - Future Use </t>
  </si>
  <si>
    <t xml:space="preserve">   KU-1340 - Other Production - Gas Pipe Line </t>
  </si>
  <si>
    <t xml:space="preserve">   KU-1341 - Other Production - Structures and Improvements CCGT </t>
  </si>
  <si>
    <t xml:space="preserve">   KU-1341 - Other Production - Structures and Improvements Solar </t>
  </si>
  <si>
    <t xml:space="preserve">   KU-1342 - Other Production - Fuel Holders, Producers, Acc CCGT </t>
  </si>
  <si>
    <t xml:space="preserve">   KU-1342 - Other Production - Gas Pipe Line </t>
  </si>
  <si>
    <t xml:space="preserve">   KU-1343 - Other Production - Prime Movers CCGT </t>
  </si>
  <si>
    <t xml:space="preserve">   KU-1344 - Other Production - Generators CCGT </t>
  </si>
  <si>
    <t xml:space="preserve">   KU-1344 - Other Production - Generators Solar </t>
  </si>
  <si>
    <t xml:space="preserve">   KU-1345 - Other Production - Accessory Electric Equipment CCGT </t>
  </si>
  <si>
    <t xml:space="preserve">   KU-1345 - Other Production - Accessory Electric Equipment Solar </t>
  </si>
  <si>
    <t xml:space="preserve">   KU-1346 - Other Production - Misc Power Plant Equipment CCGT </t>
  </si>
  <si>
    <t xml:space="preserve">   KU-1346 - Other Production - Misc Power Plant Equipment Solar </t>
  </si>
  <si>
    <t xml:space="preserve">   KU-1347 - Other Production - ARO </t>
  </si>
  <si>
    <t xml:space="preserve">   KU-1364 - Electric Distribution - ECR 2009 </t>
  </si>
  <si>
    <t xml:space="preserve">   KU-1365 - Electric Distribution - ECR 2009 </t>
  </si>
  <si>
    <t xml:space="preserve">   KU-1366 - Electric Distribution - ECR 2009 </t>
  </si>
  <si>
    <t xml:space="preserve">   KU-1367 - Electric Distribution - ECR 2009 </t>
  </si>
  <si>
    <t>Spec ID</t>
  </si>
  <si>
    <t>13-Month Average</t>
  </si>
  <si>
    <t xml:space="preserve">   KU Steam Production ECR 2016 </t>
  </si>
  <si>
    <t>Property Group</t>
  </si>
  <si>
    <t>13-MONTH AVERAGE</t>
  </si>
  <si>
    <t xml:space="preserve">          143.4 - Other AR Fed Tax Rec</t>
  </si>
  <si>
    <t xml:space="preserve">          145.0 - Notes receivable from assoc co (LKE)</t>
  </si>
  <si>
    <t xml:space="preserve">          165.1 - Prepayments - LT</t>
  </si>
  <si>
    <t xml:space="preserve">          181.1 - Unamortized debt expense</t>
  </si>
  <si>
    <t xml:space="preserve">          181.2 - Unamortized debt expense rollovers/lcs</t>
  </si>
  <si>
    <t xml:space="preserve">          184.6 - Clearing Accts (Int Div Payable)</t>
  </si>
  <si>
    <t xml:space="preserve">          188.1 - Misc Def Debits Resrch/Dev/Demo Exp</t>
  </si>
  <si>
    <t>TOTAL LIABILITIES AND OTHER CREDITS</t>
  </si>
  <si>
    <t>C. M. GARRETT</t>
  </si>
  <si>
    <t>JURIS PERCENT</t>
  </si>
  <si>
    <t>Land located at Green River CC GT intended for Generation</t>
  </si>
  <si>
    <t>Land and site prep located at London, Kentucky intended for Substation</t>
  </si>
  <si>
    <t xml:space="preserve">    REGULATORY DEBITS</t>
  </si>
  <si>
    <t>DIR360FU</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</si>
  <si>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</si>
  <si>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</si>
  <si>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</si>
  <si>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</si>
  <si>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</si>
  <si>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</si>
  <si>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</si>
  <si>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</si>
  <si>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</si>
  <si>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</si>
  <si>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</si>
  <si>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</si>
  <si>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</si>
  <si>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</si>
  <si>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</si>
  <si>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</si>
  <si>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</si>
  <si>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</si>
  <si>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</si>
  <si>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</si>
  <si>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</si>
  <si>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DIRECT ASSIGN 360-PHFU</t>
  </si>
  <si>
    <t>DIR ASSIGN ACC.DFDTX.DIST.VA</t>
  </si>
  <si>
    <t>DIR ASSIGN ACC.ITC.DIST.VA</t>
  </si>
  <si>
    <t>ACCT 930-GEN MISC &amp; ADVERTISING</t>
  </si>
  <si>
    <t>2015</t>
  </si>
  <si>
    <t>2014</t>
  </si>
  <si>
    <t>THIRTEEN MONTH AVERAGE FOR PERIOD</t>
  </si>
  <si>
    <t>13 MO AVG CONSTRUCTION AMOUNT</t>
  </si>
  <si>
    <t>101, 108, 182, 230</t>
  </si>
  <si>
    <t>Unamortized Closure Cost (a)</t>
  </si>
  <si>
    <t>(a) Adjustment reflects applicable ECR and DSM jurisdictional amounts.</t>
  </si>
  <si>
    <t xml:space="preserve">  Unamortized Closure Costs</t>
  </si>
  <si>
    <t>Unamortized Closure Cost</t>
  </si>
  <si>
    <t>CERTAIN DEFERRED CREDITS AND ACCUMULATED DEFERRED INCOME TAX</t>
  </si>
  <si>
    <t>158.0 - ECR Allowance inventory</t>
  </si>
  <si>
    <t>SUMMARY OF ESTIMATED SURVIVOR CURVES, NET SALVAGE, ORIGINAL COST, BOOK DEPRECIATION RESERVE AND</t>
  </si>
  <si>
    <t>100-R2.5</t>
  </si>
  <si>
    <t xml:space="preserve">STRUCTURES AND IMPROVEMENTS - ASH PONDS                   </t>
  </si>
  <si>
    <t xml:space="preserve">  TRIMBLE COUNTY UNIT 2 ASH POND</t>
  </si>
  <si>
    <t>100-S4</t>
  </si>
  <si>
    <t xml:space="preserve">  GHENT UNIT 1 SCRUBBER ASH POND</t>
  </si>
  <si>
    <t xml:space="preserve">  GHENT UNIT 1 ASH POND  </t>
  </si>
  <si>
    <t>TOTAL ACCOUNT 311.1 - STRUCTURES AND IMPROVEMENTS - ASH PONDS</t>
  </si>
  <si>
    <t>STRUCTURES AND IMPROVEMENTS - RETIRED PLANT</t>
  </si>
  <si>
    <t>65-R2</t>
  </si>
  <si>
    <t>BOILER PLANT EQUIPMENT - ASH PONDS</t>
  </si>
  <si>
    <t xml:space="preserve">  BROWN UNIT 1 ASH POND</t>
  </si>
  <si>
    <t xml:space="preserve">  BROWN UNIT 2 ASH POND</t>
  </si>
  <si>
    <t xml:space="preserve">  BROWN UNIT 3 ASH POND</t>
  </si>
  <si>
    <t xml:space="preserve">  GHENT UNIT 4 ASH POND</t>
  </si>
  <si>
    <t xml:space="preserve">  GHENT UNIT 2 SCRUBBER ASH POND</t>
  </si>
  <si>
    <t xml:space="preserve">  TYRONE UNIT 3 - ASH POND</t>
  </si>
  <si>
    <t xml:space="preserve">  GREEN RIVER UNIT 3 - ASH POND</t>
  </si>
  <si>
    <t xml:space="preserve">  PINEVILLE UNIT 3 - ASH POND</t>
  </si>
  <si>
    <t>TOTAL ACCOUNT 312.1 - BOILER PLANT EQUIPMENT - ASH PONDS</t>
  </si>
  <si>
    <t>BOILER PLANT EQUIPMENT - RETIRED PLANT</t>
  </si>
  <si>
    <t>TURBOGENERATOR UNITS - RETIRED PLANT</t>
  </si>
  <si>
    <t>TOTAL ACCOUNT 314.1 - TURBOGENERATOR UNITS - RETIRED PLANT</t>
  </si>
  <si>
    <t>70-R3</t>
  </si>
  <si>
    <t>ACCESSORY ELECTRIC EQUIPMENT - RETIRED PLANT</t>
  </si>
  <si>
    <t>TOTAL ACCOUNT 315.1 - ACCESSORY ELECTRIC EQUIPMENT - RETIRED PLANT</t>
  </si>
  <si>
    <t xml:space="preserve">MISCELLANEOUS PLANT EQUIPMENT </t>
  </si>
  <si>
    <t>75-R1.5</t>
  </si>
  <si>
    <t>TOTAL ACCOUNT 316 - MISCELLANEOUS PLANT EQUIPMENT</t>
  </si>
  <si>
    <t>MISCELLANEOUS PLANT EQUIPMENT - RETIRED PLANT</t>
  </si>
  <si>
    <t>TOTAL ACCOUNT 316.1 - MISCELLANEOUS PLANT EQUIPMENT - RETIRED PLANT</t>
  </si>
  <si>
    <t>105-S2.5</t>
  </si>
  <si>
    <t>40-S0</t>
  </si>
  <si>
    <t>60-R4</t>
  </si>
  <si>
    <t xml:space="preserve">  CANE RUN CC 7</t>
  </si>
  <si>
    <t>50-R2.5</t>
  </si>
  <si>
    <t xml:space="preserve">  CANE RUN GAS PIPELINE</t>
  </si>
  <si>
    <t>55-S2.5</t>
  </si>
  <si>
    <t>50-R3</t>
  </si>
  <si>
    <t>40-R2</t>
  </si>
  <si>
    <t>45-R2</t>
  </si>
  <si>
    <t>58-R2</t>
  </si>
  <si>
    <t>65-R3</t>
  </si>
  <si>
    <t>40-R3</t>
  </si>
  <si>
    <t>50-R1.5</t>
  </si>
  <si>
    <t>47-R1</t>
  </si>
  <si>
    <t>48-R2</t>
  </si>
  <si>
    <t>46-R2</t>
  </si>
  <si>
    <t>48-R1</t>
  </si>
  <si>
    <t>METERS - AMS</t>
  </si>
  <si>
    <t>15-S2.5</t>
  </si>
  <si>
    <t>28-O1</t>
  </si>
  <si>
    <t>28-L0.5</t>
  </si>
  <si>
    <t>28-L1</t>
  </si>
  <si>
    <t>50-S0</t>
  </si>
  <si>
    <t>33-R1.5</t>
  </si>
  <si>
    <t>14-S2</t>
  </si>
  <si>
    <t>16-L2.5</t>
  </si>
  <si>
    <t>16-L5</t>
  </si>
  <si>
    <t>18-L3</t>
  </si>
  <si>
    <t>COMMUNICATION EQUIPMENT - DSM</t>
  </si>
  <si>
    <t>-6%,-7%,-13%</t>
  </si>
  <si>
    <t>-6%,-7%,-10%,-12%</t>
  </si>
  <si>
    <t>-6%,-7%,-12%</t>
  </si>
  <si>
    <t>-10%</t>
  </si>
  <si>
    <t>15-S2.5, 28-L1</t>
  </si>
  <si>
    <t>10-SQ, 18-L3</t>
  </si>
  <si>
    <t>2.2-9.9</t>
  </si>
  <si>
    <t>10.8-13.9</t>
  </si>
  <si>
    <t>5.6-13.4</t>
  </si>
  <si>
    <t>4.3-14.7</t>
  </si>
  <si>
    <t>47.9-59.5</t>
  </si>
  <si>
    <t>149992</t>
  </si>
  <si>
    <t>BUILDING - NORTON VA</t>
  </si>
  <si>
    <t>IT0101K</t>
  </si>
  <si>
    <t>Smallworld GIS Upgr-KU17-19</t>
  </si>
  <si>
    <t>146434</t>
  </si>
  <si>
    <t>DX Dam Parapet Wall</t>
  </si>
  <si>
    <t>148391</t>
  </si>
  <si>
    <t>Prop. Tax Cap. - KU Non-Mech</t>
  </si>
  <si>
    <t>148175KU</t>
  </si>
  <si>
    <t>151763</t>
  </si>
  <si>
    <t>KU Coupling Capacitor Rpl</t>
  </si>
  <si>
    <t>145403</t>
  </si>
  <si>
    <t>139696</t>
  </si>
  <si>
    <t>LEX UNDRGD-PHASE 1</t>
  </si>
  <si>
    <t>138168</t>
  </si>
  <si>
    <t>DSP PAYNES MILL SUB PROJ</t>
  </si>
  <si>
    <t>148892</t>
  </si>
  <si>
    <t>144541</t>
  </si>
  <si>
    <t>BRCT Gas Pipeline Relocation</t>
  </si>
  <si>
    <t>144302</t>
  </si>
  <si>
    <t>GH2 4kv Switchgear</t>
  </si>
  <si>
    <t>147818</t>
  </si>
  <si>
    <t>IT0287K</t>
  </si>
  <si>
    <t>Tech Refesh desk/lap-KU18</t>
  </si>
  <si>
    <t>BRMISCCAP</t>
  </si>
  <si>
    <t>BR Miscellaneous Cap</t>
  </si>
  <si>
    <t>152792</t>
  </si>
  <si>
    <t>Richmond N. Sub</t>
  </si>
  <si>
    <t>149345</t>
  </si>
  <si>
    <t>SC CAPITAL - 2016 BP - KU</t>
  </si>
  <si>
    <t>IT0246K</t>
  </si>
  <si>
    <t>151746</t>
  </si>
  <si>
    <t>REL-Hodgenville Switch Motor</t>
  </si>
  <si>
    <t>IT0219K</t>
  </si>
  <si>
    <t>EE DSM Filing-KU18-19</t>
  </si>
  <si>
    <t>152005</t>
  </si>
  <si>
    <t>IT0242K</t>
  </si>
  <si>
    <t>Megastar &amp; DVM MW Repl-KU18</t>
  </si>
  <si>
    <t>152693KU</t>
  </si>
  <si>
    <t>TC OFFICE UPGRADES</t>
  </si>
  <si>
    <t>141391</t>
  </si>
  <si>
    <t>138842</t>
  </si>
  <si>
    <t>Grn Rvr Plnt-Hllsd 69kV Relo</t>
  </si>
  <si>
    <t>IT0221K</t>
  </si>
  <si>
    <t>EMS CIP-KU18</t>
  </si>
  <si>
    <t>IT0291K</t>
  </si>
  <si>
    <t>TRODS-KU18</t>
  </si>
  <si>
    <t>IT0264K</t>
  </si>
  <si>
    <t>Rate Case 2018-KU18-19</t>
  </si>
  <si>
    <t>151775</t>
  </si>
  <si>
    <t>Hillside Control House</t>
  </si>
  <si>
    <t>IT0254K</t>
  </si>
  <si>
    <t>Network Access Gateways-KU18</t>
  </si>
  <si>
    <t>150221</t>
  </si>
  <si>
    <t>KU Ky Wired Reimbursable</t>
  </si>
  <si>
    <t>65-R2, 100-S4</t>
  </si>
  <si>
    <t>Jul 2018</t>
  </si>
  <si>
    <t>Aug 2018</t>
  </si>
  <si>
    <t>Sep 2018</t>
  </si>
  <si>
    <t>Oct 2018</t>
  </si>
  <si>
    <t>Nov 2018</t>
  </si>
  <si>
    <t>Dec 2018</t>
  </si>
  <si>
    <t>Accum Depr Cost of Removal</t>
  </si>
  <si>
    <t>KU-1312 - Steam Production - ECR 2009 </t>
  </si>
  <si>
    <t>KU-1312 - Steam Production - ECR 2011 </t>
  </si>
  <si>
    <t>KU-1315 - Steam Production - ECR 2009 </t>
  </si>
  <si>
    <t>LGE-1312 - Steam Production - ECR 2009 </t>
  </si>
  <si>
    <t>LGE-1312 - Steam Production - ECR 2011 </t>
  </si>
  <si>
    <t>LGE-1312 - Steam Production - ECR 2016 </t>
  </si>
  <si>
    <t>INSERT "ACCUM DEPR COST OF REMOVAL" ROWS BELOW INTO PLANT DATA TAB FOR EACH ACCOUNT.</t>
  </si>
  <si>
    <t>REPLACE ACCUM DEPRECIATION RESERVE BALANCES IN PLANT DATA TAB FROM FORECASTING WITH "ENDING ACCUM DEPRECIATION" ROWS BELOW FOR EACH ACCOUNT.</t>
  </si>
  <si>
    <t>403 - ECR DEPRECIATION EXP</t>
  </si>
  <si>
    <t>408 - ECR PROPERTY TAX</t>
  </si>
  <si>
    <t>501 - ECR STEAM FUEL EXP RECOVERABLE</t>
  </si>
  <si>
    <t>502 - ECR BOILER EXPENSE</t>
  </si>
  <si>
    <t>506 - ECR ENVIRONMENTAL EXP</t>
  </si>
  <si>
    <t>509 - ECR SO2/NOX EMISSION ALLOWANCES</t>
  </si>
  <si>
    <t>512 - ECR BOILER-ENVRNL</t>
  </si>
  <si>
    <t>549 - ECR MISC OTH PWR GEN EXP</t>
  </si>
  <si>
    <t>923 - ECR CONSULTANT FEE</t>
  </si>
  <si>
    <t>FROM ECR EXPENSE MONTH FILINGS:</t>
  </si>
  <si>
    <t>407.3-REGULATORY DEBITS</t>
  </si>
  <si>
    <t>501253 - ECR Fly Ash Disposal</t>
  </si>
  <si>
    <t>502011 - ECR Other Waste Disposal</t>
  </si>
  <si>
    <t>BENEFICIAL REUSE IN BASE RATES (ES FORM 2.61)</t>
  </si>
  <si>
    <t xml:space="preserve"> 506159 - ECR Sorbent Injection Operation</t>
  </si>
  <si>
    <t xml:space="preserve"> 506152 - ECR Sorbent Reactant - Reagent Only</t>
  </si>
  <si>
    <t xml:space="preserve"> 512152 - ECR Sorbent Injection Maintenance</t>
  </si>
  <si>
    <t xml:space="preserve"> 506156 - ECR Baghouse Operations</t>
  </si>
  <si>
    <t xml:space="preserve"> 512156 - ECR Baghouse Maintenance</t>
  </si>
  <si>
    <t xml:space="preserve"> 506151 - ECR Activated Carbon</t>
  </si>
  <si>
    <t>506153 - ECR Liquid Injection - Reagent Only</t>
  </si>
  <si>
    <t>923 - ECR Consultant Fee</t>
  </si>
  <si>
    <t>SUMMARY BY ACCOUNT:</t>
  </si>
  <si>
    <t>403-404</t>
  </si>
  <si>
    <t>403 - ECR Depreciation</t>
  </si>
  <si>
    <t>407 - ECR Closure Costs</t>
  </si>
  <si>
    <t>408 - ECR Property Tax</t>
  </si>
  <si>
    <t>501 - ECR Fly Ash Disposal</t>
  </si>
  <si>
    <t>502 - ECR Other Waste Disposal</t>
  </si>
  <si>
    <t>506 - ECR Operation</t>
  </si>
  <si>
    <t>509 - ECR Allowances</t>
  </si>
  <si>
    <t>512 - ECR Steam Maintenance</t>
  </si>
  <si>
    <t>Total ECR O&amp;M</t>
  </si>
  <si>
    <t>ECR O&amp;M for Working Capital</t>
  </si>
  <si>
    <t xml:space="preserve"> 506154 - ECR NOx Operation -- Consumables</t>
  </si>
  <si>
    <t xml:space="preserve"> 506155 - ECR NOx Operation -- Labor and Other</t>
  </si>
  <si>
    <t xml:space="preserve"> 512151 - ECR NOx Maintenance</t>
  </si>
  <si>
    <t xml:space="preserve"> 502013 - ECR Landfill Operations</t>
  </si>
  <si>
    <t xml:space="preserve"> 512107 - ECR Landfill Maintenance</t>
  </si>
  <si>
    <t>151465</t>
  </si>
  <si>
    <t>Mobile Control House</t>
  </si>
  <si>
    <t>SCH 1.1</t>
  </si>
  <si>
    <t>DECEMBER 31, 2018</t>
  </si>
  <si>
    <t>AS OF DECEMBER 31, 2018</t>
  </si>
  <si>
    <t>JANUARY 2018 TO DECEMBER 2018</t>
  </si>
  <si>
    <t>FROM JANUARY 1, 2018 TO DECEMBER 31, 2018</t>
  </si>
  <si>
    <t>BASE YEAR FOR THE 12 MONTHS ENDED DECEMBER 31, 2018</t>
  </si>
  <si>
    <t>FOR THE 12 MONTHS ENDED DECEMBER 31, 2018</t>
  </si>
  <si>
    <t>APRIL 30, 2020</t>
  </si>
  <si>
    <t>AS OF APRIL 30, 2020</t>
  </si>
  <si>
    <t>MAY 2019 TO APRIL 2020</t>
  </si>
  <si>
    <t>FROM MAY 1, 2019 TO APRIL 30, 2020</t>
  </si>
  <si>
    <t>FORECAST PERIOD FOR THE 12 MONTHS ENDED APRIL 30, 2020</t>
  </si>
  <si>
    <t>FOR THE 12 MONTHS ENDED APRIL 30, 2020</t>
  </si>
  <si>
    <t>For the 2018 Rate Case Filing</t>
  </si>
  <si>
    <t>Net Original Cost Kentucky Jurisdictional Rate Base as of December 31, 2018</t>
  </si>
  <si>
    <t>Net Original Cost Kentucky Jurisdictional Rate Base as of April 30, 2020</t>
  </si>
  <si>
    <t>512108 - ECR CCR Ben Reuse System Maint</t>
  </si>
  <si>
    <t>a-Jan 2018</t>
  </si>
  <si>
    <t>a-Feb 2018</t>
  </si>
  <si>
    <t>a-Mar 2018</t>
  </si>
  <si>
    <t>a-Apr 2018</t>
  </si>
  <si>
    <t>a-May 2018</t>
  </si>
  <si>
    <t>a-Jun 2018</t>
  </si>
  <si>
    <t>411 - AMORTIZATION OF EXCESS ADIT</t>
  </si>
  <si>
    <t>411.8 - ECR Gain Disp Allowances</t>
  </si>
  <si>
    <t>411 - ECR Amort Excess ADIT</t>
  </si>
  <si>
    <t>411 - ECR AMORT EXCESS ADIT</t>
  </si>
  <si>
    <t>411.8 - ECR GAIN-DISP OF ALLOW</t>
  </si>
  <si>
    <t>BASE PERIOD: DECEMBER 2018</t>
  </si>
  <si>
    <t>a-Jan 1 2018</t>
  </si>
  <si>
    <t>Dec 31 2018</t>
  </si>
  <si>
    <t>E360.10-Land Rights (less PHFU)</t>
  </si>
  <si>
    <t>E370.20-Meters CT and PT</t>
  </si>
  <si>
    <t>E389.20-Land (less PHFU)</t>
  </si>
  <si>
    <t>E396.00-Power Op Equip - Lg Mach</t>
  </si>
  <si>
    <t>E340.10-Land Rights (less PHFU)</t>
  </si>
  <si>
    <t>E317.08-ARO Cost Steam (CCR)</t>
  </si>
  <si>
    <t>Plant Report</t>
  </si>
  <si>
    <t>12 MONTHS ENDING DECEMBER 31, 2018</t>
  </si>
  <si>
    <t xml:space="preserve">    UNAMORTIZED CLOSURE COSTS</t>
  </si>
  <si>
    <t>UNAMORTIZED CLOSURE COSTS</t>
  </si>
  <si>
    <t>.</t>
  </si>
  <si>
    <t xml:space="preserve">  454-EV CHARGING STATION RENTAL</t>
  </si>
  <si>
    <t xml:space="preserve">  454-REFINED COAL LICENSE FEE</t>
  </si>
  <si>
    <t xml:space="preserve">  456-REFINED COAL EXCLUSIVITY FEE</t>
  </si>
  <si>
    <t xml:space="preserve">  UNEMPLOYMENT</t>
  </si>
  <si>
    <t xml:space="preserve">  FICA</t>
  </si>
  <si>
    <t>a-Dec 2017</t>
  </si>
  <si>
    <t>Jan2018-Dec2018</t>
  </si>
  <si>
    <t xml:space="preserve">   KU-1310 - Steam Production - ECR 2016 </t>
  </si>
  <si>
    <t xml:space="preserve">   KU-1317 - Steam Production - ARO CCR </t>
  </si>
  <si>
    <t xml:space="preserve">   KU-1370 KY - Electric Distribution - Meters - DSM </t>
  </si>
  <si>
    <t xml:space="preserve">   KU-1389 KY - Electric General - Future Use </t>
  </si>
  <si>
    <t xml:space="preserve">   KU-1392 VA - Electric General - Transportation Equipment </t>
  </si>
  <si>
    <t xml:space="preserve">   KU-1396 KY - Electric General - Transportation Equipment </t>
  </si>
  <si>
    <t xml:space="preserve">   KU-1396 VA - Electric General - Transportation Equipment </t>
  </si>
  <si>
    <t>Gross Plant FERC-AFUDC POST</t>
  </si>
  <si>
    <t>Depreciation Expense FERC-AFUDC PRE</t>
  </si>
  <si>
    <t>Depreciation Expense FERC-AFUDC POST</t>
  </si>
  <si>
    <t>Accum Depr FERC-AFUDC PRE</t>
  </si>
  <si>
    <t>Accum Depr FERC-AFUDC POST</t>
  </si>
  <si>
    <t xml:space="preserve">   KU Land - VA </t>
  </si>
  <si>
    <t>13MOAVG DEC-18</t>
  </si>
  <si>
    <t xml:space="preserve">          101.3 - Property Under Operating Lease</t>
  </si>
  <si>
    <t xml:space="preserve">          111.3 - Accumulated Depr Property Under Operating Lease</t>
  </si>
  <si>
    <t xml:space="preserve">          128.1 - Other spec funds - investments</t>
  </si>
  <si>
    <t xml:space="preserve">     Special funds</t>
  </si>
  <si>
    <t xml:space="preserve">          184.7 - Clearing Accts (Lease)</t>
  </si>
  <si>
    <t xml:space="preserve">          242.3 - Obligations Under Operating Lease - Current</t>
  </si>
  <si>
    <t xml:space="preserve">          253.3 - Other deferred credits</t>
  </si>
  <si>
    <t xml:space="preserve">          228.7 - Obligations Under Operating Leases (Noncurrent)</t>
  </si>
  <si>
    <t>FORECAST PERIOD: APRIL 2020</t>
  </si>
  <si>
    <t>May 1 2019</t>
  </si>
  <si>
    <t>Apr 30 2020</t>
  </si>
  <si>
    <t>KU Plant Account (monthly)</t>
  </si>
  <si>
    <t>Apr 2019</t>
  </si>
  <si>
    <t>May 2019</t>
  </si>
  <si>
    <t>Jun 2019</t>
  </si>
  <si>
    <t>Jul 2019</t>
  </si>
  <si>
    <t>Aug 2019</t>
  </si>
  <si>
    <t>Sep 2019</t>
  </si>
  <si>
    <t>Oct 2019</t>
  </si>
  <si>
    <t>Nov 2019</t>
  </si>
  <si>
    <t>Dec 2019</t>
  </si>
  <si>
    <t>Jan 2020</t>
  </si>
  <si>
    <t>Feb 2020</t>
  </si>
  <si>
    <t>Mar 2020</t>
  </si>
  <si>
    <t>Apr 2020</t>
  </si>
  <si>
    <t>May2019-Apr2020</t>
  </si>
  <si>
    <t>in (000's)</t>
  </si>
  <si>
    <t>Gross Plant FERC-AFUDC PRE</t>
  </si>
  <si>
    <t xml:space="preserve">    12 MONTHS ENDING APRIL 30, 2020</t>
  </si>
  <si>
    <t>Plant In Service</t>
  </si>
  <si>
    <t xml:space="preserve">KU-1312 - Steam Production - ECR 2009 </t>
  </si>
  <si>
    <t>Depreciation Exclusion</t>
  </si>
  <si>
    <t>Total Depreciation Exclusion</t>
  </si>
  <si>
    <t>Accum Depreication Exclusion</t>
  </si>
  <si>
    <t>Total Accum Depreciation Exclusion</t>
  </si>
  <si>
    <t>Depreciation Rates</t>
  </si>
  <si>
    <t>ECR Cost of Removal to be Excl from Total Reserve</t>
  </si>
  <si>
    <t>Jan 2019</t>
  </si>
  <si>
    <t>Feb 2019</t>
  </si>
  <si>
    <t>Mar 2019</t>
  </si>
  <si>
    <t>($000s)</t>
  </si>
  <si>
    <t>Ending Accum Depreciation (incl. COR)</t>
  </si>
  <si>
    <t xml:space="preserve">   KU-1312 - Steam Production - COR 2009 </t>
  </si>
  <si>
    <t xml:space="preserve">   KU-1312 - Steam Production - COR 2011 </t>
  </si>
  <si>
    <t xml:space="preserve">   KU-1315 - Steam Production - COR 2009 </t>
  </si>
  <si>
    <t>YE-Dec 2018</t>
  </si>
  <si>
    <t>407 - ECR CLOSURE COSTS (KPSC JURIS)</t>
  </si>
  <si>
    <t>YE-Apr 2020</t>
  </si>
  <si>
    <t>13MOAVG APR-20</t>
  </si>
  <si>
    <t>Land and site prep located at Kevil Service Station</t>
  </si>
  <si>
    <t>Land and site prep located at Lonesome Pine Substation</t>
  </si>
  <si>
    <t>Land and site prep located at Polo Club Substation</t>
  </si>
  <si>
    <t>KU AFUDC Balances By FERC Plant Account</t>
  </si>
  <si>
    <t>13-Month Average As of April 30, 2020</t>
  </si>
  <si>
    <t>KY JURIS</t>
  </si>
  <si>
    <t>State</t>
  </si>
  <si>
    <t>Plant Acct.</t>
  </si>
  <si>
    <t>Pre-Merger</t>
  </si>
  <si>
    <t>Post-Merger</t>
  </si>
  <si>
    <t>Accessory Electrical Equipment</t>
  </si>
  <si>
    <t>Misc. Power Plant Equipment</t>
  </si>
  <si>
    <t>TOTAL KU</t>
  </si>
  <si>
    <t>Reservoirs, Dams, and Waterways</t>
  </si>
  <si>
    <t>Waterwheels, Turbines, &amp; Generators</t>
  </si>
  <si>
    <t>Fuel Holders, Producers, &amp; Acc.</t>
  </si>
  <si>
    <t>Land</t>
  </si>
  <si>
    <t>O/H Conductors and Devices</t>
  </si>
  <si>
    <t>U/G Conductors and Devices</t>
  </si>
  <si>
    <t>Allocation Factor</t>
  </si>
  <si>
    <t>Forecast Period Jurisdictional</t>
  </si>
  <si>
    <t>Average Daily Amount</t>
  </si>
  <si>
    <t>Revenue Lag Days</t>
  </si>
  <si>
    <t>Expense (Lead)/Lag Days</t>
  </si>
  <si>
    <t>Net (Lead)/Lag Days</t>
  </si>
  <si>
    <t>Working Capital (Provided)/
Required</t>
  </si>
  <si>
    <t>O&amp;M Expenses:</t>
  </si>
  <si>
    <t>Fuel:  Coal</t>
  </si>
  <si>
    <t>Fuel:  Gas</t>
  </si>
  <si>
    <t>Fuel:  Oil</t>
  </si>
  <si>
    <t>Other Non-Fuel Commodities</t>
  </si>
  <si>
    <t>Purchased Power</t>
  </si>
  <si>
    <t>Payroll Expense</t>
  </si>
  <si>
    <t>Pension Expense</t>
  </si>
  <si>
    <t>OPEB Expense</t>
  </si>
  <si>
    <t>Team Incentive Award Compensation</t>
  </si>
  <si>
    <t>401k Match Expense</t>
  </si>
  <si>
    <t>Retirement Income Account Expense</t>
  </si>
  <si>
    <t>Uncollectible Expense</t>
  </si>
  <si>
    <t>Major Storm Damage Expense</t>
  </si>
  <si>
    <t>Charges from Affiliates</t>
  </si>
  <si>
    <t>Other O&amp;M</t>
  </si>
  <si>
    <t>Total O&amp;M Expenses</t>
  </si>
  <si>
    <t>Depreciation and Amortization Expense</t>
  </si>
  <si>
    <t>Depreciation and Amortization</t>
  </si>
  <si>
    <t>Regulatory Debits</t>
  </si>
  <si>
    <t>Amortization of Regulatory Assets</t>
  </si>
  <si>
    <t>Amortization of Regulatory Liabilities</t>
  </si>
  <si>
    <t>Total Depreciation and Amortization Expense</t>
  </si>
  <si>
    <t>Income Tax Expense:</t>
  </si>
  <si>
    <t>Current:  Federal</t>
  </si>
  <si>
    <t>Current:  State</t>
  </si>
  <si>
    <t>Deferred:  Federal and State (Including ITC)</t>
  </si>
  <si>
    <t>Total Income Tax Expense</t>
  </si>
  <si>
    <t>Taxes Other Than Income</t>
  </si>
  <si>
    <t>Property Tax Expense</t>
  </si>
  <si>
    <t>Payroll Tax Expense</t>
  </si>
  <si>
    <t>Other Taxes</t>
  </si>
  <si>
    <t>Total Taxes Other Than Income</t>
  </si>
  <si>
    <t>(Gain)/Loss on Disposition of Property</t>
  </si>
  <si>
    <t>(Gain)/Loss on Disposition of Allowances</t>
  </si>
  <si>
    <t>Charitable Donations</t>
  </si>
  <si>
    <t>Interest on Customer Deposits</t>
  </si>
  <si>
    <t>Other (Income)/Expense</t>
  </si>
  <si>
    <t>Other Interest Expense/(Income)</t>
  </si>
  <si>
    <t>Interest Expense</t>
  </si>
  <si>
    <t>Income Available for Common Equity</t>
  </si>
  <si>
    <t>Sales Taxes</t>
  </si>
  <si>
    <t>School Taxes</t>
  </si>
  <si>
    <t>Franchise Fees</t>
  </si>
  <si>
    <t>Cash Working Capital (Lead/Lag)</t>
  </si>
  <si>
    <t>Additional Cash Working Capital Items (Page 2)</t>
  </si>
  <si>
    <t>Total Cash Working Capital</t>
  </si>
  <si>
    <t>ECR Cash Working Capital (Page 3)</t>
  </si>
  <si>
    <t>Jurisdictional Cash Working Capital (Line 48 - 49)</t>
  </si>
  <si>
    <t>13 MONTH AVERAGE</t>
  </si>
  <si>
    <t>Virginia Jurisdictional Percentage</t>
  </si>
  <si>
    <t>ADDITIONAL USES OF CASH WORKING CAPITAL:</t>
  </si>
  <si>
    <t>PREPAID PENSION</t>
  </si>
  <si>
    <t>REGULATORY ASSET - FAS 158 PENSION</t>
  </si>
  <si>
    <t>PRELIMINARY SURVEY</t>
  </si>
  <si>
    <t>MISC DEFERRED DEBITS</t>
  </si>
  <si>
    <t>RESRCH/DEV/DEMO EXP</t>
  </si>
  <si>
    <t>TOTAL USES OF CASH WORKING CAPITAL</t>
  </si>
  <si>
    <t>ADDITIONAL SOURCES OF CASH WORKING CAPITAL:</t>
  </si>
  <si>
    <t>MISC LONG TERM LIABILITIES</t>
  </si>
  <si>
    <t>ACCUMULATED PROVISION FOR POST RETIREMENT BENEFITS</t>
  </si>
  <si>
    <t>MISC LIABILITY</t>
  </si>
  <si>
    <t>OTHER DEFERRED CREDITS</t>
  </si>
  <si>
    <t>143/232</t>
  </si>
  <si>
    <t>NET ACCRUED RETENTION/CWIP</t>
  </si>
  <si>
    <t>NET ACCRUED RWIP</t>
  </si>
  <si>
    <t>TOTAL SOURCES OF CASH WORKING CAPITAL</t>
  </si>
  <si>
    <t>ECR CASH WORKING CAPITAL (12.5% OF LINE 3)</t>
  </si>
  <si>
    <t>Total Company</t>
  </si>
  <si>
    <t>REGULATORY LIABILITY - POSTRETIREMENT</t>
  </si>
  <si>
    <t>ECR OPERATING AND MAINTENANCE EXPENSE</t>
  </si>
  <si>
    <t>LEAD/LAG STUDY</t>
  </si>
  <si>
    <t xml:space="preserve">  Cash Working Capital</t>
  </si>
  <si>
    <t>Base Period Jurisdictional</t>
  </si>
  <si>
    <t>PENSION CLEARING</t>
  </si>
  <si>
    <t>2016</t>
  </si>
  <si>
    <t>2017</t>
  </si>
  <si>
    <t xml:space="preserve">   KU-1371 KY - Electric Distribution - Install on Customers - EV Meters </t>
  </si>
  <si>
    <t>RATE BASE: THIRTEEN MONTH AVERAGE</t>
  </si>
  <si>
    <t>FEDERAL TAXES @ 21%</t>
  </si>
  <si>
    <t>AFUDC_FERC</t>
  </si>
  <si>
    <t>AS OF  DECEMBER 31, 2013 - 2017 AND BASE AND FORECASTED PERIODS</t>
  </si>
  <si>
    <t>TOTAL ACCOUNT 311.0 - STRUCTURES AND IMPROVEMENTS</t>
  </si>
  <si>
    <t>-1%,-6%,-7%,-10%,-13%</t>
  </si>
  <si>
    <t xml:space="preserve">  TRIMBLE COUNTY UNIT 2 - ASH POND</t>
  </si>
  <si>
    <t xml:space="preserve">  GHENT UNIT 1 SCRUBBER - ASH POND</t>
  </si>
  <si>
    <t xml:space="preserve">  GHENT UNIT 1 - ASH POND</t>
  </si>
  <si>
    <t>TOTAL ACCOUNT 311.2 - STRUCTURES AND IMPROVEMENTS - RETIRED PLANT</t>
  </si>
  <si>
    <t>TOTAL ACCOUNT 312.0 - BOILER PLANT EQUIPMENT</t>
  </si>
  <si>
    <t>-6%,-7%,-10%,-13%</t>
  </si>
  <si>
    <t>TOTAL ACCOUNT 312.2 - BOILER PLANT EQUIPMENT - RETIRED PLANTS</t>
  </si>
  <si>
    <t>TOTAL ACCOUNT 314.0 - TURBOGENERATOR UNITS</t>
  </si>
  <si>
    <t>60-R-2</t>
  </si>
  <si>
    <t>TOTAL ACCOUNT 315.0 - ACCESSORY ELECTRIC EQUIPMENT</t>
  </si>
  <si>
    <t>TOTAL ACCOUNT 316.0 - MISCELLANEOUS POWER PLANT EQUIPMENT</t>
  </si>
  <si>
    <t>TOTAL ACCOUNT 316 - MISCELLANEOUS PLANT EQUIPMENT - RETIRED PLANT</t>
  </si>
  <si>
    <t xml:space="preserve">  BROWN SOLAR</t>
  </si>
  <si>
    <t>40-S3</t>
  </si>
  <si>
    <t>-5%,-6%,-7%,-10%,-12%</t>
  </si>
  <si>
    <t xml:space="preserve">  PADDYS RUN GAS PIPELINE</t>
  </si>
  <si>
    <t>30-S1.5</t>
  </si>
  <si>
    <t>32-R2.5</t>
  </si>
  <si>
    <t>65-R3,70-R3</t>
  </si>
  <si>
    <t>45-R2,60-R2</t>
  </si>
  <si>
    <t xml:space="preserve">METERS - CT AND PT                             </t>
  </si>
  <si>
    <t>COMMUNICATION EQUIPMENT - MICROWAVE, FIBER, OTHER</t>
  </si>
  <si>
    <t>COMMUNICATION EQUIPMENT - RADIOS AND TELEPHONES</t>
  </si>
  <si>
    <t>55-S0, 33-R1.5</t>
  </si>
  <si>
    <t>18.00-39.20</t>
  </si>
  <si>
    <t>16-L2.5, 14-S2</t>
  </si>
  <si>
    <t>APPROVED RATES AS OF JULY 1, 2017</t>
  </si>
  <si>
    <t>105-R2.5</t>
  </si>
  <si>
    <t>-6%-8%-13%</t>
  </si>
  <si>
    <t>-7%, -13%</t>
  </si>
  <si>
    <t>24.35, 49.10</t>
  </si>
  <si>
    <t>3.63, 19.65</t>
  </si>
  <si>
    <t>-6%, -8%, -13%</t>
  </si>
  <si>
    <t>-2%, -3%</t>
  </si>
  <si>
    <t>CALCULATED ANNUAL DEPRECIATION RATES BY COMPONENT AS OF DECEMBER 31, 2017</t>
  </si>
  <si>
    <t>120756</t>
  </si>
  <si>
    <t>Misc. A/R Uncollect - KU Cap</t>
  </si>
  <si>
    <t>N1DT STONEWALL 2 SUB</t>
  </si>
  <si>
    <t>152820</t>
  </si>
  <si>
    <t>DSP Viley 2 Dist</t>
  </si>
  <si>
    <t>154096</t>
  </si>
  <si>
    <t>IT Distribution Automation KU</t>
  </si>
  <si>
    <t>154118</t>
  </si>
  <si>
    <t>KU Barton Sub Expansion</t>
  </si>
  <si>
    <t>156217</t>
  </si>
  <si>
    <t>2018 CIFI - Fariston 0217</t>
  </si>
  <si>
    <t>156381</t>
  </si>
  <si>
    <t>Lex UG Vine to Race</t>
  </si>
  <si>
    <t>157066</t>
  </si>
  <si>
    <t>DSP Pepper Pike Sub Land</t>
  </si>
  <si>
    <t>157617</t>
  </si>
  <si>
    <t>KU Pole Attach Mapping Asset</t>
  </si>
  <si>
    <t>158169</t>
  </si>
  <si>
    <t>34.5:13.09 kV 5MVA Txfmr</t>
  </si>
  <si>
    <t>158170</t>
  </si>
  <si>
    <t>Rewind M042 Txfmr</t>
  </si>
  <si>
    <t>133615KU</t>
  </si>
  <si>
    <t>TC KU PLT ENG/MTR RWNDS</t>
  </si>
  <si>
    <t>137100</t>
  </si>
  <si>
    <t>GH1 Controls Syst Upgrade 2019</t>
  </si>
  <si>
    <t>137103</t>
  </si>
  <si>
    <t>GH4 Controls Syst Upgrade 2019</t>
  </si>
  <si>
    <t>137633KU</t>
  </si>
  <si>
    <t>TC2 KU SLMS UNIT</t>
  </si>
  <si>
    <t>140202</t>
  </si>
  <si>
    <t>GH Stacker Reclaimer Recert</t>
  </si>
  <si>
    <t>144365</t>
  </si>
  <si>
    <t>GH CCR Pipe Conveyor Belt</t>
  </si>
  <si>
    <t>147406</t>
  </si>
  <si>
    <t>GH1-2 Feeder &amp; Outlet Hop Repl</t>
  </si>
  <si>
    <t>147413</t>
  </si>
  <si>
    <t>GH1-3 Feeder &amp; Outlet Hop Repl</t>
  </si>
  <si>
    <t>147414</t>
  </si>
  <si>
    <t>GH1-4 Feeder &amp; Outlet Hop Repl</t>
  </si>
  <si>
    <t>147415</t>
  </si>
  <si>
    <t>GH1-5 Feeder &amp; Outlet Hop Repl</t>
  </si>
  <si>
    <t>147418</t>
  </si>
  <si>
    <t>GH1-1 Feeder &amp; Outlet Hop Repl</t>
  </si>
  <si>
    <t>GS CDM TRIPWIRE KU</t>
  </si>
  <si>
    <t>151366</t>
  </si>
  <si>
    <t>GH3 Furnace Wall Metal Ovrly18</t>
  </si>
  <si>
    <t>151370</t>
  </si>
  <si>
    <t>GH2 Burner Modification</t>
  </si>
  <si>
    <t>151917</t>
  </si>
  <si>
    <t>DX Access Bridge Refurb</t>
  </si>
  <si>
    <t>GH2 Burner Replacement 19</t>
  </si>
  <si>
    <t>154729KU</t>
  </si>
  <si>
    <t>TC COAL CONVEYOR VFD UPGD</t>
  </si>
  <si>
    <t>155070</t>
  </si>
  <si>
    <t>BR3 Eng Work Station (AW) Upgr</t>
  </si>
  <si>
    <t>155100</t>
  </si>
  <si>
    <t>BR 0-2 Gyp Dewat Vac Pump Rbld</t>
  </si>
  <si>
    <t>155149</t>
  </si>
  <si>
    <t>BRCT6 GT Thermal Insulation</t>
  </si>
  <si>
    <t>156909 KU</t>
  </si>
  <si>
    <t>PR13 SFC Switch Cab KU</t>
  </si>
  <si>
    <t>157422</t>
  </si>
  <si>
    <t>GH1 Hot RH Pipe Partial Repl19</t>
  </si>
  <si>
    <t>84GH</t>
  </si>
  <si>
    <t>GH LS 0-3 Mill Gearbox</t>
  </si>
  <si>
    <t>133641</t>
  </si>
  <si>
    <t>EFFLUENT WATER STUDY-GH</t>
  </si>
  <si>
    <t>133683</t>
  </si>
  <si>
    <t>EFFLUENT WATER STUDY-TC KU</t>
  </si>
  <si>
    <t>151121</t>
  </si>
  <si>
    <t>TC CCRT G KU</t>
  </si>
  <si>
    <t>151122</t>
  </si>
  <si>
    <t>TC CCRT TRANS KU</t>
  </si>
  <si>
    <t>151123</t>
  </si>
  <si>
    <t>TC CCRT LANDFILL KU</t>
  </si>
  <si>
    <t>152377</t>
  </si>
  <si>
    <t>BR Process Water</t>
  </si>
  <si>
    <t>152379</t>
  </si>
  <si>
    <t>GH Process Water</t>
  </si>
  <si>
    <t>152385</t>
  </si>
  <si>
    <t>TC KU Process Water</t>
  </si>
  <si>
    <t>152898</t>
  </si>
  <si>
    <t>BR CCR Rule New Construction</t>
  </si>
  <si>
    <t>152899</t>
  </si>
  <si>
    <t>GH CCR Rule New Construction</t>
  </si>
  <si>
    <t>155518</t>
  </si>
  <si>
    <t>TC CCR New Const Proces Pd KU</t>
  </si>
  <si>
    <t>157591</t>
  </si>
  <si>
    <t>GHENT DSI IMPROVE NON-ECR</t>
  </si>
  <si>
    <t>157741</t>
  </si>
  <si>
    <t>NEW CR EQUIP STOR SHED KU</t>
  </si>
  <si>
    <t>158187</t>
  </si>
  <si>
    <t>BR LF PHASE II CONSTR</t>
  </si>
  <si>
    <t>144062</t>
  </si>
  <si>
    <t>REL KEOKEE SWITCH</t>
  </si>
  <si>
    <t>144065</t>
  </si>
  <si>
    <t>TEP-CR-ADAMS-DELAPLAIN TAP</t>
  </si>
  <si>
    <t>144108</t>
  </si>
  <si>
    <t>TEP-9.0MVAr,69kVCap-Paint Lick</t>
  </si>
  <si>
    <t>144116</t>
  </si>
  <si>
    <t>Lynch Control House</t>
  </si>
  <si>
    <t>147486</t>
  </si>
  <si>
    <t>REL Dwina Switch</t>
  </si>
  <si>
    <t>148823</t>
  </si>
  <si>
    <t>Earlington No-GRS 69kV Rbld</t>
  </si>
  <si>
    <t>148846</t>
  </si>
  <si>
    <t>CR Elihu-Wofford 69kV Rebuild</t>
  </si>
  <si>
    <t>148851</t>
  </si>
  <si>
    <t>CR Mrgnfld-Ovrlnd No 69kV Rbld</t>
  </si>
  <si>
    <t>151813</t>
  </si>
  <si>
    <t>REL Mt Sterling MOS</t>
  </si>
  <si>
    <t>152706</t>
  </si>
  <si>
    <t>CR Farmers-Spencer Road</t>
  </si>
  <si>
    <t>154077</t>
  </si>
  <si>
    <t>RSC-Ghent Phys Sec Upgr</t>
  </si>
  <si>
    <t>154143</t>
  </si>
  <si>
    <t>RFN-Hillside Fence Rpl</t>
  </si>
  <si>
    <t>154146</t>
  </si>
  <si>
    <t>RFN-Indian Hill Fence Rpl</t>
  </si>
  <si>
    <t>154216</t>
  </si>
  <si>
    <t>DSP Lonesome Pine-ROW</t>
  </si>
  <si>
    <t>154511</t>
  </si>
  <si>
    <t>DSP Barton Sub</t>
  </si>
  <si>
    <t>154585</t>
  </si>
  <si>
    <t>CR Clay Village-West Frankfort</t>
  </si>
  <si>
    <t>154663</t>
  </si>
  <si>
    <t>Scott Co SST</t>
  </si>
  <si>
    <t>155854</t>
  </si>
  <si>
    <t>PGG-Finchville Ground Grid</t>
  </si>
  <si>
    <t>156689</t>
  </si>
  <si>
    <t>PR Earlington NO-G River</t>
  </si>
  <si>
    <t>156691</t>
  </si>
  <si>
    <t>PR Grahamville-Pad Primary</t>
  </si>
  <si>
    <t>157736</t>
  </si>
  <si>
    <t>TEP-MOT-Adams-Georgetown</t>
  </si>
  <si>
    <t>158019</t>
  </si>
  <si>
    <t>Mobile Control House- KU</t>
  </si>
  <si>
    <t>158113</t>
  </si>
  <si>
    <t>PBU- Earlington North 634 Repl</t>
  </si>
  <si>
    <t>LI-000010</t>
  </si>
  <si>
    <t>PR Spencer Road-Farmers</t>
  </si>
  <si>
    <t>LI-000024</t>
  </si>
  <si>
    <t>PR Green River-Green Rvr Stl</t>
  </si>
  <si>
    <t>LI-000083</t>
  </si>
  <si>
    <t>TEP-CR-Loudon Ave-Hume Road</t>
  </si>
  <si>
    <t>LI-000085</t>
  </si>
  <si>
    <t>TEP-MOT-Greensburg-Camp EKPC</t>
  </si>
  <si>
    <t>LI-000086</t>
  </si>
  <si>
    <t>TEP-CR-Eastwood-Simpsonville</t>
  </si>
  <si>
    <t>LI-000091</t>
  </si>
  <si>
    <t>TEP-MOT-Green Rvr-Shvrs Chapel</t>
  </si>
  <si>
    <t>LI-000092</t>
  </si>
  <si>
    <t>TEP-MOT-Morganfield-Wheatcrft</t>
  </si>
  <si>
    <t>LI-000093</t>
  </si>
  <si>
    <t>TEP-MOT-Floyd-Waynesburg</t>
  </si>
  <si>
    <t>LI-000106</t>
  </si>
  <si>
    <t>TEP-MOT-Fairfld-Tylrsvll EK Tp</t>
  </si>
  <si>
    <t>SU-000004</t>
  </si>
  <si>
    <t>Princeton CH, Arresters &amp; DFR</t>
  </si>
  <si>
    <t>SU-000010</t>
  </si>
  <si>
    <t>PBR-Carntown (1) 69kV BKR Rpl</t>
  </si>
  <si>
    <t>SU-000040</t>
  </si>
  <si>
    <t>PBR-Pineville (1) 345kV</t>
  </si>
  <si>
    <t>SU-000044</t>
  </si>
  <si>
    <t>PBR-Howard Branch(1) 138kV BKR</t>
  </si>
  <si>
    <t>SU-000056</t>
  </si>
  <si>
    <t>RSC-Pineville Sec Upgr</t>
  </si>
  <si>
    <t>SU-000098</t>
  </si>
  <si>
    <t>TEP-Trimble Co 345kV Reactr</t>
  </si>
  <si>
    <t>SU-000139</t>
  </si>
  <si>
    <t>PR Arnold 121-604 Panel</t>
  </si>
  <si>
    <t>SU-000179</t>
  </si>
  <si>
    <t>RSC-Pocket N. Security Upgrds</t>
  </si>
  <si>
    <t>SU-000181</t>
  </si>
  <si>
    <t>TEP-Adms-Delapln 69kV Term Eqp</t>
  </si>
  <si>
    <t>SU-000205</t>
  </si>
  <si>
    <t>TEP-Meredith 138kV Capacitor</t>
  </si>
  <si>
    <t>SU-000206</t>
  </si>
  <si>
    <t>TEP-Middlesboro 69kV Capacitor</t>
  </si>
  <si>
    <t>SU-000236</t>
  </si>
  <si>
    <t>TEP-Gtown-Lmns Mll 69kV Lne Sw</t>
  </si>
  <si>
    <t>SU-000244</t>
  </si>
  <si>
    <t>PRLY-Hardinsburg 714</t>
  </si>
  <si>
    <t>SU-000246</t>
  </si>
  <si>
    <t>TEP-Bardstwn 138/69kV Xfmr Rpl</t>
  </si>
  <si>
    <t>SU-000247</t>
  </si>
  <si>
    <t>LEX UNDRGD-PHASE 1 SUBS</t>
  </si>
  <si>
    <t>SU-000305</t>
  </si>
  <si>
    <t>PBR- Bimble (3) 69kV PIN PAR</t>
  </si>
  <si>
    <t>SU-000395</t>
  </si>
  <si>
    <t>RST-Lake Reba SSVT-</t>
  </si>
  <si>
    <t>00072FACK</t>
  </si>
  <si>
    <t>CALL CENTER RENO BOC 3 KU</t>
  </si>
  <si>
    <t>153069</t>
  </si>
  <si>
    <t>Solar Projects - Community KU</t>
  </si>
  <si>
    <t>153562</t>
  </si>
  <si>
    <t>DCC ENHANCEMENT KU</t>
  </si>
  <si>
    <t>155530</t>
  </si>
  <si>
    <t>MV-90 DAILY READ KU</t>
  </si>
  <si>
    <t>158181</t>
  </si>
  <si>
    <t>E-TOWN BUILDING PURCHASE-2018</t>
  </si>
  <si>
    <t>133KU16</t>
  </si>
  <si>
    <t>NE KY Buildout Eng Phase-KU16</t>
  </si>
  <si>
    <t>IT0000K</t>
  </si>
  <si>
    <t>IT Contingency-KU</t>
  </si>
  <si>
    <t>IT0042K</t>
  </si>
  <si>
    <t>GIS BI Reporting-KU17</t>
  </si>
  <si>
    <t>IT0329K</t>
  </si>
  <si>
    <t>Lockout/Tagout Replace-KU18</t>
  </si>
  <si>
    <t>IT0333K</t>
  </si>
  <si>
    <t>Cst Rel Mgmt Maj Acts-KU18-19</t>
  </si>
  <si>
    <t>IT0352K</t>
  </si>
  <si>
    <t>Exp/Repl Cust Comm Chan-KU18</t>
  </si>
  <si>
    <t>147830</t>
  </si>
  <si>
    <t>Corporate Contingency-KU</t>
  </si>
  <si>
    <t>138485</t>
  </si>
  <si>
    <t>DSP Hoover 2 Sub</t>
  </si>
  <si>
    <t>144913</t>
  </si>
  <si>
    <t>DSP SIMPSONVILLE 1 SUBSTATION</t>
  </si>
  <si>
    <t>148716</t>
  </si>
  <si>
    <t>N1DT WILSON DOWNING 2</t>
  </si>
  <si>
    <t>149093</t>
  </si>
  <si>
    <t>N1DT Wilson Down 2 Upg Dist</t>
  </si>
  <si>
    <t>152813</t>
  </si>
  <si>
    <t>SHE Transfer UB E.Ckt 2522</t>
  </si>
  <si>
    <t>152874</t>
  </si>
  <si>
    <t>Distr Capacitors KU 2019</t>
  </si>
  <si>
    <t>152950</t>
  </si>
  <si>
    <t>Simpsonville 1 Dist</t>
  </si>
  <si>
    <t>155280</t>
  </si>
  <si>
    <t>Rem Texas to Perryville Line</t>
  </si>
  <si>
    <t>155309</t>
  </si>
  <si>
    <t>Trans Line Clearance KU</t>
  </si>
  <si>
    <t>157010</t>
  </si>
  <si>
    <t>SCM2020 DAN REPL SUB BATTERY</t>
  </si>
  <si>
    <t>157013</t>
  </si>
  <si>
    <t>SCM2020 DAN MISC CAPITAL PROJ</t>
  </si>
  <si>
    <t>157016</t>
  </si>
  <si>
    <t>SCM2020 EARL MISC CAPITAL SUB</t>
  </si>
  <si>
    <t>157017</t>
  </si>
  <si>
    <t>SCM2020 EARL WILDLIFE PROTECT</t>
  </si>
  <si>
    <t>157022</t>
  </si>
  <si>
    <t>SCM2020 LEX MISC CAPITAL SUB</t>
  </si>
  <si>
    <t>157023</t>
  </si>
  <si>
    <t>SCM2020 LEX REPL BREAKERS</t>
  </si>
  <si>
    <t>157024</t>
  </si>
  <si>
    <t>SCM2020 LEX REPL BUSHINGS</t>
  </si>
  <si>
    <t>157025</t>
  </si>
  <si>
    <t>SCM2020 LEX REPL REGULATORS</t>
  </si>
  <si>
    <t>157028</t>
  </si>
  <si>
    <t>SCM2020 LEX REPL SUB BATTERY</t>
  </si>
  <si>
    <t>157029</t>
  </si>
  <si>
    <t>SCM2020 LEX LEGACY RTU REPL</t>
  </si>
  <si>
    <t>157034</t>
  </si>
  <si>
    <t>SCM2020 KU REPL LTC/REG CNTRL</t>
  </si>
  <si>
    <t>157054</t>
  </si>
  <si>
    <t>SCM2020 EARL MISC NESC COMPL</t>
  </si>
  <si>
    <t>157055</t>
  </si>
  <si>
    <t>SCM2020 LEX REPL LEGACY BRKR</t>
  </si>
  <si>
    <t>157056</t>
  </si>
  <si>
    <t>SCM2020 KU LTC OIL FILT ADDS</t>
  </si>
  <si>
    <t>157058</t>
  </si>
  <si>
    <t>SCM2020 LEX MISC NESC COMPL</t>
  </si>
  <si>
    <t>157061</t>
  </si>
  <si>
    <t>SCM2020 KU LEGACY RELAY REPL</t>
  </si>
  <si>
    <t>157062</t>
  </si>
  <si>
    <t>SCM2020 DAN FAILED BRKR/RECL</t>
  </si>
  <si>
    <t>157063</t>
  </si>
  <si>
    <t>SCM2020 DAN MISC NESC COMPL</t>
  </si>
  <si>
    <t>157605</t>
  </si>
  <si>
    <t>DSP WHITE SULPHUR SUB</t>
  </si>
  <si>
    <t>157614</t>
  </si>
  <si>
    <t>KU HW/SW Asset Mgmt 2019</t>
  </si>
  <si>
    <t>163028</t>
  </si>
  <si>
    <t>DSP White Sulphur 138-12kV</t>
  </si>
  <si>
    <t>163043</t>
  </si>
  <si>
    <t>KU Direct Burial Replacement</t>
  </si>
  <si>
    <t>101GH</t>
  </si>
  <si>
    <t>GH Recycle Pmp ImpellerRefrb20</t>
  </si>
  <si>
    <t>121GH</t>
  </si>
  <si>
    <t>GH1 Cooling Tower ComplRebuild</t>
  </si>
  <si>
    <t>126302</t>
  </si>
  <si>
    <t>GH4 Econ Outlet Duct Exp Jt</t>
  </si>
  <si>
    <t>131978</t>
  </si>
  <si>
    <t>GH1 Reheat Pend Assy Repl</t>
  </si>
  <si>
    <t>137244</t>
  </si>
  <si>
    <t>GH4 Upper Econ Repl</t>
  </si>
  <si>
    <t>137474</t>
  </si>
  <si>
    <t>GH4 Primary SH Repl</t>
  </si>
  <si>
    <t>137485</t>
  </si>
  <si>
    <t>GH4 FGD Inlet Duct Exp Jts 20</t>
  </si>
  <si>
    <t>140170</t>
  </si>
  <si>
    <t>GH BU Bucket and Chain 20</t>
  </si>
  <si>
    <t>140184</t>
  </si>
  <si>
    <t>GH Conveyor Belt Repl 20</t>
  </si>
  <si>
    <t>140199</t>
  </si>
  <si>
    <t>GH4 Furnace Wall Metal Overlay</t>
  </si>
  <si>
    <t>MISC TOOLS</t>
  </si>
  <si>
    <t>144309</t>
  </si>
  <si>
    <t>GH4 480v MCC Replacement</t>
  </si>
  <si>
    <t>144312</t>
  </si>
  <si>
    <t>GH1 SH Pendant Platens</t>
  </si>
  <si>
    <t>144325</t>
  </si>
  <si>
    <t>GH4 SCR Catalyst L1</t>
  </si>
  <si>
    <t>144362</t>
  </si>
  <si>
    <t>GH0-1 SFC Chain Repl 20</t>
  </si>
  <si>
    <t>144374</t>
  </si>
  <si>
    <t>GH4 Coal Handling Controls</t>
  </si>
  <si>
    <t>147347</t>
  </si>
  <si>
    <t>GH4 Mill BSO Repl</t>
  </si>
  <si>
    <t>148111</t>
  </si>
  <si>
    <t>GH4 Turbine</t>
  </si>
  <si>
    <t>149021KU</t>
  </si>
  <si>
    <t>TC2 KU TDBFP RECIRC VALVE B</t>
  </si>
  <si>
    <t>150052KU</t>
  </si>
  <si>
    <t>TC2 KU LOWER SLOPE WW REPL</t>
  </si>
  <si>
    <t>150064KU</t>
  </si>
  <si>
    <t>TC2 KU SSC TILE</t>
  </si>
  <si>
    <t>151437</t>
  </si>
  <si>
    <t>GH4 PA Duct Replacement</t>
  </si>
  <si>
    <t>151439</t>
  </si>
  <si>
    <t>GH4 Pulv Cold Air Dampers Repl</t>
  </si>
  <si>
    <t>152659KU</t>
  </si>
  <si>
    <t>TC2 KU A ID FAN OVERHAUL</t>
  </si>
  <si>
    <t>152685KU</t>
  </si>
  <si>
    <t>TC2 B BFP OVERHAUL</t>
  </si>
  <si>
    <t>153047KU</t>
  </si>
  <si>
    <t>TC2 KU FINAL SH REP</t>
  </si>
  <si>
    <t>153080KU</t>
  </si>
  <si>
    <t>TC2 SCR CATALYST L1 NEW</t>
  </si>
  <si>
    <t>154744KU</t>
  </si>
  <si>
    <t>TC2 COOLING TOWER PUMP OH</t>
  </si>
  <si>
    <t>154950</t>
  </si>
  <si>
    <t>GH4 Precip Rebuild Phase 3</t>
  </si>
  <si>
    <t>154951</t>
  </si>
  <si>
    <t>GH4 Precip Rebuild Phase 4</t>
  </si>
  <si>
    <t>154961</t>
  </si>
  <si>
    <t>GH4 AH Rack &amp; Pinion Gear Rpl</t>
  </si>
  <si>
    <t>155014</t>
  </si>
  <si>
    <t>GH4 RH Outlet Terminal TubeRpl</t>
  </si>
  <si>
    <t>155017</t>
  </si>
  <si>
    <t>GH4 Vertical RH Repl</t>
  </si>
  <si>
    <t>155018</t>
  </si>
  <si>
    <t>GH1 Air Preheating Coils Repl</t>
  </si>
  <si>
    <t>155443KU</t>
  </si>
  <si>
    <t>TC F COAL CONV GALLERY REBLD</t>
  </si>
  <si>
    <t>155558KU</t>
  </si>
  <si>
    <t>TC2 BOILER WATER WALL 2020</t>
  </si>
  <si>
    <t>155651KU</t>
  </si>
  <si>
    <t>TC2 EXPANSION JOINTS 2020</t>
  </si>
  <si>
    <t>155659KU</t>
  </si>
  <si>
    <t>TC2 BURNER B,E ROWS 2020</t>
  </si>
  <si>
    <t>156577</t>
  </si>
  <si>
    <t>GH1 Horiz LTSH Repl</t>
  </si>
  <si>
    <t>156629</t>
  </si>
  <si>
    <t>GH4 AH  Basket Repl 2020</t>
  </si>
  <si>
    <t>156834KU</t>
  </si>
  <si>
    <t>TC2 WESP DRAIN PIPING</t>
  </si>
  <si>
    <t>156838KU</t>
  </si>
  <si>
    <t>TC PLC CONVERSION</t>
  </si>
  <si>
    <t>157075KU</t>
  </si>
  <si>
    <t>TC2 HA COMP OH</t>
  </si>
  <si>
    <t>157779KU</t>
  </si>
  <si>
    <t>TC2 RH ATTEMPERATORS</t>
  </si>
  <si>
    <t>220GH</t>
  </si>
  <si>
    <t>GH4 Cooling Tower ComplRebuild</t>
  </si>
  <si>
    <t>158028</t>
  </si>
  <si>
    <t>GH FLY ASH BARGE LOAD NON-ECR</t>
  </si>
  <si>
    <t>158030</t>
  </si>
  <si>
    <t>GH GYP BARGE LOAD NON-ECR</t>
  </si>
  <si>
    <t>127111</t>
  </si>
  <si>
    <t>KY Dam to S.Paducah 69kv</t>
  </si>
  <si>
    <t>137807</t>
  </si>
  <si>
    <t>DSP HOOVER SUB</t>
  </si>
  <si>
    <t>139958</t>
  </si>
  <si>
    <t>CR MLRSBRG-MRPHYVL</t>
  </si>
  <si>
    <t>140283</t>
  </si>
  <si>
    <t>COMP-RELATED-EQUIP-KU-2020</t>
  </si>
  <si>
    <t>144975</t>
  </si>
  <si>
    <t>REL CLAYS MILL MOS</t>
  </si>
  <si>
    <t>145803</t>
  </si>
  <si>
    <t>TEP-CR-CLAY VLG TP-SHBVLL E</t>
  </si>
  <si>
    <t>145843</t>
  </si>
  <si>
    <t>Balance BP Capital Labor</t>
  </si>
  <si>
    <t>147506</t>
  </si>
  <si>
    <t>REL Woodlawn Switch</t>
  </si>
  <si>
    <t>147507</t>
  </si>
  <si>
    <t>REL Vine Grove Switch</t>
  </si>
  <si>
    <t>147513</t>
  </si>
  <si>
    <t>REL Camp Breckenridge Switch</t>
  </si>
  <si>
    <t>147734</t>
  </si>
  <si>
    <t>FULL UPGRD EMS SWARE-KU-2020</t>
  </si>
  <si>
    <t>SPIR Projects KU</t>
  </si>
  <si>
    <t>148854</t>
  </si>
  <si>
    <t>SR Morganfield-Nebo 69kV</t>
  </si>
  <si>
    <t>152641</t>
  </si>
  <si>
    <t>KU Resiliency Upgrades</t>
  </si>
  <si>
    <t>152704</t>
  </si>
  <si>
    <t>CR Ohio Co-Hartford</t>
  </si>
  <si>
    <t>152992</t>
  </si>
  <si>
    <t>West Lex Xfmr Add</t>
  </si>
  <si>
    <t>157202</t>
  </si>
  <si>
    <t>TEP-MOT-Blackwell-Ghent 138kV</t>
  </si>
  <si>
    <t>157203</t>
  </si>
  <si>
    <t>TEP-MOT-Campground-London</t>
  </si>
  <si>
    <t>157204</t>
  </si>
  <si>
    <t>TEP-MOT-Crittenden-Marion So</t>
  </si>
  <si>
    <t>157205</t>
  </si>
  <si>
    <t>TEP-MOT-Eddyville Prsn-Ky Dam</t>
  </si>
  <si>
    <t>157209</t>
  </si>
  <si>
    <t>TEP-CR-Ky Dam-So Paducah</t>
  </si>
  <si>
    <t>157210</t>
  </si>
  <si>
    <t>TEP-MOT-LaGrange E-Penal Tap</t>
  </si>
  <si>
    <t>157211</t>
  </si>
  <si>
    <t>TEP-NL-Lebanon-Lebanon South</t>
  </si>
  <si>
    <t>157215</t>
  </si>
  <si>
    <t>TEP-MOT-Southville-Bonds Mill</t>
  </si>
  <si>
    <t>157216</t>
  </si>
  <si>
    <t>ESR Existing Switch Rep</t>
  </si>
  <si>
    <t>157309</t>
  </si>
  <si>
    <t>DSP Simpsonville 1 Sub</t>
  </si>
  <si>
    <t>157315</t>
  </si>
  <si>
    <t>DSP N1DT Wilson Downing</t>
  </si>
  <si>
    <t>157443</t>
  </si>
  <si>
    <t>REL Lakeshore (Alt 2A)</t>
  </si>
  <si>
    <t>157635</t>
  </si>
  <si>
    <t>PR Nebo-Wheatcroft</t>
  </si>
  <si>
    <t>157636</t>
  </si>
  <si>
    <t>PR Dorchester-St Paul</t>
  </si>
  <si>
    <t>157639</t>
  </si>
  <si>
    <t>PR Corydon-Grn River Steel</t>
  </si>
  <si>
    <t>157641</t>
  </si>
  <si>
    <t>PR Bimble-London 69kV</t>
  </si>
  <si>
    <t>157642</t>
  </si>
  <si>
    <t>PR Imboden-Gorge-Dorchester</t>
  </si>
  <si>
    <t>157645</t>
  </si>
  <si>
    <t>PR Adams-Haefling</t>
  </si>
  <si>
    <t>157708</t>
  </si>
  <si>
    <t>ESR Ashland Oil-Cty of Paducah</t>
  </si>
  <si>
    <t>LI-000094</t>
  </si>
  <si>
    <t>TEP-CR-Green County-Grburg</t>
  </si>
  <si>
    <t>LI-000095</t>
  </si>
  <si>
    <t>TEP-MOT-KU Park-Stinking Creek</t>
  </si>
  <si>
    <t>LI-000096</t>
  </si>
  <si>
    <t>TEP-MOT-Wofford-Rockhold</t>
  </si>
  <si>
    <t>SU-000001</t>
  </si>
  <si>
    <t>PCH Barlow Control House</t>
  </si>
  <si>
    <t>SU-000002</t>
  </si>
  <si>
    <t>PR Middlesboro Control House</t>
  </si>
  <si>
    <t>SU-000052</t>
  </si>
  <si>
    <t>PBR-Nebo (3) 69kV BKR</t>
  </si>
  <si>
    <t>SU-000053</t>
  </si>
  <si>
    <t>PBR-Okonite (2) 69kV BKR</t>
  </si>
  <si>
    <t>SU-000055</t>
  </si>
  <si>
    <t>PBR-Winchester (3) 69kV BKR</t>
  </si>
  <si>
    <t>SU-000070</t>
  </si>
  <si>
    <t>PCH-SHELBYVILLE CONTROL HOUSE</t>
  </si>
  <si>
    <t>SU-000088</t>
  </si>
  <si>
    <t>REL-River Queen DFR</t>
  </si>
  <si>
    <t>SU-000089</t>
  </si>
  <si>
    <t>REL-South Paducah DFR</t>
  </si>
  <si>
    <t>SU-000130</t>
  </si>
  <si>
    <t>PR Harlan Y CONTROL HOUSE</t>
  </si>
  <si>
    <t>SU-000191</t>
  </si>
  <si>
    <t>TEP-Crrlltn-Lckprt Trm Eqp</t>
  </si>
  <si>
    <t>SU-000203</t>
  </si>
  <si>
    <t>TEP-Hardin Co-Etwn 69kV 2 Line</t>
  </si>
  <si>
    <t>SU-000220</t>
  </si>
  <si>
    <t>REL-Andover Taps RTU</t>
  </si>
  <si>
    <t>SU-000221</t>
  </si>
  <si>
    <t>REL-Bear Track 69 RTU</t>
  </si>
  <si>
    <t>SU-000222</t>
  </si>
  <si>
    <t>REL-Howards Branch 161 RTU</t>
  </si>
  <si>
    <t>SU-000223</t>
  </si>
  <si>
    <t>REL-Lakeshore 69 RTU</t>
  </si>
  <si>
    <t>SU-000224</t>
  </si>
  <si>
    <t>REL-Oak Hill 69 RTU</t>
  </si>
  <si>
    <t>SU-000229</t>
  </si>
  <si>
    <t>REL-Lakeshore (Alt 2A)</t>
  </si>
  <si>
    <t>SU-000241</t>
  </si>
  <si>
    <t>REL-IBM 69 RTU</t>
  </si>
  <si>
    <t>SU-000320</t>
  </si>
  <si>
    <t>PRLY-Bonds Mill 604</t>
  </si>
  <si>
    <t>SU-000321</t>
  </si>
  <si>
    <t>PRLY-Bonds Mill 614</t>
  </si>
  <si>
    <t>SU-000322</t>
  </si>
  <si>
    <t>PCH-St Paul</t>
  </si>
  <si>
    <t>SU-000326</t>
  </si>
  <si>
    <t>PDFR-Pineville Transmission</t>
  </si>
  <si>
    <t>SU-000343</t>
  </si>
  <si>
    <t>TEP-MV Simpsonville-Finch. Bkr</t>
  </si>
  <si>
    <t>SU-000344</t>
  </si>
  <si>
    <t>TEP-Virginia City Reactor</t>
  </si>
  <si>
    <t>SU-000349</t>
  </si>
  <si>
    <t>TEP-Lemons Mill 69kV Cap Bank</t>
  </si>
  <si>
    <t>SU-000351</t>
  </si>
  <si>
    <t>TEP-Taylorsville 69kV Cap Bank</t>
  </si>
  <si>
    <t>SU-000364</t>
  </si>
  <si>
    <t>REL-West Hickman Comm</t>
  </si>
  <si>
    <t>SU-000371</t>
  </si>
  <si>
    <t>PBR-Simmons (1) BKR</t>
  </si>
  <si>
    <t>SU-000372</t>
  </si>
  <si>
    <t>PBR-Rogersville Sw (3) BKR</t>
  </si>
  <si>
    <t>SU-000373</t>
  </si>
  <si>
    <t>PBR-S Paducah (4) BKR (PIN)</t>
  </si>
  <si>
    <t>SU-000374</t>
  </si>
  <si>
    <t>PBR_Clark Co (4) BKR (PIN)</t>
  </si>
  <si>
    <t>SU-000375</t>
  </si>
  <si>
    <t>PBR-Finchville (1) BKR</t>
  </si>
  <si>
    <t>SU-000378</t>
  </si>
  <si>
    <t>PBR-Rumsey (1) BKR</t>
  </si>
  <si>
    <t>SU-000396</t>
  </si>
  <si>
    <t>PPLC-Arnold PCA</t>
  </si>
  <si>
    <t>SU-000397</t>
  </si>
  <si>
    <t>PPLC-Dorchester 072-814 DCB</t>
  </si>
  <si>
    <t>SU-000398</t>
  </si>
  <si>
    <t>PPLC-Delvinta 139-804, 824 DCB</t>
  </si>
  <si>
    <t>SU-000399</t>
  </si>
  <si>
    <t>PPLC-West Irvine 193-608 DCB</t>
  </si>
  <si>
    <t>SU-000400</t>
  </si>
  <si>
    <t>PPLC-Lake Reba 163-658 DTT</t>
  </si>
  <si>
    <t>SU-000401</t>
  </si>
  <si>
    <t>PPLC-Lake Reba Tap 162-714 DTT</t>
  </si>
  <si>
    <t>SU-000404</t>
  </si>
  <si>
    <t>RTU-Beattyville</t>
  </si>
  <si>
    <t>SU-000405</t>
  </si>
  <si>
    <t>PCH-Lancaster</t>
  </si>
  <si>
    <t>SU-000408</t>
  </si>
  <si>
    <t>PCH-Boyle County</t>
  </si>
  <si>
    <t>00017FACK</t>
  </si>
  <si>
    <t>KUGO RESTROOM UPDATES</t>
  </si>
  <si>
    <t>00051FACK</t>
  </si>
  <si>
    <t>A/V UPDATES 2020</t>
  </si>
  <si>
    <t>00100FACK</t>
  </si>
  <si>
    <t>Middlesboro BO Reno</t>
  </si>
  <si>
    <t>00105FACK</t>
  </si>
  <si>
    <t>KUGO Floor 1, 2 Remodel KU</t>
  </si>
  <si>
    <t>149166</t>
  </si>
  <si>
    <t>KU SECURITY EQUIPMENT 2020</t>
  </si>
  <si>
    <t>149487</t>
  </si>
  <si>
    <t>Misc Retail Hardware 2020 KU</t>
  </si>
  <si>
    <t>152387</t>
  </si>
  <si>
    <t>KU FAC CONSOLIDATION 2019-20</t>
  </si>
  <si>
    <t>153022</t>
  </si>
  <si>
    <t>REPL FAILED EQUIP LTP-KU</t>
  </si>
  <si>
    <t>153025</t>
  </si>
  <si>
    <t>FURN &amp; EQUIP LTP-KU</t>
  </si>
  <si>
    <t>157893</t>
  </si>
  <si>
    <t>Smart Cities KU 2019</t>
  </si>
  <si>
    <t>157898</t>
  </si>
  <si>
    <t>EE Business Dvlp KU 2020</t>
  </si>
  <si>
    <t>Mobile Dispatch Enh-KU19-20</t>
  </si>
  <si>
    <t>IT0302K</t>
  </si>
  <si>
    <t>Rep ASTRO Spectra Yr 2/3-KU20</t>
  </si>
  <si>
    <t>IT0306K</t>
  </si>
  <si>
    <t>Repl Quantar Repeat 2/2-KU20</t>
  </si>
  <si>
    <t>IT0407K</t>
  </si>
  <si>
    <t>Bill Design Tool Upg-KU20</t>
  </si>
  <si>
    <t>IT0419K</t>
  </si>
  <si>
    <t>Corp Web Redesign-KU19-20</t>
  </si>
  <si>
    <t>IT0452K</t>
  </si>
  <si>
    <t>Oracle NMS Enhance-KU20</t>
  </si>
  <si>
    <t>IT0453K</t>
  </si>
  <si>
    <t>OTN Extend EKY Ring-KU19-20</t>
  </si>
  <si>
    <t>IT0458K</t>
  </si>
  <si>
    <t>PowerPlan Upgrade-KU19-20</t>
  </si>
  <si>
    <t>IT0480K</t>
  </si>
  <si>
    <t>Time and Labor Upgr-KU19-21</t>
  </si>
  <si>
    <t>IT0511K</t>
  </si>
  <si>
    <t>Trns Lnes Wk Mgmt Upg-KU19-20</t>
  </si>
  <si>
    <t>IT0514K</t>
  </si>
  <si>
    <t>DACS Equip Repl (Yr2of3)-KU20</t>
  </si>
  <si>
    <t>IT0559K</t>
  </si>
  <si>
    <t>Genetec HW Upgrade-KU19-20</t>
  </si>
  <si>
    <t>IT0560K</t>
  </si>
  <si>
    <t>Cust Not Expand/Repl-KU19-20</t>
  </si>
  <si>
    <t>IT0561K</t>
  </si>
  <si>
    <t>MAM Enhments-KU19-20</t>
  </si>
  <si>
    <t>IT0569K</t>
  </si>
  <si>
    <t>Enterprise GIS-Phase2-KU20-21</t>
  </si>
  <si>
    <t>IT0604K</t>
  </si>
  <si>
    <t>Avaya-Route&amp;Rpt Upg-KU19-20</t>
  </si>
  <si>
    <t>IT0606K</t>
  </si>
  <si>
    <t>Bulk Power &amp; Env Systems-KU20</t>
  </si>
  <si>
    <t>IT0609K</t>
  </si>
  <si>
    <t>Call Recording Upgr-KU20-21</t>
  </si>
  <si>
    <t>IT0612K</t>
  </si>
  <si>
    <t>CIP Compl Tools - Yr 10-KU20</t>
  </si>
  <si>
    <t>IT0613K</t>
  </si>
  <si>
    <t>Citrix XenDesk Maj Upgr-KU20</t>
  </si>
  <si>
    <t>IT0614K</t>
  </si>
  <si>
    <t>Citrix XenMobile Upgrade-KU20</t>
  </si>
  <si>
    <t>IT0615K</t>
  </si>
  <si>
    <t>CIP Compl Infra - Yr 10-KU20</t>
  </si>
  <si>
    <t>IT0618K</t>
  </si>
  <si>
    <t>Constellation MW Rplmnt-KU20</t>
  </si>
  <si>
    <t>IT0627K</t>
  </si>
  <si>
    <t>IT Sec Infrast Enhance-KU20</t>
  </si>
  <si>
    <t>IT0628K</t>
  </si>
  <si>
    <t>ITSM Upgrade-KU20</t>
  </si>
  <si>
    <t>IT0633K</t>
  </si>
  <si>
    <t>Microsoft Lic True-up-KU20</t>
  </si>
  <si>
    <t>IT0634K</t>
  </si>
  <si>
    <t>Mbl &amp; Wrkst Lic True-up-KU20</t>
  </si>
  <si>
    <t>IT0636K</t>
  </si>
  <si>
    <t>Mobile Radio-KU20</t>
  </si>
  <si>
    <t>IT0637K</t>
  </si>
  <si>
    <t>Monitor Replacement-KU20</t>
  </si>
  <si>
    <t>IT0644K</t>
  </si>
  <si>
    <t>Ntwrk Acc Dev&amp;Site Infra-KU20</t>
  </si>
  <si>
    <t>IT0647K</t>
  </si>
  <si>
    <t>Network Test Equipment-KU20</t>
  </si>
  <si>
    <t>IT0649K</t>
  </si>
  <si>
    <t>Outside Cable Plant -KU20</t>
  </si>
  <si>
    <t>IT0651K</t>
  </si>
  <si>
    <t>Pers Product Grow &amp; Ref-KU20</t>
  </si>
  <si>
    <t>IT0652K</t>
  </si>
  <si>
    <t>Purch/Rebld Radio Site-KU20</t>
  </si>
  <si>
    <t>IT0656K</t>
  </si>
  <si>
    <t>Router Upgrade Project-KU20</t>
  </si>
  <si>
    <t>IT0661K</t>
  </si>
  <si>
    <t>Ser Cap Expan and Rel-KU20</t>
  </si>
  <si>
    <t>IT0668K</t>
  </si>
  <si>
    <t>Site Security Improve-KU20</t>
  </si>
  <si>
    <t>IT0671K</t>
  </si>
  <si>
    <t>Tech Refesh desk/lap-KU20</t>
  </si>
  <si>
    <t>IT0672K</t>
  </si>
  <si>
    <t>Telecom Site Ren-KU20</t>
  </si>
  <si>
    <t>IT0673K</t>
  </si>
  <si>
    <t>TOA Upgrade-KU20</t>
  </si>
  <si>
    <t>IT0674K</t>
  </si>
  <si>
    <t>TRODS-KU20</t>
  </si>
  <si>
    <t>IT0675K</t>
  </si>
  <si>
    <t>Truepoint MW Replacement-KU20</t>
  </si>
  <si>
    <t>IT0680K</t>
  </si>
  <si>
    <t>Voice Infra Expansion-KU20</t>
  </si>
  <si>
    <t>IT0681K</t>
  </si>
  <si>
    <t>Wireless Buildout-KU20</t>
  </si>
  <si>
    <t>IT0682K</t>
  </si>
  <si>
    <t>SCADA Radio Refrsh Yr1/3-KU20</t>
  </si>
  <si>
    <t>IT0689K</t>
  </si>
  <si>
    <t>Safety Dashboard Enhance-KU20</t>
  </si>
  <si>
    <t>IT0690K</t>
  </si>
  <si>
    <t>Aligne Upgrade-KU20</t>
  </si>
  <si>
    <t>IT0693K</t>
  </si>
  <si>
    <t>DB Refresh-KU20</t>
  </si>
  <si>
    <t>IT0694K</t>
  </si>
  <si>
    <t>Windows 10 CBB Upgrade-KU20</t>
  </si>
  <si>
    <t>IT0695K</t>
  </si>
  <si>
    <t>SCCM Upgrades-KU20</t>
  </si>
  <si>
    <t>IT0701K</t>
  </si>
  <si>
    <t>Trans Lines Mobile Insp-KU20</t>
  </si>
  <si>
    <t>IT0705K</t>
  </si>
  <si>
    <t>iPad Refresh Project-KU20</t>
  </si>
  <si>
    <t>IT0708K</t>
  </si>
  <si>
    <t>My Acct Repl/Enhance-KU19-20</t>
  </si>
  <si>
    <t>IT0710K</t>
  </si>
  <si>
    <t>SOA Middleware Upgrade-KU20</t>
  </si>
  <si>
    <t>IT0711K</t>
  </si>
  <si>
    <t>CA API Mgmt Gateway Upg-KU20</t>
  </si>
  <si>
    <t>IT0712K</t>
  </si>
  <si>
    <t>BI Rpting Aligne Fuels-KU20</t>
  </si>
  <si>
    <t>IT0713K</t>
  </si>
  <si>
    <t>Enterprise GIS Enhance-KU20</t>
  </si>
  <si>
    <t>IT0715K</t>
  </si>
  <si>
    <t>OpenTxt for Envrn Affrs-KU20</t>
  </si>
  <si>
    <t>IT0716K</t>
  </si>
  <si>
    <t>UC&amp;C/CUCM Major Upgrade-KU20</t>
  </si>
  <si>
    <t>IT0718K</t>
  </si>
  <si>
    <t>Virtual Reality Implment-KU20</t>
  </si>
  <si>
    <t>IT0720K</t>
  </si>
  <si>
    <t>Computing Infra Upgrade-KU20</t>
  </si>
  <si>
    <t>IT0722K</t>
  </si>
  <si>
    <t>Data Center Facility Upg-KU20</t>
  </si>
  <si>
    <t>IT0723K</t>
  </si>
  <si>
    <t>Corporate RPA-KU20</t>
  </si>
  <si>
    <t>IT0724K</t>
  </si>
  <si>
    <t>SAP Hana 2 Upgrade-KU20-21</t>
  </si>
  <si>
    <t>IT0726K</t>
  </si>
  <si>
    <t>Data Analytics (SIO)-KU20</t>
  </si>
  <si>
    <t>IT1087K</t>
  </si>
  <si>
    <t>SONET Equip Repl Yr 2/4-KU20</t>
  </si>
  <si>
    <t>PAGE 10 OF 11</t>
  </si>
  <si>
    <t>PAGE 11 OF 11</t>
  </si>
  <si>
    <t>PAGE 9 OF 11</t>
  </si>
  <si>
    <t>PAGE 8 OF 11</t>
  </si>
  <si>
    <t>PAGE 7 OF 11</t>
  </si>
  <si>
    <t>PAGE 6 OF 11</t>
  </si>
  <si>
    <t>PAGE 5 OF 11</t>
  </si>
  <si>
    <t>PAGE 1 OF 11</t>
  </si>
  <si>
    <t>PAGE 2 OF 11</t>
  </si>
  <si>
    <t>PAGE 3 OF 11</t>
  </si>
  <si>
    <t>PAGE 4 OF 11</t>
  </si>
  <si>
    <t>Directly Assigned to Kentucky, Demand - Virginia and FERC Jurisdictions</t>
  </si>
  <si>
    <t>AFUDC method of allocation based upon Demand to the Virginia and FERC Jurisdictions.</t>
  </si>
  <si>
    <t>Allowance for Funds Used Duriing Construction (AFUDC) method of allocation changed to directly assign terminated Municipal contract amounts to Kentucky Jurisdiction. All other AFUDC amounts are allocated based upon prior approved procedures.</t>
  </si>
  <si>
    <t>Termination of Municipal contracts effective end of April 2019.</t>
  </si>
  <si>
    <t>ECR Cash Working Capital (Page 6)</t>
  </si>
  <si>
    <t>Additional Cash Working Capital Items (Page 5)</t>
  </si>
  <si>
    <t>TOTAL USES / (SOURCES) OF CASH WORKING CAPITAL (LINE 7 + 15)</t>
  </si>
  <si>
    <t>TOTAL PLANT HELD FOR FUTURE USE</t>
  </si>
  <si>
    <t>ACCRUAL RATE</t>
  </si>
  <si>
    <t>13 MO AVG FORECAST PERIOD                TOTAL COMPANY</t>
  </si>
  <si>
    <t>13 MO AVG FORECAST PERIOD                TOTAL COMPANY INVESTMENT</t>
  </si>
  <si>
    <t>FORECAST PERIOD                TOTAL COMPANY</t>
  </si>
  <si>
    <t>E</t>
  </si>
  <si>
    <t>F</t>
  </si>
  <si>
    <t>P</t>
  </si>
  <si>
    <t>A</t>
  </si>
  <si>
    <t>R</t>
  </si>
  <si>
    <t>T</t>
  </si>
  <si>
    <t>AD</t>
  </si>
  <si>
    <t>Distribution</t>
  </si>
  <si>
    <t>General</t>
  </si>
  <si>
    <t>Hydro</t>
  </si>
  <si>
    <t>Intangible</t>
  </si>
  <si>
    <t>Steam</t>
  </si>
  <si>
    <t>Transmission</t>
  </si>
  <si>
    <t>TYPE</t>
  </si>
  <si>
    <t>ITEM</t>
  </si>
  <si>
    <t>RM ID</t>
  </si>
  <si>
    <t xml:space="preserve">   KU-1360 VA - Electric Distribution - Future Use </t>
  </si>
  <si>
    <t>Add: Transfers/Adjustments</t>
  </si>
  <si>
    <t>DE</t>
  </si>
  <si>
    <t>APPRE</t>
  </si>
  <si>
    <t>APPOS</t>
  </si>
  <si>
    <t>ADEPRE</t>
  </si>
  <si>
    <t>ADEPOS</t>
  </si>
  <si>
    <t>AADPRE</t>
  </si>
  <si>
    <t>AADPOS</t>
  </si>
  <si>
    <t>ECR 392 DOES NOT CLEAR</t>
  </si>
  <si>
    <t>INCOME STATEMENT</t>
  </si>
  <si>
    <t>DIFFERENCE</t>
  </si>
  <si>
    <t>CASE NO. 2018-00294 - RESPONSE TO PSC 2-65 (SLIPPAGE FACTOR 96.027%)</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</si>
</sst>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
    <numFmt numFmtId="165" formatCode="mmm\-yyyy"/>
    <numFmt numFmtId="166" formatCode="[$-409]mmmm\ d\,\ yyyy;@"/>
    <numFmt numFmtId="167" formatCode="0\ 00\ 000\ 000"/>
    <numFmt numFmtId="168" formatCode="&quot;$&quot;#,##0\ ;\(&quot;$&quot;#,##0\)"/>
    <numFmt numFmtId="169" formatCode="_-* #,##0.00\ [$€]_-;\-* #,##0.00\ [$€]_-;_-* &quot;-&quot;??\ [$€]_-;_-@_-"/>
    <numFmt numFmtId="170" formatCode="[$-409]d\-mmm\-yyyy;@"/>
    <numFmt numFmtId="171" formatCode="#,##0.00;[Red]\(#,##0.00\)"/>
    <numFmt numFmtId="172" formatCode="[$-409]mmmm\-yy;@"/>
    <numFmt numFmtId="173" formatCode="_(* #,##0_);_(* \(#,##0\);_(* &quot;-&quot;??_);_(@_)"/>
    <numFmt numFmtId="174" formatCode="###0;###0"/>
    <numFmt numFmtId="175" formatCode=";;;"/>
    <numFmt numFmtId="176" formatCode="dd\-mmm\-yy_)"/>
    <numFmt numFmtId="177" formatCode="hh:mm\ AM/PM_)"/>
    <numFmt numFmtId="178" formatCode="0.0000%"/>
    <numFmt numFmtId="179" formatCode="_(* #,##0.00000_);_(* \(#,##0.00000\);_(* &quot;-&quot;??_);_(@_)"/>
    <numFmt numFmtId="180" formatCode="#,##0.00000_);\(#,##0.00000\)"/>
    <numFmt numFmtId="181" formatCode="0.000%"/>
    <numFmt numFmtId="182" formatCode="[$-409]mmm\-yy;@"/>
    <numFmt numFmtId="183" formatCode="0_);\(0\)"/>
    <numFmt numFmtId="184" formatCode="_(* #,##0.0_);_(* \(#,##0.0\);_(* &quot;-&quot;??_);_(@_)"/>
    <numFmt numFmtId="185" formatCode="#,##0_);[Red]\(#,##0\);&quot; &quot;"/>
    <numFmt numFmtId="186" formatCode="#,##0.0000_);\(#,##0.0000\)"/>
    <numFmt numFmtId="187" formatCode="_(&quot;$&quot;* #,##0_);_(&quot;$&quot;* \(#,##0\);_(&quot;$&quot;* &quot;-&quot;??_);_(@_)"/>
    <numFmt numFmtId="188" formatCode="&quot;$&quot;#,##0.00"/>
    <numFmt numFmtId="189" formatCode="d\-mmm\-yyyy"/>
    <numFmt numFmtId="190" formatCode="#,##0.00\ &quot;DM&quot;;[Red]\-#,##0.00\ &quot;DM&quot;"/>
    <numFmt numFmtId="191" formatCode="#,##0.000_);[Red]\(#,##0.000\);&quot; &quot;"/>
    <numFmt numFmtId="192" formatCode="."/>
    <numFmt numFmtId="193" formatCode="_([$€-2]* #,##0.00_);_([$€-2]* \(#,##0.00\);_([$€-2]* &quot;-&quot;??_)"/>
    <numFmt numFmtId="194" formatCode="0.000"/>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00000000"/>
    <numFmt numFmtId="200" formatCode="&quot;$&quot;#,##0_);[Red]\(&quot;$&quot;#,##0\);&quot; &quot;"/>
    <numFmt numFmtId="201" formatCode="_(* #,##0.0000000000_);_(* \(#,##0.0000000000\);_(* &quot;-&quot;??_);_(@_)"/>
    <numFmt numFmtId="202" formatCode="###,000"/>
    <numFmt numFmtId="203" formatCode="#,##0.00000_);[Red]\(#,##0.00000\);&quot; &quot;"/>
    <numFmt numFmtId="204" formatCode="0.00000"/>
    <numFmt numFmtId="205" formatCode="#,##0.0_);[Red]\(#,##0.0\);&quot; &quot;"/>
    <numFmt numFmtId="206" formatCode="#,##0.00_);[Red]\(#,##0.00\);&quot; &quot;"/>
    <numFmt numFmtId="207" formatCode="0.0000000"/>
    <numFmt numFmtId="208" formatCode="_(* #,##0.00_);_(* \(#,##0.00\);_(* &quot;-&quot;_);_(@_)"/>
    <numFmt numFmtId="209" formatCode="_(* #,##0.0000_);_(* \(#,##0.0000\);_(* &quot;-&quot;??_);_(@_)"/>
  </numFmts>
  <fonts count="220">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0"/>
      <name val="Arial"/>
      <family val="2"/>
    </font>
    <font>
      <sz val="10"/>
      <name val="Arial"/>
      <family val="2"/>
    </font>
    <font>
      <sz val="11"/>
      <color theme="1"/>
      <name val="Calibri"/>
      <family val="2"/>
    </font>
    <font>
      <b/>
      <sz val="11"/>
      <color theme="1"/>
      <name val="Calibri"/>
      <family val="2"/>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8"/>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10"/>
      <name val="Courier"/>
      <family val="3"/>
    </font>
    <font>
      <sz val="8"/>
      <color indexed="8"/>
      <name val="Wingdings"/>
      <charset val="2"/>
    </font>
    <font>
      <sz val="10"/>
      <name val="Arial"/>
      <family val="2"/>
    </font>
    <font>
      <sz val="10"/>
      <color rgb="FF000000"/>
      <name val="Times New Roman"/>
      <family val="1"/>
    </font>
    <font>
      <sz val="10"/>
      <color rgb="FF000000"/>
      <name val="Arial"/>
      <family val="2"/>
    </font>
    <font>
      <sz val="10"/>
      <name val="Courier"/>
      <family val="3"/>
    </font>
    <font>
      <b/>
      <sz val="12"/>
      <name val="Arial"/>
      <family val="2"/>
    </font>
    <font>
      <u/>
      <sz val="10"/>
      <name val="Arial"/>
      <family val="2"/>
    </font>
    <font>
      <sz val="10"/>
      <color rgb="FFFF0000"/>
      <name val="Arial"/>
      <family val="2"/>
    </font>
    <font>
      <b/>
      <sz val="12"/>
      <name val="Times New Roman"/>
      <family val="1"/>
    </font>
    <font>
      <i/>
      <sz val="12"/>
      <name val="Times New Roman"/>
      <family val="1"/>
    </font>
    <font>
      <sz val="12"/>
      <name val="Arial"/>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12"/>
      <color theme="1"/>
      <name val="Times New Roman"/>
      <family val="2"/>
    </font>
    <font>
      <sz val="12"/>
      <color theme="1"/>
      <name val="Times New Roman"/>
      <family val="1"/>
    </font>
    <font>
      <sz val="10"/>
      <color theme="1"/>
      <name val="Arial"/>
      <family val="2"/>
    </font>
    <font>
      <sz val="10"/>
      <name val="Courier"/>
      <family val="3"/>
    </font>
    <font>
      <sz val="11"/>
      <color theme="0"/>
      <name val="Calibri"/>
      <family val="2"/>
    </font>
    <font>
      <sz val="11"/>
      <color rgb="FF9C0006"/>
      <name val="Calibri"/>
      <family val="2"/>
    </font>
    <font>
      <b/>
      <sz val="11"/>
      <color rgb="FFFA7D00"/>
      <name val="Calibri"/>
      <family val="2"/>
    </font>
    <font>
      <b/>
      <sz val="11"/>
      <color theme="0"/>
      <name val="Calibri"/>
      <family val="2"/>
    </font>
    <font>
      <i/>
      <sz val="11"/>
      <color rgb="FF7F7F7F"/>
      <name val="Calibri"/>
      <family val="2"/>
    </font>
    <font>
      <sz val="11"/>
      <color rgb="FF006100"/>
      <name val="Calibri"/>
      <family val="2"/>
    </font>
    <font>
      <sz val="18"/>
      <name val="Arial"/>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sz val="11"/>
      <color rgb="FFFF0000"/>
      <name val="Calibri"/>
      <family val="2"/>
    </font>
    <font>
      <sz val="14"/>
      <color theme="1"/>
      <name val="Calibri"/>
      <family val="2"/>
    </font>
    <font>
      <b/>
      <sz val="11"/>
      <color rgb="FFFF0000"/>
      <name val="Calibri"/>
      <family val="2"/>
    </font>
    <font>
      <sz val="12"/>
      <name val="Arial"/>
      <family val="2"/>
    </font>
    <font>
      <sz val="11"/>
      <name val="Calibri"/>
      <family val="2"/>
    </font>
    <font>
      <sz val="11"/>
      <color indexed="63"/>
      <name val="Calibri"/>
      <family val="2"/>
    </font>
    <font>
      <b/>
      <u/>
      <sz val="12"/>
      <name val="Times New Roman"/>
      <family val="1"/>
    </font>
    <font>
      <b/>
      <sz val="18"/>
      <color theme="3"/>
      <name val="Cambria"/>
      <family val="2"/>
      <scheme val="major"/>
    </font>
    <font>
      <b/>
      <sz val="12"/>
      <color indexed="10"/>
      <name val="Times New Roman"/>
      <family val="1"/>
    </font>
    <font>
      <sz val="12"/>
      <color indexed="12"/>
      <name val="Times New Roman"/>
      <family val="1"/>
    </font>
    <font>
      <sz val="12"/>
      <color indexed="10"/>
      <name val="Times New Roman"/>
      <family val="1"/>
    </font>
    <font>
      <b/>
      <sz val="12"/>
      <color indexed="12"/>
      <name val="Arial"/>
      <family val="2"/>
    </font>
    <font>
      <sz val="11"/>
      <color theme="0"/>
      <name val="Times New Roman"/>
      <family val="2"/>
    </font>
    <font>
      <sz val="11"/>
      <color rgb="FF9C0006"/>
      <name val="Times New Roman"/>
      <family val="2"/>
    </font>
    <font>
      <sz val="10"/>
      <name val="Helv"/>
    </font>
    <font>
      <b/>
      <sz val="11"/>
      <color theme="0"/>
      <name val="Times New Roman"/>
      <family val="2"/>
    </font>
    <font>
      <sz val="9"/>
      <color theme="1"/>
      <name val="Times New Roman"/>
      <family val="2"/>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8"/>
      <color indexed="56"/>
      <name val="Cambria"/>
      <family val="2"/>
    </font>
    <font>
      <b/>
      <sz val="11"/>
      <color theme="1"/>
      <name val="Times New Roman"/>
      <family val="2"/>
    </font>
    <font>
      <sz val="11"/>
      <color rgb="FFFF0000"/>
      <name val="Times New Roman"/>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u/>
      <sz val="11"/>
      <color theme="1"/>
      <name val="Calibri"/>
      <family val="2"/>
    </font>
    <font>
      <sz val="11"/>
      <name val="Courier"/>
      <family val="3"/>
    </font>
    <font>
      <sz val="10"/>
      <color rgb="FF000000"/>
      <name val="3"/>
    </font>
    <font>
      <b/>
      <sz val="10"/>
      <color rgb="FF000000"/>
      <name val="Arial"/>
      <family val="2"/>
    </font>
    <font>
      <sz val="11"/>
      <color rgb="FF3F3F76"/>
      <name val="Calibri"/>
      <family val="2"/>
      <scheme val="minor"/>
    </font>
    <font>
      <b/>
      <sz val="11"/>
      <color rgb="FFFA7D00"/>
      <name val="Calibri"/>
      <family val="2"/>
      <scheme val="minor"/>
    </font>
    <font>
      <b/>
      <sz val="11"/>
      <color indexed="52"/>
      <name val="Calibri"/>
      <family val="2"/>
    </font>
    <font>
      <b/>
      <sz val="11"/>
      <color rgb="FFFA7D00"/>
      <name val="Times New Roman"/>
      <family val="2"/>
    </font>
    <font>
      <sz val="11"/>
      <name val="Times New Roman"/>
      <family val="1"/>
    </font>
    <font>
      <sz val="12"/>
      <name val="Tms Rmn"/>
    </font>
    <font>
      <b/>
      <sz val="18"/>
      <name val="Arial"/>
      <family val="2"/>
    </font>
    <font>
      <sz val="11"/>
      <color rgb="FF3F3F76"/>
      <name val="Times New Roman"/>
      <family val="2"/>
    </font>
    <font>
      <b/>
      <sz val="12"/>
      <name val="Tms Rmn"/>
    </font>
    <font>
      <sz val="11"/>
      <color indexed="8"/>
      <name val="Times New Roman"/>
      <family val="2"/>
    </font>
    <font>
      <b/>
      <sz val="16"/>
      <color indexed="13"/>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2"/>
      <color indexed="13"/>
      <name val="Tms Rmn"/>
    </font>
    <font>
      <b/>
      <sz val="11"/>
      <color rgb="FFFF0000"/>
      <name val="Calibri"/>
      <family val="2"/>
      <scheme val="minor"/>
    </font>
    <font>
      <sz val="11"/>
      <color indexed="63"/>
      <name val="Calibri"/>
      <family val="2"/>
      <scheme val="minor"/>
    </font>
    <font>
      <sz val="11"/>
      <name val="Calibri"/>
      <family val="2"/>
      <scheme val="minor"/>
    </font>
    <font>
      <b/>
      <u/>
      <sz val="14"/>
      <name val="Arial"/>
      <family val="2"/>
    </font>
    <font>
      <b/>
      <u/>
      <sz val="12"/>
      <name val="Arial"/>
      <family val="2"/>
    </font>
    <font>
      <sz val="10"/>
      <name val="Calibri"/>
      <family val="2"/>
      <scheme val="minor"/>
    </font>
    <font>
      <sz val="12"/>
      <color theme="1"/>
      <name val="Arial"/>
      <family val="2"/>
    </font>
    <font>
      <sz val="10"/>
      <color rgb="FF0070C0"/>
      <name val="Arial"/>
      <family val="2"/>
    </font>
  </fonts>
  <fills count="8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indexed="1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gray0625"/>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rgb="FFFFFF99"/>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bottom style="double">
        <color indexed="64"/>
      </bottom>
      <diagonal/>
    </border>
    <border>
      <left/>
      <right/>
      <top style="thin">
        <color indexed="64"/>
      </top>
      <bottom style="thin">
        <color indexed="64"/>
      </bottom>
      <diagonal/>
    </border>
    <border>
      <left/>
      <right/>
      <top style="medium">
        <color indexed="8"/>
      </top>
      <bottom/>
      <diagonal/>
    </border>
    <border>
      <left/>
      <right/>
      <top style="double">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double">
        <color indexed="0"/>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medium">
        <color indexed="4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double">
        <color indexed="8"/>
      </top>
      <bottom style="thin">
        <color indexed="8"/>
      </bottom>
      <diagonal/>
    </border>
  </borders>
  <cellStyleXfs count="61985">
    <xf numFmtId="37" fontId="0" fillId="0" borderId="0"/>
    <xf numFmtId="0" fontId="23" fillId="0" borderId="0"/>
    <xf numFmtId="43" fontId="22" fillId="0" borderId="0" applyFont="0" applyFill="0" applyBorder="0" applyAlignment="0" applyProtection="0"/>
    <xf numFmtId="44" fontId="22" fillId="0" borderId="0" applyFont="0" applyFill="0" applyBorder="0" applyAlignment="0" applyProtection="0"/>
    <xf numFmtId="0" fontId="22" fillId="0" borderId="0"/>
    <xf numFmtId="43" fontId="22" fillId="0" borderId="0" applyFont="0" applyFill="0" applyBorder="0" applyAlignment="0" applyProtection="0"/>
    <xf numFmtId="0" fontId="22" fillId="15" borderId="0"/>
    <xf numFmtId="0" fontId="22" fillId="15"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25" fillId="16"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2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25" fillId="1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2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25" fillId="1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2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5" fillId="20"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25" fillId="2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2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25" fillId="1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2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25" fillId="21"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2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25" fillId="17"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2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25" fillId="22"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2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25" fillId="2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2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25" fillId="2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2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25" fillId="18"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2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27" fillId="21"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0" fontId="27" fillId="25"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166" fontId="28" fillId="17" borderId="0" applyNumberFormat="0" applyBorder="0" applyAlignment="0" applyProtection="0"/>
    <xf numFmtId="0" fontId="27" fillId="26" borderId="0" applyNumberFormat="0" applyBorder="0" applyAlignment="0" applyProtection="0"/>
    <xf numFmtId="166" fontId="28" fillId="27" borderId="0" applyNumberFormat="0" applyBorder="0" applyAlignment="0" applyProtection="0"/>
    <xf numFmtId="166" fontId="28" fillId="27" borderId="0" applyNumberFormat="0" applyBorder="0" applyAlignment="0" applyProtection="0"/>
    <xf numFmtId="166" fontId="28" fillId="27" borderId="0" applyNumberFormat="0" applyBorder="0" applyAlignment="0" applyProtection="0"/>
    <xf numFmtId="0" fontId="27" fillId="23" borderId="0" applyNumberFormat="0" applyBorder="0" applyAlignment="0" applyProtection="0"/>
    <xf numFmtId="166" fontId="28" fillId="19" borderId="0" applyNumberFormat="0" applyBorder="0" applyAlignment="0" applyProtection="0"/>
    <xf numFmtId="166" fontId="28" fillId="19" borderId="0" applyNumberFormat="0" applyBorder="0" applyAlignment="0" applyProtection="0"/>
    <xf numFmtId="166" fontId="28" fillId="19" borderId="0" applyNumberFormat="0" applyBorder="0" applyAlignment="0" applyProtection="0"/>
    <xf numFmtId="0" fontId="27" fillId="21"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166" fontId="28" fillId="24" borderId="0" applyNumberFormat="0" applyBorder="0" applyAlignment="0" applyProtection="0"/>
    <xf numFmtId="0" fontId="27" fillId="17" borderId="0" applyNumberFormat="0" applyBorder="0" applyAlignment="0" applyProtection="0"/>
    <xf numFmtId="166" fontId="28" fillId="20" borderId="0" applyNumberFormat="0" applyBorder="0" applyAlignment="0" applyProtection="0"/>
    <xf numFmtId="166" fontId="28" fillId="20" borderId="0" applyNumberFormat="0" applyBorder="0" applyAlignment="0" applyProtection="0"/>
    <xf numFmtId="166" fontId="28" fillId="20" borderId="0" applyNumberFormat="0" applyBorder="0" applyAlignment="0" applyProtection="0"/>
    <xf numFmtId="0" fontId="27" fillId="28" borderId="0" applyNumberFormat="0" applyBorder="0" applyAlignment="0" applyProtection="0"/>
    <xf numFmtId="166" fontId="28" fillId="29" borderId="0" applyNumberFormat="0" applyBorder="0" applyAlignment="0" applyProtection="0"/>
    <xf numFmtId="166" fontId="28" fillId="29" borderId="0" applyNumberFormat="0" applyBorder="0" applyAlignment="0" applyProtection="0"/>
    <xf numFmtId="166" fontId="28" fillId="29" borderId="0" applyNumberFormat="0" applyBorder="0" applyAlignment="0" applyProtection="0"/>
    <xf numFmtId="0" fontId="27" fillId="25" borderId="0" applyNumberFormat="0" applyBorder="0" applyAlignment="0" applyProtection="0"/>
    <xf numFmtId="166" fontId="28" fillId="30" borderId="0" applyNumberFormat="0" applyBorder="0" applyAlignment="0" applyProtection="0"/>
    <xf numFmtId="166" fontId="28" fillId="30" borderId="0" applyNumberFormat="0" applyBorder="0" applyAlignment="0" applyProtection="0"/>
    <xf numFmtId="166" fontId="28" fillId="30" borderId="0" applyNumberFormat="0" applyBorder="0" applyAlignment="0" applyProtection="0"/>
    <xf numFmtId="0" fontId="27" fillId="26"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7" fillId="32" borderId="0" applyNumberFormat="0" applyBorder="0" applyAlignment="0" applyProtection="0"/>
    <xf numFmtId="166" fontId="28" fillId="32" borderId="0" applyNumberFormat="0" applyBorder="0" applyAlignment="0" applyProtection="0"/>
    <xf numFmtId="166" fontId="28" fillId="32" borderId="0" applyNumberFormat="0" applyBorder="0" applyAlignment="0" applyProtection="0"/>
    <xf numFmtId="166" fontId="28" fillId="32" borderId="0" applyNumberFormat="0" applyBorder="0" applyAlignment="0" applyProtection="0"/>
    <xf numFmtId="0" fontId="27" fillId="29" borderId="0" applyNumberFormat="0" applyBorder="0" applyAlignment="0" applyProtection="0"/>
    <xf numFmtId="166" fontId="28" fillId="29" borderId="0" applyNumberFormat="0" applyBorder="0" applyAlignment="0" applyProtection="0"/>
    <xf numFmtId="166" fontId="28" fillId="29" borderId="0" applyNumberFormat="0" applyBorder="0" applyAlignment="0" applyProtection="0"/>
    <xf numFmtId="166" fontId="28" fillId="29" borderId="0" applyNumberFormat="0" applyBorder="0" applyAlignment="0" applyProtection="0"/>
    <xf numFmtId="0" fontId="27" fillId="30" borderId="0" applyNumberFormat="0" applyBorder="0" applyAlignment="0" applyProtection="0"/>
    <xf numFmtId="166" fontId="28" fillId="25" borderId="0" applyNumberFormat="0" applyBorder="0" applyAlignment="0" applyProtection="0"/>
    <xf numFmtId="166" fontId="28" fillId="25" borderId="0" applyNumberFormat="0" applyBorder="0" applyAlignment="0" applyProtection="0"/>
    <xf numFmtId="166" fontId="28" fillId="25" borderId="0" applyNumberFormat="0" applyBorder="0" applyAlignment="0" applyProtection="0"/>
    <xf numFmtId="0" fontId="29" fillId="33" borderId="0" applyNumberFormat="0" applyBorder="0" applyAlignment="0" applyProtection="0"/>
    <xf numFmtId="166" fontId="30" fillId="23" borderId="0" applyNumberFormat="0" applyBorder="0" applyAlignment="0" applyProtection="0"/>
    <xf numFmtId="166" fontId="30" fillId="23" borderId="0" applyNumberFormat="0" applyBorder="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166" fontId="32" fillId="35"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166" fontId="32" fillId="35"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166" fontId="32" fillId="35" borderId="8" applyNumberFormat="0" applyAlignment="0" applyProtection="0"/>
    <xf numFmtId="0" fontId="31" fillId="34" borderId="8" applyNumberFormat="0" applyAlignment="0" applyProtection="0"/>
    <xf numFmtId="166" fontId="32" fillId="35"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3" fillId="36" borderId="9" applyNumberFormat="0" applyAlignment="0" applyProtection="0"/>
    <xf numFmtId="166" fontId="34" fillId="36" borderId="9" applyNumberFormat="0" applyAlignment="0" applyProtection="0"/>
    <xf numFmtId="166" fontId="34" fillId="36" borderId="9" applyNumberFormat="0" applyAlignment="0" applyProtection="0"/>
    <xf numFmtId="167" fontId="35" fillId="0" borderId="10" applyBorder="0">
      <alignment horizontal="center" vertical="center"/>
    </xf>
    <xf numFmtId="164" fontId="34" fillId="37" borderId="0">
      <alignment horizontal="left"/>
    </xf>
    <xf numFmtId="0" fontId="34" fillId="37" borderId="0">
      <alignment horizontal="left"/>
    </xf>
    <xf numFmtId="166" fontId="34" fillId="37" borderId="0">
      <alignment horizontal="left"/>
    </xf>
    <xf numFmtId="164" fontId="36" fillId="37" borderId="0">
      <alignment horizontal="right"/>
    </xf>
    <xf numFmtId="0" fontId="36" fillId="37" borderId="0">
      <alignment horizontal="right"/>
    </xf>
    <xf numFmtId="166" fontId="36" fillId="37" borderId="0">
      <alignment horizontal="right"/>
    </xf>
    <xf numFmtId="164" fontId="37" fillId="34" borderId="0">
      <alignment horizontal="center"/>
    </xf>
    <xf numFmtId="0" fontId="37" fillId="34" borderId="0">
      <alignment horizontal="center"/>
    </xf>
    <xf numFmtId="166" fontId="37" fillId="34" borderId="0">
      <alignment horizontal="center"/>
    </xf>
    <xf numFmtId="164" fontId="36" fillId="37" borderId="0">
      <alignment horizontal="right"/>
    </xf>
    <xf numFmtId="0" fontId="36" fillId="37" borderId="0">
      <alignment horizontal="right"/>
    </xf>
    <xf numFmtId="166" fontId="36" fillId="37" borderId="0">
      <alignment horizontal="right"/>
    </xf>
    <xf numFmtId="164" fontId="38" fillId="34" borderId="0">
      <alignment horizontal="left"/>
    </xf>
    <xf numFmtId="0" fontId="38" fillId="34" borderId="0">
      <alignment horizontal="left"/>
    </xf>
    <xf numFmtId="166" fontId="38" fillId="34" borderId="0">
      <alignment horizontal="left"/>
    </xf>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40"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42" fontId="22" fillId="0" borderId="0" applyFont="0" applyFill="0" applyBorder="0" applyAlignment="0" applyProtection="0"/>
    <xf numFmtId="42" fontId="16" fillId="0" borderId="0" applyFont="0" applyFill="0" applyBorder="0" applyAlignment="0" applyProtection="0"/>
    <xf numFmtId="42" fontId="22" fillId="0" borderId="0" applyFont="0" applyFill="0" applyBorder="0" applyAlignment="0" applyProtection="0"/>
    <xf numFmtId="42" fontId="22" fillId="0" borderId="0" applyFont="0" applyFill="0" applyBorder="0" applyAlignment="0" applyProtection="0"/>
    <xf numFmtId="42" fontId="22" fillId="0" borderId="0" applyFont="0" applyFill="0" applyBorder="0" applyAlignment="0" applyProtection="0"/>
    <xf numFmtId="42" fontId="22" fillId="0" borderId="0" applyFont="0" applyFill="0" applyBorder="0" applyAlignment="0" applyProtection="0"/>
    <xf numFmtId="42" fontId="22" fillId="0" borderId="0" applyFont="0" applyFill="0" applyBorder="0" applyAlignment="0" applyProtection="0"/>
    <xf numFmtId="42"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0"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5" fontId="20"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4" fontId="20"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38" borderId="11" applyNumberFormat="0" applyFont="0" applyAlignment="0">
      <protection locked="0"/>
    </xf>
    <xf numFmtId="0" fontId="22" fillId="38" borderId="11" applyNumberFormat="0" applyFont="0" applyAlignment="0">
      <protection locked="0"/>
    </xf>
    <xf numFmtId="169" fontId="22" fillId="0" borderId="0" applyFont="0" applyFill="0" applyBorder="0" applyAlignment="0" applyProtection="0"/>
    <xf numFmtId="169"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41"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0" fontId="21" fillId="0" borderId="0" applyProtection="0"/>
    <xf numFmtId="166" fontId="21" fillId="0" borderId="0" applyProtection="0"/>
    <xf numFmtId="0" fontId="43" fillId="0" borderId="0" applyProtection="0"/>
    <xf numFmtId="166" fontId="43" fillId="0" borderId="0" applyProtection="0"/>
    <xf numFmtId="0" fontId="44" fillId="0" borderId="0" applyProtection="0"/>
    <xf numFmtId="166" fontId="44" fillId="0" borderId="0" applyProtection="0"/>
    <xf numFmtId="0" fontId="45" fillId="0" borderId="0" applyProtection="0"/>
    <xf numFmtId="166" fontId="45" fillId="0" borderId="0" applyProtection="0"/>
    <xf numFmtId="166" fontId="45" fillId="0" borderId="0" applyProtection="0"/>
    <xf numFmtId="0" fontId="22" fillId="0" borderId="0" applyProtection="0"/>
    <xf numFmtId="0" fontId="22" fillId="0" borderId="0" applyProtection="0"/>
    <xf numFmtId="166" fontId="22" fillId="0" borderId="0" applyProtection="0"/>
    <xf numFmtId="166" fontId="22" fillId="0" borderId="0" applyProtection="0"/>
    <xf numFmtId="0" fontId="21" fillId="0" borderId="0" applyProtection="0"/>
    <xf numFmtId="166" fontId="21" fillId="0" borderId="0" applyProtection="0"/>
    <xf numFmtId="0" fontId="46" fillId="0" borderId="0" applyProtection="0"/>
    <xf numFmtId="166" fontId="46" fillId="0" borderId="0" applyProtection="0"/>
    <xf numFmtId="2" fontId="20" fillId="0" borderId="0" applyFont="0" applyFill="0" applyBorder="0" applyAlignment="0" applyProtection="0"/>
    <xf numFmtId="2" fontId="22" fillId="0" borderId="0" applyFont="0" applyFill="0" applyBorder="0" applyAlignment="0" applyProtection="0"/>
    <xf numFmtId="2" fontId="22" fillId="0" borderId="0" applyFont="0" applyFill="0" applyBorder="0" applyAlignment="0" applyProtection="0"/>
    <xf numFmtId="0" fontId="47" fillId="21" borderId="0" applyNumberFormat="0" applyBorder="0" applyAlignment="0" applyProtection="0"/>
    <xf numFmtId="166" fontId="35" fillId="39" borderId="0" applyNumberFormat="0" applyBorder="0" applyAlignment="0" applyProtection="0"/>
    <xf numFmtId="166" fontId="35" fillId="39" borderId="0" applyNumberFormat="0" applyBorder="0" applyAlignment="0" applyProtection="0"/>
    <xf numFmtId="0" fontId="48" fillId="0" borderId="12" applyNumberFormat="0" applyFill="0" applyAlignment="0" applyProtection="0"/>
    <xf numFmtId="166" fontId="49" fillId="0" borderId="13" applyNumberFormat="0" applyFill="0" applyAlignment="0" applyProtection="0"/>
    <xf numFmtId="0" fontId="17" fillId="0" borderId="1" applyNumberFormat="0" applyFill="0" applyAlignment="0" applyProtection="0"/>
    <xf numFmtId="166" fontId="49" fillId="0" borderId="13" applyNumberFormat="0" applyFill="0" applyAlignment="0" applyProtection="0"/>
    <xf numFmtId="0" fontId="50" fillId="0" borderId="14" applyNumberFormat="0" applyFill="0" applyAlignment="0" applyProtection="0"/>
    <xf numFmtId="166" fontId="51" fillId="0" borderId="15" applyNumberFormat="0" applyFill="0" applyAlignment="0" applyProtection="0"/>
    <xf numFmtId="0" fontId="18" fillId="0" borderId="2" applyNumberFormat="0" applyFill="0" applyAlignment="0" applyProtection="0"/>
    <xf numFmtId="166" fontId="51" fillId="0" borderId="15" applyNumberFormat="0" applyFill="0" applyAlignment="0" applyProtection="0"/>
    <xf numFmtId="0" fontId="52" fillId="0" borderId="16" applyNumberFormat="0" applyFill="0" applyAlignment="0" applyProtection="0"/>
    <xf numFmtId="166" fontId="53" fillId="0" borderId="17" applyNumberFormat="0" applyFill="0" applyAlignment="0" applyProtection="0"/>
    <xf numFmtId="166" fontId="53" fillId="0" borderId="17" applyNumberFormat="0" applyFill="0" applyAlignment="0" applyProtection="0"/>
    <xf numFmtId="166" fontId="53" fillId="0" borderId="17" applyNumberFormat="0" applyFill="0" applyAlignment="0" applyProtection="0"/>
    <xf numFmtId="166" fontId="53" fillId="0" borderId="17" applyNumberFormat="0" applyFill="0" applyAlignment="0" applyProtection="0"/>
    <xf numFmtId="166" fontId="53" fillId="0" borderId="17" applyNumberFormat="0" applyFill="0" applyAlignment="0" applyProtection="0"/>
    <xf numFmtId="0" fontId="52" fillId="0" borderId="0" applyNumberFormat="0" applyFill="0" applyBorder="0" applyAlignment="0" applyProtection="0"/>
    <xf numFmtId="166" fontId="53" fillId="0" borderId="0" applyNumberFormat="0" applyFill="0" applyBorder="0" applyAlignment="0" applyProtection="0"/>
    <xf numFmtId="166" fontId="53" fillId="0" borderId="0" applyNumberFormat="0" applyFill="0" applyBorder="0" applyAlignment="0" applyProtection="0"/>
    <xf numFmtId="164" fontId="54" fillId="0" borderId="0" applyNumberFormat="0" applyFill="0" applyBorder="0" applyAlignment="0" applyProtection="0">
      <alignment vertical="top"/>
      <protection locked="0"/>
    </xf>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166" fontId="56"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166" fontId="56"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166" fontId="56" fillId="20" borderId="8" applyNumberFormat="0" applyAlignment="0" applyProtection="0"/>
    <xf numFmtId="0" fontId="55" fillId="22" borderId="8" applyNumberFormat="0" applyAlignment="0" applyProtection="0"/>
    <xf numFmtId="166" fontId="56"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164" fontId="34" fillId="37" borderId="0">
      <alignment horizontal="left"/>
    </xf>
    <xf numFmtId="0" fontId="34" fillId="37" borderId="0">
      <alignment horizontal="left"/>
    </xf>
    <xf numFmtId="166" fontId="34" fillId="37" borderId="0">
      <alignment horizontal="left"/>
    </xf>
    <xf numFmtId="164" fontId="57" fillId="34" borderId="0">
      <alignment horizontal="left"/>
    </xf>
    <xf numFmtId="0" fontId="57" fillId="34" borderId="0">
      <alignment horizontal="left"/>
    </xf>
    <xf numFmtId="0" fontId="57" fillId="34" borderId="0">
      <alignment horizontal="left"/>
    </xf>
    <xf numFmtId="166" fontId="57" fillId="34" borderId="0">
      <alignment horizontal="left"/>
    </xf>
    <xf numFmtId="0" fontId="58" fillId="0" borderId="18" applyNumberFormat="0" applyFill="0" applyAlignment="0" applyProtection="0"/>
    <xf numFmtId="166" fontId="59" fillId="0" borderId="19" applyNumberFormat="0" applyFill="0" applyAlignment="0" applyProtection="0"/>
    <xf numFmtId="166" fontId="59" fillId="0" borderId="19" applyNumberFormat="0" applyFill="0" applyAlignment="0" applyProtection="0"/>
    <xf numFmtId="0" fontId="60" fillId="22" borderId="0" applyNumberFormat="0" applyBorder="0" applyAlignment="0" applyProtection="0"/>
    <xf numFmtId="166" fontId="61" fillId="22" borderId="0" applyNumberFormat="0" applyBorder="0" applyAlignment="0" applyProtection="0"/>
    <xf numFmtId="166" fontId="61" fillId="22" borderId="0" applyNumberFormat="0" applyBorder="0" applyAlignment="0" applyProtection="0"/>
    <xf numFmtId="164" fontId="22" fillId="0" borderId="0"/>
    <xf numFmtId="0" fontId="22" fillId="0" borderId="0"/>
    <xf numFmtId="166" fontId="22" fillId="0" borderId="0"/>
    <xf numFmtId="164" fontId="22" fillId="0" borderId="0"/>
    <xf numFmtId="0" fontId="22" fillId="0" borderId="0"/>
    <xf numFmtId="0" fontId="22"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2" fillId="0" borderId="0"/>
    <xf numFmtId="0" fontId="22" fillId="0" borderId="0"/>
    <xf numFmtId="0" fontId="16" fillId="0" borderId="0"/>
    <xf numFmtId="0" fontId="16" fillId="0" borderId="0"/>
    <xf numFmtId="0" fontId="16" fillId="0" borderId="0"/>
    <xf numFmtId="0" fontId="22" fillId="0" borderId="0"/>
    <xf numFmtId="0" fontId="16" fillId="0" borderId="0"/>
    <xf numFmtId="0" fontId="22" fillId="0" borderId="0"/>
    <xf numFmtId="0" fontId="40" fillId="0" borderId="0"/>
    <xf numFmtId="0" fontId="16" fillId="0" borderId="0"/>
    <xf numFmtId="0" fontId="16" fillId="0" borderId="0"/>
    <xf numFmtId="0" fontId="16" fillId="0" borderId="0"/>
    <xf numFmtId="0" fontId="22" fillId="0" borderId="0"/>
    <xf numFmtId="0" fontId="16" fillId="0" borderId="0"/>
    <xf numFmtId="0" fontId="16" fillId="0" borderId="0"/>
    <xf numFmtId="0" fontId="22" fillId="0" borderId="0"/>
    <xf numFmtId="0" fontId="22" fillId="0" borderId="0"/>
    <xf numFmtId="0" fontId="22" fillId="0" borderId="0"/>
    <xf numFmtId="0" fontId="16" fillId="0" borderId="0"/>
    <xf numFmtId="0" fontId="16" fillId="0" borderId="0"/>
    <xf numFmtId="0" fontId="22" fillId="0" borderId="0"/>
    <xf numFmtId="0" fontId="22" fillId="0" borderId="0"/>
    <xf numFmtId="0" fontId="16" fillId="0" borderId="0"/>
    <xf numFmtId="0" fontId="16" fillId="0" borderId="0"/>
    <xf numFmtId="0" fontId="22" fillId="0" borderId="0"/>
    <xf numFmtId="0" fontId="22" fillId="0" borderId="0"/>
    <xf numFmtId="0" fontId="22" fillId="0" borderId="0"/>
    <xf numFmtId="0" fontId="22" fillId="0" borderId="0"/>
    <xf numFmtId="164" fontId="22" fillId="0" borderId="0"/>
    <xf numFmtId="0" fontId="22" fillId="0" borderId="0"/>
    <xf numFmtId="0" fontId="22" fillId="0" borderId="0"/>
    <xf numFmtId="166" fontId="22" fillId="0" borderId="0"/>
    <xf numFmtId="0" fontId="22" fillId="0" borderId="0"/>
    <xf numFmtId="0" fontId="16" fillId="0" borderId="0"/>
    <xf numFmtId="0" fontId="16" fillId="0" borderId="0"/>
    <xf numFmtId="0" fontId="16" fillId="0" borderId="0"/>
    <xf numFmtId="0" fontId="16" fillId="0" borderId="0"/>
    <xf numFmtId="0" fontId="16" fillId="0" borderId="0"/>
    <xf numFmtId="0" fontId="22" fillId="0" borderId="0"/>
    <xf numFmtId="166" fontId="22" fillId="0" borderId="0"/>
    <xf numFmtId="0" fontId="22" fillId="0" borderId="0"/>
    <xf numFmtId="0" fontId="22" fillId="0" borderId="0"/>
    <xf numFmtId="0" fontId="16" fillId="0" borderId="0"/>
    <xf numFmtId="0" fontId="16" fillId="0" borderId="0"/>
    <xf numFmtId="0" fontId="16" fillId="0" borderId="0"/>
    <xf numFmtId="0" fontId="16" fillId="0" borderId="0"/>
    <xf numFmtId="0" fontId="16" fillId="0" borderId="0"/>
    <xf numFmtId="170" fontId="22" fillId="0" borderId="0"/>
    <xf numFmtId="0" fontId="16" fillId="0" borderId="0"/>
    <xf numFmtId="0" fontId="16" fillId="0" borderId="0"/>
    <xf numFmtId="0" fontId="22" fillId="0" borderId="0"/>
    <xf numFmtId="0" fontId="22" fillId="0" borderId="0"/>
    <xf numFmtId="0" fontId="22" fillId="0" borderId="0"/>
    <xf numFmtId="0" fontId="22" fillId="0" borderId="0"/>
    <xf numFmtId="0" fontId="16" fillId="0" borderId="0"/>
    <xf numFmtId="0" fontId="22" fillId="0" borderId="0"/>
    <xf numFmtId="0" fontId="22" fillId="0" borderId="0"/>
    <xf numFmtId="0" fontId="1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166" fontId="22" fillId="0" borderId="0"/>
    <xf numFmtId="0" fontId="26" fillId="0" borderId="0"/>
    <xf numFmtId="170" fontId="22" fillId="0" borderId="0"/>
    <xf numFmtId="0" fontId="16" fillId="0" borderId="0"/>
    <xf numFmtId="0" fontId="22" fillId="0" borderId="0"/>
    <xf numFmtId="0" fontId="22" fillId="0" borderId="0"/>
    <xf numFmtId="0" fontId="16" fillId="0" borderId="0"/>
    <xf numFmtId="0" fontId="16" fillId="0" borderId="0"/>
    <xf numFmtId="0" fontId="16" fillId="0" borderId="0"/>
    <xf numFmtId="0" fontId="1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6" fillId="0" borderId="0"/>
    <xf numFmtId="0" fontId="16" fillId="0" borderId="0"/>
    <xf numFmtId="0" fontId="22" fillId="0" borderId="0"/>
    <xf numFmtId="0" fontId="16" fillId="0" borderId="0"/>
    <xf numFmtId="170" fontId="22" fillId="0" borderId="0"/>
    <xf numFmtId="0" fontId="16" fillId="0" borderId="0"/>
    <xf numFmtId="0" fontId="22"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170" fontId="16" fillId="0" borderId="0"/>
    <xf numFmtId="0" fontId="22" fillId="0" borderId="0"/>
    <xf numFmtId="0" fontId="22" fillId="0" borderId="0"/>
    <xf numFmtId="0" fontId="16" fillId="0" borderId="0"/>
    <xf numFmtId="0" fontId="16" fillId="0" borderId="0"/>
    <xf numFmtId="166" fontId="22" fillId="0" borderId="0"/>
    <xf numFmtId="37" fontId="43" fillId="0" borderId="0"/>
    <xf numFmtId="0" fontId="16" fillId="0" borderId="0"/>
    <xf numFmtId="0" fontId="16" fillId="0" borderId="0"/>
    <xf numFmtId="164" fontId="22"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0" fontId="22"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0" fontId="22"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0" fontId="22"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16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2"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9" fontId="6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2"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16" fillId="0" borderId="0"/>
    <xf numFmtId="0" fontId="16" fillId="0" borderId="0"/>
    <xf numFmtId="0" fontId="40" fillId="18" borderId="20" applyNumberFormat="0" applyFont="0" applyAlignment="0" applyProtection="0"/>
    <xf numFmtId="0" fontId="16" fillId="0" borderId="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16" fillId="0" borderId="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16" fillId="0" borderId="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6"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63" fillId="34" borderId="21" applyNumberFormat="0" applyAlignment="0" applyProtection="0"/>
    <xf numFmtId="0" fontId="63" fillId="34" borderId="21" applyNumberFormat="0" applyAlignment="0" applyProtection="0"/>
    <xf numFmtId="0" fontId="16" fillId="0" borderId="0"/>
    <xf numFmtId="0" fontId="63" fillId="34" borderId="21" applyNumberFormat="0" applyAlignment="0" applyProtection="0"/>
    <xf numFmtId="0" fontId="63" fillId="34" borderId="21" applyNumberFormat="0" applyAlignment="0" applyProtection="0"/>
    <xf numFmtId="0" fontId="63" fillId="34" borderId="21" applyNumberFormat="0" applyAlignment="0" applyProtection="0"/>
    <xf numFmtId="0" fontId="63" fillId="34" borderId="21" applyNumberFormat="0" applyAlignment="0" applyProtection="0"/>
    <xf numFmtId="0" fontId="63" fillId="34" borderId="21" applyNumberFormat="0" applyAlignment="0" applyProtection="0"/>
    <xf numFmtId="0" fontId="16" fillId="0" borderId="0"/>
    <xf numFmtId="0" fontId="16" fillId="0" borderId="0"/>
    <xf numFmtId="0" fontId="16" fillId="0" borderId="0"/>
    <xf numFmtId="171" fontId="64" fillId="34" borderId="0">
      <alignment horizontal="right"/>
    </xf>
    <xf numFmtId="40" fontId="65" fillId="40" borderId="0">
      <alignment horizontal="right"/>
    </xf>
    <xf numFmtId="4" fontId="64" fillId="40" borderId="0">
      <alignment horizontal="right"/>
    </xf>
    <xf numFmtId="0" fontId="16" fillId="0" borderId="0"/>
    <xf numFmtId="40" fontId="65" fillId="40" borderId="0">
      <alignment horizontal="right"/>
    </xf>
    <xf numFmtId="164" fontId="66" fillId="41" borderId="0">
      <alignment horizontal="center"/>
    </xf>
    <xf numFmtId="0" fontId="67" fillId="40" borderId="0">
      <alignment horizontal="right"/>
    </xf>
    <xf numFmtId="0" fontId="16" fillId="0" borderId="0"/>
    <xf numFmtId="0" fontId="66" fillId="40" borderId="0">
      <alignment horizontal="center" vertical="center"/>
    </xf>
    <xf numFmtId="0" fontId="16" fillId="0" borderId="0"/>
    <xf numFmtId="0" fontId="67" fillId="40" borderId="0">
      <alignment horizontal="right"/>
    </xf>
    <xf numFmtId="164" fontId="34" fillId="42" borderId="0"/>
    <xf numFmtId="0" fontId="68" fillId="40" borderId="10"/>
    <xf numFmtId="0" fontId="57" fillId="40" borderId="10"/>
    <xf numFmtId="0" fontId="16" fillId="0" borderId="0"/>
    <xf numFmtId="0" fontId="57" fillId="40" borderId="10"/>
    <xf numFmtId="0" fontId="16" fillId="0" borderId="0"/>
    <xf numFmtId="0" fontId="68" fillId="40" borderId="10"/>
    <xf numFmtId="164" fontId="69" fillId="34" borderId="0" applyBorder="0">
      <alignment horizontal="centerContinuous"/>
    </xf>
    <xf numFmtId="0" fontId="68" fillId="0" borderId="0" applyBorder="0">
      <alignment horizontal="centerContinuous"/>
    </xf>
    <xf numFmtId="0" fontId="16" fillId="0" borderId="0"/>
    <xf numFmtId="0" fontId="66" fillId="40" borderId="0" applyBorder="0">
      <alignment horizontal="centerContinuous"/>
    </xf>
    <xf numFmtId="0" fontId="16" fillId="0" borderId="0"/>
    <xf numFmtId="0" fontId="68" fillId="0" borderId="0" applyBorder="0">
      <alignment horizontal="centerContinuous"/>
    </xf>
    <xf numFmtId="164" fontId="70" fillId="42" borderId="0" applyBorder="0">
      <alignment horizontal="centerContinuous"/>
    </xf>
    <xf numFmtId="0" fontId="71" fillId="0" borderId="0" applyBorder="0">
      <alignment horizontal="centerContinuous"/>
    </xf>
    <xf numFmtId="0" fontId="16" fillId="0" borderId="0"/>
    <xf numFmtId="0" fontId="72" fillId="40" borderId="0" applyBorder="0">
      <alignment horizontal="centerContinuous"/>
    </xf>
    <xf numFmtId="0" fontId="16" fillId="0" borderId="0"/>
    <xf numFmtId="0" fontId="71" fillId="0" borderId="0" applyBorder="0">
      <alignment horizontal="centerContinuous"/>
    </xf>
    <xf numFmtId="0" fontId="16" fillId="0" borderId="0"/>
    <xf numFmtId="0" fontId="16" fillId="0" borderId="0"/>
    <xf numFmtId="0" fontId="16" fillId="0" borderId="0"/>
    <xf numFmtId="0" fontId="16" fillId="0" borderId="0"/>
    <xf numFmtId="0" fontId="16" fillId="0" borderId="0"/>
    <xf numFmtId="9" fontId="22" fillId="0" borderId="0" applyFont="0" applyFill="0" applyBorder="0" applyAlignment="0" applyProtection="0"/>
    <xf numFmtId="9" fontId="2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2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2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4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3" fillId="0" borderId="0" applyNumberFormat="0" applyFont="0" applyFill="0" applyBorder="0" applyAlignment="0" applyProtection="0">
      <alignment horizontal="left"/>
    </xf>
    <xf numFmtId="15" fontId="73" fillId="0" borderId="0" applyFont="0" applyFill="0" applyBorder="0" applyAlignment="0" applyProtection="0"/>
    <xf numFmtId="4" fontId="73" fillId="0" borderId="0" applyFont="0" applyFill="0" applyBorder="0" applyAlignment="0" applyProtection="0"/>
    <xf numFmtId="0" fontId="74" fillId="0" borderId="22">
      <alignment horizontal="center"/>
    </xf>
    <xf numFmtId="3" fontId="73" fillId="0" borderId="0" applyFont="0" applyFill="0" applyBorder="0" applyAlignment="0" applyProtection="0"/>
    <xf numFmtId="0" fontId="73" fillId="43" borderId="0" applyNumberFormat="0" applyFont="0" applyBorder="0" applyAlignment="0" applyProtection="0"/>
    <xf numFmtId="164" fontId="57" fillId="22" borderId="0">
      <alignment horizontal="center"/>
    </xf>
    <xf numFmtId="0" fontId="57" fillId="22" borderId="0">
      <alignment horizontal="center"/>
    </xf>
    <xf numFmtId="0" fontId="57" fillId="22" borderId="0">
      <alignment horizontal="center"/>
    </xf>
    <xf numFmtId="0" fontId="16" fillId="0" borderId="0"/>
    <xf numFmtId="49" fontId="75" fillId="34" borderId="0">
      <alignment horizontal="center"/>
    </xf>
    <xf numFmtId="0" fontId="16" fillId="0" borderId="0"/>
    <xf numFmtId="164" fontId="36" fillId="37" borderId="0">
      <alignment horizontal="center"/>
    </xf>
    <xf numFmtId="0" fontId="36" fillId="37" borderId="0">
      <alignment horizontal="center"/>
    </xf>
    <xf numFmtId="0" fontId="16" fillId="0" borderId="0"/>
    <xf numFmtId="164" fontId="36" fillId="37" borderId="0">
      <alignment horizontal="centerContinuous"/>
    </xf>
    <xf numFmtId="0" fontId="36" fillId="37" borderId="0">
      <alignment horizontal="centerContinuous"/>
    </xf>
    <xf numFmtId="0" fontId="16" fillId="0" borderId="0"/>
    <xf numFmtId="164" fontId="76" fillId="34" borderId="0">
      <alignment horizontal="left"/>
    </xf>
    <xf numFmtId="0" fontId="76" fillId="34" borderId="0">
      <alignment horizontal="left"/>
    </xf>
    <xf numFmtId="0" fontId="16" fillId="0" borderId="0"/>
    <xf numFmtId="49" fontId="76" fillId="34" borderId="0">
      <alignment horizontal="center"/>
    </xf>
    <xf numFmtId="0" fontId="16" fillId="0" borderId="0"/>
    <xf numFmtId="164" fontId="34" fillId="37" borderId="0">
      <alignment horizontal="left"/>
    </xf>
    <xf numFmtId="0" fontId="34" fillId="37" borderId="0">
      <alignment horizontal="left"/>
    </xf>
    <xf numFmtId="0" fontId="16" fillId="0" borderId="0"/>
    <xf numFmtId="49" fontId="76" fillId="34" borderId="0">
      <alignment horizontal="left"/>
    </xf>
    <xf numFmtId="0" fontId="16" fillId="0" borderId="0"/>
    <xf numFmtId="164" fontId="34" fillId="37" borderId="0">
      <alignment horizontal="centerContinuous"/>
    </xf>
    <xf numFmtId="0" fontId="34" fillId="37" borderId="0">
      <alignment horizontal="centerContinuous"/>
    </xf>
    <xf numFmtId="0" fontId="16" fillId="0" borderId="0"/>
    <xf numFmtId="164" fontId="34" fillId="37" borderId="0">
      <alignment horizontal="right"/>
    </xf>
    <xf numFmtId="0" fontId="34" fillId="37" borderId="0">
      <alignment horizontal="right"/>
    </xf>
    <xf numFmtId="0" fontId="16" fillId="0" borderId="0"/>
    <xf numFmtId="49" fontId="57" fillId="34" borderId="0">
      <alignment horizontal="left"/>
    </xf>
    <xf numFmtId="49" fontId="57" fillId="34" borderId="0">
      <alignment horizontal="left"/>
    </xf>
    <xf numFmtId="0" fontId="16" fillId="0" borderId="0"/>
    <xf numFmtId="164" fontId="36" fillId="37" borderId="0">
      <alignment horizontal="right"/>
    </xf>
    <xf numFmtId="0" fontId="36" fillId="37" borderId="0">
      <alignment horizontal="right"/>
    </xf>
    <xf numFmtId="0" fontId="16" fillId="0" borderId="0"/>
    <xf numFmtId="164" fontId="76" fillId="20" borderId="0">
      <alignment horizontal="center"/>
    </xf>
    <xf numFmtId="0" fontId="76" fillId="20" borderId="0">
      <alignment horizontal="center"/>
    </xf>
    <xf numFmtId="0" fontId="16" fillId="0" borderId="0"/>
    <xf numFmtId="164" fontId="77" fillId="20" borderId="0">
      <alignment horizontal="center"/>
    </xf>
    <xf numFmtId="0" fontId="77" fillId="20" borderId="0">
      <alignment horizontal="center"/>
    </xf>
    <xf numFmtId="0" fontId="16" fillId="0" borderId="0"/>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4" fontId="21" fillId="42" borderId="0" applyNumberFormat="0" applyProtection="0">
      <alignment horizontal="left" vertical="center" indent="1"/>
    </xf>
    <xf numFmtId="4" fontId="21" fillId="42" borderId="0" applyNumberFormat="0" applyProtection="0">
      <alignment horizontal="left" vertical="center" indent="1"/>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1" fillId="49" borderId="0" applyNumberFormat="0" applyProtection="0">
      <alignment horizontal="left" vertical="center" indent="1"/>
    </xf>
    <xf numFmtId="4" fontId="21" fillId="49" borderId="0" applyNumberFormat="0" applyProtection="0">
      <alignment horizontal="left" vertical="center" indent="1"/>
    </xf>
    <xf numFmtId="4" fontId="22" fillId="25" borderId="0" applyNumberFormat="0" applyProtection="0">
      <alignment horizontal="left" vertical="center" indent="1"/>
    </xf>
    <xf numFmtId="4" fontId="22" fillId="25" borderId="0" applyNumberFormat="0" applyProtection="0">
      <alignment horizontal="left" vertical="center" indent="1"/>
    </xf>
    <xf numFmtId="4" fontId="75" fillId="50" borderId="0" applyNumberFormat="0" applyProtection="0">
      <alignment horizontal="left" vertical="center" indent="1"/>
    </xf>
    <xf numFmtId="4" fontId="75" fillId="50" borderId="0" applyNumberFormat="0" applyProtection="0">
      <alignment horizontal="left" vertical="center" indent="1"/>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0" applyNumberFormat="0" applyProtection="0">
      <alignment horizontal="left" vertical="center" indent="1"/>
    </xf>
    <xf numFmtId="4" fontId="22" fillId="25" borderId="0" applyNumberFormat="0" applyProtection="0">
      <alignment horizontal="left" vertical="center" indent="1"/>
    </xf>
    <xf numFmtId="4" fontId="22" fillId="45" borderId="0" applyNumberFormat="0" applyProtection="0">
      <alignment horizontal="left" vertical="center" indent="1"/>
    </xf>
    <xf numFmtId="4" fontId="22" fillId="45" borderId="0"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4" fontId="81" fillId="0" borderId="0" applyNumberFormat="0" applyProtection="0">
      <alignment horizontal="left" vertical="center" indent="1"/>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2" fillId="0" borderId="0" applyNumberFormat="0" applyFill="0" applyBorder="0" applyAlignment="0" applyProtection="0"/>
    <xf numFmtId="0" fontId="16" fillId="0" borderId="0"/>
    <xf numFmtId="0" fontId="16" fillId="0" borderId="0"/>
    <xf numFmtId="0" fontId="83" fillId="0" borderId="26" applyNumberFormat="0" applyFill="0" applyAlignment="0" applyProtection="0"/>
    <xf numFmtId="0" fontId="83" fillId="0" borderId="26" applyNumberFormat="0" applyFill="0" applyAlignment="0" applyProtection="0"/>
    <xf numFmtId="0" fontId="16" fillId="0" borderId="0"/>
    <xf numFmtId="0" fontId="83" fillId="0" borderId="26" applyNumberFormat="0" applyFill="0" applyAlignment="0" applyProtection="0"/>
    <xf numFmtId="0" fontId="83" fillId="0" borderId="26" applyNumberFormat="0" applyFill="0" applyAlignment="0" applyProtection="0"/>
    <xf numFmtId="0" fontId="83" fillId="0" borderId="26" applyNumberFormat="0" applyFill="0" applyAlignment="0" applyProtection="0"/>
    <xf numFmtId="0" fontId="83" fillId="0" borderId="26" applyNumberFormat="0" applyFill="0" applyAlignment="0" applyProtection="0"/>
    <xf numFmtId="0" fontId="83" fillId="0" borderId="26" applyNumberFormat="0" applyFill="0" applyAlignment="0" applyProtection="0"/>
    <xf numFmtId="0" fontId="83" fillId="0" borderId="26" applyNumberFormat="0" applyFill="0" applyAlignment="0" applyProtection="0"/>
    <xf numFmtId="0" fontId="16" fillId="0" borderId="0"/>
    <xf numFmtId="0" fontId="19" fillId="0" borderId="4" applyNumberFormat="0" applyFill="0" applyAlignment="0" applyProtection="0"/>
    <xf numFmtId="0" fontId="16" fillId="0" borderId="0"/>
    <xf numFmtId="0" fontId="16" fillId="0" borderId="0"/>
    <xf numFmtId="0" fontId="84" fillId="0" borderId="0"/>
    <xf numFmtId="164" fontId="85" fillId="34" borderId="0">
      <alignment horizontal="center"/>
    </xf>
    <xf numFmtId="0" fontId="85" fillId="34" borderId="0">
      <alignment horizontal="center"/>
    </xf>
    <xf numFmtId="0" fontId="16" fillId="0" borderId="0"/>
    <xf numFmtId="0" fontId="58" fillId="0" borderId="0" applyNumberFormat="0" applyFill="0" applyBorder="0" applyAlignment="0" applyProtection="0"/>
    <xf numFmtId="0" fontId="16" fillId="0" borderId="0"/>
    <xf numFmtId="0" fontId="16" fillId="0" borderId="0"/>
    <xf numFmtId="0" fontId="16" fillId="0" borderId="0"/>
    <xf numFmtId="0" fontId="86" fillId="0" borderId="0"/>
    <xf numFmtId="172" fontId="22" fillId="0" borderId="0"/>
    <xf numFmtId="172" fontId="22"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2" fontId="22" fillId="0" borderId="0"/>
    <xf numFmtId="172" fontId="22" fillId="0" borderId="0"/>
    <xf numFmtId="172" fontId="22" fillId="0" borderId="0"/>
    <xf numFmtId="172" fontId="22" fillId="0" borderId="0"/>
    <xf numFmtId="172"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2"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172" fontId="16" fillId="0" borderId="0"/>
    <xf numFmtId="0" fontId="87" fillId="0" borderId="0"/>
    <xf numFmtId="43" fontId="87" fillId="0" borderId="0" applyFont="0" applyFill="0" applyBorder="0" applyAlignment="0" applyProtection="0"/>
    <xf numFmtId="9" fontId="89" fillId="0" borderId="0" applyFont="0" applyFill="0" applyBorder="0" applyAlignment="0" applyProtection="0"/>
    <xf numFmtId="164" fontId="22" fillId="0" borderId="0"/>
    <xf numFmtId="37" fontId="84" fillId="0" borderId="0"/>
    <xf numFmtId="37" fontId="22" fillId="0" borderId="0" applyFont="0" applyFill="0" applyBorder="0" applyAlignment="0" applyProtection="0"/>
    <xf numFmtId="0" fontId="20" fillId="0" borderId="0"/>
    <xf numFmtId="0" fontId="95" fillId="0" borderId="0"/>
    <xf numFmtId="0" fontId="22" fillId="0" borderId="0"/>
    <xf numFmtId="0" fontId="22" fillId="0" borderId="0"/>
    <xf numFmtId="0" fontId="96" fillId="0" borderId="0"/>
    <xf numFmtId="0" fontId="22" fillId="0" borderId="0"/>
    <xf numFmtId="0" fontId="22" fillId="0" borderId="0"/>
    <xf numFmtId="0" fontId="22" fillId="0" borderId="0"/>
    <xf numFmtId="0" fontId="97" fillId="0" borderId="0" applyNumberFormat="0" applyFill="0" applyBorder="0" applyAlignment="0" applyProtection="0"/>
    <xf numFmtId="0" fontId="97" fillId="0" borderId="0" applyNumberFormat="0" applyFill="0" applyBorder="0" applyAlignment="0" applyProtection="0"/>
    <xf numFmtId="0" fontId="22" fillId="0" borderId="0"/>
    <xf numFmtId="188" fontId="45" fillId="0" borderId="0" applyFill="0"/>
    <xf numFmtId="188" fontId="45" fillId="0" borderId="0">
      <alignment horizontal="center"/>
    </xf>
    <xf numFmtId="0" fontId="45" fillId="0" borderId="0" applyFill="0">
      <alignment horizontal="center"/>
    </xf>
    <xf numFmtId="188" fontId="44" fillId="0" borderId="30" applyFill="0"/>
    <xf numFmtId="0" fontId="22" fillId="0" borderId="0" applyFont="0" applyAlignment="0"/>
    <xf numFmtId="0" fontId="98" fillId="0" borderId="0" applyFill="0">
      <alignment vertical="top"/>
    </xf>
    <xf numFmtId="0" fontId="44" fillId="0" borderId="0" applyFill="0">
      <alignment horizontal="left" vertical="top"/>
    </xf>
    <xf numFmtId="188" fontId="90" fillId="0" borderId="6" applyFill="0"/>
    <xf numFmtId="0" fontId="22" fillId="0" borderId="0" applyNumberFormat="0" applyFont="0" applyAlignment="0"/>
    <xf numFmtId="0" fontId="98" fillId="0" borderId="0" applyFill="0">
      <alignment wrapText="1"/>
    </xf>
    <xf numFmtId="0" fontId="44" fillId="0" borderId="0" applyFill="0">
      <alignment horizontal="left" vertical="top" wrapText="1"/>
    </xf>
    <xf numFmtId="188" fontId="99" fillId="0" borderId="0" applyFill="0"/>
    <xf numFmtId="0" fontId="100" fillId="0" borderId="0" applyNumberFormat="0" applyFont="0" applyAlignment="0">
      <alignment horizontal="center"/>
    </xf>
    <xf numFmtId="0" fontId="101" fillId="0" borderId="0" applyFill="0">
      <alignment vertical="top" wrapText="1"/>
    </xf>
    <xf numFmtId="0" fontId="90" fillId="0" borderId="0" applyFill="0">
      <alignment horizontal="left" vertical="top" wrapText="1"/>
    </xf>
    <xf numFmtId="188" fontId="22" fillId="0" borderId="0" applyFill="0"/>
    <xf numFmtId="0" fontId="100" fillId="0" borderId="0" applyNumberFormat="0" applyFont="0" applyAlignment="0">
      <alignment horizontal="center"/>
    </xf>
    <xf numFmtId="0" fontId="102" fillId="0" borderId="0" applyFill="0">
      <alignment vertical="center" wrapText="1"/>
    </xf>
    <xf numFmtId="0" fontId="20" fillId="0" borderId="0">
      <alignment horizontal="left" vertical="center" wrapText="1"/>
    </xf>
    <xf numFmtId="188" fontId="103" fillId="0" borderId="0" applyFill="0"/>
    <xf numFmtId="0" fontId="100" fillId="0" borderId="0" applyNumberFormat="0" applyFont="0" applyAlignment="0">
      <alignment horizontal="center"/>
    </xf>
    <xf numFmtId="0" fontId="104" fillId="0" borderId="0" applyFill="0">
      <alignment horizontal="center" vertical="center" wrapText="1"/>
    </xf>
    <xf numFmtId="0" fontId="22" fillId="0" borderId="0" applyFill="0">
      <alignment horizontal="center" vertical="center" wrapText="1"/>
    </xf>
    <xf numFmtId="188" fontId="105" fillId="0" borderId="0" applyFill="0"/>
    <xf numFmtId="0" fontId="100" fillId="0" borderId="0" applyNumberFormat="0" applyFont="0" applyAlignment="0">
      <alignment horizontal="center"/>
    </xf>
    <xf numFmtId="0" fontId="106" fillId="0" borderId="0" applyFill="0">
      <alignment horizontal="center" vertical="center" wrapText="1"/>
    </xf>
    <xf numFmtId="0" fontId="107" fillId="0" borderId="0" applyFill="0">
      <alignment horizontal="center" vertical="center" wrapText="1"/>
    </xf>
    <xf numFmtId="188" fontId="108" fillId="0" borderId="0" applyFill="0"/>
    <xf numFmtId="0" fontId="100" fillId="0" borderId="0" applyNumberFormat="0" applyFont="0" applyAlignment="0">
      <alignment horizontal="center"/>
    </xf>
    <xf numFmtId="0" fontId="109" fillId="0" borderId="0">
      <alignment horizontal="center" wrapText="1"/>
    </xf>
    <xf numFmtId="0" fontId="105" fillId="0" borderId="0" applyFill="0">
      <alignment horizontal="center" wrapText="1"/>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39" fontId="45" fillId="15" borderId="0" applyFill="0"/>
    <xf numFmtId="0" fontId="110" fillId="0" borderId="0">
      <alignment horizontal="left" indent="7"/>
    </xf>
    <xf numFmtId="0" fontId="45" fillId="0" borderId="0" applyFill="0">
      <alignment horizontal="left" indent="7"/>
    </xf>
    <xf numFmtId="7" fontId="111" fillId="0" borderId="28" applyFill="0">
      <alignment horizontal="right"/>
    </xf>
    <xf numFmtId="0" fontId="90" fillId="0" borderId="0" applyNumberFormat="0">
      <alignment horizontal="right"/>
    </xf>
    <xf numFmtId="0" fontId="112" fillId="0" borderId="28" applyFont="0" applyFill="0"/>
    <xf numFmtId="0" fontId="90" fillId="0" borderId="28" applyFill="0"/>
    <xf numFmtId="39" fontId="111" fillId="0" borderId="0" applyFill="0"/>
    <xf numFmtId="0" fontId="22" fillId="0" borderId="0" applyNumberFormat="0" applyFont="0" applyBorder="0" applyAlignment="0"/>
    <xf numFmtId="0" fontId="101" fillId="0" borderId="0" applyFill="0">
      <alignment horizontal="left" indent="1"/>
    </xf>
    <xf numFmtId="0" fontId="90" fillId="0" borderId="0" applyFill="0">
      <alignment horizontal="left" indent="1"/>
    </xf>
    <xf numFmtId="39" fontId="103" fillId="0" borderId="0" applyFill="0"/>
    <xf numFmtId="0" fontId="22" fillId="0" borderId="0" applyNumberFormat="0" applyFont="0" applyFill="0" applyBorder="0" applyAlignment="0"/>
    <xf numFmtId="0" fontId="101" fillId="0" borderId="0" applyFill="0">
      <alignment horizontal="left" indent="2"/>
    </xf>
    <xf numFmtId="0" fontId="75" fillId="0" borderId="0" applyFill="0">
      <alignment horizontal="left" indent="2"/>
    </xf>
    <xf numFmtId="39" fontId="103" fillId="0" borderId="0" applyFill="0"/>
    <xf numFmtId="0" fontId="22" fillId="0" borderId="0" applyNumberFormat="0" applyFont="0" applyBorder="0" applyAlignment="0"/>
    <xf numFmtId="0" fontId="113" fillId="0" borderId="0">
      <alignment horizontal="left" indent="3"/>
    </xf>
    <xf numFmtId="0" fontId="114" fillId="0" borderId="0" applyFill="0">
      <alignment horizontal="left" indent="3"/>
    </xf>
    <xf numFmtId="39" fontId="103" fillId="0" borderId="0" applyFill="0"/>
    <xf numFmtId="0" fontId="22" fillId="0" borderId="0" applyNumberFormat="0" applyFont="0" applyBorder="0" applyAlignment="0"/>
    <xf numFmtId="0" fontId="104" fillId="0" borderId="0">
      <alignment horizontal="left" indent="4"/>
    </xf>
    <xf numFmtId="0" fontId="22" fillId="0" borderId="0" applyFill="0">
      <alignment horizontal="left" indent="4"/>
    </xf>
    <xf numFmtId="39" fontId="103" fillId="0" borderId="0" applyFill="0"/>
    <xf numFmtId="0" fontId="22" fillId="0" borderId="0" applyNumberFormat="0" applyFont="0" applyBorder="0" applyAlignment="0"/>
    <xf numFmtId="0" fontId="106" fillId="0" borderId="0">
      <alignment horizontal="left" indent="5"/>
    </xf>
    <xf numFmtId="0" fontId="107" fillId="0" borderId="0" applyFill="0">
      <alignment horizontal="left" indent="5"/>
    </xf>
    <xf numFmtId="39" fontId="108" fillId="0" borderId="0" applyFill="0"/>
    <xf numFmtId="0" fontId="22" fillId="0" borderId="0" applyNumberFormat="0" applyFont="0" applyFill="0" applyBorder="0" applyAlignment="0"/>
    <xf numFmtId="0" fontId="109" fillId="0" borderId="0" applyFill="0">
      <alignment horizontal="left" indent="6"/>
    </xf>
    <xf numFmtId="0" fontId="105" fillId="0" borderId="0" applyFill="0">
      <alignment horizontal="left" indent="6"/>
    </xf>
    <xf numFmtId="0" fontId="40" fillId="0" borderId="0"/>
    <xf numFmtId="166" fontId="22" fillId="0" borderId="0"/>
    <xf numFmtId="0" fontId="115" fillId="0" borderId="0"/>
    <xf numFmtId="166" fontId="22" fillId="0" borderId="0"/>
    <xf numFmtId="166" fontId="22" fillId="0" borderId="0"/>
    <xf numFmtId="166" fontId="22" fillId="0" borderId="0"/>
    <xf numFmtId="166" fontId="117"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2" fillId="0" borderId="0"/>
    <xf numFmtId="9" fontId="84" fillId="0" borderId="0" applyFont="0" applyFill="0" applyBorder="0" applyAlignment="0" applyProtection="0"/>
    <xf numFmtId="166" fontId="22" fillId="0" borderId="0"/>
    <xf numFmtId="44" fontId="115" fillId="0" borderId="0" applyFont="0" applyFill="0" applyBorder="0" applyAlignment="0" applyProtection="0"/>
    <xf numFmtId="43" fontId="118"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26"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6"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6"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6"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6"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6"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6"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6"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26"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6"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6"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66" fontId="28" fillId="24" borderId="0" applyNumberFormat="0" applyBorder="0" applyAlignment="0" applyProtection="0"/>
    <xf numFmtId="0" fontId="119" fillId="61" borderId="0" applyNumberFormat="0" applyBorder="0" applyAlignment="0" applyProtection="0"/>
    <xf numFmtId="166" fontId="28" fillId="17" borderId="0" applyNumberFormat="0" applyBorder="0" applyAlignment="0" applyProtection="0"/>
    <xf numFmtId="0" fontId="119" fillId="63" borderId="0" applyNumberFormat="0" applyBorder="0" applyAlignment="0" applyProtection="0"/>
    <xf numFmtId="166" fontId="28" fillId="27" borderId="0" applyNumberFormat="0" applyBorder="0" applyAlignment="0" applyProtection="0"/>
    <xf numFmtId="0" fontId="119" fillId="65" borderId="0" applyNumberFormat="0" applyBorder="0" applyAlignment="0" applyProtection="0"/>
    <xf numFmtId="166" fontId="28" fillId="19" borderId="0" applyNumberFormat="0" applyBorder="0" applyAlignment="0" applyProtection="0"/>
    <xf numFmtId="0" fontId="119" fillId="67" borderId="0" applyNumberFormat="0" applyBorder="0" applyAlignment="0" applyProtection="0"/>
    <xf numFmtId="166" fontId="28" fillId="24" borderId="0" applyNumberFormat="0" applyBorder="0" applyAlignment="0" applyProtection="0"/>
    <xf numFmtId="0" fontId="119" fillId="69" borderId="0" applyNumberFormat="0" applyBorder="0" applyAlignment="0" applyProtection="0"/>
    <xf numFmtId="166" fontId="28" fillId="20" borderId="0" applyNumberFormat="0" applyBorder="0" applyAlignment="0" applyProtection="0"/>
    <xf numFmtId="0" fontId="119" fillId="71" borderId="0" applyNumberFormat="0" applyBorder="0" applyAlignment="0" applyProtection="0"/>
    <xf numFmtId="166" fontId="28" fillId="29" borderId="0" applyNumberFormat="0" applyBorder="0" applyAlignment="0" applyProtection="0"/>
    <xf numFmtId="0" fontId="119" fillId="60" borderId="0" applyNumberFormat="0" applyBorder="0" applyAlignment="0" applyProtection="0"/>
    <xf numFmtId="166" fontId="28" fillId="30" borderId="0" applyNumberFormat="0" applyBorder="0" applyAlignment="0" applyProtection="0"/>
    <xf numFmtId="0" fontId="119" fillId="62" borderId="0" applyNumberFormat="0" applyBorder="0" applyAlignment="0" applyProtection="0"/>
    <xf numFmtId="166" fontId="28" fillId="31" borderId="0" applyNumberFormat="0" applyBorder="0" applyAlignment="0" applyProtection="0"/>
    <xf numFmtId="0" fontId="119" fillId="64" borderId="0" applyNumberFormat="0" applyBorder="0" applyAlignment="0" applyProtection="0"/>
    <xf numFmtId="166" fontId="28" fillId="32" borderId="0" applyNumberFormat="0" applyBorder="0" applyAlignment="0" applyProtection="0"/>
    <xf numFmtId="0" fontId="119" fillId="66" borderId="0" applyNumberFormat="0" applyBorder="0" applyAlignment="0" applyProtection="0"/>
    <xf numFmtId="166" fontId="28" fillId="29" borderId="0" applyNumberFormat="0" applyBorder="0" applyAlignment="0" applyProtection="0"/>
    <xf numFmtId="0" fontId="119" fillId="68" borderId="0" applyNumberFormat="0" applyBorder="0" applyAlignment="0" applyProtection="0"/>
    <xf numFmtId="166" fontId="28" fillId="25" borderId="0" applyNumberFormat="0" applyBorder="0" applyAlignment="0" applyProtection="0"/>
    <xf numFmtId="0" fontId="119" fillId="70" borderId="0" applyNumberFormat="0" applyBorder="0" applyAlignment="0" applyProtection="0"/>
    <xf numFmtId="166" fontId="30" fillId="23" borderId="0" applyNumberFormat="0" applyBorder="0" applyAlignment="0" applyProtection="0"/>
    <xf numFmtId="0" fontId="120" fillId="55" borderId="0" applyNumberFormat="0" applyBorder="0" applyAlignment="0" applyProtection="0"/>
    <xf numFmtId="0" fontId="121" fillId="58" borderId="32" applyNumberFormat="0" applyAlignment="0" applyProtection="0"/>
    <xf numFmtId="0" fontId="31" fillId="34" borderId="8" applyNumberFormat="0" applyAlignment="0" applyProtection="0"/>
    <xf numFmtId="166" fontId="34" fillId="36" borderId="9" applyNumberFormat="0" applyAlignment="0" applyProtection="0"/>
    <xf numFmtId="0" fontId="122" fillId="59" borderId="35" applyNumberFormat="0" applyAlignment="0" applyProtection="0"/>
    <xf numFmtId="164" fontId="34" fillId="37" borderId="0">
      <alignment horizontal="left"/>
    </xf>
    <xf numFmtId="164" fontId="36" fillId="37" borderId="0">
      <alignment horizontal="right"/>
    </xf>
    <xf numFmtId="164" fontId="37" fillId="34" borderId="0">
      <alignment horizontal="center"/>
    </xf>
    <xf numFmtId="164" fontId="36" fillId="37" borderId="0">
      <alignment horizontal="right"/>
    </xf>
    <xf numFmtId="164" fontId="38" fillId="34" borderId="0">
      <alignment horizontal="left"/>
    </xf>
    <xf numFmtId="43" fontId="1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2" fillId="0" borderId="0" applyFont="0" applyFill="0" applyBorder="0" applyAlignment="0" applyProtection="0"/>
    <xf numFmtId="43" fontId="15"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2" fontId="2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6" fontId="42" fillId="0" borderId="0" applyNumberFormat="0" applyFill="0" applyBorder="0" applyAlignment="0" applyProtection="0"/>
    <xf numFmtId="0" fontId="123" fillId="0" borderId="0" applyNumberFormat="0" applyFill="0" applyBorder="0" applyAlignment="0" applyProtection="0"/>
    <xf numFmtId="166" fontId="35" fillId="39" borderId="0" applyNumberFormat="0" applyBorder="0" applyAlignment="0" applyProtection="0"/>
    <xf numFmtId="0" fontId="124" fillId="54" borderId="0" applyNumberFormat="0" applyBorder="0" applyAlignment="0" applyProtection="0"/>
    <xf numFmtId="164" fontId="125" fillId="0" borderId="0" applyNumberFormat="0" applyFont="0" applyFill="0" applyAlignment="0" applyProtection="0"/>
    <xf numFmtId="0" fontId="126" fillId="0" borderId="1" applyNumberFormat="0" applyFill="0" applyAlignment="0" applyProtection="0"/>
    <xf numFmtId="164" fontId="45" fillId="0" borderId="0" applyNumberFormat="0" applyFont="0" applyFill="0" applyAlignment="0" applyProtection="0"/>
    <xf numFmtId="0" fontId="127" fillId="0" borderId="2" applyNumberFormat="0" applyFill="0" applyAlignment="0" applyProtection="0"/>
    <xf numFmtId="166" fontId="53" fillId="0" borderId="17" applyNumberFormat="0" applyFill="0" applyAlignment="0" applyProtection="0"/>
    <xf numFmtId="0" fontId="128" fillId="0" borderId="31" applyNumberFormat="0" applyFill="0" applyAlignment="0" applyProtection="0"/>
    <xf numFmtId="166" fontId="53" fillId="0" borderId="0" applyNumberFormat="0" applyFill="0" applyBorder="0" applyAlignment="0" applyProtection="0"/>
    <xf numFmtId="0" fontId="128" fillId="0" borderId="0" applyNumberFormat="0" applyFill="0" applyBorder="0" applyAlignment="0" applyProtection="0"/>
    <xf numFmtId="0" fontId="129" fillId="57" borderId="32" applyNumberFormat="0" applyAlignment="0" applyProtection="0"/>
    <xf numFmtId="0" fontId="55" fillId="22" borderId="8" applyNumberFormat="0" applyAlignment="0" applyProtection="0"/>
    <xf numFmtId="164" fontId="34" fillId="37" borderId="0">
      <alignment horizontal="left"/>
    </xf>
    <xf numFmtId="164" fontId="57" fillId="34" borderId="0">
      <alignment horizontal="left"/>
    </xf>
    <xf numFmtId="166" fontId="59" fillId="0" borderId="19" applyNumberFormat="0" applyFill="0" applyAlignment="0" applyProtection="0"/>
    <xf numFmtId="0" fontId="130" fillId="0" borderId="34" applyNumberFormat="0" applyFill="0" applyAlignment="0" applyProtection="0"/>
    <xf numFmtId="166" fontId="61" fillId="22" borderId="0" applyNumberFormat="0" applyBorder="0" applyAlignment="0" applyProtection="0"/>
    <xf numFmtId="0" fontId="131" fillId="56" borderId="0" applyNumberFormat="0" applyBorder="0" applyAlignment="0" applyProtection="0"/>
    <xf numFmtId="164" fontId="22" fillId="0" borderId="0"/>
    <xf numFmtId="164" fontId="22" fillId="0" borderId="0"/>
    <xf numFmtId="0" fontId="15" fillId="0" borderId="0"/>
    <xf numFmtId="0" fontId="15" fillId="0" borderId="0"/>
    <xf numFmtId="0" fontId="15" fillId="0" borderId="0"/>
    <xf numFmtId="0" fontId="22" fillId="0" borderId="0"/>
    <xf numFmtId="0" fontId="15" fillId="0" borderId="0"/>
    <xf numFmtId="0" fontId="15" fillId="0" borderId="0"/>
    <xf numFmtId="0" fontId="15" fillId="0" borderId="0"/>
    <xf numFmtId="0" fontId="22" fillId="0" borderId="0"/>
    <xf numFmtId="0" fontId="15" fillId="0" borderId="0"/>
    <xf numFmtId="0" fontId="15" fillId="0" borderId="0"/>
    <xf numFmtId="0" fontId="22" fillId="0" borderId="0"/>
    <xf numFmtId="0" fontId="15" fillId="0" borderId="0"/>
    <xf numFmtId="0" fontId="15" fillId="0" borderId="0"/>
    <xf numFmtId="0" fontId="15" fillId="0" borderId="0"/>
    <xf numFmtId="0" fontId="22" fillId="0" borderId="0"/>
    <xf numFmtId="0" fontId="15" fillId="0" borderId="0"/>
    <xf numFmtId="0" fontId="15" fillId="0" borderId="0"/>
    <xf numFmtId="0" fontId="15" fillId="0" borderId="0"/>
    <xf numFmtId="0" fontId="22" fillId="0" borderId="0"/>
    <xf numFmtId="0" fontId="15" fillId="0" borderId="0"/>
    <xf numFmtId="0" fontId="15" fillId="0" borderId="0"/>
    <xf numFmtId="0" fontId="15" fillId="0" borderId="0"/>
    <xf numFmtId="0" fontId="22" fillId="0" borderId="0"/>
    <xf numFmtId="0" fontId="15" fillId="0" borderId="0"/>
    <xf numFmtId="0" fontId="15" fillId="0" borderId="0"/>
    <xf numFmtId="0" fontId="15" fillId="0" borderId="0"/>
    <xf numFmtId="0" fontId="15" fillId="0" borderId="0"/>
    <xf numFmtId="0" fontId="22" fillId="0" borderId="0"/>
    <xf numFmtId="0" fontId="15" fillId="0" borderId="0"/>
    <xf numFmtId="0" fontId="15" fillId="0" borderId="0"/>
    <xf numFmtId="0" fontId="15" fillId="0" borderId="0"/>
    <xf numFmtId="0" fontId="22" fillId="0" borderId="0"/>
    <xf numFmtId="0" fontId="15" fillId="0" borderId="0"/>
    <xf numFmtId="0" fontId="22" fillId="0" borderId="0"/>
    <xf numFmtId="0" fontId="15" fillId="0" borderId="0"/>
    <xf numFmtId="0" fontId="15" fillId="0" borderId="0"/>
    <xf numFmtId="0" fontId="15" fillId="0" borderId="0"/>
    <xf numFmtId="170" fontId="22" fillId="0" borderId="0"/>
    <xf numFmtId="0" fontId="15" fillId="0" borderId="0"/>
    <xf numFmtId="0" fontId="22" fillId="0" borderId="0"/>
    <xf numFmtId="0" fontId="22" fillId="0" borderId="0"/>
    <xf numFmtId="0" fontId="15" fillId="0" borderId="0"/>
    <xf numFmtId="0" fontId="15" fillId="0" borderId="0"/>
    <xf numFmtId="0" fontId="15" fillId="0" borderId="0"/>
    <xf numFmtId="0" fontId="15" fillId="0" borderId="0"/>
    <xf numFmtId="0" fontId="22" fillId="0" borderId="0"/>
    <xf numFmtId="0" fontId="15" fillId="0" borderId="0"/>
    <xf numFmtId="0" fontId="22" fillId="0" borderId="0"/>
    <xf numFmtId="0" fontId="15" fillId="0" borderId="0"/>
    <xf numFmtId="0" fontId="15" fillId="0" borderId="0"/>
    <xf numFmtId="0" fontId="22"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3" fillId="0" borderId="0"/>
    <xf numFmtId="0" fontId="22" fillId="0" borderId="0"/>
    <xf numFmtId="0" fontId="15" fillId="0" borderId="0"/>
    <xf numFmtId="0" fontId="22" fillId="0" borderId="0"/>
    <xf numFmtId="0" fontId="23" fillId="0" borderId="0"/>
    <xf numFmtId="37" fontId="84" fillId="0" borderId="0"/>
    <xf numFmtId="164"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3" applyNumberFormat="0" applyFont="0" applyAlignment="0" applyProtection="0"/>
    <xf numFmtId="0" fontId="40" fillId="18" borderId="20" applyNumberFormat="0" applyFont="0" applyAlignment="0" applyProtection="0"/>
    <xf numFmtId="0" fontId="15" fillId="0" borderId="0"/>
    <xf numFmtId="0" fontId="15" fillId="0" borderId="0"/>
    <xf numFmtId="0" fontId="15" fillId="0" borderId="0"/>
    <xf numFmtId="0" fontId="40" fillId="18" borderId="20" applyNumberFormat="0" applyFont="0" applyAlignment="0" applyProtection="0"/>
    <xf numFmtId="0" fontId="15" fillId="0" borderId="0"/>
    <xf numFmtId="0" fontId="40" fillId="18" borderId="20" applyNumberFormat="0" applyFont="0" applyAlignment="0" applyProtection="0"/>
    <xf numFmtId="0" fontId="40" fillId="18" borderId="20" applyNumberFormat="0" applyFont="0" applyAlignment="0" applyProtection="0"/>
    <xf numFmtId="0" fontId="23"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5" fillId="0" borderId="0"/>
    <xf numFmtId="0" fontId="40" fillId="18" borderId="20" applyNumberFormat="0" applyFont="0" applyAlignment="0" applyProtection="0"/>
    <xf numFmtId="0" fontId="40" fillId="18" borderId="20" applyNumberFormat="0" applyFont="0" applyAlignment="0" applyProtection="0"/>
    <xf numFmtId="0" fontId="15"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5" fillId="0" borderId="0"/>
    <xf numFmtId="0" fontId="40" fillId="18" borderId="20" applyNumberFormat="0" applyFont="0" applyAlignment="0" applyProtection="0"/>
    <xf numFmtId="0" fontId="40" fillId="18" borderId="20" applyNumberFormat="0" applyFont="0" applyAlignment="0" applyProtection="0"/>
    <xf numFmtId="0" fontId="15" fillId="0" borderId="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5" fillId="0" borderId="0"/>
    <xf numFmtId="0" fontId="132" fillId="58" borderId="33" applyNumberFormat="0" applyAlignment="0" applyProtection="0"/>
    <xf numFmtId="4" fontId="64" fillId="40" borderId="0">
      <alignment horizontal="right"/>
    </xf>
    <xf numFmtId="171" fontId="64" fillId="34" borderId="0">
      <alignment horizontal="right"/>
    </xf>
    <xf numFmtId="0" fontId="66" fillId="40" borderId="0">
      <alignment horizontal="center" vertical="center"/>
    </xf>
    <xf numFmtId="164" fontId="66" fillId="41" borderId="0">
      <alignment horizontal="center"/>
    </xf>
    <xf numFmtId="0" fontId="57" fillId="40" borderId="10"/>
    <xf numFmtId="164" fontId="34" fillId="42" borderId="0"/>
    <xf numFmtId="0" fontId="66" fillId="40" borderId="0" applyBorder="0">
      <alignment horizontal="centerContinuous"/>
    </xf>
    <xf numFmtId="164" fontId="69" fillId="34" borderId="0" applyBorder="0">
      <alignment horizontal="centerContinuous"/>
    </xf>
    <xf numFmtId="0" fontId="72" fillId="40" borderId="0" applyBorder="0">
      <alignment horizontal="centerContinuous"/>
    </xf>
    <xf numFmtId="164" fontId="70" fillId="42" borderId="0" applyBorder="0">
      <alignment horizontal="centerContinuous"/>
    </xf>
    <xf numFmtId="0" fontId="73" fillId="0" borderId="0" applyNumberFormat="0" applyFont="0" applyFill="0" applyBorder="0" applyAlignment="0" applyProtection="0">
      <alignment horizontal="left"/>
    </xf>
    <xf numFmtId="164" fontId="57" fillId="22" borderId="0">
      <alignment horizontal="center"/>
    </xf>
    <xf numFmtId="164" fontId="36" fillId="37" borderId="0">
      <alignment horizontal="center"/>
    </xf>
    <xf numFmtId="164" fontId="36" fillId="37" borderId="0">
      <alignment horizontal="centerContinuous"/>
    </xf>
    <xf numFmtId="164" fontId="76" fillId="34" borderId="0">
      <alignment horizontal="left"/>
    </xf>
    <xf numFmtId="164" fontId="34" fillId="37" borderId="0">
      <alignment horizontal="left"/>
    </xf>
    <xf numFmtId="164" fontId="34" fillId="37" borderId="0">
      <alignment horizontal="centerContinuous"/>
    </xf>
    <xf numFmtId="164" fontId="34" fillId="37" borderId="0">
      <alignment horizontal="right"/>
    </xf>
    <xf numFmtId="164" fontId="36" fillId="37" borderId="0">
      <alignment horizontal="right"/>
    </xf>
    <xf numFmtId="164" fontId="76" fillId="20" borderId="0">
      <alignment horizontal="center"/>
    </xf>
    <xf numFmtId="164" fontId="77" fillId="20" borderId="0">
      <alignment horizontal="center"/>
    </xf>
    <xf numFmtId="38" fontId="22" fillId="72" borderId="0" applyNumberFormat="0" applyFont="0" applyBorder="0" applyAlignment="0" applyProtection="0"/>
    <xf numFmtId="0" fontId="15" fillId="0" borderId="0"/>
    <xf numFmtId="164" fontId="20" fillId="0" borderId="36" applyNumberFormat="0" applyFont="0" applyBorder="0" applyAlignment="0" applyProtection="0"/>
    <xf numFmtId="0" fontId="24" fillId="0" borderId="4" applyNumberFormat="0" applyFill="0" applyAlignment="0" applyProtection="0"/>
    <xf numFmtId="164" fontId="85" fillId="34" borderId="0">
      <alignment horizontal="center"/>
    </xf>
    <xf numFmtId="190" fontId="73" fillId="0" borderId="0" applyFont="0" applyFill="0" applyBorder="0" applyAlignment="0" applyProtection="0"/>
    <xf numFmtId="0" fontId="15" fillId="0" borderId="0"/>
    <xf numFmtId="0" fontId="133" fillId="0" borderId="0" applyNumberFormat="0" applyFill="0" applyBorder="0" applyAlignment="0" applyProtection="0"/>
    <xf numFmtId="0" fontId="136" fillId="0" borderId="0"/>
    <xf numFmtId="0" fontId="22"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40" fillId="0" borderId="0"/>
    <xf numFmtId="172" fontId="22" fillId="0" borderId="0"/>
    <xf numFmtId="172" fontId="22" fillId="0" borderId="0"/>
    <xf numFmtId="0" fontId="22" fillId="0" borderId="0"/>
    <xf numFmtId="182" fontId="26" fillId="3" borderId="0" applyNumberFormat="0" applyBorder="0" applyAlignment="0" applyProtection="0"/>
    <xf numFmtId="182" fontId="26" fillId="3" borderId="0" applyNumberFormat="0" applyBorder="0" applyAlignment="0" applyProtection="0"/>
    <xf numFmtId="0" fontId="25" fillId="73" borderId="0" applyNumberFormat="0" applyBorder="0" applyAlignment="0" applyProtection="0"/>
    <xf numFmtId="182" fontId="26" fillId="5" borderId="0" applyNumberFormat="0" applyBorder="0" applyAlignment="0" applyProtection="0"/>
    <xf numFmtId="182" fontId="26" fillId="5" borderId="0" applyNumberFormat="0" applyBorder="0" applyAlignment="0" applyProtection="0"/>
    <xf numFmtId="0" fontId="25" fillId="23" borderId="0" applyNumberFormat="0" applyBorder="0" applyAlignment="0" applyProtection="0"/>
    <xf numFmtId="182" fontId="26" fillId="7" borderId="0" applyNumberFormat="0" applyBorder="0" applyAlignment="0" applyProtection="0"/>
    <xf numFmtId="182" fontId="26" fillId="7" borderId="0" applyNumberFormat="0" applyBorder="0" applyAlignment="0" applyProtection="0"/>
    <xf numFmtId="0" fontId="25" fillId="39" borderId="0" applyNumberFormat="0" applyBorder="0" applyAlignment="0" applyProtection="0"/>
    <xf numFmtId="182" fontId="26" fillId="9" borderId="0" applyNumberFormat="0" applyBorder="0" applyAlignment="0" applyProtection="0"/>
    <xf numFmtId="0" fontId="25" fillId="33" borderId="0" applyNumberFormat="0" applyBorder="0" applyAlignment="0" applyProtection="0"/>
    <xf numFmtId="182" fontId="26" fillId="11" borderId="0" applyNumberFormat="0" applyBorder="0" applyAlignment="0" applyProtection="0"/>
    <xf numFmtId="182" fontId="26" fillId="11" borderId="0" applyNumberFormat="0" applyBorder="0" applyAlignment="0" applyProtection="0"/>
    <xf numFmtId="0" fontId="25" fillId="21" borderId="0" applyNumberFormat="0" applyBorder="0" applyAlignment="0" applyProtection="0"/>
    <xf numFmtId="182" fontId="26" fillId="13" borderId="0" applyNumberFormat="0" applyBorder="0" applyAlignment="0" applyProtection="0"/>
    <xf numFmtId="182" fontId="26" fillId="13" borderId="0" applyNumberFormat="0" applyBorder="0" applyAlignment="0" applyProtection="0"/>
    <xf numFmtId="0" fontId="25" fillId="20" borderId="0" applyNumberFormat="0" applyBorder="0" applyAlignment="0" applyProtection="0"/>
    <xf numFmtId="182" fontId="26" fillId="4" borderId="0" applyNumberFormat="0" applyBorder="0" applyAlignment="0" applyProtection="0"/>
    <xf numFmtId="182" fontId="26" fillId="4" borderId="0" applyNumberFormat="0" applyBorder="0" applyAlignment="0" applyProtection="0"/>
    <xf numFmtId="0" fontId="25" fillId="16" borderId="0" applyNumberFormat="0" applyBorder="0" applyAlignment="0" applyProtection="0"/>
    <xf numFmtId="182" fontId="26" fillId="6" borderId="0" applyNumberFormat="0" applyBorder="0" applyAlignment="0" applyProtection="0"/>
    <xf numFmtId="182" fontId="26" fillId="6" borderId="0" applyNumberFormat="0" applyBorder="0" applyAlignment="0" applyProtection="0"/>
    <xf numFmtId="0" fontId="25" fillId="17" borderId="0" applyNumberFormat="0" applyBorder="0" applyAlignment="0" applyProtection="0"/>
    <xf numFmtId="182" fontId="26" fillId="8" borderId="0" applyNumberFormat="0" applyBorder="0" applyAlignment="0" applyProtection="0"/>
    <xf numFmtId="182" fontId="26" fillId="8" borderId="0" applyNumberFormat="0" applyBorder="0" applyAlignment="0" applyProtection="0"/>
    <xf numFmtId="0" fontId="25" fillId="38" borderId="0" applyNumberFormat="0" applyBorder="0" applyAlignment="0" applyProtection="0"/>
    <xf numFmtId="182" fontId="26" fillId="10" borderId="0" applyNumberFormat="0" applyBorder="0" applyAlignment="0" applyProtection="0"/>
    <xf numFmtId="182" fontId="26" fillId="10" borderId="0" applyNumberFormat="0" applyBorder="0" applyAlignment="0" applyProtection="0"/>
    <xf numFmtId="0" fontId="25" fillId="33" borderId="0" applyNumberFormat="0" applyBorder="0" applyAlignment="0" applyProtection="0"/>
    <xf numFmtId="182" fontId="26" fillId="12" borderId="0" applyNumberFormat="0" applyBorder="0" applyAlignment="0" applyProtection="0"/>
    <xf numFmtId="182" fontId="26" fillId="12" borderId="0" applyNumberFormat="0" applyBorder="0" applyAlignment="0" applyProtection="0"/>
    <xf numFmtId="0" fontId="25" fillId="16" borderId="0" applyNumberFormat="0" applyBorder="0" applyAlignment="0" applyProtection="0"/>
    <xf numFmtId="182" fontId="26" fillId="14" borderId="0" applyNumberFormat="0" applyBorder="0" applyAlignment="0" applyProtection="0"/>
    <xf numFmtId="182" fontId="26" fillId="14" borderId="0" applyNumberFormat="0" applyBorder="0" applyAlignment="0" applyProtection="0"/>
    <xf numFmtId="0" fontId="25" fillId="26"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0" fontId="27" fillId="74" borderId="0" applyNumberFormat="0" applyBorder="0" applyAlignment="0" applyProtection="0"/>
    <xf numFmtId="182" fontId="145" fillId="61" borderId="0" applyNumberFormat="0" applyBorder="0" applyAlignment="0" applyProtection="0"/>
    <xf numFmtId="182" fontId="145" fillId="61" borderId="0" applyNumberFormat="0" applyBorder="0" applyAlignment="0" applyProtection="0"/>
    <xf numFmtId="0" fontId="27" fillId="74" borderId="0" applyNumberFormat="0" applyBorder="0" applyAlignment="0" applyProtection="0"/>
    <xf numFmtId="172" fontId="27" fillId="74" borderId="0" applyNumberFormat="0" applyBorder="0" applyAlignment="0" applyProtection="0"/>
    <xf numFmtId="172" fontId="27" fillId="74" borderId="0" applyNumberFormat="0" applyBorder="0" applyAlignment="0" applyProtection="0"/>
    <xf numFmtId="172" fontId="27" fillId="74" borderId="0" applyNumberFormat="0" applyBorder="0" applyAlignment="0" applyProtection="0"/>
    <xf numFmtId="0" fontId="27" fillId="74"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182" fontId="145" fillId="63" borderId="0" applyNumberFormat="0" applyBorder="0" applyAlignment="0" applyProtection="0"/>
    <xf numFmtId="182" fontId="145" fillId="63" borderId="0" applyNumberFormat="0" applyBorder="0" applyAlignment="0" applyProtection="0"/>
    <xf numFmtId="0" fontId="27" fillId="17" borderId="0" applyNumberFormat="0" applyBorder="0" applyAlignment="0" applyProtection="0"/>
    <xf numFmtId="172" fontId="27" fillId="17" borderId="0" applyNumberFormat="0" applyBorder="0" applyAlignment="0" applyProtection="0"/>
    <xf numFmtId="172" fontId="27" fillId="17" borderId="0" applyNumberFormat="0" applyBorder="0" applyAlignment="0" applyProtection="0"/>
    <xf numFmtId="172" fontId="27" fillId="17" borderId="0" applyNumberFormat="0" applyBorder="0" applyAlignment="0" applyProtection="0"/>
    <xf numFmtId="0" fontId="27" fillId="1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82" fontId="145" fillId="65" borderId="0" applyNumberFormat="0" applyBorder="0" applyAlignment="0" applyProtection="0"/>
    <xf numFmtId="182" fontId="145" fillId="65" borderId="0" applyNumberFormat="0" applyBorder="0" applyAlignment="0" applyProtection="0"/>
    <xf numFmtId="0" fontId="27" fillId="38" borderId="0" applyNumberFormat="0" applyBorder="0" applyAlignment="0" applyProtection="0"/>
    <xf numFmtId="172" fontId="27" fillId="38" borderId="0" applyNumberFormat="0" applyBorder="0" applyAlignment="0" applyProtection="0"/>
    <xf numFmtId="172" fontId="27" fillId="38" borderId="0" applyNumberFormat="0" applyBorder="0" applyAlignment="0" applyProtection="0"/>
    <xf numFmtId="172" fontId="27" fillId="38" borderId="0" applyNumberFormat="0" applyBorder="0" applyAlignment="0" applyProtection="0"/>
    <xf numFmtId="0" fontId="27" fillId="38"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182" fontId="145" fillId="67" borderId="0" applyNumberFormat="0" applyBorder="0" applyAlignment="0" applyProtection="0"/>
    <xf numFmtId="182" fontId="145" fillId="67" borderId="0" applyNumberFormat="0" applyBorder="0" applyAlignment="0" applyProtection="0"/>
    <xf numFmtId="0" fontId="27" fillId="75" borderId="0" applyNumberFormat="0" applyBorder="0" applyAlignment="0" applyProtection="0"/>
    <xf numFmtId="172" fontId="27" fillId="75" borderId="0" applyNumberFormat="0" applyBorder="0" applyAlignment="0" applyProtection="0"/>
    <xf numFmtId="172" fontId="27" fillId="75" borderId="0" applyNumberFormat="0" applyBorder="0" applyAlignment="0" applyProtection="0"/>
    <xf numFmtId="172" fontId="27" fillId="75" borderId="0" applyNumberFormat="0" applyBorder="0" applyAlignment="0" applyProtection="0"/>
    <xf numFmtId="0" fontId="27" fillId="75"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182" fontId="145" fillId="69" borderId="0" applyNumberFormat="0" applyBorder="0" applyAlignment="0" applyProtection="0"/>
    <xf numFmtId="182" fontId="145" fillId="69" borderId="0" applyNumberFormat="0" applyBorder="0" applyAlignment="0" applyProtection="0"/>
    <xf numFmtId="0" fontId="27" fillId="29" borderId="0" applyNumberFormat="0" applyBorder="0" applyAlignment="0" applyProtection="0"/>
    <xf numFmtId="172" fontId="27" fillId="29" borderId="0" applyNumberFormat="0" applyBorder="0" applyAlignment="0" applyProtection="0"/>
    <xf numFmtId="172" fontId="27" fillId="29" borderId="0" applyNumberFormat="0" applyBorder="0" applyAlignment="0" applyProtection="0"/>
    <xf numFmtId="172" fontId="27" fillId="29" borderId="0" applyNumberFormat="0" applyBorder="0" applyAlignment="0" applyProtection="0"/>
    <xf numFmtId="0" fontId="27" fillId="29"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182" fontId="145" fillId="71" borderId="0" applyNumberFormat="0" applyBorder="0" applyAlignment="0" applyProtection="0"/>
    <xf numFmtId="182" fontId="145" fillId="71" borderId="0" applyNumberFormat="0" applyBorder="0" applyAlignment="0" applyProtection="0"/>
    <xf numFmtId="0" fontId="27" fillId="48" borderId="0" applyNumberFormat="0" applyBorder="0" applyAlignment="0" applyProtection="0"/>
    <xf numFmtId="172" fontId="27" fillId="48" borderId="0" applyNumberFormat="0" applyBorder="0" applyAlignment="0" applyProtection="0"/>
    <xf numFmtId="172" fontId="27" fillId="48" borderId="0" applyNumberFormat="0" applyBorder="0" applyAlignment="0" applyProtection="0"/>
    <xf numFmtId="172" fontId="27" fillId="48" borderId="0" applyNumberFormat="0" applyBorder="0" applyAlignment="0" applyProtection="0"/>
    <xf numFmtId="0" fontId="27" fillId="48"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182" fontId="145" fillId="60" borderId="0" applyNumberFormat="0" applyBorder="0" applyAlignment="0" applyProtection="0"/>
    <xf numFmtId="182" fontId="145" fillId="60" borderId="0" applyNumberFormat="0" applyBorder="0" applyAlignment="0" applyProtection="0"/>
    <xf numFmtId="0" fontId="27" fillId="76" borderId="0" applyNumberFormat="0" applyBorder="0" applyAlignment="0" applyProtection="0"/>
    <xf numFmtId="172" fontId="27" fillId="76" borderId="0" applyNumberFormat="0" applyBorder="0" applyAlignment="0" applyProtection="0"/>
    <xf numFmtId="172" fontId="27" fillId="76" borderId="0" applyNumberFormat="0" applyBorder="0" applyAlignment="0" applyProtection="0"/>
    <xf numFmtId="172" fontId="27" fillId="76" borderId="0" applyNumberFormat="0" applyBorder="0" applyAlignment="0" applyProtection="0"/>
    <xf numFmtId="0" fontId="27" fillId="76"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82" fontId="145" fillId="62" borderId="0" applyNumberFormat="0" applyBorder="0" applyAlignment="0" applyProtection="0"/>
    <xf numFmtId="182" fontId="145" fillId="62" borderId="0" applyNumberFormat="0" applyBorder="0" applyAlignment="0" applyProtection="0"/>
    <xf numFmtId="0" fontId="27" fillId="30" borderId="0" applyNumberFormat="0" applyBorder="0" applyAlignment="0" applyProtection="0"/>
    <xf numFmtId="172" fontId="27" fillId="30" borderId="0" applyNumberFormat="0" applyBorder="0" applyAlignment="0" applyProtection="0"/>
    <xf numFmtId="172" fontId="27" fillId="30" borderId="0" applyNumberFormat="0" applyBorder="0" applyAlignment="0" applyProtection="0"/>
    <xf numFmtId="172" fontId="27" fillId="30"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82" fontId="145" fillId="64" borderId="0" applyNumberFormat="0" applyBorder="0" applyAlignment="0" applyProtection="0"/>
    <xf numFmtId="182" fontId="145" fillId="64" borderId="0" applyNumberFormat="0" applyBorder="0" applyAlignment="0" applyProtection="0"/>
    <xf numFmtId="0" fontId="27" fillId="31" borderId="0" applyNumberFormat="0" applyBorder="0" applyAlignment="0" applyProtection="0"/>
    <xf numFmtId="172" fontId="27" fillId="31" borderId="0" applyNumberFormat="0" applyBorder="0" applyAlignment="0" applyProtection="0"/>
    <xf numFmtId="172" fontId="27" fillId="31" borderId="0" applyNumberFormat="0" applyBorder="0" applyAlignment="0" applyProtection="0"/>
    <xf numFmtId="172" fontId="27" fillId="31" borderId="0" applyNumberFormat="0" applyBorder="0" applyAlignment="0" applyProtection="0"/>
    <xf numFmtId="0" fontId="27" fillId="31"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182" fontId="145" fillId="66" borderId="0" applyNumberFormat="0" applyBorder="0" applyAlignment="0" applyProtection="0"/>
    <xf numFmtId="182" fontId="145" fillId="66" borderId="0" applyNumberFormat="0" applyBorder="0" applyAlignment="0" applyProtection="0"/>
    <xf numFmtId="0" fontId="27" fillId="75" borderId="0" applyNumberFormat="0" applyBorder="0" applyAlignment="0" applyProtection="0"/>
    <xf numFmtId="172" fontId="27" fillId="75" borderId="0" applyNumberFormat="0" applyBorder="0" applyAlignment="0" applyProtection="0"/>
    <xf numFmtId="172" fontId="27" fillId="75" borderId="0" applyNumberFormat="0" applyBorder="0" applyAlignment="0" applyProtection="0"/>
    <xf numFmtId="172" fontId="27" fillId="75" borderId="0" applyNumberFormat="0" applyBorder="0" applyAlignment="0" applyProtection="0"/>
    <xf numFmtId="0" fontId="27" fillId="75"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182" fontId="145" fillId="68" borderId="0" applyNumberFormat="0" applyBorder="0" applyAlignment="0" applyProtection="0"/>
    <xf numFmtId="182" fontId="145" fillId="68" borderId="0" applyNumberFormat="0" applyBorder="0" applyAlignment="0" applyProtection="0"/>
    <xf numFmtId="0" fontId="27" fillId="29" borderId="0" applyNumberFormat="0" applyBorder="0" applyAlignment="0" applyProtection="0"/>
    <xf numFmtId="172" fontId="27" fillId="29" borderId="0" applyNumberFormat="0" applyBorder="0" applyAlignment="0" applyProtection="0"/>
    <xf numFmtId="172" fontId="27" fillId="29" borderId="0" applyNumberFormat="0" applyBorder="0" applyAlignment="0" applyProtection="0"/>
    <xf numFmtId="172" fontId="27" fillId="29" borderId="0" applyNumberFormat="0" applyBorder="0" applyAlignment="0" applyProtection="0"/>
    <xf numFmtId="0" fontId="27" fillId="29"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182" fontId="145" fillId="70" borderId="0" applyNumberFormat="0" applyBorder="0" applyAlignment="0" applyProtection="0"/>
    <xf numFmtId="182" fontId="145" fillId="70" borderId="0" applyNumberFormat="0" applyBorder="0" applyAlignment="0" applyProtection="0"/>
    <xf numFmtId="0" fontId="27" fillId="25" borderId="0" applyNumberFormat="0" applyBorder="0" applyAlignment="0" applyProtection="0"/>
    <xf numFmtId="172" fontId="27" fillId="25" borderId="0" applyNumberFormat="0" applyBorder="0" applyAlignment="0" applyProtection="0"/>
    <xf numFmtId="172" fontId="27" fillId="25" borderId="0" applyNumberFormat="0" applyBorder="0" applyAlignment="0" applyProtection="0"/>
    <xf numFmtId="172" fontId="27" fillId="25" borderId="0" applyNumberFormat="0" applyBorder="0" applyAlignment="0" applyProtection="0"/>
    <xf numFmtId="0" fontId="27" fillId="25"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182" fontId="146" fillId="55" borderId="0" applyNumberFormat="0" applyBorder="0" applyAlignment="0" applyProtection="0"/>
    <xf numFmtId="182" fontId="146" fillId="55" borderId="0" applyNumberFormat="0" applyBorder="0" applyAlignment="0" applyProtection="0"/>
    <xf numFmtId="0" fontId="29" fillId="23" borderId="0" applyNumberFormat="0" applyBorder="0" applyAlignment="0" applyProtection="0"/>
    <xf numFmtId="172" fontId="29" fillId="23" borderId="0" applyNumberFormat="0" applyBorder="0" applyAlignment="0" applyProtection="0"/>
    <xf numFmtId="172" fontId="29" fillId="23" borderId="0" applyNumberFormat="0" applyBorder="0" applyAlignment="0" applyProtection="0"/>
    <xf numFmtId="172" fontId="29" fillId="23" borderId="0" applyNumberFormat="0" applyBorder="0" applyAlignment="0" applyProtection="0"/>
    <xf numFmtId="172" fontId="29" fillId="23" borderId="0" applyNumberFormat="0" applyBorder="0" applyAlignment="0" applyProtection="0"/>
    <xf numFmtId="0" fontId="29" fillId="23" borderId="0" applyNumberFormat="0" applyBorder="0" applyAlignment="0" applyProtection="0"/>
    <xf numFmtId="173" fontId="147" fillId="0" borderId="28"/>
    <xf numFmtId="0" fontId="33" fillId="36" borderId="9" applyNumberFormat="0" applyAlignment="0" applyProtection="0"/>
    <xf numFmtId="0" fontId="33" fillId="36" borderId="9" applyNumberFormat="0" applyAlignment="0" applyProtection="0"/>
    <xf numFmtId="0" fontId="33" fillId="36" borderId="9" applyNumberFormat="0" applyAlignment="0" applyProtection="0"/>
    <xf numFmtId="0" fontId="33" fillId="36" borderId="9" applyNumberFormat="0" applyAlignment="0" applyProtection="0"/>
    <xf numFmtId="0" fontId="33" fillId="36" borderId="9" applyNumberFormat="0" applyAlignment="0" applyProtection="0"/>
    <xf numFmtId="182" fontId="148" fillId="59" borderId="35" applyNumberFormat="0" applyAlignment="0" applyProtection="0"/>
    <xf numFmtId="182" fontId="148" fillId="59" borderId="35" applyNumberFormat="0" applyAlignment="0" applyProtection="0"/>
    <xf numFmtId="0" fontId="33" fillId="36" borderId="9" applyNumberFormat="0" applyAlignment="0" applyProtection="0"/>
    <xf numFmtId="172" fontId="33" fillId="36" borderId="9" applyNumberFormat="0" applyAlignment="0" applyProtection="0"/>
    <xf numFmtId="172" fontId="33" fillId="36" borderId="9" applyNumberFormat="0" applyAlignment="0" applyProtection="0"/>
    <xf numFmtId="172" fontId="33" fillId="36" borderId="9" applyNumberFormat="0" applyAlignment="0" applyProtection="0"/>
    <xf numFmtId="172" fontId="33" fillId="36" borderId="9" applyNumberFormat="0" applyAlignment="0" applyProtection="0"/>
    <xf numFmtId="0" fontId="33" fillId="36" borderId="9" applyNumberFormat="0" applyAlignment="0" applyProtection="0"/>
    <xf numFmtId="0" fontId="34" fillId="37" borderId="0">
      <alignment horizontal="left"/>
    </xf>
    <xf numFmtId="164" fontId="34" fillId="37" borderId="0">
      <alignment horizontal="left"/>
    </xf>
    <xf numFmtId="0" fontId="36" fillId="37" borderId="0">
      <alignment horizontal="right"/>
    </xf>
    <xf numFmtId="164" fontId="36" fillId="37" borderId="0">
      <alignment horizontal="right"/>
    </xf>
    <xf numFmtId="0" fontId="37" fillId="34" borderId="0">
      <alignment horizontal="center"/>
    </xf>
    <xf numFmtId="164" fontId="37" fillId="34" borderId="0">
      <alignment horizontal="center"/>
    </xf>
    <xf numFmtId="0" fontId="36" fillId="37" borderId="0">
      <alignment horizontal="right"/>
    </xf>
    <xf numFmtId="164" fontId="36" fillId="37" borderId="0">
      <alignment horizontal="right"/>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22" fillId="0" borderId="0" applyFont="0" applyFill="0" applyBorder="0" applyAlignment="0" applyProtection="0"/>
    <xf numFmtId="3" fontId="22" fillId="77" borderId="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4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3" fontId="22"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2" fontId="150" fillId="0" borderId="0" applyNumberFormat="0" applyFill="0" applyBorder="0" applyAlignment="0" applyProtection="0"/>
    <xf numFmtId="182" fontId="150" fillId="0" borderId="0" applyNumberFormat="0" applyFill="0" applyBorder="0" applyAlignment="0" applyProtection="0"/>
    <xf numFmtId="0" fontId="41" fillId="0" borderId="0" applyNumberFormat="0" applyFill="0" applyBorder="0" applyAlignment="0" applyProtection="0"/>
    <xf numFmtId="172" fontId="41" fillId="0" borderId="0" applyNumberFormat="0" applyFill="0" applyBorder="0" applyAlignment="0" applyProtection="0"/>
    <xf numFmtId="172" fontId="41" fillId="0" borderId="0" applyNumberFormat="0" applyFill="0" applyBorder="0" applyAlignment="0" applyProtection="0"/>
    <xf numFmtId="172" fontId="41" fillId="0" borderId="0" applyNumberFormat="0" applyFill="0" applyBorder="0" applyAlignment="0" applyProtection="0"/>
    <xf numFmtId="172" fontId="41" fillId="0" borderId="0" applyNumberFormat="0" applyFill="0" applyBorder="0" applyAlignment="0" applyProtection="0"/>
    <xf numFmtId="0" fontId="41" fillId="0" borderId="0" applyNumberFormat="0" applyFill="0" applyBorder="0" applyAlignment="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182" fontId="21" fillId="0" borderId="0" applyProtection="0"/>
    <xf numFmtId="182" fontId="21" fillId="0" borderId="0" applyProtection="0"/>
    <xf numFmtId="0" fontId="21"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182" fontId="43" fillId="0" borderId="0" applyProtection="0"/>
    <xf numFmtId="182" fontId="43" fillId="0" borderId="0" applyProtection="0"/>
    <xf numFmtId="0" fontId="43"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82" fontId="44" fillId="0" borderId="0" applyProtection="0"/>
    <xf numFmtId="182" fontId="44" fillId="0" borderId="0" applyProtection="0"/>
    <xf numFmtId="0" fontId="44"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182" fontId="45" fillId="0" borderId="0" applyProtection="0"/>
    <xf numFmtId="182" fontId="45" fillId="0" borderId="0" applyProtection="0"/>
    <xf numFmtId="0" fontId="45" fillId="0" borderId="0" applyProtection="0"/>
    <xf numFmtId="0" fontId="22" fillId="0" borderId="0" applyProtection="0"/>
    <xf numFmtId="0" fontId="22" fillId="0" borderId="0" applyProtection="0"/>
    <xf numFmtId="0" fontId="22" fillId="0" borderId="0" applyProtection="0"/>
    <xf numFmtId="0" fontId="22" fillId="0" borderId="0" applyProtection="0"/>
    <xf numFmtId="0" fontId="22" fillId="0" borderId="0" applyProtection="0"/>
    <xf numFmtId="182" fontId="22" fillId="0" borderId="0" applyProtection="0"/>
    <xf numFmtId="182" fontId="22" fillId="0" borderId="0" applyProtection="0"/>
    <xf numFmtId="0" fontId="22"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182" fontId="21" fillId="0" borderId="0" applyProtection="0"/>
    <xf numFmtId="182" fontId="21" fillId="0" borderId="0" applyProtection="0"/>
    <xf numFmtId="0" fontId="21"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0" fontId="46" fillId="0" borderId="0" applyProtection="0"/>
    <xf numFmtId="182" fontId="46" fillId="0" borderId="0" applyProtection="0"/>
    <xf numFmtId="182" fontId="46" fillId="0" borderId="0" applyProtection="0"/>
    <xf numFmtId="0" fontId="46" fillId="0" borderId="0" applyProtection="0"/>
    <xf numFmtId="2" fontId="22" fillId="0" borderId="0" applyFont="0" applyFill="0" applyBorder="0" applyAlignment="0" applyProtection="0"/>
    <xf numFmtId="2" fontId="22" fillId="0" borderId="0" applyFont="0" applyFill="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182" fontId="151" fillId="54" borderId="0" applyNumberFormat="0" applyBorder="0" applyAlignment="0" applyProtection="0"/>
    <xf numFmtId="182" fontId="151" fillId="54" borderId="0" applyNumberFormat="0" applyBorder="0" applyAlignment="0" applyProtection="0"/>
    <xf numFmtId="0" fontId="47" fillId="39" borderId="0" applyNumberFormat="0" applyBorder="0" applyAlignment="0" applyProtection="0"/>
    <xf numFmtId="172" fontId="47" fillId="39" borderId="0" applyNumberFormat="0" applyBorder="0" applyAlignment="0" applyProtection="0"/>
    <xf numFmtId="172" fontId="47" fillId="39" borderId="0" applyNumberFormat="0" applyBorder="0" applyAlignment="0" applyProtection="0"/>
    <xf numFmtId="172" fontId="47" fillId="39" borderId="0" applyNumberFormat="0" applyBorder="0" applyAlignment="0" applyProtection="0"/>
    <xf numFmtId="172" fontId="47" fillId="39" borderId="0" applyNumberFormat="0" applyBorder="0" applyAlignment="0" applyProtection="0"/>
    <xf numFmtId="0" fontId="47" fillId="39" borderId="0" applyNumberFormat="0" applyBorder="0" applyAlignment="0" applyProtection="0"/>
    <xf numFmtId="0" fontId="152" fillId="0" borderId="37" applyNumberFormat="0" applyFill="0" applyAlignment="0" applyProtection="0"/>
    <xf numFmtId="0" fontId="152" fillId="0" borderId="37" applyNumberFormat="0" applyFill="0" applyAlignment="0" applyProtection="0"/>
    <xf numFmtId="0" fontId="152" fillId="0" borderId="37" applyNumberFormat="0" applyFill="0" applyAlignment="0" applyProtection="0"/>
    <xf numFmtId="0" fontId="152" fillId="0" borderId="37" applyNumberFormat="0" applyFill="0" applyAlignment="0" applyProtection="0"/>
    <xf numFmtId="0" fontId="152" fillId="0" borderId="37" applyNumberFormat="0" applyFill="0" applyAlignment="0" applyProtection="0"/>
    <xf numFmtId="182" fontId="153" fillId="0" borderId="1" applyNumberFormat="0" applyFill="0" applyAlignment="0" applyProtection="0"/>
    <xf numFmtId="182" fontId="153" fillId="0" borderId="1" applyNumberFormat="0" applyFill="0" applyAlignment="0" applyProtection="0"/>
    <xf numFmtId="0" fontId="152" fillId="0" borderId="37" applyNumberFormat="0" applyFill="0" applyAlignment="0" applyProtection="0"/>
    <xf numFmtId="172" fontId="152" fillId="0" borderId="37" applyNumberFormat="0" applyFill="0" applyAlignment="0" applyProtection="0"/>
    <xf numFmtId="172" fontId="152" fillId="0" borderId="37" applyNumberFormat="0" applyFill="0" applyAlignment="0" applyProtection="0"/>
    <xf numFmtId="172" fontId="152" fillId="0" borderId="37" applyNumberFormat="0" applyFill="0" applyAlignment="0" applyProtection="0"/>
    <xf numFmtId="0" fontId="152" fillId="0" borderId="37" applyNumberFormat="0" applyFill="0" applyAlignment="0" applyProtection="0"/>
    <xf numFmtId="0" fontId="154" fillId="0" borderId="38" applyNumberFormat="0" applyFill="0" applyAlignment="0" applyProtection="0"/>
    <xf numFmtId="0" fontId="154" fillId="0" borderId="38" applyNumberFormat="0" applyFill="0" applyAlignment="0" applyProtection="0"/>
    <xf numFmtId="0" fontId="154" fillId="0" borderId="38" applyNumberFormat="0" applyFill="0" applyAlignment="0" applyProtection="0"/>
    <xf numFmtId="0" fontId="154" fillId="0" borderId="38" applyNumberFormat="0" applyFill="0" applyAlignment="0" applyProtection="0"/>
    <xf numFmtId="0" fontId="154" fillId="0" borderId="38" applyNumberFormat="0" applyFill="0" applyAlignment="0" applyProtection="0"/>
    <xf numFmtId="182" fontId="155" fillId="0" borderId="2" applyNumberFormat="0" applyFill="0" applyAlignment="0" applyProtection="0"/>
    <xf numFmtId="182" fontId="155" fillId="0" borderId="2" applyNumberFormat="0" applyFill="0" applyAlignment="0" applyProtection="0"/>
    <xf numFmtId="0" fontId="154" fillId="0" borderId="38" applyNumberFormat="0" applyFill="0" applyAlignment="0" applyProtection="0"/>
    <xf numFmtId="172" fontId="154" fillId="0" borderId="38" applyNumberFormat="0" applyFill="0" applyAlignment="0" applyProtection="0"/>
    <xf numFmtId="172" fontId="154" fillId="0" borderId="38" applyNumberFormat="0" applyFill="0" applyAlignment="0" applyProtection="0"/>
    <xf numFmtId="172" fontId="154" fillId="0" borderId="38" applyNumberFormat="0" applyFill="0" applyAlignment="0" applyProtection="0"/>
    <xf numFmtId="0" fontId="154" fillId="0" borderId="38" applyNumberFormat="0" applyFill="0" applyAlignment="0" applyProtection="0"/>
    <xf numFmtId="0" fontId="156" fillId="0" borderId="39" applyNumberFormat="0" applyFill="0" applyAlignment="0" applyProtection="0"/>
    <xf numFmtId="0" fontId="156" fillId="0" borderId="39" applyNumberFormat="0" applyFill="0" applyAlignment="0" applyProtection="0"/>
    <xf numFmtId="0" fontId="156" fillId="0" borderId="39" applyNumberFormat="0" applyFill="0" applyAlignment="0" applyProtection="0"/>
    <xf numFmtId="0" fontId="156" fillId="0" borderId="39" applyNumberFormat="0" applyFill="0" applyAlignment="0" applyProtection="0"/>
    <xf numFmtId="0" fontId="156" fillId="0" borderId="39" applyNumberFormat="0" applyFill="0" applyAlignment="0" applyProtection="0"/>
    <xf numFmtId="182" fontId="157" fillId="0" borderId="31" applyNumberFormat="0" applyFill="0" applyAlignment="0" applyProtection="0"/>
    <xf numFmtId="182" fontId="157" fillId="0" borderId="31" applyNumberFormat="0" applyFill="0" applyAlignment="0" applyProtection="0"/>
    <xf numFmtId="0" fontId="156" fillId="0" borderId="39" applyNumberFormat="0" applyFill="0" applyAlignment="0" applyProtection="0"/>
    <xf numFmtId="172" fontId="156" fillId="0" borderId="39" applyNumberFormat="0" applyFill="0" applyAlignment="0" applyProtection="0"/>
    <xf numFmtId="172" fontId="156" fillId="0" borderId="39" applyNumberFormat="0" applyFill="0" applyAlignment="0" applyProtection="0"/>
    <xf numFmtId="0" fontId="156" fillId="0" borderId="39"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182" fontId="157" fillId="0" borderId="0" applyNumberFormat="0" applyFill="0" applyBorder="0" applyAlignment="0" applyProtection="0"/>
    <xf numFmtId="182" fontId="157" fillId="0" borderId="0" applyNumberFormat="0" applyFill="0" applyBorder="0" applyAlignment="0" applyProtection="0"/>
    <xf numFmtId="0" fontId="156" fillId="0" borderId="0" applyNumberFormat="0" applyFill="0" applyBorder="0" applyAlignment="0" applyProtection="0"/>
    <xf numFmtId="172" fontId="156" fillId="0" borderId="0" applyNumberFormat="0" applyFill="0" applyBorder="0" applyAlignment="0" applyProtection="0"/>
    <xf numFmtId="172" fontId="156" fillId="0" borderId="0" applyNumberFormat="0" applyFill="0" applyBorder="0" applyAlignment="0" applyProtection="0"/>
    <xf numFmtId="172" fontId="156" fillId="0" borderId="0" applyNumberFormat="0" applyFill="0" applyBorder="0" applyAlignment="0" applyProtection="0"/>
    <xf numFmtId="172" fontId="156" fillId="0" borderId="0" applyNumberFormat="0" applyFill="0" applyBorder="0" applyAlignment="0" applyProtection="0"/>
    <xf numFmtId="0" fontId="156" fillId="0" borderId="0" applyNumberFormat="0" applyFill="0" applyBorder="0" applyAlignment="0" applyProtection="0"/>
    <xf numFmtId="0" fontId="34" fillId="37" borderId="0">
      <alignment horizontal="left"/>
    </xf>
    <xf numFmtId="164" fontId="34" fillId="37" borderId="0">
      <alignment horizontal="left"/>
    </xf>
    <xf numFmtId="0" fontId="57" fillId="34" borderId="0">
      <alignment horizontal="left"/>
    </xf>
    <xf numFmtId="164" fontId="57" fillId="34" borderId="0">
      <alignment horizontal="left"/>
    </xf>
    <xf numFmtId="0" fontId="158" fillId="0" borderId="19" applyNumberFormat="0" applyFill="0" applyAlignment="0" applyProtection="0"/>
    <xf numFmtId="0" fontId="158" fillId="0" borderId="19" applyNumberFormat="0" applyFill="0" applyAlignment="0" applyProtection="0"/>
    <xf numFmtId="0" fontId="158" fillId="0" borderId="19" applyNumberFormat="0" applyFill="0" applyAlignment="0" applyProtection="0"/>
    <xf numFmtId="0" fontId="158" fillId="0" borderId="19" applyNumberFormat="0" applyFill="0" applyAlignment="0" applyProtection="0"/>
    <xf numFmtId="0" fontId="158" fillId="0" borderId="19" applyNumberFormat="0" applyFill="0" applyAlignment="0" applyProtection="0"/>
    <xf numFmtId="182" fontId="159" fillId="0" borderId="34" applyNumberFormat="0" applyFill="0" applyAlignment="0" applyProtection="0"/>
    <xf numFmtId="182" fontId="159" fillId="0" borderId="34" applyNumberFormat="0" applyFill="0" applyAlignment="0" applyProtection="0"/>
    <xf numFmtId="0" fontId="158" fillId="0" borderId="19" applyNumberFormat="0" applyFill="0" applyAlignment="0" applyProtection="0"/>
    <xf numFmtId="172" fontId="158" fillId="0" borderId="19" applyNumberFormat="0" applyFill="0" applyAlignment="0" applyProtection="0"/>
    <xf numFmtId="172" fontId="158" fillId="0" borderId="19" applyNumberFormat="0" applyFill="0" applyAlignment="0" applyProtection="0"/>
    <xf numFmtId="172" fontId="158" fillId="0" borderId="19" applyNumberFormat="0" applyFill="0" applyAlignment="0" applyProtection="0"/>
    <xf numFmtId="172" fontId="158" fillId="0" borderId="19" applyNumberFormat="0" applyFill="0" applyAlignment="0" applyProtection="0"/>
    <xf numFmtId="0" fontId="158" fillId="0" borderId="19" applyNumberFormat="0" applyFill="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182" fontId="161" fillId="56" borderId="0" applyNumberFormat="0" applyBorder="0" applyAlignment="0" applyProtection="0"/>
    <xf numFmtId="182" fontId="161" fillId="56" borderId="0" applyNumberFormat="0" applyBorder="0" applyAlignment="0" applyProtection="0"/>
    <xf numFmtId="0" fontId="160" fillId="22" borderId="0" applyNumberFormat="0" applyBorder="0" applyAlignment="0" applyProtection="0"/>
    <xf numFmtId="172" fontId="160" fillId="22" borderId="0" applyNumberFormat="0" applyBorder="0" applyAlignment="0" applyProtection="0"/>
    <xf numFmtId="172" fontId="160" fillId="22" borderId="0" applyNumberFormat="0" applyBorder="0" applyAlignment="0" applyProtection="0"/>
    <xf numFmtId="172" fontId="160" fillId="22" borderId="0" applyNumberFormat="0" applyBorder="0" applyAlignment="0" applyProtection="0"/>
    <xf numFmtId="172" fontId="160" fillId="22" borderId="0" applyNumberFormat="0" applyBorder="0" applyAlignment="0" applyProtection="0"/>
    <xf numFmtId="0" fontId="160" fillId="22" borderId="0" applyNumberFormat="0" applyBorder="0" applyAlignment="0" applyProtection="0"/>
    <xf numFmtId="172" fontId="22" fillId="0" borderId="0"/>
    <xf numFmtId="172" fontId="22" fillId="0" borderId="0"/>
    <xf numFmtId="182" fontId="22" fillId="0" borderId="0"/>
    <xf numFmtId="182" fontId="22" fillId="0" borderId="0"/>
    <xf numFmtId="0" fontId="40"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0" fontId="13" fillId="0" borderId="0"/>
    <xf numFmtId="0" fontId="13" fillId="0" borderId="0"/>
    <xf numFmtId="172" fontId="22" fillId="0" borderId="0"/>
    <xf numFmtId="172" fontId="22" fillId="0" borderId="0"/>
    <xf numFmtId="172" fontId="22" fillId="0" borderId="0"/>
    <xf numFmtId="172" fontId="22" fillId="0" borderId="0"/>
    <xf numFmtId="172" fontId="22" fillId="0" borderId="0"/>
    <xf numFmtId="0" fontId="13" fillId="0" borderId="0"/>
    <xf numFmtId="0" fontId="13" fillId="0" borderId="0"/>
    <xf numFmtId="172" fontId="73" fillId="0" borderId="0"/>
    <xf numFmtId="172" fontId="73" fillId="0" borderId="0"/>
    <xf numFmtId="172" fontId="73" fillId="0" borderId="0"/>
    <xf numFmtId="172" fontId="73" fillId="0" borderId="0"/>
    <xf numFmtId="172" fontId="73" fillId="0" borderId="0"/>
    <xf numFmtId="182" fontId="26" fillId="0" borderId="0"/>
    <xf numFmtId="182" fontId="26" fillId="0" borderId="0"/>
    <xf numFmtId="0" fontId="40" fillId="0" borderId="0"/>
    <xf numFmtId="0" fontId="13" fillId="0" borderId="0"/>
    <xf numFmtId="0" fontId="13" fillId="0" borderId="0"/>
    <xf numFmtId="0" fontId="13" fillId="0" borderId="0"/>
    <xf numFmtId="0" fontId="13" fillId="0" borderId="0"/>
    <xf numFmtId="0" fontId="13" fillId="0" borderId="0"/>
    <xf numFmtId="0" fontId="13" fillId="0" borderId="0"/>
    <xf numFmtId="172" fontId="22" fillId="0" borderId="0"/>
    <xf numFmtId="172" fontId="22" fillId="0" borderId="0"/>
    <xf numFmtId="172" fontId="22" fillId="0" borderId="0"/>
    <xf numFmtId="0" fontId="13" fillId="0" borderId="0"/>
    <xf numFmtId="0" fontId="13" fillId="0" borderId="0"/>
    <xf numFmtId="0" fontId="13" fillId="0" borderId="0"/>
    <xf numFmtId="172" fontId="73" fillId="0" borderId="0"/>
    <xf numFmtId="172" fontId="73" fillId="0" borderId="0"/>
    <xf numFmtId="172" fontId="73" fillId="0" borderId="0"/>
    <xf numFmtId="0" fontId="63" fillId="19" borderId="21" applyNumberFormat="0" applyAlignment="0" applyProtection="0"/>
    <xf numFmtId="0" fontId="63" fillId="19" borderId="21" applyNumberFormat="0" applyAlignment="0" applyProtection="0"/>
    <xf numFmtId="0" fontId="63" fillId="19" borderId="21" applyNumberFormat="0" applyAlignment="0" applyProtection="0"/>
    <xf numFmtId="0" fontId="63" fillId="19" borderId="21" applyNumberFormat="0" applyAlignment="0" applyProtection="0"/>
    <xf numFmtId="0" fontId="63" fillId="19" borderId="21" applyNumberFormat="0" applyAlignment="0" applyProtection="0"/>
    <xf numFmtId="182" fontId="162" fillId="58" borderId="33" applyNumberFormat="0" applyAlignment="0" applyProtection="0"/>
    <xf numFmtId="182" fontId="162" fillId="58" borderId="33" applyNumberFormat="0" applyAlignment="0" applyProtection="0"/>
    <xf numFmtId="0" fontId="63" fillId="19" borderId="21" applyNumberFormat="0" applyAlignment="0" applyProtection="0"/>
    <xf numFmtId="172" fontId="63" fillId="19" borderId="21" applyNumberFormat="0" applyAlignment="0" applyProtection="0"/>
    <xf numFmtId="172" fontId="63" fillId="19" borderId="21" applyNumberFormat="0" applyAlignment="0" applyProtection="0"/>
    <xf numFmtId="172" fontId="63" fillId="19" borderId="21" applyNumberFormat="0" applyAlignment="0" applyProtection="0"/>
    <xf numFmtId="172" fontId="63" fillId="19" borderId="21" applyNumberFormat="0" applyAlignment="0" applyProtection="0"/>
    <xf numFmtId="0" fontId="63" fillId="19" borderId="21" applyNumberFormat="0" applyAlignment="0" applyProtection="0"/>
    <xf numFmtId="171" fontId="64" fillId="34" borderId="0">
      <alignment horizontal="right"/>
    </xf>
    <xf numFmtId="40" fontId="65" fillId="40" borderId="0">
      <alignment horizontal="right"/>
    </xf>
    <xf numFmtId="164" fontId="66" fillId="41" borderId="0">
      <alignment horizontal="center"/>
    </xf>
    <xf numFmtId="0" fontId="66" fillId="40" borderId="0">
      <alignment horizontal="center" vertical="center"/>
    </xf>
    <xf numFmtId="0" fontId="66" fillId="40" borderId="0">
      <alignment horizontal="center" vertical="center"/>
    </xf>
    <xf numFmtId="182" fontId="66" fillId="40" borderId="0">
      <alignment horizontal="center" vertical="center"/>
    </xf>
    <xf numFmtId="182" fontId="66" fillId="40" borderId="0">
      <alignment horizontal="center" vertical="center"/>
    </xf>
    <xf numFmtId="0" fontId="34" fillId="42" borderId="0"/>
    <xf numFmtId="0" fontId="57" fillId="40" borderId="10"/>
    <xf numFmtId="0" fontId="57" fillId="40" borderId="10"/>
    <xf numFmtId="182" fontId="57" fillId="40" borderId="10"/>
    <xf numFmtId="182" fontId="57" fillId="40" borderId="10"/>
    <xf numFmtId="164" fontId="69" fillId="34" borderId="0" applyBorder="0">
      <alignment horizontal="centerContinuous"/>
    </xf>
    <xf numFmtId="0" fontId="66" fillId="40" borderId="0" applyBorder="0">
      <alignment horizontal="centerContinuous"/>
    </xf>
    <xf numFmtId="0" fontId="66" fillId="40" borderId="0" applyBorder="0">
      <alignment horizontal="centerContinuous"/>
    </xf>
    <xf numFmtId="182" fontId="66" fillId="40" borderId="0" applyBorder="0">
      <alignment horizontal="centerContinuous"/>
    </xf>
    <xf numFmtId="182" fontId="66" fillId="40" borderId="0" applyBorder="0">
      <alignment horizontal="centerContinuous"/>
    </xf>
    <xf numFmtId="164" fontId="70" fillId="42" borderId="0" applyBorder="0">
      <alignment horizontal="centerContinuous"/>
    </xf>
    <xf numFmtId="0" fontId="72" fillId="40" borderId="0" applyBorder="0">
      <alignment horizontal="centerContinuous"/>
    </xf>
    <xf numFmtId="0" fontId="72" fillId="40" borderId="0" applyBorder="0">
      <alignment horizontal="centerContinuous"/>
    </xf>
    <xf numFmtId="182" fontId="72" fillId="40" borderId="0" applyBorder="0">
      <alignment horizontal="centerContinuous"/>
    </xf>
    <xf numFmtId="182" fontId="72" fillId="40" borderId="0" applyBorder="0">
      <alignment horizontal="centerContinuous"/>
    </xf>
    <xf numFmtId="0" fontId="57" fillId="22" borderId="0">
      <alignment horizontal="center"/>
    </xf>
    <xf numFmtId="164" fontId="57" fillId="22" borderId="0">
      <alignment horizontal="center"/>
    </xf>
    <xf numFmtId="49" fontId="75" fillId="34" borderId="0">
      <alignment horizontal="center"/>
    </xf>
    <xf numFmtId="0" fontId="36" fillId="37" borderId="0">
      <alignment horizontal="center"/>
    </xf>
    <xf numFmtId="164" fontId="36" fillId="37" borderId="0">
      <alignment horizontal="center"/>
    </xf>
    <xf numFmtId="0" fontId="36" fillId="37" borderId="0">
      <alignment horizontal="centerContinuous"/>
    </xf>
    <xf numFmtId="164" fontId="36" fillId="37" borderId="0">
      <alignment horizontal="centerContinuous"/>
    </xf>
    <xf numFmtId="0" fontId="76" fillId="34" borderId="0">
      <alignment horizontal="left"/>
    </xf>
    <xf numFmtId="164" fontId="76" fillId="34" borderId="0">
      <alignment horizontal="left"/>
    </xf>
    <xf numFmtId="49" fontId="76" fillId="34" borderId="0">
      <alignment horizontal="center"/>
    </xf>
    <xf numFmtId="0" fontId="34" fillId="37" borderId="0">
      <alignment horizontal="left"/>
    </xf>
    <xf numFmtId="164" fontId="34" fillId="37" borderId="0">
      <alignment horizontal="left"/>
    </xf>
    <xf numFmtId="49" fontId="76" fillId="34" borderId="0">
      <alignment horizontal="left"/>
    </xf>
    <xf numFmtId="0" fontId="34" fillId="37" borderId="0">
      <alignment horizontal="centerContinuous"/>
    </xf>
    <xf numFmtId="164" fontId="34" fillId="37" borderId="0">
      <alignment horizontal="centerContinuous"/>
    </xf>
    <xf numFmtId="0" fontId="34" fillId="37" borderId="0">
      <alignment horizontal="right"/>
    </xf>
    <xf numFmtId="164" fontId="34" fillId="37" borderId="0">
      <alignment horizontal="right"/>
    </xf>
    <xf numFmtId="49" fontId="57" fillId="34" borderId="0">
      <alignment horizontal="left"/>
    </xf>
    <xf numFmtId="0" fontId="36" fillId="37" borderId="0">
      <alignment horizontal="right"/>
    </xf>
    <xf numFmtId="164" fontId="36" fillId="37" borderId="0">
      <alignment horizontal="right"/>
    </xf>
    <xf numFmtId="0" fontId="76" fillId="20" borderId="0">
      <alignment horizontal="center"/>
    </xf>
    <xf numFmtId="164" fontId="76" fillId="20" borderId="0">
      <alignment horizontal="center"/>
    </xf>
    <xf numFmtId="0" fontId="77" fillId="20" borderId="0">
      <alignment horizontal="center"/>
    </xf>
    <xf numFmtId="164" fontId="77" fillId="20" borderId="0">
      <alignment horizont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182" fontId="140" fillId="0" borderId="0" applyNumberFormat="0" applyFill="0" applyBorder="0" applyAlignment="0" applyProtection="0"/>
    <xf numFmtId="182" fontId="140" fillId="0" borderId="0" applyNumberFormat="0" applyFill="0" applyBorder="0" applyAlignment="0" applyProtection="0"/>
    <xf numFmtId="0" fontId="163" fillId="0" borderId="0" applyNumberFormat="0" applyFill="0" applyBorder="0" applyAlignment="0" applyProtection="0"/>
    <xf numFmtId="172" fontId="163" fillId="0" borderId="0" applyNumberFormat="0" applyFill="0" applyBorder="0" applyAlignment="0" applyProtection="0"/>
    <xf numFmtId="172" fontId="163" fillId="0" borderId="0" applyNumberFormat="0" applyFill="0" applyBorder="0" applyAlignment="0" applyProtection="0"/>
    <xf numFmtId="172" fontId="163" fillId="0" borderId="0" applyNumberFormat="0" applyFill="0" applyBorder="0" applyAlignment="0" applyProtection="0"/>
    <xf numFmtId="172" fontId="163" fillId="0" borderId="0" applyNumberFormat="0" applyFill="0" applyBorder="0" applyAlignment="0" applyProtection="0"/>
    <xf numFmtId="172" fontId="163" fillId="0" borderId="0" applyNumberFormat="0" applyFill="0" applyBorder="0" applyAlignment="0" applyProtection="0"/>
    <xf numFmtId="0" fontId="163" fillId="0" borderId="0" applyNumberFormat="0" applyFill="0" applyBorder="0" applyAlignment="0" applyProtection="0"/>
    <xf numFmtId="0" fontId="83" fillId="0" borderId="40" applyNumberFormat="0" applyFill="0" applyAlignment="0" applyProtection="0"/>
    <xf numFmtId="0" fontId="83" fillId="0" borderId="40" applyNumberFormat="0" applyFill="0" applyAlignment="0" applyProtection="0"/>
    <xf numFmtId="0" fontId="83" fillId="0" borderId="40" applyNumberFormat="0" applyFill="0" applyAlignment="0" applyProtection="0"/>
    <xf numFmtId="0" fontId="83" fillId="0" borderId="40" applyNumberFormat="0" applyFill="0" applyAlignment="0" applyProtection="0"/>
    <xf numFmtId="0" fontId="83" fillId="0" borderId="40" applyNumberFormat="0" applyFill="0" applyAlignment="0" applyProtection="0"/>
    <xf numFmtId="182" fontId="164" fillId="0" borderId="4" applyNumberFormat="0" applyFill="0" applyAlignment="0" applyProtection="0"/>
    <xf numFmtId="182" fontId="164" fillId="0" borderId="4" applyNumberFormat="0" applyFill="0" applyAlignment="0" applyProtection="0"/>
    <xf numFmtId="0" fontId="83" fillId="0" borderId="40" applyNumberFormat="0" applyFill="0" applyAlignment="0" applyProtection="0"/>
    <xf numFmtId="172" fontId="83" fillId="0" borderId="40" applyNumberFormat="0" applyFill="0" applyAlignment="0" applyProtection="0"/>
    <xf numFmtId="172" fontId="83" fillId="0" borderId="40" applyNumberFormat="0" applyFill="0" applyAlignment="0" applyProtection="0"/>
    <xf numFmtId="172" fontId="83" fillId="0" borderId="40" applyNumberFormat="0" applyFill="0" applyAlignment="0" applyProtection="0"/>
    <xf numFmtId="0" fontId="83" fillId="0" borderId="40" applyNumberFormat="0" applyFill="0" applyAlignment="0" applyProtection="0"/>
    <xf numFmtId="0" fontId="84" fillId="0" borderId="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82" fontId="165" fillId="0" borderId="0" applyNumberFormat="0" applyFill="0" applyBorder="0" applyAlignment="0" applyProtection="0"/>
    <xf numFmtId="182" fontId="165" fillId="0" borderId="0" applyNumberFormat="0" applyFill="0" applyBorder="0" applyAlignment="0" applyProtection="0"/>
    <xf numFmtId="0" fontId="58"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0" fontId="58" fillId="0" borderId="0" applyNumberFormat="0" applyFill="0" applyBorder="0" applyAlignment="0" applyProtection="0"/>
    <xf numFmtId="9" fontId="22" fillId="0" borderId="0" applyFont="0" applyFill="0" applyBorder="0" applyAlignment="0" applyProtection="0"/>
    <xf numFmtId="0" fontId="23" fillId="0" borderId="0"/>
    <xf numFmtId="194" fontId="22" fillId="0" borderId="0">
      <alignment horizontal="left" wrapText="1"/>
    </xf>
    <xf numFmtId="0" fontId="22" fillId="15" borderId="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7" fillId="21" borderId="0" applyNumberFormat="0" applyBorder="0" applyAlignment="0" applyProtection="0"/>
    <xf numFmtId="172" fontId="28" fillId="29" borderId="0" applyNumberFormat="0" applyBorder="0" applyAlignment="0" applyProtection="0"/>
    <xf numFmtId="0" fontId="175" fillId="61"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166" fontId="28" fillId="24" borderId="0" applyNumberFormat="0" applyBorder="0" applyAlignment="0" applyProtection="0"/>
    <xf numFmtId="0" fontId="28" fillId="29" borderId="0" applyNumberFormat="0" applyBorder="0" applyAlignment="0" applyProtection="0"/>
    <xf numFmtId="0" fontId="28" fillId="24" borderId="0" applyNumberFormat="0" applyBorder="0" applyAlignment="0" applyProtection="0"/>
    <xf numFmtId="0" fontId="119" fillId="61" borderId="0" applyNumberFormat="0" applyBorder="0" applyAlignment="0" applyProtection="0"/>
    <xf numFmtId="0" fontId="176" fillId="61" borderId="0" applyNumberFormat="0" applyBorder="0" applyAlignment="0" applyProtection="0"/>
    <xf numFmtId="0" fontId="175" fillId="61" borderId="0" applyNumberFormat="0" applyBorder="0" applyAlignment="0" applyProtection="0"/>
    <xf numFmtId="0" fontId="175" fillId="61" borderId="0" applyNumberFormat="0" applyBorder="0" applyAlignment="0" applyProtection="0"/>
    <xf numFmtId="0" fontId="27" fillId="25" borderId="0" applyNumberFormat="0" applyBorder="0" applyAlignment="0" applyProtection="0"/>
    <xf numFmtId="172" fontId="28" fillId="27" borderId="0" applyNumberFormat="0" applyBorder="0" applyAlignment="0" applyProtection="0"/>
    <xf numFmtId="0" fontId="175" fillId="63"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166" fontId="28" fillId="17" borderId="0" applyNumberFormat="0" applyBorder="0" applyAlignment="0" applyProtection="0"/>
    <xf numFmtId="0" fontId="28" fillId="27" borderId="0" applyNumberFormat="0" applyBorder="0" applyAlignment="0" applyProtection="0"/>
    <xf numFmtId="0" fontId="28" fillId="17" borderId="0" applyNumberFormat="0" applyBorder="0" applyAlignment="0" applyProtection="0"/>
    <xf numFmtId="0" fontId="119" fillId="63" borderId="0" applyNumberFormat="0" applyBorder="0" applyAlignment="0" applyProtection="0"/>
    <xf numFmtId="0" fontId="176" fillId="63" borderId="0" applyNumberFormat="0" applyBorder="0" applyAlignment="0" applyProtection="0"/>
    <xf numFmtId="0" fontId="175" fillId="63" borderId="0" applyNumberFormat="0" applyBorder="0" applyAlignment="0" applyProtection="0"/>
    <xf numFmtId="0" fontId="175" fillId="63" borderId="0" applyNumberFormat="0" applyBorder="0" applyAlignment="0" applyProtection="0"/>
    <xf numFmtId="0" fontId="27" fillId="26" borderId="0" applyNumberFormat="0" applyBorder="0" applyAlignment="0" applyProtection="0"/>
    <xf numFmtId="172" fontId="28" fillId="27" borderId="0" applyNumberFormat="0" applyBorder="0" applyAlignment="0" applyProtection="0"/>
    <xf numFmtId="0" fontId="175" fillId="65"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166" fontId="28" fillId="27" borderId="0" applyNumberFormat="0" applyBorder="0" applyAlignment="0" applyProtection="0"/>
    <xf numFmtId="0" fontId="28" fillId="27" borderId="0" applyNumberFormat="0" applyBorder="0" applyAlignment="0" applyProtection="0"/>
    <xf numFmtId="0" fontId="119" fillId="65" borderId="0" applyNumberFormat="0" applyBorder="0" applyAlignment="0" applyProtection="0"/>
    <xf numFmtId="0" fontId="176" fillId="65" borderId="0" applyNumberFormat="0" applyBorder="0" applyAlignment="0" applyProtection="0"/>
    <xf numFmtId="0" fontId="175" fillId="65" borderId="0" applyNumberFormat="0" applyBorder="0" applyAlignment="0" applyProtection="0"/>
    <xf numFmtId="0" fontId="175" fillId="65" borderId="0" applyNumberFormat="0" applyBorder="0" applyAlignment="0" applyProtection="0"/>
    <xf numFmtId="0" fontId="27" fillId="23" borderId="0" applyNumberFormat="0" applyBorder="0" applyAlignment="0" applyProtection="0"/>
    <xf numFmtId="172" fontId="28" fillId="19" borderId="0" applyNumberFormat="0" applyBorder="0" applyAlignment="0" applyProtection="0"/>
    <xf numFmtId="0" fontId="175" fillId="67"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166" fontId="28" fillId="19" borderId="0" applyNumberFormat="0" applyBorder="0" applyAlignment="0" applyProtection="0"/>
    <xf numFmtId="0" fontId="28" fillId="19" borderId="0" applyNumberFormat="0" applyBorder="0" applyAlignment="0" applyProtection="0"/>
    <xf numFmtId="0" fontId="119" fillId="67" borderId="0" applyNumberFormat="0" applyBorder="0" applyAlignment="0" applyProtection="0"/>
    <xf numFmtId="0" fontId="176" fillId="67" borderId="0" applyNumberFormat="0" applyBorder="0" applyAlignment="0" applyProtection="0"/>
    <xf numFmtId="0" fontId="175" fillId="67" borderId="0" applyNumberFormat="0" applyBorder="0" applyAlignment="0" applyProtection="0"/>
    <xf numFmtId="0" fontId="175" fillId="67" borderId="0" applyNumberFormat="0" applyBorder="0" applyAlignment="0" applyProtection="0"/>
    <xf numFmtId="0" fontId="27" fillId="21" borderId="0" applyNumberFormat="0" applyBorder="0" applyAlignment="0" applyProtection="0"/>
    <xf numFmtId="172" fontId="28" fillId="29" borderId="0" applyNumberFormat="0" applyBorder="0" applyAlignment="0" applyProtection="0"/>
    <xf numFmtId="0" fontId="175" fillId="69"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166" fontId="28" fillId="24" borderId="0" applyNumberFormat="0" applyBorder="0" applyAlignment="0" applyProtection="0"/>
    <xf numFmtId="0" fontId="28" fillId="29" borderId="0" applyNumberFormat="0" applyBorder="0" applyAlignment="0" applyProtection="0"/>
    <xf numFmtId="0" fontId="28" fillId="24" borderId="0" applyNumberFormat="0" applyBorder="0" applyAlignment="0" applyProtection="0"/>
    <xf numFmtId="0" fontId="119" fillId="69" borderId="0" applyNumberFormat="0" applyBorder="0" applyAlignment="0" applyProtection="0"/>
    <xf numFmtId="0" fontId="176" fillId="69" borderId="0" applyNumberFormat="0" applyBorder="0" applyAlignment="0" applyProtection="0"/>
    <xf numFmtId="0" fontId="175" fillId="69" borderId="0" applyNumberFormat="0" applyBorder="0" applyAlignment="0" applyProtection="0"/>
    <xf numFmtId="0" fontId="175" fillId="69" borderId="0" applyNumberFormat="0" applyBorder="0" applyAlignment="0" applyProtection="0"/>
    <xf numFmtId="0" fontId="27" fillId="17" borderId="0" applyNumberFormat="0" applyBorder="0" applyAlignment="0" applyProtection="0"/>
    <xf numFmtId="172" fontId="28" fillId="20" borderId="0" applyNumberFormat="0" applyBorder="0" applyAlignment="0" applyProtection="0"/>
    <xf numFmtId="0" fontId="175" fillId="71"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166" fontId="28" fillId="20" borderId="0" applyNumberFormat="0" applyBorder="0" applyAlignment="0" applyProtection="0"/>
    <xf numFmtId="0" fontId="28" fillId="20" borderId="0" applyNumberFormat="0" applyBorder="0" applyAlignment="0" applyProtection="0"/>
    <xf numFmtId="0" fontId="119" fillId="71" borderId="0" applyNumberFormat="0" applyBorder="0" applyAlignment="0" applyProtection="0"/>
    <xf numFmtId="0" fontId="176" fillId="71" borderId="0" applyNumberFormat="0" applyBorder="0" applyAlignment="0" applyProtection="0"/>
    <xf numFmtId="0" fontId="175" fillId="71" borderId="0" applyNumberFormat="0" applyBorder="0" applyAlignment="0" applyProtection="0"/>
    <xf numFmtId="0" fontId="175" fillId="71" borderId="0" applyNumberFormat="0" applyBorder="0" applyAlignment="0" applyProtection="0"/>
    <xf numFmtId="193" fontId="62" fillId="0" borderId="5" applyBorder="0"/>
    <xf numFmtId="0" fontId="62" fillId="0" borderId="5" applyBorder="0"/>
    <xf numFmtId="0" fontId="27" fillId="28" borderId="0" applyNumberFormat="0" applyBorder="0" applyAlignment="0" applyProtection="0"/>
    <xf numFmtId="172" fontId="28" fillId="29" borderId="0" applyNumberFormat="0" applyBorder="0" applyAlignment="0" applyProtection="0"/>
    <xf numFmtId="0" fontId="175" fillId="60"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166" fontId="28" fillId="29" borderId="0" applyNumberFormat="0" applyBorder="0" applyAlignment="0" applyProtection="0"/>
    <xf numFmtId="0" fontId="28" fillId="29" borderId="0" applyNumberFormat="0" applyBorder="0" applyAlignment="0" applyProtection="0"/>
    <xf numFmtId="0" fontId="119" fillId="60" borderId="0" applyNumberFormat="0" applyBorder="0" applyAlignment="0" applyProtection="0"/>
    <xf numFmtId="0" fontId="176" fillId="60" borderId="0" applyNumberFormat="0" applyBorder="0" applyAlignment="0" applyProtection="0"/>
    <xf numFmtId="0" fontId="175" fillId="60" borderId="0" applyNumberFormat="0" applyBorder="0" applyAlignment="0" applyProtection="0"/>
    <xf numFmtId="0" fontId="175" fillId="60" borderId="0" applyNumberFormat="0" applyBorder="0" applyAlignment="0" applyProtection="0"/>
    <xf numFmtId="0" fontId="27" fillId="25" borderId="0" applyNumberFormat="0" applyBorder="0" applyAlignment="0" applyProtection="0"/>
    <xf numFmtId="172" fontId="28" fillId="30" borderId="0" applyNumberFormat="0" applyBorder="0" applyAlignment="0" applyProtection="0"/>
    <xf numFmtId="0" fontId="175" fillId="62"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166" fontId="28" fillId="30" borderId="0" applyNumberFormat="0" applyBorder="0" applyAlignment="0" applyProtection="0"/>
    <xf numFmtId="0" fontId="28" fillId="30" borderId="0" applyNumberFormat="0" applyBorder="0" applyAlignment="0" applyProtection="0"/>
    <xf numFmtId="0" fontId="119" fillId="62" borderId="0" applyNumberFormat="0" applyBorder="0" applyAlignment="0" applyProtection="0"/>
    <xf numFmtId="0" fontId="176" fillId="62" borderId="0" applyNumberFormat="0" applyBorder="0" applyAlignment="0" applyProtection="0"/>
    <xf numFmtId="0" fontId="175" fillId="62" borderId="0" applyNumberFormat="0" applyBorder="0" applyAlignment="0" applyProtection="0"/>
    <xf numFmtId="0" fontId="175" fillId="62" borderId="0" applyNumberFormat="0" applyBorder="0" applyAlignment="0" applyProtection="0"/>
    <xf numFmtId="0" fontId="27" fillId="26" borderId="0" applyNumberFormat="0" applyBorder="0" applyAlignment="0" applyProtection="0"/>
    <xf numFmtId="172" fontId="28" fillId="31" borderId="0" applyNumberFormat="0" applyBorder="0" applyAlignment="0" applyProtection="0"/>
    <xf numFmtId="0" fontId="175" fillId="64"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19" fillId="64" borderId="0" applyNumberFormat="0" applyBorder="0" applyAlignment="0" applyProtection="0"/>
    <xf numFmtId="0" fontId="176" fillId="64" borderId="0" applyNumberFormat="0" applyBorder="0" applyAlignment="0" applyProtection="0"/>
    <xf numFmtId="0" fontId="175" fillId="64" borderId="0" applyNumberFormat="0" applyBorder="0" applyAlignment="0" applyProtection="0"/>
    <xf numFmtId="0" fontId="175" fillId="64" borderId="0" applyNumberFormat="0" applyBorder="0" applyAlignment="0" applyProtection="0"/>
    <xf numFmtId="0" fontId="27" fillId="32" borderId="0" applyNumberFormat="0" applyBorder="0" applyAlignment="0" applyProtection="0"/>
    <xf numFmtId="172" fontId="28" fillId="32" borderId="0" applyNumberFormat="0" applyBorder="0" applyAlignment="0" applyProtection="0"/>
    <xf numFmtId="0" fontId="175" fillId="66"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166" fontId="28" fillId="32" borderId="0" applyNumberFormat="0" applyBorder="0" applyAlignment="0" applyProtection="0"/>
    <xf numFmtId="0" fontId="28" fillId="32" borderId="0" applyNumberFormat="0" applyBorder="0" applyAlignment="0" applyProtection="0"/>
    <xf numFmtId="0" fontId="119" fillId="66" borderId="0" applyNumberFormat="0" applyBorder="0" applyAlignment="0" applyProtection="0"/>
    <xf numFmtId="0" fontId="176" fillId="66" borderId="0" applyNumberFormat="0" applyBorder="0" applyAlignment="0" applyProtection="0"/>
    <xf numFmtId="0" fontId="175" fillId="66" borderId="0" applyNumberFormat="0" applyBorder="0" applyAlignment="0" applyProtection="0"/>
    <xf numFmtId="0" fontId="175" fillId="66" borderId="0" applyNumberFormat="0" applyBorder="0" applyAlignment="0" applyProtection="0"/>
    <xf numFmtId="172" fontId="28" fillId="29" borderId="0" applyNumberFormat="0" applyBorder="0" applyAlignment="0" applyProtection="0"/>
    <xf numFmtId="0" fontId="175" fillId="68"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166" fontId="28" fillId="29" borderId="0" applyNumberFormat="0" applyBorder="0" applyAlignment="0" applyProtection="0"/>
    <xf numFmtId="0" fontId="28" fillId="29" borderId="0" applyNumberFormat="0" applyBorder="0" applyAlignment="0" applyProtection="0"/>
    <xf numFmtId="0" fontId="119" fillId="68" borderId="0" applyNumberFormat="0" applyBorder="0" applyAlignment="0" applyProtection="0"/>
    <xf numFmtId="0" fontId="176" fillId="68" borderId="0" applyNumberFormat="0" applyBorder="0" applyAlignment="0" applyProtection="0"/>
    <xf numFmtId="0" fontId="175" fillId="68" borderId="0" applyNumberFormat="0" applyBorder="0" applyAlignment="0" applyProtection="0"/>
    <xf numFmtId="0" fontId="175" fillId="68" borderId="0" applyNumberFormat="0" applyBorder="0" applyAlignment="0" applyProtection="0"/>
    <xf numFmtId="0" fontId="27" fillId="30" borderId="0" applyNumberFormat="0" applyBorder="0" applyAlignment="0" applyProtection="0"/>
    <xf numFmtId="172" fontId="28" fillId="25" borderId="0" applyNumberFormat="0" applyBorder="0" applyAlignment="0" applyProtection="0"/>
    <xf numFmtId="0" fontId="175" fillId="70"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166" fontId="28" fillId="25" borderId="0" applyNumberFormat="0" applyBorder="0" applyAlignment="0" applyProtection="0"/>
    <xf numFmtId="0" fontId="28" fillId="25" borderId="0" applyNumberFormat="0" applyBorder="0" applyAlignment="0" applyProtection="0"/>
    <xf numFmtId="0" fontId="119" fillId="70" borderId="0" applyNumberFormat="0" applyBorder="0" applyAlignment="0" applyProtection="0"/>
    <xf numFmtId="0" fontId="176" fillId="70" borderId="0" applyNumberFormat="0" applyBorder="0" applyAlignment="0" applyProtection="0"/>
    <xf numFmtId="0" fontId="175" fillId="70" borderId="0" applyNumberFormat="0" applyBorder="0" applyAlignment="0" applyProtection="0"/>
    <xf numFmtId="0" fontId="175" fillId="70" borderId="0" applyNumberFormat="0" applyBorder="0" applyAlignment="0" applyProtection="0"/>
    <xf numFmtId="0" fontId="29" fillId="33" borderId="0" applyNumberFormat="0" applyBorder="0" applyAlignment="0" applyProtection="0"/>
    <xf numFmtId="0" fontId="168" fillId="55" borderId="0" applyNumberFormat="0" applyBorder="0" applyAlignment="0" applyProtection="0"/>
    <xf numFmtId="166" fontId="30" fillId="23" borderId="0" applyNumberFormat="0" applyBorder="0" applyAlignment="0" applyProtection="0"/>
    <xf numFmtId="166" fontId="30" fillId="23" borderId="0" applyNumberFormat="0" applyBorder="0" applyAlignment="0" applyProtection="0"/>
    <xf numFmtId="0" fontId="120" fillId="55" borderId="0" applyNumberFormat="0" applyBorder="0" applyAlignment="0" applyProtection="0"/>
    <xf numFmtId="0" fontId="177" fillId="55" borderId="0" applyNumberFormat="0" applyBorder="0" applyAlignment="0" applyProtection="0"/>
    <xf numFmtId="0" fontId="168" fillId="55" borderId="0" applyNumberFormat="0" applyBorder="0" applyAlignment="0" applyProtection="0"/>
    <xf numFmtId="0" fontId="168" fillId="55" borderId="0" applyNumberFormat="0" applyBorder="0" applyAlignment="0" applyProtection="0"/>
    <xf numFmtId="0" fontId="172" fillId="59" borderId="35" applyNumberFormat="0" applyAlignment="0" applyProtection="0"/>
    <xf numFmtId="166" fontId="34" fillId="36" borderId="9" applyNumberFormat="0" applyAlignment="0" applyProtection="0"/>
    <xf numFmtId="166" fontId="34" fillId="36" borderId="9" applyNumberFormat="0" applyAlignment="0" applyProtection="0"/>
    <xf numFmtId="0" fontId="122" fillId="59" borderId="35" applyNumberFormat="0" applyAlignment="0" applyProtection="0"/>
    <xf numFmtId="0" fontId="178" fillId="59" borderId="35" applyNumberFormat="0" applyAlignment="0" applyProtection="0"/>
    <xf numFmtId="0" fontId="172" fillId="59" borderId="35" applyNumberFormat="0" applyAlignment="0" applyProtection="0"/>
    <xf numFmtId="0" fontId="172" fillId="59" borderId="35" applyNumberFormat="0" applyAlignment="0" applyProtection="0"/>
    <xf numFmtId="0" fontId="38" fillId="34" borderId="0">
      <alignment horizontal="left"/>
    </xf>
    <xf numFmtId="41" fontId="179"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22" fillId="0" borderId="0"/>
    <xf numFmtId="43" fontId="2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2" fillId="38" borderId="11" applyNumberFormat="0" applyFont="0" applyAlignment="0">
      <protection locked="0"/>
    </xf>
    <xf numFmtId="0" fontId="174" fillId="0" borderId="0" applyNumberFormat="0" applyFill="0" applyBorder="0" applyAlignment="0" applyProtection="0"/>
    <xf numFmtId="166" fontId="42" fillId="0" borderId="0" applyNumberFormat="0" applyFill="0" applyBorder="0" applyAlignment="0" applyProtection="0"/>
    <xf numFmtId="166" fontId="42" fillId="0" borderId="0" applyNumberFormat="0" applyFill="0" applyBorder="0" applyAlignment="0" applyProtection="0"/>
    <xf numFmtId="0" fontId="123" fillId="0" borderId="0" applyNumberFormat="0" applyFill="0" applyBorder="0" applyAlignment="0" applyProtection="0"/>
    <xf numFmtId="0" fontId="180"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47" fillId="21" borderId="0" applyNumberFormat="0" applyBorder="0" applyAlignment="0" applyProtection="0"/>
    <xf numFmtId="0" fontId="167" fillId="54" borderId="0" applyNumberFormat="0" applyBorder="0" applyAlignment="0" applyProtection="0"/>
    <xf numFmtId="166" fontId="35" fillId="39" borderId="0" applyNumberFormat="0" applyBorder="0" applyAlignment="0" applyProtection="0"/>
    <xf numFmtId="166" fontId="35" fillId="39" borderId="0" applyNumberFormat="0" applyBorder="0" applyAlignment="0" applyProtection="0"/>
    <xf numFmtId="0" fontId="124" fillId="54" borderId="0" applyNumberFormat="0" applyBorder="0" applyAlignment="0" applyProtection="0"/>
    <xf numFmtId="0" fontId="181" fillId="54" borderId="0" applyNumberFormat="0" applyBorder="0" applyAlignment="0" applyProtection="0"/>
    <xf numFmtId="0" fontId="167" fillId="54" borderId="0" applyNumberFormat="0" applyBorder="0" applyAlignment="0" applyProtection="0"/>
    <xf numFmtId="0" fontId="167" fillId="54" borderId="0" applyNumberFormat="0" applyBorder="0" applyAlignment="0" applyProtection="0"/>
    <xf numFmtId="0" fontId="48" fillId="0" borderId="12" applyNumberFormat="0" applyFill="0" applyAlignment="0" applyProtection="0"/>
    <xf numFmtId="0" fontId="17" fillId="0" borderId="1" applyNumberFormat="0" applyFill="0" applyAlignment="0" applyProtection="0"/>
    <xf numFmtId="166" fontId="49" fillId="0" borderId="13" applyNumberFormat="0" applyFill="0" applyAlignment="0" applyProtection="0"/>
    <xf numFmtId="166" fontId="49" fillId="0" borderId="13" applyNumberFormat="0" applyFill="0" applyAlignment="0" applyProtection="0"/>
    <xf numFmtId="0" fontId="49" fillId="0" borderId="13" applyNumberFormat="0" applyFill="0" applyAlignment="0" applyProtection="0"/>
    <xf numFmtId="0" fontId="126" fillId="0" borderId="1" applyNumberFormat="0" applyFill="0" applyAlignment="0" applyProtection="0"/>
    <xf numFmtId="0" fontId="182" fillId="0" borderId="1" applyNumberFormat="0" applyFill="0" applyAlignment="0" applyProtection="0"/>
    <xf numFmtId="0" fontId="17" fillId="0" borderId="1" applyNumberFormat="0" applyFill="0" applyAlignment="0" applyProtection="0"/>
    <xf numFmtId="0" fontId="17" fillId="0" borderId="1" applyNumberFormat="0" applyFill="0" applyAlignment="0" applyProtection="0"/>
    <xf numFmtId="0" fontId="50" fillId="0" borderId="14" applyNumberFormat="0" applyFill="0" applyAlignment="0" applyProtection="0"/>
    <xf numFmtId="0" fontId="18" fillId="0" borderId="2" applyNumberFormat="0" applyFill="0" applyAlignment="0" applyProtection="0"/>
    <xf numFmtId="166" fontId="51" fillId="0" borderId="15" applyNumberFormat="0" applyFill="0" applyAlignment="0" applyProtection="0"/>
    <xf numFmtId="166" fontId="51" fillId="0" borderId="15" applyNumberFormat="0" applyFill="0" applyAlignment="0" applyProtection="0"/>
    <xf numFmtId="0" fontId="51" fillId="0" borderId="38" applyNumberFormat="0" applyFill="0" applyAlignment="0" applyProtection="0"/>
    <xf numFmtId="0" fontId="51" fillId="0" borderId="15" applyNumberFormat="0" applyFill="0" applyAlignment="0" applyProtection="0"/>
    <xf numFmtId="0" fontId="127" fillId="0" borderId="2" applyNumberFormat="0" applyFill="0" applyAlignment="0" applyProtection="0"/>
    <xf numFmtId="0" fontId="183" fillId="0" borderId="2" applyNumberFormat="0" applyFill="0" applyAlignment="0" applyProtection="0"/>
    <xf numFmtId="0" fontId="18" fillId="0" borderId="2" applyNumberFormat="0" applyFill="0" applyAlignment="0" applyProtection="0"/>
    <xf numFmtId="0" fontId="18" fillId="0" borderId="2" applyNumberFormat="0" applyFill="0" applyAlignment="0" applyProtection="0"/>
    <xf numFmtId="0" fontId="52" fillId="0" borderId="16" applyNumberFormat="0" applyFill="0" applyAlignment="0" applyProtection="0"/>
    <xf numFmtId="172" fontId="53" fillId="0" borderId="41" applyNumberFormat="0" applyFill="0" applyAlignment="0" applyProtection="0"/>
    <xf numFmtId="0" fontId="166" fillId="0" borderId="31"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128" fillId="0" borderId="31" applyNumberFormat="0" applyFill="0" applyAlignment="0" applyProtection="0"/>
    <xf numFmtId="0" fontId="184" fillId="0" borderId="31" applyNumberFormat="0" applyFill="0" applyAlignment="0" applyProtection="0"/>
    <xf numFmtId="0" fontId="166" fillId="0" borderId="31" applyNumberFormat="0" applyFill="0" applyAlignment="0" applyProtection="0"/>
    <xf numFmtId="0" fontId="166" fillId="0" borderId="31" applyNumberFormat="0" applyFill="0" applyAlignment="0" applyProtection="0"/>
    <xf numFmtId="0" fontId="52" fillId="0" borderId="0" applyNumberFormat="0" applyFill="0" applyBorder="0" applyAlignment="0" applyProtection="0"/>
    <xf numFmtId="0" fontId="166" fillId="0" borderId="0" applyNumberFormat="0" applyFill="0" applyBorder="0" applyAlignment="0" applyProtection="0"/>
    <xf numFmtId="166" fontId="53" fillId="0" borderId="0" applyNumberFormat="0" applyFill="0" applyBorder="0" applyAlignment="0" applyProtection="0"/>
    <xf numFmtId="166" fontId="53" fillId="0" borderId="0" applyNumberFormat="0" applyFill="0" applyBorder="0" applyAlignment="0" applyProtection="0"/>
    <xf numFmtId="0" fontId="128" fillId="0" borderId="0" applyNumberFormat="0" applyFill="0" applyBorder="0" applyAlignment="0" applyProtection="0"/>
    <xf numFmtId="0" fontId="184"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85" fillId="0" borderId="0" applyNumberFormat="0" applyFill="0" applyBorder="0" applyAlignment="0" applyProtection="0">
      <alignment vertical="top"/>
      <protection locked="0"/>
    </xf>
    <xf numFmtId="0" fontId="58" fillId="0" borderId="18" applyNumberFormat="0" applyFill="0" applyAlignment="0" applyProtection="0"/>
    <xf numFmtId="0" fontId="171" fillId="0" borderId="34" applyNumberFormat="0" applyFill="0" applyAlignment="0" applyProtection="0"/>
    <xf numFmtId="166" fontId="59" fillId="0" borderId="19" applyNumberFormat="0" applyFill="0" applyAlignment="0" applyProtection="0"/>
    <xf numFmtId="166" fontId="59" fillId="0" borderId="19" applyNumberFormat="0" applyFill="0" applyAlignment="0" applyProtection="0"/>
    <xf numFmtId="0" fontId="130" fillId="0" borderId="34" applyNumberFormat="0" applyFill="0" applyAlignment="0" applyProtection="0"/>
    <xf numFmtId="0" fontId="186" fillId="0" borderId="34" applyNumberFormat="0" applyFill="0" applyAlignment="0" applyProtection="0"/>
    <xf numFmtId="0" fontId="171" fillId="0" borderId="34" applyNumberFormat="0" applyFill="0" applyAlignment="0" applyProtection="0"/>
    <xf numFmtId="0" fontId="171" fillId="0" borderId="34" applyNumberFormat="0" applyFill="0" applyAlignment="0" applyProtection="0"/>
    <xf numFmtId="195" fontId="22" fillId="0" borderId="0" applyFont="0" applyFill="0" applyBorder="0" applyAlignment="0" applyProtection="0"/>
    <xf numFmtId="196" fontId="22" fillId="0" borderId="0" applyFont="0" applyFill="0" applyBorder="0" applyAlignment="0" applyProtection="0"/>
    <xf numFmtId="197" fontId="22" fillId="0" borderId="0" applyFont="0" applyFill="0" applyBorder="0" applyAlignment="0" applyProtection="0"/>
    <xf numFmtId="198" fontId="22" fillId="0" borderId="0" applyFont="0" applyFill="0" applyBorder="0" applyAlignment="0" applyProtection="0"/>
    <xf numFmtId="0" fontId="20" fillId="0" borderId="0" applyProtection="0">
      <alignment horizontal="center"/>
    </xf>
    <xf numFmtId="0" fontId="60" fillId="22" borderId="0" applyNumberFormat="0" applyBorder="0" applyAlignment="0" applyProtection="0"/>
    <xf numFmtId="0" fontId="169" fillId="56" borderId="0" applyNumberFormat="0" applyBorder="0" applyAlignment="0" applyProtection="0"/>
    <xf numFmtId="166" fontId="61" fillId="22" borderId="0" applyNumberFormat="0" applyBorder="0" applyAlignment="0" applyProtection="0"/>
    <xf numFmtId="166" fontId="61" fillId="22" borderId="0" applyNumberFormat="0" applyBorder="0" applyAlignment="0" applyProtection="0"/>
    <xf numFmtId="0" fontId="131" fillId="56" borderId="0" applyNumberFormat="0" applyBorder="0" applyAlignment="0" applyProtection="0"/>
    <xf numFmtId="0" fontId="187" fillId="56" borderId="0" applyNumberFormat="0" applyBorder="0" applyAlignment="0" applyProtection="0"/>
    <xf numFmtId="0" fontId="169" fillId="56" borderId="0" applyNumberFormat="0" applyBorder="0" applyAlignment="0" applyProtection="0"/>
    <xf numFmtId="0" fontId="169" fillId="56" borderId="0" applyNumberFormat="0" applyBorder="0" applyAlignment="0" applyProtection="0"/>
    <xf numFmtId="199" fontId="22" fillId="0" borderId="0"/>
    <xf numFmtId="0" fontId="12" fillId="0" borderId="0"/>
    <xf numFmtId="193"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12" fillId="0" borderId="0"/>
    <xf numFmtId="0" fontId="23"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12"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3" fontId="22" fillId="0" borderId="0"/>
    <xf numFmtId="0" fontId="12" fillId="0" borderId="0"/>
    <xf numFmtId="0" fontId="22" fillId="0" borderId="0"/>
    <xf numFmtId="0" fontId="22" fillId="0" borderId="0"/>
    <xf numFmtId="166" fontId="2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40" fillId="0" borderId="0"/>
    <xf numFmtId="0" fontId="12" fillId="0" borderId="0"/>
    <xf numFmtId="0" fontId="12" fillId="0" borderId="0"/>
    <xf numFmtId="0" fontId="12" fillId="0" borderId="0"/>
    <xf numFmtId="37" fontId="84"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15" fillId="0" borderId="0"/>
    <xf numFmtId="0" fontId="12" fillId="0" borderId="0"/>
    <xf numFmtId="0" fontId="22" fillId="0" borderId="0"/>
    <xf numFmtId="0" fontId="12" fillId="0" borderId="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23" fillId="2" borderId="3" applyNumberFormat="0" applyFont="0" applyAlignment="0" applyProtection="0"/>
    <xf numFmtId="0" fontId="132" fillId="58" borderId="33" applyNumberFormat="0" applyAlignment="0" applyProtection="0"/>
    <xf numFmtId="0" fontId="188" fillId="58" borderId="33" applyNumberFormat="0" applyAlignment="0" applyProtection="0"/>
    <xf numFmtId="0" fontId="170" fillId="58" borderId="33" applyNumberFormat="0" applyAlignment="0" applyProtection="0"/>
    <xf numFmtId="0" fontId="170" fillId="58" borderId="33" applyNumberFormat="0" applyAlignment="0" applyProtection="0"/>
    <xf numFmtId="171" fontId="64" fillId="34" borderId="0">
      <alignment horizontal="right"/>
    </xf>
    <xf numFmtId="171" fontId="64" fillId="34" borderId="0">
      <alignment horizontal="right"/>
    </xf>
    <xf numFmtId="171" fontId="64" fillId="34" borderId="0">
      <alignment horizontal="right"/>
    </xf>
    <xf numFmtId="0" fontId="67" fillId="40" borderId="0">
      <alignment horizontal="right"/>
    </xf>
    <xf numFmtId="0" fontId="68" fillId="40" borderId="10"/>
    <xf numFmtId="0" fontId="57" fillId="40" borderId="10"/>
    <xf numFmtId="0" fontId="68" fillId="40" borderId="10"/>
    <xf numFmtId="0" fontId="68" fillId="0" borderId="0" applyBorder="0">
      <alignment horizontal="centerContinuous"/>
    </xf>
    <xf numFmtId="0" fontId="71" fillId="0" borderId="0" applyBorder="0">
      <alignment horizontal="centerContinuous"/>
    </xf>
    <xf numFmtId="9" fontId="2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4" fillId="0" borderId="22">
      <alignment horizontal="center"/>
    </xf>
    <xf numFmtId="0" fontId="73" fillId="43" borderId="0" applyNumberFormat="0" applyFont="0" applyBorder="0" applyAlignment="0" applyProtection="0"/>
    <xf numFmtId="49" fontId="22" fillId="0" borderId="42">
      <alignment horizontal="center" vertical="center"/>
      <protection locked="0"/>
    </xf>
    <xf numFmtId="0" fontId="82" fillId="0" borderId="0" applyNumberFormat="0" applyFill="0" applyBorder="0" applyAlignment="0" applyProtection="0"/>
    <xf numFmtId="166" fontId="82" fillId="0" borderId="0" applyNumberFormat="0" applyFill="0" applyBorder="0" applyAlignment="0" applyProtection="0"/>
    <xf numFmtId="0" fontId="24" fillId="0" borderId="4" applyNumberFormat="0" applyFill="0" applyAlignment="0" applyProtection="0"/>
    <xf numFmtId="0" fontId="18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85" fillId="34" borderId="0">
      <alignment horizontal="center"/>
    </xf>
    <xf numFmtId="172" fontId="190" fillId="0" borderId="0" applyNumberFormat="0" applyFill="0" applyBorder="0" applyAlignment="0" applyProtection="0"/>
    <xf numFmtId="0" fontId="173"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166" fontId="190" fillId="0" borderId="0" applyNumberFormat="0" applyFill="0" applyBorder="0" applyAlignment="0" applyProtection="0"/>
    <xf numFmtId="0" fontId="190" fillId="0" borderId="0" applyNumberFormat="0" applyFill="0" applyBorder="0" applyAlignment="0" applyProtection="0"/>
    <xf numFmtId="0" fontId="133" fillId="0" borderId="0" applyNumberFormat="0" applyFill="0" applyBorder="0" applyAlignment="0" applyProtection="0"/>
    <xf numFmtId="0" fontId="191"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9" fontId="23" fillId="0" borderId="0" applyFont="0" applyFill="0" applyBorder="0" applyAlignment="0" applyProtection="0"/>
    <xf numFmtId="43" fontId="11" fillId="0" borderId="0" applyFont="0" applyFill="0" applyBorder="0" applyAlignment="0" applyProtection="0"/>
    <xf numFmtId="0" fontId="11" fillId="0" borderId="0"/>
    <xf numFmtId="0" fontId="10" fillId="0" borderId="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25" fillId="16"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172" fontId="25" fillId="73" borderId="0" applyNumberFormat="0" applyBorder="0" applyAlignment="0" applyProtection="0"/>
    <xf numFmtId="172" fontId="25" fillId="73" borderId="0" applyNumberFormat="0" applyBorder="0" applyAlignment="0" applyProtection="0"/>
    <xf numFmtId="172" fontId="25" fillId="73" borderId="0" applyNumberFormat="0" applyBorder="0" applyAlignment="0" applyProtection="0"/>
    <xf numFmtId="0" fontId="25" fillId="7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25" fillId="1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172" fontId="25" fillId="23" borderId="0" applyNumberFormat="0" applyBorder="0" applyAlignment="0" applyProtection="0"/>
    <xf numFmtId="172" fontId="25" fillId="23" borderId="0" applyNumberFormat="0" applyBorder="0" applyAlignment="0" applyProtection="0"/>
    <xf numFmtId="172" fontId="25" fillId="23" borderId="0" applyNumberFormat="0" applyBorder="0" applyAlignment="0" applyProtection="0"/>
    <xf numFmtId="0" fontId="25" fillId="23"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25" fillId="18"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172" fontId="25" fillId="39" borderId="0" applyNumberFormat="0" applyBorder="0" applyAlignment="0" applyProtection="0"/>
    <xf numFmtId="172" fontId="25" fillId="39" borderId="0" applyNumberFormat="0" applyBorder="0" applyAlignment="0" applyProtection="0"/>
    <xf numFmtId="172" fontId="25" fillId="39" borderId="0" applyNumberFormat="0" applyBorder="0" applyAlignment="0" applyProtection="0"/>
    <xf numFmtId="0" fontId="25" fillId="3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25" fillId="20"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9" borderId="0" applyNumberFormat="0" applyBorder="0" applyAlignment="0" applyProtection="0"/>
    <xf numFmtId="0" fontId="10" fillId="19" borderId="0" applyNumberFormat="0" applyBorder="0" applyAlignment="0" applyProtection="0"/>
    <xf numFmtId="0" fontId="10" fillId="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9" borderId="0" applyNumberFormat="0" applyBorder="0" applyAlignment="0" applyProtection="0"/>
    <xf numFmtId="172" fontId="25" fillId="33" borderId="0" applyNumberFormat="0" applyBorder="0" applyAlignment="0" applyProtection="0"/>
    <xf numFmtId="0" fontId="25" fillId="33"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5" fillId="2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172" fontId="25" fillId="21" borderId="0" applyNumberFormat="0" applyBorder="0" applyAlignment="0" applyProtection="0"/>
    <xf numFmtId="172" fontId="25" fillId="21" borderId="0" applyNumberFormat="0" applyBorder="0" applyAlignment="0" applyProtection="0"/>
    <xf numFmtId="172" fontId="25" fillId="21" borderId="0" applyNumberFormat="0" applyBorder="0" applyAlignment="0" applyProtection="0"/>
    <xf numFmtId="0" fontId="25" fillId="21"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25"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172" fontId="25" fillId="20" borderId="0" applyNumberFormat="0" applyBorder="0" applyAlignment="0" applyProtection="0"/>
    <xf numFmtId="172" fontId="25" fillId="20" borderId="0" applyNumberFormat="0" applyBorder="0" applyAlignment="0" applyProtection="0"/>
    <xf numFmtId="172" fontId="25" fillId="20" borderId="0" applyNumberFormat="0" applyBorder="0" applyAlignment="0" applyProtection="0"/>
    <xf numFmtId="0" fontId="25" fillId="20"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5" fillId="21"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72" fontId="25" fillId="16" borderId="0" applyNumberFormat="0" applyBorder="0" applyAlignment="0" applyProtection="0"/>
    <xf numFmtId="172" fontId="25" fillId="16" borderId="0" applyNumberFormat="0" applyBorder="0" applyAlignment="0" applyProtection="0"/>
    <xf numFmtId="172" fontId="25" fillId="16"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25" fillId="17"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172" fontId="25" fillId="17" borderId="0" applyNumberFormat="0" applyBorder="0" applyAlignment="0" applyProtection="0"/>
    <xf numFmtId="172" fontId="25" fillId="17" borderId="0" applyNumberFormat="0" applyBorder="0" applyAlignment="0" applyProtection="0"/>
    <xf numFmtId="172" fontId="25" fillId="17" borderId="0" applyNumberFormat="0" applyBorder="0" applyAlignment="0" applyProtection="0"/>
    <xf numFmtId="0" fontId="25" fillId="1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25" fillId="22"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172" fontId="25" fillId="38" borderId="0" applyNumberFormat="0" applyBorder="0" applyAlignment="0" applyProtection="0"/>
    <xf numFmtId="172" fontId="25" fillId="38" borderId="0" applyNumberFormat="0" applyBorder="0" applyAlignment="0" applyProtection="0"/>
    <xf numFmtId="172" fontId="25" fillId="38" borderId="0" applyNumberFormat="0" applyBorder="0" applyAlignment="0" applyProtection="0"/>
    <xf numFmtId="0" fontId="25" fillId="38"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25" fillId="2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172" fontId="25" fillId="33" borderId="0" applyNumberFormat="0" applyBorder="0" applyAlignment="0" applyProtection="0"/>
    <xf numFmtId="172" fontId="25" fillId="33" borderId="0" applyNumberFormat="0" applyBorder="0" applyAlignment="0" applyProtection="0"/>
    <xf numFmtId="172" fontId="25" fillId="33" borderId="0" applyNumberFormat="0" applyBorder="0" applyAlignment="0" applyProtection="0"/>
    <xf numFmtId="0" fontId="25" fillId="33"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5" fillId="2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172" fontId="25" fillId="16" borderId="0" applyNumberFormat="0" applyBorder="0" applyAlignment="0" applyProtection="0"/>
    <xf numFmtId="172" fontId="25" fillId="16" borderId="0" applyNumberFormat="0" applyBorder="0" applyAlignment="0" applyProtection="0"/>
    <xf numFmtId="172" fontId="25" fillId="16" borderId="0" applyNumberFormat="0" applyBorder="0" applyAlignment="0" applyProtection="0"/>
    <xf numFmtId="0" fontId="25" fillId="1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5" fillId="18"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172" fontId="25" fillId="26" borderId="0" applyNumberFormat="0" applyBorder="0" applyAlignment="0" applyProtection="0"/>
    <xf numFmtId="172" fontId="25" fillId="26" borderId="0" applyNumberFormat="0" applyBorder="0" applyAlignment="0" applyProtection="0"/>
    <xf numFmtId="172" fontId="25" fillId="26" borderId="0" applyNumberFormat="0" applyBorder="0" applyAlignment="0" applyProtection="0"/>
    <xf numFmtId="0" fontId="25" fillId="26" borderId="0" applyNumberFormat="0" applyBorder="0" applyAlignment="0" applyProtection="0"/>
    <xf numFmtId="0" fontId="27" fillId="74" borderId="0" applyNumberFormat="0" applyBorder="0" applyAlignment="0" applyProtection="0"/>
    <xf numFmtId="0" fontId="27" fillId="17" borderId="0" applyNumberFormat="0" applyBorder="0" applyAlignment="0" applyProtection="0"/>
    <xf numFmtId="0" fontId="27" fillId="38" borderId="0" applyNumberFormat="0" applyBorder="0" applyAlignment="0" applyProtection="0"/>
    <xf numFmtId="0" fontId="27" fillId="75" borderId="0" applyNumberFormat="0" applyBorder="0" applyAlignment="0" applyProtection="0"/>
    <xf numFmtId="0" fontId="27" fillId="29" borderId="0" applyNumberFormat="0" applyBorder="0" applyAlignment="0" applyProtection="0"/>
    <xf numFmtId="0" fontId="27" fillId="48" borderId="0" applyNumberFormat="0" applyBorder="0" applyAlignment="0" applyProtection="0"/>
    <xf numFmtId="0" fontId="27" fillId="76"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75" borderId="0" applyNumberFormat="0" applyBorder="0" applyAlignment="0" applyProtection="0"/>
    <xf numFmtId="0" fontId="175" fillId="68" borderId="0" applyNumberFormat="0" applyBorder="0" applyAlignment="0" applyProtection="0"/>
    <xf numFmtId="0" fontId="27" fillId="25" borderId="0" applyNumberFormat="0" applyBorder="0" applyAlignment="0" applyProtection="0"/>
    <xf numFmtId="0" fontId="29" fillId="23" borderId="0" applyNumberFormat="0" applyBorder="0" applyAlignment="0" applyProtection="0"/>
    <xf numFmtId="0" fontId="31" fillId="34" borderId="8" applyNumberFormat="0" applyAlignment="0" applyProtection="0"/>
    <xf numFmtId="0" fontId="198" fillId="19"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198" fillId="19"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198" fillId="19"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198" fillId="19"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198" fillId="19"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182" fontId="199" fillId="58" borderId="32"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182" fontId="199" fillId="58" borderId="32"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198" fillId="19"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197" fillId="58" borderId="32" applyNumberFormat="0" applyAlignment="0" applyProtection="0"/>
    <xf numFmtId="0" fontId="197" fillId="58" borderId="32"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172" fontId="198" fillId="19"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172" fontId="198" fillId="19"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172" fontId="198" fillId="19"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172" fontId="198" fillId="19"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172" fontId="198" fillId="19"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198" fillId="19"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31" fillId="34" borderId="8" applyNumberFormat="0" applyAlignment="0" applyProtection="0"/>
    <xf numFmtId="0" fontId="172" fillId="59" borderId="35" applyNumberFormat="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77" borderId="0"/>
    <xf numFmtId="3" fontId="22" fillId="0" borderId="0" applyFont="0" applyFill="0" applyBorder="0" applyAlignment="0" applyProtection="0"/>
    <xf numFmtId="3" fontId="20" fillId="0" borderId="0" applyFont="0" applyFill="0" applyBorder="0" applyAlignment="0" applyProtection="0"/>
    <xf numFmtId="3" fontId="22" fillId="0" borderId="0" applyFont="0" applyFill="0" applyBorder="0" applyAlignment="0" applyProtection="0"/>
    <xf numFmtId="3" fontId="22" fillId="77"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00" fillId="0" borderId="0" applyFont="0" applyFill="0" applyBorder="0" applyAlignment="0" applyProtection="0"/>
    <xf numFmtId="44" fontId="20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0" fillId="0" borderId="0" applyFont="0" applyFill="0" applyBorder="0" applyAlignment="0" applyProtection="0"/>
    <xf numFmtId="44" fontId="200" fillId="0" borderId="0" applyFont="0" applyFill="0" applyBorder="0" applyAlignment="0" applyProtection="0"/>
    <xf numFmtId="44" fontId="20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00" fillId="0" borderId="0" applyFont="0" applyFill="0" applyBorder="0" applyAlignment="0" applyProtection="0"/>
    <xf numFmtId="44" fontId="20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0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0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01" fillId="0" borderId="0"/>
    <xf numFmtId="0" fontId="201" fillId="0" borderId="43"/>
    <xf numFmtId="0" fontId="22" fillId="0" borderId="0" applyFont="0" applyFill="0" applyBorder="0" applyAlignment="0" applyProtection="0"/>
    <xf numFmtId="0"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0" fontId="174" fillId="0" borderId="0" applyNumberFormat="0" applyFill="0" applyBorder="0" applyAlignment="0" applyProtection="0"/>
    <xf numFmtId="0" fontId="22" fillId="0" borderId="0" applyProtection="0"/>
    <xf numFmtId="0" fontId="22" fillId="0" borderId="0" applyProtection="0"/>
    <xf numFmtId="0" fontId="22" fillId="0" borderId="0" applyProtection="0"/>
    <xf numFmtId="0" fontId="22" fillId="0" borderId="0" applyProtection="0"/>
    <xf numFmtId="2" fontId="22" fillId="0" borderId="0" applyFont="0" applyFill="0" applyBorder="0" applyAlignment="0" applyProtection="0"/>
    <xf numFmtId="2" fontId="22" fillId="0" borderId="0" applyFont="0" applyFill="0" applyBorder="0" applyAlignment="0" applyProtection="0"/>
    <xf numFmtId="0" fontId="47" fillId="39" borderId="0" applyNumberFormat="0" applyBorder="0" applyAlignment="0" applyProtection="0"/>
    <xf numFmtId="0" fontId="202" fillId="0" borderId="0" applyNumberFormat="0" applyFill="0" applyBorder="0" applyAlignment="0" applyProtection="0"/>
    <xf numFmtId="164" fontId="125" fillId="0" borderId="0" applyNumberFormat="0" applyFont="0" applyFill="0" applyAlignment="0" applyProtection="0"/>
    <xf numFmtId="0" fontId="152" fillId="0" borderId="37" applyNumberFormat="0" applyFill="0" applyAlignment="0" applyProtection="0"/>
    <xf numFmtId="0" fontId="202" fillId="0" borderId="0" applyNumberFormat="0" applyFill="0" applyBorder="0" applyAlignment="0" applyProtection="0"/>
    <xf numFmtId="0" fontId="90" fillId="0" borderId="0" applyNumberFormat="0" applyFill="0" applyBorder="0" applyAlignment="0" applyProtection="0"/>
    <xf numFmtId="164" fontId="45" fillId="0" borderId="0" applyNumberFormat="0" applyFont="0" applyFill="0" applyAlignment="0" applyProtection="0"/>
    <xf numFmtId="0" fontId="154" fillId="0" borderId="38" applyNumberFormat="0" applyFill="0" applyAlignment="0" applyProtection="0"/>
    <xf numFmtId="0" fontId="156" fillId="0" borderId="39" applyNumberFormat="0" applyFill="0" applyAlignment="0" applyProtection="0"/>
    <xf numFmtId="0" fontId="156" fillId="0" borderId="0" applyNumberFormat="0" applyFill="0" applyBorder="0" applyAlignment="0" applyProtection="0"/>
    <xf numFmtId="0" fontId="55" fillId="22" borderId="8" applyNumberFormat="0" applyAlignment="0" applyProtection="0"/>
    <xf numFmtId="0" fontId="55"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182" fontId="203" fillId="57" borderId="32"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182" fontId="203" fillId="57" borderId="32"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196" fillId="57" borderId="32" applyNumberFormat="0" applyAlignment="0" applyProtection="0"/>
    <xf numFmtId="0" fontId="196" fillId="57" borderId="32"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172" fontId="55"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172" fontId="55"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172" fontId="55"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172" fontId="55"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172" fontId="55"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0"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55" fillId="22" borderId="8" applyNumberFormat="0" applyAlignment="0" applyProtection="0"/>
    <xf numFmtId="0" fontId="204" fillId="41" borderId="43"/>
    <xf numFmtId="0" fontId="158" fillId="0" borderId="19" applyNumberFormat="0" applyFill="0" applyAlignment="0" applyProtection="0"/>
    <xf numFmtId="0" fontId="160" fillId="22" borderId="0" applyNumberFormat="0" applyBorder="0" applyAlignment="0" applyProtection="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2" fillId="0" borderId="0"/>
    <xf numFmtId="172" fontId="22" fillId="0" borderId="0"/>
    <xf numFmtId="172" fontId="22" fillId="0" borderId="0"/>
    <xf numFmtId="172" fontId="22" fillId="0" borderId="0"/>
    <xf numFmtId="172" fontId="22" fillId="0" borderId="0"/>
    <xf numFmtId="0" fontId="10" fillId="0" borderId="0"/>
    <xf numFmtId="0" fontId="10" fillId="0" borderId="0"/>
    <xf numFmtId="0" fontId="10" fillId="0" borderId="0"/>
    <xf numFmtId="0" fontId="10" fillId="0" borderId="0"/>
    <xf numFmtId="0" fontId="10" fillId="0" borderId="0"/>
    <xf numFmtId="172"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22" fillId="0" borderId="0"/>
    <xf numFmtId="172" fontId="22" fillId="0" borderId="0"/>
    <xf numFmtId="0" fontId="200" fillId="0" borderId="0"/>
    <xf numFmtId="0" fontId="200" fillId="0" borderId="0"/>
    <xf numFmtId="0" fontId="200" fillId="0" borderId="0"/>
    <xf numFmtId="164" fontId="22" fillId="0" borderId="0"/>
    <xf numFmtId="0" fontId="200" fillId="0" borderId="0"/>
    <xf numFmtId="41" fontId="4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0" fillId="0" borderId="0"/>
    <xf numFmtId="0" fontId="200" fillId="0" borderId="0"/>
    <xf numFmtId="0" fontId="20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22"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73"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22" fillId="0" borderId="0"/>
    <xf numFmtId="0" fontId="10" fillId="0" borderId="0"/>
    <xf numFmtId="0" fontId="22" fillId="0" borderId="0"/>
    <xf numFmtId="0" fontId="10" fillId="0" borderId="0"/>
    <xf numFmtId="0" fontId="10" fillId="0" borderId="0"/>
    <xf numFmtId="0" fontId="10" fillId="0" borderId="0"/>
    <xf numFmtId="0" fontId="22"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22" fillId="0" borderId="0"/>
    <xf numFmtId="0" fontId="10" fillId="0" borderId="0"/>
    <xf numFmtId="0" fontId="10" fillId="0" borderId="0"/>
    <xf numFmtId="0" fontId="22" fillId="0" borderId="0"/>
    <xf numFmtId="0" fontId="22" fillId="0" borderId="0"/>
    <xf numFmtId="0" fontId="22" fillId="0" borderId="0"/>
    <xf numFmtId="0" fontId="10" fillId="0" borderId="0"/>
    <xf numFmtId="0" fontId="10" fillId="0" borderId="0"/>
    <xf numFmtId="0" fontId="10" fillId="0" borderId="0"/>
    <xf numFmtId="37" fontId="84" fillId="0" borderId="0"/>
    <xf numFmtId="0" fontId="10" fillId="0" borderId="0"/>
    <xf numFmtId="0" fontId="10" fillId="0" borderId="0"/>
    <xf numFmtId="0" fontId="10" fillId="0" borderId="0"/>
    <xf numFmtId="0" fontId="10" fillId="0" borderId="0"/>
    <xf numFmtId="37" fontId="84" fillId="0" borderId="0"/>
    <xf numFmtId="0" fontId="10" fillId="0" borderId="0"/>
    <xf numFmtId="0" fontId="10" fillId="0" borderId="0"/>
    <xf numFmtId="0" fontId="10" fillId="0" borderId="0"/>
    <xf numFmtId="0" fontId="10" fillId="0" borderId="0"/>
    <xf numFmtId="37"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0" fillId="0" borderId="0"/>
    <xf numFmtId="0" fontId="200" fillId="0" borderId="0"/>
    <xf numFmtId="0" fontId="10" fillId="0" borderId="0"/>
    <xf numFmtId="37" fontId="84" fillId="0" borderId="0"/>
    <xf numFmtId="172" fontId="10" fillId="0" borderId="0"/>
    <xf numFmtId="172" fontId="10" fillId="0" borderId="0"/>
    <xf numFmtId="172" fontId="10" fillId="0" borderId="0"/>
    <xf numFmtId="172" fontId="10" fillId="0" borderId="0"/>
    <xf numFmtId="172" fontId="10" fillId="0" borderId="0"/>
    <xf numFmtId="0" fontId="2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2" fillId="0" borderId="0"/>
    <xf numFmtId="182" fontId="26"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172" fontId="22" fillId="0" borderId="0"/>
    <xf numFmtId="0" fontId="10" fillId="0" borderId="0"/>
    <xf numFmtId="0" fontId="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2" fontId="26" fillId="0" borderId="0"/>
    <xf numFmtId="0" fontId="10" fillId="0" borderId="0"/>
    <xf numFmtId="0" fontId="10" fillId="0" borderId="0"/>
    <xf numFmtId="0" fontId="10" fillId="0" borderId="0"/>
    <xf numFmtId="172" fontId="22" fillId="0" borderId="0"/>
    <xf numFmtId="182" fontId="26" fillId="0" borderId="0"/>
    <xf numFmtId="0" fontId="10" fillId="0" borderId="0"/>
    <xf numFmtId="0" fontId="10" fillId="0" borderId="0"/>
    <xf numFmtId="0" fontId="10" fillId="0" borderId="0"/>
    <xf numFmtId="182" fontId="26" fillId="0" borderId="0"/>
    <xf numFmtId="0" fontId="10" fillId="0" borderId="0"/>
    <xf numFmtId="0" fontId="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00" fillId="0" borderId="0"/>
    <xf numFmtId="0" fontId="22" fillId="0" borderId="0"/>
    <xf numFmtId="0" fontId="22" fillId="0" borderId="0"/>
    <xf numFmtId="0" fontId="22" fillId="0" borderId="0"/>
    <xf numFmtId="0" fontId="200" fillId="0" borderId="0"/>
    <xf numFmtId="0" fontId="10" fillId="0" borderId="0"/>
    <xf numFmtId="0" fontId="10" fillId="0" borderId="0"/>
    <xf numFmtId="172" fontId="22" fillId="0" borderId="0"/>
    <xf numFmtId="172" fontId="22" fillId="0" borderId="0"/>
    <xf numFmtId="172" fontId="22" fillId="0" borderId="0"/>
    <xf numFmtId="0" fontId="22" fillId="0" borderId="0"/>
    <xf numFmtId="172" fontId="22" fillId="0" borderId="0"/>
    <xf numFmtId="182"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0" fillId="0" borderId="0"/>
    <xf numFmtId="0" fontId="200" fillId="0" borderId="0"/>
    <xf numFmtId="37" fontId="84" fillId="0" borderId="0"/>
    <xf numFmtId="37" fontId="84" fillId="0" borderId="0"/>
    <xf numFmtId="0" fontId="22" fillId="0" borderId="0"/>
    <xf numFmtId="0" fontId="22" fillId="0" borderId="0"/>
    <xf numFmtId="0" fontId="200" fillId="0" borderId="0"/>
    <xf numFmtId="0" fontId="200" fillId="0" borderId="0"/>
    <xf numFmtId="0" fontId="200" fillId="0" borderId="0"/>
    <xf numFmtId="37" fontId="84" fillId="0" borderId="0"/>
    <xf numFmtId="172" fontId="22" fillId="0" borderId="0"/>
    <xf numFmtId="172" fontId="22" fillId="0" borderId="0"/>
    <xf numFmtId="172" fontId="22" fillId="0" borderId="0"/>
    <xf numFmtId="182" fontId="26" fillId="0" borderId="0"/>
    <xf numFmtId="172" fontId="22" fillId="0" borderId="0"/>
    <xf numFmtId="182" fontId="26" fillId="0" borderId="0"/>
    <xf numFmtId="0" fontId="10" fillId="0" borderId="0"/>
    <xf numFmtId="0" fontId="10" fillId="0" borderId="0"/>
    <xf numFmtId="0" fontId="22" fillId="0" borderId="0"/>
    <xf numFmtId="0" fontId="10" fillId="0" borderId="0"/>
    <xf numFmtId="37" fontId="84" fillId="0" borderId="0"/>
    <xf numFmtId="37" fontId="84" fillId="0" borderId="0"/>
    <xf numFmtId="0" fontId="9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22" fillId="0" borderId="0"/>
    <xf numFmtId="172" fontId="22" fillId="0" borderId="0"/>
    <xf numFmtId="172" fontId="22" fillId="0" borderId="0"/>
    <xf numFmtId="182" fontId="26" fillId="0" borderId="0"/>
    <xf numFmtId="172" fontId="22" fillId="0" borderId="0"/>
    <xf numFmtId="182" fontId="26" fillId="0" borderId="0"/>
    <xf numFmtId="0" fontId="22" fillId="0" borderId="0"/>
    <xf numFmtId="0" fontId="10" fillId="0" borderId="0"/>
    <xf numFmtId="0" fontId="10" fillId="0" borderId="0"/>
    <xf numFmtId="0" fontId="10" fillId="0" borderId="0"/>
    <xf numFmtId="0" fontId="10" fillId="0" borderId="0"/>
    <xf numFmtId="0" fontId="40" fillId="18" borderId="20" applyNumberFormat="0" applyFont="0" applyAlignment="0" applyProtection="0"/>
    <xf numFmtId="0" fontId="40" fillId="18" borderId="20" applyNumberFormat="0" applyFont="0" applyAlignment="0" applyProtection="0"/>
    <xf numFmtId="0" fontId="205"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205"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205"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205"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205"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22"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182" fontId="205"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40" fillId="18" borderId="20" applyNumberFormat="0" applyFont="0" applyAlignment="0" applyProtection="0"/>
    <xf numFmtId="0" fontId="43" fillId="18" borderId="20"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40" fillId="18" borderId="20"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10" fillId="2" borderId="3" applyNumberFormat="0" applyFont="0" applyAlignment="0" applyProtection="0"/>
    <xf numFmtId="0" fontId="40" fillId="18" borderId="20" applyNumberFormat="0" applyFont="0" applyAlignment="0" applyProtection="0"/>
    <xf numFmtId="182" fontId="205"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182" fontId="205"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182" fontId="205"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182" fontId="205"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182" fontId="205"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182" fontId="205"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182" fontId="205" fillId="2" borderId="3"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205"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40" fillId="18" borderId="20" applyNumberFormat="0" applyFont="0" applyAlignment="0" applyProtection="0"/>
    <xf numFmtId="0" fontId="63" fillId="19" borderId="21" applyNumberFormat="0" applyAlignment="0" applyProtection="0"/>
    <xf numFmtId="0" fontId="170" fillId="58" borderId="33" applyNumberFormat="0" applyAlignment="0" applyProtection="0"/>
    <xf numFmtId="0" fontId="63" fillId="34" borderId="21" applyNumberFormat="0" applyAlignment="0" applyProtection="0"/>
    <xf numFmtId="0" fontId="63" fillId="34" borderId="21" applyNumberFormat="0" applyAlignment="0" applyProtection="0"/>
    <xf numFmtId="0" fontId="63" fillId="34" borderId="21" applyNumberFormat="0" applyAlignment="0" applyProtection="0"/>
    <xf numFmtId="0" fontId="63" fillId="34" borderId="21" applyNumberFormat="0" applyAlignment="0" applyProtection="0"/>
    <xf numFmtId="0" fontId="170" fillId="58" borderId="33" applyNumberFormat="0" applyAlignment="0" applyProtection="0"/>
    <xf numFmtId="171" fontId="64" fillId="34" borderId="0">
      <alignment horizontal="right"/>
    </xf>
    <xf numFmtId="4" fontId="64" fillId="40" borderId="0">
      <alignment horizontal="right"/>
    </xf>
    <xf numFmtId="40" fontId="65" fillId="40" borderId="0">
      <alignment horizontal="right"/>
    </xf>
    <xf numFmtId="171" fontId="64" fillId="34" borderId="0">
      <alignment horizontal="right"/>
    </xf>
    <xf numFmtId="40" fontId="65" fillId="40" borderId="0">
      <alignment horizontal="right"/>
    </xf>
    <xf numFmtId="4" fontId="64" fillId="40" borderId="0">
      <alignment horizontal="right"/>
    </xf>
    <xf numFmtId="40" fontId="65" fillId="40" borderId="0">
      <alignment horizontal="right"/>
    </xf>
    <xf numFmtId="40" fontId="65" fillId="40" borderId="0">
      <alignment horizontal="right"/>
    </xf>
    <xf numFmtId="4" fontId="64" fillId="40" borderId="0">
      <alignment horizontal="right"/>
    </xf>
    <xf numFmtId="4" fontId="64" fillId="40" borderId="0">
      <alignment horizontal="right"/>
    </xf>
    <xf numFmtId="4" fontId="64" fillId="40" borderId="0">
      <alignment horizontal="right"/>
    </xf>
    <xf numFmtId="4" fontId="64" fillId="40" borderId="0">
      <alignment horizontal="right"/>
    </xf>
    <xf numFmtId="4" fontId="64" fillId="40" borderId="0">
      <alignment horizontal="right"/>
    </xf>
    <xf numFmtId="4" fontId="64" fillId="40" borderId="0">
      <alignment horizontal="right"/>
    </xf>
    <xf numFmtId="4" fontId="64" fillId="40" borderId="0">
      <alignment horizontal="right"/>
    </xf>
    <xf numFmtId="4" fontId="64" fillId="40" borderId="0">
      <alignment horizontal="right"/>
    </xf>
    <xf numFmtId="4" fontId="64" fillId="40" borderId="0">
      <alignment horizontal="right"/>
    </xf>
    <xf numFmtId="4" fontId="64" fillId="40" borderId="0">
      <alignment horizontal="right"/>
    </xf>
    <xf numFmtId="171" fontId="64" fillId="34" borderId="0">
      <alignment horizontal="right"/>
    </xf>
    <xf numFmtId="0" fontId="66" fillId="41" borderId="0">
      <alignment horizontal="center"/>
    </xf>
    <xf numFmtId="164" fontId="66" fillId="41" borderId="0">
      <alignment horizontal="center"/>
    </xf>
    <xf numFmtId="0" fontId="66" fillId="40" borderId="0">
      <alignment horizontal="center" vertical="center"/>
    </xf>
    <xf numFmtId="0" fontId="66" fillId="41" borderId="0">
      <alignment horizontal="center"/>
    </xf>
    <xf numFmtId="0" fontId="67" fillId="40" borderId="0">
      <alignment horizontal="right"/>
    </xf>
    <xf numFmtId="0" fontId="67" fillId="40" borderId="0">
      <alignment horizontal="right"/>
    </xf>
    <xf numFmtId="0" fontId="67" fillId="40" borderId="0">
      <alignment horizontal="right"/>
    </xf>
    <xf numFmtId="0" fontId="67" fillId="40" borderId="0">
      <alignment horizontal="right"/>
    </xf>
    <xf numFmtId="0" fontId="67" fillId="40" borderId="0">
      <alignment horizontal="right"/>
    </xf>
    <xf numFmtId="164" fontId="66" fillId="41" borderId="0">
      <alignment horizontal="center"/>
    </xf>
    <xf numFmtId="0" fontId="67" fillId="40" borderId="0">
      <alignment horizontal="right"/>
    </xf>
    <xf numFmtId="0" fontId="67" fillId="40" borderId="0">
      <alignment horizontal="right"/>
    </xf>
    <xf numFmtId="0" fontId="66" fillId="40" borderId="0">
      <alignment horizontal="center" vertical="center"/>
    </xf>
    <xf numFmtId="0" fontId="66" fillId="40" borderId="0">
      <alignment horizontal="center" vertical="center"/>
    </xf>
    <xf numFmtId="0" fontId="34" fillId="42" borderId="0"/>
    <xf numFmtId="164" fontId="34" fillId="42" borderId="0"/>
    <xf numFmtId="0" fontId="57" fillId="40" borderId="10"/>
    <xf numFmtId="0" fontId="57" fillId="40" borderId="10"/>
    <xf numFmtId="0" fontId="34" fillId="42" borderId="0"/>
    <xf numFmtId="0" fontId="68" fillId="40" borderId="10"/>
    <xf numFmtId="0" fontId="68" fillId="40" borderId="10"/>
    <xf numFmtId="0" fontId="68" fillId="40" borderId="10"/>
    <xf numFmtId="0" fontId="68" fillId="40" borderId="10"/>
    <xf numFmtId="0" fontId="68" fillId="40" borderId="10"/>
    <xf numFmtId="172" fontId="68" fillId="40" borderId="10"/>
    <xf numFmtId="0" fontId="68" fillId="40" borderId="10"/>
    <xf numFmtId="0" fontId="68" fillId="40" borderId="10"/>
    <xf numFmtId="0" fontId="69" fillId="34" borderId="0" applyBorder="0">
      <alignment horizontal="centerContinuous"/>
    </xf>
    <xf numFmtId="164" fontId="69" fillId="34" borderId="0" applyBorder="0">
      <alignment horizontal="centerContinuous"/>
    </xf>
    <xf numFmtId="0" fontId="66" fillId="40" borderId="0" applyBorder="0">
      <alignment horizontal="centerContinuous"/>
    </xf>
    <xf numFmtId="0" fontId="69" fillId="34"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0" fontId="68" fillId="0" borderId="0" applyBorder="0">
      <alignment horizontal="centerContinuous"/>
    </xf>
    <xf numFmtId="164" fontId="69" fillId="34" borderId="0" applyBorder="0">
      <alignment horizontal="centerContinuous"/>
    </xf>
    <xf numFmtId="0" fontId="68" fillId="0" borderId="0" applyBorder="0">
      <alignment horizontal="centerContinuous"/>
    </xf>
    <xf numFmtId="0" fontId="68" fillId="0" borderId="0" applyBorder="0">
      <alignment horizontal="centerContinuous"/>
    </xf>
    <xf numFmtId="0" fontId="66" fillId="40" borderId="0" applyBorder="0">
      <alignment horizontal="centerContinuous"/>
    </xf>
    <xf numFmtId="0" fontId="66" fillId="40" borderId="0" applyBorder="0">
      <alignment horizontal="centerContinuous"/>
    </xf>
    <xf numFmtId="0" fontId="70" fillId="42" borderId="0" applyBorder="0">
      <alignment horizontal="centerContinuous"/>
    </xf>
    <xf numFmtId="164" fontId="70" fillId="42" borderId="0" applyBorder="0">
      <alignment horizontal="centerContinuous"/>
    </xf>
    <xf numFmtId="0" fontId="206" fillId="42" borderId="0" applyBorder="0">
      <alignment horizontal="centerContinuous"/>
    </xf>
    <xf numFmtId="0" fontId="72" fillId="40" borderId="0" applyBorder="0">
      <alignment horizontal="centerContinuous"/>
    </xf>
    <xf numFmtId="0" fontId="70" fillId="42"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0" fontId="71" fillId="0" borderId="0" applyBorder="0">
      <alignment horizontal="centerContinuous"/>
    </xf>
    <xf numFmtId="164" fontId="70" fillId="42" borderId="0" applyBorder="0">
      <alignment horizontal="centerContinuous"/>
    </xf>
    <xf numFmtId="0" fontId="71" fillId="0" borderId="0" applyBorder="0">
      <alignment horizontal="centerContinuous"/>
    </xf>
    <xf numFmtId="0" fontId="71" fillId="0" borderId="0" applyBorder="0">
      <alignment horizontal="centerContinuous"/>
    </xf>
    <xf numFmtId="0" fontId="72" fillId="40" borderId="0" applyBorder="0">
      <alignment horizontal="centerContinuous"/>
    </xf>
    <xf numFmtId="0" fontId="72" fillId="40" borderId="0" applyBorder="0">
      <alignment horizontal="centerContinuous"/>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00" fillId="0" borderId="0" applyFont="0" applyFill="0" applyBorder="0" applyAlignment="0" applyProtection="0"/>
    <xf numFmtId="9" fontId="200"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83" fontId="143" fillId="78" borderId="44">
      <alignment horizontal="left"/>
    </xf>
    <xf numFmtId="0" fontId="201" fillId="0" borderId="0"/>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21" fillId="44" borderId="23"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78" fillId="44" borderId="24" applyNumberFormat="0" applyProtection="0">
      <alignment vertical="center"/>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4" fontId="21" fillId="44" borderId="23" applyNumberFormat="0" applyProtection="0">
      <alignment horizontal="left" vertical="center"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0" fontId="21" fillId="45" borderId="24" applyNumberFormat="0" applyProtection="0">
      <alignment horizontal="left" vertical="top" indent="1"/>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22" fillId="44"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6"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79" fillId="47"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22"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16"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22" fillId="23"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30"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79" fillId="48"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9" borderId="24"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4" fontId="22" fillId="25" borderId="23" applyNumberFormat="0" applyProtection="0">
      <alignment horizontal="right" vertical="center"/>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3" applyNumberFormat="0" applyProtection="0">
      <alignment horizontal="left" vertical="center"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64"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80" fillId="51" borderId="24" applyNumberFormat="0" applyProtection="0">
      <alignment vertical="center"/>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4" fontId="22" fillId="25" borderId="24" applyNumberFormat="0" applyProtection="0">
      <alignment horizontal="left" vertical="center"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0" fontId="22" fillId="25" borderId="24" applyNumberFormat="0" applyProtection="0">
      <alignment horizontal="left" vertical="top" indent="1"/>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2"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4" fontId="22" fillId="25" borderId="23" applyNumberFormat="0" applyProtection="0">
      <alignment horizontal="left" vertical="center"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0" fontId="22" fillId="25" borderId="23" applyNumberFormat="0" applyProtection="0">
      <alignment horizontal="left" vertical="top" indent="1"/>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4" fontId="22" fillId="0" borderId="24" applyNumberFormat="0" applyProtection="0">
      <alignment horizontal="right" vertical="center"/>
    </xf>
    <xf numFmtId="202" fontId="207" fillId="0" borderId="45" applyNumberFormat="0" applyProtection="0">
      <alignment horizontal="right" vertical="center"/>
    </xf>
    <xf numFmtId="202" fontId="208" fillId="0" borderId="46" applyNumberFormat="0" applyProtection="0">
      <alignment horizontal="right" vertical="center"/>
    </xf>
    <xf numFmtId="0" fontId="208" fillId="79" borderId="47" applyNumberFormat="0" applyAlignment="0" applyProtection="0">
      <alignment horizontal="left" vertical="center" indent="1"/>
    </xf>
    <xf numFmtId="0" fontId="209" fillId="0" borderId="48" applyNumberFormat="0" applyFill="0" applyBorder="0" applyAlignment="0" applyProtection="0"/>
    <xf numFmtId="0" fontId="210" fillId="80" borderId="47" applyNumberFormat="0" applyAlignment="0" applyProtection="0">
      <alignment horizontal="left" vertical="center" indent="1"/>
    </xf>
    <xf numFmtId="0" fontId="210" fillId="81" borderId="47" applyNumberFormat="0" applyAlignment="0" applyProtection="0">
      <alignment horizontal="left" vertical="center" indent="1"/>
    </xf>
    <xf numFmtId="0" fontId="210" fillId="82" borderId="47" applyNumberFormat="0" applyAlignment="0" applyProtection="0">
      <alignment horizontal="left" vertical="center" indent="1"/>
    </xf>
    <xf numFmtId="0" fontId="210" fillId="83" borderId="47" applyNumberFormat="0" applyAlignment="0" applyProtection="0">
      <alignment horizontal="left" vertical="center" indent="1"/>
    </xf>
    <xf numFmtId="0" fontId="210" fillId="84" borderId="46" applyNumberFormat="0" applyAlignment="0" applyProtection="0">
      <alignment horizontal="left" vertical="center" indent="1"/>
    </xf>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0" fontId="22" fillId="0" borderId="25" applyNumberFormat="0" applyFont="0" applyFill="0" applyBorder="0" applyAlignment="0" applyProtection="0"/>
    <xf numFmtId="202" fontId="207" fillId="85" borderId="47" applyNumberFormat="0" applyAlignment="0" applyProtection="0">
      <alignment horizontal="left" vertical="center" indent="1"/>
    </xf>
    <xf numFmtId="0" fontId="208" fillId="79" borderId="46" applyNumberFormat="0" applyAlignment="0" applyProtection="0">
      <alignment horizontal="left" vertical="center" indent="1"/>
    </xf>
    <xf numFmtId="0" fontId="201" fillId="0" borderId="43"/>
    <xf numFmtId="0" fontId="211" fillId="37" borderId="0"/>
    <xf numFmtId="0" fontId="163"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82" fillId="0" borderId="0" applyNumberFormat="0" applyFill="0" applyBorder="0" applyAlignment="0" applyProtection="0"/>
    <xf numFmtId="0" fontId="22" fillId="0" borderId="30" applyNumberFormat="0" applyFont="0" applyFill="0" applyAlignment="0" applyProtection="0"/>
    <xf numFmtId="164" fontId="20" fillId="0" borderId="36" applyNumberFormat="0" applyFont="0" applyBorder="0" applyAlignment="0" applyProtection="0"/>
    <xf numFmtId="0" fontId="83" fillId="0" borderId="40" applyNumberFormat="0" applyFill="0" applyAlignment="0" applyProtection="0"/>
    <xf numFmtId="0" fontId="22" fillId="0" borderId="30" applyNumberFormat="0" applyFont="0" applyFill="0" applyAlignment="0" applyProtection="0"/>
    <xf numFmtId="0" fontId="22" fillId="0" borderId="30" applyNumberFormat="0" applyFont="0" applyFill="0" applyAlignment="0" applyProtection="0"/>
    <xf numFmtId="0" fontId="83" fillId="0" borderId="26" applyNumberFormat="0" applyFill="0" applyAlignment="0" applyProtection="0"/>
    <xf numFmtId="0" fontId="83" fillId="0" borderId="26" applyNumberFormat="0" applyFill="0" applyAlignment="0" applyProtection="0"/>
    <xf numFmtId="0" fontId="83" fillId="0" borderId="26" applyNumberFormat="0" applyFill="0" applyAlignment="0" applyProtection="0"/>
    <xf numFmtId="0" fontId="83" fillId="0" borderId="26" applyNumberFormat="0" applyFill="0" applyAlignment="0" applyProtection="0"/>
    <xf numFmtId="0" fontId="83" fillId="0" borderId="26" applyNumberFormat="0" applyFill="0" applyAlignment="0" applyProtection="0"/>
    <xf numFmtId="0" fontId="22" fillId="0" borderId="30" applyNumberFormat="0" applyFont="0" applyFill="0" applyAlignment="0" applyProtection="0"/>
    <xf numFmtId="0" fontId="204" fillId="0" borderId="49"/>
    <xf numFmtId="0" fontId="204" fillId="0" borderId="43"/>
    <xf numFmtId="0" fontId="173" fillId="0" borderId="0" applyNumberFormat="0" applyFill="0" applyBorder="0" applyAlignment="0" applyProtection="0"/>
    <xf numFmtId="0" fontId="9" fillId="0" borderId="0"/>
    <xf numFmtId="0" fontId="8" fillId="0" borderId="0"/>
    <xf numFmtId="0" fontId="23" fillId="0" borderId="0"/>
    <xf numFmtId="0" fontId="8" fillId="0" borderId="0"/>
    <xf numFmtId="43" fontId="115" fillId="0" borderId="0" applyFont="0" applyFill="0" applyBorder="0" applyAlignment="0" applyProtection="0"/>
    <xf numFmtId="0" fontId="7" fillId="0" borderId="0"/>
    <xf numFmtId="43" fontId="23" fillId="0" borderId="0" applyFont="0" applyFill="0" applyBorder="0" applyAlignment="0" applyProtection="0"/>
    <xf numFmtId="9" fontId="23" fillId="0" borderId="0" applyFont="0" applyFill="0" applyBorder="0" applyAlignment="0" applyProtection="0"/>
    <xf numFmtId="0" fontId="4" fillId="0" borderId="0"/>
    <xf numFmtId="0" fontId="4" fillId="0" borderId="0"/>
    <xf numFmtId="164" fontId="22" fillId="0" borderId="0"/>
    <xf numFmtId="0" fontId="2" fillId="0" borderId="0"/>
    <xf numFmtId="0" fontId="218" fillId="0" borderId="0"/>
    <xf numFmtId="44" fontId="218" fillId="0" borderId="0" applyFont="0" applyFill="0" applyBorder="0" applyAlignment="0" applyProtection="0"/>
    <xf numFmtId="9" fontId="218" fillId="0" borderId="0" applyFont="0" applyFill="0" applyBorder="0" applyAlignment="0" applyProtection="0"/>
  </cellStyleXfs>
  <cellXfs count="788">
    <xf numFmtId="37" fontId="0" fillId="0" borderId="0" xfId="0"/>
    <xf numFmtId="164" fontId="20" fillId="0" borderId="0" xfId="0" applyNumberFormat="1" applyFont="1" applyFill="1" applyProtection="1">
      <protection locked="0"/>
    </xf>
    <xf numFmtId="164" fontId="22" fillId="0" borderId="0" xfId="0" applyNumberFormat="1" applyFont="1"/>
    <xf numFmtId="165" fontId="22" fillId="0" borderId="0" xfId="0" applyNumberFormat="1" applyFont="1" applyAlignment="1">
      <alignment horizontal="center"/>
    </xf>
    <xf numFmtId="49" fontId="24" fillId="0" borderId="0" xfId="1" applyNumberFormat="1" applyFont="1" applyAlignment="1">
      <alignment horizontal="center" wrapText="1"/>
    </xf>
    <xf numFmtId="0" fontId="22" fillId="0" borderId="0" xfId="0" applyNumberFormat="1" applyFont="1" applyFill="1"/>
    <xf numFmtId="43" fontId="21" fillId="0" borderId="0" xfId="2" applyFont="1" applyFill="1" applyAlignment="1">
      <alignment horizontal="center"/>
    </xf>
    <xf numFmtId="43" fontId="22" fillId="0" borderId="0" xfId="2" applyFont="1" applyFill="1"/>
    <xf numFmtId="0" fontId="21" fillId="0" borderId="0" xfId="0" applyNumberFormat="1" applyFont="1" applyFill="1"/>
    <xf numFmtId="164" fontId="22" fillId="0" borderId="0" xfId="0" applyNumberFormat="1" applyFont="1" applyFill="1"/>
    <xf numFmtId="43" fontId="21" fillId="0" borderId="5" xfId="2" applyFont="1" applyFill="1" applyBorder="1" applyAlignment="1">
      <alignment horizontal="center"/>
    </xf>
    <xf numFmtId="43" fontId="21" fillId="0" borderId="0" xfId="2" applyFont="1" applyFill="1" applyBorder="1" applyAlignment="1">
      <alignment horizontal="center"/>
    </xf>
    <xf numFmtId="43" fontId="22" fillId="0" borderId="0" xfId="2" applyNumberFormat="1" applyFont="1" applyFill="1"/>
    <xf numFmtId="43" fontId="22" fillId="0" borderId="0" xfId="0" applyNumberFormat="1" applyFont="1" applyFill="1"/>
    <xf numFmtId="0" fontId="22" fillId="0" borderId="0" xfId="0" applyNumberFormat="1" applyFont="1" applyFill="1" applyBorder="1"/>
    <xf numFmtId="43" fontId="22" fillId="0" borderId="0" xfId="0" applyNumberFormat="1" applyFont="1" applyFill="1" applyBorder="1"/>
    <xf numFmtId="0" fontId="22" fillId="0" borderId="0" xfId="0" quotePrefix="1" applyNumberFormat="1" applyFont="1" applyFill="1" applyAlignment="1">
      <alignment horizontal="left"/>
    </xf>
    <xf numFmtId="43" fontId="22" fillId="0" borderId="0" xfId="2" applyFont="1" applyFill="1" applyBorder="1"/>
    <xf numFmtId="39" fontId="22" fillId="0" borderId="0" xfId="3" applyNumberFormat="1" applyFont="1" applyFill="1" applyBorder="1"/>
    <xf numFmtId="39" fontId="22" fillId="0" borderId="0" xfId="3" applyNumberFormat="1" applyFont="1" applyFill="1"/>
    <xf numFmtId="43" fontId="22" fillId="0" borderId="5" xfId="2" applyFont="1" applyFill="1" applyBorder="1"/>
    <xf numFmtId="43" fontId="22" fillId="0" borderId="5" xfId="0" applyNumberFormat="1" applyFont="1" applyFill="1" applyBorder="1"/>
    <xf numFmtId="43" fontId="22" fillId="0" borderId="7" xfId="2" applyFont="1" applyFill="1" applyBorder="1"/>
    <xf numFmtId="164" fontId="21" fillId="0" borderId="0" xfId="0" applyNumberFormat="1" applyFont="1"/>
    <xf numFmtId="43" fontId="22" fillId="0" borderId="0" xfId="2" applyFont="1" applyBorder="1"/>
    <xf numFmtId="39" fontId="22" fillId="0" borderId="0" xfId="3" applyNumberFormat="1" applyFont="1" applyBorder="1"/>
    <xf numFmtId="43" fontId="22" fillId="0" borderId="0" xfId="2" applyFont="1"/>
    <xf numFmtId="39" fontId="22" fillId="0" borderId="0" xfId="3" applyNumberFormat="1" applyFont="1"/>
    <xf numFmtId="164" fontId="21" fillId="0" borderId="0" xfId="0" applyNumberFormat="1" applyFont="1" applyBorder="1"/>
    <xf numFmtId="164" fontId="22" fillId="0" borderId="0" xfId="0" applyNumberFormat="1" applyFont="1" applyBorder="1"/>
    <xf numFmtId="43" fontId="22" fillId="0" borderId="0" xfId="0" applyNumberFormat="1" applyFont="1" applyBorder="1"/>
    <xf numFmtId="0" fontId="22" fillId="0" borderId="0" xfId="0" applyNumberFormat="1" applyFont="1"/>
    <xf numFmtId="165" fontId="21" fillId="0" borderId="0" xfId="0" applyNumberFormat="1" applyFont="1" applyAlignment="1">
      <alignment horizontal="center"/>
    </xf>
    <xf numFmtId="43" fontId="21" fillId="0" borderId="0" xfId="2" applyFont="1" applyAlignment="1">
      <alignment horizontal="center"/>
    </xf>
    <xf numFmtId="0" fontId="21" fillId="0" borderId="0" xfId="0" applyNumberFormat="1" applyFont="1"/>
    <xf numFmtId="43" fontId="21" fillId="0" borderId="5" xfId="2" applyFont="1" applyBorder="1" applyAlignment="1">
      <alignment horizontal="center"/>
    </xf>
    <xf numFmtId="43" fontId="21" fillId="0" borderId="0" xfId="2" applyFont="1" applyBorder="1" applyAlignment="1">
      <alignment horizontal="center"/>
    </xf>
    <xf numFmtId="44" fontId="22" fillId="0" borderId="0" xfId="3" applyFont="1"/>
    <xf numFmtId="43" fontId="22" fillId="0" borderId="0" xfId="0" applyNumberFormat="1" applyFont="1"/>
    <xf numFmtId="44" fontId="22" fillId="0" borderId="0" xfId="3" applyFont="1" applyFill="1"/>
    <xf numFmtId="44" fontId="22" fillId="0" borderId="0" xfId="3" applyFont="1" applyBorder="1"/>
    <xf numFmtId="43" fontId="22" fillId="0" borderId="5" xfId="2" applyFont="1" applyBorder="1"/>
    <xf numFmtId="43" fontId="22" fillId="0" borderId="5" xfId="0" applyNumberFormat="1" applyFont="1" applyBorder="1"/>
    <xf numFmtId="44" fontId="22" fillId="0" borderId="0" xfId="3" applyFont="1" applyFill="1" applyBorder="1"/>
    <xf numFmtId="43" fontId="22" fillId="0" borderId="7" xfId="2" applyFont="1" applyBorder="1"/>
    <xf numFmtId="43" fontId="22" fillId="0" borderId="0" xfId="2" applyFont="1" applyAlignment="1">
      <alignment horizontal="center"/>
    </xf>
    <xf numFmtId="0" fontId="22" fillId="0" borderId="0" xfId="0" applyNumberFormat="1" applyFont="1" applyBorder="1"/>
    <xf numFmtId="164" fontId="21" fillId="0" borderId="0" xfId="0" applyNumberFormat="1" applyFont="1" applyFill="1"/>
    <xf numFmtId="0" fontId="20" fillId="0" borderId="0" xfId="4" applyFont="1" applyFill="1" applyProtection="1">
      <protection locked="0"/>
    </xf>
    <xf numFmtId="0" fontId="22" fillId="0" borderId="0" xfId="4" applyFont="1"/>
    <xf numFmtId="165" fontId="21" fillId="0" borderId="0" xfId="4" applyNumberFormat="1" applyFont="1" applyAlignment="1">
      <alignment horizontal="center"/>
    </xf>
    <xf numFmtId="43" fontId="21" fillId="0" borderId="0" xfId="5" applyFont="1" applyAlignment="1">
      <alignment horizontal="center"/>
    </xf>
    <xf numFmtId="43" fontId="22" fillId="0" borderId="0" xfId="5" applyFont="1"/>
    <xf numFmtId="0" fontId="22" fillId="0" borderId="0" xfId="4" applyFont="1" applyFill="1"/>
    <xf numFmtId="43" fontId="21" fillId="0" borderId="5" xfId="5" applyFont="1" applyBorder="1" applyAlignment="1">
      <alignment horizontal="center"/>
    </xf>
    <xf numFmtId="43" fontId="21" fillId="0" borderId="0" xfId="5" applyFont="1" applyBorder="1" applyAlignment="1">
      <alignment horizontal="center"/>
    </xf>
    <xf numFmtId="0" fontId="21" fillId="0" borderId="0" xfId="4" applyFont="1" applyFill="1"/>
    <xf numFmtId="0" fontId="21" fillId="0" borderId="0" xfId="4" applyFont="1"/>
    <xf numFmtId="43" fontId="22" fillId="0" borderId="0" xfId="5" applyFont="1" applyBorder="1"/>
    <xf numFmtId="0" fontId="22" fillId="0" borderId="0" xfId="4" applyFont="1" applyBorder="1"/>
    <xf numFmtId="43" fontId="22" fillId="0" borderId="5" xfId="5" applyFont="1" applyBorder="1"/>
    <xf numFmtId="43" fontId="22" fillId="0" borderId="7" xfId="5" applyFont="1" applyBorder="1"/>
    <xf numFmtId="43" fontId="21" fillId="0" borderId="0" xfId="3236" applyFont="1" applyAlignment="1">
      <alignment horizontal="center"/>
    </xf>
    <xf numFmtId="43" fontId="21" fillId="0" borderId="5" xfId="3236" applyFont="1" applyBorder="1" applyAlignment="1">
      <alignment horizontal="center"/>
    </xf>
    <xf numFmtId="43" fontId="21" fillId="0" borderId="0" xfId="3236" applyFont="1" applyBorder="1" applyAlignment="1">
      <alignment horizontal="center"/>
    </xf>
    <xf numFmtId="0" fontId="22" fillId="0" borderId="0" xfId="8207" applyFont="1"/>
    <xf numFmtId="43" fontId="22" fillId="0" borderId="0" xfId="3236" applyFont="1"/>
    <xf numFmtId="0" fontId="22" fillId="0" borderId="0" xfId="8667" applyFont="1" applyFill="1" applyBorder="1" applyAlignment="1">
      <alignment horizontal="left"/>
    </xf>
    <xf numFmtId="0" fontId="88" fillId="0" borderId="0" xfId="8667" applyFont="1" applyFill="1" applyBorder="1" applyAlignment="1">
      <alignment horizontal="left"/>
    </xf>
    <xf numFmtId="0" fontId="88" fillId="0" borderId="0" xfId="8667" applyFont="1" applyFill="1" applyBorder="1" applyAlignment="1">
      <alignment horizontal="left" vertical="top"/>
    </xf>
    <xf numFmtId="174" fontId="88" fillId="0" borderId="0" xfId="8667" applyNumberFormat="1" applyFont="1" applyFill="1" applyBorder="1" applyAlignment="1">
      <alignment horizontal="center" wrapText="1"/>
    </xf>
    <xf numFmtId="0" fontId="22" fillId="0" borderId="0" xfId="8667" applyFont="1" applyFill="1" applyBorder="1" applyAlignment="1">
      <alignment horizontal="center" wrapText="1"/>
    </xf>
    <xf numFmtId="173" fontId="88" fillId="0" borderId="0" xfId="8668" applyNumberFormat="1" applyFont="1" applyFill="1" applyBorder="1" applyAlignment="1">
      <alignment horizontal="right" vertical="top" wrapText="1"/>
    </xf>
    <xf numFmtId="0" fontId="88" fillId="0" borderId="0" xfId="8667" applyFont="1" applyFill="1" applyBorder="1" applyAlignment="1">
      <alignment horizontal="center" wrapText="1"/>
    </xf>
    <xf numFmtId="0" fontId="88" fillId="0" borderId="0" xfId="8667" applyFont="1" applyFill="1" applyBorder="1" applyAlignment="1">
      <alignment horizontal="right"/>
    </xf>
    <xf numFmtId="0" fontId="22" fillId="0" borderId="0" xfId="8667" applyFont="1" applyFill="1" applyBorder="1" applyAlignment="1">
      <alignment horizontal="right"/>
    </xf>
    <xf numFmtId="0" fontId="22" fillId="0" borderId="6" xfId="8667" applyFont="1" applyFill="1" applyBorder="1" applyAlignment="1">
      <alignment horizontal="center" wrapText="1"/>
    </xf>
    <xf numFmtId="173" fontId="88" fillId="0" borderId="0" xfId="8668" applyNumberFormat="1" applyFont="1" applyFill="1" applyBorder="1" applyAlignment="1">
      <alignment horizontal="right" vertical="center" wrapText="1"/>
    </xf>
    <xf numFmtId="0" fontId="22" fillId="0" borderId="0" xfId="8667" applyFont="1" applyFill="1" applyBorder="1" applyAlignment="1">
      <alignment horizontal="left" wrapText="1"/>
    </xf>
    <xf numFmtId="0" fontId="22" fillId="0" borderId="6" xfId="8667" applyFont="1" applyFill="1" applyBorder="1" applyAlignment="1">
      <alignment horizontal="left" wrapText="1"/>
    </xf>
    <xf numFmtId="0" fontId="88" fillId="0" borderId="6" xfId="8667" applyFont="1" applyFill="1" applyBorder="1" applyAlignment="1">
      <alignment horizontal="center" wrapText="1"/>
    </xf>
    <xf numFmtId="0" fontId="22" fillId="0" borderId="6" xfId="8667" applyFont="1" applyFill="1" applyBorder="1" applyAlignment="1">
      <alignment horizontal="left" vertical="center" wrapText="1"/>
    </xf>
    <xf numFmtId="173" fontId="88" fillId="0" borderId="6" xfId="8668" applyNumberFormat="1" applyFont="1" applyFill="1" applyBorder="1" applyAlignment="1">
      <alignment horizontal="center" vertical="center" wrapText="1"/>
    </xf>
    <xf numFmtId="49" fontId="22" fillId="0" borderId="0" xfId="8667" applyNumberFormat="1" applyFont="1" applyFill="1" applyBorder="1" applyAlignment="1">
      <alignment horizontal="center"/>
    </xf>
    <xf numFmtId="49" fontId="22" fillId="0" borderId="0" xfId="8667" applyNumberFormat="1" applyFont="1" applyFill="1" applyBorder="1" applyAlignment="1">
      <alignment horizontal="center"/>
    </xf>
    <xf numFmtId="0" fontId="78" fillId="0" borderId="0" xfId="8667" applyFont="1" applyFill="1" applyBorder="1" applyAlignment="1">
      <alignment horizontal="left" vertical="center" wrapText="1"/>
    </xf>
    <xf numFmtId="173" fontId="88" fillId="0" borderId="0" xfId="8668" applyNumberFormat="1" applyFont="1" applyFill="1" applyBorder="1" applyAlignment="1">
      <alignment horizontal="right" wrapText="1"/>
    </xf>
    <xf numFmtId="173" fontId="21" fillId="0" borderId="0" xfId="8668" applyNumberFormat="1" applyFont="1" applyFill="1" applyBorder="1" applyAlignment="1">
      <alignment horizontal="right" wrapText="1"/>
    </xf>
    <xf numFmtId="173" fontId="22" fillId="0" borderId="0" xfId="8668" applyNumberFormat="1" applyFont="1" applyFill="1" applyBorder="1" applyAlignment="1">
      <alignment horizontal="right" wrapText="1"/>
    </xf>
    <xf numFmtId="173" fontId="22" fillId="0" borderId="5" xfId="8668" applyNumberFormat="1" applyFont="1" applyFill="1" applyBorder="1" applyAlignment="1">
      <alignment horizontal="right" wrapText="1"/>
    </xf>
    <xf numFmtId="0" fontId="78" fillId="0" borderId="0" xfId="8207" applyFont="1" applyAlignment="1">
      <alignment vertical="center"/>
    </xf>
    <xf numFmtId="0" fontId="22" fillId="0" borderId="0" xfId="8667" applyFont="1" applyFill="1" applyBorder="1" applyAlignment="1">
      <alignment horizontal="center"/>
    </xf>
    <xf numFmtId="49" fontId="22" fillId="0" borderId="0" xfId="8667" applyNumberFormat="1" applyFont="1" applyFill="1" applyBorder="1" applyAlignment="1">
      <alignment horizontal="center"/>
    </xf>
    <xf numFmtId="173" fontId="88" fillId="0" borderId="0" xfId="8667" applyNumberFormat="1" applyFont="1" applyFill="1" applyBorder="1" applyAlignment="1">
      <alignment horizontal="left" vertical="top"/>
    </xf>
    <xf numFmtId="173" fontId="88" fillId="0" borderId="27" xfId="8668" applyNumberFormat="1" applyFont="1" applyFill="1" applyBorder="1" applyAlignment="1">
      <alignment horizontal="right" wrapText="1"/>
    </xf>
    <xf numFmtId="173" fontId="88" fillId="0" borderId="0" xfId="8668" applyNumberFormat="1" applyFont="1" applyFill="1" applyBorder="1" applyAlignment="1">
      <alignment horizontal="center" vertical="center" wrapText="1"/>
    </xf>
    <xf numFmtId="0" fontId="88" fillId="0" borderId="6" xfId="8667" applyFont="1" applyFill="1" applyBorder="1" applyAlignment="1">
      <alignment horizontal="left"/>
    </xf>
    <xf numFmtId="0" fontId="88" fillId="0" borderId="6" xfId="8667" applyFont="1" applyFill="1" applyBorder="1" applyAlignment="1">
      <alignment horizontal="center"/>
    </xf>
    <xf numFmtId="0" fontId="22" fillId="0" borderId="5" xfId="8667" applyFont="1" applyFill="1" applyBorder="1" applyAlignment="1">
      <alignment horizontal="center" wrapText="1"/>
    </xf>
    <xf numFmtId="0" fontId="88" fillId="0" borderId="0" xfId="8667" applyFont="1" applyFill="1" applyBorder="1" applyAlignment="1">
      <alignment horizontal="center" vertical="center" wrapText="1"/>
    </xf>
    <xf numFmtId="0" fontId="20" fillId="53" borderId="0" xfId="8670" applyNumberFormat="1" applyFont="1" applyFill="1" applyProtection="1">
      <protection locked="0"/>
    </xf>
    <xf numFmtId="175" fontId="20" fillId="0" borderId="0" xfId="8670" applyNumberFormat="1" applyFont="1" applyProtection="1">
      <protection locked="0"/>
    </xf>
    <xf numFmtId="173" fontId="20" fillId="0" borderId="0" xfId="3236" applyNumberFormat="1" applyFont="1" applyProtection="1"/>
    <xf numFmtId="164" fontId="20" fillId="0" borderId="0" xfId="8670" applyFont="1" applyProtection="1"/>
    <xf numFmtId="164" fontId="22" fillId="0" borderId="0" xfId="8670" applyFont="1"/>
    <xf numFmtId="0" fontId="20" fillId="0" borderId="0" xfId="8670" applyNumberFormat="1" applyFont="1"/>
    <xf numFmtId="176" fontId="20" fillId="0" borderId="0" xfId="8670" applyNumberFormat="1" applyFont="1" applyAlignment="1" applyProtection="1">
      <alignment horizontal="left"/>
    </xf>
    <xf numFmtId="164" fontId="20" fillId="0" borderId="0" xfId="8670" applyFont="1"/>
    <xf numFmtId="164" fontId="20" fillId="0" borderId="0" xfId="8670" applyFont="1" applyAlignment="1" applyProtection="1">
      <alignment horizontal="left"/>
      <protection locked="0"/>
    </xf>
    <xf numFmtId="177" fontId="20" fillId="0" borderId="0" xfId="8670" applyNumberFormat="1" applyFont="1" applyAlignment="1" applyProtection="1">
      <alignment horizontal="left"/>
    </xf>
    <xf numFmtId="164" fontId="20" fillId="0" borderId="0" xfId="8670" applyFont="1" applyAlignment="1" applyProtection="1">
      <alignment horizontal="center"/>
      <protection locked="0"/>
    </xf>
    <xf numFmtId="164" fontId="20" fillId="0" borderId="0" xfId="8670" applyFont="1" applyAlignment="1" applyProtection="1">
      <alignment horizontal="center"/>
    </xf>
    <xf numFmtId="164" fontId="20" fillId="0" borderId="0" xfId="8670" quotePrefix="1" applyFont="1" applyAlignment="1" applyProtection="1">
      <alignment horizontal="center"/>
      <protection locked="0"/>
    </xf>
    <xf numFmtId="37" fontId="20" fillId="0" borderId="0" xfId="8670" applyNumberFormat="1" applyFont="1"/>
    <xf numFmtId="37" fontId="20" fillId="0" borderId="0" xfId="8670" applyNumberFormat="1" applyFont="1" applyAlignment="1" applyProtection="1">
      <alignment horizontal="left"/>
      <protection locked="0"/>
    </xf>
    <xf numFmtId="164" fontId="20" fillId="0" borderId="0" xfId="8670" applyFont="1" applyAlignment="1">
      <alignment horizontal="center"/>
    </xf>
    <xf numFmtId="164" fontId="20" fillId="0" borderId="0" xfId="8670" applyFont="1" applyAlignment="1" applyProtection="1">
      <alignment horizontal="left"/>
    </xf>
    <xf numFmtId="164" fontId="20" fillId="0" borderId="0" xfId="8670" quotePrefix="1" applyFont="1" applyAlignment="1" applyProtection="1">
      <alignment horizontal="center"/>
    </xf>
    <xf numFmtId="37" fontId="20" fillId="0" borderId="0" xfId="8671" applyFont="1" applyAlignment="1" applyProtection="1">
      <alignment horizontal="center"/>
    </xf>
    <xf numFmtId="164" fontId="20" fillId="0" borderId="0" xfId="8670" applyFont="1" applyProtection="1">
      <protection locked="0"/>
    </xf>
    <xf numFmtId="173" fontId="20" fillId="0" borderId="0" xfId="3236" applyNumberFormat="1" applyFont="1"/>
    <xf numFmtId="173" fontId="22" fillId="0" borderId="0" xfId="3236" applyNumberFormat="1" applyFont="1"/>
    <xf numFmtId="10" fontId="20" fillId="0" borderId="0" xfId="6291" applyNumberFormat="1" applyFont="1"/>
    <xf numFmtId="178" fontId="20" fillId="0" borderId="0" xfId="6291" applyNumberFormat="1" applyFont="1"/>
    <xf numFmtId="179" fontId="20" fillId="0" borderId="0" xfId="3236" applyNumberFormat="1" applyFont="1"/>
    <xf numFmtId="0" fontId="20" fillId="0" borderId="0" xfId="8670" applyNumberFormat="1" applyFont="1" applyProtection="1"/>
    <xf numFmtId="180" fontId="20" fillId="0" borderId="0" xfId="8672" applyNumberFormat="1" applyFont="1"/>
    <xf numFmtId="0" fontId="22" fillId="0" borderId="0" xfId="8670" applyNumberFormat="1" applyFont="1"/>
    <xf numFmtId="180" fontId="22" fillId="0" borderId="0" xfId="8672" applyNumberFormat="1" applyFont="1"/>
    <xf numFmtId="0" fontId="20" fillId="0" borderId="0" xfId="8670" applyNumberFormat="1" applyFont="1" applyAlignment="1">
      <alignment horizontal="center"/>
    </xf>
    <xf numFmtId="181" fontId="88" fillId="0" borderId="0" xfId="8669" applyNumberFormat="1" applyFont="1" applyFill="1" applyBorder="1" applyAlignment="1">
      <alignment horizontal="right" wrapText="1"/>
    </xf>
    <xf numFmtId="173" fontId="88" fillId="0" borderId="5" xfId="8668" applyNumberFormat="1" applyFont="1" applyFill="1" applyBorder="1" applyAlignment="1">
      <alignment horizontal="right" wrapText="1"/>
    </xf>
    <xf numFmtId="0" fontId="22" fillId="0" borderId="0" xfId="8667" applyFont="1" applyFill="1" applyBorder="1" applyAlignment="1">
      <alignment horizontal="left" vertical="center" wrapText="1"/>
    </xf>
    <xf numFmtId="181" fontId="88" fillId="0" borderId="0" xfId="8669" applyNumberFormat="1" applyFont="1" applyFill="1" applyBorder="1" applyAlignment="1">
      <alignment horizontal="right" vertical="top" wrapText="1"/>
    </xf>
    <xf numFmtId="181" fontId="22" fillId="0" borderId="0" xfId="8669" applyNumberFormat="1" applyFont="1" applyFill="1" applyBorder="1" applyAlignment="1">
      <alignment horizontal="right" wrapText="1"/>
    </xf>
    <xf numFmtId="181" fontId="88" fillId="0" borderId="0" xfId="8669" applyNumberFormat="1" applyFont="1" applyFill="1" applyBorder="1" applyAlignment="1">
      <alignment horizontal="left" vertical="top"/>
    </xf>
    <xf numFmtId="173" fontId="88" fillId="0" borderId="0" xfId="8667" applyNumberFormat="1" applyFont="1" applyFill="1" applyBorder="1" applyAlignment="1">
      <alignment horizontal="right"/>
    </xf>
    <xf numFmtId="181" fontId="88" fillId="0" borderId="0" xfId="8669" applyNumberFormat="1" applyFont="1" applyFill="1" applyBorder="1" applyAlignment="1">
      <alignment horizontal="right"/>
    </xf>
    <xf numFmtId="49" fontId="22" fillId="0" borderId="0" xfId="8667" applyNumberFormat="1" applyFont="1" applyFill="1" applyBorder="1" applyAlignment="1">
      <alignment horizontal="center"/>
    </xf>
    <xf numFmtId="0" fontId="92" fillId="0" borderId="0" xfId="8667" applyFont="1" applyFill="1" applyBorder="1" applyAlignment="1">
      <alignment horizontal="left"/>
    </xf>
    <xf numFmtId="0" fontId="92" fillId="0" borderId="0" xfId="8667" applyFont="1" applyFill="1" applyBorder="1" applyAlignment="1">
      <alignment horizontal="center" wrapText="1"/>
    </xf>
    <xf numFmtId="0" fontId="88" fillId="0" borderId="0" xfId="8667" applyFont="1" applyFill="1" applyBorder="1" applyAlignment="1">
      <alignment horizontal="center"/>
    </xf>
    <xf numFmtId="49" fontId="22" fillId="0" borderId="6" xfId="8667" applyNumberFormat="1" applyFont="1" applyFill="1" applyBorder="1" applyAlignment="1">
      <alignment horizontal="center" wrapText="1"/>
    </xf>
    <xf numFmtId="49" fontId="88" fillId="0" borderId="0" xfId="8667" applyNumberFormat="1" applyFont="1" applyFill="1" applyBorder="1" applyAlignment="1">
      <alignment horizontal="left" vertical="top"/>
    </xf>
    <xf numFmtId="49" fontId="88" fillId="0" borderId="0" xfId="8667" applyNumberFormat="1" applyFont="1" applyFill="1" applyBorder="1" applyAlignment="1">
      <alignment horizontal="center"/>
    </xf>
    <xf numFmtId="182" fontId="88" fillId="0" borderId="0" xfId="8668" quotePrefix="1" applyNumberFormat="1" applyFont="1" applyFill="1" applyBorder="1" applyAlignment="1">
      <alignment horizontal="center" wrapText="1"/>
    </xf>
    <xf numFmtId="182" fontId="88" fillId="0" borderId="0" xfId="8667" applyNumberFormat="1" applyFont="1" applyFill="1" applyBorder="1" applyAlignment="1">
      <alignment horizontal="center"/>
    </xf>
    <xf numFmtId="0" fontId="88" fillId="0" borderId="0" xfId="8667" applyFont="1" applyFill="1" applyBorder="1" applyAlignment="1">
      <alignment horizontal="left" wrapText="1"/>
    </xf>
    <xf numFmtId="9" fontId="88" fillId="0" borderId="0" xfId="8667" applyNumberFormat="1" applyFont="1" applyFill="1" applyBorder="1" applyAlignment="1">
      <alignment horizontal="left" vertical="top"/>
    </xf>
    <xf numFmtId="9" fontId="88" fillId="0" borderId="0" xfId="8667" applyNumberFormat="1" applyFont="1" applyFill="1" applyBorder="1" applyAlignment="1">
      <alignment horizontal="center"/>
    </xf>
    <xf numFmtId="0" fontId="88" fillId="0" borderId="5" xfId="8667" applyFont="1" applyFill="1" applyBorder="1" applyAlignment="1">
      <alignment horizontal="center" wrapText="1"/>
    </xf>
    <xf numFmtId="10" fontId="88" fillId="0" borderId="0" xfId="8669" applyNumberFormat="1" applyFont="1" applyFill="1" applyBorder="1" applyAlignment="1">
      <alignment horizontal="right" wrapText="1"/>
    </xf>
    <xf numFmtId="9" fontId="88" fillId="0" borderId="0" xfId="8669" applyNumberFormat="1" applyFont="1" applyFill="1" applyBorder="1" applyAlignment="1">
      <alignment horizontal="right" wrapText="1"/>
    </xf>
    <xf numFmtId="9" fontId="88" fillId="0" borderId="0" xfId="8668" applyNumberFormat="1" applyFont="1" applyFill="1" applyBorder="1" applyAlignment="1">
      <alignment horizontal="right" wrapText="1"/>
    </xf>
    <xf numFmtId="9" fontId="88" fillId="0" borderId="0" xfId="8668" applyNumberFormat="1" applyFont="1" applyFill="1" applyBorder="1" applyAlignment="1">
      <alignment horizontal="right" vertical="top" wrapText="1"/>
    </xf>
    <xf numFmtId="49" fontId="88" fillId="0" borderId="0" xfId="8668" applyNumberFormat="1" applyFont="1" applyFill="1" applyBorder="1" applyAlignment="1">
      <alignment horizontal="right" wrapText="1"/>
    </xf>
    <xf numFmtId="49" fontId="22" fillId="0" borderId="0" xfId="8668" applyNumberFormat="1" applyFont="1" applyFill="1" applyBorder="1" applyAlignment="1">
      <alignment horizontal="right" wrapText="1"/>
    </xf>
    <xf numFmtId="49" fontId="88" fillId="0" borderId="0" xfId="8668" applyNumberFormat="1" applyFont="1" applyFill="1" applyBorder="1" applyAlignment="1">
      <alignment horizontal="right" vertical="top" wrapText="1"/>
    </xf>
    <xf numFmtId="49" fontId="22" fillId="0" borderId="0" xfId="8667" applyNumberFormat="1" applyFont="1" applyFill="1" applyBorder="1" applyAlignment="1">
      <alignment horizontal="center"/>
    </xf>
    <xf numFmtId="0" fontId="22" fillId="0" borderId="28" xfId="8667" applyFont="1" applyFill="1" applyBorder="1" applyAlignment="1">
      <alignment horizontal="center" wrapText="1"/>
    </xf>
    <xf numFmtId="0" fontId="22" fillId="0" borderId="28" xfId="8667" applyFont="1" applyFill="1" applyBorder="1" applyAlignment="1">
      <alignment horizontal="left" wrapText="1"/>
    </xf>
    <xf numFmtId="0" fontId="22" fillId="0" borderId="5" xfId="8667" applyFont="1" applyFill="1" applyBorder="1" applyAlignment="1">
      <alignment horizontal="left" wrapText="1"/>
    </xf>
    <xf numFmtId="185" fontId="24" fillId="0" borderId="0" xfId="1" applyNumberFormat="1" applyFont="1" applyAlignment="1">
      <alignment horizontal="left"/>
    </xf>
    <xf numFmtId="185" fontId="23" fillId="0" borderId="0" xfId="1" applyNumberFormat="1" applyFont="1" applyAlignment="1">
      <alignment horizontal="right"/>
    </xf>
    <xf numFmtId="185" fontId="23" fillId="0" borderId="0" xfId="1" applyNumberFormat="1" applyFont="1" applyAlignment="1">
      <alignment horizontal="left"/>
    </xf>
    <xf numFmtId="37" fontId="22" fillId="0" borderId="0" xfId="8674" applyNumberFormat="1" applyFont="1" applyFill="1" applyAlignment="1">
      <alignment horizontal="centerContinuous"/>
    </xf>
    <xf numFmtId="37" fontId="22" fillId="0" borderId="0" xfId="8674" applyNumberFormat="1" applyFont="1" applyFill="1"/>
    <xf numFmtId="37" fontId="22" fillId="0" borderId="0" xfId="8674" applyNumberFormat="1" applyFont="1" applyFill="1" applyAlignment="1"/>
    <xf numFmtId="37" fontId="22" fillId="0" borderId="0" xfId="8674" applyNumberFormat="1" applyFont="1" applyFill="1" applyAlignment="1" applyProtection="1">
      <alignment horizontal="centerContinuous"/>
      <protection locked="0"/>
    </xf>
    <xf numFmtId="37" fontId="22" fillId="0" borderId="0" xfId="8674" applyNumberFormat="1" applyFont="1" applyFill="1" applyAlignment="1">
      <alignment horizontal="right"/>
    </xf>
    <xf numFmtId="0" fontId="22" fillId="0" borderId="0" xfId="8674" applyFont="1" applyFill="1"/>
    <xf numFmtId="0" fontId="22" fillId="0" borderId="0" xfId="8674" applyFont="1" applyFill="1" applyAlignment="1">
      <alignment horizontal="center"/>
    </xf>
    <xf numFmtId="173" fontId="22" fillId="0" borderId="0" xfId="3236" applyNumberFormat="1" applyFont="1" applyFill="1"/>
    <xf numFmtId="37" fontId="22" fillId="0" borderId="29" xfId="8674" applyNumberFormat="1" applyFont="1" applyFill="1" applyBorder="1" applyAlignment="1"/>
    <xf numFmtId="37" fontId="22" fillId="0" borderId="0" xfId="8674" applyNumberFormat="1" applyFont="1" applyFill="1" applyAlignment="1">
      <alignment horizontal="center"/>
    </xf>
    <xf numFmtId="183" fontId="22" fillId="0" borderId="0" xfId="8674" applyNumberFormat="1" applyFont="1" applyFill="1" applyAlignment="1">
      <alignment horizontal="center"/>
    </xf>
    <xf numFmtId="37" fontId="22" fillId="0" borderId="29" xfId="8674" applyNumberFormat="1" applyFont="1" applyFill="1" applyBorder="1" applyAlignment="1">
      <alignment horizontal="center"/>
    </xf>
    <xf numFmtId="37" fontId="22" fillId="0" borderId="29" xfId="8674" applyNumberFormat="1" applyFont="1" applyFill="1" applyBorder="1"/>
    <xf numFmtId="37" fontId="78" fillId="0" borderId="0" xfId="8674" applyNumberFormat="1" applyFont="1" applyFill="1" applyAlignment="1"/>
    <xf numFmtId="10" fontId="22" fillId="0" borderId="0" xfId="8674" applyNumberFormat="1" applyFont="1" applyFill="1"/>
    <xf numFmtId="37" fontId="22" fillId="0" borderId="0" xfId="8674" applyNumberFormat="1" applyFont="1" applyFill="1" applyAlignment="1" applyProtection="1">
      <protection locked="0"/>
    </xf>
    <xf numFmtId="37" fontId="22" fillId="0" borderId="0" xfId="8674" applyNumberFormat="1" applyFont="1" applyFill="1" applyProtection="1">
      <protection locked="0"/>
    </xf>
    <xf numFmtId="10" fontId="22" fillId="0" borderId="0" xfId="8674" applyNumberFormat="1" applyFont="1" applyFill="1" applyAlignment="1"/>
    <xf numFmtId="186" fontId="22" fillId="0" borderId="0" xfId="8674" applyNumberFormat="1" applyFont="1" applyFill="1" applyAlignment="1"/>
    <xf numFmtId="37" fontId="22" fillId="0" borderId="0" xfId="8674" applyNumberFormat="1" applyFont="1" applyFill="1" applyAlignment="1">
      <alignment horizontal="left"/>
    </xf>
    <xf numFmtId="37" fontId="22" fillId="0" borderId="0" xfId="8674" applyNumberFormat="1" applyFont="1" applyFill="1" applyBorder="1"/>
    <xf numFmtId="37" fontId="91" fillId="0" borderId="0" xfId="8674" applyNumberFormat="1" applyFont="1" applyFill="1" applyAlignment="1"/>
    <xf numFmtId="37" fontId="22" fillId="0" borderId="0" xfId="8674" applyNumberFormat="1" applyFont="1" applyFill="1" applyAlignment="1">
      <alignment horizontal="center"/>
    </xf>
    <xf numFmtId="0" fontId="22" fillId="0" borderId="0" xfId="8667" quotePrefix="1" applyFont="1" applyFill="1" applyBorder="1" applyAlignment="1">
      <alignment horizontal="left" wrapText="1"/>
    </xf>
    <xf numFmtId="37" fontId="22" fillId="0" borderId="0" xfId="8674" applyNumberFormat="1" applyFont="1" applyFill="1" applyAlignment="1">
      <alignment horizontal="center"/>
    </xf>
    <xf numFmtId="37" fontId="78" fillId="0" borderId="0" xfId="8674" applyNumberFormat="1" applyFont="1" applyFill="1" applyAlignment="1">
      <alignment horizontal="center"/>
    </xf>
    <xf numFmtId="5" fontId="22" fillId="0" borderId="0" xfId="8674" applyNumberFormat="1" applyFont="1" applyFill="1" applyBorder="1" applyAlignment="1"/>
    <xf numFmtId="10" fontId="22" fillId="0" borderId="0" xfId="8674" applyNumberFormat="1" applyFont="1" applyFill="1" applyBorder="1"/>
    <xf numFmtId="37" fontId="22" fillId="0" borderId="0" xfId="8674" applyNumberFormat="1" applyFont="1" applyFill="1" applyBorder="1" applyAlignment="1"/>
    <xf numFmtId="10" fontId="22" fillId="0" borderId="0" xfId="8674" applyNumberFormat="1" applyFont="1" applyFill="1" applyBorder="1" applyAlignment="1"/>
    <xf numFmtId="37" fontId="22" fillId="0" borderId="0" xfId="8674" applyNumberFormat="1" applyFont="1" applyFill="1" applyBorder="1" applyProtection="1">
      <protection locked="0"/>
    </xf>
    <xf numFmtId="187" fontId="22" fillId="0" borderId="0" xfId="3834" applyNumberFormat="1" applyFont="1" applyFill="1"/>
    <xf numFmtId="187" fontId="22" fillId="0" borderId="28" xfId="3834" applyNumberFormat="1" applyFont="1" applyFill="1" applyBorder="1"/>
    <xf numFmtId="37" fontId="22" fillId="0" borderId="0" xfId="0" applyFont="1" applyFill="1"/>
    <xf numFmtId="5" fontId="22" fillId="0" borderId="0" xfId="0" applyNumberFormat="1" applyFont="1" applyFill="1"/>
    <xf numFmtId="187" fontId="22" fillId="0" borderId="28" xfId="3834" quotePrefix="1" applyNumberFormat="1" applyFont="1" applyFill="1" applyBorder="1"/>
    <xf numFmtId="173" fontId="22" fillId="0" borderId="0" xfId="3236" applyNumberFormat="1" applyFont="1" applyFill="1" applyProtection="1">
      <protection locked="0"/>
    </xf>
    <xf numFmtId="187" fontId="22" fillId="0" borderId="0" xfId="0" applyNumberFormat="1" applyFont="1" applyFill="1"/>
    <xf numFmtId="187" fontId="22" fillId="0" borderId="27" xfId="3834" applyNumberFormat="1" applyFont="1" applyFill="1" applyBorder="1"/>
    <xf numFmtId="187" fontId="22" fillId="0" borderId="0" xfId="3834" applyNumberFormat="1" applyFont="1" applyFill="1" applyProtection="1">
      <protection locked="0"/>
    </xf>
    <xf numFmtId="173" fontId="22" fillId="0" borderId="5" xfId="3236" applyNumberFormat="1" applyFont="1" applyFill="1" applyBorder="1" applyProtection="1">
      <protection locked="0"/>
    </xf>
    <xf numFmtId="173" fontId="22" fillId="0" borderId="0" xfId="3236" applyNumberFormat="1" applyFont="1" applyFill="1" applyBorder="1" applyProtection="1">
      <protection locked="0"/>
    </xf>
    <xf numFmtId="5" fontId="22" fillId="0" borderId="0" xfId="8674" applyNumberFormat="1" applyFont="1" applyFill="1" applyBorder="1" applyProtection="1">
      <protection locked="0"/>
    </xf>
    <xf numFmtId="49" fontId="22" fillId="0" borderId="0" xfId="8667" applyNumberFormat="1" applyFont="1" applyFill="1" applyBorder="1" applyAlignment="1">
      <alignment horizontal="center"/>
    </xf>
    <xf numFmtId="184" fontId="22" fillId="0" borderId="0" xfId="8668" applyNumberFormat="1" applyFont="1" applyFill="1" applyBorder="1" applyAlignment="1">
      <alignment horizontal="right" wrapText="1"/>
    </xf>
    <xf numFmtId="184" fontId="22" fillId="0" borderId="0" xfId="8668" quotePrefix="1" applyNumberFormat="1" applyFont="1" applyFill="1" applyBorder="1" applyAlignment="1">
      <alignment horizontal="right" wrapText="1"/>
    </xf>
    <xf numFmtId="0" fontId="88" fillId="0" borderId="0" xfId="8667" quotePrefix="1" applyFont="1" applyFill="1" applyBorder="1" applyAlignment="1">
      <alignment horizontal="center"/>
    </xf>
    <xf numFmtId="175" fontId="22" fillId="0" borderId="0" xfId="8677" applyNumberFormat="1" applyFont="1" applyAlignment="1" applyProtection="1">
      <alignment horizontal="left"/>
    </xf>
    <xf numFmtId="0" fontId="22" fillId="0" borderId="0" xfId="8677" applyFont="1"/>
    <xf numFmtId="0" fontId="22" fillId="0" borderId="0" xfId="8677" applyFont="1" applyAlignment="1" applyProtection="1">
      <alignment horizontal="left"/>
    </xf>
    <xf numFmtId="0" fontId="91" fillId="0" borderId="0" xfId="8677" applyFont="1" applyBorder="1" applyAlignment="1" applyProtection="1">
      <alignment horizontal="left"/>
    </xf>
    <xf numFmtId="0" fontId="91" fillId="0" borderId="0" xfId="8677" applyFont="1" applyBorder="1"/>
    <xf numFmtId="0" fontId="22" fillId="0" borderId="0" xfId="8677" applyFont="1" applyBorder="1"/>
    <xf numFmtId="0" fontId="22" fillId="0" borderId="0" xfId="8677" applyFont="1" applyFill="1" applyAlignment="1" applyProtection="1">
      <alignment horizontal="left"/>
    </xf>
    <xf numFmtId="0" fontId="22" fillId="0" borderId="0" xfId="8677" applyFont="1" applyFill="1"/>
    <xf numFmtId="49" fontId="22" fillId="0" borderId="0" xfId="8671" applyNumberFormat="1" applyFont="1"/>
    <xf numFmtId="0" fontId="88" fillId="0" borderId="0" xfId="8667" applyFont="1" applyFill="1" applyBorder="1" applyAlignment="1">
      <alignment horizontal="center"/>
    </xf>
    <xf numFmtId="180" fontId="22" fillId="0" borderId="0" xfId="8674" applyNumberFormat="1" applyFont="1" applyFill="1" applyAlignment="1"/>
    <xf numFmtId="49" fontId="22" fillId="0" borderId="0" xfId="8667" applyNumberFormat="1" applyFont="1" applyFill="1" applyBorder="1" applyAlignment="1">
      <alignment horizontal="center"/>
    </xf>
    <xf numFmtId="0" fontId="88" fillId="0" borderId="0" xfId="8667" applyFont="1" applyFill="1" applyBorder="1" applyAlignment="1">
      <alignment horizontal="center"/>
    </xf>
    <xf numFmtId="0" fontId="21" fillId="0" borderId="0" xfId="8667" applyFont="1" applyFill="1" applyBorder="1" applyAlignment="1">
      <alignment horizontal="left" wrapText="1"/>
    </xf>
    <xf numFmtId="189" fontId="22" fillId="0" borderId="0" xfId="8766" applyNumberFormat="1" applyFont="1" applyFill="1" applyBorder="1" applyAlignment="1" applyProtection="1"/>
    <xf numFmtId="0" fontId="88" fillId="0" borderId="5" xfId="8667" applyFont="1" applyFill="1" applyBorder="1" applyAlignment="1">
      <alignment horizontal="left" vertical="top"/>
    </xf>
    <xf numFmtId="181" fontId="22" fillId="0" borderId="0" xfId="8779" applyNumberFormat="1" applyFont="1" applyFill="1" applyBorder="1" applyAlignment="1">
      <alignment horizontal="right" wrapText="1"/>
    </xf>
    <xf numFmtId="49" fontId="22" fillId="0" borderId="0" xfId="8667" applyNumberFormat="1" applyFont="1" applyFill="1" applyBorder="1" applyAlignment="1">
      <alignment horizontal="center"/>
    </xf>
    <xf numFmtId="0" fontId="22" fillId="0" borderId="0" xfId="8667" applyFont="1" applyFill="1" applyBorder="1" applyAlignment="1">
      <alignment horizontal="center"/>
    </xf>
    <xf numFmtId="0" fontId="21" fillId="0" borderId="0" xfId="0" applyNumberFormat="1" applyFont="1" applyFill="1" applyAlignment="1">
      <alignment horizontal="center"/>
    </xf>
    <xf numFmtId="43" fontId="22" fillId="0" borderId="0" xfId="3236" applyFont="1" applyBorder="1"/>
    <xf numFmtId="43" fontId="22" fillId="0" borderId="5" xfId="3236" applyFont="1" applyBorder="1"/>
    <xf numFmtId="43" fontId="22" fillId="0" borderId="7" xfId="3236" applyFont="1" applyBorder="1"/>
    <xf numFmtId="185" fontId="23" fillId="0" borderId="0" xfId="1" applyNumberFormat="1" applyFont="1" applyFill="1" applyAlignment="1">
      <alignment horizontal="right"/>
    </xf>
    <xf numFmtId="185" fontId="23" fillId="0" borderId="0" xfId="1" applyNumberFormat="1" applyFont="1" applyFill="1" applyAlignment="1">
      <alignment horizontal="left"/>
    </xf>
    <xf numFmtId="0" fontId="115" fillId="0" borderId="0" xfId="8767" applyFill="1"/>
    <xf numFmtId="0" fontId="93" fillId="0" borderId="0" xfId="9370" applyFont="1" applyFill="1" applyAlignment="1">
      <alignment horizontal="centerContinuous"/>
    </xf>
    <xf numFmtId="0" fontId="40" fillId="0" borderId="0" xfId="9370" applyFont="1" applyFill="1"/>
    <xf numFmtId="0" fontId="136" fillId="0" borderId="0" xfId="9370" applyFill="1" applyAlignment="1"/>
    <xf numFmtId="0" fontId="93" fillId="0" borderId="0" xfId="9370" applyNumberFormat="1" applyFont="1" applyFill="1" applyAlignment="1">
      <alignment horizontal="centerContinuous"/>
    </xf>
    <xf numFmtId="0" fontId="40" fillId="0" borderId="0" xfId="9370" applyNumberFormat="1" applyFont="1" applyFill="1" applyAlignment="1">
      <alignment horizontal="centerContinuous"/>
    </xf>
    <xf numFmtId="0" fontId="93" fillId="0" borderId="0" xfId="9370" applyFont="1" applyFill="1" applyAlignment="1"/>
    <xf numFmtId="0" fontId="93" fillId="0" borderId="0" xfId="9370" applyNumberFormat="1" applyFont="1" applyFill="1" applyAlignment="1">
      <alignment horizontal="center"/>
    </xf>
    <xf numFmtId="0" fontId="93" fillId="0" borderId="5" xfId="9370" applyNumberFormat="1" applyFont="1" applyFill="1" applyBorder="1" applyAlignment="1">
      <alignment horizontal="center"/>
    </xf>
    <xf numFmtId="3" fontId="93" fillId="0" borderId="0" xfId="9370" applyNumberFormat="1" applyFont="1" applyFill="1" applyAlignment="1">
      <alignment horizontal="center"/>
    </xf>
    <xf numFmtId="0" fontId="93" fillId="0" borderId="0" xfId="9370" applyNumberFormat="1" applyFont="1" applyFill="1" applyAlignment="1">
      <alignment horizontal="left"/>
    </xf>
    <xf numFmtId="2" fontId="40" fillId="0" borderId="0" xfId="9370" applyNumberFormat="1" applyFont="1" applyFill="1"/>
    <xf numFmtId="0" fontId="40" fillId="0" borderId="0" xfId="9370" applyFont="1" applyFill="1" applyAlignment="1"/>
    <xf numFmtId="0" fontId="40" fillId="0" borderId="0" xfId="9370" applyNumberFormat="1" applyFont="1" applyFill="1" applyAlignment="1">
      <alignment horizontal="center"/>
    </xf>
    <xf numFmtId="2" fontId="40" fillId="0" borderId="0" xfId="9370" applyNumberFormat="1" applyFont="1" applyFill="1" applyAlignment="1">
      <alignment horizontal="center"/>
    </xf>
    <xf numFmtId="0" fontId="93" fillId="0" borderId="25" xfId="9370" applyNumberFormat="1" applyFont="1" applyFill="1" applyBorder="1" applyAlignment="1">
      <alignment horizontal="center"/>
    </xf>
    <xf numFmtId="0" fontId="40" fillId="0" borderId="0" xfId="9370" applyNumberFormat="1" applyFont="1" applyFill="1" applyAlignment="1"/>
    <xf numFmtId="0" fontId="94" fillId="0" borderId="0" xfId="9370" applyNumberFormat="1" applyFont="1" applyFill="1" applyAlignment="1"/>
    <xf numFmtId="2" fontId="40" fillId="0" borderId="0" xfId="9370" applyNumberFormat="1" applyFont="1" applyFill="1" applyAlignment="1">
      <alignment horizontal="right"/>
    </xf>
    <xf numFmtId="0" fontId="40" fillId="0" borderId="0" xfId="9370" applyNumberFormat="1" applyFont="1" applyFill="1"/>
    <xf numFmtId="0" fontId="40" fillId="0" borderId="0" xfId="9370" applyNumberFormat="1" applyFont="1" applyFill="1" applyAlignment="1">
      <alignment horizontal="left"/>
    </xf>
    <xf numFmtId="183" fontId="40" fillId="0" borderId="0" xfId="9370" applyNumberFormat="1" applyFont="1" applyFill="1" applyAlignment="1"/>
    <xf numFmtId="0" fontId="94" fillId="0" borderId="0" xfId="9370" applyNumberFormat="1" applyFont="1" applyFill="1" applyAlignment="1">
      <alignment horizontal="left"/>
    </xf>
    <xf numFmtId="2" fontId="93" fillId="0" borderId="0" xfId="9370" applyNumberFormat="1" applyFont="1" applyFill="1"/>
    <xf numFmtId="183" fontId="93" fillId="0" borderId="0" xfId="9370" applyNumberFormat="1" applyFont="1" applyFill="1" applyAlignment="1"/>
    <xf numFmtId="0" fontId="40" fillId="0" borderId="0" xfId="9370" applyFont="1" applyFill="1" applyAlignment="1">
      <alignment horizontal="left"/>
    </xf>
    <xf numFmtId="0" fontId="40" fillId="0" borderId="25" xfId="9370" applyFont="1" applyFill="1" applyBorder="1"/>
    <xf numFmtId="2" fontId="40" fillId="0" borderId="0" xfId="9370" applyNumberFormat="1" applyFont="1" applyFill="1" applyBorder="1"/>
    <xf numFmtId="0" fontId="40" fillId="0" borderId="0" xfId="9370" applyFont="1" applyFill="1" applyBorder="1" applyAlignment="1"/>
    <xf numFmtId="0" fontId="40" fillId="0" borderId="0" xfId="9370" applyFont="1" applyFill="1" applyBorder="1" applyAlignment="1">
      <alignment horizontal="left"/>
    </xf>
    <xf numFmtId="183" fontId="40" fillId="0" borderId="0" xfId="9370" applyNumberFormat="1" applyFont="1" applyFill="1" applyBorder="1" applyAlignment="1"/>
    <xf numFmtId="0" fontId="94" fillId="0" borderId="0" xfId="9370" applyFont="1" applyFill="1" applyBorder="1" applyAlignment="1">
      <alignment horizontal="left"/>
    </xf>
    <xf numFmtId="0" fontId="40" fillId="0" borderId="0" xfId="9370" applyNumberFormat="1" applyFont="1" applyFill="1" applyBorder="1" applyAlignment="1">
      <alignment horizontal="left"/>
    </xf>
    <xf numFmtId="0" fontId="93" fillId="0" borderId="0" xfId="9370" applyNumberFormat="1" applyFont="1" applyFill="1" applyAlignment="1"/>
    <xf numFmtId="1" fontId="22" fillId="0" borderId="0" xfId="8667" applyNumberFormat="1" applyFont="1" applyFill="1" applyBorder="1" applyAlignment="1">
      <alignment horizontal="center" wrapText="1"/>
    </xf>
    <xf numFmtId="1" fontId="40" fillId="0" borderId="0" xfId="9370" applyNumberFormat="1" applyFont="1" applyFill="1"/>
    <xf numFmtId="1" fontId="93" fillId="0" borderId="0" xfId="9370" applyNumberFormat="1" applyFont="1" applyFill="1" applyAlignment="1">
      <alignment horizontal="centerContinuous"/>
    </xf>
    <xf numFmtId="1" fontId="40" fillId="0" borderId="0" xfId="9370" applyNumberFormat="1" applyFont="1" applyFill="1" applyAlignment="1">
      <alignment horizontal="right"/>
    </xf>
    <xf numFmtId="1" fontId="93" fillId="0" borderId="0" xfId="9370" applyNumberFormat="1" applyFont="1" applyFill="1"/>
    <xf numFmtId="1" fontId="40" fillId="0" borderId="0" xfId="9370" applyNumberFormat="1" applyFont="1" applyFill="1" applyBorder="1"/>
    <xf numFmtId="10" fontId="40" fillId="0" borderId="0" xfId="9370" quotePrefix="1" applyNumberFormat="1" applyFont="1" applyFill="1" applyAlignment="1">
      <alignment horizontal="center"/>
    </xf>
    <xf numFmtId="0" fontId="40" fillId="0" borderId="0" xfId="9370" quotePrefix="1" applyNumberFormat="1" applyFont="1" applyFill="1" applyAlignment="1">
      <alignment horizontal="center"/>
    </xf>
    <xf numFmtId="184" fontId="88" fillId="0" borderId="0" xfId="8782" applyNumberFormat="1" applyFont="1" applyFill="1" applyBorder="1" applyAlignment="1">
      <alignment horizontal="right" wrapText="1"/>
    </xf>
    <xf numFmtId="184" fontId="88" fillId="0" borderId="0" xfId="8782" applyNumberFormat="1" applyFont="1" applyFill="1" applyBorder="1" applyAlignment="1">
      <alignment horizontal="center" wrapText="1"/>
    </xf>
    <xf numFmtId="9" fontId="22" fillId="0" borderId="0" xfId="8669" applyFont="1" applyFill="1" applyBorder="1" applyAlignment="1">
      <alignment horizontal="right" wrapText="1"/>
    </xf>
    <xf numFmtId="0" fontId="88" fillId="0" borderId="0" xfId="8667" applyFont="1" applyFill="1" applyBorder="1" applyAlignment="1">
      <alignment horizontal="center"/>
    </xf>
    <xf numFmtId="0" fontId="88" fillId="0" borderId="0" xfId="8667" applyFont="1" applyFill="1" applyBorder="1" applyAlignment="1">
      <alignment horizontal="center"/>
    </xf>
    <xf numFmtId="49" fontId="23" fillId="0" borderId="0" xfId="9285" applyNumberFormat="1" applyFont="1" applyAlignment="1">
      <alignment horizontal="left" wrapText="1"/>
    </xf>
    <xf numFmtId="49" fontId="23" fillId="0" borderId="0" xfId="9285" applyNumberFormat="1" applyFont="1" applyAlignment="1">
      <alignment horizontal="right" wrapText="1"/>
    </xf>
    <xf numFmtId="49" fontId="24" fillId="0" borderId="0" xfId="9285" applyNumberFormat="1" applyFont="1" applyAlignment="1">
      <alignment horizontal="left" wrapText="1"/>
    </xf>
    <xf numFmtId="185" fontId="24" fillId="0" borderId="0" xfId="9285" applyNumberFormat="1" applyFont="1" applyAlignment="1">
      <alignment horizontal="left"/>
    </xf>
    <xf numFmtId="185" fontId="23" fillId="0" borderId="0" xfId="9285" applyNumberFormat="1" applyFont="1" applyAlignment="1">
      <alignment horizontal="right"/>
    </xf>
    <xf numFmtId="185" fontId="23" fillId="0" borderId="0" xfId="9285" applyNumberFormat="1" applyFont="1" applyAlignment="1">
      <alignment horizontal="left"/>
    </xf>
    <xf numFmtId="185" fontId="23" fillId="0" borderId="28" xfId="9285" applyNumberFormat="1" applyFont="1" applyBorder="1" applyAlignment="1">
      <alignment horizontal="right"/>
    </xf>
    <xf numFmtId="0" fontId="88" fillId="0" borderId="0" xfId="8667" applyFont="1" applyFill="1" applyBorder="1" applyAlignment="1">
      <alignment horizontal="center"/>
    </xf>
    <xf numFmtId="44" fontId="116" fillId="0" borderId="0" xfId="9374" applyFont="1" applyFill="1" applyBorder="1"/>
    <xf numFmtId="37" fontId="0" fillId="0" borderId="0" xfId="0" applyFill="1"/>
    <xf numFmtId="0" fontId="40" fillId="0" borderId="0" xfId="4475" applyFont="1" applyFill="1" applyAlignment="1"/>
    <xf numFmtId="2" fontId="40" fillId="0" borderId="0" xfId="4475" applyNumberFormat="1" applyFont="1" applyFill="1"/>
    <xf numFmtId="0" fontId="40" fillId="0" borderId="0" xfId="4475" applyNumberFormat="1" applyFont="1" applyFill="1" applyAlignment="1">
      <alignment horizontal="center"/>
    </xf>
    <xf numFmtId="183" fontId="40" fillId="0" borderId="0" xfId="4475" applyNumberFormat="1" applyFont="1" applyFill="1" applyAlignment="1"/>
    <xf numFmtId="0" fontId="93" fillId="0" borderId="0" xfId="4475" applyNumberFormat="1" applyFont="1" applyFill="1" applyAlignment="1">
      <alignment horizontal="left"/>
    </xf>
    <xf numFmtId="0" fontId="93" fillId="0" borderId="0" xfId="4475" applyFont="1" applyFill="1" applyAlignment="1"/>
    <xf numFmtId="0" fontId="88" fillId="0" borderId="0" xfId="8667" applyFont="1" applyFill="1" applyBorder="1" applyAlignment="1">
      <alignment horizontal="center"/>
    </xf>
    <xf numFmtId="192" fontId="93" fillId="0" borderId="0" xfId="9375" applyNumberFormat="1" applyFont="1" applyAlignment="1">
      <alignment horizontal="right"/>
    </xf>
    <xf numFmtId="0" fontId="40" fillId="0" borderId="0" xfId="9375" applyFont="1"/>
    <xf numFmtId="0" fontId="40" fillId="0" borderId="0" xfId="9375" applyFont="1" applyBorder="1"/>
    <xf numFmtId="37" fontId="93" fillId="0" borderId="0" xfId="9290" applyFont="1" applyAlignment="1">
      <alignment horizontal="right"/>
    </xf>
    <xf numFmtId="179" fontId="40" fillId="0" borderId="0" xfId="3236" applyNumberFormat="1" applyFont="1"/>
    <xf numFmtId="192" fontId="40" fillId="0" borderId="0" xfId="9290" applyNumberFormat="1" applyFont="1" applyAlignment="1">
      <alignment horizontal="right"/>
    </xf>
    <xf numFmtId="37" fontId="40" fillId="0" borderId="0" xfId="9290" applyFont="1" applyAlignment="1">
      <alignment horizontal="centerContinuous"/>
    </xf>
    <xf numFmtId="37" fontId="40" fillId="0" borderId="0" xfId="9290" applyFont="1" applyBorder="1" applyAlignment="1">
      <alignment horizontal="centerContinuous"/>
    </xf>
    <xf numFmtId="0" fontId="141" fillId="0" borderId="0" xfId="9375" applyFont="1" applyAlignment="1">
      <alignment horizontal="center"/>
    </xf>
    <xf numFmtId="165" fontId="93" fillId="0" borderId="0" xfId="9375" quotePrefix="1" applyNumberFormat="1" applyFont="1" applyAlignment="1">
      <alignment horizontal="right"/>
    </xf>
    <xf numFmtId="37" fontId="40" fillId="0" borderId="0" xfId="9290" applyFont="1" applyAlignment="1">
      <alignment horizontal="center"/>
    </xf>
    <xf numFmtId="37" fontId="40" fillId="0" borderId="0" xfId="9290" applyFont="1" applyFill="1" applyAlignment="1">
      <alignment horizontal="center"/>
    </xf>
    <xf numFmtId="37" fontId="40" fillId="0" borderId="0" xfId="9290" quotePrefix="1" applyFont="1" applyAlignment="1">
      <alignment horizontal="center"/>
    </xf>
    <xf numFmtId="37" fontId="40" fillId="0" borderId="5" xfId="9290" applyFont="1" applyBorder="1" applyAlignment="1">
      <alignment horizontal="centerContinuous"/>
    </xf>
    <xf numFmtId="37" fontId="40" fillId="0" borderId="5" xfId="9290" applyFont="1" applyBorder="1" applyAlignment="1">
      <alignment horizontal="center"/>
    </xf>
    <xf numFmtId="165" fontId="40" fillId="0" borderId="0" xfId="9375" applyNumberFormat="1" applyFont="1" applyBorder="1"/>
    <xf numFmtId="192" fontId="40" fillId="0" borderId="0" xfId="9290" applyNumberFormat="1" applyFont="1" applyBorder="1" applyAlignment="1">
      <alignment horizontal="right"/>
    </xf>
    <xf numFmtId="37" fontId="40" fillId="0" borderId="0" xfId="9290" applyFont="1" applyAlignment="1">
      <alignment horizontal="left"/>
    </xf>
    <xf numFmtId="37" fontId="40" fillId="0" borderId="0" xfId="9290" applyFont="1" applyBorder="1" applyAlignment="1">
      <alignment horizontal="left"/>
    </xf>
    <xf numFmtId="173" fontId="40" fillId="0" borderId="0" xfId="3236" applyNumberFormat="1" applyFont="1" applyBorder="1" applyAlignment="1">
      <alignment horizontal="right"/>
    </xf>
    <xf numFmtId="187" fontId="40" fillId="0" borderId="0" xfId="3834" applyNumberFormat="1" applyFont="1" applyAlignment="1">
      <alignment horizontal="right"/>
    </xf>
    <xf numFmtId="187" fontId="40" fillId="0" borderId="0" xfId="9375" applyNumberFormat="1" applyFont="1" applyBorder="1"/>
    <xf numFmtId="173" fontId="40" fillId="0" borderId="0" xfId="3236" applyNumberFormat="1" applyFont="1" applyAlignment="1">
      <alignment horizontal="right"/>
    </xf>
    <xf numFmtId="173" fontId="40" fillId="0" borderId="6" xfId="3236" applyNumberFormat="1" applyFont="1" applyBorder="1" applyAlignment="1">
      <alignment horizontal="right"/>
    </xf>
    <xf numFmtId="179" fontId="143" fillId="0" borderId="0" xfId="3236" applyNumberFormat="1" applyFont="1"/>
    <xf numFmtId="178" fontId="40" fillId="0" borderId="0" xfId="6291" applyNumberFormat="1" applyFont="1" applyBorder="1" applyAlignment="1">
      <alignment horizontal="right"/>
    </xf>
    <xf numFmtId="173" fontId="40" fillId="0" borderId="0" xfId="3236" applyNumberFormat="1" applyFont="1" applyFill="1" applyBorder="1" applyAlignment="1">
      <alignment horizontal="right"/>
    </xf>
    <xf numFmtId="173" fontId="40" fillId="0" borderId="0" xfId="3236" applyNumberFormat="1" applyFont="1" applyFill="1" applyAlignment="1">
      <alignment horizontal="right"/>
    </xf>
    <xf numFmtId="37" fontId="40" fillId="0" borderId="0" xfId="9290" quotePrefix="1" applyFont="1"/>
    <xf numFmtId="179" fontId="142" fillId="0" borderId="0" xfId="3236" applyNumberFormat="1" applyFont="1"/>
    <xf numFmtId="37" fontId="40" fillId="0" borderId="0" xfId="9290" quotePrefix="1" applyFont="1" applyAlignment="1">
      <alignment horizontal="left"/>
    </xf>
    <xf numFmtId="37" fontId="40" fillId="0" borderId="0" xfId="9290" quotePrefix="1" applyFont="1" applyFill="1" applyAlignment="1">
      <alignment horizontal="left"/>
    </xf>
    <xf numFmtId="187" fontId="40" fillId="0" borderId="7" xfId="3834" applyNumberFormat="1" applyFont="1" applyBorder="1" applyAlignment="1">
      <alignment horizontal="right"/>
    </xf>
    <xf numFmtId="187" fontId="40" fillId="0" borderId="0" xfId="3834" applyNumberFormat="1" applyFont="1" applyBorder="1" applyAlignment="1">
      <alignment horizontal="right"/>
    </xf>
    <xf numFmtId="192" fontId="40" fillId="0" borderId="0" xfId="9375" applyNumberFormat="1" applyFont="1"/>
    <xf numFmtId="10" fontId="40" fillId="0" borderId="27" xfId="6291" applyNumberFormat="1" applyFont="1" applyBorder="1" applyAlignment="1">
      <alignment horizontal="right"/>
    </xf>
    <xf numFmtId="44" fontId="90" fillId="0" borderId="0" xfId="3834" applyFont="1" applyFill="1" applyBorder="1"/>
    <xf numFmtId="10" fontId="40" fillId="0" borderId="0" xfId="6291" applyNumberFormat="1" applyFont="1" applyBorder="1" applyAlignment="1">
      <alignment horizontal="right"/>
    </xf>
    <xf numFmtId="0" fontId="40" fillId="0" borderId="0" xfId="9375" applyFont="1" applyAlignment="1">
      <alignment horizontal="center"/>
    </xf>
    <xf numFmtId="0" fontId="40" fillId="0" borderId="0" xfId="9375" quotePrefix="1" applyFont="1" applyAlignment="1">
      <alignment horizontal="center"/>
    </xf>
    <xf numFmtId="37" fontId="40" fillId="0" borderId="0" xfId="9290" applyFont="1"/>
    <xf numFmtId="44" fontId="144" fillId="0" borderId="0" xfId="3834" applyFont="1" applyFill="1" applyBorder="1"/>
    <xf numFmtId="2" fontId="40" fillId="0" borderId="0" xfId="9375" applyNumberFormat="1" applyFont="1"/>
    <xf numFmtId="173" fontId="40" fillId="0" borderId="0" xfId="8782" applyNumberFormat="1" applyFont="1"/>
    <xf numFmtId="37" fontId="40" fillId="0" borderId="0" xfId="9290" applyFont="1" applyFill="1"/>
    <xf numFmtId="0" fontId="23" fillId="0" borderId="0" xfId="10006" applyFill="1"/>
    <xf numFmtId="49" fontId="22" fillId="0" borderId="0" xfId="8667" applyNumberFormat="1" applyFont="1" applyFill="1" applyBorder="1" applyAlignment="1">
      <alignment horizontal="center"/>
    </xf>
    <xf numFmtId="0" fontId="22" fillId="0" borderId="0" xfId="8667" applyFont="1" applyFill="1" applyBorder="1" applyAlignment="1">
      <alignment horizontal="center"/>
    </xf>
    <xf numFmtId="0" fontId="88" fillId="0" borderId="0" xfId="8667" applyFont="1" applyFill="1" applyBorder="1" applyAlignment="1">
      <alignment horizontal="center"/>
    </xf>
    <xf numFmtId="201" fontId="88" fillId="0" borderId="6" xfId="8668" applyNumberFormat="1" applyFont="1" applyFill="1" applyBorder="1" applyAlignment="1">
      <alignment horizontal="center" vertical="center" wrapText="1"/>
    </xf>
    <xf numFmtId="0" fontId="23" fillId="0" borderId="0" xfId="10006" applyFont="1" applyFill="1" applyAlignment="1">
      <alignment horizontal="center"/>
    </xf>
    <xf numFmtId="0" fontId="24" fillId="0" borderId="0" xfId="10006" applyFont="1" applyFill="1" applyAlignment="1">
      <alignment horizontal="center"/>
    </xf>
    <xf numFmtId="9" fontId="88" fillId="0" borderId="0" xfId="8779" applyNumberFormat="1" applyFont="1" applyFill="1" applyBorder="1" applyAlignment="1">
      <alignment horizontal="center"/>
    </xf>
    <xf numFmtId="9" fontId="88" fillId="0" borderId="0" xfId="8779" applyFont="1" applyFill="1" applyBorder="1" applyAlignment="1">
      <alignment horizontal="right"/>
    </xf>
    <xf numFmtId="43" fontId="88" fillId="0" borderId="0" xfId="57815" applyFont="1" applyFill="1" applyBorder="1" applyAlignment="1">
      <alignment horizontal="left"/>
    </xf>
    <xf numFmtId="49" fontId="88" fillId="0" borderId="6" xfId="8668" applyNumberFormat="1" applyFont="1" applyFill="1" applyBorder="1" applyAlignment="1">
      <alignment horizontal="center" wrapText="1"/>
    </xf>
    <xf numFmtId="173" fontId="88" fillId="0" borderId="6" xfId="8668" applyNumberFormat="1" applyFont="1" applyFill="1" applyBorder="1" applyAlignment="1">
      <alignment horizontal="center" wrapText="1"/>
    </xf>
    <xf numFmtId="49" fontId="117" fillId="0" borderId="0" xfId="57816" applyNumberFormat="1" applyFont="1" applyFill="1" applyAlignment="1"/>
    <xf numFmtId="43" fontId="88" fillId="0" borderId="0" xfId="8667" applyNumberFormat="1" applyFont="1" applyFill="1" applyBorder="1" applyAlignment="1">
      <alignment horizontal="left"/>
    </xf>
    <xf numFmtId="0" fontId="194" fillId="0" borderId="0" xfId="8667" applyFont="1" applyFill="1" applyBorder="1" applyAlignment="1">
      <alignment horizontal="left"/>
    </xf>
    <xf numFmtId="0" fontId="194" fillId="0" borderId="5" xfId="8667" applyFont="1" applyFill="1" applyBorder="1" applyAlignment="1">
      <alignment horizontal="center" wrapText="1"/>
    </xf>
    <xf numFmtId="49" fontId="88" fillId="0" borderId="0" xfId="8668" applyNumberFormat="1" applyFont="1" applyFill="1" applyBorder="1" applyAlignment="1">
      <alignment horizontal="center" wrapText="1"/>
    </xf>
    <xf numFmtId="173" fontId="88" fillId="0" borderId="0" xfId="8668" applyNumberFormat="1" applyFont="1" applyFill="1" applyBorder="1" applyAlignment="1">
      <alignment horizontal="center" wrapText="1"/>
    </xf>
    <xf numFmtId="37" fontId="22" fillId="0" borderId="0" xfId="8674" applyNumberFormat="1" applyFont="1" applyFill="1" applyAlignment="1">
      <alignment horizontal="center"/>
    </xf>
    <xf numFmtId="37" fontId="78" fillId="0" borderId="0" xfId="8674" applyNumberFormat="1" applyFont="1" applyFill="1" applyAlignment="1">
      <alignment horizontal="center"/>
    </xf>
    <xf numFmtId="49" fontId="22" fillId="0" borderId="0" xfId="8667" applyNumberFormat="1" applyFont="1" applyFill="1" applyBorder="1" applyAlignment="1">
      <alignment horizontal="center"/>
    </xf>
    <xf numFmtId="37" fontId="21" fillId="0" borderId="0" xfId="9290" applyFont="1" applyAlignment="1">
      <alignment horizontal="right"/>
    </xf>
    <xf numFmtId="37" fontId="21" fillId="0" borderId="0" xfId="9290" quotePrefix="1" applyFont="1" applyAlignment="1">
      <alignment horizontal="right"/>
    </xf>
    <xf numFmtId="37" fontId="21" fillId="0" borderId="0" xfId="9290" quotePrefix="1" applyFont="1" applyFill="1" applyAlignment="1">
      <alignment horizontal="right"/>
    </xf>
    <xf numFmtId="0" fontId="21" fillId="0" borderId="0" xfId="8667" applyFont="1" applyFill="1" applyBorder="1" applyAlignment="1">
      <alignment horizontal="left"/>
    </xf>
    <xf numFmtId="0" fontId="195" fillId="0" borderId="0" xfId="8667" applyFont="1" applyFill="1" applyBorder="1" applyAlignment="1">
      <alignment horizontal="left"/>
    </xf>
    <xf numFmtId="49" fontId="22" fillId="0" borderId="0" xfId="8667" applyNumberFormat="1" applyFont="1" applyFill="1" applyBorder="1" applyAlignment="1">
      <alignment horizontal="center"/>
    </xf>
    <xf numFmtId="0" fontId="88" fillId="0" borderId="0" xfId="8667" applyFont="1" applyFill="1" applyBorder="1" applyAlignment="1">
      <alignment horizontal="center"/>
    </xf>
    <xf numFmtId="49" fontId="22" fillId="0" borderId="0" xfId="8667" applyNumberFormat="1" applyFont="1" applyFill="1" applyBorder="1" applyAlignment="1">
      <alignment horizontal="center"/>
    </xf>
    <xf numFmtId="0" fontId="88" fillId="0" borderId="0" xfId="8667" applyFont="1" applyFill="1" applyBorder="1" applyAlignment="1">
      <alignment horizontal="center"/>
    </xf>
    <xf numFmtId="173" fontId="88" fillId="0" borderId="0" xfId="8668" applyNumberFormat="1" applyFont="1" applyFill="1" applyBorder="1" applyAlignment="1">
      <alignment horizontal="left" wrapText="1"/>
    </xf>
    <xf numFmtId="181" fontId="88" fillId="0" borderId="0" xfId="8669" applyNumberFormat="1" applyFont="1" applyFill="1" applyBorder="1" applyAlignment="1">
      <alignment horizontal="center" wrapText="1"/>
    </xf>
    <xf numFmtId="0" fontId="88" fillId="0" borderId="0" xfId="8667" applyFont="1" applyFill="1" applyBorder="1" applyAlignment="1">
      <alignment horizontal="center" vertical="top"/>
    </xf>
    <xf numFmtId="49" fontId="22" fillId="0" borderId="0" xfId="8667" applyNumberFormat="1" applyFont="1" applyFill="1" applyBorder="1" applyAlignment="1">
      <alignment horizontal="center"/>
    </xf>
    <xf numFmtId="0" fontId="88" fillId="0" borderId="0" xfId="8667" applyFont="1" applyFill="1" applyBorder="1" applyAlignment="1">
      <alignment horizontal="center"/>
    </xf>
    <xf numFmtId="0" fontId="78" fillId="0" borderId="0" xfId="8667" applyFont="1" applyFill="1" applyBorder="1" applyAlignment="1">
      <alignment horizontal="left" wrapText="1"/>
    </xf>
    <xf numFmtId="0" fontId="78" fillId="0" borderId="0" xfId="8207" applyFont="1" applyAlignment="1"/>
    <xf numFmtId="0" fontId="91" fillId="0" borderId="0" xfId="8207" applyFont="1" applyAlignment="1"/>
    <xf numFmtId="0" fontId="22" fillId="0" borderId="0" xfId="8667" quotePrefix="1" applyFont="1" applyFill="1" applyBorder="1" applyAlignment="1">
      <alignment horizontal="center" wrapText="1"/>
    </xf>
    <xf numFmtId="0" fontId="22" fillId="0" borderId="0" xfId="8207" applyFont="1" applyAlignment="1"/>
    <xf numFmtId="0" fontId="78" fillId="0" borderId="0" xfId="8207" applyFont="1" applyFill="1" applyAlignment="1"/>
    <xf numFmtId="0" fontId="91" fillId="0" borderId="0" xfId="8207" applyFont="1" applyFill="1" applyAlignment="1"/>
    <xf numFmtId="0" fontId="22" fillId="0" borderId="0" xfId="8207" applyFont="1" applyFill="1" applyAlignment="1"/>
    <xf numFmtId="0" fontId="22" fillId="0" borderId="0" xfId="8667" applyFont="1" applyFill="1" applyBorder="1" applyAlignment="1">
      <alignment horizontal="center"/>
    </xf>
    <xf numFmtId="0" fontId="22" fillId="0" borderId="0" xfId="8667" applyFont="1" applyFill="1" applyBorder="1" applyAlignment="1">
      <alignment horizontal="center"/>
    </xf>
    <xf numFmtId="173" fontId="88" fillId="0" borderId="7" xfId="8668" applyNumberFormat="1" applyFont="1" applyFill="1" applyBorder="1" applyAlignment="1">
      <alignment horizontal="right"/>
    </xf>
    <xf numFmtId="173" fontId="88" fillId="0" borderId="0" xfId="8668" applyNumberFormat="1" applyFont="1" applyFill="1" applyBorder="1" applyAlignment="1">
      <alignment horizontal="right"/>
    </xf>
    <xf numFmtId="173" fontId="88" fillId="0" borderId="5" xfId="8668" applyNumberFormat="1" applyFont="1" applyFill="1" applyBorder="1" applyAlignment="1">
      <alignment horizontal="right"/>
    </xf>
    <xf numFmtId="173" fontId="22" fillId="0" borderId="7" xfId="8668" applyNumberFormat="1" applyFont="1" applyFill="1" applyBorder="1" applyAlignment="1">
      <alignment horizontal="right"/>
    </xf>
    <xf numFmtId="181" fontId="88" fillId="0" borderId="0" xfId="8779" applyNumberFormat="1" applyFont="1" applyFill="1" applyBorder="1" applyAlignment="1">
      <alignment horizontal="right"/>
    </xf>
    <xf numFmtId="173" fontId="22" fillId="0" borderId="0" xfId="8668" applyNumberFormat="1" applyFont="1" applyFill="1" applyBorder="1" applyAlignment="1">
      <alignment horizontal="right"/>
    </xf>
    <xf numFmtId="181" fontId="22" fillId="0" borderId="0" xfId="8669" applyNumberFormat="1" applyFont="1" applyFill="1" applyBorder="1" applyAlignment="1">
      <alignment horizontal="right"/>
    </xf>
    <xf numFmtId="181" fontId="22" fillId="0" borderId="0" xfId="8779" applyNumberFormat="1" applyFont="1" applyFill="1" applyBorder="1" applyAlignment="1">
      <alignment horizontal="right"/>
    </xf>
    <xf numFmtId="0" fontId="88" fillId="0" borderId="28" xfId="8667" applyFont="1" applyFill="1" applyBorder="1" applyAlignment="1">
      <alignment horizontal="left"/>
    </xf>
    <xf numFmtId="49" fontId="23" fillId="0" borderId="0" xfId="1" applyNumberFormat="1" applyFont="1" applyFill="1" applyAlignment="1">
      <alignment horizontal="right" wrapText="1"/>
    </xf>
    <xf numFmtId="49" fontId="23" fillId="0" borderId="0" xfId="1" applyNumberFormat="1" applyFont="1" applyFill="1" applyAlignment="1">
      <alignment horizontal="left" wrapText="1"/>
    </xf>
    <xf numFmtId="191" fontId="23" fillId="0" borderId="0" xfId="1" applyNumberFormat="1" applyFont="1" applyFill="1" applyAlignment="1">
      <alignment horizontal="right"/>
    </xf>
    <xf numFmtId="43" fontId="23" fillId="0" borderId="0" xfId="10006" applyNumberFormat="1" applyFont="1" applyFill="1"/>
    <xf numFmtId="43" fontId="137" fillId="0" borderId="0" xfId="29405" applyFont="1" applyFill="1"/>
    <xf numFmtId="0" fontId="23" fillId="0" borderId="0" xfId="10006" applyFont="1" applyFill="1"/>
    <xf numFmtId="43" fontId="23" fillId="0" borderId="28" xfId="10006" applyNumberFormat="1" applyFont="1" applyFill="1" applyBorder="1"/>
    <xf numFmtId="43" fontId="24" fillId="0" borderId="28" xfId="10006" applyNumberFormat="1" applyFont="1" applyFill="1" applyBorder="1"/>
    <xf numFmtId="43" fontId="193" fillId="0" borderId="0" xfId="29405" applyFont="1" applyFill="1"/>
    <xf numFmtId="43" fontId="137" fillId="0" borderId="28" xfId="29405" applyFont="1" applyFill="1" applyBorder="1"/>
    <xf numFmtId="43" fontId="0" fillId="0" borderId="0" xfId="29405" applyFont="1" applyFill="1"/>
    <xf numFmtId="0" fontId="23" fillId="0" borderId="0" xfId="10006" applyFill="1" applyAlignment="1">
      <alignment horizontal="right"/>
    </xf>
    <xf numFmtId="0" fontId="23" fillId="0" borderId="0" xfId="1" applyFill="1"/>
    <xf numFmtId="49" fontId="24" fillId="0" borderId="0" xfId="1" applyNumberFormat="1" applyFont="1" applyFill="1" applyAlignment="1">
      <alignment horizontal="left" wrapText="1"/>
    </xf>
    <xf numFmtId="0" fontId="24" fillId="0" borderId="0" xfId="1" applyFont="1" applyFill="1"/>
    <xf numFmtId="0" fontId="14" fillId="0" borderId="0" xfId="9372" applyFill="1"/>
    <xf numFmtId="49" fontId="14" fillId="0" borderId="0" xfId="9372" applyNumberFormat="1" applyFont="1" applyFill="1" applyAlignment="1">
      <alignment horizontal="right" wrapText="1"/>
    </xf>
    <xf numFmtId="0" fontId="22" fillId="0" borderId="0" xfId="4397"/>
    <xf numFmtId="0" fontId="88" fillId="0" borderId="0" xfId="8667" applyFont="1" applyFill="1" applyBorder="1" applyAlignment="1">
      <alignment horizontal="center"/>
    </xf>
    <xf numFmtId="0" fontId="88" fillId="0" borderId="0" xfId="8667" applyFont="1" applyFill="1" applyBorder="1" applyAlignment="1">
      <alignment horizontal="center" vertical="center"/>
    </xf>
    <xf numFmtId="49" fontId="22" fillId="0" borderId="0" xfId="8667" applyNumberFormat="1" applyFont="1" applyFill="1" applyBorder="1" applyAlignment="1">
      <alignment horizontal="center"/>
    </xf>
    <xf numFmtId="0" fontId="22" fillId="0" borderId="0" xfId="8667" applyFont="1" applyFill="1" applyBorder="1" applyAlignment="1">
      <alignment horizontal="center"/>
    </xf>
    <xf numFmtId="0" fontId="88" fillId="0" borderId="0" xfId="8667" applyFont="1" applyFill="1" applyBorder="1" applyAlignment="1">
      <alignment horizontal="center"/>
    </xf>
    <xf numFmtId="0" fontId="21" fillId="0" borderId="0" xfId="0" applyNumberFormat="1" applyFont="1" applyFill="1" applyAlignment="1" applyProtection="1">
      <alignment horizontal="center"/>
    </xf>
    <xf numFmtId="165" fontId="21" fillId="0" borderId="0" xfId="0" quotePrefix="1" applyNumberFormat="1" applyFont="1" applyFill="1" applyAlignment="1">
      <alignment horizontal="center"/>
    </xf>
    <xf numFmtId="165" fontId="21" fillId="0" borderId="0" xfId="0" applyNumberFormat="1" applyFont="1" applyFill="1" applyAlignment="1">
      <alignment horizontal="center"/>
    </xf>
    <xf numFmtId="185" fontId="23" fillId="0" borderId="0" xfId="9290" applyNumberFormat="1" applyFont="1" applyFill="1" applyAlignment="1">
      <alignment horizontal="center"/>
    </xf>
    <xf numFmtId="185" fontId="23" fillId="0" borderId="0" xfId="9290" applyNumberFormat="1" applyFont="1" applyFill="1" applyAlignment="1">
      <alignment horizontal="right"/>
    </xf>
    <xf numFmtId="185" fontId="23" fillId="0" borderId="0" xfId="9290" applyNumberFormat="1" applyFont="1" applyFill="1" applyAlignment="1">
      <alignment horizontal="left"/>
    </xf>
    <xf numFmtId="0" fontId="22" fillId="0" borderId="0" xfId="8667" applyFont="1" applyFill="1" applyBorder="1" applyAlignment="1">
      <alignment horizontal="right" wrapText="1"/>
    </xf>
    <xf numFmtId="49" fontId="134" fillId="0" borderId="0" xfId="9290" applyNumberFormat="1" applyFont="1" applyFill="1" applyAlignment="1">
      <alignment horizontal="left"/>
    </xf>
    <xf numFmtId="49" fontId="23" fillId="0" borderId="0" xfId="9290" applyNumberFormat="1" applyFont="1" applyFill="1" applyAlignment="1">
      <alignment horizontal="right" wrapText="1"/>
    </xf>
    <xf numFmtId="49" fontId="24" fillId="0" borderId="0" xfId="9290" applyNumberFormat="1" applyFont="1" applyAlignment="1">
      <alignment horizontal="center" wrapText="1"/>
    </xf>
    <xf numFmtId="43" fontId="22" fillId="0" borderId="6" xfId="2" applyFont="1" applyFill="1" applyBorder="1"/>
    <xf numFmtId="0" fontId="22" fillId="0" borderId="0" xfId="2" applyNumberFormat="1" applyFont="1" applyFill="1" applyBorder="1"/>
    <xf numFmtId="165" fontId="22" fillId="0" borderId="0" xfId="0" applyNumberFormat="1" applyFont="1" applyBorder="1" applyAlignment="1">
      <alignment horizontal="center"/>
    </xf>
    <xf numFmtId="37" fontId="21" fillId="0" borderId="0" xfId="0" applyFont="1" applyFill="1"/>
    <xf numFmtId="37" fontId="0" fillId="0" borderId="0" xfId="0" applyBorder="1"/>
    <xf numFmtId="0" fontId="20" fillId="0" borderId="0" xfId="4" applyFont="1" applyFill="1" applyBorder="1" applyProtection="1">
      <protection locked="0"/>
    </xf>
    <xf numFmtId="165" fontId="21" fillId="0" borderId="0" xfId="4" applyNumberFormat="1" applyFont="1" applyBorder="1" applyAlignment="1">
      <alignment horizontal="center"/>
    </xf>
    <xf numFmtId="49" fontId="9" fillId="0" borderId="0" xfId="8667" applyNumberFormat="1" applyFont="1" applyAlignment="1">
      <alignment horizontal="left" wrapText="1"/>
    </xf>
    <xf numFmtId="49" fontId="9" fillId="0" borderId="0" xfId="8667" applyNumberFormat="1" applyFont="1" applyAlignment="1">
      <alignment horizontal="right" wrapText="1"/>
    </xf>
    <xf numFmtId="200" fontId="9" fillId="0" borderId="0" xfId="8667" applyNumberFormat="1" applyFont="1" applyAlignment="1">
      <alignment horizontal="left"/>
    </xf>
    <xf numFmtId="200" fontId="19" fillId="0" borderId="6" xfId="8667" applyNumberFormat="1" applyFont="1" applyBorder="1" applyAlignment="1">
      <alignment horizontal="right"/>
    </xf>
    <xf numFmtId="200" fontId="212" fillId="0" borderId="0" xfId="8667" applyNumberFormat="1" applyFont="1" applyAlignment="1">
      <alignment horizontal="left"/>
    </xf>
    <xf numFmtId="200" fontId="19" fillId="0" borderId="0" xfId="8667" applyNumberFormat="1" applyFont="1" applyBorder="1" applyAlignment="1">
      <alignment horizontal="right"/>
    </xf>
    <xf numFmtId="200" fontId="9" fillId="0" borderId="0" xfId="8667" applyNumberFormat="1" applyFont="1" applyBorder="1" applyAlignment="1">
      <alignment horizontal="right"/>
    </xf>
    <xf numFmtId="185" fontId="9" fillId="0" borderId="0" xfId="8667" applyNumberFormat="1" applyFont="1" applyAlignment="1">
      <alignment horizontal="left"/>
    </xf>
    <xf numFmtId="185" fontId="9" fillId="0" borderId="0" xfId="8667" applyNumberFormat="1" applyFont="1" applyBorder="1" applyAlignment="1">
      <alignment horizontal="right"/>
    </xf>
    <xf numFmtId="49" fontId="9" fillId="0" borderId="0" xfId="8667" applyNumberFormat="1" applyFont="1" applyFill="1" applyAlignment="1">
      <alignment horizontal="right" wrapText="1"/>
    </xf>
    <xf numFmtId="49" fontId="134" fillId="0" borderId="0" xfId="9290" applyNumberFormat="1" applyFont="1" applyFill="1" applyAlignment="1">
      <alignment horizontal="center"/>
    </xf>
    <xf numFmtId="49" fontId="23" fillId="0" borderId="0" xfId="1" applyNumberFormat="1" applyFont="1" applyFill="1" applyAlignment="1">
      <alignment horizontal="center" wrapText="1"/>
    </xf>
    <xf numFmtId="49" fontId="9" fillId="0" borderId="0" xfId="8667" applyNumberFormat="1" applyFont="1" applyAlignment="1">
      <alignment horizontal="center" wrapText="1"/>
    </xf>
    <xf numFmtId="200" fontId="9" fillId="0" borderId="0" xfId="8667" applyNumberFormat="1" applyFont="1" applyAlignment="1">
      <alignment horizontal="center"/>
    </xf>
    <xf numFmtId="200" fontId="212" fillId="0" borderId="0" xfId="8667" applyNumberFormat="1" applyFont="1" applyAlignment="1">
      <alignment horizontal="center"/>
    </xf>
    <xf numFmtId="185" fontId="9" fillId="0" borderId="0" xfId="8667" applyNumberFormat="1" applyFont="1" applyAlignment="1">
      <alignment horizontal="center"/>
    </xf>
    <xf numFmtId="185" fontId="23" fillId="0" borderId="0" xfId="1" applyNumberFormat="1" applyFont="1" applyFill="1" applyAlignment="1">
      <alignment horizontal="center"/>
    </xf>
    <xf numFmtId="200" fontId="9" fillId="0" borderId="0" xfId="8667" applyNumberFormat="1" applyFont="1" applyAlignment="1">
      <alignment horizontal="right"/>
    </xf>
    <xf numFmtId="6" fontId="9" fillId="0" borderId="0" xfId="8667" applyNumberFormat="1" applyFont="1" applyBorder="1" applyAlignment="1">
      <alignment horizontal="right"/>
    </xf>
    <xf numFmtId="0" fontId="22" fillId="0" borderId="0" xfId="56076" applyFont="1"/>
    <xf numFmtId="0" fontId="21" fillId="0" borderId="5" xfId="56076" applyFont="1" applyBorder="1"/>
    <xf numFmtId="49" fontId="22" fillId="0" borderId="0" xfId="56076" applyNumberFormat="1" applyFont="1" applyAlignment="1">
      <alignment horizontal="left"/>
    </xf>
    <xf numFmtId="14" fontId="22" fillId="0" borderId="0" xfId="56076" applyNumberFormat="1" applyFont="1" applyAlignment="1">
      <alignment horizontal="left"/>
    </xf>
    <xf numFmtId="0" fontId="91" fillId="0" borderId="0" xfId="56076" applyFont="1"/>
    <xf numFmtId="37" fontId="22" fillId="0" borderId="0" xfId="8674" quotePrefix="1" applyNumberFormat="1" applyFont="1" applyFill="1" applyAlignment="1"/>
    <xf numFmtId="191" fontId="23" fillId="0" borderId="0" xfId="9285" applyNumberFormat="1" applyFont="1" applyBorder="1" applyAlignment="1">
      <alignment horizontal="right"/>
    </xf>
    <xf numFmtId="181" fontId="88" fillId="0" borderId="0" xfId="8779" applyNumberFormat="1" applyFont="1" applyFill="1" applyBorder="1" applyAlignment="1">
      <alignment horizontal="right" wrapText="1"/>
    </xf>
    <xf numFmtId="37" fontId="40" fillId="0" borderId="0" xfId="9290" quotePrefix="1" applyFont="1" applyFill="1"/>
    <xf numFmtId="0" fontId="116" fillId="0" borderId="0" xfId="8767" applyFont="1" applyFill="1" applyAlignment="1"/>
    <xf numFmtId="0" fontId="116" fillId="0" borderId="0" xfId="8767" applyNumberFormat="1" applyFont="1" applyFill="1" applyAlignment="1">
      <alignment horizontal="center"/>
    </xf>
    <xf numFmtId="0" fontId="116" fillId="0" borderId="0" xfId="8767" applyFont="1" applyFill="1"/>
    <xf numFmtId="37" fontId="116" fillId="0" borderId="0" xfId="8767" applyNumberFormat="1" applyFont="1" applyFill="1" applyAlignment="1"/>
    <xf numFmtId="0" fontId="116" fillId="0" borderId="0" xfId="8767" applyFont="1" applyFill="1" applyAlignment="1">
      <alignment horizontal="right"/>
    </xf>
    <xf numFmtId="0" fontId="116" fillId="0" borderId="0" xfId="8767" applyFont="1" applyFill="1" applyAlignment="1">
      <alignment horizontal="center"/>
    </xf>
    <xf numFmtId="2" fontId="116" fillId="0" borderId="0" xfId="8767" applyNumberFormat="1" applyFont="1" applyFill="1"/>
    <xf numFmtId="0" fontId="40" fillId="0" borderId="0" xfId="8767" applyFont="1" applyFill="1" applyAlignment="1"/>
    <xf numFmtId="0" fontId="40" fillId="0" borderId="0" xfId="8767" applyNumberFormat="1" applyFont="1" applyFill="1" applyAlignment="1">
      <alignment horizontal="center"/>
    </xf>
    <xf numFmtId="0" fontId="40" fillId="0" borderId="0" xfId="8767" applyNumberFormat="1" applyFont="1" applyFill="1" applyAlignment="1"/>
    <xf numFmtId="0" fontId="94" fillId="0" borderId="0" xfId="8767" applyNumberFormat="1" applyFont="1" applyFill="1" applyAlignment="1"/>
    <xf numFmtId="2" fontId="40" fillId="0" borderId="0" xfId="8767" applyNumberFormat="1" applyFont="1" applyFill="1" applyBorder="1" applyAlignment="1">
      <alignment horizontal="right"/>
    </xf>
    <xf numFmtId="0" fontId="116" fillId="0" borderId="0" xfId="8767" applyFont="1" applyFill="1" applyBorder="1" applyAlignment="1">
      <alignment horizontal="right"/>
    </xf>
    <xf numFmtId="0" fontId="40" fillId="0" borderId="0" xfId="8767" applyNumberFormat="1" applyFont="1" applyFill="1" applyBorder="1" applyAlignment="1"/>
    <xf numFmtId="0" fontId="40" fillId="0" borderId="0" xfId="8767" applyNumberFormat="1" applyFont="1" applyFill="1" applyBorder="1" applyAlignment="1">
      <alignment horizontal="center"/>
    </xf>
    <xf numFmtId="0" fontId="116" fillId="0" borderId="0" xfId="8767" applyFont="1" applyFill="1" applyBorder="1" applyAlignment="1"/>
    <xf numFmtId="2" fontId="116" fillId="0" borderId="0" xfId="8767" applyNumberFormat="1" applyFont="1" applyFill="1" applyBorder="1"/>
    <xf numFmtId="0" fontId="93" fillId="0" borderId="0" xfId="8767" applyFont="1" applyFill="1" applyAlignment="1"/>
    <xf numFmtId="0" fontId="40" fillId="0" borderId="0" xfId="8767" quotePrefix="1" applyNumberFormat="1" applyFont="1" applyFill="1" applyAlignment="1">
      <alignment horizontal="center"/>
    </xf>
    <xf numFmtId="204" fontId="23" fillId="0" borderId="0" xfId="1" applyNumberFormat="1" applyFill="1"/>
    <xf numFmtId="205" fontId="23" fillId="0" borderId="0" xfId="1" applyNumberFormat="1" applyFont="1" applyFill="1" applyAlignment="1">
      <alignment horizontal="right"/>
    </xf>
    <xf numFmtId="191" fontId="23" fillId="0" borderId="0" xfId="1" applyNumberFormat="1" applyFont="1" applyFill="1" applyBorder="1" applyAlignment="1">
      <alignment horizontal="right"/>
    </xf>
    <xf numFmtId="191" fontId="23" fillId="0" borderId="28" xfId="1" applyNumberFormat="1" applyFont="1" applyFill="1" applyBorder="1" applyAlignment="1">
      <alignment horizontal="right"/>
    </xf>
    <xf numFmtId="191" fontId="23" fillId="0" borderId="0" xfId="9285" applyNumberFormat="1" applyFont="1" applyAlignment="1">
      <alignment horizontal="right"/>
    </xf>
    <xf numFmtId="173" fontId="88" fillId="0" borderId="0" xfId="8667" applyNumberFormat="1" applyFont="1" applyFill="1" applyBorder="1" applyAlignment="1">
      <alignment horizontal="left"/>
    </xf>
    <xf numFmtId="200" fontId="5" fillId="0" borderId="0" xfId="8667" applyNumberFormat="1" applyFont="1" applyAlignment="1">
      <alignment horizontal="left"/>
    </xf>
    <xf numFmtId="0" fontId="88" fillId="0" borderId="0" xfId="8667" applyFont="1" applyFill="1" applyBorder="1" applyAlignment="1">
      <alignment horizontal="center"/>
    </xf>
    <xf numFmtId="15" fontId="22" fillId="0" borderId="0" xfId="56076" quotePrefix="1" applyNumberFormat="1" applyFont="1" applyAlignment="1">
      <alignment horizontal="left"/>
    </xf>
    <xf numFmtId="0" fontId="22" fillId="0" borderId="0" xfId="8667" applyFont="1" applyFill="1" applyBorder="1" applyAlignment="1">
      <alignment horizontal="center"/>
    </xf>
    <xf numFmtId="0" fontId="88" fillId="0" borderId="0" xfId="8667" applyFont="1" applyFill="1" applyBorder="1" applyAlignment="1">
      <alignment horizontal="center"/>
    </xf>
    <xf numFmtId="0" fontId="21" fillId="0" borderId="0" xfId="0" applyNumberFormat="1" applyFont="1" applyFill="1" applyAlignment="1" applyProtection="1">
      <alignment horizontal="left"/>
    </xf>
    <xf numFmtId="165" fontId="21" fillId="0" borderId="0" xfId="0" quotePrefix="1" applyNumberFormat="1" applyFont="1" applyFill="1" applyAlignment="1">
      <alignment horizontal="left"/>
    </xf>
    <xf numFmtId="165" fontId="21" fillId="0" borderId="0" xfId="0" applyNumberFormat="1" applyFont="1" applyFill="1" applyAlignment="1">
      <alignment horizontal="left"/>
    </xf>
    <xf numFmtId="39" fontId="22" fillId="0" borderId="0" xfId="3834" applyNumberFormat="1" applyFont="1" applyBorder="1"/>
    <xf numFmtId="39" fontId="22" fillId="0" borderId="0" xfId="3834" applyNumberFormat="1" applyFont="1"/>
    <xf numFmtId="44" fontId="22" fillId="0" borderId="0" xfId="3834" applyFont="1"/>
    <xf numFmtId="44" fontId="22" fillId="0" borderId="0" xfId="3834" applyFont="1" applyBorder="1"/>
    <xf numFmtId="49" fontId="21" fillId="0" borderId="0" xfId="2" applyNumberFormat="1" applyFont="1" applyAlignment="1">
      <alignment horizontal="center"/>
    </xf>
    <xf numFmtId="164" fontId="21" fillId="0" borderId="0" xfId="0" applyNumberFormat="1" applyFont="1" applyFill="1" applyAlignment="1" applyProtection="1">
      <alignment horizontal="left"/>
    </xf>
    <xf numFmtId="165" fontId="21" fillId="0" borderId="0" xfId="0" applyNumberFormat="1" applyFont="1" applyAlignment="1">
      <alignment horizontal="left"/>
    </xf>
    <xf numFmtId="164" fontId="21" fillId="0" borderId="0" xfId="0" applyNumberFormat="1" applyFont="1" applyAlignment="1">
      <alignment horizontal="center"/>
    </xf>
    <xf numFmtId="0" fontId="21" fillId="0" borderId="0" xfId="4" applyFont="1" applyFill="1" applyAlignment="1" applyProtection="1">
      <alignment horizontal="left"/>
    </xf>
    <xf numFmtId="49" fontId="24" fillId="0" borderId="0" xfId="1" quotePrefix="1" applyNumberFormat="1" applyFont="1" applyAlignment="1">
      <alignment horizontal="center" wrapText="1"/>
    </xf>
    <xf numFmtId="0" fontId="22" fillId="0" borderId="0" xfId="0" applyNumberFormat="1" applyFont="1" applyFill="1" applyAlignment="1">
      <alignment horizontal="left"/>
    </xf>
    <xf numFmtId="200" fontId="4" fillId="0" borderId="0" xfId="60086" applyNumberFormat="1" applyFont="1" applyAlignment="1">
      <alignment horizontal="left"/>
    </xf>
    <xf numFmtId="200" fontId="4" fillId="0" borderId="0" xfId="60086" applyNumberFormat="1" applyFont="1" applyBorder="1" applyAlignment="1">
      <alignment horizontal="right"/>
    </xf>
    <xf numFmtId="200" fontId="4" fillId="0" borderId="0" xfId="60086" applyNumberFormat="1" applyFont="1" applyFill="1" applyAlignment="1">
      <alignment horizontal="left"/>
    </xf>
    <xf numFmtId="200" fontId="4" fillId="0" borderId="0" xfId="60086" applyNumberFormat="1" applyFont="1" applyFill="1" applyBorder="1" applyAlignment="1">
      <alignment horizontal="right"/>
    </xf>
    <xf numFmtId="0" fontId="21" fillId="0" borderId="0" xfId="0" applyNumberFormat="1" applyFont="1" applyAlignment="1">
      <alignment horizontal="center"/>
    </xf>
    <xf numFmtId="176" fontId="43" fillId="0" borderId="0" xfId="0" applyNumberFormat="1" applyFont="1" applyAlignment="1" applyProtection="1">
      <alignment horizontal="left"/>
    </xf>
    <xf numFmtId="176" fontId="43" fillId="0" borderId="0" xfId="0" applyNumberFormat="1" applyFont="1" applyAlignment="1" applyProtection="1">
      <alignment horizontal="right"/>
    </xf>
    <xf numFmtId="177" fontId="43" fillId="0" borderId="0" xfId="0" applyNumberFormat="1" applyFont="1" applyAlignment="1" applyProtection="1">
      <alignment horizontal="left"/>
    </xf>
    <xf numFmtId="177" fontId="43" fillId="0" borderId="0" xfId="0" applyNumberFormat="1" applyFont="1" applyAlignment="1" applyProtection="1">
      <alignment horizontal="right"/>
    </xf>
    <xf numFmtId="37" fontId="20" fillId="0" borderId="0" xfId="0" applyFont="1" applyAlignment="1" applyProtection="1">
      <alignment horizontal="center"/>
    </xf>
    <xf numFmtId="10" fontId="20" fillId="0" borderId="0" xfId="10005" applyNumberFormat="1" applyFont="1"/>
    <xf numFmtId="178" fontId="20" fillId="0" borderId="0" xfId="10005" applyNumberFormat="1" applyFont="1"/>
    <xf numFmtId="0" fontId="23" fillId="0" borderId="0" xfId="9285"/>
    <xf numFmtId="0" fontId="23" fillId="0" borderId="0" xfId="9285" applyFill="1"/>
    <xf numFmtId="0" fontId="24" fillId="0" borderId="0" xfId="9285" applyFont="1"/>
    <xf numFmtId="0" fontId="23" fillId="0" borderId="0" xfId="9285" quotePrefix="1" applyAlignment="1">
      <alignment horizontal="center"/>
    </xf>
    <xf numFmtId="0" fontId="23" fillId="0" borderId="0" xfId="9285" applyFill="1" applyAlignment="1">
      <alignment horizontal="center"/>
    </xf>
    <xf numFmtId="185" fontId="135" fillId="0" borderId="0" xfId="9285" applyNumberFormat="1" applyFont="1" applyAlignment="1">
      <alignment horizontal="left"/>
    </xf>
    <xf numFmtId="43" fontId="23" fillId="0" borderId="0" xfId="9285" applyNumberFormat="1"/>
    <xf numFmtId="14" fontId="23" fillId="0" borderId="0" xfId="9285" applyNumberFormat="1" applyFill="1" applyAlignment="1">
      <alignment horizontal="center"/>
    </xf>
    <xf numFmtId="0" fontId="24" fillId="0" borderId="0" xfId="9285" applyFont="1" applyFill="1" applyAlignment="1">
      <alignment horizontal="center"/>
    </xf>
    <xf numFmtId="41" fontId="23" fillId="0" borderId="0" xfId="9285" applyNumberFormat="1" applyFill="1"/>
    <xf numFmtId="0" fontId="24" fillId="0" borderId="0" xfId="9285" applyFont="1" applyFill="1"/>
    <xf numFmtId="43" fontId="0" fillId="0" borderId="0" xfId="61976" applyFont="1" applyFill="1"/>
    <xf numFmtId="14" fontId="23" fillId="0" borderId="0" xfId="9285" applyNumberFormat="1" applyFill="1"/>
    <xf numFmtId="0" fontId="192" fillId="0" borderId="0" xfId="9285" applyFont="1" applyFill="1"/>
    <xf numFmtId="41" fontId="23" fillId="0" borderId="0" xfId="9285" applyNumberFormat="1"/>
    <xf numFmtId="41" fontId="23" fillId="0" borderId="28" xfId="9285" applyNumberFormat="1" applyBorder="1"/>
    <xf numFmtId="41" fontId="23" fillId="0" borderId="7" xfId="9285" applyNumberFormat="1" applyBorder="1"/>
    <xf numFmtId="0" fontId="24" fillId="0" borderId="0" xfId="9285" applyFont="1" applyFill="1" applyAlignment="1">
      <alignment horizontal="left"/>
    </xf>
    <xf numFmtId="41" fontId="23" fillId="0" borderId="0" xfId="9285" applyNumberFormat="1" applyFont="1" applyFill="1"/>
    <xf numFmtId="0" fontId="23" fillId="0" borderId="0" xfId="9285" applyFont="1" applyFill="1"/>
    <xf numFmtId="10" fontId="23" fillId="0" borderId="0" xfId="10005" applyNumberFormat="1" applyFont="1"/>
    <xf numFmtId="200" fontId="23" fillId="0" borderId="0" xfId="9285" applyNumberFormat="1" applyFont="1" applyAlignment="1">
      <alignment horizontal="left"/>
    </xf>
    <xf numFmtId="0" fontId="23" fillId="0" borderId="0" xfId="9285" applyFill="1" applyBorder="1" applyAlignment="1">
      <alignment horizontal="center"/>
    </xf>
    <xf numFmtId="43" fontId="23" fillId="0" borderId="0" xfId="9285" applyNumberFormat="1" applyFill="1" applyBorder="1"/>
    <xf numFmtId="0" fontId="23" fillId="0" borderId="0" xfId="9285" applyFill="1" applyBorder="1"/>
    <xf numFmtId="181" fontId="23" fillId="0" borderId="0" xfId="10005" applyNumberFormat="1" applyFont="1" applyFill="1" applyBorder="1"/>
    <xf numFmtId="41" fontId="24" fillId="0" borderId="0" xfId="9285" applyNumberFormat="1" applyFont="1" applyFill="1"/>
    <xf numFmtId="41" fontId="24" fillId="0" borderId="7" xfId="9285" applyNumberFormat="1" applyFont="1" applyBorder="1"/>
    <xf numFmtId="14" fontId="24" fillId="0" borderId="0" xfId="9285" applyNumberFormat="1" applyFont="1"/>
    <xf numFmtId="173" fontId="24" fillId="0" borderId="0" xfId="10006" applyNumberFormat="1" applyFont="1" applyFill="1"/>
    <xf numFmtId="0" fontId="24" fillId="0" borderId="0" xfId="10006" applyFont="1" applyFill="1" applyAlignment="1">
      <alignment horizontal="right"/>
    </xf>
    <xf numFmtId="194" fontId="23" fillId="0" borderId="0" xfId="1" applyNumberFormat="1" applyFill="1"/>
    <xf numFmtId="164" fontId="22" fillId="0" borderId="0" xfId="61980" applyFont="1" applyFill="1"/>
    <xf numFmtId="164" fontId="22" fillId="0" borderId="0" xfId="0" applyNumberFormat="1" applyFont="1" applyFill="1" applyAlignment="1">
      <alignment horizontal="center"/>
    </xf>
    <xf numFmtId="164" fontId="22" fillId="0" borderId="0" xfId="0" applyNumberFormat="1" applyFont="1" applyFill="1" applyAlignment="1">
      <alignment horizontal="left"/>
    </xf>
    <xf numFmtId="164" fontId="22" fillId="0" borderId="0" xfId="61980" applyFont="1" applyFill="1" applyAlignment="1">
      <alignment horizontal="center"/>
    </xf>
    <xf numFmtId="164" fontId="91" fillId="0" borderId="0" xfId="0" applyNumberFormat="1" applyFont="1" applyFill="1" applyAlignment="1">
      <alignment horizontal="center"/>
    </xf>
    <xf numFmtId="0" fontId="91" fillId="0" borderId="0" xfId="0" applyNumberFormat="1" applyFont="1" applyFill="1" applyAlignment="1">
      <alignment horizontal="center"/>
    </xf>
    <xf numFmtId="44" fontId="91" fillId="0" borderId="0" xfId="3" applyFont="1" applyFill="1" applyBorder="1" applyAlignment="1">
      <alignment horizontal="center"/>
    </xf>
    <xf numFmtId="44" fontId="91" fillId="0" borderId="0" xfId="3" applyFont="1" applyFill="1" applyAlignment="1">
      <alignment horizontal="center"/>
    </xf>
    <xf numFmtId="44" fontId="91" fillId="0" borderId="0" xfId="3" quotePrefix="1" applyFont="1" applyFill="1" applyAlignment="1">
      <alignment horizontal="center"/>
    </xf>
    <xf numFmtId="0" fontId="22" fillId="0" borderId="0" xfId="0" applyNumberFormat="1" applyFont="1" applyFill="1" applyAlignment="1">
      <alignment horizontal="center"/>
    </xf>
    <xf numFmtId="44" fontId="21" fillId="0" borderId="0" xfId="3" applyFont="1" applyFill="1" applyBorder="1"/>
    <xf numFmtId="44" fontId="21" fillId="0" borderId="7" xfId="3" applyFont="1" applyFill="1" applyBorder="1"/>
    <xf numFmtId="164" fontId="22" fillId="0" borderId="0" xfId="61980" applyFont="1" applyFill="1" applyAlignment="1">
      <alignment horizontal="right"/>
    </xf>
    <xf numFmtId="164" fontId="21" fillId="0" borderId="0" xfId="0" quotePrefix="1" applyNumberFormat="1" applyFont="1" applyFill="1" applyAlignment="1">
      <alignment horizontal="left"/>
    </xf>
    <xf numFmtId="164" fontId="22" fillId="0" borderId="0" xfId="0" quotePrefix="1" applyNumberFormat="1" applyFont="1" applyFill="1" applyAlignment="1">
      <alignment horizontal="left"/>
    </xf>
    <xf numFmtId="44" fontId="22" fillId="0" borderId="0" xfId="61980" applyNumberFormat="1" applyFont="1" applyFill="1"/>
    <xf numFmtId="44" fontId="0" fillId="0" borderId="0" xfId="3" applyNumberFormat="1" applyFont="1" applyFill="1" applyBorder="1"/>
    <xf numFmtId="164" fontId="91" fillId="0" borderId="0" xfId="0" applyNumberFormat="1" applyFont="1" applyFill="1" applyBorder="1" applyAlignment="1">
      <alignment horizontal="center"/>
    </xf>
    <xf numFmtId="0" fontId="91" fillId="0" borderId="0" xfId="0" applyNumberFormat="1" applyFont="1" applyFill="1" applyBorder="1" applyAlignment="1">
      <alignment horizontal="center"/>
    </xf>
    <xf numFmtId="44" fontId="217" fillId="0" borderId="0" xfId="3" applyFont="1" applyFill="1" applyBorder="1"/>
    <xf numFmtId="164" fontId="21" fillId="0" borderId="0" xfId="0" applyNumberFormat="1" applyFont="1" applyFill="1" applyAlignment="1">
      <alignment horizontal="right"/>
    </xf>
    <xf numFmtId="0" fontId="22" fillId="0" borderId="0" xfId="8667" applyFont="1" applyFill="1" applyBorder="1" applyAlignment="1"/>
    <xf numFmtId="207" fontId="20" fillId="0" borderId="0" xfId="6291" applyNumberFormat="1" applyFont="1"/>
    <xf numFmtId="185" fontId="4" fillId="0" borderId="0" xfId="60088" applyNumberFormat="1" applyFont="1" applyFill="1" applyAlignment="1">
      <alignment horizontal="left"/>
    </xf>
    <xf numFmtId="0" fontId="22" fillId="0" borderId="0" xfId="61981" applyFont="1" applyFill="1" applyAlignment="1" applyProtection="1">
      <alignment horizontal="left"/>
    </xf>
    <xf numFmtId="0" fontId="22" fillId="0" borderId="0" xfId="61982" applyFont="1" applyFill="1"/>
    <xf numFmtId="0" fontId="22" fillId="0" borderId="0" xfId="61982" applyFont="1" applyFill="1" applyAlignment="1">
      <alignment horizontal="center"/>
    </xf>
    <xf numFmtId="0" fontId="22" fillId="0" borderId="0" xfId="61981" quotePrefix="1" applyFont="1" applyFill="1" applyAlignment="1" applyProtection="1">
      <alignment horizontal="left"/>
      <protection locked="0"/>
    </xf>
    <xf numFmtId="41" fontId="22" fillId="0" borderId="0" xfId="61982" applyNumberFormat="1" applyFont="1" applyFill="1"/>
    <xf numFmtId="10" fontId="22" fillId="0" borderId="0" xfId="61982" applyNumberFormat="1" applyFont="1" applyFill="1"/>
    <xf numFmtId="208" fontId="22" fillId="0" borderId="0" xfId="61982" applyNumberFormat="1" applyFont="1" applyFill="1"/>
    <xf numFmtId="0" fontId="22" fillId="0" borderId="0" xfId="61982" applyFont="1" applyFill="1" applyAlignment="1">
      <alignment horizontal="center" wrapText="1"/>
    </xf>
    <xf numFmtId="0" fontId="22" fillId="0" borderId="0" xfId="61982" applyFont="1" applyFill="1" applyAlignment="1">
      <alignment horizontal="left" indent="1"/>
    </xf>
    <xf numFmtId="187" fontId="22" fillId="0" borderId="0" xfId="61983" applyNumberFormat="1" applyFont="1" applyFill="1" applyAlignment="1">
      <alignment horizontal="left"/>
    </xf>
    <xf numFmtId="41" fontId="22" fillId="0" borderId="0" xfId="61982" applyNumberFormat="1" applyFont="1" applyFill="1" applyAlignment="1">
      <alignment horizontal="left" indent="1"/>
    </xf>
    <xf numFmtId="181" fontId="22" fillId="0" borderId="0" xfId="61982" applyNumberFormat="1" applyFont="1" applyFill="1" applyAlignment="1">
      <alignment horizontal="right"/>
    </xf>
    <xf numFmtId="10" fontId="22" fillId="0" borderId="0" xfId="61982" applyNumberFormat="1" applyFont="1" applyFill="1" applyAlignment="1">
      <alignment horizontal="right"/>
    </xf>
    <xf numFmtId="187" fontId="22" fillId="0" borderId="0" xfId="61983" applyNumberFormat="1" applyFont="1" applyFill="1"/>
    <xf numFmtId="187" fontId="22" fillId="0" borderId="0" xfId="61983" applyNumberFormat="1" applyFont="1" applyFill="1" applyBorder="1" applyAlignment="1">
      <alignment horizontal="left"/>
    </xf>
    <xf numFmtId="41" fontId="22" fillId="0" borderId="0" xfId="61982" applyNumberFormat="1" applyFont="1" applyFill="1" applyBorder="1"/>
    <xf numFmtId="187" fontId="22" fillId="0" borderId="0" xfId="61983" applyNumberFormat="1" applyFont="1" applyFill="1" applyBorder="1"/>
    <xf numFmtId="187" fontId="22" fillId="0" borderId="5" xfId="61983" applyNumberFormat="1" applyFont="1" applyFill="1" applyBorder="1"/>
    <xf numFmtId="0" fontId="22" fillId="0" borderId="0" xfId="61982" applyFont="1" applyFill="1" applyAlignment="1">
      <alignment horizontal="left" indent="2"/>
    </xf>
    <xf numFmtId="41" fontId="22" fillId="0" borderId="0" xfId="61982" applyNumberFormat="1" applyFont="1" applyFill="1" applyAlignment="1">
      <alignment horizontal="left" indent="2"/>
    </xf>
    <xf numFmtId="41" fontId="22" fillId="0" borderId="0" xfId="61983" applyNumberFormat="1" applyFont="1" applyFill="1" applyAlignment="1">
      <alignment horizontal="right"/>
    </xf>
    <xf numFmtId="187" fontId="22" fillId="0" borderId="0" xfId="61982" applyNumberFormat="1" applyFont="1" applyFill="1"/>
    <xf numFmtId="187" fontId="22" fillId="0" borderId="0" xfId="61983" applyNumberFormat="1" applyFont="1" applyFill="1" applyAlignment="1">
      <alignment horizontal="left" indent="1"/>
    </xf>
    <xf numFmtId="187" fontId="22" fillId="0" borderId="6" xfId="61983" applyNumberFormat="1" applyFont="1" applyFill="1" applyBorder="1" applyAlignment="1">
      <alignment horizontal="left"/>
    </xf>
    <xf numFmtId="41" fontId="22" fillId="0" borderId="0" xfId="61982" applyNumberFormat="1" applyFont="1" applyFill="1" applyAlignment="1">
      <alignment horizontal="left"/>
    </xf>
    <xf numFmtId="0" fontId="22" fillId="0" borderId="0" xfId="61982" applyFont="1" applyFill="1" applyBorder="1"/>
    <xf numFmtId="187" fontId="22" fillId="0" borderId="5" xfId="61983" applyNumberFormat="1" applyFont="1" applyFill="1" applyBorder="1" applyAlignment="1">
      <alignment horizontal="left"/>
    </xf>
    <xf numFmtId="41" fontId="22" fillId="0" borderId="0" xfId="61982" applyNumberFormat="1" applyFont="1" applyFill="1" applyBorder="1" applyAlignment="1">
      <alignment horizontal="left" indent="1"/>
    </xf>
    <xf numFmtId="187" fontId="22" fillId="0" borderId="0" xfId="61982" applyNumberFormat="1" applyFont="1" applyFill="1" applyBorder="1"/>
    <xf numFmtId="44" fontId="22" fillId="0" borderId="0" xfId="61983" applyNumberFormat="1" applyFont="1" applyFill="1"/>
    <xf numFmtId="187" fontId="22" fillId="0" borderId="27" xfId="61983" applyNumberFormat="1" applyFont="1" applyFill="1" applyBorder="1"/>
    <xf numFmtId="0" fontId="21" fillId="0" borderId="0" xfId="61981" applyFont="1" applyFill="1" applyAlignment="1" applyProtection="1">
      <alignment horizontal="left"/>
    </xf>
    <xf numFmtId="0" fontId="21" fillId="0" borderId="0" xfId="61981" quotePrefix="1" applyFont="1" applyFill="1" applyAlignment="1" applyProtection="1">
      <alignment horizontal="left"/>
      <protection locked="0"/>
    </xf>
    <xf numFmtId="49" fontId="22" fillId="0" borderId="0" xfId="61982" applyNumberFormat="1" applyFont="1" applyFill="1" applyAlignment="1">
      <alignment horizontal="center"/>
    </xf>
    <xf numFmtId="0" fontId="22" fillId="0" borderId="0" xfId="61982" applyNumberFormat="1" applyFont="1" applyFill="1" applyAlignment="1">
      <alignment horizontal="center"/>
    </xf>
    <xf numFmtId="0" fontId="117" fillId="0" borderId="0" xfId="61982" applyNumberFormat="1" applyFont="1" applyAlignment="1">
      <alignment horizontal="center"/>
    </xf>
    <xf numFmtId="0" fontId="22" fillId="0" borderId="0" xfId="61982" applyFont="1" applyFill="1" applyAlignment="1">
      <alignment horizontal="left"/>
    </xf>
    <xf numFmtId="0" fontId="117" fillId="0" borderId="0" xfId="61982" applyFont="1"/>
    <xf numFmtId="10" fontId="117" fillId="0" borderId="0" xfId="61982" applyNumberFormat="1" applyFont="1"/>
    <xf numFmtId="0" fontId="21" fillId="0" borderId="0" xfId="61982" applyFont="1" applyFill="1" applyAlignment="1">
      <alignment horizontal="left"/>
    </xf>
    <xf numFmtId="182" fontId="22" fillId="0" borderId="5" xfId="61982" applyNumberFormat="1" applyFont="1" applyFill="1" applyBorder="1" applyAlignment="1">
      <alignment horizontal="center"/>
    </xf>
    <xf numFmtId="0" fontId="117" fillId="0" borderId="5" xfId="61982" applyFont="1" applyBorder="1" applyAlignment="1">
      <alignment horizontal="center" wrapText="1"/>
    </xf>
    <xf numFmtId="10" fontId="117" fillId="0" borderId="5" xfId="61982" applyNumberFormat="1" applyFont="1" applyBorder="1" applyAlignment="1">
      <alignment horizontal="center" wrapText="1"/>
    </xf>
    <xf numFmtId="0" fontId="22" fillId="0" borderId="0" xfId="61982" applyFont="1" applyFill="1" applyBorder="1" applyAlignment="1">
      <alignment horizontal="center" wrapText="1"/>
    </xf>
    <xf numFmtId="181" fontId="22" fillId="0" borderId="0" xfId="61984" applyNumberFormat="1" applyFont="1" applyFill="1"/>
    <xf numFmtId="41" fontId="117" fillId="0" borderId="0" xfId="61982" applyNumberFormat="1" applyFont="1"/>
    <xf numFmtId="181" fontId="219" fillId="86" borderId="0" xfId="61984" applyNumberFormat="1" applyFont="1" applyFill="1"/>
    <xf numFmtId="41" fontId="117" fillId="0" borderId="0" xfId="61982" applyNumberFormat="1" applyFont="1" applyBorder="1"/>
    <xf numFmtId="0" fontId="22" fillId="0" borderId="0" xfId="61982" quotePrefix="1" applyFont="1" applyFill="1" applyAlignment="1">
      <alignment horizontal="center"/>
    </xf>
    <xf numFmtId="41" fontId="117" fillId="0" borderId="0" xfId="61982" applyNumberFormat="1" applyFont="1" applyFill="1" applyBorder="1"/>
    <xf numFmtId="181" fontId="219" fillId="0" borderId="0" xfId="61984" applyNumberFormat="1" applyFont="1" applyFill="1"/>
    <xf numFmtId="181" fontId="22" fillId="0" borderId="0" xfId="6291" applyNumberFormat="1" applyFont="1" applyFill="1"/>
    <xf numFmtId="0" fontId="22" fillId="0" borderId="0" xfId="61982" applyNumberFormat="1" applyFont="1" applyFill="1"/>
    <xf numFmtId="41" fontId="117" fillId="0" borderId="0" xfId="61982" applyNumberFormat="1" applyFont="1" applyFill="1"/>
    <xf numFmtId="0" fontId="117" fillId="0" borderId="0" xfId="61982" applyFont="1" applyFill="1"/>
    <xf numFmtId="10" fontId="117" fillId="0" borderId="0" xfId="61982" applyNumberFormat="1" applyFont="1" applyFill="1"/>
    <xf numFmtId="0" fontId="22" fillId="0" borderId="0" xfId="61982" applyFont="1" applyFill="1" applyAlignment="1">
      <alignment horizontal="center"/>
    </xf>
    <xf numFmtId="0" fontId="22" fillId="0" borderId="0" xfId="8667" applyFont="1" applyFill="1" applyBorder="1" applyAlignment="1">
      <alignment horizontal="center"/>
    </xf>
    <xf numFmtId="0" fontId="88" fillId="0" borderId="0" xfId="8667" applyFont="1" applyFill="1" applyBorder="1" applyAlignment="1">
      <alignment horizontal="center"/>
    </xf>
    <xf numFmtId="37" fontId="22" fillId="0" borderId="0" xfId="8674" applyNumberFormat="1" applyFont="1" applyFill="1" applyAlignment="1">
      <alignment horizontal="center"/>
    </xf>
    <xf numFmtId="49" fontId="22" fillId="0" borderId="0" xfId="8667" applyNumberFormat="1" applyFont="1" applyFill="1" applyBorder="1" applyAlignment="1">
      <alignment horizontal="center"/>
    </xf>
    <xf numFmtId="0" fontId="22" fillId="0" borderId="0" xfId="8667" applyFont="1" applyFill="1" applyBorder="1" applyAlignment="1">
      <alignment horizontal="center"/>
    </xf>
    <xf numFmtId="0" fontId="88" fillId="0" borderId="0" xfId="8667" applyFont="1" applyFill="1" applyBorder="1" applyAlignment="1">
      <alignment horizontal="center"/>
    </xf>
    <xf numFmtId="0" fontId="93" fillId="0" borderId="0" xfId="9370" applyFont="1" applyFill="1" applyAlignment="1">
      <alignment horizontal="center"/>
    </xf>
    <xf numFmtId="49" fontId="22" fillId="0" borderId="0" xfId="8667" applyNumberFormat="1" applyFont="1" applyFill="1" applyBorder="1" applyAlignment="1">
      <alignment horizontal="center"/>
    </xf>
    <xf numFmtId="37" fontId="22" fillId="0" borderId="0" xfId="56122" applyNumberFormat="1" applyFont="1" applyFill="1" applyAlignment="1">
      <alignment horizontal="center"/>
    </xf>
    <xf numFmtId="0" fontId="22" fillId="0" borderId="0" xfId="61982" applyFont="1" applyFill="1" applyAlignment="1">
      <alignment horizontal="center"/>
    </xf>
    <xf numFmtId="1" fontId="116" fillId="0" borderId="0" xfId="8767" applyNumberFormat="1" applyFont="1" applyFill="1"/>
    <xf numFmtId="2" fontId="93" fillId="0" borderId="0" xfId="9370" applyNumberFormat="1" applyFont="1" applyFill="1" applyAlignment="1">
      <alignment horizontal="center"/>
    </xf>
    <xf numFmtId="2" fontId="93" fillId="0" borderId="0" xfId="9370" applyNumberFormat="1" applyFont="1" applyFill="1" applyBorder="1" applyAlignment="1">
      <alignment horizontal="center"/>
    </xf>
    <xf numFmtId="2" fontId="93" fillId="0" borderId="5" xfId="9370" applyNumberFormat="1" applyFont="1" applyFill="1" applyBorder="1" applyAlignment="1">
      <alignment horizontal="center"/>
    </xf>
    <xf numFmtId="2" fontId="40" fillId="0" borderId="0" xfId="0" applyNumberFormat="1" applyFont="1" applyFill="1" applyAlignment="1">
      <alignment horizontal="center"/>
    </xf>
    <xf numFmtId="2" fontId="116" fillId="0" borderId="0" xfId="0" applyNumberFormat="1" applyFont="1" applyFill="1" applyAlignment="1">
      <alignment horizontal="center"/>
    </xf>
    <xf numFmtId="2" fontId="40" fillId="0" borderId="0" xfId="9370" quotePrefix="1" applyNumberFormat="1" applyFont="1" applyFill="1" applyAlignment="1">
      <alignment horizontal="center"/>
    </xf>
    <xf numFmtId="0" fontId="40" fillId="0" borderId="0" xfId="0" applyNumberFormat="1" applyFont="1" applyFill="1" applyBorder="1" applyAlignment="1">
      <alignment horizontal="center"/>
    </xf>
    <xf numFmtId="2" fontId="40" fillId="0" borderId="0" xfId="0" applyNumberFormat="1" applyFont="1" applyFill="1" applyBorder="1" applyAlignment="1">
      <alignment horizontal="center"/>
    </xf>
    <xf numFmtId="2" fontId="116" fillId="0" borderId="0" xfId="8767" applyNumberFormat="1" applyFont="1" applyFill="1" applyAlignment="1">
      <alignment horizontal="center"/>
    </xf>
    <xf numFmtId="2" fontId="40" fillId="0" borderId="0" xfId="8767" applyNumberFormat="1" applyFont="1" applyFill="1" applyAlignment="1">
      <alignment horizontal="center"/>
    </xf>
    <xf numFmtId="2" fontId="116" fillId="0" borderId="0" xfId="61974" applyNumberFormat="1" applyFont="1" applyFill="1" applyAlignment="1">
      <alignment horizontal="center"/>
    </xf>
    <xf numFmtId="2" fontId="40" fillId="0" borderId="0" xfId="8767" quotePrefix="1" applyNumberFormat="1" applyFont="1" applyFill="1" applyAlignment="1">
      <alignment horizontal="center"/>
    </xf>
    <xf numFmtId="2" fontId="116" fillId="0" borderId="0" xfId="61974" quotePrefix="1" applyNumberFormat="1" applyFont="1" applyFill="1" applyAlignment="1">
      <alignment horizontal="center"/>
    </xf>
    <xf numFmtId="0" fontId="40" fillId="0" borderId="0" xfId="0" applyNumberFormat="1" applyFont="1" applyFill="1" applyBorder="1" applyAlignment="1"/>
    <xf numFmtId="2" fontId="116" fillId="0" borderId="0" xfId="0" applyNumberFormat="1" applyFont="1" applyFill="1" applyBorder="1" applyAlignment="1">
      <alignment horizontal="center"/>
    </xf>
    <xf numFmtId="1" fontId="40" fillId="0" borderId="0" xfId="9370" applyNumberFormat="1" applyFont="1" applyFill="1" applyAlignment="1"/>
    <xf numFmtId="37" fontId="40" fillId="0" borderId="0" xfId="0" applyFont="1" applyFill="1" applyBorder="1" applyAlignment="1"/>
    <xf numFmtId="2" fontId="116" fillId="0" borderId="0" xfId="8767" applyNumberFormat="1" applyFont="1" applyFill="1" applyBorder="1" applyAlignment="1">
      <alignment horizontal="center"/>
    </xf>
    <xf numFmtId="2" fontId="40" fillId="0" borderId="0" xfId="8767" applyNumberFormat="1" applyFont="1" applyFill="1" applyBorder="1" applyAlignment="1">
      <alignment horizontal="center"/>
    </xf>
    <xf numFmtId="2" fontId="116" fillId="0" borderId="0" xfId="61974" applyNumberFormat="1" applyFont="1" applyFill="1" applyBorder="1" applyAlignment="1">
      <alignment horizontal="center"/>
    </xf>
    <xf numFmtId="0" fontId="116" fillId="0" borderId="0" xfId="8782" applyNumberFormat="1" applyFont="1" applyFill="1" applyBorder="1" applyAlignment="1">
      <alignment horizontal="center"/>
    </xf>
    <xf numFmtId="209" fontId="116" fillId="0" borderId="0" xfId="8782" applyNumberFormat="1" applyFont="1" applyFill="1" applyBorder="1" applyAlignment="1"/>
    <xf numFmtId="0" fontId="94" fillId="0" borderId="0" xfId="9370" applyFont="1" applyFill="1" applyAlignment="1"/>
    <xf numFmtId="0" fontId="116" fillId="0" borderId="0" xfId="0" applyNumberFormat="1" applyFont="1" applyFill="1" applyBorder="1" applyAlignment="1">
      <alignment horizontal="center"/>
    </xf>
    <xf numFmtId="2" fontId="116" fillId="0" borderId="0" xfId="8782" applyNumberFormat="1" applyFont="1" applyFill="1" applyAlignment="1">
      <alignment horizontal="center"/>
    </xf>
    <xf numFmtId="0" fontId="40" fillId="0" borderId="0" xfId="0" applyNumberFormat="1" applyFont="1" applyFill="1" applyAlignment="1">
      <alignment horizontal="center"/>
    </xf>
    <xf numFmtId="0" fontId="116" fillId="0" borderId="0" xfId="0" applyNumberFormat="1" applyFont="1" applyFill="1" applyAlignment="1">
      <alignment horizontal="center"/>
    </xf>
    <xf numFmtId="2" fontId="40" fillId="0" borderId="0" xfId="9370" applyNumberFormat="1" applyFont="1" applyFill="1" applyBorder="1" applyAlignment="1">
      <alignment horizontal="center"/>
    </xf>
    <xf numFmtId="0" fontId="116" fillId="0" borderId="0" xfId="0" applyNumberFormat="1" applyFont="1" applyFill="1" applyBorder="1" applyAlignment="1">
      <alignment horizontal="left"/>
    </xf>
    <xf numFmtId="0" fontId="116" fillId="0" borderId="0" xfId="0" quotePrefix="1" applyNumberFormat="1" applyFont="1" applyFill="1" applyBorder="1" applyAlignment="1">
      <alignment horizontal="left"/>
    </xf>
    <xf numFmtId="0" fontId="40" fillId="0" borderId="0" xfId="0" applyNumberFormat="1" applyFont="1" applyFill="1" applyBorder="1" applyAlignment="1">
      <alignment horizontal="left"/>
    </xf>
    <xf numFmtId="2" fontId="40" fillId="0" borderId="0" xfId="8782" applyNumberFormat="1" applyFont="1" applyFill="1" applyAlignment="1">
      <alignment horizontal="center"/>
    </xf>
    <xf numFmtId="164" fontId="40" fillId="0" borderId="0" xfId="4495" applyFont="1" applyFill="1"/>
    <xf numFmtId="2" fontId="40" fillId="0" borderId="0" xfId="4475" applyNumberFormat="1" applyFont="1" applyFill="1" applyAlignment="1">
      <alignment horizontal="center"/>
    </xf>
    <xf numFmtId="2" fontId="40" fillId="0" borderId="5" xfId="4475" applyNumberFormat="1" applyFont="1" applyFill="1" applyBorder="1" applyAlignment="1">
      <alignment horizontal="center"/>
    </xf>
    <xf numFmtId="9" fontId="40" fillId="0" borderId="0" xfId="9370" applyNumberFormat="1" applyFont="1" applyFill="1" applyAlignment="1">
      <alignment horizontal="center"/>
    </xf>
    <xf numFmtId="2" fontId="40" fillId="0" borderId="6" xfId="4475" applyNumberFormat="1" applyFont="1" applyFill="1" applyBorder="1" applyAlignment="1">
      <alignment horizontal="center"/>
    </xf>
    <xf numFmtId="2" fontId="40" fillId="0" borderId="6" xfId="4475" quotePrefix="1" applyNumberFormat="1" applyFont="1" applyFill="1" applyBorder="1" applyAlignment="1">
      <alignment horizontal="center"/>
    </xf>
    <xf numFmtId="37" fontId="40" fillId="0" borderId="0" xfId="0" applyFont="1" applyFill="1" applyAlignment="1"/>
    <xf numFmtId="37" fontId="116" fillId="0" borderId="0" xfId="0" applyFont="1" applyFill="1" applyAlignment="1"/>
    <xf numFmtId="0" fontId="40" fillId="0" borderId="0" xfId="0" applyNumberFormat="1" applyFont="1" applyFill="1" applyAlignment="1"/>
    <xf numFmtId="37" fontId="116" fillId="0" borderId="0" xfId="0" quotePrefix="1" applyFont="1" applyFill="1" applyAlignment="1">
      <alignment horizontal="left"/>
    </xf>
    <xf numFmtId="2" fontId="40" fillId="0" borderId="6" xfId="9370" applyNumberFormat="1" applyFont="1" applyFill="1" applyBorder="1" applyAlignment="1">
      <alignment horizontal="center"/>
    </xf>
    <xf numFmtId="2" fontId="116" fillId="0" borderId="6" xfId="0" applyNumberFormat="1" applyFont="1" applyFill="1" applyBorder="1" applyAlignment="1">
      <alignment horizontal="center"/>
    </xf>
    <xf numFmtId="2" fontId="93" fillId="0" borderId="6" xfId="9370" applyNumberFormat="1" applyFont="1" applyFill="1" applyBorder="1" applyAlignment="1">
      <alignment horizontal="center"/>
    </xf>
    <xf numFmtId="2" fontId="40" fillId="0" borderId="6" xfId="9370" quotePrefix="1" applyNumberFormat="1" applyFont="1" applyFill="1" applyBorder="1" applyAlignment="1">
      <alignment horizontal="center"/>
    </xf>
    <xf numFmtId="173" fontId="88" fillId="0" borderId="0" xfId="8668" quotePrefix="1" applyNumberFormat="1" applyFont="1" applyFill="1" applyBorder="1" applyAlignment="1">
      <alignment horizontal="left" wrapText="1"/>
    </xf>
    <xf numFmtId="0" fontId="22" fillId="0" borderId="0" xfId="8667" applyFont="1" applyFill="1" applyBorder="1" applyAlignment="1">
      <alignment horizontal="center" vertical="top" wrapText="1"/>
    </xf>
    <xf numFmtId="0" fontId="22" fillId="0" borderId="0" xfId="8667" applyFont="1" applyFill="1" applyBorder="1" applyAlignment="1">
      <alignment horizontal="left" vertical="top" wrapText="1"/>
    </xf>
    <xf numFmtId="174" fontId="88" fillId="0" borderId="0" xfId="8667" applyNumberFormat="1" applyFont="1" applyFill="1" applyBorder="1" applyAlignment="1">
      <alignment horizontal="center" vertical="top" wrapText="1"/>
    </xf>
    <xf numFmtId="49" fontId="22" fillId="0" borderId="0" xfId="8667" applyNumberFormat="1" applyFont="1" applyFill="1" applyBorder="1" applyAlignment="1">
      <alignment horizontal="center"/>
    </xf>
    <xf numFmtId="181" fontId="22" fillId="0" borderId="5" xfId="8669" applyNumberFormat="1" applyFont="1" applyFill="1" applyBorder="1" applyAlignment="1">
      <alignment horizontal="right" wrapText="1"/>
    </xf>
    <xf numFmtId="173" fontId="88" fillId="0" borderId="27" xfId="8668" applyNumberFormat="1" applyFont="1" applyFill="1" applyBorder="1" applyAlignment="1">
      <alignment horizontal="right"/>
    </xf>
    <xf numFmtId="181" fontId="22" fillId="0" borderId="27" xfId="8669" applyNumberFormat="1" applyFont="1" applyFill="1" applyBorder="1" applyAlignment="1">
      <alignment horizontal="right" wrapText="1"/>
    </xf>
    <xf numFmtId="49" fontId="9" fillId="0" borderId="0" xfId="61970" applyNumberFormat="1" applyFont="1" applyFill="1" applyAlignment="1">
      <alignment horizontal="left" wrapText="1"/>
    </xf>
    <xf numFmtId="49" fontId="214" fillId="0" borderId="0" xfId="0" applyNumberFormat="1" applyFont="1" applyFill="1" applyAlignment="1">
      <alignment horizontal="right" wrapText="1"/>
    </xf>
    <xf numFmtId="49" fontId="9" fillId="0" borderId="0" xfId="61970" applyNumberFormat="1" applyFont="1" applyFill="1" applyAlignment="1">
      <alignment horizontal="right" wrapText="1"/>
    </xf>
    <xf numFmtId="185" fontId="19" fillId="0" borderId="0" xfId="61970" applyNumberFormat="1" applyFont="1" applyFill="1" applyAlignment="1">
      <alignment horizontal="left"/>
    </xf>
    <xf numFmtId="185" fontId="214" fillId="0" borderId="0" xfId="0" applyNumberFormat="1" applyFont="1" applyFill="1" applyAlignment="1">
      <alignment horizontal="right"/>
    </xf>
    <xf numFmtId="185" fontId="9" fillId="0" borderId="0" xfId="61970" applyNumberFormat="1" applyFont="1" applyFill="1" applyAlignment="1">
      <alignment horizontal="right"/>
    </xf>
    <xf numFmtId="185" fontId="213" fillId="0" borderId="0" xfId="0" applyNumberFormat="1" applyFont="1" applyFill="1" applyAlignment="1">
      <alignment horizontal="right"/>
    </xf>
    <xf numFmtId="185" fontId="138" fillId="0" borderId="0" xfId="1" applyNumberFormat="1" applyFont="1" applyFill="1" applyAlignment="1">
      <alignment horizontal="right"/>
    </xf>
    <xf numFmtId="185" fontId="3" fillId="0" borderId="0" xfId="61970" applyNumberFormat="1" applyFont="1" applyFill="1" applyAlignment="1">
      <alignment horizontal="right"/>
    </xf>
    <xf numFmtId="185" fontId="214" fillId="0" borderId="22" xfId="0" applyNumberFormat="1" applyFont="1" applyFill="1" applyBorder="1" applyAlignment="1">
      <alignment horizontal="right"/>
    </xf>
    <xf numFmtId="185" fontId="19" fillId="0" borderId="0" xfId="60088" applyNumberFormat="1" applyFont="1" applyFill="1" applyAlignment="1">
      <alignment horizontal="left"/>
    </xf>
    <xf numFmtId="185" fontId="19" fillId="0" borderId="22" xfId="0" applyNumberFormat="1" applyFont="1" applyFill="1" applyBorder="1" applyAlignment="1">
      <alignment horizontal="right"/>
    </xf>
    <xf numFmtId="185" fontId="19" fillId="0" borderId="0" xfId="0" applyNumberFormat="1" applyFont="1" applyFill="1" applyAlignment="1">
      <alignment horizontal="right"/>
    </xf>
    <xf numFmtId="185" fontId="9" fillId="0" borderId="0" xfId="61970" applyNumberFormat="1" applyFont="1" applyFill="1" applyAlignment="1">
      <alignment horizontal="left"/>
    </xf>
    <xf numFmtId="191" fontId="23" fillId="0" borderId="0" xfId="9290" applyNumberFormat="1" applyFont="1" applyFill="1" applyAlignment="1">
      <alignment horizontal="right"/>
    </xf>
    <xf numFmtId="185" fontId="24" fillId="0" borderId="0" xfId="9290" applyNumberFormat="1" applyFont="1" applyFill="1" applyAlignment="1">
      <alignment horizontal="left"/>
    </xf>
    <xf numFmtId="44" fontId="22" fillId="0" borderId="7" xfId="3" applyFont="1" applyFill="1" applyBorder="1"/>
    <xf numFmtId="44" fontId="217" fillId="0" borderId="0" xfId="3" applyNumberFormat="1" applyFont="1" applyFill="1"/>
    <xf numFmtId="178" fontId="217" fillId="0" borderId="0" xfId="6291" applyNumberFormat="1" applyFont="1" applyFill="1"/>
    <xf numFmtId="0" fontId="22" fillId="0" borderId="0" xfId="61980" applyNumberFormat="1" applyFont="1" applyFill="1"/>
    <xf numFmtId="164" fontId="22" fillId="0" borderId="0" xfId="61980" applyFont="1" applyFill="1" applyAlignment="1">
      <alignment horizontal="left"/>
    </xf>
    <xf numFmtId="0" fontId="19" fillId="0" borderId="0" xfId="61978" applyFont="1" applyFill="1"/>
    <xf numFmtId="0" fontId="4" fillId="0" borderId="0" xfId="61978" applyFill="1"/>
    <xf numFmtId="49" fontId="24" fillId="0" borderId="0" xfId="10006" applyNumberFormat="1" applyFont="1" applyFill="1" applyAlignment="1">
      <alignment horizontal="left"/>
    </xf>
    <xf numFmtId="49" fontId="23" fillId="0" borderId="0" xfId="10006" applyNumberFormat="1" applyFont="1" applyFill="1" applyAlignment="1">
      <alignment horizontal="right" wrapText="1"/>
    </xf>
    <xf numFmtId="49" fontId="23" fillId="0" borderId="0" xfId="10006" applyNumberFormat="1" applyFont="1" applyFill="1" applyAlignment="1">
      <alignment horizontal="left"/>
    </xf>
    <xf numFmtId="49" fontId="23" fillId="0" borderId="0" xfId="10006" applyNumberFormat="1" applyFont="1" applyFill="1" applyAlignment="1">
      <alignment horizontal="left" wrapText="1"/>
    </xf>
    <xf numFmtId="185" fontId="24" fillId="0" borderId="0" xfId="10006" applyNumberFormat="1" applyFont="1" applyFill="1" applyAlignment="1">
      <alignment horizontal="left"/>
    </xf>
    <xf numFmtId="185" fontId="23" fillId="0" borderId="0" xfId="10006" applyNumberFormat="1" applyFont="1" applyFill="1" applyAlignment="1">
      <alignment horizontal="right"/>
    </xf>
    <xf numFmtId="185" fontId="4" fillId="0" borderId="0" xfId="61979" applyNumberFormat="1" applyFont="1" applyFill="1" applyAlignment="1">
      <alignment horizontal="left"/>
    </xf>
    <xf numFmtId="185" fontId="23" fillId="0" borderId="0" xfId="10006" applyNumberFormat="1" applyFont="1" applyFill="1" applyAlignment="1">
      <alignment horizontal="left"/>
    </xf>
    <xf numFmtId="49" fontId="23" fillId="0" borderId="0" xfId="9285" applyNumberFormat="1" applyFont="1" applyFill="1" applyAlignment="1">
      <alignment horizontal="left" wrapText="1"/>
    </xf>
    <xf numFmtId="49" fontId="23" fillId="0" borderId="0" xfId="9285" applyNumberFormat="1" applyFont="1" applyFill="1" applyAlignment="1">
      <alignment horizontal="right" wrapText="1"/>
    </xf>
    <xf numFmtId="185" fontId="24" fillId="0" borderId="0" xfId="9285" applyNumberFormat="1" applyFont="1" applyFill="1" applyAlignment="1">
      <alignment horizontal="left"/>
    </xf>
    <xf numFmtId="49" fontId="24" fillId="0" borderId="0" xfId="9285" applyNumberFormat="1" applyFont="1" applyFill="1" applyAlignment="1">
      <alignment horizontal="left" wrapText="1"/>
    </xf>
    <xf numFmtId="185" fontId="23" fillId="0" borderId="0" xfId="9285" applyNumberFormat="1" applyFont="1" applyFill="1" applyAlignment="1">
      <alignment horizontal="right"/>
    </xf>
    <xf numFmtId="191" fontId="23" fillId="0" borderId="0" xfId="9285" applyNumberFormat="1" applyFont="1" applyFill="1" applyAlignment="1">
      <alignment horizontal="right"/>
    </xf>
    <xf numFmtId="191" fontId="23" fillId="0" borderId="0" xfId="9285" applyNumberFormat="1" applyFont="1" applyFill="1" applyBorder="1" applyAlignment="1">
      <alignment horizontal="right"/>
    </xf>
    <xf numFmtId="191" fontId="23" fillId="0" borderId="28" xfId="9285" applyNumberFormat="1" applyFont="1" applyFill="1" applyBorder="1" applyAlignment="1">
      <alignment horizontal="right"/>
    </xf>
    <xf numFmtId="185" fontId="24" fillId="0" borderId="0" xfId="1" applyNumberFormat="1" applyFont="1" applyFill="1" applyAlignment="1">
      <alignment horizontal="left"/>
    </xf>
    <xf numFmtId="206" fontId="23" fillId="0" borderId="0" xfId="9285" applyNumberFormat="1" applyFont="1" applyFill="1" applyAlignment="1">
      <alignment horizontal="right"/>
    </xf>
    <xf numFmtId="185" fontId="23" fillId="0" borderId="0" xfId="9285" applyNumberFormat="1" applyFont="1" applyFill="1" applyAlignment="1">
      <alignment horizontal="left"/>
    </xf>
    <xf numFmtId="49" fontId="6" fillId="0" borderId="0" xfId="56126" applyNumberFormat="1" applyFont="1" applyFill="1" applyAlignment="1">
      <alignment horizontal="right" wrapText="1"/>
    </xf>
    <xf numFmtId="185" fontId="19" fillId="0" borderId="0" xfId="9372" applyNumberFormat="1" applyFont="1" applyFill="1" applyAlignment="1">
      <alignment horizontal="left"/>
    </xf>
    <xf numFmtId="43" fontId="12" fillId="0" borderId="0" xfId="56126" applyNumberFormat="1" applyFill="1"/>
    <xf numFmtId="43" fontId="0" fillId="0" borderId="0" xfId="9373" applyNumberFormat="1" applyFont="1" applyFill="1"/>
    <xf numFmtId="43" fontId="14" fillId="0" borderId="0" xfId="9372" applyNumberFormat="1" applyFill="1"/>
    <xf numFmtId="179" fontId="14" fillId="0" borderId="0" xfId="9372" applyNumberFormat="1" applyFill="1"/>
    <xf numFmtId="0" fontId="19" fillId="0" borderId="0" xfId="9372" applyFont="1" applyFill="1"/>
    <xf numFmtId="44" fontId="12" fillId="0" borderId="0" xfId="56124" applyNumberFormat="1" applyFill="1"/>
    <xf numFmtId="49" fontId="1" fillId="0" borderId="0" xfId="60086" applyNumberFormat="1" applyFont="1" applyAlignment="1">
      <alignment horizontal="right" wrapText="1"/>
    </xf>
    <xf numFmtId="200" fontId="1" fillId="0" borderId="0" xfId="60086" applyNumberFormat="1" applyFont="1" applyBorder="1" applyAlignment="1">
      <alignment horizontal="right"/>
    </xf>
    <xf numFmtId="49" fontId="214" fillId="0" borderId="0" xfId="0" applyNumberFormat="1" applyFont="1" applyFill="1" applyAlignment="1">
      <alignment horizontal="left" wrapText="1"/>
    </xf>
    <xf numFmtId="49" fontId="23" fillId="0" borderId="0" xfId="9290" applyNumberFormat="1" applyFont="1" applyFill="1" applyAlignment="1">
      <alignment horizontal="center" wrapText="1"/>
    </xf>
    <xf numFmtId="173" fontId="214" fillId="0" borderId="0" xfId="3236" applyNumberFormat="1" applyFont="1" applyFill="1" applyAlignment="1">
      <alignment horizontal="left"/>
    </xf>
    <xf numFmtId="49" fontId="1" fillId="0" borderId="0" xfId="60086" applyNumberFormat="1" applyFont="1" applyFill="1" applyAlignment="1">
      <alignment horizontal="left" wrapText="1"/>
    </xf>
    <xf numFmtId="185" fontId="214" fillId="0" borderId="0" xfId="0" applyNumberFormat="1" applyFont="1" applyFill="1" applyAlignment="1">
      <alignment horizontal="left"/>
    </xf>
    <xf numFmtId="185" fontId="212" fillId="0" borderId="0" xfId="0" applyNumberFormat="1" applyFont="1" applyFill="1" applyAlignment="1">
      <alignment horizontal="left"/>
    </xf>
    <xf numFmtId="185" fontId="135" fillId="0" borderId="0" xfId="9290" applyNumberFormat="1" applyFont="1" applyFill="1" applyAlignment="1">
      <alignment horizontal="center"/>
    </xf>
    <xf numFmtId="203" fontId="23" fillId="0" borderId="0" xfId="9290" applyNumberFormat="1" applyFont="1" applyFill="1" applyAlignment="1">
      <alignment horizontal="right"/>
    </xf>
    <xf numFmtId="37" fontId="139" fillId="0" borderId="0" xfId="9290" applyFont="1" applyAlignment="1">
      <alignment horizontal="center"/>
    </xf>
    <xf numFmtId="37" fontId="93" fillId="0" borderId="0" xfId="9290" applyFont="1" applyAlignment="1">
      <alignment horizontal="center"/>
    </xf>
    <xf numFmtId="192" fontId="93" fillId="0" borderId="0" xfId="9290" applyNumberFormat="1" applyFont="1" applyAlignment="1">
      <alignment horizontal="center"/>
    </xf>
    <xf numFmtId="192" fontId="139" fillId="0" borderId="0" xfId="9290" applyNumberFormat="1" applyFont="1" applyAlignment="1">
      <alignment horizontal="center"/>
    </xf>
    <xf numFmtId="0" fontId="90" fillId="0" borderId="0" xfId="56076" applyFont="1" applyAlignment="1">
      <alignment horizontal="center"/>
    </xf>
    <xf numFmtId="0" fontId="22" fillId="0" borderId="0" xfId="8677" applyFont="1" applyAlignment="1" applyProtection="1">
      <alignment horizontal="center"/>
    </xf>
    <xf numFmtId="49" fontId="22" fillId="0" borderId="0" xfId="8667" applyNumberFormat="1" applyFont="1" applyFill="1" applyBorder="1" applyAlignment="1">
      <alignment horizontal="center"/>
    </xf>
    <xf numFmtId="0" fontId="22" fillId="0" borderId="0" xfId="8667" applyFont="1" applyFill="1" applyBorder="1" applyAlignment="1">
      <alignment horizontal="center"/>
    </xf>
    <xf numFmtId="0" fontId="88" fillId="0" borderId="0" xfId="8667" applyFont="1" applyFill="1" applyBorder="1" applyAlignment="1">
      <alignment horizontal="center"/>
    </xf>
    <xf numFmtId="0" fontId="88" fillId="0" borderId="28" xfId="8667" applyFont="1" applyFill="1" applyBorder="1" applyAlignment="1">
      <alignment horizontal="center"/>
    </xf>
    <xf numFmtId="0" fontId="22" fillId="0" borderId="0" xfId="8667" applyNumberFormat="1" applyFont="1" applyFill="1" applyBorder="1" applyAlignment="1">
      <alignment horizontal="center"/>
    </xf>
    <xf numFmtId="37" fontId="22" fillId="0" borderId="0" xfId="56122" applyNumberFormat="1" applyFont="1" applyFill="1" applyAlignment="1">
      <alignment horizontal="center"/>
    </xf>
    <xf numFmtId="49" fontId="22" fillId="0" borderId="0" xfId="61982" applyNumberFormat="1" applyFont="1" applyFill="1" applyAlignment="1">
      <alignment horizontal="center"/>
    </xf>
    <xf numFmtId="0" fontId="22" fillId="0" borderId="0" xfId="61982" applyFont="1" applyFill="1" applyAlignment="1">
      <alignment horizontal="center"/>
    </xf>
    <xf numFmtId="0" fontId="117" fillId="0" borderId="0" xfId="61982" applyFont="1" applyAlignment="1">
      <alignment horizontal="center"/>
    </xf>
    <xf numFmtId="0" fontId="22" fillId="0" borderId="0" xfId="61982" applyNumberFormat="1" applyFont="1" applyFill="1" applyAlignment="1">
      <alignment horizontal="center"/>
    </xf>
    <xf numFmtId="0" fontId="117" fillId="0" borderId="0" xfId="61982" applyNumberFormat="1" applyFont="1" applyAlignment="1">
      <alignment horizontal="center"/>
    </xf>
    <xf numFmtId="37" fontId="22" fillId="0" borderId="0" xfId="8674" applyNumberFormat="1" applyFont="1" applyFill="1" applyAlignment="1">
      <alignment horizontal="center"/>
    </xf>
    <xf numFmtId="37" fontId="78" fillId="0" borderId="0" xfId="8674" applyNumberFormat="1" applyFont="1" applyFill="1" applyAlignment="1">
      <alignment horizontal="center"/>
    </xf>
    <xf numFmtId="164" fontId="215" fillId="0" borderId="0" xfId="0" quotePrefix="1" applyNumberFormat="1" applyFont="1" applyFill="1" applyAlignment="1">
      <alignment horizontal="center"/>
    </xf>
    <xf numFmtId="164" fontId="216" fillId="0" borderId="0" xfId="0" quotePrefix="1" applyNumberFormat="1" applyFont="1" applyFill="1" applyAlignment="1">
      <alignment horizontal="center"/>
    </xf>
    <xf numFmtId="0" fontId="93" fillId="0" borderId="0" xfId="9370" applyFont="1" applyFill="1" applyAlignment="1">
      <alignment horizontal="center"/>
    </xf>
    <xf numFmtId="0" fontId="93" fillId="0" borderId="5" xfId="9370" applyFont="1" applyFill="1" applyBorder="1" applyAlignment="1">
      <alignment horizontal="center"/>
    </xf>
    <xf numFmtId="37" fontId="93" fillId="0" borderId="0" xfId="0" applyFont="1" applyFill="1" applyAlignment="1">
      <alignment horizontal="center"/>
    </xf>
    <xf numFmtId="37" fontId="93" fillId="0" borderId="0" xfId="0" quotePrefix="1" applyFont="1" applyFill="1" applyAlignment="1">
      <alignment horizontal="center"/>
    </xf>
    <xf numFmtId="0" fontId="93" fillId="0" borderId="0" xfId="8767" applyFont="1" applyFill="1" applyAlignment="1">
      <alignment horizontal="center"/>
    </xf>
  </cellXfs>
  <cellStyles count="61985">
    <cellStyle name="_x0013_" xfId="10007"/>
    <cellStyle name="%" xfId="8678"/>
    <cellStyle name="_Ebill Paper Bill ARC Recovery" xfId="8679"/>
    <cellStyle name="_MTC Resource Unit Baseline by state 050920 v2" xfId="8680"/>
    <cellStyle name="_Row1" xfId="6"/>
    <cellStyle name="_Row1 2" xfId="7"/>
    <cellStyle name="_Row1 3" xfId="10008"/>
    <cellStyle name="_Term for Change of Control" xfId="8681"/>
    <cellStyle name="_Term for Convenience" xfId="8682"/>
    <cellStyle name="_Transformation Projects Cap vs Exp Master" xfId="8683"/>
    <cellStyle name="=C:\WINNT\SYSTEM32\COMMAND.COM" xfId="8208"/>
    <cellStyle name="=C:\WINNT\SYSTEM32\COMMAND.COM 2" xfId="8209"/>
    <cellStyle name="=C:\WINNT\SYSTEM32\COMMAND.COM 2 2" xfId="9376"/>
    <cellStyle name="=C:\WINNT\SYSTEM32\COMMAND.COM 3" xfId="9377"/>
    <cellStyle name="=C:\WINNT35\SYSTEM32\COMMAND.COM" xfId="9378"/>
    <cellStyle name="20% - Accent1 10" xfId="8"/>
    <cellStyle name="20% - Accent1 10 2" xfId="9"/>
    <cellStyle name="20% - Accent1 10 2 2" xfId="10"/>
    <cellStyle name="20% - Accent1 10 3" xfId="11"/>
    <cellStyle name="20% - Accent1 10 4" xfId="57818"/>
    <cellStyle name="20% - Accent1 11" xfId="12"/>
    <cellStyle name="20% - Accent1 11 2" xfId="13"/>
    <cellStyle name="20% - Accent1 11 2 2" xfId="14"/>
    <cellStyle name="20% - Accent1 11 3" xfId="15"/>
    <cellStyle name="20% - Accent1 11 4" xfId="57819"/>
    <cellStyle name="20% - Accent1 12" xfId="16"/>
    <cellStyle name="20% - Accent1 12 2" xfId="17"/>
    <cellStyle name="20% - Accent1 12 3" xfId="57820"/>
    <cellStyle name="20% - Accent1 13" xfId="18"/>
    <cellStyle name="20% - Accent1 13 2" xfId="57821"/>
    <cellStyle name="20% - Accent1 14" xfId="8783"/>
    <cellStyle name="20% - Accent1 15" xfId="9379"/>
    <cellStyle name="20% - Accent1 16" xfId="9380"/>
    <cellStyle name="20% - Accent1 17" xfId="9381"/>
    <cellStyle name="20% - Accent1 17 2" xfId="57822"/>
    <cellStyle name="20% - Accent1 18" xfId="57823"/>
    <cellStyle name="20% - Accent1 19" xfId="57824"/>
    <cellStyle name="20% - Accent1 2" xfId="19"/>
    <cellStyle name="20% - Accent1 2 2" xfId="20"/>
    <cellStyle name="20% - Accent1 2 2 2" xfId="21"/>
    <cellStyle name="20% - Accent1 2 2 2 2" xfId="22"/>
    <cellStyle name="20% - Accent1 2 2 2 2 2" xfId="23"/>
    <cellStyle name="20% - Accent1 2 2 2 2 2 2" xfId="24"/>
    <cellStyle name="20% - Accent1 2 2 2 2 2 2 2" xfId="25"/>
    <cellStyle name="20% - Accent1 2 2 2 2 2 3" xfId="26"/>
    <cellStyle name="20% - Accent1 2 2 2 2 3" xfId="27"/>
    <cellStyle name="20% - Accent1 2 2 2 2 3 2" xfId="28"/>
    <cellStyle name="20% - Accent1 2 2 2 2 4" xfId="29"/>
    <cellStyle name="20% - Accent1 2 2 2 2 5" xfId="57825"/>
    <cellStyle name="20% - Accent1 2 2 2 3" xfId="30"/>
    <cellStyle name="20% - Accent1 2 2 2 3 2" xfId="31"/>
    <cellStyle name="20% - Accent1 2 2 2 3 2 2" xfId="32"/>
    <cellStyle name="20% - Accent1 2 2 2 3 3" xfId="33"/>
    <cellStyle name="20% - Accent1 2 2 2 4" xfId="34"/>
    <cellStyle name="20% - Accent1 2 2 2 4 2" xfId="35"/>
    <cellStyle name="20% - Accent1 2 2 2 5" xfId="36"/>
    <cellStyle name="20% - Accent1 2 2 2 6" xfId="57826"/>
    <cellStyle name="20% - Accent1 2 2 3" xfId="37"/>
    <cellStyle name="20% - Accent1 2 2 3 2" xfId="38"/>
    <cellStyle name="20% - Accent1 2 2 3 2 2" xfId="39"/>
    <cellStyle name="20% - Accent1 2 2 3 2 2 2" xfId="40"/>
    <cellStyle name="20% - Accent1 2 2 3 2 3" xfId="41"/>
    <cellStyle name="20% - Accent1 2 2 3 3" xfId="42"/>
    <cellStyle name="20% - Accent1 2 2 3 3 2" xfId="43"/>
    <cellStyle name="20% - Accent1 2 2 3 4" xfId="44"/>
    <cellStyle name="20% - Accent1 2 2 3 5" xfId="57827"/>
    <cellStyle name="20% - Accent1 2 2 4" xfId="45"/>
    <cellStyle name="20% - Accent1 2 2 4 2" xfId="46"/>
    <cellStyle name="20% - Accent1 2 2 4 2 2" xfId="47"/>
    <cellStyle name="20% - Accent1 2 2 4 3" xfId="48"/>
    <cellStyle name="20% - Accent1 2 2 5" xfId="49"/>
    <cellStyle name="20% - Accent1 2 2 5 2" xfId="50"/>
    <cellStyle name="20% - Accent1 2 2 6" xfId="51"/>
    <cellStyle name="20% - Accent1 2 2 7" xfId="57828"/>
    <cellStyle name="20% - Accent1 2 3" xfId="52"/>
    <cellStyle name="20% - Accent1 2 3 2" xfId="53"/>
    <cellStyle name="20% - Accent1 2 3 2 2" xfId="54"/>
    <cellStyle name="20% - Accent1 2 3 2 2 2" xfId="55"/>
    <cellStyle name="20% - Accent1 2 3 2 2 2 2" xfId="56"/>
    <cellStyle name="20% - Accent1 2 3 2 2 3" xfId="57"/>
    <cellStyle name="20% - Accent1 2 3 2 3" xfId="58"/>
    <cellStyle name="20% - Accent1 2 3 2 3 2" xfId="59"/>
    <cellStyle name="20% - Accent1 2 3 2 4" xfId="60"/>
    <cellStyle name="20% - Accent1 2 3 3" xfId="61"/>
    <cellStyle name="20% - Accent1 2 3 3 2" xfId="62"/>
    <cellStyle name="20% - Accent1 2 3 3 2 2" xfId="63"/>
    <cellStyle name="20% - Accent1 2 3 3 3" xfId="64"/>
    <cellStyle name="20% - Accent1 2 3 4" xfId="65"/>
    <cellStyle name="20% - Accent1 2 3 4 2" xfId="66"/>
    <cellStyle name="20% - Accent1 2 3 5" xfId="67"/>
    <cellStyle name="20% - Accent1 2 3 6" xfId="57829"/>
    <cellStyle name="20% - Accent1 2 4" xfId="68"/>
    <cellStyle name="20% - Accent1 2 4 2" xfId="69"/>
    <cellStyle name="20% - Accent1 2 4 2 2" xfId="70"/>
    <cellStyle name="20% - Accent1 2 4 2 2 2" xfId="71"/>
    <cellStyle name="20% - Accent1 2 4 2 3" xfId="72"/>
    <cellStyle name="20% - Accent1 2 4 3" xfId="73"/>
    <cellStyle name="20% - Accent1 2 4 3 2" xfId="74"/>
    <cellStyle name="20% - Accent1 2 4 4" xfId="75"/>
    <cellStyle name="20% - Accent1 2 4 5" xfId="57830"/>
    <cellStyle name="20% - Accent1 2 5" xfId="76"/>
    <cellStyle name="20% - Accent1 2 5 2" xfId="77"/>
    <cellStyle name="20% - Accent1 2 5 2 2" xfId="78"/>
    <cellStyle name="20% - Accent1 2 5 3" xfId="79"/>
    <cellStyle name="20% - Accent1 2 5 4" xfId="57831"/>
    <cellStyle name="20% - Accent1 2 6" xfId="80"/>
    <cellStyle name="20% - Accent1 2 6 2" xfId="81"/>
    <cellStyle name="20% - Accent1 2 6 3" xfId="57832"/>
    <cellStyle name="20% - Accent1 2 7" xfId="82"/>
    <cellStyle name="20% - Accent1 2 8" xfId="83"/>
    <cellStyle name="20% - Accent1 2 9" xfId="57833"/>
    <cellStyle name="20% - Accent1 20" xfId="57834"/>
    <cellStyle name="20% - Accent1 21" xfId="57835"/>
    <cellStyle name="20% - Accent1 3" xfId="84"/>
    <cellStyle name="20% - Accent1 3 2" xfId="85"/>
    <cellStyle name="20% - Accent1 3 2 2" xfId="86"/>
    <cellStyle name="20% - Accent1 3 2 2 2" xfId="87"/>
    <cellStyle name="20% - Accent1 3 2 2 2 2" xfId="88"/>
    <cellStyle name="20% - Accent1 3 2 2 2 2 2" xfId="89"/>
    <cellStyle name="20% - Accent1 3 2 2 2 2 2 2" xfId="90"/>
    <cellStyle name="20% - Accent1 3 2 2 2 2 3" xfId="91"/>
    <cellStyle name="20% - Accent1 3 2 2 2 3" xfId="92"/>
    <cellStyle name="20% - Accent1 3 2 2 2 3 2" xfId="93"/>
    <cellStyle name="20% - Accent1 3 2 2 2 4" xfId="94"/>
    <cellStyle name="20% - Accent1 3 2 2 2 5" xfId="8784"/>
    <cellStyle name="20% - Accent1 3 2 2 3" xfId="95"/>
    <cellStyle name="20% - Accent1 3 2 2 3 2" xfId="96"/>
    <cellStyle name="20% - Accent1 3 2 2 3 2 2" xfId="97"/>
    <cellStyle name="20% - Accent1 3 2 2 3 3" xfId="98"/>
    <cellStyle name="20% - Accent1 3 2 2 4" xfId="99"/>
    <cellStyle name="20% - Accent1 3 2 2 4 2" xfId="100"/>
    <cellStyle name="20% - Accent1 3 2 2 5" xfId="101"/>
    <cellStyle name="20% - Accent1 3 2 2 6" xfId="8785"/>
    <cellStyle name="20% - Accent1 3 2 3" xfId="102"/>
    <cellStyle name="20% - Accent1 3 2 3 2" xfId="103"/>
    <cellStyle name="20% - Accent1 3 2 3 2 2" xfId="104"/>
    <cellStyle name="20% - Accent1 3 2 3 2 2 2" xfId="105"/>
    <cellStyle name="20% - Accent1 3 2 3 2 3" xfId="106"/>
    <cellStyle name="20% - Accent1 3 2 3 3" xfId="107"/>
    <cellStyle name="20% - Accent1 3 2 3 3 2" xfId="108"/>
    <cellStyle name="20% - Accent1 3 2 3 4" xfId="109"/>
    <cellStyle name="20% - Accent1 3 2 3 5" xfId="8786"/>
    <cellStyle name="20% - Accent1 3 2 4" xfId="110"/>
    <cellStyle name="20% - Accent1 3 2 4 2" xfId="111"/>
    <cellStyle name="20% - Accent1 3 2 4 2 2" xfId="112"/>
    <cellStyle name="20% - Accent1 3 2 4 3" xfId="113"/>
    <cellStyle name="20% - Accent1 3 2 5" xfId="114"/>
    <cellStyle name="20% - Accent1 3 2 5 2" xfId="115"/>
    <cellStyle name="20% - Accent1 3 2 6" xfId="116"/>
    <cellStyle name="20% - Accent1 3 2 7" xfId="8787"/>
    <cellStyle name="20% - Accent1 3 3" xfId="117"/>
    <cellStyle name="20% - Accent1 3 3 2" xfId="118"/>
    <cellStyle name="20% - Accent1 3 3 2 2" xfId="119"/>
    <cellStyle name="20% - Accent1 3 3 2 2 2" xfId="120"/>
    <cellStyle name="20% - Accent1 3 3 2 2 2 2" xfId="121"/>
    <cellStyle name="20% - Accent1 3 3 2 2 3" xfId="122"/>
    <cellStyle name="20% - Accent1 3 3 2 3" xfId="123"/>
    <cellStyle name="20% - Accent1 3 3 2 3 2" xfId="124"/>
    <cellStyle name="20% - Accent1 3 3 2 4" xfId="125"/>
    <cellStyle name="20% - Accent1 3 3 2 5" xfId="8788"/>
    <cellStyle name="20% - Accent1 3 3 3" xfId="126"/>
    <cellStyle name="20% - Accent1 3 3 3 2" xfId="127"/>
    <cellStyle name="20% - Accent1 3 3 3 2 2" xfId="128"/>
    <cellStyle name="20% - Accent1 3 3 3 3" xfId="129"/>
    <cellStyle name="20% - Accent1 3 3 4" xfId="130"/>
    <cellStyle name="20% - Accent1 3 3 4 2" xfId="131"/>
    <cellStyle name="20% - Accent1 3 3 5" xfId="132"/>
    <cellStyle name="20% - Accent1 3 3 6" xfId="8789"/>
    <cellStyle name="20% - Accent1 3 4" xfId="133"/>
    <cellStyle name="20% - Accent1 3 4 2" xfId="134"/>
    <cellStyle name="20% - Accent1 3 4 2 2" xfId="135"/>
    <cellStyle name="20% - Accent1 3 4 2 2 2" xfId="136"/>
    <cellStyle name="20% - Accent1 3 4 2 3" xfId="137"/>
    <cellStyle name="20% - Accent1 3 4 3" xfId="138"/>
    <cellStyle name="20% - Accent1 3 4 3 2" xfId="139"/>
    <cellStyle name="20% - Accent1 3 4 4" xfId="140"/>
    <cellStyle name="20% - Accent1 3 4 5" xfId="8790"/>
    <cellStyle name="20% - Accent1 3 5" xfId="141"/>
    <cellStyle name="20% - Accent1 3 5 2" xfId="142"/>
    <cellStyle name="20% - Accent1 3 5 2 2" xfId="143"/>
    <cellStyle name="20% - Accent1 3 5 3" xfId="144"/>
    <cellStyle name="20% - Accent1 3 6" xfId="145"/>
    <cellStyle name="20% - Accent1 3 6 2" xfId="146"/>
    <cellStyle name="20% - Accent1 3 7" xfId="147"/>
    <cellStyle name="20% - Accent1 3 8" xfId="148"/>
    <cellStyle name="20% - Accent1 3 9" xfId="8791"/>
    <cellStyle name="20% - Accent1 4" xfId="149"/>
    <cellStyle name="20% - Accent1 4 10" xfId="10009"/>
    <cellStyle name="20% - Accent1 4 10 2" xfId="10010"/>
    <cellStyle name="20% - Accent1 4 10 2 2" xfId="10011"/>
    <cellStyle name="20% - Accent1 4 10 2 3" xfId="10012"/>
    <cellStyle name="20% - Accent1 4 10 3" xfId="10013"/>
    <cellStyle name="20% - Accent1 4 10 3 2" xfId="10014"/>
    <cellStyle name="20% - Accent1 4 10 4" xfId="10015"/>
    <cellStyle name="20% - Accent1 4 10 5" xfId="10016"/>
    <cellStyle name="20% - Accent1 4 11" xfId="10017"/>
    <cellStyle name="20% - Accent1 4 11 2" xfId="10018"/>
    <cellStyle name="20% - Accent1 4 11 3" xfId="10019"/>
    <cellStyle name="20% - Accent1 4 12" xfId="10020"/>
    <cellStyle name="20% - Accent1 4 12 2" xfId="10021"/>
    <cellStyle name="20% - Accent1 4 12 3" xfId="10022"/>
    <cellStyle name="20% - Accent1 4 13" xfId="10023"/>
    <cellStyle name="20% - Accent1 4 13 2" xfId="10024"/>
    <cellStyle name="20% - Accent1 4 14" xfId="10025"/>
    <cellStyle name="20% - Accent1 4 15" xfId="10026"/>
    <cellStyle name="20% - Accent1 4 16" xfId="10027"/>
    <cellStyle name="20% - Accent1 4 2" xfId="150"/>
    <cellStyle name="20% - Accent1 4 2 10" xfId="10028"/>
    <cellStyle name="20% - Accent1 4 2 10 2" xfId="10029"/>
    <cellStyle name="20% - Accent1 4 2 10 3" xfId="10030"/>
    <cellStyle name="20% - Accent1 4 2 11" xfId="10031"/>
    <cellStyle name="20% - Accent1 4 2 11 2" xfId="10032"/>
    <cellStyle name="20% - Accent1 4 2 11 3" xfId="10033"/>
    <cellStyle name="20% - Accent1 4 2 12" xfId="10034"/>
    <cellStyle name="20% - Accent1 4 2 12 2" xfId="10035"/>
    <cellStyle name="20% - Accent1 4 2 13" xfId="10036"/>
    <cellStyle name="20% - Accent1 4 2 14" xfId="10037"/>
    <cellStyle name="20% - Accent1 4 2 15" xfId="10038"/>
    <cellStyle name="20% - Accent1 4 2 2" xfId="151"/>
    <cellStyle name="20% - Accent1 4 2 2 10" xfId="10039"/>
    <cellStyle name="20% - Accent1 4 2 2 10 2" xfId="10040"/>
    <cellStyle name="20% - Accent1 4 2 2 10 3" xfId="10041"/>
    <cellStyle name="20% - Accent1 4 2 2 11" xfId="10042"/>
    <cellStyle name="20% - Accent1 4 2 2 11 2" xfId="10043"/>
    <cellStyle name="20% - Accent1 4 2 2 12" xfId="10044"/>
    <cellStyle name="20% - Accent1 4 2 2 13" xfId="10045"/>
    <cellStyle name="20% - Accent1 4 2 2 2" xfId="152"/>
    <cellStyle name="20% - Accent1 4 2 2 2 10" xfId="10046"/>
    <cellStyle name="20% - Accent1 4 2 2 2 10 2" xfId="10047"/>
    <cellStyle name="20% - Accent1 4 2 2 2 11" xfId="10048"/>
    <cellStyle name="20% - Accent1 4 2 2 2 12" xfId="10049"/>
    <cellStyle name="20% - Accent1 4 2 2 2 2" xfId="153"/>
    <cellStyle name="20% - Accent1 4 2 2 2 2 10" xfId="10050"/>
    <cellStyle name="20% - Accent1 4 2 2 2 2 2" xfId="154"/>
    <cellStyle name="20% - Accent1 4 2 2 2 2 2 2" xfId="10051"/>
    <cellStyle name="20% - Accent1 4 2 2 2 2 2 2 2" xfId="10052"/>
    <cellStyle name="20% - Accent1 4 2 2 2 2 2 2 2 2" xfId="10053"/>
    <cellStyle name="20% - Accent1 4 2 2 2 2 2 2 2 3" xfId="10054"/>
    <cellStyle name="20% - Accent1 4 2 2 2 2 2 2 3" xfId="10055"/>
    <cellStyle name="20% - Accent1 4 2 2 2 2 2 2 3 2" xfId="10056"/>
    <cellStyle name="20% - Accent1 4 2 2 2 2 2 2 3 3" xfId="10057"/>
    <cellStyle name="20% - Accent1 4 2 2 2 2 2 2 4" xfId="10058"/>
    <cellStyle name="20% - Accent1 4 2 2 2 2 2 2 4 2" xfId="10059"/>
    <cellStyle name="20% - Accent1 4 2 2 2 2 2 2 5" xfId="10060"/>
    <cellStyle name="20% - Accent1 4 2 2 2 2 2 2 6" xfId="10061"/>
    <cellStyle name="20% - Accent1 4 2 2 2 2 2 3" xfId="10062"/>
    <cellStyle name="20% - Accent1 4 2 2 2 2 2 3 2" xfId="10063"/>
    <cellStyle name="20% - Accent1 4 2 2 2 2 2 3 2 2" xfId="10064"/>
    <cellStyle name="20% - Accent1 4 2 2 2 2 2 3 2 3" xfId="10065"/>
    <cellStyle name="20% - Accent1 4 2 2 2 2 2 3 3" xfId="10066"/>
    <cellStyle name="20% - Accent1 4 2 2 2 2 2 3 3 2" xfId="10067"/>
    <cellStyle name="20% - Accent1 4 2 2 2 2 2 3 3 3" xfId="10068"/>
    <cellStyle name="20% - Accent1 4 2 2 2 2 2 3 4" xfId="10069"/>
    <cellStyle name="20% - Accent1 4 2 2 2 2 2 3 4 2" xfId="10070"/>
    <cellStyle name="20% - Accent1 4 2 2 2 2 2 3 5" xfId="10071"/>
    <cellStyle name="20% - Accent1 4 2 2 2 2 2 3 6" xfId="10072"/>
    <cellStyle name="20% - Accent1 4 2 2 2 2 2 4" xfId="10073"/>
    <cellStyle name="20% - Accent1 4 2 2 2 2 2 4 2" xfId="10074"/>
    <cellStyle name="20% - Accent1 4 2 2 2 2 2 4 2 2" xfId="10075"/>
    <cellStyle name="20% - Accent1 4 2 2 2 2 2 4 2 3" xfId="10076"/>
    <cellStyle name="20% - Accent1 4 2 2 2 2 2 4 3" xfId="10077"/>
    <cellStyle name="20% - Accent1 4 2 2 2 2 2 4 3 2" xfId="10078"/>
    <cellStyle name="20% - Accent1 4 2 2 2 2 2 4 4" xfId="10079"/>
    <cellStyle name="20% - Accent1 4 2 2 2 2 2 4 5" xfId="10080"/>
    <cellStyle name="20% - Accent1 4 2 2 2 2 2 5" xfId="10081"/>
    <cellStyle name="20% - Accent1 4 2 2 2 2 2 5 2" xfId="10082"/>
    <cellStyle name="20% - Accent1 4 2 2 2 2 2 5 3" xfId="10083"/>
    <cellStyle name="20% - Accent1 4 2 2 2 2 2 6" xfId="10084"/>
    <cellStyle name="20% - Accent1 4 2 2 2 2 2 6 2" xfId="10085"/>
    <cellStyle name="20% - Accent1 4 2 2 2 2 2 6 3" xfId="10086"/>
    <cellStyle name="20% - Accent1 4 2 2 2 2 2 7" xfId="10087"/>
    <cellStyle name="20% - Accent1 4 2 2 2 2 2 7 2" xfId="10088"/>
    <cellStyle name="20% - Accent1 4 2 2 2 2 2 8" xfId="10089"/>
    <cellStyle name="20% - Accent1 4 2 2 2 2 2 9" xfId="10090"/>
    <cellStyle name="20% - Accent1 4 2 2 2 2 3" xfId="10091"/>
    <cellStyle name="20% - Accent1 4 2 2 2 2 3 2" xfId="10092"/>
    <cellStyle name="20% - Accent1 4 2 2 2 2 3 2 2" xfId="10093"/>
    <cellStyle name="20% - Accent1 4 2 2 2 2 3 2 3" xfId="10094"/>
    <cellStyle name="20% - Accent1 4 2 2 2 2 3 3" xfId="10095"/>
    <cellStyle name="20% - Accent1 4 2 2 2 2 3 3 2" xfId="10096"/>
    <cellStyle name="20% - Accent1 4 2 2 2 2 3 3 3" xfId="10097"/>
    <cellStyle name="20% - Accent1 4 2 2 2 2 3 4" xfId="10098"/>
    <cellStyle name="20% - Accent1 4 2 2 2 2 3 4 2" xfId="10099"/>
    <cellStyle name="20% - Accent1 4 2 2 2 2 3 5" xfId="10100"/>
    <cellStyle name="20% - Accent1 4 2 2 2 2 3 6" xfId="10101"/>
    <cellStyle name="20% - Accent1 4 2 2 2 2 4" xfId="10102"/>
    <cellStyle name="20% - Accent1 4 2 2 2 2 4 2" xfId="10103"/>
    <cellStyle name="20% - Accent1 4 2 2 2 2 4 2 2" xfId="10104"/>
    <cellStyle name="20% - Accent1 4 2 2 2 2 4 2 3" xfId="10105"/>
    <cellStyle name="20% - Accent1 4 2 2 2 2 4 3" xfId="10106"/>
    <cellStyle name="20% - Accent1 4 2 2 2 2 4 3 2" xfId="10107"/>
    <cellStyle name="20% - Accent1 4 2 2 2 2 4 3 3" xfId="10108"/>
    <cellStyle name="20% - Accent1 4 2 2 2 2 4 4" xfId="10109"/>
    <cellStyle name="20% - Accent1 4 2 2 2 2 4 4 2" xfId="10110"/>
    <cellStyle name="20% - Accent1 4 2 2 2 2 4 5" xfId="10111"/>
    <cellStyle name="20% - Accent1 4 2 2 2 2 4 6" xfId="10112"/>
    <cellStyle name="20% - Accent1 4 2 2 2 2 5" xfId="10113"/>
    <cellStyle name="20% - Accent1 4 2 2 2 2 5 2" xfId="10114"/>
    <cellStyle name="20% - Accent1 4 2 2 2 2 5 2 2" xfId="10115"/>
    <cellStyle name="20% - Accent1 4 2 2 2 2 5 2 3" xfId="10116"/>
    <cellStyle name="20% - Accent1 4 2 2 2 2 5 3" xfId="10117"/>
    <cellStyle name="20% - Accent1 4 2 2 2 2 5 3 2" xfId="10118"/>
    <cellStyle name="20% - Accent1 4 2 2 2 2 5 4" xfId="10119"/>
    <cellStyle name="20% - Accent1 4 2 2 2 2 5 5" xfId="10120"/>
    <cellStyle name="20% - Accent1 4 2 2 2 2 6" xfId="10121"/>
    <cellStyle name="20% - Accent1 4 2 2 2 2 6 2" xfId="10122"/>
    <cellStyle name="20% - Accent1 4 2 2 2 2 6 3" xfId="10123"/>
    <cellStyle name="20% - Accent1 4 2 2 2 2 7" xfId="10124"/>
    <cellStyle name="20% - Accent1 4 2 2 2 2 7 2" xfId="10125"/>
    <cellStyle name="20% - Accent1 4 2 2 2 2 7 3" xfId="10126"/>
    <cellStyle name="20% - Accent1 4 2 2 2 2 8" xfId="10127"/>
    <cellStyle name="20% - Accent1 4 2 2 2 2 8 2" xfId="10128"/>
    <cellStyle name="20% - Accent1 4 2 2 2 2 9" xfId="10129"/>
    <cellStyle name="20% - Accent1 4 2 2 2 3" xfId="155"/>
    <cellStyle name="20% - Accent1 4 2 2 2 3 2" xfId="10130"/>
    <cellStyle name="20% - Accent1 4 2 2 2 3 2 2" xfId="10131"/>
    <cellStyle name="20% - Accent1 4 2 2 2 3 2 2 2" xfId="10132"/>
    <cellStyle name="20% - Accent1 4 2 2 2 3 2 2 3" xfId="10133"/>
    <cellStyle name="20% - Accent1 4 2 2 2 3 2 3" xfId="10134"/>
    <cellStyle name="20% - Accent1 4 2 2 2 3 2 3 2" xfId="10135"/>
    <cellStyle name="20% - Accent1 4 2 2 2 3 2 3 3" xfId="10136"/>
    <cellStyle name="20% - Accent1 4 2 2 2 3 2 4" xfId="10137"/>
    <cellStyle name="20% - Accent1 4 2 2 2 3 2 4 2" xfId="10138"/>
    <cellStyle name="20% - Accent1 4 2 2 2 3 2 5" xfId="10139"/>
    <cellStyle name="20% - Accent1 4 2 2 2 3 2 6" xfId="10140"/>
    <cellStyle name="20% - Accent1 4 2 2 2 3 3" xfId="10141"/>
    <cellStyle name="20% - Accent1 4 2 2 2 3 3 2" xfId="10142"/>
    <cellStyle name="20% - Accent1 4 2 2 2 3 3 2 2" xfId="10143"/>
    <cellStyle name="20% - Accent1 4 2 2 2 3 3 2 3" xfId="10144"/>
    <cellStyle name="20% - Accent1 4 2 2 2 3 3 3" xfId="10145"/>
    <cellStyle name="20% - Accent1 4 2 2 2 3 3 3 2" xfId="10146"/>
    <cellStyle name="20% - Accent1 4 2 2 2 3 3 3 3" xfId="10147"/>
    <cellStyle name="20% - Accent1 4 2 2 2 3 3 4" xfId="10148"/>
    <cellStyle name="20% - Accent1 4 2 2 2 3 3 4 2" xfId="10149"/>
    <cellStyle name="20% - Accent1 4 2 2 2 3 3 5" xfId="10150"/>
    <cellStyle name="20% - Accent1 4 2 2 2 3 3 6" xfId="10151"/>
    <cellStyle name="20% - Accent1 4 2 2 2 3 4" xfId="10152"/>
    <cellStyle name="20% - Accent1 4 2 2 2 3 4 2" xfId="10153"/>
    <cellStyle name="20% - Accent1 4 2 2 2 3 4 2 2" xfId="10154"/>
    <cellStyle name="20% - Accent1 4 2 2 2 3 4 2 3" xfId="10155"/>
    <cellStyle name="20% - Accent1 4 2 2 2 3 4 3" xfId="10156"/>
    <cellStyle name="20% - Accent1 4 2 2 2 3 4 3 2" xfId="10157"/>
    <cellStyle name="20% - Accent1 4 2 2 2 3 4 4" xfId="10158"/>
    <cellStyle name="20% - Accent1 4 2 2 2 3 4 5" xfId="10159"/>
    <cellStyle name="20% - Accent1 4 2 2 2 3 5" xfId="10160"/>
    <cellStyle name="20% - Accent1 4 2 2 2 3 5 2" xfId="10161"/>
    <cellStyle name="20% - Accent1 4 2 2 2 3 5 3" xfId="10162"/>
    <cellStyle name="20% - Accent1 4 2 2 2 3 6" xfId="10163"/>
    <cellStyle name="20% - Accent1 4 2 2 2 3 6 2" xfId="10164"/>
    <cellStyle name="20% - Accent1 4 2 2 2 3 6 3" xfId="10165"/>
    <cellStyle name="20% - Accent1 4 2 2 2 3 7" xfId="10166"/>
    <cellStyle name="20% - Accent1 4 2 2 2 3 7 2" xfId="10167"/>
    <cellStyle name="20% - Accent1 4 2 2 2 3 8" xfId="10168"/>
    <cellStyle name="20% - Accent1 4 2 2 2 3 9" xfId="10169"/>
    <cellStyle name="20% - Accent1 4 2 2 2 4" xfId="10170"/>
    <cellStyle name="20% - Accent1 4 2 2 2 4 2" xfId="10171"/>
    <cellStyle name="20% - Accent1 4 2 2 2 4 2 2" xfId="10172"/>
    <cellStyle name="20% - Accent1 4 2 2 2 4 2 2 2" xfId="10173"/>
    <cellStyle name="20% - Accent1 4 2 2 2 4 2 2 3" xfId="10174"/>
    <cellStyle name="20% - Accent1 4 2 2 2 4 2 3" xfId="10175"/>
    <cellStyle name="20% - Accent1 4 2 2 2 4 2 3 2" xfId="10176"/>
    <cellStyle name="20% - Accent1 4 2 2 2 4 2 3 3" xfId="10177"/>
    <cellStyle name="20% - Accent1 4 2 2 2 4 2 4" xfId="10178"/>
    <cellStyle name="20% - Accent1 4 2 2 2 4 2 4 2" xfId="10179"/>
    <cellStyle name="20% - Accent1 4 2 2 2 4 2 5" xfId="10180"/>
    <cellStyle name="20% - Accent1 4 2 2 2 4 2 6" xfId="10181"/>
    <cellStyle name="20% - Accent1 4 2 2 2 4 3" xfId="10182"/>
    <cellStyle name="20% - Accent1 4 2 2 2 4 3 2" xfId="10183"/>
    <cellStyle name="20% - Accent1 4 2 2 2 4 3 2 2" xfId="10184"/>
    <cellStyle name="20% - Accent1 4 2 2 2 4 3 2 3" xfId="10185"/>
    <cellStyle name="20% - Accent1 4 2 2 2 4 3 3" xfId="10186"/>
    <cellStyle name="20% - Accent1 4 2 2 2 4 3 3 2" xfId="10187"/>
    <cellStyle name="20% - Accent1 4 2 2 2 4 3 3 3" xfId="10188"/>
    <cellStyle name="20% - Accent1 4 2 2 2 4 3 4" xfId="10189"/>
    <cellStyle name="20% - Accent1 4 2 2 2 4 3 4 2" xfId="10190"/>
    <cellStyle name="20% - Accent1 4 2 2 2 4 3 5" xfId="10191"/>
    <cellStyle name="20% - Accent1 4 2 2 2 4 3 6" xfId="10192"/>
    <cellStyle name="20% - Accent1 4 2 2 2 4 4" xfId="10193"/>
    <cellStyle name="20% - Accent1 4 2 2 2 4 4 2" xfId="10194"/>
    <cellStyle name="20% - Accent1 4 2 2 2 4 4 2 2" xfId="10195"/>
    <cellStyle name="20% - Accent1 4 2 2 2 4 4 2 3" xfId="10196"/>
    <cellStyle name="20% - Accent1 4 2 2 2 4 4 3" xfId="10197"/>
    <cellStyle name="20% - Accent1 4 2 2 2 4 4 3 2" xfId="10198"/>
    <cellStyle name="20% - Accent1 4 2 2 2 4 4 4" xfId="10199"/>
    <cellStyle name="20% - Accent1 4 2 2 2 4 4 5" xfId="10200"/>
    <cellStyle name="20% - Accent1 4 2 2 2 4 5" xfId="10201"/>
    <cellStyle name="20% - Accent1 4 2 2 2 4 5 2" xfId="10202"/>
    <cellStyle name="20% - Accent1 4 2 2 2 4 5 3" xfId="10203"/>
    <cellStyle name="20% - Accent1 4 2 2 2 4 6" xfId="10204"/>
    <cellStyle name="20% - Accent1 4 2 2 2 4 6 2" xfId="10205"/>
    <cellStyle name="20% - Accent1 4 2 2 2 4 6 3" xfId="10206"/>
    <cellStyle name="20% - Accent1 4 2 2 2 4 7" xfId="10207"/>
    <cellStyle name="20% - Accent1 4 2 2 2 4 7 2" xfId="10208"/>
    <cellStyle name="20% - Accent1 4 2 2 2 4 8" xfId="10209"/>
    <cellStyle name="20% - Accent1 4 2 2 2 4 9" xfId="10210"/>
    <cellStyle name="20% - Accent1 4 2 2 2 5" xfId="10211"/>
    <cellStyle name="20% - Accent1 4 2 2 2 5 2" xfId="10212"/>
    <cellStyle name="20% - Accent1 4 2 2 2 5 2 2" xfId="10213"/>
    <cellStyle name="20% - Accent1 4 2 2 2 5 2 3" xfId="10214"/>
    <cellStyle name="20% - Accent1 4 2 2 2 5 3" xfId="10215"/>
    <cellStyle name="20% - Accent1 4 2 2 2 5 3 2" xfId="10216"/>
    <cellStyle name="20% - Accent1 4 2 2 2 5 3 3" xfId="10217"/>
    <cellStyle name="20% - Accent1 4 2 2 2 5 4" xfId="10218"/>
    <cellStyle name="20% - Accent1 4 2 2 2 5 4 2" xfId="10219"/>
    <cellStyle name="20% - Accent1 4 2 2 2 5 5" xfId="10220"/>
    <cellStyle name="20% - Accent1 4 2 2 2 5 6" xfId="10221"/>
    <cellStyle name="20% - Accent1 4 2 2 2 6" xfId="10222"/>
    <cellStyle name="20% - Accent1 4 2 2 2 6 2" xfId="10223"/>
    <cellStyle name="20% - Accent1 4 2 2 2 6 2 2" xfId="10224"/>
    <cellStyle name="20% - Accent1 4 2 2 2 6 2 3" xfId="10225"/>
    <cellStyle name="20% - Accent1 4 2 2 2 6 3" xfId="10226"/>
    <cellStyle name="20% - Accent1 4 2 2 2 6 3 2" xfId="10227"/>
    <cellStyle name="20% - Accent1 4 2 2 2 6 3 3" xfId="10228"/>
    <cellStyle name="20% - Accent1 4 2 2 2 6 4" xfId="10229"/>
    <cellStyle name="20% - Accent1 4 2 2 2 6 4 2" xfId="10230"/>
    <cellStyle name="20% - Accent1 4 2 2 2 6 5" xfId="10231"/>
    <cellStyle name="20% - Accent1 4 2 2 2 6 6" xfId="10232"/>
    <cellStyle name="20% - Accent1 4 2 2 2 7" xfId="10233"/>
    <cellStyle name="20% - Accent1 4 2 2 2 7 2" xfId="10234"/>
    <cellStyle name="20% - Accent1 4 2 2 2 7 2 2" xfId="10235"/>
    <cellStyle name="20% - Accent1 4 2 2 2 7 2 3" xfId="10236"/>
    <cellStyle name="20% - Accent1 4 2 2 2 7 3" xfId="10237"/>
    <cellStyle name="20% - Accent1 4 2 2 2 7 3 2" xfId="10238"/>
    <cellStyle name="20% - Accent1 4 2 2 2 7 4" xfId="10239"/>
    <cellStyle name="20% - Accent1 4 2 2 2 7 5" xfId="10240"/>
    <cellStyle name="20% - Accent1 4 2 2 2 8" xfId="10241"/>
    <cellStyle name="20% - Accent1 4 2 2 2 8 2" xfId="10242"/>
    <cellStyle name="20% - Accent1 4 2 2 2 8 3" xfId="10243"/>
    <cellStyle name="20% - Accent1 4 2 2 2 9" xfId="10244"/>
    <cellStyle name="20% - Accent1 4 2 2 2 9 2" xfId="10245"/>
    <cellStyle name="20% - Accent1 4 2 2 2 9 3" xfId="10246"/>
    <cellStyle name="20% - Accent1 4 2 2 3" xfId="156"/>
    <cellStyle name="20% - Accent1 4 2 2 3 10" xfId="10247"/>
    <cellStyle name="20% - Accent1 4 2 2 3 2" xfId="157"/>
    <cellStyle name="20% - Accent1 4 2 2 3 2 2" xfId="10248"/>
    <cellStyle name="20% - Accent1 4 2 2 3 2 2 2" xfId="10249"/>
    <cellStyle name="20% - Accent1 4 2 2 3 2 2 2 2" xfId="10250"/>
    <cellStyle name="20% - Accent1 4 2 2 3 2 2 2 3" xfId="10251"/>
    <cellStyle name="20% - Accent1 4 2 2 3 2 2 3" xfId="10252"/>
    <cellStyle name="20% - Accent1 4 2 2 3 2 2 3 2" xfId="10253"/>
    <cellStyle name="20% - Accent1 4 2 2 3 2 2 3 3" xfId="10254"/>
    <cellStyle name="20% - Accent1 4 2 2 3 2 2 4" xfId="10255"/>
    <cellStyle name="20% - Accent1 4 2 2 3 2 2 4 2" xfId="10256"/>
    <cellStyle name="20% - Accent1 4 2 2 3 2 2 5" xfId="10257"/>
    <cellStyle name="20% - Accent1 4 2 2 3 2 2 6" xfId="10258"/>
    <cellStyle name="20% - Accent1 4 2 2 3 2 3" xfId="10259"/>
    <cellStyle name="20% - Accent1 4 2 2 3 2 3 2" xfId="10260"/>
    <cellStyle name="20% - Accent1 4 2 2 3 2 3 2 2" xfId="10261"/>
    <cellStyle name="20% - Accent1 4 2 2 3 2 3 2 3" xfId="10262"/>
    <cellStyle name="20% - Accent1 4 2 2 3 2 3 3" xfId="10263"/>
    <cellStyle name="20% - Accent1 4 2 2 3 2 3 3 2" xfId="10264"/>
    <cellStyle name="20% - Accent1 4 2 2 3 2 3 3 3" xfId="10265"/>
    <cellStyle name="20% - Accent1 4 2 2 3 2 3 4" xfId="10266"/>
    <cellStyle name="20% - Accent1 4 2 2 3 2 3 4 2" xfId="10267"/>
    <cellStyle name="20% - Accent1 4 2 2 3 2 3 5" xfId="10268"/>
    <cellStyle name="20% - Accent1 4 2 2 3 2 3 6" xfId="10269"/>
    <cellStyle name="20% - Accent1 4 2 2 3 2 4" xfId="10270"/>
    <cellStyle name="20% - Accent1 4 2 2 3 2 4 2" xfId="10271"/>
    <cellStyle name="20% - Accent1 4 2 2 3 2 4 2 2" xfId="10272"/>
    <cellStyle name="20% - Accent1 4 2 2 3 2 4 2 3" xfId="10273"/>
    <cellStyle name="20% - Accent1 4 2 2 3 2 4 3" xfId="10274"/>
    <cellStyle name="20% - Accent1 4 2 2 3 2 4 3 2" xfId="10275"/>
    <cellStyle name="20% - Accent1 4 2 2 3 2 4 4" xfId="10276"/>
    <cellStyle name="20% - Accent1 4 2 2 3 2 4 5" xfId="10277"/>
    <cellStyle name="20% - Accent1 4 2 2 3 2 5" xfId="10278"/>
    <cellStyle name="20% - Accent1 4 2 2 3 2 5 2" xfId="10279"/>
    <cellStyle name="20% - Accent1 4 2 2 3 2 5 3" xfId="10280"/>
    <cellStyle name="20% - Accent1 4 2 2 3 2 6" xfId="10281"/>
    <cellStyle name="20% - Accent1 4 2 2 3 2 6 2" xfId="10282"/>
    <cellStyle name="20% - Accent1 4 2 2 3 2 6 3" xfId="10283"/>
    <cellStyle name="20% - Accent1 4 2 2 3 2 7" xfId="10284"/>
    <cellStyle name="20% - Accent1 4 2 2 3 2 7 2" xfId="10285"/>
    <cellStyle name="20% - Accent1 4 2 2 3 2 8" xfId="10286"/>
    <cellStyle name="20% - Accent1 4 2 2 3 2 9" xfId="10287"/>
    <cellStyle name="20% - Accent1 4 2 2 3 3" xfId="10288"/>
    <cellStyle name="20% - Accent1 4 2 2 3 3 2" xfId="10289"/>
    <cellStyle name="20% - Accent1 4 2 2 3 3 2 2" xfId="10290"/>
    <cellStyle name="20% - Accent1 4 2 2 3 3 2 3" xfId="10291"/>
    <cellStyle name="20% - Accent1 4 2 2 3 3 3" xfId="10292"/>
    <cellStyle name="20% - Accent1 4 2 2 3 3 3 2" xfId="10293"/>
    <cellStyle name="20% - Accent1 4 2 2 3 3 3 3" xfId="10294"/>
    <cellStyle name="20% - Accent1 4 2 2 3 3 4" xfId="10295"/>
    <cellStyle name="20% - Accent1 4 2 2 3 3 4 2" xfId="10296"/>
    <cellStyle name="20% - Accent1 4 2 2 3 3 5" xfId="10297"/>
    <cellStyle name="20% - Accent1 4 2 2 3 3 6" xfId="10298"/>
    <cellStyle name="20% - Accent1 4 2 2 3 4" xfId="10299"/>
    <cellStyle name="20% - Accent1 4 2 2 3 4 2" xfId="10300"/>
    <cellStyle name="20% - Accent1 4 2 2 3 4 2 2" xfId="10301"/>
    <cellStyle name="20% - Accent1 4 2 2 3 4 2 3" xfId="10302"/>
    <cellStyle name="20% - Accent1 4 2 2 3 4 3" xfId="10303"/>
    <cellStyle name="20% - Accent1 4 2 2 3 4 3 2" xfId="10304"/>
    <cellStyle name="20% - Accent1 4 2 2 3 4 3 3" xfId="10305"/>
    <cellStyle name="20% - Accent1 4 2 2 3 4 4" xfId="10306"/>
    <cellStyle name="20% - Accent1 4 2 2 3 4 4 2" xfId="10307"/>
    <cellStyle name="20% - Accent1 4 2 2 3 4 5" xfId="10308"/>
    <cellStyle name="20% - Accent1 4 2 2 3 4 6" xfId="10309"/>
    <cellStyle name="20% - Accent1 4 2 2 3 5" xfId="10310"/>
    <cellStyle name="20% - Accent1 4 2 2 3 5 2" xfId="10311"/>
    <cellStyle name="20% - Accent1 4 2 2 3 5 2 2" xfId="10312"/>
    <cellStyle name="20% - Accent1 4 2 2 3 5 2 3" xfId="10313"/>
    <cellStyle name="20% - Accent1 4 2 2 3 5 3" xfId="10314"/>
    <cellStyle name="20% - Accent1 4 2 2 3 5 3 2" xfId="10315"/>
    <cellStyle name="20% - Accent1 4 2 2 3 5 4" xfId="10316"/>
    <cellStyle name="20% - Accent1 4 2 2 3 5 5" xfId="10317"/>
    <cellStyle name="20% - Accent1 4 2 2 3 6" xfId="10318"/>
    <cellStyle name="20% - Accent1 4 2 2 3 6 2" xfId="10319"/>
    <cellStyle name="20% - Accent1 4 2 2 3 6 3" xfId="10320"/>
    <cellStyle name="20% - Accent1 4 2 2 3 7" xfId="10321"/>
    <cellStyle name="20% - Accent1 4 2 2 3 7 2" xfId="10322"/>
    <cellStyle name="20% - Accent1 4 2 2 3 7 3" xfId="10323"/>
    <cellStyle name="20% - Accent1 4 2 2 3 8" xfId="10324"/>
    <cellStyle name="20% - Accent1 4 2 2 3 8 2" xfId="10325"/>
    <cellStyle name="20% - Accent1 4 2 2 3 9" xfId="10326"/>
    <cellStyle name="20% - Accent1 4 2 2 4" xfId="158"/>
    <cellStyle name="20% - Accent1 4 2 2 4 2" xfId="10327"/>
    <cellStyle name="20% - Accent1 4 2 2 4 2 2" xfId="10328"/>
    <cellStyle name="20% - Accent1 4 2 2 4 2 2 2" xfId="10329"/>
    <cellStyle name="20% - Accent1 4 2 2 4 2 2 3" xfId="10330"/>
    <cellStyle name="20% - Accent1 4 2 2 4 2 3" xfId="10331"/>
    <cellStyle name="20% - Accent1 4 2 2 4 2 3 2" xfId="10332"/>
    <cellStyle name="20% - Accent1 4 2 2 4 2 3 3" xfId="10333"/>
    <cellStyle name="20% - Accent1 4 2 2 4 2 4" xfId="10334"/>
    <cellStyle name="20% - Accent1 4 2 2 4 2 4 2" xfId="10335"/>
    <cellStyle name="20% - Accent1 4 2 2 4 2 5" xfId="10336"/>
    <cellStyle name="20% - Accent1 4 2 2 4 2 6" xfId="10337"/>
    <cellStyle name="20% - Accent1 4 2 2 4 3" xfId="10338"/>
    <cellStyle name="20% - Accent1 4 2 2 4 3 2" xfId="10339"/>
    <cellStyle name="20% - Accent1 4 2 2 4 3 2 2" xfId="10340"/>
    <cellStyle name="20% - Accent1 4 2 2 4 3 2 3" xfId="10341"/>
    <cellStyle name="20% - Accent1 4 2 2 4 3 3" xfId="10342"/>
    <cellStyle name="20% - Accent1 4 2 2 4 3 3 2" xfId="10343"/>
    <cellStyle name="20% - Accent1 4 2 2 4 3 3 3" xfId="10344"/>
    <cellStyle name="20% - Accent1 4 2 2 4 3 4" xfId="10345"/>
    <cellStyle name="20% - Accent1 4 2 2 4 3 4 2" xfId="10346"/>
    <cellStyle name="20% - Accent1 4 2 2 4 3 5" xfId="10347"/>
    <cellStyle name="20% - Accent1 4 2 2 4 3 6" xfId="10348"/>
    <cellStyle name="20% - Accent1 4 2 2 4 4" xfId="10349"/>
    <cellStyle name="20% - Accent1 4 2 2 4 4 2" xfId="10350"/>
    <cellStyle name="20% - Accent1 4 2 2 4 4 2 2" xfId="10351"/>
    <cellStyle name="20% - Accent1 4 2 2 4 4 2 3" xfId="10352"/>
    <cellStyle name="20% - Accent1 4 2 2 4 4 3" xfId="10353"/>
    <cellStyle name="20% - Accent1 4 2 2 4 4 3 2" xfId="10354"/>
    <cellStyle name="20% - Accent1 4 2 2 4 4 4" xfId="10355"/>
    <cellStyle name="20% - Accent1 4 2 2 4 4 5" xfId="10356"/>
    <cellStyle name="20% - Accent1 4 2 2 4 5" xfId="10357"/>
    <cellStyle name="20% - Accent1 4 2 2 4 5 2" xfId="10358"/>
    <cellStyle name="20% - Accent1 4 2 2 4 5 3" xfId="10359"/>
    <cellStyle name="20% - Accent1 4 2 2 4 6" xfId="10360"/>
    <cellStyle name="20% - Accent1 4 2 2 4 6 2" xfId="10361"/>
    <cellStyle name="20% - Accent1 4 2 2 4 6 3" xfId="10362"/>
    <cellStyle name="20% - Accent1 4 2 2 4 7" xfId="10363"/>
    <cellStyle name="20% - Accent1 4 2 2 4 7 2" xfId="10364"/>
    <cellStyle name="20% - Accent1 4 2 2 4 8" xfId="10365"/>
    <cellStyle name="20% - Accent1 4 2 2 4 9" xfId="10366"/>
    <cellStyle name="20% - Accent1 4 2 2 5" xfId="10367"/>
    <cellStyle name="20% - Accent1 4 2 2 5 2" xfId="10368"/>
    <cellStyle name="20% - Accent1 4 2 2 5 2 2" xfId="10369"/>
    <cellStyle name="20% - Accent1 4 2 2 5 2 2 2" xfId="10370"/>
    <cellStyle name="20% - Accent1 4 2 2 5 2 2 3" xfId="10371"/>
    <cellStyle name="20% - Accent1 4 2 2 5 2 3" xfId="10372"/>
    <cellStyle name="20% - Accent1 4 2 2 5 2 3 2" xfId="10373"/>
    <cellStyle name="20% - Accent1 4 2 2 5 2 3 3" xfId="10374"/>
    <cellStyle name="20% - Accent1 4 2 2 5 2 4" xfId="10375"/>
    <cellStyle name="20% - Accent1 4 2 2 5 2 4 2" xfId="10376"/>
    <cellStyle name="20% - Accent1 4 2 2 5 2 5" xfId="10377"/>
    <cellStyle name="20% - Accent1 4 2 2 5 2 6" xfId="10378"/>
    <cellStyle name="20% - Accent1 4 2 2 5 3" xfId="10379"/>
    <cellStyle name="20% - Accent1 4 2 2 5 3 2" xfId="10380"/>
    <cellStyle name="20% - Accent1 4 2 2 5 3 2 2" xfId="10381"/>
    <cellStyle name="20% - Accent1 4 2 2 5 3 2 3" xfId="10382"/>
    <cellStyle name="20% - Accent1 4 2 2 5 3 3" xfId="10383"/>
    <cellStyle name="20% - Accent1 4 2 2 5 3 3 2" xfId="10384"/>
    <cellStyle name="20% - Accent1 4 2 2 5 3 3 3" xfId="10385"/>
    <cellStyle name="20% - Accent1 4 2 2 5 3 4" xfId="10386"/>
    <cellStyle name="20% - Accent1 4 2 2 5 3 4 2" xfId="10387"/>
    <cellStyle name="20% - Accent1 4 2 2 5 3 5" xfId="10388"/>
    <cellStyle name="20% - Accent1 4 2 2 5 3 6" xfId="10389"/>
    <cellStyle name="20% - Accent1 4 2 2 5 4" xfId="10390"/>
    <cellStyle name="20% - Accent1 4 2 2 5 4 2" xfId="10391"/>
    <cellStyle name="20% - Accent1 4 2 2 5 4 2 2" xfId="10392"/>
    <cellStyle name="20% - Accent1 4 2 2 5 4 2 3" xfId="10393"/>
    <cellStyle name="20% - Accent1 4 2 2 5 4 3" xfId="10394"/>
    <cellStyle name="20% - Accent1 4 2 2 5 4 3 2" xfId="10395"/>
    <cellStyle name="20% - Accent1 4 2 2 5 4 4" xfId="10396"/>
    <cellStyle name="20% - Accent1 4 2 2 5 4 5" xfId="10397"/>
    <cellStyle name="20% - Accent1 4 2 2 5 5" xfId="10398"/>
    <cellStyle name="20% - Accent1 4 2 2 5 5 2" xfId="10399"/>
    <cellStyle name="20% - Accent1 4 2 2 5 5 3" xfId="10400"/>
    <cellStyle name="20% - Accent1 4 2 2 5 6" xfId="10401"/>
    <cellStyle name="20% - Accent1 4 2 2 5 6 2" xfId="10402"/>
    <cellStyle name="20% - Accent1 4 2 2 5 6 3" xfId="10403"/>
    <cellStyle name="20% - Accent1 4 2 2 5 7" xfId="10404"/>
    <cellStyle name="20% - Accent1 4 2 2 5 7 2" xfId="10405"/>
    <cellStyle name="20% - Accent1 4 2 2 5 8" xfId="10406"/>
    <cellStyle name="20% - Accent1 4 2 2 5 9" xfId="10407"/>
    <cellStyle name="20% - Accent1 4 2 2 6" xfId="10408"/>
    <cellStyle name="20% - Accent1 4 2 2 6 2" xfId="10409"/>
    <cellStyle name="20% - Accent1 4 2 2 6 2 2" xfId="10410"/>
    <cellStyle name="20% - Accent1 4 2 2 6 2 3" xfId="10411"/>
    <cellStyle name="20% - Accent1 4 2 2 6 3" xfId="10412"/>
    <cellStyle name="20% - Accent1 4 2 2 6 3 2" xfId="10413"/>
    <cellStyle name="20% - Accent1 4 2 2 6 3 3" xfId="10414"/>
    <cellStyle name="20% - Accent1 4 2 2 6 4" xfId="10415"/>
    <cellStyle name="20% - Accent1 4 2 2 6 4 2" xfId="10416"/>
    <cellStyle name="20% - Accent1 4 2 2 6 5" xfId="10417"/>
    <cellStyle name="20% - Accent1 4 2 2 6 6" xfId="10418"/>
    <cellStyle name="20% - Accent1 4 2 2 7" xfId="10419"/>
    <cellStyle name="20% - Accent1 4 2 2 7 2" xfId="10420"/>
    <cellStyle name="20% - Accent1 4 2 2 7 2 2" xfId="10421"/>
    <cellStyle name="20% - Accent1 4 2 2 7 2 3" xfId="10422"/>
    <cellStyle name="20% - Accent1 4 2 2 7 3" xfId="10423"/>
    <cellStyle name="20% - Accent1 4 2 2 7 3 2" xfId="10424"/>
    <cellStyle name="20% - Accent1 4 2 2 7 3 3" xfId="10425"/>
    <cellStyle name="20% - Accent1 4 2 2 7 4" xfId="10426"/>
    <cellStyle name="20% - Accent1 4 2 2 7 4 2" xfId="10427"/>
    <cellStyle name="20% - Accent1 4 2 2 7 5" xfId="10428"/>
    <cellStyle name="20% - Accent1 4 2 2 7 6" xfId="10429"/>
    <cellStyle name="20% - Accent1 4 2 2 8" xfId="10430"/>
    <cellStyle name="20% - Accent1 4 2 2 8 2" xfId="10431"/>
    <cellStyle name="20% - Accent1 4 2 2 8 2 2" xfId="10432"/>
    <cellStyle name="20% - Accent1 4 2 2 8 2 3" xfId="10433"/>
    <cellStyle name="20% - Accent1 4 2 2 8 3" xfId="10434"/>
    <cellStyle name="20% - Accent1 4 2 2 8 3 2" xfId="10435"/>
    <cellStyle name="20% - Accent1 4 2 2 8 4" xfId="10436"/>
    <cellStyle name="20% - Accent1 4 2 2 8 5" xfId="10437"/>
    <cellStyle name="20% - Accent1 4 2 2 9" xfId="10438"/>
    <cellStyle name="20% - Accent1 4 2 2 9 2" xfId="10439"/>
    <cellStyle name="20% - Accent1 4 2 2 9 3" xfId="10440"/>
    <cellStyle name="20% - Accent1 4 2 3" xfId="159"/>
    <cellStyle name="20% - Accent1 4 2 3 10" xfId="10441"/>
    <cellStyle name="20% - Accent1 4 2 3 10 2" xfId="10442"/>
    <cellStyle name="20% - Accent1 4 2 3 11" xfId="10443"/>
    <cellStyle name="20% - Accent1 4 2 3 12" xfId="10444"/>
    <cellStyle name="20% - Accent1 4 2 3 2" xfId="160"/>
    <cellStyle name="20% - Accent1 4 2 3 2 10" xfId="10445"/>
    <cellStyle name="20% - Accent1 4 2 3 2 2" xfId="161"/>
    <cellStyle name="20% - Accent1 4 2 3 2 2 2" xfId="10446"/>
    <cellStyle name="20% - Accent1 4 2 3 2 2 2 2" xfId="10447"/>
    <cellStyle name="20% - Accent1 4 2 3 2 2 2 2 2" xfId="10448"/>
    <cellStyle name="20% - Accent1 4 2 3 2 2 2 2 3" xfId="10449"/>
    <cellStyle name="20% - Accent1 4 2 3 2 2 2 3" xfId="10450"/>
    <cellStyle name="20% - Accent1 4 2 3 2 2 2 3 2" xfId="10451"/>
    <cellStyle name="20% - Accent1 4 2 3 2 2 2 3 3" xfId="10452"/>
    <cellStyle name="20% - Accent1 4 2 3 2 2 2 4" xfId="10453"/>
    <cellStyle name="20% - Accent1 4 2 3 2 2 2 4 2" xfId="10454"/>
    <cellStyle name="20% - Accent1 4 2 3 2 2 2 5" xfId="10455"/>
    <cellStyle name="20% - Accent1 4 2 3 2 2 2 6" xfId="10456"/>
    <cellStyle name="20% - Accent1 4 2 3 2 2 3" xfId="10457"/>
    <cellStyle name="20% - Accent1 4 2 3 2 2 3 2" xfId="10458"/>
    <cellStyle name="20% - Accent1 4 2 3 2 2 3 2 2" xfId="10459"/>
    <cellStyle name="20% - Accent1 4 2 3 2 2 3 2 3" xfId="10460"/>
    <cellStyle name="20% - Accent1 4 2 3 2 2 3 3" xfId="10461"/>
    <cellStyle name="20% - Accent1 4 2 3 2 2 3 3 2" xfId="10462"/>
    <cellStyle name="20% - Accent1 4 2 3 2 2 3 3 3" xfId="10463"/>
    <cellStyle name="20% - Accent1 4 2 3 2 2 3 4" xfId="10464"/>
    <cellStyle name="20% - Accent1 4 2 3 2 2 3 4 2" xfId="10465"/>
    <cellStyle name="20% - Accent1 4 2 3 2 2 3 5" xfId="10466"/>
    <cellStyle name="20% - Accent1 4 2 3 2 2 3 6" xfId="10467"/>
    <cellStyle name="20% - Accent1 4 2 3 2 2 4" xfId="10468"/>
    <cellStyle name="20% - Accent1 4 2 3 2 2 4 2" xfId="10469"/>
    <cellStyle name="20% - Accent1 4 2 3 2 2 4 2 2" xfId="10470"/>
    <cellStyle name="20% - Accent1 4 2 3 2 2 4 2 3" xfId="10471"/>
    <cellStyle name="20% - Accent1 4 2 3 2 2 4 3" xfId="10472"/>
    <cellStyle name="20% - Accent1 4 2 3 2 2 4 3 2" xfId="10473"/>
    <cellStyle name="20% - Accent1 4 2 3 2 2 4 4" xfId="10474"/>
    <cellStyle name="20% - Accent1 4 2 3 2 2 4 5" xfId="10475"/>
    <cellStyle name="20% - Accent1 4 2 3 2 2 5" xfId="10476"/>
    <cellStyle name="20% - Accent1 4 2 3 2 2 5 2" xfId="10477"/>
    <cellStyle name="20% - Accent1 4 2 3 2 2 5 3" xfId="10478"/>
    <cellStyle name="20% - Accent1 4 2 3 2 2 6" xfId="10479"/>
    <cellStyle name="20% - Accent1 4 2 3 2 2 6 2" xfId="10480"/>
    <cellStyle name="20% - Accent1 4 2 3 2 2 6 3" xfId="10481"/>
    <cellStyle name="20% - Accent1 4 2 3 2 2 7" xfId="10482"/>
    <cellStyle name="20% - Accent1 4 2 3 2 2 7 2" xfId="10483"/>
    <cellStyle name="20% - Accent1 4 2 3 2 2 8" xfId="10484"/>
    <cellStyle name="20% - Accent1 4 2 3 2 2 9" xfId="10485"/>
    <cellStyle name="20% - Accent1 4 2 3 2 3" xfId="10486"/>
    <cellStyle name="20% - Accent1 4 2 3 2 3 2" xfId="10487"/>
    <cellStyle name="20% - Accent1 4 2 3 2 3 2 2" xfId="10488"/>
    <cellStyle name="20% - Accent1 4 2 3 2 3 2 3" xfId="10489"/>
    <cellStyle name="20% - Accent1 4 2 3 2 3 3" xfId="10490"/>
    <cellStyle name="20% - Accent1 4 2 3 2 3 3 2" xfId="10491"/>
    <cellStyle name="20% - Accent1 4 2 3 2 3 3 3" xfId="10492"/>
    <cellStyle name="20% - Accent1 4 2 3 2 3 4" xfId="10493"/>
    <cellStyle name="20% - Accent1 4 2 3 2 3 4 2" xfId="10494"/>
    <cellStyle name="20% - Accent1 4 2 3 2 3 5" xfId="10495"/>
    <cellStyle name="20% - Accent1 4 2 3 2 3 6" xfId="10496"/>
    <cellStyle name="20% - Accent1 4 2 3 2 4" xfId="10497"/>
    <cellStyle name="20% - Accent1 4 2 3 2 4 2" xfId="10498"/>
    <cellStyle name="20% - Accent1 4 2 3 2 4 2 2" xfId="10499"/>
    <cellStyle name="20% - Accent1 4 2 3 2 4 2 3" xfId="10500"/>
    <cellStyle name="20% - Accent1 4 2 3 2 4 3" xfId="10501"/>
    <cellStyle name="20% - Accent1 4 2 3 2 4 3 2" xfId="10502"/>
    <cellStyle name="20% - Accent1 4 2 3 2 4 3 3" xfId="10503"/>
    <cellStyle name="20% - Accent1 4 2 3 2 4 4" xfId="10504"/>
    <cellStyle name="20% - Accent1 4 2 3 2 4 4 2" xfId="10505"/>
    <cellStyle name="20% - Accent1 4 2 3 2 4 5" xfId="10506"/>
    <cellStyle name="20% - Accent1 4 2 3 2 4 6" xfId="10507"/>
    <cellStyle name="20% - Accent1 4 2 3 2 5" xfId="10508"/>
    <cellStyle name="20% - Accent1 4 2 3 2 5 2" xfId="10509"/>
    <cellStyle name="20% - Accent1 4 2 3 2 5 2 2" xfId="10510"/>
    <cellStyle name="20% - Accent1 4 2 3 2 5 2 3" xfId="10511"/>
    <cellStyle name="20% - Accent1 4 2 3 2 5 3" xfId="10512"/>
    <cellStyle name="20% - Accent1 4 2 3 2 5 3 2" xfId="10513"/>
    <cellStyle name="20% - Accent1 4 2 3 2 5 4" xfId="10514"/>
    <cellStyle name="20% - Accent1 4 2 3 2 5 5" xfId="10515"/>
    <cellStyle name="20% - Accent1 4 2 3 2 6" xfId="10516"/>
    <cellStyle name="20% - Accent1 4 2 3 2 6 2" xfId="10517"/>
    <cellStyle name="20% - Accent1 4 2 3 2 6 3" xfId="10518"/>
    <cellStyle name="20% - Accent1 4 2 3 2 7" xfId="10519"/>
    <cellStyle name="20% - Accent1 4 2 3 2 7 2" xfId="10520"/>
    <cellStyle name="20% - Accent1 4 2 3 2 7 3" xfId="10521"/>
    <cellStyle name="20% - Accent1 4 2 3 2 8" xfId="10522"/>
    <cellStyle name="20% - Accent1 4 2 3 2 8 2" xfId="10523"/>
    <cellStyle name="20% - Accent1 4 2 3 2 9" xfId="10524"/>
    <cellStyle name="20% - Accent1 4 2 3 3" xfId="162"/>
    <cellStyle name="20% - Accent1 4 2 3 3 2" xfId="10525"/>
    <cellStyle name="20% - Accent1 4 2 3 3 2 2" xfId="10526"/>
    <cellStyle name="20% - Accent1 4 2 3 3 2 2 2" xfId="10527"/>
    <cellStyle name="20% - Accent1 4 2 3 3 2 2 3" xfId="10528"/>
    <cellStyle name="20% - Accent1 4 2 3 3 2 3" xfId="10529"/>
    <cellStyle name="20% - Accent1 4 2 3 3 2 3 2" xfId="10530"/>
    <cellStyle name="20% - Accent1 4 2 3 3 2 3 3" xfId="10531"/>
    <cellStyle name="20% - Accent1 4 2 3 3 2 4" xfId="10532"/>
    <cellStyle name="20% - Accent1 4 2 3 3 2 4 2" xfId="10533"/>
    <cellStyle name="20% - Accent1 4 2 3 3 2 5" xfId="10534"/>
    <cellStyle name="20% - Accent1 4 2 3 3 2 6" xfId="10535"/>
    <cellStyle name="20% - Accent1 4 2 3 3 3" xfId="10536"/>
    <cellStyle name="20% - Accent1 4 2 3 3 3 2" xfId="10537"/>
    <cellStyle name="20% - Accent1 4 2 3 3 3 2 2" xfId="10538"/>
    <cellStyle name="20% - Accent1 4 2 3 3 3 2 3" xfId="10539"/>
    <cellStyle name="20% - Accent1 4 2 3 3 3 3" xfId="10540"/>
    <cellStyle name="20% - Accent1 4 2 3 3 3 3 2" xfId="10541"/>
    <cellStyle name="20% - Accent1 4 2 3 3 3 3 3" xfId="10542"/>
    <cellStyle name="20% - Accent1 4 2 3 3 3 4" xfId="10543"/>
    <cellStyle name="20% - Accent1 4 2 3 3 3 4 2" xfId="10544"/>
    <cellStyle name="20% - Accent1 4 2 3 3 3 5" xfId="10545"/>
    <cellStyle name="20% - Accent1 4 2 3 3 3 6" xfId="10546"/>
    <cellStyle name="20% - Accent1 4 2 3 3 4" xfId="10547"/>
    <cellStyle name="20% - Accent1 4 2 3 3 4 2" xfId="10548"/>
    <cellStyle name="20% - Accent1 4 2 3 3 4 2 2" xfId="10549"/>
    <cellStyle name="20% - Accent1 4 2 3 3 4 2 3" xfId="10550"/>
    <cellStyle name="20% - Accent1 4 2 3 3 4 3" xfId="10551"/>
    <cellStyle name="20% - Accent1 4 2 3 3 4 3 2" xfId="10552"/>
    <cellStyle name="20% - Accent1 4 2 3 3 4 4" xfId="10553"/>
    <cellStyle name="20% - Accent1 4 2 3 3 4 5" xfId="10554"/>
    <cellStyle name="20% - Accent1 4 2 3 3 5" xfId="10555"/>
    <cellStyle name="20% - Accent1 4 2 3 3 5 2" xfId="10556"/>
    <cellStyle name="20% - Accent1 4 2 3 3 5 3" xfId="10557"/>
    <cellStyle name="20% - Accent1 4 2 3 3 6" xfId="10558"/>
    <cellStyle name="20% - Accent1 4 2 3 3 6 2" xfId="10559"/>
    <cellStyle name="20% - Accent1 4 2 3 3 6 3" xfId="10560"/>
    <cellStyle name="20% - Accent1 4 2 3 3 7" xfId="10561"/>
    <cellStyle name="20% - Accent1 4 2 3 3 7 2" xfId="10562"/>
    <cellStyle name="20% - Accent1 4 2 3 3 8" xfId="10563"/>
    <cellStyle name="20% - Accent1 4 2 3 3 9" xfId="10564"/>
    <cellStyle name="20% - Accent1 4 2 3 4" xfId="10565"/>
    <cellStyle name="20% - Accent1 4 2 3 4 2" xfId="10566"/>
    <cellStyle name="20% - Accent1 4 2 3 4 2 2" xfId="10567"/>
    <cellStyle name="20% - Accent1 4 2 3 4 2 2 2" xfId="10568"/>
    <cellStyle name="20% - Accent1 4 2 3 4 2 2 3" xfId="10569"/>
    <cellStyle name="20% - Accent1 4 2 3 4 2 3" xfId="10570"/>
    <cellStyle name="20% - Accent1 4 2 3 4 2 3 2" xfId="10571"/>
    <cellStyle name="20% - Accent1 4 2 3 4 2 3 3" xfId="10572"/>
    <cellStyle name="20% - Accent1 4 2 3 4 2 4" xfId="10573"/>
    <cellStyle name="20% - Accent1 4 2 3 4 2 4 2" xfId="10574"/>
    <cellStyle name="20% - Accent1 4 2 3 4 2 5" xfId="10575"/>
    <cellStyle name="20% - Accent1 4 2 3 4 2 6" xfId="10576"/>
    <cellStyle name="20% - Accent1 4 2 3 4 3" xfId="10577"/>
    <cellStyle name="20% - Accent1 4 2 3 4 3 2" xfId="10578"/>
    <cellStyle name="20% - Accent1 4 2 3 4 3 2 2" xfId="10579"/>
    <cellStyle name="20% - Accent1 4 2 3 4 3 2 3" xfId="10580"/>
    <cellStyle name="20% - Accent1 4 2 3 4 3 3" xfId="10581"/>
    <cellStyle name="20% - Accent1 4 2 3 4 3 3 2" xfId="10582"/>
    <cellStyle name="20% - Accent1 4 2 3 4 3 3 3" xfId="10583"/>
    <cellStyle name="20% - Accent1 4 2 3 4 3 4" xfId="10584"/>
    <cellStyle name="20% - Accent1 4 2 3 4 3 4 2" xfId="10585"/>
    <cellStyle name="20% - Accent1 4 2 3 4 3 5" xfId="10586"/>
    <cellStyle name="20% - Accent1 4 2 3 4 3 6" xfId="10587"/>
    <cellStyle name="20% - Accent1 4 2 3 4 4" xfId="10588"/>
    <cellStyle name="20% - Accent1 4 2 3 4 4 2" xfId="10589"/>
    <cellStyle name="20% - Accent1 4 2 3 4 4 2 2" xfId="10590"/>
    <cellStyle name="20% - Accent1 4 2 3 4 4 2 3" xfId="10591"/>
    <cellStyle name="20% - Accent1 4 2 3 4 4 3" xfId="10592"/>
    <cellStyle name="20% - Accent1 4 2 3 4 4 3 2" xfId="10593"/>
    <cellStyle name="20% - Accent1 4 2 3 4 4 4" xfId="10594"/>
    <cellStyle name="20% - Accent1 4 2 3 4 4 5" xfId="10595"/>
    <cellStyle name="20% - Accent1 4 2 3 4 5" xfId="10596"/>
    <cellStyle name="20% - Accent1 4 2 3 4 5 2" xfId="10597"/>
    <cellStyle name="20% - Accent1 4 2 3 4 5 3" xfId="10598"/>
    <cellStyle name="20% - Accent1 4 2 3 4 6" xfId="10599"/>
    <cellStyle name="20% - Accent1 4 2 3 4 6 2" xfId="10600"/>
    <cellStyle name="20% - Accent1 4 2 3 4 6 3" xfId="10601"/>
    <cellStyle name="20% - Accent1 4 2 3 4 7" xfId="10602"/>
    <cellStyle name="20% - Accent1 4 2 3 4 7 2" xfId="10603"/>
    <cellStyle name="20% - Accent1 4 2 3 4 8" xfId="10604"/>
    <cellStyle name="20% - Accent1 4 2 3 4 9" xfId="10605"/>
    <cellStyle name="20% - Accent1 4 2 3 5" xfId="10606"/>
    <cellStyle name="20% - Accent1 4 2 3 5 2" xfId="10607"/>
    <cellStyle name="20% - Accent1 4 2 3 5 2 2" xfId="10608"/>
    <cellStyle name="20% - Accent1 4 2 3 5 2 3" xfId="10609"/>
    <cellStyle name="20% - Accent1 4 2 3 5 3" xfId="10610"/>
    <cellStyle name="20% - Accent1 4 2 3 5 3 2" xfId="10611"/>
    <cellStyle name="20% - Accent1 4 2 3 5 3 3" xfId="10612"/>
    <cellStyle name="20% - Accent1 4 2 3 5 4" xfId="10613"/>
    <cellStyle name="20% - Accent1 4 2 3 5 4 2" xfId="10614"/>
    <cellStyle name="20% - Accent1 4 2 3 5 5" xfId="10615"/>
    <cellStyle name="20% - Accent1 4 2 3 5 6" xfId="10616"/>
    <cellStyle name="20% - Accent1 4 2 3 6" xfId="10617"/>
    <cellStyle name="20% - Accent1 4 2 3 6 2" xfId="10618"/>
    <cellStyle name="20% - Accent1 4 2 3 6 2 2" xfId="10619"/>
    <cellStyle name="20% - Accent1 4 2 3 6 2 3" xfId="10620"/>
    <cellStyle name="20% - Accent1 4 2 3 6 3" xfId="10621"/>
    <cellStyle name="20% - Accent1 4 2 3 6 3 2" xfId="10622"/>
    <cellStyle name="20% - Accent1 4 2 3 6 3 3" xfId="10623"/>
    <cellStyle name="20% - Accent1 4 2 3 6 4" xfId="10624"/>
    <cellStyle name="20% - Accent1 4 2 3 6 4 2" xfId="10625"/>
    <cellStyle name="20% - Accent1 4 2 3 6 5" xfId="10626"/>
    <cellStyle name="20% - Accent1 4 2 3 6 6" xfId="10627"/>
    <cellStyle name="20% - Accent1 4 2 3 7" xfId="10628"/>
    <cellStyle name="20% - Accent1 4 2 3 7 2" xfId="10629"/>
    <cellStyle name="20% - Accent1 4 2 3 7 2 2" xfId="10630"/>
    <cellStyle name="20% - Accent1 4 2 3 7 2 3" xfId="10631"/>
    <cellStyle name="20% - Accent1 4 2 3 7 3" xfId="10632"/>
    <cellStyle name="20% - Accent1 4 2 3 7 3 2" xfId="10633"/>
    <cellStyle name="20% - Accent1 4 2 3 7 4" xfId="10634"/>
    <cellStyle name="20% - Accent1 4 2 3 7 5" xfId="10635"/>
    <cellStyle name="20% - Accent1 4 2 3 8" xfId="10636"/>
    <cellStyle name="20% - Accent1 4 2 3 8 2" xfId="10637"/>
    <cellStyle name="20% - Accent1 4 2 3 8 3" xfId="10638"/>
    <cellStyle name="20% - Accent1 4 2 3 9" xfId="10639"/>
    <cellStyle name="20% - Accent1 4 2 3 9 2" xfId="10640"/>
    <cellStyle name="20% - Accent1 4 2 3 9 3" xfId="10641"/>
    <cellStyle name="20% - Accent1 4 2 4" xfId="163"/>
    <cellStyle name="20% - Accent1 4 2 4 10" xfId="10642"/>
    <cellStyle name="20% - Accent1 4 2 4 2" xfId="164"/>
    <cellStyle name="20% - Accent1 4 2 4 2 2" xfId="10643"/>
    <cellStyle name="20% - Accent1 4 2 4 2 2 2" xfId="10644"/>
    <cellStyle name="20% - Accent1 4 2 4 2 2 2 2" xfId="10645"/>
    <cellStyle name="20% - Accent1 4 2 4 2 2 2 3" xfId="10646"/>
    <cellStyle name="20% - Accent1 4 2 4 2 2 3" xfId="10647"/>
    <cellStyle name="20% - Accent1 4 2 4 2 2 3 2" xfId="10648"/>
    <cellStyle name="20% - Accent1 4 2 4 2 2 3 3" xfId="10649"/>
    <cellStyle name="20% - Accent1 4 2 4 2 2 4" xfId="10650"/>
    <cellStyle name="20% - Accent1 4 2 4 2 2 4 2" xfId="10651"/>
    <cellStyle name="20% - Accent1 4 2 4 2 2 5" xfId="10652"/>
    <cellStyle name="20% - Accent1 4 2 4 2 2 6" xfId="10653"/>
    <cellStyle name="20% - Accent1 4 2 4 2 3" xfId="10654"/>
    <cellStyle name="20% - Accent1 4 2 4 2 3 2" xfId="10655"/>
    <cellStyle name="20% - Accent1 4 2 4 2 3 2 2" xfId="10656"/>
    <cellStyle name="20% - Accent1 4 2 4 2 3 2 3" xfId="10657"/>
    <cellStyle name="20% - Accent1 4 2 4 2 3 3" xfId="10658"/>
    <cellStyle name="20% - Accent1 4 2 4 2 3 3 2" xfId="10659"/>
    <cellStyle name="20% - Accent1 4 2 4 2 3 3 3" xfId="10660"/>
    <cellStyle name="20% - Accent1 4 2 4 2 3 4" xfId="10661"/>
    <cellStyle name="20% - Accent1 4 2 4 2 3 4 2" xfId="10662"/>
    <cellStyle name="20% - Accent1 4 2 4 2 3 5" xfId="10663"/>
    <cellStyle name="20% - Accent1 4 2 4 2 3 6" xfId="10664"/>
    <cellStyle name="20% - Accent1 4 2 4 2 4" xfId="10665"/>
    <cellStyle name="20% - Accent1 4 2 4 2 4 2" xfId="10666"/>
    <cellStyle name="20% - Accent1 4 2 4 2 4 2 2" xfId="10667"/>
    <cellStyle name="20% - Accent1 4 2 4 2 4 2 3" xfId="10668"/>
    <cellStyle name="20% - Accent1 4 2 4 2 4 3" xfId="10669"/>
    <cellStyle name="20% - Accent1 4 2 4 2 4 3 2" xfId="10670"/>
    <cellStyle name="20% - Accent1 4 2 4 2 4 4" xfId="10671"/>
    <cellStyle name="20% - Accent1 4 2 4 2 4 5" xfId="10672"/>
    <cellStyle name="20% - Accent1 4 2 4 2 5" xfId="10673"/>
    <cellStyle name="20% - Accent1 4 2 4 2 5 2" xfId="10674"/>
    <cellStyle name="20% - Accent1 4 2 4 2 5 3" xfId="10675"/>
    <cellStyle name="20% - Accent1 4 2 4 2 6" xfId="10676"/>
    <cellStyle name="20% - Accent1 4 2 4 2 6 2" xfId="10677"/>
    <cellStyle name="20% - Accent1 4 2 4 2 6 3" xfId="10678"/>
    <cellStyle name="20% - Accent1 4 2 4 2 7" xfId="10679"/>
    <cellStyle name="20% - Accent1 4 2 4 2 7 2" xfId="10680"/>
    <cellStyle name="20% - Accent1 4 2 4 2 8" xfId="10681"/>
    <cellStyle name="20% - Accent1 4 2 4 2 9" xfId="10682"/>
    <cellStyle name="20% - Accent1 4 2 4 3" xfId="10683"/>
    <cellStyle name="20% - Accent1 4 2 4 3 2" xfId="10684"/>
    <cellStyle name="20% - Accent1 4 2 4 3 2 2" xfId="10685"/>
    <cellStyle name="20% - Accent1 4 2 4 3 2 3" xfId="10686"/>
    <cellStyle name="20% - Accent1 4 2 4 3 3" xfId="10687"/>
    <cellStyle name="20% - Accent1 4 2 4 3 3 2" xfId="10688"/>
    <cellStyle name="20% - Accent1 4 2 4 3 3 3" xfId="10689"/>
    <cellStyle name="20% - Accent1 4 2 4 3 4" xfId="10690"/>
    <cellStyle name="20% - Accent1 4 2 4 3 4 2" xfId="10691"/>
    <cellStyle name="20% - Accent1 4 2 4 3 5" xfId="10692"/>
    <cellStyle name="20% - Accent1 4 2 4 3 6" xfId="10693"/>
    <cellStyle name="20% - Accent1 4 2 4 4" xfId="10694"/>
    <cellStyle name="20% - Accent1 4 2 4 4 2" xfId="10695"/>
    <cellStyle name="20% - Accent1 4 2 4 4 2 2" xfId="10696"/>
    <cellStyle name="20% - Accent1 4 2 4 4 2 3" xfId="10697"/>
    <cellStyle name="20% - Accent1 4 2 4 4 3" xfId="10698"/>
    <cellStyle name="20% - Accent1 4 2 4 4 3 2" xfId="10699"/>
    <cellStyle name="20% - Accent1 4 2 4 4 3 3" xfId="10700"/>
    <cellStyle name="20% - Accent1 4 2 4 4 4" xfId="10701"/>
    <cellStyle name="20% - Accent1 4 2 4 4 4 2" xfId="10702"/>
    <cellStyle name="20% - Accent1 4 2 4 4 5" xfId="10703"/>
    <cellStyle name="20% - Accent1 4 2 4 4 6" xfId="10704"/>
    <cellStyle name="20% - Accent1 4 2 4 5" xfId="10705"/>
    <cellStyle name="20% - Accent1 4 2 4 5 2" xfId="10706"/>
    <cellStyle name="20% - Accent1 4 2 4 5 2 2" xfId="10707"/>
    <cellStyle name="20% - Accent1 4 2 4 5 2 3" xfId="10708"/>
    <cellStyle name="20% - Accent1 4 2 4 5 3" xfId="10709"/>
    <cellStyle name="20% - Accent1 4 2 4 5 3 2" xfId="10710"/>
    <cellStyle name="20% - Accent1 4 2 4 5 4" xfId="10711"/>
    <cellStyle name="20% - Accent1 4 2 4 5 5" xfId="10712"/>
    <cellStyle name="20% - Accent1 4 2 4 6" xfId="10713"/>
    <cellStyle name="20% - Accent1 4 2 4 6 2" xfId="10714"/>
    <cellStyle name="20% - Accent1 4 2 4 6 3" xfId="10715"/>
    <cellStyle name="20% - Accent1 4 2 4 7" xfId="10716"/>
    <cellStyle name="20% - Accent1 4 2 4 7 2" xfId="10717"/>
    <cellStyle name="20% - Accent1 4 2 4 7 3" xfId="10718"/>
    <cellStyle name="20% - Accent1 4 2 4 8" xfId="10719"/>
    <cellStyle name="20% - Accent1 4 2 4 8 2" xfId="10720"/>
    <cellStyle name="20% - Accent1 4 2 4 9" xfId="10721"/>
    <cellStyle name="20% - Accent1 4 2 5" xfId="165"/>
    <cellStyle name="20% - Accent1 4 2 5 2" xfId="10722"/>
    <cellStyle name="20% - Accent1 4 2 5 2 2" xfId="10723"/>
    <cellStyle name="20% - Accent1 4 2 5 2 2 2" xfId="10724"/>
    <cellStyle name="20% - Accent1 4 2 5 2 2 3" xfId="10725"/>
    <cellStyle name="20% - Accent1 4 2 5 2 3" xfId="10726"/>
    <cellStyle name="20% - Accent1 4 2 5 2 3 2" xfId="10727"/>
    <cellStyle name="20% - Accent1 4 2 5 2 3 3" xfId="10728"/>
    <cellStyle name="20% - Accent1 4 2 5 2 4" xfId="10729"/>
    <cellStyle name="20% - Accent1 4 2 5 2 4 2" xfId="10730"/>
    <cellStyle name="20% - Accent1 4 2 5 2 5" xfId="10731"/>
    <cellStyle name="20% - Accent1 4 2 5 2 6" xfId="10732"/>
    <cellStyle name="20% - Accent1 4 2 5 3" xfId="10733"/>
    <cellStyle name="20% - Accent1 4 2 5 3 2" xfId="10734"/>
    <cellStyle name="20% - Accent1 4 2 5 3 2 2" xfId="10735"/>
    <cellStyle name="20% - Accent1 4 2 5 3 2 3" xfId="10736"/>
    <cellStyle name="20% - Accent1 4 2 5 3 3" xfId="10737"/>
    <cellStyle name="20% - Accent1 4 2 5 3 3 2" xfId="10738"/>
    <cellStyle name="20% - Accent1 4 2 5 3 3 3" xfId="10739"/>
    <cellStyle name="20% - Accent1 4 2 5 3 4" xfId="10740"/>
    <cellStyle name="20% - Accent1 4 2 5 3 4 2" xfId="10741"/>
    <cellStyle name="20% - Accent1 4 2 5 3 5" xfId="10742"/>
    <cellStyle name="20% - Accent1 4 2 5 3 6" xfId="10743"/>
    <cellStyle name="20% - Accent1 4 2 5 4" xfId="10744"/>
    <cellStyle name="20% - Accent1 4 2 5 4 2" xfId="10745"/>
    <cellStyle name="20% - Accent1 4 2 5 4 2 2" xfId="10746"/>
    <cellStyle name="20% - Accent1 4 2 5 4 2 3" xfId="10747"/>
    <cellStyle name="20% - Accent1 4 2 5 4 3" xfId="10748"/>
    <cellStyle name="20% - Accent1 4 2 5 4 3 2" xfId="10749"/>
    <cellStyle name="20% - Accent1 4 2 5 4 4" xfId="10750"/>
    <cellStyle name="20% - Accent1 4 2 5 4 5" xfId="10751"/>
    <cellStyle name="20% - Accent1 4 2 5 5" xfId="10752"/>
    <cellStyle name="20% - Accent1 4 2 5 5 2" xfId="10753"/>
    <cellStyle name="20% - Accent1 4 2 5 5 3" xfId="10754"/>
    <cellStyle name="20% - Accent1 4 2 5 6" xfId="10755"/>
    <cellStyle name="20% - Accent1 4 2 5 6 2" xfId="10756"/>
    <cellStyle name="20% - Accent1 4 2 5 6 3" xfId="10757"/>
    <cellStyle name="20% - Accent1 4 2 5 7" xfId="10758"/>
    <cellStyle name="20% - Accent1 4 2 5 7 2" xfId="10759"/>
    <cellStyle name="20% - Accent1 4 2 5 8" xfId="10760"/>
    <cellStyle name="20% - Accent1 4 2 5 9" xfId="10761"/>
    <cellStyle name="20% - Accent1 4 2 6" xfId="10762"/>
    <cellStyle name="20% - Accent1 4 2 6 2" xfId="10763"/>
    <cellStyle name="20% - Accent1 4 2 6 2 2" xfId="10764"/>
    <cellStyle name="20% - Accent1 4 2 6 2 2 2" xfId="10765"/>
    <cellStyle name="20% - Accent1 4 2 6 2 2 3" xfId="10766"/>
    <cellStyle name="20% - Accent1 4 2 6 2 3" xfId="10767"/>
    <cellStyle name="20% - Accent1 4 2 6 2 3 2" xfId="10768"/>
    <cellStyle name="20% - Accent1 4 2 6 2 3 3" xfId="10769"/>
    <cellStyle name="20% - Accent1 4 2 6 2 4" xfId="10770"/>
    <cellStyle name="20% - Accent1 4 2 6 2 4 2" xfId="10771"/>
    <cellStyle name="20% - Accent1 4 2 6 2 5" xfId="10772"/>
    <cellStyle name="20% - Accent1 4 2 6 2 6" xfId="10773"/>
    <cellStyle name="20% - Accent1 4 2 6 3" xfId="10774"/>
    <cellStyle name="20% - Accent1 4 2 6 3 2" xfId="10775"/>
    <cellStyle name="20% - Accent1 4 2 6 3 2 2" xfId="10776"/>
    <cellStyle name="20% - Accent1 4 2 6 3 2 3" xfId="10777"/>
    <cellStyle name="20% - Accent1 4 2 6 3 3" xfId="10778"/>
    <cellStyle name="20% - Accent1 4 2 6 3 3 2" xfId="10779"/>
    <cellStyle name="20% - Accent1 4 2 6 3 3 3" xfId="10780"/>
    <cellStyle name="20% - Accent1 4 2 6 3 4" xfId="10781"/>
    <cellStyle name="20% - Accent1 4 2 6 3 4 2" xfId="10782"/>
    <cellStyle name="20% - Accent1 4 2 6 3 5" xfId="10783"/>
    <cellStyle name="20% - Accent1 4 2 6 3 6" xfId="10784"/>
    <cellStyle name="20% - Accent1 4 2 6 4" xfId="10785"/>
    <cellStyle name="20% - Accent1 4 2 6 4 2" xfId="10786"/>
    <cellStyle name="20% - Accent1 4 2 6 4 2 2" xfId="10787"/>
    <cellStyle name="20% - Accent1 4 2 6 4 2 3" xfId="10788"/>
    <cellStyle name="20% - Accent1 4 2 6 4 3" xfId="10789"/>
    <cellStyle name="20% - Accent1 4 2 6 4 3 2" xfId="10790"/>
    <cellStyle name="20% - Accent1 4 2 6 4 4" xfId="10791"/>
    <cellStyle name="20% - Accent1 4 2 6 4 5" xfId="10792"/>
    <cellStyle name="20% - Accent1 4 2 6 5" xfId="10793"/>
    <cellStyle name="20% - Accent1 4 2 6 5 2" xfId="10794"/>
    <cellStyle name="20% - Accent1 4 2 6 5 3" xfId="10795"/>
    <cellStyle name="20% - Accent1 4 2 6 6" xfId="10796"/>
    <cellStyle name="20% - Accent1 4 2 6 6 2" xfId="10797"/>
    <cellStyle name="20% - Accent1 4 2 6 6 3" xfId="10798"/>
    <cellStyle name="20% - Accent1 4 2 6 7" xfId="10799"/>
    <cellStyle name="20% - Accent1 4 2 6 7 2" xfId="10800"/>
    <cellStyle name="20% - Accent1 4 2 6 8" xfId="10801"/>
    <cellStyle name="20% - Accent1 4 2 6 9" xfId="10802"/>
    <cellStyle name="20% - Accent1 4 2 7" xfId="10803"/>
    <cellStyle name="20% - Accent1 4 2 7 2" xfId="10804"/>
    <cellStyle name="20% - Accent1 4 2 7 2 2" xfId="10805"/>
    <cellStyle name="20% - Accent1 4 2 7 2 3" xfId="10806"/>
    <cellStyle name="20% - Accent1 4 2 7 3" xfId="10807"/>
    <cellStyle name="20% - Accent1 4 2 7 3 2" xfId="10808"/>
    <cellStyle name="20% - Accent1 4 2 7 3 3" xfId="10809"/>
    <cellStyle name="20% - Accent1 4 2 7 4" xfId="10810"/>
    <cellStyle name="20% - Accent1 4 2 7 4 2" xfId="10811"/>
    <cellStyle name="20% - Accent1 4 2 7 5" xfId="10812"/>
    <cellStyle name="20% - Accent1 4 2 7 6" xfId="10813"/>
    <cellStyle name="20% - Accent1 4 2 8" xfId="10814"/>
    <cellStyle name="20% - Accent1 4 2 8 2" xfId="10815"/>
    <cellStyle name="20% - Accent1 4 2 8 2 2" xfId="10816"/>
    <cellStyle name="20% - Accent1 4 2 8 2 3" xfId="10817"/>
    <cellStyle name="20% - Accent1 4 2 8 3" xfId="10818"/>
    <cellStyle name="20% - Accent1 4 2 8 3 2" xfId="10819"/>
    <cellStyle name="20% - Accent1 4 2 8 3 3" xfId="10820"/>
    <cellStyle name="20% - Accent1 4 2 8 4" xfId="10821"/>
    <cellStyle name="20% - Accent1 4 2 8 4 2" xfId="10822"/>
    <cellStyle name="20% - Accent1 4 2 8 5" xfId="10823"/>
    <cellStyle name="20% - Accent1 4 2 8 6" xfId="10824"/>
    <cellStyle name="20% - Accent1 4 2 9" xfId="10825"/>
    <cellStyle name="20% - Accent1 4 2 9 2" xfId="10826"/>
    <cellStyle name="20% - Accent1 4 2 9 2 2" xfId="10827"/>
    <cellStyle name="20% - Accent1 4 2 9 2 3" xfId="10828"/>
    <cellStyle name="20% - Accent1 4 2 9 3" xfId="10829"/>
    <cellStyle name="20% - Accent1 4 2 9 3 2" xfId="10830"/>
    <cellStyle name="20% - Accent1 4 2 9 4" xfId="10831"/>
    <cellStyle name="20% - Accent1 4 2 9 5" xfId="10832"/>
    <cellStyle name="20% - Accent1 4 3" xfId="166"/>
    <cellStyle name="20% - Accent1 4 3 10" xfId="10833"/>
    <cellStyle name="20% - Accent1 4 3 10 2" xfId="10834"/>
    <cellStyle name="20% - Accent1 4 3 10 3" xfId="10835"/>
    <cellStyle name="20% - Accent1 4 3 11" xfId="10836"/>
    <cellStyle name="20% - Accent1 4 3 11 2" xfId="10837"/>
    <cellStyle name="20% - Accent1 4 3 12" xfId="10838"/>
    <cellStyle name="20% - Accent1 4 3 13" xfId="10839"/>
    <cellStyle name="20% - Accent1 4 3 14" xfId="10840"/>
    <cellStyle name="20% - Accent1 4 3 2" xfId="167"/>
    <cellStyle name="20% - Accent1 4 3 2 10" xfId="10841"/>
    <cellStyle name="20% - Accent1 4 3 2 10 2" xfId="10842"/>
    <cellStyle name="20% - Accent1 4 3 2 11" xfId="10843"/>
    <cellStyle name="20% - Accent1 4 3 2 12" xfId="10844"/>
    <cellStyle name="20% - Accent1 4 3 2 2" xfId="168"/>
    <cellStyle name="20% - Accent1 4 3 2 2 10" xfId="10845"/>
    <cellStyle name="20% - Accent1 4 3 2 2 2" xfId="169"/>
    <cellStyle name="20% - Accent1 4 3 2 2 2 2" xfId="10846"/>
    <cellStyle name="20% - Accent1 4 3 2 2 2 2 2" xfId="10847"/>
    <cellStyle name="20% - Accent1 4 3 2 2 2 2 2 2" xfId="10848"/>
    <cellStyle name="20% - Accent1 4 3 2 2 2 2 2 3" xfId="10849"/>
    <cellStyle name="20% - Accent1 4 3 2 2 2 2 3" xfId="10850"/>
    <cellStyle name="20% - Accent1 4 3 2 2 2 2 3 2" xfId="10851"/>
    <cellStyle name="20% - Accent1 4 3 2 2 2 2 3 3" xfId="10852"/>
    <cellStyle name="20% - Accent1 4 3 2 2 2 2 4" xfId="10853"/>
    <cellStyle name="20% - Accent1 4 3 2 2 2 2 4 2" xfId="10854"/>
    <cellStyle name="20% - Accent1 4 3 2 2 2 2 5" xfId="10855"/>
    <cellStyle name="20% - Accent1 4 3 2 2 2 2 6" xfId="10856"/>
    <cellStyle name="20% - Accent1 4 3 2 2 2 3" xfId="10857"/>
    <cellStyle name="20% - Accent1 4 3 2 2 2 3 2" xfId="10858"/>
    <cellStyle name="20% - Accent1 4 3 2 2 2 3 2 2" xfId="10859"/>
    <cellStyle name="20% - Accent1 4 3 2 2 2 3 2 3" xfId="10860"/>
    <cellStyle name="20% - Accent1 4 3 2 2 2 3 3" xfId="10861"/>
    <cellStyle name="20% - Accent1 4 3 2 2 2 3 3 2" xfId="10862"/>
    <cellStyle name="20% - Accent1 4 3 2 2 2 3 3 3" xfId="10863"/>
    <cellStyle name="20% - Accent1 4 3 2 2 2 3 4" xfId="10864"/>
    <cellStyle name="20% - Accent1 4 3 2 2 2 3 4 2" xfId="10865"/>
    <cellStyle name="20% - Accent1 4 3 2 2 2 3 5" xfId="10866"/>
    <cellStyle name="20% - Accent1 4 3 2 2 2 3 6" xfId="10867"/>
    <cellStyle name="20% - Accent1 4 3 2 2 2 4" xfId="10868"/>
    <cellStyle name="20% - Accent1 4 3 2 2 2 4 2" xfId="10869"/>
    <cellStyle name="20% - Accent1 4 3 2 2 2 4 2 2" xfId="10870"/>
    <cellStyle name="20% - Accent1 4 3 2 2 2 4 2 3" xfId="10871"/>
    <cellStyle name="20% - Accent1 4 3 2 2 2 4 3" xfId="10872"/>
    <cellStyle name="20% - Accent1 4 3 2 2 2 4 3 2" xfId="10873"/>
    <cellStyle name="20% - Accent1 4 3 2 2 2 4 4" xfId="10874"/>
    <cellStyle name="20% - Accent1 4 3 2 2 2 4 5" xfId="10875"/>
    <cellStyle name="20% - Accent1 4 3 2 2 2 5" xfId="10876"/>
    <cellStyle name="20% - Accent1 4 3 2 2 2 5 2" xfId="10877"/>
    <cellStyle name="20% - Accent1 4 3 2 2 2 5 3" xfId="10878"/>
    <cellStyle name="20% - Accent1 4 3 2 2 2 6" xfId="10879"/>
    <cellStyle name="20% - Accent1 4 3 2 2 2 6 2" xfId="10880"/>
    <cellStyle name="20% - Accent1 4 3 2 2 2 6 3" xfId="10881"/>
    <cellStyle name="20% - Accent1 4 3 2 2 2 7" xfId="10882"/>
    <cellStyle name="20% - Accent1 4 3 2 2 2 7 2" xfId="10883"/>
    <cellStyle name="20% - Accent1 4 3 2 2 2 8" xfId="10884"/>
    <cellStyle name="20% - Accent1 4 3 2 2 2 9" xfId="10885"/>
    <cellStyle name="20% - Accent1 4 3 2 2 3" xfId="10886"/>
    <cellStyle name="20% - Accent1 4 3 2 2 3 2" xfId="10887"/>
    <cellStyle name="20% - Accent1 4 3 2 2 3 2 2" xfId="10888"/>
    <cellStyle name="20% - Accent1 4 3 2 2 3 2 3" xfId="10889"/>
    <cellStyle name="20% - Accent1 4 3 2 2 3 3" xfId="10890"/>
    <cellStyle name="20% - Accent1 4 3 2 2 3 3 2" xfId="10891"/>
    <cellStyle name="20% - Accent1 4 3 2 2 3 3 3" xfId="10892"/>
    <cellStyle name="20% - Accent1 4 3 2 2 3 4" xfId="10893"/>
    <cellStyle name="20% - Accent1 4 3 2 2 3 4 2" xfId="10894"/>
    <cellStyle name="20% - Accent1 4 3 2 2 3 5" xfId="10895"/>
    <cellStyle name="20% - Accent1 4 3 2 2 3 6" xfId="10896"/>
    <cellStyle name="20% - Accent1 4 3 2 2 4" xfId="10897"/>
    <cellStyle name="20% - Accent1 4 3 2 2 4 2" xfId="10898"/>
    <cellStyle name="20% - Accent1 4 3 2 2 4 2 2" xfId="10899"/>
    <cellStyle name="20% - Accent1 4 3 2 2 4 2 3" xfId="10900"/>
    <cellStyle name="20% - Accent1 4 3 2 2 4 3" xfId="10901"/>
    <cellStyle name="20% - Accent1 4 3 2 2 4 3 2" xfId="10902"/>
    <cellStyle name="20% - Accent1 4 3 2 2 4 3 3" xfId="10903"/>
    <cellStyle name="20% - Accent1 4 3 2 2 4 4" xfId="10904"/>
    <cellStyle name="20% - Accent1 4 3 2 2 4 4 2" xfId="10905"/>
    <cellStyle name="20% - Accent1 4 3 2 2 4 5" xfId="10906"/>
    <cellStyle name="20% - Accent1 4 3 2 2 4 6" xfId="10907"/>
    <cellStyle name="20% - Accent1 4 3 2 2 5" xfId="10908"/>
    <cellStyle name="20% - Accent1 4 3 2 2 5 2" xfId="10909"/>
    <cellStyle name="20% - Accent1 4 3 2 2 5 2 2" xfId="10910"/>
    <cellStyle name="20% - Accent1 4 3 2 2 5 2 3" xfId="10911"/>
    <cellStyle name="20% - Accent1 4 3 2 2 5 3" xfId="10912"/>
    <cellStyle name="20% - Accent1 4 3 2 2 5 3 2" xfId="10913"/>
    <cellStyle name="20% - Accent1 4 3 2 2 5 4" xfId="10914"/>
    <cellStyle name="20% - Accent1 4 3 2 2 5 5" xfId="10915"/>
    <cellStyle name="20% - Accent1 4 3 2 2 6" xfId="10916"/>
    <cellStyle name="20% - Accent1 4 3 2 2 6 2" xfId="10917"/>
    <cellStyle name="20% - Accent1 4 3 2 2 6 3" xfId="10918"/>
    <cellStyle name="20% - Accent1 4 3 2 2 7" xfId="10919"/>
    <cellStyle name="20% - Accent1 4 3 2 2 7 2" xfId="10920"/>
    <cellStyle name="20% - Accent1 4 3 2 2 7 3" xfId="10921"/>
    <cellStyle name="20% - Accent1 4 3 2 2 8" xfId="10922"/>
    <cellStyle name="20% - Accent1 4 3 2 2 8 2" xfId="10923"/>
    <cellStyle name="20% - Accent1 4 3 2 2 9" xfId="10924"/>
    <cellStyle name="20% - Accent1 4 3 2 3" xfId="170"/>
    <cellStyle name="20% - Accent1 4 3 2 3 2" xfId="10925"/>
    <cellStyle name="20% - Accent1 4 3 2 3 2 2" xfId="10926"/>
    <cellStyle name="20% - Accent1 4 3 2 3 2 2 2" xfId="10927"/>
    <cellStyle name="20% - Accent1 4 3 2 3 2 2 3" xfId="10928"/>
    <cellStyle name="20% - Accent1 4 3 2 3 2 3" xfId="10929"/>
    <cellStyle name="20% - Accent1 4 3 2 3 2 3 2" xfId="10930"/>
    <cellStyle name="20% - Accent1 4 3 2 3 2 3 3" xfId="10931"/>
    <cellStyle name="20% - Accent1 4 3 2 3 2 4" xfId="10932"/>
    <cellStyle name="20% - Accent1 4 3 2 3 2 4 2" xfId="10933"/>
    <cellStyle name="20% - Accent1 4 3 2 3 2 5" xfId="10934"/>
    <cellStyle name="20% - Accent1 4 3 2 3 2 6" xfId="10935"/>
    <cellStyle name="20% - Accent1 4 3 2 3 3" xfId="10936"/>
    <cellStyle name="20% - Accent1 4 3 2 3 3 2" xfId="10937"/>
    <cellStyle name="20% - Accent1 4 3 2 3 3 2 2" xfId="10938"/>
    <cellStyle name="20% - Accent1 4 3 2 3 3 2 3" xfId="10939"/>
    <cellStyle name="20% - Accent1 4 3 2 3 3 3" xfId="10940"/>
    <cellStyle name="20% - Accent1 4 3 2 3 3 3 2" xfId="10941"/>
    <cellStyle name="20% - Accent1 4 3 2 3 3 3 3" xfId="10942"/>
    <cellStyle name="20% - Accent1 4 3 2 3 3 4" xfId="10943"/>
    <cellStyle name="20% - Accent1 4 3 2 3 3 4 2" xfId="10944"/>
    <cellStyle name="20% - Accent1 4 3 2 3 3 5" xfId="10945"/>
    <cellStyle name="20% - Accent1 4 3 2 3 3 6" xfId="10946"/>
    <cellStyle name="20% - Accent1 4 3 2 3 4" xfId="10947"/>
    <cellStyle name="20% - Accent1 4 3 2 3 4 2" xfId="10948"/>
    <cellStyle name="20% - Accent1 4 3 2 3 4 2 2" xfId="10949"/>
    <cellStyle name="20% - Accent1 4 3 2 3 4 2 3" xfId="10950"/>
    <cellStyle name="20% - Accent1 4 3 2 3 4 3" xfId="10951"/>
    <cellStyle name="20% - Accent1 4 3 2 3 4 3 2" xfId="10952"/>
    <cellStyle name="20% - Accent1 4 3 2 3 4 4" xfId="10953"/>
    <cellStyle name="20% - Accent1 4 3 2 3 4 5" xfId="10954"/>
    <cellStyle name="20% - Accent1 4 3 2 3 5" xfId="10955"/>
    <cellStyle name="20% - Accent1 4 3 2 3 5 2" xfId="10956"/>
    <cellStyle name="20% - Accent1 4 3 2 3 5 3" xfId="10957"/>
    <cellStyle name="20% - Accent1 4 3 2 3 6" xfId="10958"/>
    <cellStyle name="20% - Accent1 4 3 2 3 6 2" xfId="10959"/>
    <cellStyle name="20% - Accent1 4 3 2 3 6 3" xfId="10960"/>
    <cellStyle name="20% - Accent1 4 3 2 3 7" xfId="10961"/>
    <cellStyle name="20% - Accent1 4 3 2 3 7 2" xfId="10962"/>
    <cellStyle name="20% - Accent1 4 3 2 3 8" xfId="10963"/>
    <cellStyle name="20% - Accent1 4 3 2 3 9" xfId="10964"/>
    <cellStyle name="20% - Accent1 4 3 2 4" xfId="10965"/>
    <cellStyle name="20% - Accent1 4 3 2 4 2" xfId="10966"/>
    <cellStyle name="20% - Accent1 4 3 2 4 2 2" xfId="10967"/>
    <cellStyle name="20% - Accent1 4 3 2 4 2 2 2" xfId="10968"/>
    <cellStyle name="20% - Accent1 4 3 2 4 2 2 3" xfId="10969"/>
    <cellStyle name="20% - Accent1 4 3 2 4 2 3" xfId="10970"/>
    <cellStyle name="20% - Accent1 4 3 2 4 2 3 2" xfId="10971"/>
    <cellStyle name="20% - Accent1 4 3 2 4 2 3 3" xfId="10972"/>
    <cellStyle name="20% - Accent1 4 3 2 4 2 4" xfId="10973"/>
    <cellStyle name="20% - Accent1 4 3 2 4 2 4 2" xfId="10974"/>
    <cellStyle name="20% - Accent1 4 3 2 4 2 5" xfId="10975"/>
    <cellStyle name="20% - Accent1 4 3 2 4 2 6" xfId="10976"/>
    <cellStyle name="20% - Accent1 4 3 2 4 3" xfId="10977"/>
    <cellStyle name="20% - Accent1 4 3 2 4 3 2" xfId="10978"/>
    <cellStyle name="20% - Accent1 4 3 2 4 3 2 2" xfId="10979"/>
    <cellStyle name="20% - Accent1 4 3 2 4 3 2 3" xfId="10980"/>
    <cellStyle name="20% - Accent1 4 3 2 4 3 3" xfId="10981"/>
    <cellStyle name="20% - Accent1 4 3 2 4 3 3 2" xfId="10982"/>
    <cellStyle name="20% - Accent1 4 3 2 4 3 3 3" xfId="10983"/>
    <cellStyle name="20% - Accent1 4 3 2 4 3 4" xfId="10984"/>
    <cellStyle name="20% - Accent1 4 3 2 4 3 4 2" xfId="10985"/>
    <cellStyle name="20% - Accent1 4 3 2 4 3 5" xfId="10986"/>
    <cellStyle name="20% - Accent1 4 3 2 4 3 6" xfId="10987"/>
    <cellStyle name="20% - Accent1 4 3 2 4 4" xfId="10988"/>
    <cellStyle name="20% - Accent1 4 3 2 4 4 2" xfId="10989"/>
    <cellStyle name="20% - Accent1 4 3 2 4 4 2 2" xfId="10990"/>
    <cellStyle name="20% - Accent1 4 3 2 4 4 2 3" xfId="10991"/>
    <cellStyle name="20% - Accent1 4 3 2 4 4 3" xfId="10992"/>
    <cellStyle name="20% - Accent1 4 3 2 4 4 3 2" xfId="10993"/>
    <cellStyle name="20% - Accent1 4 3 2 4 4 4" xfId="10994"/>
    <cellStyle name="20% - Accent1 4 3 2 4 4 5" xfId="10995"/>
    <cellStyle name="20% - Accent1 4 3 2 4 5" xfId="10996"/>
    <cellStyle name="20% - Accent1 4 3 2 4 5 2" xfId="10997"/>
    <cellStyle name="20% - Accent1 4 3 2 4 5 3" xfId="10998"/>
    <cellStyle name="20% - Accent1 4 3 2 4 6" xfId="10999"/>
    <cellStyle name="20% - Accent1 4 3 2 4 6 2" xfId="11000"/>
    <cellStyle name="20% - Accent1 4 3 2 4 6 3" xfId="11001"/>
    <cellStyle name="20% - Accent1 4 3 2 4 7" xfId="11002"/>
    <cellStyle name="20% - Accent1 4 3 2 4 7 2" xfId="11003"/>
    <cellStyle name="20% - Accent1 4 3 2 4 8" xfId="11004"/>
    <cellStyle name="20% - Accent1 4 3 2 4 9" xfId="11005"/>
    <cellStyle name="20% - Accent1 4 3 2 5" xfId="11006"/>
    <cellStyle name="20% - Accent1 4 3 2 5 2" xfId="11007"/>
    <cellStyle name="20% - Accent1 4 3 2 5 2 2" xfId="11008"/>
    <cellStyle name="20% - Accent1 4 3 2 5 2 3" xfId="11009"/>
    <cellStyle name="20% - Accent1 4 3 2 5 3" xfId="11010"/>
    <cellStyle name="20% - Accent1 4 3 2 5 3 2" xfId="11011"/>
    <cellStyle name="20% - Accent1 4 3 2 5 3 3" xfId="11012"/>
    <cellStyle name="20% - Accent1 4 3 2 5 4" xfId="11013"/>
    <cellStyle name="20% - Accent1 4 3 2 5 4 2" xfId="11014"/>
    <cellStyle name="20% - Accent1 4 3 2 5 5" xfId="11015"/>
    <cellStyle name="20% - Accent1 4 3 2 5 6" xfId="11016"/>
    <cellStyle name="20% - Accent1 4 3 2 6" xfId="11017"/>
    <cellStyle name="20% - Accent1 4 3 2 6 2" xfId="11018"/>
    <cellStyle name="20% - Accent1 4 3 2 6 2 2" xfId="11019"/>
    <cellStyle name="20% - Accent1 4 3 2 6 2 3" xfId="11020"/>
    <cellStyle name="20% - Accent1 4 3 2 6 3" xfId="11021"/>
    <cellStyle name="20% - Accent1 4 3 2 6 3 2" xfId="11022"/>
    <cellStyle name="20% - Accent1 4 3 2 6 3 3" xfId="11023"/>
    <cellStyle name="20% - Accent1 4 3 2 6 4" xfId="11024"/>
    <cellStyle name="20% - Accent1 4 3 2 6 4 2" xfId="11025"/>
    <cellStyle name="20% - Accent1 4 3 2 6 5" xfId="11026"/>
    <cellStyle name="20% - Accent1 4 3 2 6 6" xfId="11027"/>
    <cellStyle name="20% - Accent1 4 3 2 7" xfId="11028"/>
    <cellStyle name="20% - Accent1 4 3 2 7 2" xfId="11029"/>
    <cellStyle name="20% - Accent1 4 3 2 7 2 2" xfId="11030"/>
    <cellStyle name="20% - Accent1 4 3 2 7 2 3" xfId="11031"/>
    <cellStyle name="20% - Accent1 4 3 2 7 3" xfId="11032"/>
    <cellStyle name="20% - Accent1 4 3 2 7 3 2" xfId="11033"/>
    <cellStyle name="20% - Accent1 4 3 2 7 4" xfId="11034"/>
    <cellStyle name="20% - Accent1 4 3 2 7 5" xfId="11035"/>
    <cellStyle name="20% - Accent1 4 3 2 8" xfId="11036"/>
    <cellStyle name="20% - Accent1 4 3 2 8 2" xfId="11037"/>
    <cellStyle name="20% - Accent1 4 3 2 8 3" xfId="11038"/>
    <cellStyle name="20% - Accent1 4 3 2 9" xfId="11039"/>
    <cellStyle name="20% - Accent1 4 3 2 9 2" xfId="11040"/>
    <cellStyle name="20% - Accent1 4 3 2 9 3" xfId="11041"/>
    <cellStyle name="20% - Accent1 4 3 3" xfId="171"/>
    <cellStyle name="20% - Accent1 4 3 3 10" xfId="11042"/>
    <cellStyle name="20% - Accent1 4 3 3 2" xfId="172"/>
    <cellStyle name="20% - Accent1 4 3 3 2 2" xfId="11043"/>
    <cellStyle name="20% - Accent1 4 3 3 2 2 2" xfId="11044"/>
    <cellStyle name="20% - Accent1 4 3 3 2 2 2 2" xfId="11045"/>
    <cellStyle name="20% - Accent1 4 3 3 2 2 2 3" xfId="11046"/>
    <cellStyle name="20% - Accent1 4 3 3 2 2 3" xfId="11047"/>
    <cellStyle name="20% - Accent1 4 3 3 2 2 3 2" xfId="11048"/>
    <cellStyle name="20% - Accent1 4 3 3 2 2 3 3" xfId="11049"/>
    <cellStyle name="20% - Accent1 4 3 3 2 2 4" xfId="11050"/>
    <cellStyle name="20% - Accent1 4 3 3 2 2 4 2" xfId="11051"/>
    <cellStyle name="20% - Accent1 4 3 3 2 2 5" xfId="11052"/>
    <cellStyle name="20% - Accent1 4 3 3 2 2 6" xfId="11053"/>
    <cellStyle name="20% - Accent1 4 3 3 2 3" xfId="11054"/>
    <cellStyle name="20% - Accent1 4 3 3 2 3 2" xfId="11055"/>
    <cellStyle name="20% - Accent1 4 3 3 2 3 2 2" xfId="11056"/>
    <cellStyle name="20% - Accent1 4 3 3 2 3 2 3" xfId="11057"/>
    <cellStyle name="20% - Accent1 4 3 3 2 3 3" xfId="11058"/>
    <cellStyle name="20% - Accent1 4 3 3 2 3 3 2" xfId="11059"/>
    <cellStyle name="20% - Accent1 4 3 3 2 3 3 3" xfId="11060"/>
    <cellStyle name="20% - Accent1 4 3 3 2 3 4" xfId="11061"/>
    <cellStyle name="20% - Accent1 4 3 3 2 3 4 2" xfId="11062"/>
    <cellStyle name="20% - Accent1 4 3 3 2 3 5" xfId="11063"/>
    <cellStyle name="20% - Accent1 4 3 3 2 3 6" xfId="11064"/>
    <cellStyle name="20% - Accent1 4 3 3 2 4" xfId="11065"/>
    <cellStyle name="20% - Accent1 4 3 3 2 4 2" xfId="11066"/>
    <cellStyle name="20% - Accent1 4 3 3 2 4 2 2" xfId="11067"/>
    <cellStyle name="20% - Accent1 4 3 3 2 4 2 3" xfId="11068"/>
    <cellStyle name="20% - Accent1 4 3 3 2 4 3" xfId="11069"/>
    <cellStyle name="20% - Accent1 4 3 3 2 4 3 2" xfId="11070"/>
    <cellStyle name="20% - Accent1 4 3 3 2 4 4" xfId="11071"/>
    <cellStyle name="20% - Accent1 4 3 3 2 4 5" xfId="11072"/>
    <cellStyle name="20% - Accent1 4 3 3 2 5" xfId="11073"/>
    <cellStyle name="20% - Accent1 4 3 3 2 5 2" xfId="11074"/>
    <cellStyle name="20% - Accent1 4 3 3 2 5 3" xfId="11075"/>
    <cellStyle name="20% - Accent1 4 3 3 2 6" xfId="11076"/>
    <cellStyle name="20% - Accent1 4 3 3 2 6 2" xfId="11077"/>
    <cellStyle name="20% - Accent1 4 3 3 2 6 3" xfId="11078"/>
    <cellStyle name="20% - Accent1 4 3 3 2 7" xfId="11079"/>
    <cellStyle name="20% - Accent1 4 3 3 2 7 2" xfId="11080"/>
    <cellStyle name="20% - Accent1 4 3 3 2 8" xfId="11081"/>
    <cellStyle name="20% - Accent1 4 3 3 2 9" xfId="11082"/>
    <cellStyle name="20% - Accent1 4 3 3 3" xfId="11083"/>
    <cellStyle name="20% - Accent1 4 3 3 3 2" xfId="11084"/>
    <cellStyle name="20% - Accent1 4 3 3 3 2 2" xfId="11085"/>
    <cellStyle name="20% - Accent1 4 3 3 3 2 3" xfId="11086"/>
    <cellStyle name="20% - Accent1 4 3 3 3 3" xfId="11087"/>
    <cellStyle name="20% - Accent1 4 3 3 3 3 2" xfId="11088"/>
    <cellStyle name="20% - Accent1 4 3 3 3 3 3" xfId="11089"/>
    <cellStyle name="20% - Accent1 4 3 3 3 4" xfId="11090"/>
    <cellStyle name="20% - Accent1 4 3 3 3 4 2" xfId="11091"/>
    <cellStyle name="20% - Accent1 4 3 3 3 5" xfId="11092"/>
    <cellStyle name="20% - Accent1 4 3 3 3 6" xfId="11093"/>
    <cellStyle name="20% - Accent1 4 3 3 4" xfId="11094"/>
    <cellStyle name="20% - Accent1 4 3 3 4 2" xfId="11095"/>
    <cellStyle name="20% - Accent1 4 3 3 4 2 2" xfId="11096"/>
    <cellStyle name="20% - Accent1 4 3 3 4 2 3" xfId="11097"/>
    <cellStyle name="20% - Accent1 4 3 3 4 3" xfId="11098"/>
    <cellStyle name="20% - Accent1 4 3 3 4 3 2" xfId="11099"/>
    <cellStyle name="20% - Accent1 4 3 3 4 3 3" xfId="11100"/>
    <cellStyle name="20% - Accent1 4 3 3 4 4" xfId="11101"/>
    <cellStyle name="20% - Accent1 4 3 3 4 4 2" xfId="11102"/>
    <cellStyle name="20% - Accent1 4 3 3 4 5" xfId="11103"/>
    <cellStyle name="20% - Accent1 4 3 3 4 6" xfId="11104"/>
    <cellStyle name="20% - Accent1 4 3 3 5" xfId="11105"/>
    <cellStyle name="20% - Accent1 4 3 3 5 2" xfId="11106"/>
    <cellStyle name="20% - Accent1 4 3 3 5 2 2" xfId="11107"/>
    <cellStyle name="20% - Accent1 4 3 3 5 2 3" xfId="11108"/>
    <cellStyle name="20% - Accent1 4 3 3 5 3" xfId="11109"/>
    <cellStyle name="20% - Accent1 4 3 3 5 3 2" xfId="11110"/>
    <cellStyle name="20% - Accent1 4 3 3 5 4" xfId="11111"/>
    <cellStyle name="20% - Accent1 4 3 3 5 5" xfId="11112"/>
    <cellStyle name="20% - Accent1 4 3 3 6" xfId="11113"/>
    <cellStyle name="20% - Accent1 4 3 3 6 2" xfId="11114"/>
    <cellStyle name="20% - Accent1 4 3 3 6 3" xfId="11115"/>
    <cellStyle name="20% - Accent1 4 3 3 7" xfId="11116"/>
    <cellStyle name="20% - Accent1 4 3 3 7 2" xfId="11117"/>
    <cellStyle name="20% - Accent1 4 3 3 7 3" xfId="11118"/>
    <cellStyle name="20% - Accent1 4 3 3 8" xfId="11119"/>
    <cellStyle name="20% - Accent1 4 3 3 8 2" xfId="11120"/>
    <cellStyle name="20% - Accent1 4 3 3 9" xfId="11121"/>
    <cellStyle name="20% - Accent1 4 3 4" xfId="173"/>
    <cellStyle name="20% - Accent1 4 3 4 2" xfId="11122"/>
    <cellStyle name="20% - Accent1 4 3 4 2 2" xfId="11123"/>
    <cellStyle name="20% - Accent1 4 3 4 2 2 2" xfId="11124"/>
    <cellStyle name="20% - Accent1 4 3 4 2 2 3" xfId="11125"/>
    <cellStyle name="20% - Accent1 4 3 4 2 3" xfId="11126"/>
    <cellStyle name="20% - Accent1 4 3 4 2 3 2" xfId="11127"/>
    <cellStyle name="20% - Accent1 4 3 4 2 3 3" xfId="11128"/>
    <cellStyle name="20% - Accent1 4 3 4 2 4" xfId="11129"/>
    <cellStyle name="20% - Accent1 4 3 4 2 4 2" xfId="11130"/>
    <cellStyle name="20% - Accent1 4 3 4 2 5" xfId="11131"/>
    <cellStyle name="20% - Accent1 4 3 4 2 6" xfId="11132"/>
    <cellStyle name="20% - Accent1 4 3 4 3" xfId="11133"/>
    <cellStyle name="20% - Accent1 4 3 4 3 2" xfId="11134"/>
    <cellStyle name="20% - Accent1 4 3 4 3 2 2" xfId="11135"/>
    <cellStyle name="20% - Accent1 4 3 4 3 2 3" xfId="11136"/>
    <cellStyle name="20% - Accent1 4 3 4 3 3" xfId="11137"/>
    <cellStyle name="20% - Accent1 4 3 4 3 3 2" xfId="11138"/>
    <cellStyle name="20% - Accent1 4 3 4 3 3 3" xfId="11139"/>
    <cellStyle name="20% - Accent1 4 3 4 3 4" xfId="11140"/>
    <cellStyle name="20% - Accent1 4 3 4 3 4 2" xfId="11141"/>
    <cellStyle name="20% - Accent1 4 3 4 3 5" xfId="11142"/>
    <cellStyle name="20% - Accent1 4 3 4 3 6" xfId="11143"/>
    <cellStyle name="20% - Accent1 4 3 4 4" xfId="11144"/>
    <cellStyle name="20% - Accent1 4 3 4 4 2" xfId="11145"/>
    <cellStyle name="20% - Accent1 4 3 4 4 2 2" xfId="11146"/>
    <cellStyle name="20% - Accent1 4 3 4 4 2 3" xfId="11147"/>
    <cellStyle name="20% - Accent1 4 3 4 4 3" xfId="11148"/>
    <cellStyle name="20% - Accent1 4 3 4 4 3 2" xfId="11149"/>
    <cellStyle name="20% - Accent1 4 3 4 4 4" xfId="11150"/>
    <cellStyle name="20% - Accent1 4 3 4 4 5" xfId="11151"/>
    <cellStyle name="20% - Accent1 4 3 4 5" xfId="11152"/>
    <cellStyle name="20% - Accent1 4 3 4 5 2" xfId="11153"/>
    <cellStyle name="20% - Accent1 4 3 4 5 3" xfId="11154"/>
    <cellStyle name="20% - Accent1 4 3 4 6" xfId="11155"/>
    <cellStyle name="20% - Accent1 4 3 4 6 2" xfId="11156"/>
    <cellStyle name="20% - Accent1 4 3 4 6 3" xfId="11157"/>
    <cellStyle name="20% - Accent1 4 3 4 7" xfId="11158"/>
    <cellStyle name="20% - Accent1 4 3 4 7 2" xfId="11159"/>
    <cellStyle name="20% - Accent1 4 3 4 8" xfId="11160"/>
    <cellStyle name="20% - Accent1 4 3 4 9" xfId="11161"/>
    <cellStyle name="20% - Accent1 4 3 5" xfId="11162"/>
    <cellStyle name="20% - Accent1 4 3 5 2" xfId="11163"/>
    <cellStyle name="20% - Accent1 4 3 5 2 2" xfId="11164"/>
    <cellStyle name="20% - Accent1 4 3 5 2 2 2" xfId="11165"/>
    <cellStyle name="20% - Accent1 4 3 5 2 2 3" xfId="11166"/>
    <cellStyle name="20% - Accent1 4 3 5 2 3" xfId="11167"/>
    <cellStyle name="20% - Accent1 4 3 5 2 3 2" xfId="11168"/>
    <cellStyle name="20% - Accent1 4 3 5 2 3 3" xfId="11169"/>
    <cellStyle name="20% - Accent1 4 3 5 2 4" xfId="11170"/>
    <cellStyle name="20% - Accent1 4 3 5 2 4 2" xfId="11171"/>
    <cellStyle name="20% - Accent1 4 3 5 2 5" xfId="11172"/>
    <cellStyle name="20% - Accent1 4 3 5 2 6" xfId="11173"/>
    <cellStyle name="20% - Accent1 4 3 5 3" xfId="11174"/>
    <cellStyle name="20% - Accent1 4 3 5 3 2" xfId="11175"/>
    <cellStyle name="20% - Accent1 4 3 5 3 2 2" xfId="11176"/>
    <cellStyle name="20% - Accent1 4 3 5 3 2 3" xfId="11177"/>
    <cellStyle name="20% - Accent1 4 3 5 3 3" xfId="11178"/>
    <cellStyle name="20% - Accent1 4 3 5 3 3 2" xfId="11179"/>
    <cellStyle name="20% - Accent1 4 3 5 3 3 3" xfId="11180"/>
    <cellStyle name="20% - Accent1 4 3 5 3 4" xfId="11181"/>
    <cellStyle name="20% - Accent1 4 3 5 3 4 2" xfId="11182"/>
    <cellStyle name="20% - Accent1 4 3 5 3 5" xfId="11183"/>
    <cellStyle name="20% - Accent1 4 3 5 3 6" xfId="11184"/>
    <cellStyle name="20% - Accent1 4 3 5 4" xfId="11185"/>
    <cellStyle name="20% - Accent1 4 3 5 4 2" xfId="11186"/>
    <cellStyle name="20% - Accent1 4 3 5 4 2 2" xfId="11187"/>
    <cellStyle name="20% - Accent1 4 3 5 4 2 3" xfId="11188"/>
    <cellStyle name="20% - Accent1 4 3 5 4 3" xfId="11189"/>
    <cellStyle name="20% - Accent1 4 3 5 4 3 2" xfId="11190"/>
    <cellStyle name="20% - Accent1 4 3 5 4 4" xfId="11191"/>
    <cellStyle name="20% - Accent1 4 3 5 4 5" xfId="11192"/>
    <cellStyle name="20% - Accent1 4 3 5 5" xfId="11193"/>
    <cellStyle name="20% - Accent1 4 3 5 5 2" xfId="11194"/>
    <cellStyle name="20% - Accent1 4 3 5 5 3" xfId="11195"/>
    <cellStyle name="20% - Accent1 4 3 5 6" xfId="11196"/>
    <cellStyle name="20% - Accent1 4 3 5 6 2" xfId="11197"/>
    <cellStyle name="20% - Accent1 4 3 5 6 3" xfId="11198"/>
    <cellStyle name="20% - Accent1 4 3 5 7" xfId="11199"/>
    <cellStyle name="20% - Accent1 4 3 5 7 2" xfId="11200"/>
    <cellStyle name="20% - Accent1 4 3 5 8" xfId="11201"/>
    <cellStyle name="20% - Accent1 4 3 5 9" xfId="11202"/>
    <cellStyle name="20% - Accent1 4 3 6" xfId="11203"/>
    <cellStyle name="20% - Accent1 4 3 6 2" xfId="11204"/>
    <cellStyle name="20% - Accent1 4 3 6 2 2" xfId="11205"/>
    <cellStyle name="20% - Accent1 4 3 6 2 3" xfId="11206"/>
    <cellStyle name="20% - Accent1 4 3 6 3" xfId="11207"/>
    <cellStyle name="20% - Accent1 4 3 6 3 2" xfId="11208"/>
    <cellStyle name="20% - Accent1 4 3 6 3 3" xfId="11209"/>
    <cellStyle name="20% - Accent1 4 3 6 4" xfId="11210"/>
    <cellStyle name="20% - Accent1 4 3 6 4 2" xfId="11211"/>
    <cellStyle name="20% - Accent1 4 3 6 5" xfId="11212"/>
    <cellStyle name="20% - Accent1 4 3 6 6" xfId="11213"/>
    <cellStyle name="20% - Accent1 4 3 7" xfId="11214"/>
    <cellStyle name="20% - Accent1 4 3 7 2" xfId="11215"/>
    <cellStyle name="20% - Accent1 4 3 7 2 2" xfId="11216"/>
    <cellStyle name="20% - Accent1 4 3 7 2 3" xfId="11217"/>
    <cellStyle name="20% - Accent1 4 3 7 3" xfId="11218"/>
    <cellStyle name="20% - Accent1 4 3 7 3 2" xfId="11219"/>
    <cellStyle name="20% - Accent1 4 3 7 3 3" xfId="11220"/>
    <cellStyle name="20% - Accent1 4 3 7 4" xfId="11221"/>
    <cellStyle name="20% - Accent1 4 3 7 4 2" xfId="11222"/>
    <cellStyle name="20% - Accent1 4 3 7 5" xfId="11223"/>
    <cellStyle name="20% - Accent1 4 3 7 6" xfId="11224"/>
    <cellStyle name="20% - Accent1 4 3 8" xfId="11225"/>
    <cellStyle name="20% - Accent1 4 3 8 2" xfId="11226"/>
    <cellStyle name="20% - Accent1 4 3 8 2 2" xfId="11227"/>
    <cellStyle name="20% - Accent1 4 3 8 2 3" xfId="11228"/>
    <cellStyle name="20% - Accent1 4 3 8 3" xfId="11229"/>
    <cellStyle name="20% - Accent1 4 3 8 3 2" xfId="11230"/>
    <cellStyle name="20% - Accent1 4 3 8 4" xfId="11231"/>
    <cellStyle name="20% - Accent1 4 3 8 5" xfId="11232"/>
    <cellStyle name="20% - Accent1 4 3 9" xfId="11233"/>
    <cellStyle name="20% - Accent1 4 3 9 2" xfId="11234"/>
    <cellStyle name="20% - Accent1 4 3 9 3" xfId="11235"/>
    <cellStyle name="20% - Accent1 4 4" xfId="174"/>
    <cellStyle name="20% - Accent1 4 4 10" xfId="11236"/>
    <cellStyle name="20% - Accent1 4 4 10 2" xfId="11237"/>
    <cellStyle name="20% - Accent1 4 4 11" xfId="11238"/>
    <cellStyle name="20% - Accent1 4 4 12" xfId="11239"/>
    <cellStyle name="20% - Accent1 4 4 2" xfId="175"/>
    <cellStyle name="20% - Accent1 4 4 2 10" xfId="11240"/>
    <cellStyle name="20% - Accent1 4 4 2 2" xfId="176"/>
    <cellStyle name="20% - Accent1 4 4 2 2 2" xfId="11241"/>
    <cellStyle name="20% - Accent1 4 4 2 2 2 2" xfId="11242"/>
    <cellStyle name="20% - Accent1 4 4 2 2 2 2 2" xfId="11243"/>
    <cellStyle name="20% - Accent1 4 4 2 2 2 2 3" xfId="11244"/>
    <cellStyle name="20% - Accent1 4 4 2 2 2 3" xfId="11245"/>
    <cellStyle name="20% - Accent1 4 4 2 2 2 3 2" xfId="11246"/>
    <cellStyle name="20% - Accent1 4 4 2 2 2 3 3" xfId="11247"/>
    <cellStyle name="20% - Accent1 4 4 2 2 2 4" xfId="11248"/>
    <cellStyle name="20% - Accent1 4 4 2 2 2 4 2" xfId="11249"/>
    <cellStyle name="20% - Accent1 4 4 2 2 2 5" xfId="11250"/>
    <cellStyle name="20% - Accent1 4 4 2 2 2 6" xfId="11251"/>
    <cellStyle name="20% - Accent1 4 4 2 2 3" xfId="11252"/>
    <cellStyle name="20% - Accent1 4 4 2 2 3 2" xfId="11253"/>
    <cellStyle name="20% - Accent1 4 4 2 2 3 2 2" xfId="11254"/>
    <cellStyle name="20% - Accent1 4 4 2 2 3 2 3" xfId="11255"/>
    <cellStyle name="20% - Accent1 4 4 2 2 3 3" xfId="11256"/>
    <cellStyle name="20% - Accent1 4 4 2 2 3 3 2" xfId="11257"/>
    <cellStyle name="20% - Accent1 4 4 2 2 3 3 3" xfId="11258"/>
    <cellStyle name="20% - Accent1 4 4 2 2 3 4" xfId="11259"/>
    <cellStyle name="20% - Accent1 4 4 2 2 3 4 2" xfId="11260"/>
    <cellStyle name="20% - Accent1 4 4 2 2 3 5" xfId="11261"/>
    <cellStyle name="20% - Accent1 4 4 2 2 3 6" xfId="11262"/>
    <cellStyle name="20% - Accent1 4 4 2 2 4" xfId="11263"/>
    <cellStyle name="20% - Accent1 4 4 2 2 4 2" xfId="11264"/>
    <cellStyle name="20% - Accent1 4 4 2 2 4 2 2" xfId="11265"/>
    <cellStyle name="20% - Accent1 4 4 2 2 4 2 3" xfId="11266"/>
    <cellStyle name="20% - Accent1 4 4 2 2 4 3" xfId="11267"/>
    <cellStyle name="20% - Accent1 4 4 2 2 4 3 2" xfId="11268"/>
    <cellStyle name="20% - Accent1 4 4 2 2 4 4" xfId="11269"/>
    <cellStyle name="20% - Accent1 4 4 2 2 4 5" xfId="11270"/>
    <cellStyle name="20% - Accent1 4 4 2 2 5" xfId="11271"/>
    <cellStyle name="20% - Accent1 4 4 2 2 5 2" xfId="11272"/>
    <cellStyle name="20% - Accent1 4 4 2 2 5 3" xfId="11273"/>
    <cellStyle name="20% - Accent1 4 4 2 2 6" xfId="11274"/>
    <cellStyle name="20% - Accent1 4 4 2 2 6 2" xfId="11275"/>
    <cellStyle name="20% - Accent1 4 4 2 2 6 3" xfId="11276"/>
    <cellStyle name="20% - Accent1 4 4 2 2 7" xfId="11277"/>
    <cellStyle name="20% - Accent1 4 4 2 2 7 2" xfId="11278"/>
    <cellStyle name="20% - Accent1 4 4 2 2 8" xfId="11279"/>
    <cellStyle name="20% - Accent1 4 4 2 2 9" xfId="11280"/>
    <cellStyle name="20% - Accent1 4 4 2 3" xfId="11281"/>
    <cellStyle name="20% - Accent1 4 4 2 3 2" xfId="11282"/>
    <cellStyle name="20% - Accent1 4 4 2 3 2 2" xfId="11283"/>
    <cellStyle name="20% - Accent1 4 4 2 3 2 3" xfId="11284"/>
    <cellStyle name="20% - Accent1 4 4 2 3 3" xfId="11285"/>
    <cellStyle name="20% - Accent1 4 4 2 3 3 2" xfId="11286"/>
    <cellStyle name="20% - Accent1 4 4 2 3 3 3" xfId="11287"/>
    <cellStyle name="20% - Accent1 4 4 2 3 4" xfId="11288"/>
    <cellStyle name="20% - Accent1 4 4 2 3 4 2" xfId="11289"/>
    <cellStyle name="20% - Accent1 4 4 2 3 5" xfId="11290"/>
    <cellStyle name="20% - Accent1 4 4 2 3 6" xfId="11291"/>
    <cellStyle name="20% - Accent1 4 4 2 4" xfId="11292"/>
    <cellStyle name="20% - Accent1 4 4 2 4 2" xfId="11293"/>
    <cellStyle name="20% - Accent1 4 4 2 4 2 2" xfId="11294"/>
    <cellStyle name="20% - Accent1 4 4 2 4 2 3" xfId="11295"/>
    <cellStyle name="20% - Accent1 4 4 2 4 3" xfId="11296"/>
    <cellStyle name="20% - Accent1 4 4 2 4 3 2" xfId="11297"/>
    <cellStyle name="20% - Accent1 4 4 2 4 3 3" xfId="11298"/>
    <cellStyle name="20% - Accent1 4 4 2 4 4" xfId="11299"/>
    <cellStyle name="20% - Accent1 4 4 2 4 4 2" xfId="11300"/>
    <cellStyle name="20% - Accent1 4 4 2 4 5" xfId="11301"/>
    <cellStyle name="20% - Accent1 4 4 2 4 6" xfId="11302"/>
    <cellStyle name="20% - Accent1 4 4 2 5" xfId="11303"/>
    <cellStyle name="20% - Accent1 4 4 2 5 2" xfId="11304"/>
    <cellStyle name="20% - Accent1 4 4 2 5 2 2" xfId="11305"/>
    <cellStyle name="20% - Accent1 4 4 2 5 2 3" xfId="11306"/>
    <cellStyle name="20% - Accent1 4 4 2 5 3" xfId="11307"/>
    <cellStyle name="20% - Accent1 4 4 2 5 3 2" xfId="11308"/>
    <cellStyle name="20% - Accent1 4 4 2 5 4" xfId="11309"/>
    <cellStyle name="20% - Accent1 4 4 2 5 5" xfId="11310"/>
    <cellStyle name="20% - Accent1 4 4 2 6" xfId="11311"/>
    <cellStyle name="20% - Accent1 4 4 2 6 2" xfId="11312"/>
    <cellStyle name="20% - Accent1 4 4 2 6 3" xfId="11313"/>
    <cellStyle name="20% - Accent1 4 4 2 7" xfId="11314"/>
    <cellStyle name="20% - Accent1 4 4 2 7 2" xfId="11315"/>
    <cellStyle name="20% - Accent1 4 4 2 7 3" xfId="11316"/>
    <cellStyle name="20% - Accent1 4 4 2 8" xfId="11317"/>
    <cellStyle name="20% - Accent1 4 4 2 8 2" xfId="11318"/>
    <cellStyle name="20% - Accent1 4 4 2 9" xfId="11319"/>
    <cellStyle name="20% - Accent1 4 4 3" xfId="177"/>
    <cellStyle name="20% - Accent1 4 4 3 2" xfId="11320"/>
    <cellStyle name="20% - Accent1 4 4 3 2 2" xfId="11321"/>
    <cellStyle name="20% - Accent1 4 4 3 2 2 2" xfId="11322"/>
    <cellStyle name="20% - Accent1 4 4 3 2 2 3" xfId="11323"/>
    <cellStyle name="20% - Accent1 4 4 3 2 3" xfId="11324"/>
    <cellStyle name="20% - Accent1 4 4 3 2 3 2" xfId="11325"/>
    <cellStyle name="20% - Accent1 4 4 3 2 3 3" xfId="11326"/>
    <cellStyle name="20% - Accent1 4 4 3 2 4" xfId="11327"/>
    <cellStyle name="20% - Accent1 4 4 3 2 4 2" xfId="11328"/>
    <cellStyle name="20% - Accent1 4 4 3 2 5" xfId="11329"/>
    <cellStyle name="20% - Accent1 4 4 3 2 6" xfId="11330"/>
    <cellStyle name="20% - Accent1 4 4 3 3" xfId="11331"/>
    <cellStyle name="20% - Accent1 4 4 3 3 2" xfId="11332"/>
    <cellStyle name="20% - Accent1 4 4 3 3 2 2" xfId="11333"/>
    <cellStyle name="20% - Accent1 4 4 3 3 2 3" xfId="11334"/>
    <cellStyle name="20% - Accent1 4 4 3 3 3" xfId="11335"/>
    <cellStyle name="20% - Accent1 4 4 3 3 3 2" xfId="11336"/>
    <cellStyle name="20% - Accent1 4 4 3 3 3 3" xfId="11337"/>
    <cellStyle name="20% - Accent1 4 4 3 3 4" xfId="11338"/>
    <cellStyle name="20% - Accent1 4 4 3 3 4 2" xfId="11339"/>
    <cellStyle name="20% - Accent1 4 4 3 3 5" xfId="11340"/>
    <cellStyle name="20% - Accent1 4 4 3 3 6" xfId="11341"/>
    <cellStyle name="20% - Accent1 4 4 3 4" xfId="11342"/>
    <cellStyle name="20% - Accent1 4 4 3 4 2" xfId="11343"/>
    <cellStyle name="20% - Accent1 4 4 3 4 2 2" xfId="11344"/>
    <cellStyle name="20% - Accent1 4 4 3 4 2 3" xfId="11345"/>
    <cellStyle name="20% - Accent1 4 4 3 4 3" xfId="11346"/>
    <cellStyle name="20% - Accent1 4 4 3 4 3 2" xfId="11347"/>
    <cellStyle name="20% - Accent1 4 4 3 4 4" xfId="11348"/>
    <cellStyle name="20% - Accent1 4 4 3 4 5" xfId="11349"/>
    <cellStyle name="20% - Accent1 4 4 3 5" xfId="11350"/>
    <cellStyle name="20% - Accent1 4 4 3 5 2" xfId="11351"/>
    <cellStyle name="20% - Accent1 4 4 3 5 3" xfId="11352"/>
    <cellStyle name="20% - Accent1 4 4 3 6" xfId="11353"/>
    <cellStyle name="20% - Accent1 4 4 3 6 2" xfId="11354"/>
    <cellStyle name="20% - Accent1 4 4 3 6 3" xfId="11355"/>
    <cellStyle name="20% - Accent1 4 4 3 7" xfId="11356"/>
    <cellStyle name="20% - Accent1 4 4 3 7 2" xfId="11357"/>
    <cellStyle name="20% - Accent1 4 4 3 8" xfId="11358"/>
    <cellStyle name="20% - Accent1 4 4 3 9" xfId="11359"/>
    <cellStyle name="20% - Accent1 4 4 4" xfId="11360"/>
    <cellStyle name="20% - Accent1 4 4 4 2" xfId="11361"/>
    <cellStyle name="20% - Accent1 4 4 4 2 2" xfId="11362"/>
    <cellStyle name="20% - Accent1 4 4 4 2 2 2" xfId="11363"/>
    <cellStyle name="20% - Accent1 4 4 4 2 2 3" xfId="11364"/>
    <cellStyle name="20% - Accent1 4 4 4 2 3" xfId="11365"/>
    <cellStyle name="20% - Accent1 4 4 4 2 3 2" xfId="11366"/>
    <cellStyle name="20% - Accent1 4 4 4 2 3 3" xfId="11367"/>
    <cellStyle name="20% - Accent1 4 4 4 2 4" xfId="11368"/>
    <cellStyle name="20% - Accent1 4 4 4 2 4 2" xfId="11369"/>
    <cellStyle name="20% - Accent1 4 4 4 2 5" xfId="11370"/>
    <cellStyle name="20% - Accent1 4 4 4 2 6" xfId="11371"/>
    <cellStyle name="20% - Accent1 4 4 4 3" xfId="11372"/>
    <cellStyle name="20% - Accent1 4 4 4 3 2" xfId="11373"/>
    <cellStyle name="20% - Accent1 4 4 4 3 2 2" xfId="11374"/>
    <cellStyle name="20% - Accent1 4 4 4 3 2 3" xfId="11375"/>
    <cellStyle name="20% - Accent1 4 4 4 3 3" xfId="11376"/>
    <cellStyle name="20% - Accent1 4 4 4 3 3 2" xfId="11377"/>
    <cellStyle name="20% - Accent1 4 4 4 3 3 3" xfId="11378"/>
    <cellStyle name="20% - Accent1 4 4 4 3 4" xfId="11379"/>
    <cellStyle name="20% - Accent1 4 4 4 3 4 2" xfId="11380"/>
    <cellStyle name="20% - Accent1 4 4 4 3 5" xfId="11381"/>
    <cellStyle name="20% - Accent1 4 4 4 3 6" xfId="11382"/>
    <cellStyle name="20% - Accent1 4 4 4 4" xfId="11383"/>
    <cellStyle name="20% - Accent1 4 4 4 4 2" xfId="11384"/>
    <cellStyle name="20% - Accent1 4 4 4 4 2 2" xfId="11385"/>
    <cellStyle name="20% - Accent1 4 4 4 4 2 3" xfId="11386"/>
    <cellStyle name="20% - Accent1 4 4 4 4 3" xfId="11387"/>
    <cellStyle name="20% - Accent1 4 4 4 4 3 2" xfId="11388"/>
    <cellStyle name="20% - Accent1 4 4 4 4 4" xfId="11389"/>
    <cellStyle name="20% - Accent1 4 4 4 4 5" xfId="11390"/>
    <cellStyle name="20% - Accent1 4 4 4 5" xfId="11391"/>
    <cellStyle name="20% - Accent1 4 4 4 5 2" xfId="11392"/>
    <cellStyle name="20% - Accent1 4 4 4 5 3" xfId="11393"/>
    <cellStyle name="20% - Accent1 4 4 4 6" xfId="11394"/>
    <cellStyle name="20% - Accent1 4 4 4 6 2" xfId="11395"/>
    <cellStyle name="20% - Accent1 4 4 4 6 3" xfId="11396"/>
    <cellStyle name="20% - Accent1 4 4 4 7" xfId="11397"/>
    <cellStyle name="20% - Accent1 4 4 4 7 2" xfId="11398"/>
    <cellStyle name="20% - Accent1 4 4 4 8" xfId="11399"/>
    <cellStyle name="20% - Accent1 4 4 4 9" xfId="11400"/>
    <cellStyle name="20% - Accent1 4 4 5" xfId="11401"/>
    <cellStyle name="20% - Accent1 4 4 5 2" xfId="11402"/>
    <cellStyle name="20% - Accent1 4 4 5 2 2" xfId="11403"/>
    <cellStyle name="20% - Accent1 4 4 5 2 3" xfId="11404"/>
    <cellStyle name="20% - Accent1 4 4 5 3" xfId="11405"/>
    <cellStyle name="20% - Accent1 4 4 5 3 2" xfId="11406"/>
    <cellStyle name="20% - Accent1 4 4 5 3 3" xfId="11407"/>
    <cellStyle name="20% - Accent1 4 4 5 4" xfId="11408"/>
    <cellStyle name="20% - Accent1 4 4 5 4 2" xfId="11409"/>
    <cellStyle name="20% - Accent1 4 4 5 5" xfId="11410"/>
    <cellStyle name="20% - Accent1 4 4 5 6" xfId="11411"/>
    <cellStyle name="20% - Accent1 4 4 6" xfId="11412"/>
    <cellStyle name="20% - Accent1 4 4 6 2" xfId="11413"/>
    <cellStyle name="20% - Accent1 4 4 6 2 2" xfId="11414"/>
    <cellStyle name="20% - Accent1 4 4 6 2 3" xfId="11415"/>
    <cellStyle name="20% - Accent1 4 4 6 3" xfId="11416"/>
    <cellStyle name="20% - Accent1 4 4 6 3 2" xfId="11417"/>
    <cellStyle name="20% - Accent1 4 4 6 3 3" xfId="11418"/>
    <cellStyle name="20% - Accent1 4 4 6 4" xfId="11419"/>
    <cellStyle name="20% - Accent1 4 4 6 4 2" xfId="11420"/>
    <cellStyle name="20% - Accent1 4 4 6 5" xfId="11421"/>
    <cellStyle name="20% - Accent1 4 4 6 6" xfId="11422"/>
    <cellStyle name="20% - Accent1 4 4 7" xfId="11423"/>
    <cellStyle name="20% - Accent1 4 4 7 2" xfId="11424"/>
    <cellStyle name="20% - Accent1 4 4 7 2 2" xfId="11425"/>
    <cellStyle name="20% - Accent1 4 4 7 2 3" xfId="11426"/>
    <cellStyle name="20% - Accent1 4 4 7 3" xfId="11427"/>
    <cellStyle name="20% - Accent1 4 4 7 3 2" xfId="11428"/>
    <cellStyle name="20% - Accent1 4 4 7 4" xfId="11429"/>
    <cellStyle name="20% - Accent1 4 4 7 5" xfId="11430"/>
    <cellStyle name="20% - Accent1 4 4 8" xfId="11431"/>
    <cellStyle name="20% - Accent1 4 4 8 2" xfId="11432"/>
    <cellStyle name="20% - Accent1 4 4 8 3" xfId="11433"/>
    <cellStyle name="20% - Accent1 4 4 9" xfId="11434"/>
    <cellStyle name="20% - Accent1 4 4 9 2" xfId="11435"/>
    <cellStyle name="20% - Accent1 4 4 9 3" xfId="11436"/>
    <cellStyle name="20% - Accent1 4 5" xfId="178"/>
    <cellStyle name="20% - Accent1 4 5 10" xfId="11437"/>
    <cellStyle name="20% - Accent1 4 5 2" xfId="179"/>
    <cellStyle name="20% - Accent1 4 5 2 2" xfId="11438"/>
    <cellStyle name="20% - Accent1 4 5 2 2 2" xfId="11439"/>
    <cellStyle name="20% - Accent1 4 5 2 2 2 2" xfId="11440"/>
    <cellStyle name="20% - Accent1 4 5 2 2 2 3" xfId="11441"/>
    <cellStyle name="20% - Accent1 4 5 2 2 3" xfId="11442"/>
    <cellStyle name="20% - Accent1 4 5 2 2 3 2" xfId="11443"/>
    <cellStyle name="20% - Accent1 4 5 2 2 3 3" xfId="11444"/>
    <cellStyle name="20% - Accent1 4 5 2 2 4" xfId="11445"/>
    <cellStyle name="20% - Accent1 4 5 2 2 4 2" xfId="11446"/>
    <cellStyle name="20% - Accent1 4 5 2 2 5" xfId="11447"/>
    <cellStyle name="20% - Accent1 4 5 2 2 6" xfId="11448"/>
    <cellStyle name="20% - Accent1 4 5 2 3" xfId="11449"/>
    <cellStyle name="20% - Accent1 4 5 2 3 2" xfId="11450"/>
    <cellStyle name="20% - Accent1 4 5 2 3 2 2" xfId="11451"/>
    <cellStyle name="20% - Accent1 4 5 2 3 2 3" xfId="11452"/>
    <cellStyle name="20% - Accent1 4 5 2 3 3" xfId="11453"/>
    <cellStyle name="20% - Accent1 4 5 2 3 3 2" xfId="11454"/>
    <cellStyle name="20% - Accent1 4 5 2 3 3 3" xfId="11455"/>
    <cellStyle name="20% - Accent1 4 5 2 3 4" xfId="11456"/>
    <cellStyle name="20% - Accent1 4 5 2 3 4 2" xfId="11457"/>
    <cellStyle name="20% - Accent1 4 5 2 3 5" xfId="11458"/>
    <cellStyle name="20% - Accent1 4 5 2 3 6" xfId="11459"/>
    <cellStyle name="20% - Accent1 4 5 2 4" xfId="11460"/>
    <cellStyle name="20% - Accent1 4 5 2 4 2" xfId="11461"/>
    <cellStyle name="20% - Accent1 4 5 2 4 2 2" xfId="11462"/>
    <cellStyle name="20% - Accent1 4 5 2 4 2 3" xfId="11463"/>
    <cellStyle name="20% - Accent1 4 5 2 4 3" xfId="11464"/>
    <cellStyle name="20% - Accent1 4 5 2 4 3 2" xfId="11465"/>
    <cellStyle name="20% - Accent1 4 5 2 4 4" xfId="11466"/>
    <cellStyle name="20% - Accent1 4 5 2 4 5" xfId="11467"/>
    <cellStyle name="20% - Accent1 4 5 2 5" xfId="11468"/>
    <cellStyle name="20% - Accent1 4 5 2 5 2" xfId="11469"/>
    <cellStyle name="20% - Accent1 4 5 2 5 3" xfId="11470"/>
    <cellStyle name="20% - Accent1 4 5 2 6" xfId="11471"/>
    <cellStyle name="20% - Accent1 4 5 2 6 2" xfId="11472"/>
    <cellStyle name="20% - Accent1 4 5 2 6 3" xfId="11473"/>
    <cellStyle name="20% - Accent1 4 5 2 7" xfId="11474"/>
    <cellStyle name="20% - Accent1 4 5 2 7 2" xfId="11475"/>
    <cellStyle name="20% - Accent1 4 5 2 8" xfId="11476"/>
    <cellStyle name="20% - Accent1 4 5 2 9" xfId="11477"/>
    <cellStyle name="20% - Accent1 4 5 3" xfId="11478"/>
    <cellStyle name="20% - Accent1 4 5 3 2" xfId="11479"/>
    <cellStyle name="20% - Accent1 4 5 3 2 2" xfId="11480"/>
    <cellStyle name="20% - Accent1 4 5 3 2 3" xfId="11481"/>
    <cellStyle name="20% - Accent1 4 5 3 3" xfId="11482"/>
    <cellStyle name="20% - Accent1 4 5 3 3 2" xfId="11483"/>
    <cellStyle name="20% - Accent1 4 5 3 3 3" xfId="11484"/>
    <cellStyle name="20% - Accent1 4 5 3 4" xfId="11485"/>
    <cellStyle name="20% - Accent1 4 5 3 4 2" xfId="11486"/>
    <cellStyle name="20% - Accent1 4 5 3 5" xfId="11487"/>
    <cellStyle name="20% - Accent1 4 5 3 6" xfId="11488"/>
    <cellStyle name="20% - Accent1 4 5 4" xfId="11489"/>
    <cellStyle name="20% - Accent1 4 5 4 2" xfId="11490"/>
    <cellStyle name="20% - Accent1 4 5 4 2 2" xfId="11491"/>
    <cellStyle name="20% - Accent1 4 5 4 2 3" xfId="11492"/>
    <cellStyle name="20% - Accent1 4 5 4 3" xfId="11493"/>
    <cellStyle name="20% - Accent1 4 5 4 3 2" xfId="11494"/>
    <cellStyle name="20% - Accent1 4 5 4 3 3" xfId="11495"/>
    <cellStyle name="20% - Accent1 4 5 4 4" xfId="11496"/>
    <cellStyle name="20% - Accent1 4 5 4 4 2" xfId="11497"/>
    <cellStyle name="20% - Accent1 4 5 4 5" xfId="11498"/>
    <cellStyle name="20% - Accent1 4 5 4 6" xfId="11499"/>
    <cellStyle name="20% - Accent1 4 5 5" xfId="11500"/>
    <cellStyle name="20% - Accent1 4 5 5 2" xfId="11501"/>
    <cellStyle name="20% - Accent1 4 5 5 2 2" xfId="11502"/>
    <cellStyle name="20% - Accent1 4 5 5 2 3" xfId="11503"/>
    <cellStyle name="20% - Accent1 4 5 5 3" xfId="11504"/>
    <cellStyle name="20% - Accent1 4 5 5 3 2" xfId="11505"/>
    <cellStyle name="20% - Accent1 4 5 5 4" xfId="11506"/>
    <cellStyle name="20% - Accent1 4 5 5 5" xfId="11507"/>
    <cellStyle name="20% - Accent1 4 5 6" xfId="11508"/>
    <cellStyle name="20% - Accent1 4 5 6 2" xfId="11509"/>
    <cellStyle name="20% - Accent1 4 5 6 3" xfId="11510"/>
    <cellStyle name="20% - Accent1 4 5 7" xfId="11511"/>
    <cellStyle name="20% - Accent1 4 5 7 2" xfId="11512"/>
    <cellStyle name="20% - Accent1 4 5 7 3" xfId="11513"/>
    <cellStyle name="20% - Accent1 4 5 8" xfId="11514"/>
    <cellStyle name="20% - Accent1 4 5 8 2" xfId="11515"/>
    <cellStyle name="20% - Accent1 4 5 9" xfId="11516"/>
    <cellStyle name="20% - Accent1 4 6" xfId="180"/>
    <cellStyle name="20% - Accent1 4 6 2" xfId="11517"/>
    <cellStyle name="20% - Accent1 4 6 2 2" xfId="11518"/>
    <cellStyle name="20% - Accent1 4 6 2 2 2" xfId="11519"/>
    <cellStyle name="20% - Accent1 4 6 2 2 3" xfId="11520"/>
    <cellStyle name="20% - Accent1 4 6 2 3" xfId="11521"/>
    <cellStyle name="20% - Accent1 4 6 2 3 2" xfId="11522"/>
    <cellStyle name="20% - Accent1 4 6 2 3 3" xfId="11523"/>
    <cellStyle name="20% - Accent1 4 6 2 4" xfId="11524"/>
    <cellStyle name="20% - Accent1 4 6 2 4 2" xfId="11525"/>
    <cellStyle name="20% - Accent1 4 6 2 5" xfId="11526"/>
    <cellStyle name="20% - Accent1 4 6 2 6" xfId="11527"/>
    <cellStyle name="20% - Accent1 4 6 3" xfId="11528"/>
    <cellStyle name="20% - Accent1 4 6 3 2" xfId="11529"/>
    <cellStyle name="20% - Accent1 4 6 3 2 2" xfId="11530"/>
    <cellStyle name="20% - Accent1 4 6 3 2 3" xfId="11531"/>
    <cellStyle name="20% - Accent1 4 6 3 3" xfId="11532"/>
    <cellStyle name="20% - Accent1 4 6 3 3 2" xfId="11533"/>
    <cellStyle name="20% - Accent1 4 6 3 3 3" xfId="11534"/>
    <cellStyle name="20% - Accent1 4 6 3 4" xfId="11535"/>
    <cellStyle name="20% - Accent1 4 6 3 4 2" xfId="11536"/>
    <cellStyle name="20% - Accent1 4 6 3 5" xfId="11537"/>
    <cellStyle name="20% - Accent1 4 6 3 6" xfId="11538"/>
    <cellStyle name="20% - Accent1 4 6 4" xfId="11539"/>
    <cellStyle name="20% - Accent1 4 6 4 2" xfId="11540"/>
    <cellStyle name="20% - Accent1 4 6 4 2 2" xfId="11541"/>
    <cellStyle name="20% - Accent1 4 6 4 2 3" xfId="11542"/>
    <cellStyle name="20% - Accent1 4 6 4 3" xfId="11543"/>
    <cellStyle name="20% - Accent1 4 6 4 3 2" xfId="11544"/>
    <cellStyle name="20% - Accent1 4 6 4 4" xfId="11545"/>
    <cellStyle name="20% - Accent1 4 6 4 5" xfId="11546"/>
    <cellStyle name="20% - Accent1 4 6 5" xfId="11547"/>
    <cellStyle name="20% - Accent1 4 6 5 2" xfId="11548"/>
    <cellStyle name="20% - Accent1 4 6 5 3" xfId="11549"/>
    <cellStyle name="20% - Accent1 4 6 6" xfId="11550"/>
    <cellStyle name="20% - Accent1 4 6 6 2" xfId="11551"/>
    <cellStyle name="20% - Accent1 4 6 6 3" xfId="11552"/>
    <cellStyle name="20% - Accent1 4 6 7" xfId="11553"/>
    <cellStyle name="20% - Accent1 4 6 7 2" xfId="11554"/>
    <cellStyle name="20% - Accent1 4 6 8" xfId="11555"/>
    <cellStyle name="20% - Accent1 4 6 9" xfId="11556"/>
    <cellStyle name="20% - Accent1 4 7" xfId="8792"/>
    <cellStyle name="20% - Accent1 4 7 2" xfId="11557"/>
    <cellStyle name="20% - Accent1 4 7 2 2" xfId="11558"/>
    <cellStyle name="20% - Accent1 4 7 2 2 2" xfId="11559"/>
    <cellStyle name="20% - Accent1 4 7 2 2 3" xfId="11560"/>
    <cellStyle name="20% - Accent1 4 7 2 3" xfId="11561"/>
    <cellStyle name="20% - Accent1 4 7 2 3 2" xfId="11562"/>
    <cellStyle name="20% - Accent1 4 7 2 3 3" xfId="11563"/>
    <cellStyle name="20% - Accent1 4 7 2 4" xfId="11564"/>
    <cellStyle name="20% - Accent1 4 7 2 4 2" xfId="11565"/>
    <cellStyle name="20% - Accent1 4 7 2 5" xfId="11566"/>
    <cellStyle name="20% - Accent1 4 7 2 6" xfId="11567"/>
    <cellStyle name="20% - Accent1 4 7 3" xfId="11568"/>
    <cellStyle name="20% - Accent1 4 7 3 2" xfId="11569"/>
    <cellStyle name="20% - Accent1 4 7 3 2 2" xfId="11570"/>
    <cellStyle name="20% - Accent1 4 7 3 2 3" xfId="11571"/>
    <cellStyle name="20% - Accent1 4 7 3 3" xfId="11572"/>
    <cellStyle name="20% - Accent1 4 7 3 3 2" xfId="11573"/>
    <cellStyle name="20% - Accent1 4 7 3 3 3" xfId="11574"/>
    <cellStyle name="20% - Accent1 4 7 3 4" xfId="11575"/>
    <cellStyle name="20% - Accent1 4 7 3 4 2" xfId="11576"/>
    <cellStyle name="20% - Accent1 4 7 3 5" xfId="11577"/>
    <cellStyle name="20% - Accent1 4 7 3 6" xfId="11578"/>
    <cellStyle name="20% - Accent1 4 7 4" xfId="11579"/>
    <cellStyle name="20% - Accent1 4 7 4 2" xfId="11580"/>
    <cellStyle name="20% - Accent1 4 7 4 2 2" xfId="11581"/>
    <cellStyle name="20% - Accent1 4 7 4 2 3" xfId="11582"/>
    <cellStyle name="20% - Accent1 4 7 4 3" xfId="11583"/>
    <cellStyle name="20% - Accent1 4 7 4 3 2" xfId="11584"/>
    <cellStyle name="20% - Accent1 4 7 4 4" xfId="11585"/>
    <cellStyle name="20% - Accent1 4 7 4 5" xfId="11586"/>
    <cellStyle name="20% - Accent1 4 7 5" xfId="11587"/>
    <cellStyle name="20% - Accent1 4 7 5 2" xfId="11588"/>
    <cellStyle name="20% - Accent1 4 7 5 3" xfId="11589"/>
    <cellStyle name="20% - Accent1 4 7 6" xfId="11590"/>
    <cellStyle name="20% - Accent1 4 7 6 2" xfId="11591"/>
    <cellStyle name="20% - Accent1 4 7 6 3" xfId="11592"/>
    <cellStyle name="20% - Accent1 4 7 7" xfId="11593"/>
    <cellStyle name="20% - Accent1 4 7 7 2" xfId="11594"/>
    <cellStyle name="20% - Accent1 4 7 8" xfId="11595"/>
    <cellStyle name="20% - Accent1 4 7 9" xfId="11596"/>
    <cellStyle name="20% - Accent1 4 8" xfId="11597"/>
    <cellStyle name="20% - Accent1 4 8 2" xfId="11598"/>
    <cellStyle name="20% - Accent1 4 8 2 2" xfId="11599"/>
    <cellStyle name="20% - Accent1 4 8 2 3" xfId="11600"/>
    <cellStyle name="20% - Accent1 4 8 3" xfId="11601"/>
    <cellStyle name="20% - Accent1 4 8 3 2" xfId="11602"/>
    <cellStyle name="20% - Accent1 4 8 3 3" xfId="11603"/>
    <cellStyle name="20% - Accent1 4 8 4" xfId="11604"/>
    <cellStyle name="20% - Accent1 4 8 4 2" xfId="11605"/>
    <cellStyle name="20% - Accent1 4 8 5" xfId="11606"/>
    <cellStyle name="20% - Accent1 4 8 6" xfId="11607"/>
    <cellStyle name="20% - Accent1 4 9" xfId="11608"/>
    <cellStyle name="20% - Accent1 4 9 2" xfId="11609"/>
    <cellStyle name="20% - Accent1 4 9 2 2" xfId="11610"/>
    <cellStyle name="20% - Accent1 4 9 2 3" xfId="11611"/>
    <cellStyle name="20% - Accent1 4 9 3" xfId="11612"/>
    <cellStyle name="20% - Accent1 4 9 3 2" xfId="11613"/>
    <cellStyle name="20% - Accent1 4 9 3 3" xfId="11614"/>
    <cellStyle name="20% - Accent1 4 9 4" xfId="11615"/>
    <cellStyle name="20% - Accent1 4 9 4 2" xfId="11616"/>
    <cellStyle name="20% - Accent1 4 9 5" xfId="11617"/>
    <cellStyle name="20% - Accent1 4 9 6" xfId="11618"/>
    <cellStyle name="20% - Accent1 5" xfId="181"/>
    <cellStyle name="20% - Accent1 5 2" xfId="182"/>
    <cellStyle name="20% - Accent1 5 2 2" xfId="183"/>
    <cellStyle name="20% - Accent1 5 2 2 2" xfId="184"/>
    <cellStyle name="20% - Accent1 5 2 2 2 2" xfId="185"/>
    <cellStyle name="20% - Accent1 5 2 2 3" xfId="186"/>
    <cellStyle name="20% - Accent1 5 2 3" xfId="187"/>
    <cellStyle name="20% - Accent1 5 2 3 2" xfId="188"/>
    <cellStyle name="20% - Accent1 5 2 4" xfId="189"/>
    <cellStyle name="20% - Accent1 5 2 5" xfId="57836"/>
    <cellStyle name="20% - Accent1 5 3" xfId="190"/>
    <cellStyle name="20% - Accent1 5 3 2" xfId="191"/>
    <cellStyle name="20% - Accent1 5 3 2 2" xfId="192"/>
    <cellStyle name="20% - Accent1 5 3 3" xfId="193"/>
    <cellStyle name="20% - Accent1 5 4" xfId="194"/>
    <cellStyle name="20% - Accent1 5 4 2" xfId="195"/>
    <cellStyle name="20% - Accent1 5 5" xfId="196"/>
    <cellStyle name="20% - Accent1 5 6" xfId="8793"/>
    <cellStyle name="20% - Accent1 6" xfId="197"/>
    <cellStyle name="20% - Accent1 6 2" xfId="198"/>
    <cellStyle name="20% - Accent1 6 2 2" xfId="199"/>
    <cellStyle name="20% - Accent1 6 2 2 2" xfId="200"/>
    <cellStyle name="20% - Accent1 6 2 3" xfId="201"/>
    <cellStyle name="20% - Accent1 6 2 4" xfId="57837"/>
    <cellStyle name="20% - Accent1 6 2 5" xfId="57838"/>
    <cellStyle name="20% - Accent1 6 3" xfId="202"/>
    <cellStyle name="20% - Accent1 6 3 2" xfId="203"/>
    <cellStyle name="20% - Accent1 6 4" xfId="204"/>
    <cellStyle name="20% - Accent1 6 5" xfId="57839"/>
    <cellStyle name="20% - Accent1 7" xfId="205"/>
    <cellStyle name="20% - Accent1 7 2" xfId="206"/>
    <cellStyle name="20% - Accent1 7 2 2" xfId="207"/>
    <cellStyle name="20% - Accent1 7 2 2 2" xfId="208"/>
    <cellStyle name="20% - Accent1 7 2 3" xfId="209"/>
    <cellStyle name="20% - Accent1 7 3" xfId="210"/>
    <cellStyle name="20% - Accent1 7 3 2" xfId="211"/>
    <cellStyle name="20% - Accent1 7 4" xfId="212"/>
    <cellStyle name="20% - Accent1 7 5" xfId="57840"/>
    <cellStyle name="20% - Accent1 8" xfId="213"/>
    <cellStyle name="20% - Accent1 8 2" xfId="214"/>
    <cellStyle name="20% - Accent1 8 2 2" xfId="215"/>
    <cellStyle name="20% - Accent1 8 2 2 2" xfId="216"/>
    <cellStyle name="20% - Accent1 8 2 3" xfId="217"/>
    <cellStyle name="20% - Accent1 8 3" xfId="218"/>
    <cellStyle name="20% - Accent1 8 3 2" xfId="219"/>
    <cellStyle name="20% - Accent1 8 4" xfId="220"/>
    <cellStyle name="20% - Accent1 8 5" xfId="57841"/>
    <cellStyle name="20% - Accent1 9" xfId="221"/>
    <cellStyle name="20% - Accent1 9 2" xfId="222"/>
    <cellStyle name="20% - Accent1 9 2 2" xfId="223"/>
    <cellStyle name="20% - Accent1 9 3" xfId="224"/>
    <cellStyle name="20% - Accent1 9 4" xfId="57842"/>
    <cellStyle name="20% - Accent2 10" xfId="225"/>
    <cellStyle name="20% - Accent2 10 2" xfId="226"/>
    <cellStyle name="20% - Accent2 10 2 2" xfId="227"/>
    <cellStyle name="20% - Accent2 10 3" xfId="228"/>
    <cellStyle name="20% - Accent2 10 4" xfId="57843"/>
    <cellStyle name="20% - Accent2 11" xfId="229"/>
    <cellStyle name="20% - Accent2 11 2" xfId="230"/>
    <cellStyle name="20% - Accent2 11 2 2" xfId="231"/>
    <cellStyle name="20% - Accent2 11 3" xfId="232"/>
    <cellStyle name="20% - Accent2 11 4" xfId="57844"/>
    <cellStyle name="20% - Accent2 12" xfId="233"/>
    <cellStyle name="20% - Accent2 12 2" xfId="234"/>
    <cellStyle name="20% - Accent2 12 3" xfId="57845"/>
    <cellStyle name="20% - Accent2 13" xfId="235"/>
    <cellStyle name="20% - Accent2 13 2" xfId="57846"/>
    <cellStyle name="20% - Accent2 14" xfId="8794"/>
    <cellStyle name="20% - Accent2 15" xfId="9382"/>
    <cellStyle name="20% - Accent2 16" xfId="9383"/>
    <cellStyle name="20% - Accent2 17" xfId="9384"/>
    <cellStyle name="20% - Accent2 17 2" xfId="57847"/>
    <cellStyle name="20% - Accent2 18" xfId="57848"/>
    <cellStyle name="20% - Accent2 19" xfId="57849"/>
    <cellStyle name="20% - Accent2 2" xfId="236"/>
    <cellStyle name="20% - Accent2 2 2" xfId="237"/>
    <cellStyle name="20% - Accent2 2 2 2" xfId="238"/>
    <cellStyle name="20% - Accent2 2 2 2 2" xfId="239"/>
    <cellStyle name="20% - Accent2 2 2 2 2 2" xfId="240"/>
    <cellStyle name="20% - Accent2 2 2 2 2 2 2" xfId="241"/>
    <cellStyle name="20% - Accent2 2 2 2 2 2 2 2" xfId="242"/>
    <cellStyle name="20% - Accent2 2 2 2 2 2 3" xfId="243"/>
    <cellStyle name="20% - Accent2 2 2 2 2 3" xfId="244"/>
    <cellStyle name="20% - Accent2 2 2 2 2 3 2" xfId="245"/>
    <cellStyle name="20% - Accent2 2 2 2 2 4" xfId="246"/>
    <cellStyle name="20% - Accent2 2 2 2 2 5" xfId="57850"/>
    <cellStyle name="20% - Accent2 2 2 2 3" xfId="247"/>
    <cellStyle name="20% - Accent2 2 2 2 3 2" xfId="248"/>
    <cellStyle name="20% - Accent2 2 2 2 3 2 2" xfId="249"/>
    <cellStyle name="20% - Accent2 2 2 2 3 3" xfId="250"/>
    <cellStyle name="20% - Accent2 2 2 2 4" xfId="251"/>
    <cellStyle name="20% - Accent2 2 2 2 4 2" xfId="252"/>
    <cellStyle name="20% - Accent2 2 2 2 5" xfId="253"/>
    <cellStyle name="20% - Accent2 2 2 2 6" xfId="57851"/>
    <cellStyle name="20% - Accent2 2 2 3" xfId="254"/>
    <cellStyle name="20% - Accent2 2 2 3 2" xfId="255"/>
    <cellStyle name="20% - Accent2 2 2 3 2 2" xfId="256"/>
    <cellStyle name="20% - Accent2 2 2 3 2 2 2" xfId="257"/>
    <cellStyle name="20% - Accent2 2 2 3 2 3" xfId="258"/>
    <cellStyle name="20% - Accent2 2 2 3 3" xfId="259"/>
    <cellStyle name="20% - Accent2 2 2 3 3 2" xfId="260"/>
    <cellStyle name="20% - Accent2 2 2 3 4" xfId="261"/>
    <cellStyle name="20% - Accent2 2 2 3 5" xfId="57852"/>
    <cellStyle name="20% - Accent2 2 2 4" xfId="262"/>
    <cellStyle name="20% - Accent2 2 2 4 2" xfId="263"/>
    <cellStyle name="20% - Accent2 2 2 4 2 2" xfId="264"/>
    <cellStyle name="20% - Accent2 2 2 4 3" xfId="265"/>
    <cellStyle name="20% - Accent2 2 2 5" xfId="266"/>
    <cellStyle name="20% - Accent2 2 2 5 2" xfId="267"/>
    <cellStyle name="20% - Accent2 2 2 6" xfId="268"/>
    <cellStyle name="20% - Accent2 2 2 7" xfId="57853"/>
    <cellStyle name="20% - Accent2 2 3" xfId="269"/>
    <cellStyle name="20% - Accent2 2 3 2" xfId="270"/>
    <cellStyle name="20% - Accent2 2 3 2 2" xfId="271"/>
    <cellStyle name="20% - Accent2 2 3 2 2 2" xfId="272"/>
    <cellStyle name="20% - Accent2 2 3 2 2 2 2" xfId="273"/>
    <cellStyle name="20% - Accent2 2 3 2 2 3" xfId="274"/>
    <cellStyle name="20% - Accent2 2 3 2 3" xfId="275"/>
    <cellStyle name="20% - Accent2 2 3 2 3 2" xfId="276"/>
    <cellStyle name="20% - Accent2 2 3 2 4" xfId="277"/>
    <cellStyle name="20% - Accent2 2 3 3" xfId="278"/>
    <cellStyle name="20% - Accent2 2 3 3 2" xfId="279"/>
    <cellStyle name="20% - Accent2 2 3 3 2 2" xfId="280"/>
    <cellStyle name="20% - Accent2 2 3 3 3" xfId="281"/>
    <cellStyle name="20% - Accent2 2 3 4" xfId="282"/>
    <cellStyle name="20% - Accent2 2 3 4 2" xfId="283"/>
    <cellStyle name="20% - Accent2 2 3 5" xfId="284"/>
    <cellStyle name="20% - Accent2 2 3 6" xfId="57854"/>
    <cellStyle name="20% - Accent2 2 4" xfId="285"/>
    <cellStyle name="20% - Accent2 2 4 2" xfId="286"/>
    <cellStyle name="20% - Accent2 2 4 2 2" xfId="287"/>
    <cellStyle name="20% - Accent2 2 4 2 2 2" xfId="288"/>
    <cellStyle name="20% - Accent2 2 4 2 3" xfId="289"/>
    <cellStyle name="20% - Accent2 2 4 3" xfId="290"/>
    <cellStyle name="20% - Accent2 2 4 3 2" xfId="291"/>
    <cellStyle name="20% - Accent2 2 4 4" xfId="292"/>
    <cellStyle name="20% - Accent2 2 4 5" xfId="57855"/>
    <cellStyle name="20% - Accent2 2 5" xfId="293"/>
    <cellStyle name="20% - Accent2 2 5 2" xfId="294"/>
    <cellStyle name="20% - Accent2 2 5 2 2" xfId="295"/>
    <cellStyle name="20% - Accent2 2 5 3" xfId="296"/>
    <cellStyle name="20% - Accent2 2 5 4" xfId="57856"/>
    <cellStyle name="20% - Accent2 2 6" xfId="297"/>
    <cellStyle name="20% - Accent2 2 6 2" xfId="298"/>
    <cellStyle name="20% - Accent2 2 6 3" xfId="57857"/>
    <cellStyle name="20% - Accent2 2 7" xfId="299"/>
    <cellStyle name="20% - Accent2 2 8" xfId="300"/>
    <cellStyle name="20% - Accent2 2 9" xfId="57858"/>
    <cellStyle name="20% - Accent2 20" xfId="57859"/>
    <cellStyle name="20% - Accent2 21" xfId="57860"/>
    <cellStyle name="20% - Accent2 3" xfId="301"/>
    <cellStyle name="20% - Accent2 3 2" xfId="302"/>
    <cellStyle name="20% - Accent2 3 2 2" xfId="303"/>
    <cellStyle name="20% - Accent2 3 2 2 2" xfId="304"/>
    <cellStyle name="20% - Accent2 3 2 2 2 2" xfId="305"/>
    <cellStyle name="20% - Accent2 3 2 2 2 2 2" xfId="306"/>
    <cellStyle name="20% - Accent2 3 2 2 2 2 2 2" xfId="307"/>
    <cellStyle name="20% - Accent2 3 2 2 2 2 3" xfId="308"/>
    <cellStyle name="20% - Accent2 3 2 2 2 3" xfId="309"/>
    <cellStyle name="20% - Accent2 3 2 2 2 3 2" xfId="310"/>
    <cellStyle name="20% - Accent2 3 2 2 2 4" xfId="311"/>
    <cellStyle name="20% - Accent2 3 2 2 2 5" xfId="8795"/>
    <cellStyle name="20% - Accent2 3 2 2 3" xfId="312"/>
    <cellStyle name="20% - Accent2 3 2 2 3 2" xfId="313"/>
    <cellStyle name="20% - Accent2 3 2 2 3 2 2" xfId="314"/>
    <cellStyle name="20% - Accent2 3 2 2 3 3" xfId="315"/>
    <cellStyle name="20% - Accent2 3 2 2 4" xfId="316"/>
    <cellStyle name="20% - Accent2 3 2 2 4 2" xfId="317"/>
    <cellStyle name="20% - Accent2 3 2 2 5" xfId="318"/>
    <cellStyle name="20% - Accent2 3 2 2 6" xfId="8796"/>
    <cellStyle name="20% - Accent2 3 2 3" xfId="319"/>
    <cellStyle name="20% - Accent2 3 2 3 2" xfId="320"/>
    <cellStyle name="20% - Accent2 3 2 3 2 2" xfId="321"/>
    <cellStyle name="20% - Accent2 3 2 3 2 2 2" xfId="322"/>
    <cellStyle name="20% - Accent2 3 2 3 2 3" xfId="323"/>
    <cellStyle name="20% - Accent2 3 2 3 3" xfId="324"/>
    <cellStyle name="20% - Accent2 3 2 3 3 2" xfId="325"/>
    <cellStyle name="20% - Accent2 3 2 3 4" xfId="326"/>
    <cellStyle name="20% - Accent2 3 2 3 5" xfId="8797"/>
    <cellStyle name="20% - Accent2 3 2 4" xfId="327"/>
    <cellStyle name="20% - Accent2 3 2 4 2" xfId="328"/>
    <cellStyle name="20% - Accent2 3 2 4 2 2" xfId="329"/>
    <cellStyle name="20% - Accent2 3 2 4 3" xfId="330"/>
    <cellStyle name="20% - Accent2 3 2 5" xfId="331"/>
    <cellStyle name="20% - Accent2 3 2 5 2" xfId="332"/>
    <cellStyle name="20% - Accent2 3 2 6" xfId="333"/>
    <cellStyle name="20% - Accent2 3 2 7" xfId="8798"/>
    <cellStyle name="20% - Accent2 3 3" xfId="334"/>
    <cellStyle name="20% - Accent2 3 3 2" xfId="335"/>
    <cellStyle name="20% - Accent2 3 3 2 2" xfId="336"/>
    <cellStyle name="20% - Accent2 3 3 2 2 2" xfId="337"/>
    <cellStyle name="20% - Accent2 3 3 2 2 2 2" xfId="338"/>
    <cellStyle name="20% - Accent2 3 3 2 2 3" xfId="339"/>
    <cellStyle name="20% - Accent2 3 3 2 3" xfId="340"/>
    <cellStyle name="20% - Accent2 3 3 2 3 2" xfId="341"/>
    <cellStyle name="20% - Accent2 3 3 2 4" xfId="342"/>
    <cellStyle name="20% - Accent2 3 3 2 5" xfId="8799"/>
    <cellStyle name="20% - Accent2 3 3 3" xfId="343"/>
    <cellStyle name="20% - Accent2 3 3 3 2" xfId="344"/>
    <cellStyle name="20% - Accent2 3 3 3 2 2" xfId="345"/>
    <cellStyle name="20% - Accent2 3 3 3 3" xfId="346"/>
    <cellStyle name="20% - Accent2 3 3 4" xfId="347"/>
    <cellStyle name="20% - Accent2 3 3 4 2" xfId="348"/>
    <cellStyle name="20% - Accent2 3 3 5" xfId="349"/>
    <cellStyle name="20% - Accent2 3 3 6" xfId="8800"/>
    <cellStyle name="20% - Accent2 3 4" xfId="350"/>
    <cellStyle name="20% - Accent2 3 4 2" xfId="351"/>
    <cellStyle name="20% - Accent2 3 4 2 2" xfId="352"/>
    <cellStyle name="20% - Accent2 3 4 2 2 2" xfId="353"/>
    <cellStyle name="20% - Accent2 3 4 2 3" xfId="354"/>
    <cellStyle name="20% - Accent2 3 4 3" xfId="355"/>
    <cellStyle name="20% - Accent2 3 4 3 2" xfId="356"/>
    <cellStyle name="20% - Accent2 3 4 4" xfId="357"/>
    <cellStyle name="20% - Accent2 3 4 5" xfId="8801"/>
    <cellStyle name="20% - Accent2 3 5" xfId="358"/>
    <cellStyle name="20% - Accent2 3 5 2" xfId="359"/>
    <cellStyle name="20% - Accent2 3 5 2 2" xfId="360"/>
    <cellStyle name="20% - Accent2 3 5 3" xfId="361"/>
    <cellStyle name="20% - Accent2 3 6" xfId="362"/>
    <cellStyle name="20% - Accent2 3 6 2" xfId="363"/>
    <cellStyle name="20% - Accent2 3 7" xfId="364"/>
    <cellStyle name="20% - Accent2 3 8" xfId="365"/>
    <cellStyle name="20% - Accent2 3 9" xfId="8802"/>
    <cellStyle name="20% - Accent2 4" xfId="366"/>
    <cellStyle name="20% - Accent2 4 10" xfId="11619"/>
    <cellStyle name="20% - Accent2 4 10 2" xfId="11620"/>
    <cellStyle name="20% - Accent2 4 10 2 2" xfId="11621"/>
    <cellStyle name="20% - Accent2 4 10 2 3" xfId="11622"/>
    <cellStyle name="20% - Accent2 4 10 3" xfId="11623"/>
    <cellStyle name="20% - Accent2 4 10 3 2" xfId="11624"/>
    <cellStyle name="20% - Accent2 4 10 4" xfId="11625"/>
    <cellStyle name="20% - Accent2 4 10 5" xfId="11626"/>
    <cellStyle name="20% - Accent2 4 11" xfId="11627"/>
    <cellStyle name="20% - Accent2 4 11 2" xfId="11628"/>
    <cellStyle name="20% - Accent2 4 11 3" xfId="11629"/>
    <cellStyle name="20% - Accent2 4 12" xfId="11630"/>
    <cellStyle name="20% - Accent2 4 12 2" xfId="11631"/>
    <cellStyle name="20% - Accent2 4 12 3" xfId="11632"/>
    <cellStyle name="20% - Accent2 4 13" xfId="11633"/>
    <cellStyle name="20% - Accent2 4 13 2" xfId="11634"/>
    <cellStyle name="20% - Accent2 4 14" xfId="11635"/>
    <cellStyle name="20% - Accent2 4 15" xfId="11636"/>
    <cellStyle name="20% - Accent2 4 16" xfId="11637"/>
    <cellStyle name="20% - Accent2 4 2" xfId="367"/>
    <cellStyle name="20% - Accent2 4 2 10" xfId="11638"/>
    <cellStyle name="20% - Accent2 4 2 10 2" xfId="11639"/>
    <cellStyle name="20% - Accent2 4 2 10 3" xfId="11640"/>
    <cellStyle name="20% - Accent2 4 2 11" xfId="11641"/>
    <cellStyle name="20% - Accent2 4 2 11 2" xfId="11642"/>
    <cellStyle name="20% - Accent2 4 2 11 3" xfId="11643"/>
    <cellStyle name="20% - Accent2 4 2 12" xfId="11644"/>
    <cellStyle name="20% - Accent2 4 2 12 2" xfId="11645"/>
    <cellStyle name="20% - Accent2 4 2 13" xfId="11646"/>
    <cellStyle name="20% - Accent2 4 2 14" xfId="11647"/>
    <cellStyle name="20% - Accent2 4 2 15" xfId="11648"/>
    <cellStyle name="20% - Accent2 4 2 2" xfId="368"/>
    <cellStyle name="20% - Accent2 4 2 2 10" xfId="11649"/>
    <cellStyle name="20% - Accent2 4 2 2 10 2" xfId="11650"/>
    <cellStyle name="20% - Accent2 4 2 2 10 3" xfId="11651"/>
    <cellStyle name="20% - Accent2 4 2 2 11" xfId="11652"/>
    <cellStyle name="20% - Accent2 4 2 2 11 2" xfId="11653"/>
    <cellStyle name="20% - Accent2 4 2 2 12" xfId="11654"/>
    <cellStyle name="20% - Accent2 4 2 2 13" xfId="11655"/>
    <cellStyle name="20% - Accent2 4 2 2 2" xfId="369"/>
    <cellStyle name="20% - Accent2 4 2 2 2 10" xfId="11656"/>
    <cellStyle name="20% - Accent2 4 2 2 2 10 2" xfId="11657"/>
    <cellStyle name="20% - Accent2 4 2 2 2 11" xfId="11658"/>
    <cellStyle name="20% - Accent2 4 2 2 2 12" xfId="11659"/>
    <cellStyle name="20% - Accent2 4 2 2 2 2" xfId="370"/>
    <cellStyle name="20% - Accent2 4 2 2 2 2 10" xfId="11660"/>
    <cellStyle name="20% - Accent2 4 2 2 2 2 2" xfId="371"/>
    <cellStyle name="20% - Accent2 4 2 2 2 2 2 2" xfId="11661"/>
    <cellStyle name="20% - Accent2 4 2 2 2 2 2 2 2" xfId="11662"/>
    <cellStyle name="20% - Accent2 4 2 2 2 2 2 2 2 2" xfId="11663"/>
    <cellStyle name="20% - Accent2 4 2 2 2 2 2 2 2 3" xfId="11664"/>
    <cellStyle name="20% - Accent2 4 2 2 2 2 2 2 3" xfId="11665"/>
    <cellStyle name="20% - Accent2 4 2 2 2 2 2 2 3 2" xfId="11666"/>
    <cellStyle name="20% - Accent2 4 2 2 2 2 2 2 3 3" xfId="11667"/>
    <cellStyle name="20% - Accent2 4 2 2 2 2 2 2 4" xfId="11668"/>
    <cellStyle name="20% - Accent2 4 2 2 2 2 2 2 4 2" xfId="11669"/>
    <cellStyle name="20% - Accent2 4 2 2 2 2 2 2 5" xfId="11670"/>
    <cellStyle name="20% - Accent2 4 2 2 2 2 2 2 6" xfId="11671"/>
    <cellStyle name="20% - Accent2 4 2 2 2 2 2 3" xfId="11672"/>
    <cellStyle name="20% - Accent2 4 2 2 2 2 2 3 2" xfId="11673"/>
    <cellStyle name="20% - Accent2 4 2 2 2 2 2 3 2 2" xfId="11674"/>
    <cellStyle name="20% - Accent2 4 2 2 2 2 2 3 2 3" xfId="11675"/>
    <cellStyle name="20% - Accent2 4 2 2 2 2 2 3 3" xfId="11676"/>
    <cellStyle name="20% - Accent2 4 2 2 2 2 2 3 3 2" xfId="11677"/>
    <cellStyle name="20% - Accent2 4 2 2 2 2 2 3 3 3" xfId="11678"/>
    <cellStyle name="20% - Accent2 4 2 2 2 2 2 3 4" xfId="11679"/>
    <cellStyle name="20% - Accent2 4 2 2 2 2 2 3 4 2" xfId="11680"/>
    <cellStyle name="20% - Accent2 4 2 2 2 2 2 3 5" xfId="11681"/>
    <cellStyle name="20% - Accent2 4 2 2 2 2 2 3 6" xfId="11682"/>
    <cellStyle name="20% - Accent2 4 2 2 2 2 2 4" xfId="11683"/>
    <cellStyle name="20% - Accent2 4 2 2 2 2 2 4 2" xfId="11684"/>
    <cellStyle name="20% - Accent2 4 2 2 2 2 2 4 2 2" xfId="11685"/>
    <cellStyle name="20% - Accent2 4 2 2 2 2 2 4 2 3" xfId="11686"/>
    <cellStyle name="20% - Accent2 4 2 2 2 2 2 4 3" xfId="11687"/>
    <cellStyle name="20% - Accent2 4 2 2 2 2 2 4 3 2" xfId="11688"/>
    <cellStyle name="20% - Accent2 4 2 2 2 2 2 4 4" xfId="11689"/>
    <cellStyle name="20% - Accent2 4 2 2 2 2 2 4 5" xfId="11690"/>
    <cellStyle name="20% - Accent2 4 2 2 2 2 2 5" xfId="11691"/>
    <cellStyle name="20% - Accent2 4 2 2 2 2 2 5 2" xfId="11692"/>
    <cellStyle name="20% - Accent2 4 2 2 2 2 2 5 3" xfId="11693"/>
    <cellStyle name="20% - Accent2 4 2 2 2 2 2 6" xfId="11694"/>
    <cellStyle name="20% - Accent2 4 2 2 2 2 2 6 2" xfId="11695"/>
    <cellStyle name="20% - Accent2 4 2 2 2 2 2 6 3" xfId="11696"/>
    <cellStyle name="20% - Accent2 4 2 2 2 2 2 7" xfId="11697"/>
    <cellStyle name="20% - Accent2 4 2 2 2 2 2 7 2" xfId="11698"/>
    <cellStyle name="20% - Accent2 4 2 2 2 2 2 8" xfId="11699"/>
    <cellStyle name="20% - Accent2 4 2 2 2 2 2 9" xfId="11700"/>
    <cellStyle name="20% - Accent2 4 2 2 2 2 3" xfId="11701"/>
    <cellStyle name="20% - Accent2 4 2 2 2 2 3 2" xfId="11702"/>
    <cellStyle name="20% - Accent2 4 2 2 2 2 3 2 2" xfId="11703"/>
    <cellStyle name="20% - Accent2 4 2 2 2 2 3 2 3" xfId="11704"/>
    <cellStyle name="20% - Accent2 4 2 2 2 2 3 3" xfId="11705"/>
    <cellStyle name="20% - Accent2 4 2 2 2 2 3 3 2" xfId="11706"/>
    <cellStyle name="20% - Accent2 4 2 2 2 2 3 3 3" xfId="11707"/>
    <cellStyle name="20% - Accent2 4 2 2 2 2 3 4" xfId="11708"/>
    <cellStyle name="20% - Accent2 4 2 2 2 2 3 4 2" xfId="11709"/>
    <cellStyle name="20% - Accent2 4 2 2 2 2 3 5" xfId="11710"/>
    <cellStyle name="20% - Accent2 4 2 2 2 2 3 6" xfId="11711"/>
    <cellStyle name="20% - Accent2 4 2 2 2 2 4" xfId="11712"/>
    <cellStyle name="20% - Accent2 4 2 2 2 2 4 2" xfId="11713"/>
    <cellStyle name="20% - Accent2 4 2 2 2 2 4 2 2" xfId="11714"/>
    <cellStyle name="20% - Accent2 4 2 2 2 2 4 2 3" xfId="11715"/>
    <cellStyle name="20% - Accent2 4 2 2 2 2 4 3" xfId="11716"/>
    <cellStyle name="20% - Accent2 4 2 2 2 2 4 3 2" xfId="11717"/>
    <cellStyle name="20% - Accent2 4 2 2 2 2 4 3 3" xfId="11718"/>
    <cellStyle name="20% - Accent2 4 2 2 2 2 4 4" xfId="11719"/>
    <cellStyle name="20% - Accent2 4 2 2 2 2 4 4 2" xfId="11720"/>
    <cellStyle name="20% - Accent2 4 2 2 2 2 4 5" xfId="11721"/>
    <cellStyle name="20% - Accent2 4 2 2 2 2 4 6" xfId="11722"/>
    <cellStyle name="20% - Accent2 4 2 2 2 2 5" xfId="11723"/>
    <cellStyle name="20% - Accent2 4 2 2 2 2 5 2" xfId="11724"/>
    <cellStyle name="20% - Accent2 4 2 2 2 2 5 2 2" xfId="11725"/>
    <cellStyle name="20% - Accent2 4 2 2 2 2 5 2 3" xfId="11726"/>
    <cellStyle name="20% - Accent2 4 2 2 2 2 5 3" xfId="11727"/>
    <cellStyle name="20% - Accent2 4 2 2 2 2 5 3 2" xfId="11728"/>
    <cellStyle name="20% - Accent2 4 2 2 2 2 5 4" xfId="11729"/>
    <cellStyle name="20% - Accent2 4 2 2 2 2 5 5" xfId="11730"/>
    <cellStyle name="20% - Accent2 4 2 2 2 2 6" xfId="11731"/>
    <cellStyle name="20% - Accent2 4 2 2 2 2 6 2" xfId="11732"/>
    <cellStyle name="20% - Accent2 4 2 2 2 2 6 3" xfId="11733"/>
    <cellStyle name="20% - Accent2 4 2 2 2 2 7" xfId="11734"/>
    <cellStyle name="20% - Accent2 4 2 2 2 2 7 2" xfId="11735"/>
    <cellStyle name="20% - Accent2 4 2 2 2 2 7 3" xfId="11736"/>
    <cellStyle name="20% - Accent2 4 2 2 2 2 8" xfId="11737"/>
    <cellStyle name="20% - Accent2 4 2 2 2 2 8 2" xfId="11738"/>
    <cellStyle name="20% - Accent2 4 2 2 2 2 9" xfId="11739"/>
    <cellStyle name="20% - Accent2 4 2 2 2 3" xfId="372"/>
    <cellStyle name="20% - Accent2 4 2 2 2 3 2" xfId="11740"/>
    <cellStyle name="20% - Accent2 4 2 2 2 3 2 2" xfId="11741"/>
    <cellStyle name="20% - Accent2 4 2 2 2 3 2 2 2" xfId="11742"/>
    <cellStyle name="20% - Accent2 4 2 2 2 3 2 2 3" xfId="11743"/>
    <cellStyle name="20% - Accent2 4 2 2 2 3 2 3" xfId="11744"/>
    <cellStyle name="20% - Accent2 4 2 2 2 3 2 3 2" xfId="11745"/>
    <cellStyle name="20% - Accent2 4 2 2 2 3 2 3 3" xfId="11746"/>
    <cellStyle name="20% - Accent2 4 2 2 2 3 2 4" xfId="11747"/>
    <cellStyle name="20% - Accent2 4 2 2 2 3 2 4 2" xfId="11748"/>
    <cellStyle name="20% - Accent2 4 2 2 2 3 2 5" xfId="11749"/>
    <cellStyle name="20% - Accent2 4 2 2 2 3 2 6" xfId="11750"/>
    <cellStyle name="20% - Accent2 4 2 2 2 3 3" xfId="11751"/>
    <cellStyle name="20% - Accent2 4 2 2 2 3 3 2" xfId="11752"/>
    <cellStyle name="20% - Accent2 4 2 2 2 3 3 2 2" xfId="11753"/>
    <cellStyle name="20% - Accent2 4 2 2 2 3 3 2 3" xfId="11754"/>
    <cellStyle name="20% - Accent2 4 2 2 2 3 3 3" xfId="11755"/>
    <cellStyle name="20% - Accent2 4 2 2 2 3 3 3 2" xfId="11756"/>
    <cellStyle name="20% - Accent2 4 2 2 2 3 3 3 3" xfId="11757"/>
    <cellStyle name="20% - Accent2 4 2 2 2 3 3 4" xfId="11758"/>
    <cellStyle name="20% - Accent2 4 2 2 2 3 3 4 2" xfId="11759"/>
    <cellStyle name="20% - Accent2 4 2 2 2 3 3 5" xfId="11760"/>
    <cellStyle name="20% - Accent2 4 2 2 2 3 3 6" xfId="11761"/>
    <cellStyle name="20% - Accent2 4 2 2 2 3 4" xfId="11762"/>
    <cellStyle name="20% - Accent2 4 2 2 2 3 4 2" xfId="11763"/>
    <cellStyle name="20% - Accent2 4 2 2 2 3 4 2 2" xfId="11764"/>
    <cellStyle name="20% - Accent2 4 2 2 2 3 4 2 3" xfId="11765"/>
    <cellStyle name="20% - Accent2 4 2 2 2 3 4 3" xfId="11766"/>
    <cellStyle name="20% - Accent2 4 2 2 2 3 4 3 2" xfId="11767"/>
    <cellStyle name="20% - Accent2 4 2 2 2 3 4 4" xfId="11768"/>
    <cellStyle name="20% - Accent2 4 2 2 2 3 4 5" xfId="11769"/>
    <cellStyle name="20% - Accent2 4 2 2 2 3 5" xfId="11770"/>
    <cellStyle name="20% - Accent2 4 2 2 2 3 5 2" xfId="11771"/>
    <cellStyle name="20% - Accent2 4 2 2 2 3 5 3" xfId="11772"/>
    <cellStyle name="20% - Accent2 4 2 2 2 3 6" xfId="11773"/>
    <cellStyle name="20% - Accent2 4 2 2 2 3 6 2" xfId="11774"/>
    <cellStyle name="20% - Accent2 4 2 2 2 3 6 3" xfId="11775"/>
    <cellStyle name="20% - Accent2 4 2 2 2 3 7" xfId="11776"/>
    <cellStyle name="20% - Accent2 4 2 2 2 3 7 2" xfId="11777"/>
    <cellStyle name="20% - Accent2 4 2 2 2 3 8" xfId="11778"/>
    <cellStyle name="20% - Accent2 4 2 2 2 3 9" xfId="11779"/>
    <cellStyle name="20% - Accent2 4 2 2 2 4" xfId="11780"/>
    <cellStyle name="20% - Accent2 4 2 2 2 4 2" xfId="11781"/>
    <cellStyle name="20% - Accent2 4 2 2 2 4 2 2" xfId="11782"/>
    <cellStyle name="20% - Accent2 4 2 2 2 4 2 2 2" xfId="11783"/>
    <cellStyle name="20% - Accent2 4 2 2 2 4 2 2 3" xfId="11784"/>
    <cellStyle name="20% - Accent2 4 2 2 2 4 2 3" xfId="11785"/>
    <cellStyle name="20% - Accent2 4 2 2 2 4 2 3 2" xfId="11786"/>
    <cellStyle name="20% - Accent2 4 2 2 2 4 2 3 3" xfId="11787"/>
    <cellStyle name="20% - Accent2 4 2 2 2 4 2 4" xfId="11788"/>
    <cellStyle name="20% - Accent2 4 2 2 2 4 2 4 2" xfId="11789"/>
    <cellStyle name="20% - Accent2 4 2 2 2 4 2 5" xfId="11790"/>
    <cellStyle name="20% - Accent2 4 2 2 2 4 2 6" xfId="11791"/>
    <cellStyle name="20% - Accent2 4 2 2 2 4 3" xfId="11792"/>
    <cellStyle name="20% - Accent2 4 2 2 2 4 3 2" xfId="11793"/>
    <cellStyle name="20% - Accent2 4 2 2 2 4 3 2 2" xfId="11794"/>
    <cellStyle name="20% - Accent2 4 2 2 2 4 3 2 3" xfId="11795"/>
    <cellStyle name="20% - Accent2 4 2 2 2 4 3 3" xfId="11796"/>
    <cellStyle name="20% - Accent2 4 2 2 2 4 3 3 2" xfId="11797"/>
    <cellStyle name="20% - Accent2 4 2 2 2 4 3 3 3" xfId="11798"/>
    <cellStyle name="20% - Accent2 4 2 2 2 4 3 4" xfId="11799"/>
    <cellStyle name="20% - Accent2 4 2 2 2 4 3 4 2" xfId="11800"/>
    <cellStyle name="20% - Accent2 4 2 2 2 4 3 5" xfId="11801"/>
    <cellStyle name="20% - Accent2 4 2 2 2 4 3 6" xfId="11802"/>
    <cellStyle name="20% - Accent2 4 2 2 2 4 4" xfId="11803"/>
    <cellStyle name="20% - Accent2 4 2 2 2 4 4 2" xfId="11804"/>
    <cellStyle name="20% - Accent2 4 2 2 2 4 4 2 2" xfId="11805"/>
    <cellStyle name="20% - Accent2 4 2 2 2 4 4 2 3" xfId="11806"/>
    <cellStyle name="20% - Accent2 4 2 2 2 4 4 3" xfId="11807"/>
    <cellStyle name="20% - Accent2 4 2 2 2 4 4 3 2" xfId="11808"/>
    <cellStyle name="20% - Accent2 4 2 2 2 4 4 4" xfId="11809"/>
    <cellStyle name="20% - Accent2 4 2 2 2 4 4 5" xfId="11810"/>
    <cellStyle name="20% - Accent2 4 2 2 2 4 5" xfId="11811"/>
    <cellStyle name="20% - Accent2 4 2 2 2 4 5 2" xfId="11812"/>
    <cellStyle name="20% - Accent2 4 2 2 2 4 5 3" xfId="11813"/>
    <cellStyle name="20% - Accent2 4 2 2 2 4 6" xfId="11814"/>
    <cellStyle name="20% - Accent2 4 2 2 2 4 6 2" xfId="11815"/>
    <cellStyle name="20% - Accent2 4 2 2 2 4 6 3" xfId="11816"/>
    <cellStyle name="20% - Accent2 4 2 2 2 4 7" xfId="11817"/>
    <cellStyle name="20% - Accent2 4 2 2 2 4 7 2" xfId="11818"/>
    <cellStyle name="20% - Accent2 4 2 2 2 4 8" xfId="11819"/>
    <cellStyle name="20% - Accent2 4 2 2 2 4 9" xfId="11820"/>
    <cellStyle name="20% - Accent2 4 2 2 2 5" xfId="11821"/>
    <cellStyle name="20% - Accent2 4 2 2 2 5 2" xfId="11822"/>
    <cellStyle name="20% - Accent2 4 2 2 2 5 2 2" xfId="11823"/>
    <cellStyle name="20% - Accent2 4 2 2 2 5 2 3" xfId="11824"/>
    <cellStyle name="20% - Accent2 4 2 2 2 5 3" xfId="11825"/>
    <cellStyle name="20% - Accent2 4 2 2 2 5 3 2" xfId="11826"/>
    <cellStyle name="20% - Accent2 4 2 2 2 5 3 3" xfId="11827"/>
    <cellStyle name="20% - Accent2 4 2 2 2 5 4" xfId="11828"/>
    <cellStyle name="20% - Accent2 4 2 2 2 5 4 2" xfId="11829"/>
    <cellStyle name="20% - Accent2 4 2 2 2 5 5" xfId="11830"/>
    <cellStyle name="20% - Accent2 4 2 2 2 5 6" xfId="11831"/>
    <cellStyle name="20% - Accent2 4 2 2 2 6" xfId="11832"/>
    <cellStyle name="20% - Accent2 4 2 2 2 6 2" xfId="11833"/>
    <cellStyle name="20% - Accent2 4 2 2 2 6 2 2" xfId="11834"/>
    <cellStyle name="20% - Accent2 4 2 2 2 6 2 3" xfId="11835"/>
    <cellStyle name="20% - Accent2 4 2 2 2 6 3" xfId="11836"/>
    <cellStyle name="20% - Accent2 4 2 2 2 6 3 2" xfId="11837"/>
    <cellStyle name="20% - Accent2 4 2 2 2 6 3 3" xfId="11838"/>
    <cellStyle name="20% - Accent2 4 2 2 2 6 4" xfId="11839"/>
    <cellStyle name="20% - Accent2 4 2 2 2 6 4 2" xfId="11840"/>
    <cellStyle name="20% - Accent2 4 2 2 2 6 5" xfId="11841"/>
    <cellStyle name="20% - Accent2 4 2 2 2 6 6" xfId="11842"/>
    <cellStyle name="20% - Accent2 4 2 2 2 7" xfId="11843"/>
    <cellStyle name="20% - Accent2 4 2 2 2 7 2" xfId="11844"/>
    <cellStyle name="20% - Accent2 4 2 2 2 7 2 2" xfId="11845"/>
    <cellStyle name="20% - Accent2 4 2 2 2 7 2 3" xfId="11846"/>
    <cellStyle name="20% - Accent2 4 2 2 2 7 3" xfId="11847"/>
    <cellStyle name="20% - Accent2 4 2 2 2 7 3 2" xfId="11848"/>
    <cellStyle name="20% - Accent2 4 2 2 2 7 4" xfId="11849"/>
    <cellStyle name="20% - Accent2 4 2 2 2 7 5" xfId="11850"/>
    <cellStyle name="20% - Accent2 4 2 2 2 8" xfId="11851"/>
    <cellStyle name="20% - Accent2 4 2 2 2 8 2" xfId="11852"/>
    <cellStyle name="20% - Accent2 4 2 2 2 8 3" xfId="11853"/>
    <cellStyle name="20% - Accent2 4 2 2 2 9" xfId="11854"/>
    <cellStyle name="20% - Accent2 4 2 2 2 9 2" xfId="11855"/>
    <cellStyle name="20% - Accent2 4 2 2 2 9 3" xfId="11856"/>
    <cellStyle name="20% - Accent2 4 2 2 3" xfId="373"/>
    <cellStyle name="20% - Accent2 4 2 2 3 10" xfId="11857"/>
    <cellStyle name="20% - Accent2 4 2 2 3 2" xfId="374"/>
    <cellStyle name="20% - Accent2 4 2 2 3 2 2" xfId="11858"/>
    <cellStyle name="20% - Accent2 4 2 2 3 2 2 2" xfId="11859"/>
    <cellStyle name="20% - Accent2 4 2 2 3 2 2 2 2" xfId="11860"/>
    <cellStyle name="20% - Accent2 4 2 2 3 2 2 2 3" xfId="11861"/>
    <cellStyle name="20% - Accent2 4 2 2 3 2 2 3" xfId="11862"/>
    <cellStyle name="20% - Accent2 4 2 2 3 2 2 3 2" xfId="11863"/>
    <cellStyle name="20% - Accent2 4 2 2 3 2 2 3 3" xfId="11864"/>
    <cellStyle name="20% - Accent2 4 2 2 3 2 2 4" xfId="11865"/>
    <cellStyle name="20% - Accent2 4 2 2 3 2 2 4 2" xfId="11866"/>
    <cellStyle name="20% - Accent2 4 2 2 3 2 2 5" xfId="11867"/>
    <cellStyle name="20% - Accent2 4 2 2 3 2 2 6" xfId="11868"/>
    <cellStyle name="20% - Accent2 4 2 2 3 2 3" xfId="11869"/>
    <cellStyle name="20% - Accent2 4 2 2 3 2 3 2" xfId="11870"/>
    <cellStyle name="20% - Accent2 4 2 2 3 2 3 2 2" xfId="11871"/>
    <cellStyle name="20% - Accent2 4 2 2 3 2 3 2 3" xfId="11872"/>
    <cellStyle name="20% - Accent2 4 2 2 3 2 3 3" xfId="11873"/>
    <cellStyle name="20% - Accent2 4 2 2 3 2 3 3 2" xfId="11874"/>
    <cellStyle name="20% - Accent2 4 2 2 3 2 3 3 3" xfId="11875"/>
    <cellStyle name="20% - Accent2 4 2 2 3 2 3 4" xfId="11876"/>
    <cellStyle name="20% - Accent2 4 2 2 3 2 3 4 2" xfId="11877"/>
    <cellStyle name="20% - Accent2 4 2 2 3 2 3 5" xfId="11878"/>
    <cellStyle name="20% - Accent2 4 2 2 3 2 3 6" xfId="11879"/>
    <cellStyle name="20% - Accent2 4 2 2 3 2 4" xfId="11880"/>
    <cellStyle name="20% - Accent2 4 2 2 3 2 4 2" xfId="11881"/>
    <cellStyle name="20% - Accent2 4 2 2 3 2 4 2 2" xfId="11882"/>
    <cellStyle name="20% - Accent2 4 2 2 3 2 4 2 3" xfId="11883"/>
    <cellStyle name="20% - Accent2 4 2 2 3 2 4 3" xfId="11884"/>
    <cellStyle name="20% - Accent2 4 2 2 3 2 4 3 2" xfId="11885"/>
    <cellStyle name="20% - Accent2 4 2 2 3 2 4 4" xfId="11886"/>
    <cellStyle name="20% - Accent2 4 2 2 3 2 4 5" xfId="11887"/>
    <cellStyle name="20% - Accent2 4 2 2 3 2 5" xfId="11888"/>
    <cellStyle name="20% - Accent2 4 2 2 3 2 5 2" xfId="11889"/>
    <cellStyle name="20% - Accent2 4 2 2 3 2 5 3" xfId="11890"/>
    <cellStyle name="20% - Accent2 4 2 2 3 2 6" xfId="11891"/>
    <cellStyle name="20% - Accent2 4 2 2 3 2 6 2" xfId="11892"/>
    <cellStyle name="20% - Accent2 4 2 2 3 2 6 3" xfId="11893"/>
    <cellStyle name="20% - Accent2 4 2 2 3 2 7" xfId="11894"/>
    <cellStyle name="20% - Accent2 4 2 2 3 2 7 2" xfId="11895"/>
    <cellStyle name="20% - Accent2 4 2 2 3 2 8" xfId="11896"/>
    <cellStyle name="20% - Accent2 4 2 2 3 2 9" xfId="11897"/>
    <cellStyle name="20% - Accent2 4 2 2 3 3" xfId="11898"/>
    <cellStyle name="20% - Accent2 4 2 2 3 3 2" xfId="11899"/>
    <cellStyle name="20% - Accent2 4 2 2 3 3 2 2" xfId="11900"/>
    <cellStyle name="20% - Accent2 4 2 2 3 3 2 3" xfId="11901"/>
    <cellStyle name="20% - Accent2 4 2 2 3 3 3" xfId="11902"/>
    <cellStyle name="20% - Accent2 4 2 2 3 3 3 2" xfId="11903"/>
    <cellStyle name="20% - Accent2 4 2 2 3 3 3 3" xfId="11904"/>
    <cellStyle name="20% - Accent2 4 2 2 3 3 4" xfId="11905"/>
    <cellStyle name="20% - Accent2 4 2 2 3 3 4 2" xfId="11906"/>
    <cellStyle name="20% - Accent2 4 2 2 3 3 5" xfId="11907"/>
    <cellStyle name="20% - Accent2 4 2 2 3 3 6" xfId="11908"/>
    <cellStyle name="20% - Accent2 4 2 2 3 4" xfId="11909"/>
    <cellStyle name="20% - Accent2 4 2 2 3 4 2" xfId="11910"/>
    <cellStyle name="20% - Accent2 4 2 2 3 4 2 2" xfId="11911"/>
    <cellStyle name="20% - Accent2 4 2 2 3 4 2 3" xfId="11912"/>
    <cellStyle name="20% - Accent2 4 2 2 3 4 3" xfId="11913"/>
    <cellStyle name="20% - Accent2 4 2 2 3 4 3 2" xfId="11914"/>
    <cellStyle name="20% - Accent2 4 2 2 3 4 3 3" xfId="11915"/>
    <cellStyle name="20% - Accent2 4 2 2 3 4 4" xfId="11916"/>
    <cellStyle name="20% - Accent2 4 2 2 3 4 4 2" xfId="11917"/>
    <cellStyle name="20% - Accent2 4 2 2 3 4 5" xfId="11918"/>
    <cellStyle name="20% - Accent2 4 2 2 3 4 6" xfId="11919"/>
    <cellStyle name="20% - Accent2 4 2 2 3 5" xfId="11920"/>
    <cellStyle name="20% - Accent2 4 2 2 3 5 2" xfId="11921"/>
    <cellStyle name="20% - Accent2 4 2 2 3 5 2 2" xfId="11922"/>
    <cellStyle name="20% - Accent2 4 2 2 3 5 2 3" xfId="11923"/>
    <cellStyle name="20% - Accent2 4 2 2 3 5 3" xfId="11924"/>
    <cellStyle name="20% - Accent2 4 2 2 3 5 3 2" xfId="11925"/>
    <cellStyle name="20% - Accent2 4 2 2 3 5 4" xfId="11926"/>
    <cellStyle name="20% - Accent2 4 2 2 3 5 5" xfId="11927"/>
    <cellStyle name="20% - Accent2 4 2 2 3 6" xfId="11928"/>
    <cellStyle name="20% - Accent2 4 2 2 3 6 2" xfId="11929"/>
    <cellStyle name="20% - Accent2 4 2 2 3 6 3" xfId="11930"/>
    <cellStyle name="20% - Accent2 4 2 2 3 7" xfId="11931"/>
    <cellStyle name="20% - Accent2 4 2 2 3 7 2" xfId="11932"/>
    <cellStyle name="20% - Accent2 4 2 2 3 7 3" xfId="11933"/>
    <cellStyle name="20% - Accent2 4 2 2 3 8" xfId="11934"/>
    <cellStyle name="20% - Accent2 4 2 2 3 8 2" xfId="11935"/>
    <cellStyle name="20% - Accent2 4 2 2 3 9" xfId="11936"/>
    <cellStyle name="20% - Accent2 4 2 2 4" xfId="375"/>
    <cellStyle name="20% - Accent2 4 2 2 4 2" xfId="11937"/>
    <cellStyle name="20% - Accent2 4 2 2 4 2 2" xfId="11938"/>
    <cellStyle name="20% - Accent2 4 2 2 4 2 2 2" xfId="11939"/>
    <cellStyle name="20% - Accent2 4 2 2 4 2 2 3" xfId="11940"/>
    <cellStyle name="20% - Accent2 4 2 2 4 2 3" xfId="11941"/>
    <cellStyle name="20% - Accent2 4 2 2 4 2 3 2" xfId="11942"/>
    <cellStyle name="20% - Accent2 4 2 2 4 2 3 3" xfId="11943"/>
    <cellStyle name="20% - Accent2 4 2 2 4 2 4" xfId="11944"/>
    <cellStyle name="20% - Accent2 4 2 2 4 2 4 2" xfId="11945"/>
    <cellStyle name="20% - Accent2 4 2 2 4 2 5" xfId="11946"/>
    <cellStyle name="20% - Accent2 4 2 2 4 2 6" xfId="11947"/>
    <cellStyle name="20% - Accent2 4 2 2 4 3" xfId="11948"/>
    <cellStyle name="20% - Accent2 4 2 2 4 3 2" xfId="11949"/>
    <cellStyle name="20% - Accent2 4 2 2 4 3 2 2" xfId="11950"/>
    <cellStyle name="20% - Accent2 4 2 2 4 3 2 3" xfId="11951"/>
    <cellStyle name="20% - Accent2 4 2 2 4 3 3" xfId="11952"/>
    <cellStyle name="20% - Accent2 4 2 2 4 3 3 2" xfId="11953"/>
    <cellStyle name="20% - Accent2 4 2 2 4 3 3 3" xfId="11954"/>
    <cellStyle name="20% - Accent2 4 2 2 4 3 4" xfId="11955"/>
    <cellStyle name="20% - Accent2 4 2 2 4 3 4 2" xfId="11956"/>
    <cellStyle name="20% - Accent2 4 2 2 4 3 5" xfId="11957"/>
    <cellStyle name="20% - Accent2 4 2 2 4 3 6" xfId="11958"/>
    <cellStyle name="20% - Accent2 4 2 2 4 4" xfId="11959"/>
    <cellStyle name="20% - Accent2 4 2 2 4 4 2" xfId="11960"/>
    <cellStyle name="20% - Accent2 4 2 2 4 4 2 2" xfId="11961"/>
    <cellStyle name="20% - Accent2 4 2 2 4 4 2 3" xfId="11962"/>
    <cellStyle name="20% - Accent2 4 2 2 4 4 3" xfId="11963"/>
    <cellStyle name="20% - Accent2 4 2 2 4 4 3 2" xfId="11964"/>
    <cellStyle name="20% - Accent2 4 2 2 4 4 4" xfId="11965"/>
    <cellStyle name="20% - Accent2 4 2 2 4 4 5" xfId="11966"/>
    <cellStyle name="20% - Accent2 4 2 2 4 5" xfId="11967"/>
    <cellStyle name="20% - Accent2 4 2 2 4 5 2" xfId="11968"/>
    <cellStyle name="20% - Accent2 4 2 2 4 5 3" xfId="11969"/>
    <cellStyle name="20% - Accent2 4 2 2 4 6" xfId="11970"/>
    <cellStyle name="20% - Accent2 4 2 2 4 6 2" xfId="11971"/>
    <cellStyle name="20% - Accent2 4 2 2 4 6 3" xfId="11972"/>
    <cellStyle name="20% - Accent2 4 2 2 4 7" xfId="11973"/>
    <cellStyle name="20% - Accent2 4 2 2 4 7 2" xfId="11974"/>
    <cellStyle name="20% - Accent2 4 2 2 4 8" xfId="11975"/>
    <cellStyle name="20% - Accent2 4 2 2 4 9" xfId="11976"/>
    <cellStyle name="20% - Accent2 4 2 2 5" xfId="11977"/>
    <cellStyle name="20% - Accent2 4 2 2 5 2" xfId="11978"/>
    <cellStyle name="20% - Accent2 4 2 2 5 2 2" xfId="11979"/>
    <cellStyle name="20% - Accent2 4 2 2 5 2 2 2" xfId="11980"/>
    <cellStyle name="20% - Accent2 4 2 2 5 2 2 3" xfId="11981"/>
    <cellStyle name="20% - Accent2 4 2 2 5 2 3" xfId="11982"/>
    <cellStyle name="20% - Accent2 4 2 2 5 2 3 2" xfId="11983"/>
    <cellStyle name="20% - Accent2 4 2 2 5 2 3 3" xfId="11984"/>
    <cellStyle name="20% - Accent2 4 2 2 5 2 4" xfId="11985"/>
    <cellStyle name="20% - Accent2 4 2 2 5 2 4 2" xfId="11986"/>
    <cellStyle name="20% - Accent2 4 2 2 5 2 5" xfId="11987"/>
    <cellStyle name="20% - Accent2 4 2 2 5 2 6" xfId="11988"/>
    <cellStyle name="20% - Accent2 4 2 2 5 3" xfId="11989"/>
    <cellStyle name="20% - Accent2 4 2 2 5 3 2" xfId="11990"/>
    <cellStyle name="20% - Accent2 4 2 2 5 3 2 2" xfId="11991"/>
    <cellStyle name="20% - Accent2 4 2 2 5 3 2 3" xfId="11992"/>
    <cellStyle name="20% - Accent2 4 2 2 5 3 3" xfId="11993"/>
    <cellStyle name="20% - Accent2 4 2 2 5 3 3 2" xfId="11994"/>
    <cellStyle name="20% - Accent2 4 2 2 5 3 3 3" xfId="11995"/>
    <cellStyle name="20% - Accent2 4 2 2 5 3 4" xfId="11996"/>
    <cellStyle name="20% - Accent2 4 2 2 5 3 4 2" xfId="11997"/>
    <cellStyle name="20% - Accent2 4 2 2 5 3 5" xfId="11998"/>
    <cellStyle name="20% - Accent2 4 2 2 5 3 6" xfId="11999"/>
    <cellStyle name="20% - Accent2 4 2 2 5 4" xfId="12000"/>
    <cellStyle name="20% - Accent2 4 2 2 5 4 2" xfId="12001"/>
    <cellStyle name="20% - Accent2 4 2 2 5 4 2 2" xfId="12002"/>
    <cellStyle name="20% - Accent2 4 2 2 5 4 2 3" xfId="12003"/>
    <cellStyle name="20% - Accent2 4 2 2 5 4 3" xfId="12004"/>
    <cellStyle name="20% - Accent2 4 2 2 5 4 3 2" xfId="12005"/>
    <cellStyle name="20% - Accent2 4 2 2 5 4 4" xfId="12006"/>
    <cellStyle name="20% - Accent2 4 2 2 5 4 5" xfId="12007"/>
    <cellStyle name="20% - Accent2 4 2 2 5 5" xfId="12008"/>
    <cellStyle name="20% - Accent2 4 2 2 5 5 2" xfId="12009"/>
    <cellStyle name="20% - Accent2 4 2 2 5 5 3" xfId="12010"/>
    <cellStyle name="20% - Accent2 4 2 2 5 6" xfId="12011"/>
    <cellStyle name="20% - Accent2 4 2 2 5 6 2" xfId="12012"/>
    <cellStyle name="20% - Accent2 4 2 2 5 6 3" xfId="12013"/>
    <cellStyle name="20% - Accent2 4 2 2 5 7" xfId="12014"/>
    <cellStyle name="20% - Accent2 4 2 2 5 7 2" xfId="12015"/>
    <cellStyle name="20% - Accent2 4 2 2 5 8" xfId="12016"/>
    <cellStyle name="20% - Accent2 4 2 2 5 9" xfId="12017"/>
    <cellStyle name="20% - Accent2 4 2 2 6" xfId="12018"/>
    <cellStyle name="20% - Accent2 4 2 2 6 2" xfId="12019"/>
    <cellStyle name="20% - Accent2 4 2 2 6 2 2" xfId="12020"/>
    <cellStyle name="20% - Accent2 4 2 2 6 2 3" xfId="12021"/>
    <cellStyle name="20% - Accent2 4 2 2 6 3" xfId="12022"/>
    <cellStyle name="20% - Accent2 4 2 2 6 3 2" xfId="12023"/>
    <cellStyle name="20% - Accent2 4 2 2 6 3 3" xfId="12024"/>
    <cellStyle name="20% - Accent2 4 2 2 6 4" xfId="12025"/>
    <cellStyle name="20% - Accent2 4 2 2 6 4 2" xfId="12026"/>
    <cellStyle name="20% - Accent2 4 2 2 6 5" xfId="12027"/>
    <cellStyle name="20% - Accent2 4 2 2 6 6" xfId="12028"/>
    <cellStyle name="20% - Accent2 4 2 2 7" xfId="12029"/>
    <cellStyle name="20% - Accent2 4 2 2 7 2" xfId="12030"/>
    <cellStyle name="20% - Accent2 4 2 2 7 2 2" xfId="12031"/>
    <cellStyle name="20% - Accent2 4 2 2 7 2 3" xfId="12032"/>
    <cellStyle name="20% - Accent2 4 2 2 7 3" xfId="12033"/>
    <cellStyle name="20% - Accent2 4 2 2 7 3 2" xfId="12034"/>
    <cellStyle name="20% - Accent2 4 2 2 7 3 3" xfId="12035"/>
    <cellStyle name="20% - Accent2 4 2 2 7 4" xfId="12036"/>
    <cellStyle name="20% - Accent2 4 2 2 7 4 2" xfId="12037"/>
    <cellStyle name="20% - Accent2 4 2 2 7 5" xfId="12038"/>
    <cellStyle name="20% - Accent2 4 2 2 7 6" xfId="12039"/>
    <cellStyle name="20% - Accent2 4 2 2 8" xfId="12040"/>
    <cellStyle name="20% - Accent2 4 2 2 8 2" xfId="12041"/>
    <cellStyle name="20% - Accent2 4 2 2 8 2 2" xfId="12042"/>
    <cellStyle name="20% - Accent2 4 2 2 8 2 3" xfId="12043"/>
    <cellStyle name="20% - Accent2 4 2 2 8 3" xfId="12044"/>
    <cellStyle name="20% - Accent2 4 2 2 8 3 2" xfId="12045"/>
    <cellStyle name="20% - Accent2 4 2 2 8 4" xfId="12046"/>
    <cellStyle name="20% - Accent2 4 2 2 8 5" xfId="12047"/>
    <cellStyle name="20% - Accent2 4 2 2 9" xfId="12048"/>
    <cellStyle name="20% - Accent2 4 2 2 9 2" xfId="12049"/>
    <cellStyle name="20% - Accent2 4 2 2 9 3" xfId="12050"/>
    <cellStyle name="20% - Accent2 4 2 3" xfId="376"/>
    <cellStyle name="20% - Accent2 4 2 3 10" xfId="12051"/>
    <cellStyle name="20% - Accent2 4 2 3 10 2" xfId="12052"/>
    <cellStyle name="20% - Accent2 4 2 3 11" xfId="12053"/>
    <cellStyle name="20% - Accent2 4 2 3 12" xfId="12054"/>
    <cellStyle name="20% - Accent2 4 2 3 2" xfId="377"/>
    <cellStyle name="20% - Accent2 4 2 3 2 10" xfId="12055"/>
    <cellStyle name="20% - Accent2 4 2 3 2 2" xfId="378"/>
    <cellStyle name="20% - Accent2 4 2 3 2 2 2" xfId="12056"/>
    <cellStyle name="20% - Accent2 4 2 3 2 2 2 2" xfId="12057"/>
    <cellStyle name="20% - Accent2 4 2 3 2 2 2 2 2" xfId="12058"/>
    <cellStyle name="20% - Accent2 4 2 3 2 2 2 2 3" xfId="12059"/>
    <cellStyle name="20% - Accent2 4 2 3 2 2 2 3" xfId="12060"/>
    <cellStyle name="20% - Accent2 4 2 3 2 2 2 3 2" xfId="12061"/>
    <cellStyle name="20% - Accent2 4 2 3 2 2 2 3 3" xfId="12062"/>
    <cellStyle name="20% - Accent2 4 2 3 2 2 2 4" xfId="12063"/>
    <cellStyle name="20% - Accent2 4 2 3 2 2 2 4 2" xfId="12064"/>
    <cellStyle name="20% - Accent2 4 2 3 2 2 2 5" xfId="12065"/>
    <cellStyle name="20% - Accent2 4 2 3 2 2 2 6" xfId="12066"/>
    <cellStyle name="20% - Accent2 4 2 3 2 2 3" xfId="12067"/>
    <cellStyle name="20% - Accent2 4 2 3 2 2 3 2" xfId="12068"/>
    <cellStyle name="20% - Accent2 4 2 3 2 2 3 2 2" xfId="12069"/>
    <cellStyle name="20% - Accent2 4 2 3 2 2 3 2 3" xfId="12070"/>
    <cellStyle name="20% - Accent2 4 2 3 2 2 3 3" xfId="12071"/>
    <cellStyle name="20% - Accent2 4 2 3 2 2 3 3 2" xfId="12072"/>
    <cellStyle name="20% - Accent2 4 2 3 2 2 3 3 3" xfId="12073"/>
    <cellStyle name="20% - Accent2 4 2 3 2 2 3 4" xfId="12074"/>
    <cellStyle name="20% - Accent2 4 2 3 2 2 3 4 2" xfId="12075"/>
    <cellStyle name="20% - Accent2 4 2 3 2 2 3 5" xfId="12076"/>
    <cellStyle name="20% - Accent2 4 2 3 2 2 3 6" xfId="12077"/>
    <cellStyle name="20% - Accent2 4 2 3 2 2 4" xfId="12078"/>
    <cellStyle name="20% - Accent2 4 2 3 2 2 4 2" xfId="12079"/>
    <cellStyle name="20% - Accent2 4 2 3 2 2 4 2 2" xfId="12080"/>
    <cellStyle name="20% - Accent2 4 2 3 2 2 4 2 3" xfId="12081"/>
    <cellStyle name="20% - Accent2 4 2 3 2 2 4 3" xfId="12082"/>
    <cellStyle name="20% - Accent2 4 2 3 2 2 4 3 2" xfId="12083"/>
    <cellStyle name="20% - Accent2 4 2 3 2 2 4 4" xfId="12084"/>
    <cellStyle name="20% - Accent2 4 2 3 2 2 4 5" xfId="12085"/>
    <cellStyle name="20% - Accent2 4 2 3 2 2 5" xfId="12086"/>
    <cellStyle name="20% - Accent2 4 2 3 2 2 5 2" xfId="12087"/>
    <cellStyle name="20% - Accent2 4 2 3 2 2 5 3" xfId="12088"/>
    <cellStyle name="20% - Accent2 4 2 3 2 2 6" xfId="12089"/>
    <cellStyle name="20% - Accent2 4 2 3 2 2 6 2" xfId="12090"/>
    <cellStyle name="20% - Accent2 4 2 3 2 2 6 3" xfId="12091"/>
    <cellStyle name="20% - Accent2 4 2 3 2 2 7" xfId="12092"/>
    <cellStyle name="20% - Accent2 4 2 3 2 2 7 2" xfId="12093"/>
    <cellStyle name="20% - Accent2 4 2 3 2 2 8" xfId="12094"/>
    <cellStyle name="20% - Accent2 4 2 3 2 2 9" xfId="12095"/>
    <cellStyle name="20% - Accent2 4 2 3 2 3" xfId="12096"/>
    <cellStyle name="20% - Accent2 4 2 3 2 3 2" xfId="12097"/>
    <cellStyle name="20% - Accent2 4 2 3 2 3 2 2" xfId="12098"/>
    <cellStyle name="20% - Accent2 4 2 3 2 3 2 3" xfId="12099"/>
    <cellStyle name="20% - Accent2 4 2 3 2 3 3" xfId="12100"/>
    <cellStyle name="20% - Accent2 4 2 3 2 3 3 2" xfId="12101"/>
    <cellStyle name="20% - Accent2 4 2 3 2 3 3 3" xfId="12102"/>
    <cellStyle name="20% - Accent2 4 2 3 2 3 4" xfId="12103"/>
    <cellStyle name="20% - Accent2 4 2 3 2 3 4 2" xfId="12104"/>
    <cellStyle name="20% - Accent2 4 2 3 2 3 5" xfId="12105"/>
    <cellStyle name="20% - Accent2 4 2 3 2 3 6" xfId="12106"/>
    <cellStyle name="20% - Accent2 4 2 3 2 4" xfId="12107"/>
    <cellStyle name="20% - Accent2 4 2 3 2 4 2" xfId="12108"/>
    <cellStyle name="20% - Accent2 4 2 3 2 4 2 2" xfId="12109"/>
    <cellStyle name="20% - Accent2 4 2 3 2 4 2 3" xfId="12110"/>
    <cellStyle name="20% - Accent2 4 2 3 2 4 3" xfId="12111"/>
    <cellStyle name="20% - Accent2 4 2 3 2 4 3 2" xfId="12112"/>
    <cellStyle name="20% - Accent2 4 2 3 2 4 3 3" xfId="12113"/>
    <cellStyle name="20% - Accent2 4 2 3 2 4 4" xfId="12114"/>
    <cellStyle name="20% - Accent2 4 2 3 2 4 4 2" xfId="12115"/>
    <cellStyle name="20% - Accent2 4 2 3 2 4 5" xfId="12116"/>
    <cellStyle name="20% - Accent2 4 2 3 2 4 6" xfId="12117"/>
    <cellStyle name="20% - Accent2 4 2 3 2 5" xfId="12118"/>
    <cellStyle name="20% - Accent2 4 2 3 2 5 2" xfId="12119"/>
    <cellStyle name="20% - Accent2 4 2 3 2 5 2 2" xfId="12120"/>
    <cellStyle name="20% - Accent2 4 2 3 2 5 2 3" xfId="12121"/>
    <cellStyle name="20% - Accent2 4 2 3 2 5 3" xfId="12122"/>
    <cellStyle name="20% - Accent2 4 2 3 2 5 3 2" xfId="12123"/>
    <cellStyle name="20% - Accent2 4 2 3 2 5 4" xfId="12124"/>
    <cellStyle name="20% - Accent2 4 2 3 2 5 5" xfId="12125"/>
    <cellStyle name="20% - Accent2 4 2 3 2 6" xfId="12126"/>
    <cellStyle name="20% - Accent2 4 2 3 2 6 2" xfId="12127"/>
    <cellStyle name="20% - Accent2 4 2 3 2 6 3" xfId="12128"/>
    <cellStyle name="20% - Accent2 4 2 3 2 7" xfId="12129"/>
    <cellStyle name="20% - Accent2 4 2 3 2 7 2" xfId="12130"/>
    <cellStyle name="20% - Accent2 4 2 3 2 7 3" xfId="12131"/>
    <cellStyle name="20% - Accent2 4 2 3 2 8" xfId="12132"/>
    <cellStyle name="20% - Accent2 4 2 3 2 8 2" xfId="12133"/>
    <cellStyle name="20% - Accent2 4 2 3 2 9" xfId="12134"/>
    <cellStyle name="20% - Accent2 4 2 3 3" xfId="379"/>
    <cellStyle name="20% - Accent2 4 2 3 3 2" xfId="12135"/>
    <cellStyle name="20% - Accent2 4 2 3 3 2 2" xfId="12136"/>
    <cellStyle name="20% - Accent2 4 2 3 3 2 2 2" xfId="12137"/>
    <cellStyle name="20% - Accent2 4 2 3 3 2 2 3" xfId="12138"/>
    <cellStyle name="20% - Accent2 4 2 3 3 2 3" xfId="12139"/>
    <cellStyle name="20% - Accent2 4 2 3 3 2 3 2" xfId="12140"/>
    <cellStyle name="20% - Accent2 4 2 3 3 2 3 3" xfId="12141"/>
    <cellStyle name="20% - Accent2 4 2 3 3 2 4" xfId="12142"/>
    <cellStyle name="20% - Accent2 4 2 3 3 2 4 2" xfId="12143"/>
    <cellStyle name="20% - Accent2 4 2 3 3 2 5" xfId="12144"/>
    <cellStyle name="20% - Accent2 4 2 3 3 2 6" xfId="12145"/>
    <cellStyle name="20% - Accent2 4 2 3 3 3" xfId="12146"/>
    <cellStyle name="20% - Accent2 4 2 3 3 3 2" xfId="12147"/>
    <cellStyle name="20% - Accent2 4 2 3 3 3 2 2" xfId="12148"/>
    <cellStyle name="20% - Accent2 4 2 3 3 3 2 3" xfId="12149"/>
    <cellStyle name="20% - Accent2 4 2 3 3 3 3" xfId="12150"/>
    <cellStyle name="20% - Accent2 4 2 3 3 3 3 2" xfId="12151"/>
    <cellStyle name="20% - Accent2 4 2 3 3 3 3 3" xfId="12152"/>
    <cellStyle name="20% - Accent2 4 2 3 3 3 4" xfId="12153"/>
    <cellStyle name="20% - Accent2 4 2 3 3 3 4 2" xfId="12154"/>
    <cellStyle name="20% - Accent2 4 2 3 3 3 5" xfId="12155"/>
    <cellStyle name="20% - Accent2 4 2 3 3 3 6" xfId="12156"/>
    <cellStyle name="20% - Accent2 4 2 3 3 4" xfId="12157"/>
    <cellStyle name="20% - Accent2 4 2 3 3 4 2" xfId="12158"/>
    <cellStyle name="20% - Accent2 4 2 3 3 4 2 2" xfId="12159"/>
    <cellStyle name="20% - Accent2 4 2 3 3 4 2 3" xfId="12160"/>
    <cellStyle name="20% - Accent2 4 2 3 3 4 3" xfId="12161"/>
    <cellStyle name="20% - Accent2 4 2 3 3 4 3 2" xfId="12162"/>
    <cellStyle name="20% - Accent2 4 2 3 3 4 4" xfId="12163"/>
    <cellStyle name="20% - Accent2 4 2 3 3 4 5" xfId="12164"/>
    <cellStyle name="20% - Accent2 4 2 3 3 5" xfId="12165"/>
    <cellStyle name="20% - Accent2 4 2 3 3 5 2" xfId="12166"/>
    <cellStyle name="20% - Accent2 4 2 3 3 5 3" xfId="12167"/>
    <cellStyle name="20% - Accent2 4 2 3 3 6" xfId="12168"/>
    <cellStyle name="20% - Accent2 4 2 3 3 6 2" xfId="12169"/>
    <cellStyle name="20% - Accent2 4 2 3 3 6 3" xfId="12170"/>
    <cellStyle name="20% - Accent2 4 2 3 3 7" xfId="12171"/>
    <cellStyle name="20% - Accent2 4 2 3 3 7 2" xfId="12172"/>
    <cellStyle name="20% - Accent2 4 2 3 3 8" xfId="12173"/>
    <cellStyle name="20% - Accent2 4 2 3 3 9" xfId="12174"/>
    <cellStyle name="20% - Accent2 4 2 3 4" xfId="12175"/>
    <cellStyle name="20% - Accent2 4 2 3 4 2" xfId="12176"/>
    <cellStyle name="20% - Accent2 4 2 3 4 2 2" xfId="12177"/>
    <cellStyle name="20% - Accent2 4 2 3 4 2 2 2" xfId="12178"/>
    <cellStyle name="20% - Accent2 4 2 3 4 2 2 3" xfId="12179"/>
    <cellStyle name="20% - Accent2 4 2 3 4 2 3" xfId="12180"/>
    <cellStyle name="20% - Accent2 4 2 3 4 2 3 2" xfId="12181"/>
    <cellStyle name="20% - Accent2 4 2 3 4 2 3 3" xfId="12182"/>
    <cellStyle name="20% - Accent2 4 2 3 4 2 4" xfId="12183"/>
    <cellStyle name="20% - Accent2 4 2 3 4 2 4 2" xfId="12184"/>
    <cellStyle name="20% - Accent2 4 2 3 4 2 5" xfId="12185"/>
    <cellStyle name="20% - Accent2 4 2 3 4 2 6" xfId="12186"/>
    <cellStyle name="20% - Accent2 4 2 3 4 3" xfId="12187"/>
    <cellStyle name="20% - Accent2 4 2 3 4 3 2" xfId="12188"/>
    <cellStyle name="20% - Accent2 4 2 3 4 3 2 2" xfId="12189"/>
    <cellStyle name="20% - Accent2 4 2 3 4 3 2 3" xfId="12190"/>
    <cellStyle name="20% - Accent2 4 2 3 4 3 3" xfId="12191"/>
    <cellStyle name="20% - Accent2 4 2 3 4 3 3 2" xfId="12192"/>
    <cellStyle name="20% - Accent2 4 2 3 4 3 3 3" xfId="12193"/>
    <cellStyle name="20% - Accent2 4 2 3 4 3 4" xfId="12194"/>
    <cellStyle name="20% - Accent2 4 2 3 4 3 4 2" xfId="12195"/>
    <cellStyle name="20% - Accent2 4 2 3 4 3 5" xfId="12196"/>
    <cellStyle name="20% - Accent2 4 2 3 4 3 6" xfId="12197"/>
    <cellStyle name="20% - Accent2 4 2 3 4 4" xfId="12198"/>
    <cellStyle name="20% - Accent2 4 2 3 4 4 2" xfId="12199"/>
    <cellStyle name="20% - Accent2 4 2 3 4 4 2 2" xfId="12200"/>
    <cellStyle name="20% - Accent2 4 2 3 4 4 2 3" xfId="12201"/>
    <cellStyle name="20% - Accent2 4 2 3 4 4 3" xfId="12202"/>
    <cellStyle name="20% - Accent2 4 2 3 4 4 3 2" xfId="12203"/>
    <cellStyle name="20% - Accent2 4 2 3 4 4 4" xfId="12204"/>
    <cellStyle name="20% - Accent2 4 2 3 4 4 5" xfId="12205"/>
    <cellStyle name="20% - Accent2 4 2 3 4 5" xfId="12206"/>
    <cellStyle name="20% - Accent2 4 2 3 4 5 2" xfId="12207"/>
    <cellStyle name="20% - Accent2 4 2 3 4 5 3" xfId="12208"/>
    <cellStyle name="20% - Accent2 4 2 3 4 6" xfId="12209"/>
    <cellStyle name="20% - Accent2 4 2 3 4 6 2" xfId="12210"/>
    <cellStyle name="20% - Accent2 4 2 3 4 6 3" xfId="12211"/>
    <cellStyle name="20% - Accent2 4 2 3 4 7" xfId="12212"/>
    <cellStyle name="20% - Accent2 4 2 3 4 7 2" xfId="12213"/>
    <cellStyle name="20% - Accent2 4 2 3 4 8" xfId="12214"/>
    <cellStyle name="20% - Accent2 4 2 3 4 9" xfId="12215"/>
    <cellStyle name="20% - Accent2 4 2 3 5" xfId="12216"/>
    <cellStyle name="20% - Accent2 4 2 3 5 2" xfId="12217"/>
    <cellStyle name="20% - Accent2 4 2 3 5 2 2" xfId="12218"/>
    <cellStyle name="20% - Accent2 4 2 3 5 2 3" xfId="12219"/>
    <cellStyle name="20% - Accent2 4 2 3 5 3" xfId="12220"/>
    <cellStyle name="20% - Accent2 4 2 3 5 3 2" xfId="12221"/>
    <cellStyle name="20% - Accent2 4 2 3 5 3 3" xfId="12222"/>
    <cellStyle name="20% - Accent2 4 2 3 5 4" xfId="12223"/>
    <cellStyle name="20% - Accent2 4 2 3 5 4 2" xfId="12224"/>
    <cellStyle name="20% - Accent2 4 2 3 5 5" xfId="12225"/>
    <cellStyle name="20% - Accent2 4 2 3 5 6" xfId="12226"/>
    <cellStyle name="20% - Accent2 4 2 3 6" xfId="12227"/>
    <cellStyle name="20% - Accent2 4 2 3 6 2" xfId="12228"/>
    <cellStyle name="20% - Accent2 4 2 3 6 2 2" xfId="12229"/>
    <cellStyle name="20% - Accent2 4 2 3 6 2 3" xfId="12230"/>
    <cellStyle name="20% - Accent2 4 2 3 6 3" xfId="12231"/>
    <cellStyle name="20% - Accent2 4 2 3 6 3 2" xfId="12232"/>
    <cellStyle name="20% - Accent2 4 2 3 6 3 3" xfId="12233"/>
    <cellStyle name="20% - Accent2 4 2 3 6 4" xfId="12234"/>
    <cellStyle name="20% - Accent2 4 2 3 6 4 2" xfId="12235"/>
    <cellStyle name="20% - Accent2 4 2 3 6 5" xfId="12236"/>
    <cellStyle name="20% - Accent2 4 2 3 6 6" xfId="12237"/>
    <cellStyle name="20% - Accent2 4 2 3 7" xfId="12238"/>
    <cellStyle name="20% - Accent2 4 2 3 7 2" xfId="12239"/>
    <cellStyle name="20% - Accent2 4 2 3 7 2 2" xfId="12240"/>
    <cellStyle name="20% - Accent2 4 2 3 7 2 3" xfId="12241"/>
    <cellStyle name="20% - Accent2 4 2 3 7 3" xfId="12242"/>
    <cellStyle name="20% - Accent2 4 2 3 7 3 2" xfId="12243"/>
    <cellStyle name="20% - Accent2 4 2 3 7 4" xfId="12244"/>
    <cellStyle name="20% - Accent2 4 2 3 7 5" xfId="12245"/>
    <cellStyle name="20% - Accent2 4 2 3 8" xfId="12246"/>
    <cellStyle name="20% - Accent2 4 2 3 8 2" xfId="12247"/>
    <cellStyle name="20% - Accent2 4 2 3 8 3" xfId="12248"/>
    <cellStyle name="20% - Accent2 4 2 3 9" xfId="12249"/>
    <cellStyle name="20% - Accent2 4 2 3 9 2" xfId="12250"/>
    <cellStyle name="20% - Accent2 4 2 3 9 3" xfId="12251"/>
    <cellStyle name="20% - Accent2 4 2 4" xfId="380"/>
    <cellStyle name="20% - Accent2 4 2 4 10" xfId="12252"/>
    <cellStyle name="20% - Accent2 4 2 4 2" xfId="381"/>
    <cellStyle name="20% - Accent2 4 2 4 2 2" xfId="12253"/>
    <cellStyle name="20% - Accent2 4 2 4 2 2 2" xfId="12254"/>
    <cellStyle name="20% - Accent2 4 2 4 2 2 2 2" xfId="12255"/>
    <cellStyle name="20% - Accent2 4 2 4 2 2 2 3" xfId="12256"/>
    <cellStyle name="20% - Accent2 4 2 4 2 2 3" xfId="12257"/>
    <cellStyle name="20% - Accent2 4 2 4 2 2 3 2" xfId="12258"/>
    <cellStyle name="20% - Accent2 4 2 4 2 2 3 3" xfId="12259"/>
    <cellStyle name="20% - Accent2 4 2 4 2 2 4" xfId="12260"/>
    <cellStyle name="20% - Accent2 4 2 4 2 2 4 2" xfId="12261"/>
    <cellStyle name="20% - Accent2 4 2 4 2 2 5" xfId="12262"/>
    <cellStyle name="20% - Accent2 4 2 4 2 2 6" xfId="12263"/>
    <cellStyle name="20% - Accent2 4 2 4 2 3" xfId="12264"/>
    <cellStyle name="20% - Accent2 4 2 4 2 3 2" xfId="12265"/>
    <cellStyle name="20% - Accent2 4 2 4 2 3 2 2" xfId="12266"/>
    <cellStyle name="20% - Accent2 4 2 4 2 3 2 3" xfId="12267"/>
    <cellStyle name="20% - Accent2 4 2 4 2 3 3" xfId="12268"/>
    <cellStyle name="20% - Accent2 4 2 4 2 3 3 2" xfId="12269"/>
    <cellStyle name="20% - Accent2 4 2 4 2 3 3 3" xfId="12270"/>
    <cellStyle name="20% - Accent2 4 2 4 2 3 4" xfId="12271"/>
    <cellStyle name="20% - Accent2 4 2 4 2 3 4 2" xfId="12272"/>
    <cellStyle name="20% - Accent2 4 2 4 2 3 5" xfId="12273"/>
    <cellStyle name="20% - Accent2 4 2 4 2 3 6" xfId="12274"/>
    <cellStyle name="20% - Accent2 4 2 4 2 4" xfId="12275"/>
    <cellStyle name="20% - Accent2 4 2 4 2 4 2" xfId="12276"/>
    <cellStyle name="20% - Accent2 4 2 4 2 4 2 2" xfId="12277"/>
    <cellStyle name="20% - Accent2 4 2 4 2 4 2 3" xfId="12278"/>
    <cellStyle name="20% - Accent2 4 2 4 2 4 3" xfId="12279"/>
    <cellStyle name="20% - Accent2 4 2 4 2 4 3 2" xfId="12280"/>
    <cellStyle name="20% - Accent2 4 2 4 2 4 4" xfId="12281"/>
    <cellStyle name="20% - Accent2 4 2 4 2 4 5" xfId="12282"/>
    <cellStyle name="20% - Accent2 4 2 4 2 5" xfId="12283"/>
    <cellStyle name="20% - Accent2 4 2 4 2 5 2" xfId="12284"/>
    <cellStyle name="20% - Accent2 4 2 4 2 5 3" xfId="12285"/>
    <cellStyle name="20% - Accent2 4 2 4 2 6" xfId="12286"/>
    <cellStyle name="20% - Accent2 4 2 4 2 6 2" xfId="12287"/>
    <cellStyle name="20% - Accent2 4 2 4 2 6 3" xfId="12288"/>
    <cellStyle name="20% - Accent2 4 2 4 2 7" xfId="12289"/>
    <cellStyle name="20% - Accent2 4 2 4 2 7 2" xfId="12290"/>
    <cellStyle name="20% - Accent2 4 2 4 2 8" xfId="12291"/>
    <cellStyle name="20% - Accent2 4 2 4 2 9" xfId="12292"/>
    <cellStyle name="20% - Accent2 4 2 4 3" xfId="12293"/>
    <cellStyle name="20% - Accent2 4 2 4 3 2" xfId="12294"/>
    <cellStyle name="20% - Accent2 4 2 4 3 2 2" xfId="12295"/>
    <cellStyle name="20% - Accent2 4 2 4 3 2 3" xfId="12296"/>
    <cellStyle name="20% - Accent2 4 2 4 3 3" xfId="12297"/>
    <cellStyle name="20% - Accent2 4 2 4 3 3 2" xfId="12298"/>
    <cellStyle name="20% - Accent2 4 2 4 3 3 3" xfId="12299"/>
    <cellStyle name="20% - Accent2 4 2 4 3 4" xfId="12300"/>
    <cellStyle name="20% - Accent2 4 2 4 3 4 2" xfId="12301"/>
    <cellStyle name="20% - Accent2 4 2 4 3 5" xfId="12302"/>
    <cellStyle name="20% - Accent2 4 2 4 3 6" xfId="12303"/>
    <cellStyle name="20% - Accent2 4 2 4 4" xfId="12304"/>
    <cellStyle name="20% - Accent2 4 2 4 4 2" xfId="12305"/>
    <cellStyle name="20% - Accent2 4 2 4 4 2 2" xfId="12306"/>
    <cellStyle name="20% - Accent2 4 2 4 4 2 3" xfId="12307"/>
    <cellStyle name="20% - Accent2 4 2 4 4 3" xfId="12308"/>
    <cellStyle name="20% - Accent2 4 2 4 4 3 2" xfId="12309"/>
    <cellStyle name="20% - Accent2 4 2 4 4 3 3" xfId="12310"/>
    <cellStyle name="20% - Accent2 4 2 4 4 4" xfId="12311"/>
    <cellStyle name="20% - Accent2 4 2 4 4 4 2" xfId="12312"/>
    <cellStyle name="20% - Accent2 4 2 4 4 5" xfId="12313"/>
    <cellStyle name="20% - Accent2 4 2 4 4 6" xfId="12314"/>
    <cellStyle name="20% - Accent2 4 2 4 5" xfId="12315"/>
    <cellStyle name="20% - Accent2 4 2 4 5 2" xfId="12316"/>
    <cellStyle name="20% - Accent2 4 2 4 5 2 2" xfId="12317"/>
    <cellStyle name="20% - Accent2 4 2 4 5 2 3" xfId="12318"/>
    <cellStyle name="20% - Accent2 4 2 4 5 3" xfId="12319"/>
    <cellStyle name="20% - Accent2 4 2 4 5 3 2" xfId="12320"/>
    <cellStyle name="20% - Accent2 4 2 4 5 4" xfId="12321"/>
    <cellStyle name="20% - Accent2 4 2 4 5 5" xfId="12322"/>
    <cellStyle name="20% - Accent2 4 2 4 6" xfId="12323"/>
    <cellStyle name="20% - Accent2 4 2 4 6 2" xfId="12324"/>
    <cellStyle name="20% - Accent2 4 2 4 6 3" xfId="12325"/>
    <cellStyle name="20% - Accent2 4 2 4 7" xfId="12326"/>
    <cellStyle name="20% - Accent2 4 2 4 7 2" xfId="12327"/>
    <cellStyle name="20% - Accent2 4 2 4 7 3" xfId="12328"/>
    <cellStyle name="20% - Accent2 4 2 4 8" xfId="12329"/>
    <cellStyle name="20% - Accent2 4 2 4 8 2" xfId="12330"/>
    <cellStyle name="20% - Accent2 4 2 4 9" xfId="12331"/>
    <cellStyle name="20% - Accent2 4 2 5" xfId="382"/>
    <cellStyle name="20% - Accent2 4 2 5 2" xfId="12332"/>
    <cellStyle name="20% - Accent2 4 2 5 2 2" xfId="12333"/>
    <cellStyle name="20% - Accent2 4 2 5 2 2 2" xfId="12334"/>
    <cellStyle name="20% - Accent2 4 2 5 2 2 3" xfId="12335"/>
    <cellStyle name="20% - Accent2 4 2 5 2 3" xfId="12336"/>
    <cellStyle name="20% - Accent2 4 2 5 2 3 2" xfId="12337"/>
    <cellStyle name="20% - Accent2 4 2 5 2 3 3" xfId="12338"/>
    <cellStyle name="20% - Accent2 4 2 5 2 4" xfId="12339"/>
    <cellStyle name="20% - Accent2 4 2 5 2 4 2" xfId="12340"/>
    <cellStyle name="20% - Accent2 4 2 5 2 5" xfId="12341"/>
    <cellStyle name="20% - Accent2 4 2 5 2 6" xfId="12342"/>
    <cellStyle name="20% - Accent2 4 2 5 3" xfId="12343"/>
    <cellStyle name="20% - Accent2 4 2 5 3 2" xfId="12344"/>
    <cellStyle name="20% - Accent2 4 2 5 3 2 2" xfId="12345"/>
    <cellStyle name="20% - Accent2 4 2 5 3 2 3" xfId="12346"/>
    <cellStyle name="20% - Accent2 4 2 5 3 3" xfId="12347"/>
    <cellStyle name="20% - Accent2 4 2 5 3 3 2" xfId="12348"/>
    <cellStyle name="20% - Accent2 4 2 5 3 3 3" xfId="12349"/>
    <cellStyle name="20% - Accent2 4 2 5 3 4" xfId="12350"/>
    <cellStyle name="20% - Accent2 4 2 5 3 4 2" xfId="12351"/>
    <cellStyle name="20% - Accent2 4 2 5 3 5" xfId="12352"/>
    <cellStyle name="20% - Accent2 4 2 5 3 6" xfId="12353"/>
    <cellStyle name="20% - Accent2 4 2 5 4" xfId="12354"/>
    <cellStyle name="20% - Accent2 4 2 5 4 2" xfId="12355"/>
    <cellStyle name="20% - Accent2 4 2 5 4 2 2" xfId="12356"/>
    <cellStyle name="20% - Accent2 4 2 5 4 2 3" xfId="12357"/>
    <cellStyle name="20% - Accent2 4 2 5 4 3" xfId="12358"/>
    <cellStyle name="20% - Accent2 4 2 5 4 3 2" xfId="12359"/>
    <cellStyle name="20% - Accent2 4 2 5 4 4" xfId="12360"/>
    <cellStyle name="20% - Accent2 4 2 5 4 5" xfId="12361"/>
    <cellStyle name="20% - Accent2 4 2 5 5" xfId="12362"/>
    <cellStyle name="20% - Accent2 4 2 5 5 2" xfId="12363"/>
    <cellStyle name="20% - Accent2 4 2 5 5 3" xfId="12364"/>
    <cellStyle name="20% - Accent2 4 2 5 6" xfId="12365"/>
    <cellStyle name="20% - Accent2 4 2 5 6 2" xfId="12366"/>
    <cellStyle name="20% - Accent2 4 2 5 6 3" xfId="12367"/>
    <cellStyle name="20% - Accent2 4 2 5 7" xfId="12368"/>
    <cellStyle name="20% - Accent2 4 2 5 7 2" xfId="12369"/>
    <cellStyle name="20% - Accent2 4 2 5 8" xfId="12370"/>
    <cellStyle name="20% - Accent2 4 2 5 9" xfId="12371"/>
    <cellStyle name="20% - Accent2 4 2 6" xfId="12372"/>
    <cellStyle name="20% - Accent2 4 2 6 2" xfId="12373"/>
    <cellStyle name="20% - Accent2 4 2 6 2 2" xfId="12374"/>
    <cellStyle name="20% - Accent2 4 2 6 2 2 2" xfId="12375"/>
    <cellStyle name="20% - Accent2 4 2 6 2 2 3" xfId="12376"/>
    <cellStyle name="20% - Accent2 4 2 6 2 3" xfId="12377"/>
    <cellStyle name="20% - Accent2 4 2 6 2 3 2" xfId="12378"/>
    <cellStyle name="20% - Accent2 4 2 6 2 3 3" xfId="12379"/>
    <cellStyle name="20% - Accent2 4 2 6 2 4" xfId="12380"/>
    <cellStyle name="20% - Accent2 4 2 6 2 4 2" xfId="12381"/>
    <cellStyle name="20% - Accent2 4 2 6 2 5" xfId="12382"/>
    <cellStyle name="20% - Accent2 4 2 6 2 6" xfId="12383"/>
    <cellStyle name="20% - Accent2 4 2 6 3" xfId="12384"/>
    <cellStyle name="20% - Accent2 4 2 6 3 2" xfId="12385"/>
    <cellStyle name="20% - Accent2 4 2 6 3 2 2" xfId="12386"/>
    <cellStyle name="20% - Accent2 4 2 6 3 2 3" xfId="12387"/>
    <cellStyle name="20% - Accent2 4 2 6 3 3" xfId="12388"/>
    <cellStyle name="20% - Accent2 4 2 6 3 3 2" xfId="12389"/>
    <cellStyle name="20% - Accent2 4 2 6 3 3 3" xfId="12390"/>
    <cellStyle name="20% - Accent2 4 2 6 3 4" xfId="12391"/>
    <cellStyle name="20% - Accent2 4 2 6 3 4 2" xfId="12392"/>
    <cellStyle name="20% - Accent2 4 2 6 3 5" xfId="12393"/>
    <cellStyle name="20% - Accent2 4 2 6 3 6" xfId="12394"/>
    <cellStyle name="20% - Accent2 4 2 6 4" xfId="12395"/>
    <cellStyle name="20% - Accent2 4 2 6 4 2" xfId="12396"/>
    <cellStyle name="20% - Accent2 4 2 6 4 2 2" xfId="12397"/>
    <cellStyle name="20% - Accent2 4 2 6 4 2 3" xfId="12398"/>
    <cellStyle name="20% - Accent2 4 2 6 4 3" xfId="12399"/>
    <cellStyle name="20% - Accent2 4 2 6 4 3 2" xfId="12400"/>
    <cellStyle name="20% - Accent2 4 2 6 4 4" xfId="12401"/>
    <cellStyle name="20% - Accent2 4 2 6 4 5" xfId="12402"/>
    <cellStyle name="20% - Accent2 4 2 6 5" xfId="12403"/>
    <cellStyle name="20% - Accent2 4 2 6 5 2" xfId="12404"/>
    <cellStyle name="20% - Accent2 4 2 6 5 3" xfId="12405"/>
    <cellStyle name="20% - Accent2 4 2 6 6" xfId="12406"/>
    <cellStyle name="20% - Accent2 4 2 6 6 2" xfId="12407"/>
    <cellStyle name="20% - Accent2 4 2 6 6 3" xfId="12408"/>
    <cellStyle name="20% - Accent2 4 2 6 7" xfId="12409"/>
    <cellStyle name="20% - Accent2 4 2 6 7 2" xfId="12410"/>
    <cellStyle name="20% - Accent2 4 2 6 8" xfId="12411"/>
    <cellStyle name="20% - Accent2 4 2 6 9" xfId="12412"/>
    <cellStyle name="20% - Accent2 4 2 7" xfId="12413"/>
    <cellStyle name="20% - Accent2 4 2 7 2" xfId="12414"/>
    <cellStyle name="20% - Accent2 4 2 7 2 2" xfId="12415"/>
    <cellStyle name="20% - Accent2 4 2 7 2 3" xfId="12416"/>
    <cellStyle name="20% - Accent2 4 2 7 3" xfId="12417"/>
    <cellStyle name="20% - Accent2 4 2 7 3 2" xfId="12418"/>
    <cellStyle name="20% - Accent2 4 2 7 3 3" xfId="12419"/>
    <cellStyle name="20% - Accent2 4 2 7 4" xfId="12420"/>
    <cellStyle name="20% - Accent2 4 2 7 4 2" xfId="12421"/>
    <cellStyle name="20% - Accent2 4 2 7 5" xfId="12422"/>
    <cellStyle name="20% - Accent2 4 2 7 6" xfId="12423"/>
    <cellStyle name="20% - Accent2 4 2 8" xfId="12424"/>
    <cellStyle name="20% - Accent2 4 2 8 2" xfId="12425"/>
    <cellStyle name="20% - Accent2 4 2 8 2 2" xfId="12426"/>
    <cellStyle name="20% - Accent2 4 2 8 2 3" xfId="12427"/>
    <cellStyle name="20% - Accent2 4 2 8 3" xfId="12428"/>
    <cellStyle name="20% - Accent2 4 2 8 3 2" xfId="12429"/>
    <cellStyle name="20% - Accent2 4 2 8 3 3" xfId="12430"/>
    <cellStyle name="20% - Accent2 4 2 8 4" xfId="12431"/>
    <cellStyle name="20% - Accent2 4 2 8 4 2" xfId="12432"/>
    <cellStyle name="20% - Accent2 4 2 8 5" xfId="12433"/>
    <cellStyle name="20% - Accent2 4 2 8 6" xfId="12434"/>
    <cellStyle name="20% - Accent2 4 2 9" xfId="12435"/>
    <cellStyle name="20% - Accent2 4 2 9 2" xfId="12436"/>
    <cellStyle name="20% - Accent2 4 2 9 2 2" xfId="12437"/>
    <cellStyle name="20% - Accent2 4 2 9 2 3" xfId="12438"/>
    <cellStyle name="20% - Accent2 4 2 9 3" xfId="12439"/>
    <cellStyle name="20% - Accent2 4 2 9 3 2" xfId="12440"/>
    <cellStyle name="20% - Accent2 4 2 9 4" xfId="12441"/>
    <cellStyle name="20% - Accent2 4 2 9 5" xfId="12442"/>
    <cellStyle name="20% - Accent2 4 3" xfId="383"/>
    <cellStyle name="20% - Accent2 4 3 10" xfId="12443"/>
    <cellStyle name="20% - Accent2 4 3 10 2" xfId="12444"/>
    <cellStyle name="20% - Accent2 4 3 10 3" xfId="12445"/>
    <cellStyle name="20% - Accent2 4 3 11" xfId="12446"/>
    <cellStyle name="20% - Accent2 4 3 11 2" xfId="12447"/>
    <cellStyle name="20% - Accent2 4 3 12" xfId="12448"/>
    <cellStyle name="20% - Accent2 4 3 13" xfId="12449"/>
    <cellStyle name="20% - Accent2 4 3 14" xfId="12450"/>
    <cellStyle name="20% - Accent2 4 3 2" xfId="384"/>
    <cellStyle name="20% - Accent2 4 3 2 10" xfId="12451"/>
    <cellStyle name="20% - Accent2 4 3 2 10 2" xfId="12452"/>
    <cellStyle name="20% - Accent2 4 3 2 11" xfId="12453"/>
    <cellStyle name="20% - Accent2 4 3 2 12" xfId="12454"/>
    <cellStyle name="20% - Accent2 4 3 2 2" xfId="385"/>
    <cellStyle name="20% - Accent2 4 3 2 2 10" xfId="12455"/>
    <cellStyle name="20% - Accent2 4 3 2 2 2" xfId="386"/>
    <cellStyle name="20% - Accent2 4 3 2 2 2 2" xfId="12456"/>
    <cellStyle name="20% - Accent2 4 3 2 2 2 2 2" xfId="12457"/>
    <cellStyle name="20% - Accent2 4 3 2 2 2 2 2 2" xfId="12458"/>
    <cellStyle name="20% - Accent2 4 3 2 2 2 2 2 3" xfId="12459"/>
    <cellStyle name="20% - Accent2 4 3 2 2 2 2 3" xfId="12460"/>
    <cellStyle name="20% - Accent2 4 3 2 2 2 2 3 2" xfId="12461"/>
    <cellStyle name="20% - Accent2 4 3 2 2 2 2 3 3" xfId="12462"/>
    <cellStyle name="20% - Accent2 4 3 2 2 2 2 4" xfId="12463"/>
    <cellStyle name="20% - Accent2 4 3 2 2 2 2 4 2" xfId="12464"/>
    <cellStyle name="20% - Accent2 4 3 2 2 2 2 5" xfId="12465"/>
    <cellStyle name="20% - Accent2 4 3 2 2 2 2 6" xfId="12466"/>
    <cellStyle name="20% - Accent2 4 3 2 2 2 3" xfId="12467"/>
    <cellStyle name="20% - Accent2 4 3 2 2 2 3 2" xfId="12468"/>
    <cellStyle name="20% - Accent2 4 3 2 2 2 3 2 2" xfId="12469"/>
    <cellStyle name="20% - Accent2 4 3 2 2 2 3 2 3" xfId="12470"/>
    <cellStyle name="20% - Accent2 4 3 2 2 2 3 3" xfId="12471"/>
    <cellStyle name="20% - Accent2 4 3 2 2 2 3 3 2" xfId="12472"/>
    <cellStyle name="20% - Accent2 4 3 2 2 2 3 3 3" xfId="12473"/>
    <cellStyle name="20% - Accent2 4 3 2 2 2 3 4" xfId="12474"/>
    <cellStyle name="20% - Accent2 4 3 2 2 2 3 4 2" xfId="12475"/>
    <cellStyle name="20% - Accent2 4 3 2 2 2 3 5" xfId="12476"/>
    <cellStyle name="20% - Accent2 4 3 2 2 2 3 6" xfId="12477"/>
    <cellStyle name="20% - Accent2 4 3 2 2 2 4" xfId="12478"/>
    <cellStyle name="20% - Accent2 4 3 2 2 2 4 2" xfId="12479"/>
    <cellStyle name="20% - Accent2 4 3 2 2 2 4 2 2" xfId="12480"/>
    <cellStyle name="20% - Accent2 4 3 2 2 2 4 2 3" xfId="12481"/>
    <cellStyle name="20% - Accent2 4 3 2 2 2 4 3" xfId="12482"/>
    <cellStyle name="20% - Accent2 4 3 2 2 2 4 3 2" xfId="12483"/>
    <cellStyle name="20% - Accent2 4 3 2 2 2 4 4" xfId="12484"/>
    <cellStyle name="20% - Accent2 4 3 2 2 2 4 5" xfId="12485"/>
    <cellStyle name="20% - Accent2 4 3 2 2 2 5" xfId="12486"/>
    <cellStyle name="20% - Accent2 4 3 2 2 2 5 2" xfId="12487"/>
    <cellStyle name="20% - Accent2 4 3 2 2 2 5 3" xfId="12488"/>
    <cellStyle name="20% - Accent2 4 3 2 2 2 6" xfId="12489"/>
    <cellStyle name="20% - Accent2 4 3 2 2 2 6 2" xfId="12490"/>
    <cellStyle name="20% - Accent2 4 3 2 2 2 6 3" xfId="12491"/>
    <cellStyle name="20% - Accent2 4 3 2 2 2 7" xfId="12492"/>
    <cellStyle name="20% - Accent2 4 3 2 2 2 7 2" xfId="12493"/>
    <cellStyle name="20% - Accent2 4 3 2 2 2 8" xfId="12494"/>
    <cellStyle name="20% - Accent2 4 3 2 2 2 9" xfId="12495"/>
    <cellStyle name="20% - Accent2 4 3 2 2 3" xfId="12496"/>
    <cellStyle name="20% - Accent2 4 3 2 2 3 2" xfId="12497"/>
    <cellStyle name="20% - Accent2 4 3 2 2 3 2 2" xfId="12498"/>
    <cellStyle name="20% - Accent2 4 3 2 2 3 2 3" xfId="12499"/>
    <cellStyle name="20% - Accent2 4 3 2 2 3 3" xfId="12500"/>
    <cellStyle name="20% - Accent2 4 3 2 2 3 3 2" xfId="12501"/>
    <cellStyle name="20% - Accent2 4 3 2 2 3 3 3" xfId="12502"/>
    <cellStyle name="20% - Accent2 4 3 2 2 3 4" xfId="12503"/>
    <cellStyle name="20% - Accent2 4 3 2 2 3 4 2" xfId="12504"/>
    <cellStyle name="20% - Accent2 4 3 2 2 3 5" xfId="12505"/>
    <cellStyle name="20% - Accent2 4 3 2 2 3 6" xfId="12506"/>
    <cellStyle name="20% - Accent2 4 3 2 2 4" xfId="12507"/>
    <cellStyle name="20% - Accent2 4 3 2 2 4 2" xfId="12508"/>
    <cellStyle name="20% - Accent2 4 3 2 2 4 2 2" xfId="12509"/>
    <cellStyle name="20% - Accent2 4 3 2 2 4 2 3" xfId="12510"/>
    <cellStyle name="20% - Accent2 4 3 2 2 4 3" xfId="12511"/>
    <cellStyle name="20% - Accent2 4 3 2 2 4 3 2" xfId="12512"/>
    <cellStyle name="20% - Accent2 4 3 2 2 4 3 3" xfId="12513"/>
    <cellStyle name="20% - Accent2 4 3 2 2 4 4" xfId="12514"/>
    <cellStyle name="20% - Accent2 4 3 2 2 4 4 2" xfId="12515"/>
    <cellStyle name="20% - Accent2 4 3 2 2 4 5" xfId="12516"/>
    <cellStyle name="20% - Accent2 4 3 2 2 4 6" xfId="12517"/>
    <cellStyle name="20% - Accent2 4 3 2 2 5" xfId="12518"/>
    <cellStyle name="20% - Accent2 4 3 2 2 5 2" xfId="12519"/>
    <cellStyle name="20% - Accent2 4 3 2 2 5 2 2" xfId="12520"/>
    <cellStyle name="20% - Accent2 4 3 2 2 5 2 3" xfId="12521"/>
    <cellStyle name="20% - Accent2 4 3 2 2 5 3" xfId="12522"/>
    <cellStyle name="20% - Accent2 4 3 2 2 5 3 2" xfId="12523"/>
    <cellStyle name="20% - Accent2 4 3 2 2 5 4" xfId="12524"/>
    <cellStyle name="20% - Accent2 4 3 2 2 5 5" xfId="12525"/>
    <cellStyle name="20% - Accent2 4 3 2 2 6" xfId="12526"/>
    <cellStyle name="20% - Accent2 4 3 2 2 6 2" xfId="12527"/>
    <cellStyle name="20% - Accent2 4 3 2 2 6 3" xfId="12528"/>
    <cellStyle name="20% - Accent2 4 3 2 2 7" xfId="12529"/>
    <cellStyle name="20% - Accent2 4 3 2 2 7 2" xfId="12530"/>
    <cellStyle name="20% - Accent2 4 3 2 2 7 3" xfId="12531"/>
    <cellStyle name="20% - Accent2 4 3 2 2 8" xfId="12532"/>
    <cellStyle name="20% - Accent2 4 3 2 2 8 2" xfId="12533"/>
    <cellStyle name="20% - Accent2 4 3 2 2 9" xfId="12534"/>
    <cellStyle name="20% - Accent2 4 3 2 3" xfId="387"/>
    <cellStyle name="20% - Accent2 4 3 2 3 2" xfId="12535"/>
    <cellStyle name="20% - Accent2 4 3 2 3 2 2" xfId="12536"/>
    <cellStyle name="20% - Accent2 4 3 2 3 2 2 2" xfId="12537"/>
    <cellStyle name="20% - Accent2 4 3 2 3 2 2 3" xfId="12538"/>
    <cellStyle name="20% - Accent2 4 3 2 3 2 3" xfId="12539"/>
    <cellStyle name="20% - Accent2 4 3 2 3 2 3 2" xfId="12540"/>
    <cellStyle name="20% - Accent2 4 3 2 3 2 3 3" xfId="12541"/>
    <cellStyle name="20% - Accent2 4 3 2 3 2 4" xfId="12542"/>
    <cellStyle name="20% - Accent2 4 3 2 3 2 4 2" xfId="12543"/>
    <cellStyle name="20% - Accent2 4 3 2 3 2 5" xfId="12544"/>
    <cellStyle name="20% - Accent2 4 3 2 3 2 6" xfId="12545"/>
    <cellStyle name="20% - Accent2 4 3 2 3 3" xfId="12546"/>
    <cellStyle name="20% - Accent2 4 3 2 3 3 2" xfId="12547"/>
    <cellStyle name="20% - Accent2 4 3 2 3 3 2 2" xfId="12548"/>
    <cellStyle name="20% - Accent2 4 3 2 3 3 2 3" xfId="12549"/>
    <cellStyle name="20% - Accent2 4 3 2 3 3 3" xfId="12550"/>
    <cellStyle name="20% - Accent2 4 3 2 3 3 3 2" xfId="12551"/>
    <cellStyle name="20% - Accent2 4 3 2 3 3 3 3" xfId="12552"/>
    <cellStyle name="20% - Accent2 4 3 2 3 3 4" xfId="12553"/>
    <cellStyle name="20% - Accent2 4 3 2 3 3 4 2" xfId="12554"/>
    <cellStyle name="20% - Accent2 4 3 2 3 3 5" xfId="12555"/>
    <cellStyle name="20% - Accent2 4 3 2 3 3 6" xfId="12556"/>
    <cellStyle name="20% - Accent2 4 3 2 3 4" xfId="12557"/>
    <cellStyle name="20% - Accent2 4 3 2 3 4 2" xfId="12558"/>
    <cellStyle name="20% - Accent2 4 3 2 3 4 2 2" xfId="12559"/>
    <cellStyle name="20% - Accent2 4 3 2 3 4 2 3" xfId="12560"/>
    <cellStyle name="20% - Accent2 4 3 2 3 4 3" xfId="12561"/>
    <cellStyle name="20% - Accent2 4 3 2 3 4 3 2" xfId="12562"/>
    <cellStyle name="20% - Accent2 4 3 2 3 4 4" xfId="12563"/>
    <cellStyle name="20% - Accent2 4 3 2 3 4 5" xfId="12564"/>
    <cellStyle name="20% - Accent2 4 3 2 3 5" xfId="12565"/>
    <cellStyle name="20% - Accent2 4 3 2 3 5 2" xfId="12566"/>
    <cellStyle name="20% - Accent2 4 3 2 3 5 3" xfId="12567"/>
    <cellStyle name="20% - Accent2 4 3 2 3 6" xfId="12568"/>
    <cellStyle name="20% - Accent2 4 3 2 3 6 2" xfId="12569"/>
    <cellStyle name="20% - Accent2 4 3 2 3 6 3" xfId="12570"/>
    <cellStyle name="20% - Accent2 4 3 2 3 7" xfId="12571"/>
    <cellStyle name="20% - Accent2 4 3 2 3 7 2" xfId="12572"/>
    <cellStyle name="20% - Accent2 4 3 2 3 8" xfId="12573"/>
    <cellStyle name="20% - Accent2 4 3 2 3 9" xfId="12574"/>
    <cellStyle name="20% - Accent2 4 3 2 4" xfId="12575"/>
    <cellStyle name="20% - Accent2 4 3 2 4 2" xfId="12576"/>
    <cellStyle name="20% - Accent2 4 3 2 4 2 2" xfId="12577"/>
    <cellStyle name="20% - Accent2 4 3 2 4 2 2 2" xfId="12578"/>
    <cellStyle name="20% - Accent2 4 3 2 4 2 2 3" xfId="12579"/>
    <cellStyle name="20% - Accent2 4 3 2 4 2 3" xfId="12580"/>
    <cellStyle name="20% - Accent2 4 3 2 4 2 3 2" xfId="12581"/>
    <cellStyle name="20% - Accent2 4 3 2 4 2 3 3" xfId="12582"/>
    <cellStyle name="20% - Accent2 4 3 2 4 2 4" xfId="12583"/>
    <cellStyle name="20% - Accent2 4 3 2 4 2 4 2" xfId="12584"/>
    <cellStyle name="20% - Accent2 4 3 2 4 2 5" xfId="12585"/>
    <cellStyle name="20% - Accent2 4 3 2 4 2 6" xfId="12586"/>
    <cellStyle name="20% - Accent2 4 3 2 4 3" xfId="12587"/>
    <cellStyle name="20% - Accent2 4 3 2 4 3 2" xfId="12588"/>
    <cellStyle name="20% - Accent2 4 3 2 4 3 2 2" xfId="12589"/>
    <cellStyle name="20% - Accent2 4 3 2 4 3 2 3" xfId="12590"/>
    <cellStyle name="20% - Accent2 4 3 2 4 3 3" xfId="12591"/>
    <cellStyle name="20% - Accent2 4 3 2 4 3 3 2" xfId="12592"/>
    <cellStyle name="20% - Accent2 4 3 2 4 3 3 3" xfId="12593"/>
    <cellStyle name="20% - Accent2 4 3 2 4 3 4" xfId="12594"/>
    <cellStyle name="20% - Accent2 4 3 2 4 3 4 2" xfId="12595"/>
    <cellStyle name="20% - Accent2 4 3 2 4 3 5" xfId="12596"/>
    <cellStyle name="20% - Accent2 4 3 2 4 3 6" xfId="12597"/>
    <cellStyle name="20% - Accent2 4 3 2 4 4" xfId="12598"/>
    <cellStyle name="20% - Accent2 4 3 2 4 4 2" xfId="12599"/>
    <cellStyle name="20% - Accent2 4 3 2 4 4 2 2" xfId="12600"/>
    <cellStyle name="20% - Accent2 4 3 2 4 4 2 3" xfId="12601"/>
    <cellStyle name="20% - Accent2 4 3 2 4 4 3" xfId="12602"/>
    <cellStyle name="20% - Accent2 4 3 2 4 4 3 2" xfId="12603"/>
    <cellStyle name="20% - Accent2 4 3 2 4 4 4" xfId="12604"/>
    <cellStyle name="20% - Accent2 4 3 2 4 4 5" xfId="12605"/>
    <cellStyle name="20% - Accent2 4 3 2 4 5" xfId="12606"/>
    <cellStyle name="20% - Accent2 4 3 2 4 5 2" xfId="12607"/>
    <cellStyle name="20% - Accent2 4 3 2 4 5 3" xfId="12608"/>
    <cellStyle name="20% - Accent2 4 3 2 4 6" xfId="12609"/>
    <cellStyle name="20% - Accent2 4 3 2 4 6 2" xfId="12610"/>
    <cellStyle name="20% - Accent2 4 3 2 4 6 3" xfId="12611"/>
    <cellStyle name="20% - Accent2 4 3 2 4 7" xfId="12612"/>
    <cellStyle name="20% - Accent2 4 3 2 4 7 2" xfId="12613"/>
    <cellStyle name="20% - Accent2 4 3 2 4 8" xfId="12614"/>
    <cellStyle name="20% - Accent2 4 3 2 4 9" xfId="12615"/>
    <cellStyle name="20% - Accent2 4 3 2 5" xfId="12616"/>
    <cellStyle name="20% - Accent2 4 3 2 5 2" xfId="12617"/>
    <cellStyle name="20% - Accent2 4 3 2 5 2 2" xfId="12618"/>
    <cellStyle name="20% - Accent2 4 3 2 5 2 3" xfId="12619"/>
    <cellStyle name="20% - Accent2 4 3 2 5 3" xfId="12620"/>
    <cellStyle name="20% - Accent2 4 3 2 5 3 2" xfId="12621"/>
    <cellStyle name="20% - Accent2 4 3 2 5 3 3" xfId="12622"/>
    <cellStyle name="20% - Accent2 4 3 2 5 4" xfId="12623"/>
    <cellStyle name="20% - Accent2 4 3 2 5 4 2" xfId="12624"/>
    <cellStyle name="20% - Accent2 4 3 2 5 5" xfId="12625"/>
    <cellStyle name="20% - Accent2 4 3 2 5 6" xfId="12626"/>
    <cellStyle name="20% - Accent2 4 3 2 6" xfId="12627"/>
    <cellStyle name="20% - Accent2 4 3 2 6 2" xfId="12628"/>
    <cellStyle name="20% - Accent2 4 3 2 6 2 2" xfId="12629"/>
    <cellStyle name="20% - Accent2 4 3 2 6 2 3" xfId="12630"/>
    <cellStyle name="20% - Accent2 4 3 2 6 3" xfId="12631"/>
    <cellStyle name="20% - Accent2 4 3 2 6 3 2" xfId="12632"/>
    <cellStyle name="20% - Accent2 4 3 2 6 3 3" xfId="12633"/>
    <cellStyle name="20% - Accent2 4 3 2 6 4" xfId="12634"/>
    <cellStyle name="20% - Accent2 4 3 2 6 4 2" xfId="12635"/>
    <cellStyle name="20% - Accent2 4 3 2 6 5" xfId="12636"/>
    <cellStyle name="20% - Accent2 4 3 2 6 6" xfId="12637"/>
    <cellStyle name="20% - Accent2 4 3 2 7" xfId="12638"/>
    <cellStyle name="20% - Accent2 4 3 2 7 2" xfId="12639"/>
    <cellStyle name="20% - Accent2 4 3 2 7 2 2" xfId="12640"/>
    <cellStyle name="20% - Accent2 4 3 2 7 2 3" xfId="12641"/>
    <cellStyle name="20% - Accent2 4 3 2 7 3" xfId="12642"/>
    <cellStyle name="20% - Accent2 4 3 2 7 3 2" xfId="12643"/>
    <cellStyle name="20% - Accent2 4 3 2 7 4" xfId="12644"/>
    <cellStyle name="20% - Accent2 4 3 2 7 5" xfId="12645"/>
    <cellStyle name="20% - Accent2 4 3 2 8" xfId="12646"/>
    <cellStyle name="20% - Accent2 4 3 2 8 2" xfId="12647"/>
    <cellStyle name="20% - Accent2 4 3 2 8 3" xfId="12648"/>
    <cellStyle name="20% - Accent2 4 3 2 9" xfId="12649"/>
    <cellStyle name="20% - Accent2 4 3 2 9 2" xfId="12650"/>
    <cellStyle name="20% - Accent2 4 3 2 9 3" xfId="12651"/>
    <cellStyle name="20% - Accent2 4 3 3" xfId="388"/>
    <cellStyle name="20% - Accent2 4 3 3 10" xfId="12652"/>
    <cellStyle name="20% - Accent2 4 3 3 2" xfId="389"/>
    <cellStyle name="20% - Accent2 4 3 3 2 2" xfId="12653"/>
    <cellStyle name="20% - Accent2 4 3 3 2 2 2" xfId="12654"/>
    <cellStyle name="20% - Accent2 4 3 3 2 2 2 2" xfId="12655"/>
    <cellStyle name="20% - Accent2 4 3 3 2 2 2 3" xfId="12656"/>
    <cellStyle name="20% - Accent2 4 3 3 2 2 3" xfId="12657"/>
    <cellStyle name="20% - Accent2 4 3 3 2 2 3 2" xfId="12658"/>
    <cellStyle name="20% - Accent2 4 3 3 2 2 3 3" xfId="12659"/>
    <cellStyle name="20% - Accent2 4 3 3 2 2 4" xfId="12660"/>
    <cellStyle name="20% - Accent2 4 3 3 2 2 4 2" xfId="12661"/>
    <cellStyle name="20% - Accent2 4 3 3 2 2 5" xfId="12662"/>
    <cellStyle name="20% - Accent2 4 3 3 2 2 6" xfId="12663"/>
    <cellStyle name="20% - Accent2 4 3 3 2 3" xfId="12664"/>
    <cellStyle name="20% - Accent2 4 3 3 2 3 2" xfId="12665"/>
    <cellStyle name="20% - Accent2 4 3 3 2 3 2 2" xfId="12666"/>
    <cellStyle name="20% - Accent2 4 3 3 2 3 2 3" xfId="12667"/>
    <cellStyle name="20% - Accent2 4 3 3 2 3 3" xfId="12668"/>
    <cellStyle name="20% - Accent2 4 3 3 2 3 3 2" xfId="12669"/>
    <cellStyle name="20% - Accent2 4 3 3 2 3 3 3" xfId="12670"/>
    <cellStyle name="20% - Accent2 4 3 3 2 3 4" xfId="12671"/>
    <cellStyle name="20% - Accent2 4 3 3 2 3 4 2" xfId="12672"/>
    <cellStyle name="20% - Accent2 4 3 3 2 3 5" xfId="12673"/>
    <cellStyle name="20% - Accent2 4 3 3 2 3 6" xfId="12674"/>
    <cellStyle name="20% - Accent2 4 3 3 2 4" xfId="12675"/>
    <cellStyle name="20% - Accent2 4 3 3 2 4 2" xfId="12676"/>
    <cellStyle name="20% - Accent2 4 3 3 2 4 2 2" xfId="12677"/>
    <cellStyle name="20% - Accent2 4 3 3 2 4 2 3" xfId="12678"/>
    <cellStyle name="20% - Accent2 4 3 3 2 4 3" xfId="12679"/>
    <cellStyle name="20% - Accent2 4 3 3 2 4 3 2" xfId="12680"/>
    <cellStyle name="20% - Accent2 4 3 3 2 4 4" xfId="12681"/>
    <cellStyle name="20% - Accent2 4 3 3 2 4 5" xfId="12682"/>
    <cellStyle name="20% - Accent2 4 3 3 2 5" xfId="12683"/>
    <cellStyle name="20% - Accent2 4 3 3 2 5 2" xfId="12684"/>
    <cellStyle name="20% - Accent2 4 3 3 2 5 3" xfId="12685"/>
    <cellStyle name="20% - Accent2 4 3 3 2 6" xfId="12686"/>
    <cellStyle name="20% - Accent2 4 3 3 2 6 2" xfId="12687"/>
    <cellStyle name="20% - Accent2 4 3 3 2 6 3" xfId="12688"/>
    <cellStyle name="20% - Accent2 4 3 3 2 7" xfId="12689"/>
    <cellStyle name="20% - Accent2 4 3 3 2 7 2" xfId="12690"/>
    <cellStyle name="20% - Accent2 4 3 3 2 8" xfId="12691"/>
    <cellStyle name="20% - Accent2 4 3 3 2 9" xfId="12692"/>
    <cellStyle name="20% - Accent2 4 3 3 3" xfId="12693"/>
    <cellStyle name="20% - Accent2 4 3 3 3 2" xfId="12694"/>
    <cellStyle name="20% - Accent2 4 3 3 3 2 2" xfId="12695"/>
    <cellStyle name="20% - Accent2 4 3 3 3 2 3" xfId="12696"/>
    <cellStyle name="20% - Accent2 4 3 3 3 3" xfId="12697"/>
    <cellStyle name="20% - Accent2 4 3 3 3 3 2" xfId="12698"/>
    <cellStyle name="20% - Accent2 4 3 3 3 3 3" xfId="12699"/>
    <cellStyle name="20% - Accent2 4 3 3 3 4" xfId="12700"/>
    <cellStyle name="20% - Accent2 4 3 3 3 4 2" xfId="12701"/>
    <cellStyle name="20% - Accent2 4 3 3 3 5" xfId="12702"/>
    <cellStyle name="20% - Accent2 4 3 3 3 6" xfId="12703"/>
    <cellStyle name="20% - Accent2 4 3 3 4" xfId="12704"/>
    <cellStyle name="20% - Accent2 4 3 3 4 2" xfId="12705"/>
    <cellStyle name="20% - Accent2 4 3 3 4 2 2" xfId="12706"/>
    <cellStyle name="20% - Accent2 4 3 3 4 2 3" xfId="12707"/>
    <cellStyle name="20% - Accent2 4 3 3 4 3" xfId="12708"/>
    <cellStyle name="20% - Accent2 4 3 3 4 3 2" xfId="12709"/>
    <cellStyle name="20% - Accent2 4 3 3 4 3 3" xfId="12710"/>
    <cellStyle name="20% - Accent2 4 3 3 4 4" xfId="12711"/>
    <cellStyle name="20% - Accent2 4 3 3 4 4 2" xfId="12712"/>
    <cellStyle name="20% - Accent2 4 3 3 4 5" xfId="12713"/>
    <cellStyle name="20% - Accent2 4 3 3 4 6" xfId="12714"/>
    <cellStyle name="20% - Accent2 4 3 3 5" xfId="12715"/>
    <cellStyle name="20% - Accent2 4 3 3 5 2" xfId="12716"/>
    <cellStyle name="20% - Accent2 4 3 3 5 2 2" xfId="12717"/>
    <cellStyle name="20% - Accent2 4 3 3 5 2 3" xfId="12718"/>
    <cellStyle name="20% - Accent2 4 3 3 5 3" xfId="12719"/>
    <cellStyle name="20% - Accent2 4 3 3 5 3 2" xfId="12720"/>
    <cellStyle name="20% - Accent2 4 3 3 5 4" xfId="12721"/>
    <cellStyle name="20% - Accent2 4 3 3 5 5" xfId="12722"/>
    <cellStyle name="20% - Accent2 4 3 3 6" xfId="12723"/>
    <cellStyle name="20% - Accent2 4 3 3 6 2" xfId="12724"/>
    <cellStyle name="20% - Accent2 4 3 3 6 3" xfId="12725"/>
    <cellStyle name="20% - Accent2 4 3 3 7" xfId="12726"/>
    <cellStyle name="20% - Accent2 4 3 3 7 2" xfId="12727"/>
    <cellStyle name="20% - Accent2 4 3 3 7 3" xfId="12728"/>
    <cellStyle name="20% - Accent2 4 3 3 8" xfId="12729"/>
    <cellStyle name="20% - Accent2 4 3 3 8 2" xfId="12730"/>
    <cellStyle name="20% - Accent2 4 3 3 9" xfId="12731"/>
    <cellStyle name="20% - Accent2 4 3 4" xfId="390"/>
    <cellStyle name="20% - Accent2 4 3 4 2" xfId="12732"/>
    <cellStyle name="20% - Accent2 4 3 4 2 2" xfId="12733"/>
    <cellStyle name="20% - Accent2 4 3 4 2 2 2" xfId="12734"/>
    <cellStyle name="20% - Accent2 4 3 4 2 2 3" xfId="12735"/>
    <cellStyle name="20% - Accent2 4 3 4 2 3" xfId="12736"/>
    <cellStyle name="20% - Accent2 4 3 4 2 3 2" xfId="12737"/>
    <cellStyle name="20% - Accent2 4 3 4 2 3 3" xfId="12738"/>
    <cellStyle name="20% - Accent2 4 3 4 2 4" xfId="12739"/>
    <cellStyle name="20% - Accent2 4 3 4 2 4 2" xfId="12740"/>
    <cellStyle name="20% - Accent2 4 3 4 2 5" xfId="12741"/>
    <cellStyle name="20% - Accent2 4 3 4 2 6" xfId="12742"/>
    <cellStyle name="20% - Accent2 4 3 4 3" xfId="12743"/>
    <cellStyle name="20% - Accent2 4 3 4 3 2" xfId="12744"/>
    <cellStyle name="20% - Accent2 4 3 4 3 2 2" xfId="12745"/>
    <cellStyle name="20% - Accent2 4 3 4 3 2 3" xfId="12746"/>
    <cellStyle name="20% - Accent2 4 3 4 3 3" xfId="12747"/>
    <cellStyle name="20% - Accent2 4 3 4 3 3 2" xfId="12748"/>
    <cellStyle name="20% - Accent2 4 3 4 3 3 3" xfId="12749"/>
    <cellStyle name="20% - Accent2 4 3 4 3 4" xfId="12750"/>
    <cellStyle name="20% - Accent2 4 3 4 3 4 2" xfId="12751"/>
    <cellStyle name="20% - Accent2 4 3 4 3 5" xfId="12752"/>
    <cellStyle name="20% - Accent2 4 3 4 3 6" xfId="12753"/>
    <cellStyle name="20% - Accent2 4 3 4 4" xfId="12754"/>
    <cellStyle name="20% - Accent2 4 3 4 4 2" xfId="12755"/>
    <cellStyle name="20% - Accent2 4 3 4 4 2 2" xfId="12756"/>
    <cellStyle name="20% - Accent2 4 3 4 4 2 3" xfId="12757"/>
    <cellStyle name="20% - Accent2 4 3 4 4 3" xfId="12758"/>
    <cellStyle name="20% - Accent2 4 3 4 4 3 2" xfId="12759"/>
    <cellStyle name="20% - Accent2 4 3 4 4 4" xfId="12760"/>
    <cellStyle name="20% - Accent2 4 3 4 4 5" xfId="12761"/>
    <cellStyle name="20% - Accent2 4 3 4 5" xfId="12762"/>
    <cellStyle name="20% - Accent2 4 3 4 5 2" xfId="12763"/>
    <cellStyle name="20% - Accent2 4 3 4 5 3" xfId="12764"/>
    <cellStyle name="20% - Accent2 4 3 4 6" xfId="12765"/>
    <cellStyle name="20% - Accent2 4 3 4 6 2" xfId="12766"/>
    <cellStyle name="20% - Accent2 4 3 4 6 3" xfId="12767"/>
    <cellStyle name="20% - Accent2 4 3 4 7" xfId="12768"/>
    <cellStyle name="20% - Accent2 4 3 4 7 2" xfId="12769"/>
    <cellStyle name="20% - Accent2 4 3 4 8" xfId="12770"/>
    <cellStyle name="20% - Accent2 4 3 4 9" xfId="12771"/>
    <cellStyle name="20% - Accent2 4 3 5" xfId="12772"/>
    <cellStyle name="20% - Accent2 4 3 5 2" xfId="12773"/>
    <cellStyle name="20% - Accent2 4 3 5 2 2" xfId="12774"/>
    <cellStyle name="20% - Accent2 4 3 5 2 2 2" xfId="12775"/>
    <cellStyle name="20% - Accent2 4 3 5 2 2 3" xfId="12776"/>
    <cellStyle name="20% - Accent2 4 3 5 2 3" xfId="12777"/>
    <cellStyle name="20% - Accent2 4 3 5 2 3 2" xfId="12778"/>
    <cellStyle name="20% - Accent2 4 3 5 2 3 3" xfId="12779"/>
    <cellStyle name="20% - Accent2 4 3 5 2 4" xfId="12780"/>
    <cellStyle name="20% - Accent2 4 3 5 2 4 2" xfId="12781"/>
    <cellStyle name="20% - Accent2 4 3 5 2 5" xfId="12782"/>
    <cellStyle name="20% - Accent2 4 3 5 2 6" xfId="12783"/>
    <cellStyle name="20% - Accent2 4 3 5 3" xfId="12784"/>
    <cellStyle name="20% - Accent2 4 3 5 3 2" xfId="12785"/>
    <cellStyle name="20% - Accent2 4 3 5 3 2 2" xfId="12786"/>
    <cellStyle name="20% - Accent2 4 3 5 3 2 3" xfId="12787"/>
    <cellStyle name="20% - Accent2 4 3 5 3 3" xfId="12788"/>
    <cellStyle name="20% - Accent2 4 3 5 3 3 2" xfId="12789"/>
    <cellStyle name="20% - Accent2 4 3 5 3 3 3" xfId="12790"/>
    <cellStyle name="20% - Accent2 4 3 5 3 4" xfId="12791"/>
    <cellStyle name="20% - Accent2 4 3 5 3 4 2" xfId="12792"/>
    <cellStyle name="20% - Accent2 4 3 5 3 5" xfId="12793"/>
    <cellStyle name="20% - Accent2 4 3 5 3 6" xfId="12794"/>
    <cellStyle name="20% - Accent2 4 3 5 4" xfId="12795"/>
    <cellStyle name="20% - Accent2 4 3 5 4 2" xfId="12796"/>
    <cellStyle name="20% - Accent2 4 3 5 4 2 2" xfId="12797"/>
    <cellStyle name="20% - Accent2 4 3 5 4 2 3" xfId="12798"/>
    <cellStyle name="20% - Accent2 4 3 5 4 3" xfId="12799"/>
    <cellStyle name="20% - Accent2 4 3 5 4 3 2" xfId="12800"/>
    <cellStyle name="20% - Accent2 4 3 5 4 4" xfId="12801"/>
    <cellStyle name="20% - Accent2 4 3 5 4 5" xfId="12802"/>
    <cellStyle name="20% - Accent2 4 3 5 5" xfId="12803"/>
    <cellStyle name="20% - Accent2 4 3 5 5 2" xfId="12804"/>
    <cellStyle name="20% - Accent2 4 3 5 5 3" xfId="12805"/>
    <cellStyle name="20% - Accent2 4 3 5 6" xfId="12806"/>
    <cellStyle name="20% - Accent2 4 3 5 6 2" xfId="12807"/>
    <cellStyle name="20% - Accent2 4 3 5 6 3" xfId="12808"/>
    <cellStyle name="20% - Accent2 4 3 5 7" xfId="12809"/>
    <cellStyle name="20% - Accent2 4 3 5 7 2" xfId="12810"/>
    <cellStyle name="20% - Accent2 4 3 5 8" xfId="12811"/>
    <cellStyle name="20% - Accent2 4 3 5 9" xfId="12812"/>
    <cellStyle name="20% - Accent2 4 3 6" xfId="12813"/>
    <cellStyle name="20% - Accent2 4 3 6 2" xfId="12814"/>
    <cellStyle name="20% - Accent2 4 3 6 2 2" xfId="12815"/>
    <cellStyle name="20% - Accent2 4 3 6 2 3" xfId="12816"/>
    <cellStyle name="20% - Accent2 4 3 6 3" xfId="12817"/>
    <cellStyle name="20% - Accent2 4 3 6 3 2" xfId="12818"/>
    <cellStyle name="20% - Accent2 4 3 6 3 3" xfId="12819"/>
    <cellStyle name="20% - Accent2 4 3 6 4" xfId="12820"/>
    <cellStyle name="20% - Accent2 4 3 6 4 2" xfId="12821"/>
    <cellStyle name="20% - Accent2 4 3 6 5" xfId="12822"/>
    <cellStyle name="20% - Accent2 4 3 6 6" xfId="12823"/>
    <cellStyle name="20% - Accent2 4 3 7" xfId="12824"/>
    <cellStyle name="20% - Accent2 4 3 7 2" xfId="12825"/>
    <cellStyle name="20% - Accent2 4 3 7 2 2" xfId="12826"/>
    <cellStyle name="20% - Accent2 4 3 7 2 3" xfId="12827"/>
    <cellStyle name="20% - Accent2 4 3 7 3" xfId="12828"/>
    <cellStyle name="20% - Accent2 4 3 7 3 2" xfId="12829"/>
    <cellStyle name="20% - Accent2 4 3 7 3 3" xfId="12830"/>
    <cellStyle name="20% - Accent2 4 3 7 4" xfId="12831"/>
    <cellStyle name="20% - Accent2 4 3 7 4 2" xfId="12832"/>
    <cellStyle name="20% - Accent2 4 3 7 5" xfId="12833"/>
    <cellStyle name="20% - Accent2 4 3 7 6" xfId="12834"/>
    <cellStyle name="20% - Accent2 4 3 8" xfId="12835"/>
    <cellStyle name="20% - Accent2 4 3 8 2" xfId="12836"/>
    <cellStyle name="20% - Accent2 4 3 8 2 2" xfId="12837"/>
    <cellStyle name="20% - Accent2 4 3 8 2 3" xfId="12838"/>
    <cellStyle name="20% - Accent2 4 3 8 3" xfId="12839"/>
    <cellStyle name="20% - Accent2 4 3 8 3 2" xfId="12840"/>
    <cellStyle name="20% - Accent2 4 3 8 4" xfId="12841"/>
    <cellStyle name="20% - Accent2 4 3 8 5" xfId="12842"/>
    <cellStyle name="20% - Accent2 4 3 9" xfId="12843"/>
    <cellStyle name="20% - Accent2 4 3 9 2" xfId="12844"/>
    <cellStyle name="20% - Accent2 4 3 9 3" xfId="12845"/>
    <cellStyle name="20% - Accent2 4 4" xfId="391"/>
    <cellStyle name="20% - Accent2 4 4 10" xfId="12846"/>
    <cellStyle name="20% - Accent2 4 4 10 2" xfId="12847"/>
    <cellStyle name="20% - Accent2 4 4 11" xfId="12848"/>
    <cellStyle name="20% - Accent2 4 4 12" xfId="12849"/>
    <cellStyle name="20% - Accent2 4 4 2" xfId="392"/>
    <cellStyle name="20% - Accent2 4 4 2 10" xfId="12850"/>
    <cellStyle name="20% - Accent2 4 4 2 2" xfId="393"/>
    <cellStyle name="20% - Accent2 4 4 2 2 2" xfId="12851"/>
    <cellStyle name="20% - Accent2 4 4 2 2 2 2" xfId="12852"/>
    <cellStyle name="20% - Accent2 4 4 2 2 2 2 2" xfId="12853"/>
    <cellStyle name="20% - Accent2 4 4 2 2 2 2 3" xfId="12854"/>
    <cellStyle name="20% - Accent2 4 4 2 2 2 3" xfId="12855"/>
    <cellStyle name="20% - Accent2 4 4 2 2 2 3 2" xfId="12856"/>
    <cellStyle name="20% - Accent2 4 4 2 2 2 3 3" xfId="12857"/>
    <cellStyle name="20% - Accent2 4 4 2 2 2 4" xfId="12858"/>
    <cellStyle name="20% - Accent2 4 4 2 2 2 4 2" xfId="12859"/>
    <cellStyle name="20% - Accent2 4 4 2 2 2 5" xfId="12860"/>
    <cellStyle name="20% - Accent2 4 4 2 2 2 6" xfId="12861"/>
    <cellStyle name="20% - Accent2 4 4 2 2 3" xfId="12862"/>
    <cellStyle name="20% - Accent2 4 4 2 2 3 2" xfId="12863"/>
    <cellStyle name="20% - Accent2 4 4 2 2 3 2 2" xfId="12864"/>
    <cellStyle name="20% - Accent2 4 4 2 2 3 2 3" xfId="12865"/>
    <cellStyle name="20% - Accent2 4 4 2 2 3 3" xfId="12866"/>
    <cellStyle name="20% - Accent2 4 4 2 2 3 3 2" xfId="12867"/>
    <cellStyle name="20% - Accent2 4 4 2 2 3 3 3" xfId="12868"/>
    <cellStyle name="20% - Accent2 4 4 2 2 3 4" xfId="12869"/>
    <cellStyle name="20% - Accent2 4 4 2 2 3 4 2" xfId="12870"/>
    <cellStyle name="20% - Accent2 4 4 2 2 3 5" xfId="12871"/>
    <cellStyle name="20% - Accent2 4 4 2 2 3 6" xfId="12872"/>
    <cellStyle name="20% - Accent2 4 4 2 2 4" xfId="12873"/>
    <cellStyle name="20% - Accent2 4 4 2 2 4 2" xfId="12874"/>
    <cellStyle name="20% - Accent2 4 4 2 2 4 2 2" xfId="12875"/>
    <cellStyle name="20% - Accent2 4 4 2 2 4 2 3" xfId="12876"/>
    <cellStyle name="20% - Accent2 4 4 2 2 4 3" xfId="12877"/>
    <cellStyle name="20% - Accent2 4 4 2 2 4 3 2" xfId="12878"/>
    <cellStyle name="20% - Accent2 4 4 2 2 4 4" xfId="12879"/>
    <cellStyle name="20% - Accent2 4 4 2 2 4 5" xfId="12880"/>
    <cellStyle name="20% - Accent2 4 4 2 2 5" xfId="12881"/>
    <cellStyle name="20% - Accent2 4 4 2 2 5 2" xfId="12882"/>
    <cellStyle name="20% - Accent2 4 4 2 2 5 3" xfId="12883"/>
    <cellStyle name="20% - Accent2 4 4 2 2 6" xfId="12884"/>
    <cellStyle name="20% - Accent2 4 4 2 2 6 2" xfId="12885"/>
    <cellStyle name="20% - Accent2 4 4 2 2 6 3" xfId="12886"/>
    <cellStyle name="20% - Accent2 4 4 2 2 7" xfId="12887"/>
    <cellStyle name="20% - Accent2 4 4 2 2 7 2" xfId="12888"/>
    <cellStyle name="20% - Accent2 4 4 2 2 8" xfId="12889"/>
    <cellStyle name="20% - Accent2 4 4 2 2 9" xfId="12890"/>
    <cellStyle name="20% - Accent2 4 4 2 3" xfId="12891"/>
    <cellStyle name="20% - Accent2 4 4 2 3 2" xfId="12892"/>
    <cellStyle name="20% - Accent2 4 4 2 3 2 2" xfId="12893"/>
    <cellStyle name="20% - Accent2 4 4 2 3 2 3" xfId="12894"/>
    <cellStyle name="20% - Accent2 4 4 2 3 3" xfId="12895"/>
    <cellStyle name="20% - Accent2 4 4 2 3 3 2" xfId="12896"/>
    <cellStyle name="20% - Accent2 4 4 2 3 3 3" xfId="12897"/>
    <cellStyle name="20% - Accent2 4 4 2 3 4" xfId="12898"/>
    <cellStyle name="20% - Accent2 4 4 2 3 4 2" xfId="12899"/>
    <cellStyle name="20% - Accent2 4 4 2 3 5" xfId="12900"/>
    <cellStyle name="20% - Accent2 4 4 2 3 6" xfId="12901"/>
    <cellStyle name="20% - Accent2 4 4 2 4" xfId="12902"/>
    <cellStyle name="20% - Accent2 4 4 2 4 2" xfId="12903"/>
    <cellStyle name="20% - Accent2 4 4 2 4 2 2" xfId="12904"/>
    <cellStyle name="20% - Accent2 4 4 2 4 2 3" xfId="12905"/>
    <cellStyle name="20% - Accent2 4 4 2 4 3" xfId="12906"/>
    <cellStyle name="20% - Accent2 4 4 2 4 3 2" xfId="12907"/>
    <cellStyle name="20% - Accent2 4 4 2 4 3 3" xfId="12908"/>
    <cellStyle name="20% - Accent2 4 4 2 4 4" xfId="12909"/>
    <cellStyle name="20% - Accent2 4 4 2 4 4 2" xfId="12910"/>
    <cellStyle name="20% - Accent2 4 4 2 4 5" xfId="12911"/>
    <cellStyle name="20% - Accent2 4 4 2 4 6" xfId="12912"/>
    <cellStyle name="20% - Accent2 4 4 2 5" xfId="12913"/>
    <cellStyle name="20% - Accent2 4 4 2 5 2" xfId="12914"/>
    <cellStyle name="20% - Accent2 4 4 2 5 2 2" xfId="12915"/>
    <cellStyle name="20% - Accent2 4 4 2 5 2 3" xfId="12916"/>
    <cellStyle name="20% - Accent2 4 4 2 5 3" xfId="12917"/>
    <cellStyle name="20% - Accent2 4 4 2 5 3 2" xfId="12918"/>
    <cellStyle name="20% - Accent2 4 4 2 5 4" xfId="12919"/>
    <cellStyle name="20% - Accent2 4 4 2 5 5" xfId="12920"/>
    <cellStyle name="20% - Accent2 4 4 2 6" xfId="12921"/>
    <cellStyle name="20% - Accent2 4 4 2 6 2" xfId="12922"/>
    <cellStyle name="20% - Accent2 4 4 2 6 3" xfId="12923"/>
    <cellStyle name="20% - Accent2 4 4 2 7" xfId="12924"/>
    <cellStyle name="20% - Accent2 4 4 2 7 2" xfId="12925"/>
    <cellStyle name="20% - Accent2 4 4 2 7 3" xfId="12926"/>
    <cellStyle name="20% - Accent2 4 4 2 8" xfId="12927"/>
    <cellStyle name="20% - Accent2 4 4 2 8 2" xfId="12928"/>
    <cellStyle name="20% - Accent2 4 4 2 9" xfId="12929"/>
    <cellStyle name="20% - Accent2 4 4 3" xfId="394"/>
    <cellStyle name="20% - Accent2 4 4 3 2" xfId="12930"/>
    <cellStyle name="20% - Accent2 4 4 3 2 2" xfId="12931"/>
    <cellStyle name="20% - Accent2 4 4 3 2 2 2" xfId="12932"/>
    <cellStyle name="20% - Accent2 4 4 3 2 2 3" xfId="12933"/>
    <cellStyle name="20% - Accent2 4 4 3 2 3" xfId="12934"/>
    <cellStyle name="20% - Accent2 4 4 3 2 3 2" xfId="12935"/>
    <cellStyle name="20% - Accent2 4 4 3 2 3 3" xfId="12936"/>
    <cellStyle name="20% - Accent2 4 4 3 2 4" xfId="12937"/>
    <cellStyle name="20% - Accent2 4 4 3 2 4 2" xfId="12938"/>
    <cellStyle name="20% - Accent2 4 4 3 2 5" xfId="12939"/>
    <cellStyle name="20% - Accent2 4 4 3 2 6" xfId="12940"/>
    <cellStyle name="20% - Accent2 4 4 3 3" xfId="12941"/>
    <cellStyle name="20% - Accent2 4 4 3 3 2" xfId="12942"/>
    <cellStyle name="20% - Accent2 4 4 3 3 2 2" xfId="12943"/>
    <cellStyle name="20% - Accent2 4 4 3 3 2 3" xfId="12944"/>
    <cellStyle name="20% - Accent2 4 4 3 3 3" xfId="12945"/>
    <cellStyle name="20% - Accent2 4 4 3 3 3 2" xfId="12946"/>
    <cellStyle name="20% - Accent2 4 4 3 3 3 3" xfId="12947"/>
    <cellStyle name="20% - Accent2 4 4 3 3 4" xfId="12948"/>
    <cellStyle name="20% - Accent2 4 4 3 3 4 2" xfId="12949"/>
    <cellStyle name="20% - Accent2 4 4 3 3 5" xfId="12950"/>
    <cellStyle name="20% - Accent2 4 4 3 3 6" xfId="12951"/>
    <cellStyle name="20% - Accent2 4 4 3 4" xfId="12952"/>
    <cellStyle name="20% - Accent2 4 4 3 4 2" xfId="12953"/>
    <cellStyle name="20% - Accent2 4 4 3 4 2 2" xfId="12954"/>
    <cellStyle name="20% - Accent2 4 4 3 4 2 3" xfId="12955"/>
    <cellStyle name="20% - Accent2 4 4 3 4 3" xfId="12956"/>
    <cellStyle name="20% - Accent2 4 4 3 4 3 2" xfId="12957"/>
    <cellStyle name="20% - Accent2 4 4 3 4 4" xfId="12958"/>
    <cellStyle name="20% - Accent2 4 4 3 4 5" xfId="12959"/>
    <cellStyle name="20% - Accent2 4 4 3 5" xfId="12960"/>
    <cellStyle name="20% - Accent2 4 4 3 5 2" xfId="12961"/>
    <cellStyle name="20% - Accent2 4 4 3 5 3" xfId="12962"/>
    <cellStyle name="20% - Accent2 4 4 3 6" xfId="12963"/>
    <cellStyle name="20% - Accent2 4 4 3 6 2" xfId="12964"/>
    <cellStyle name="20% - Accent2 4 4 3 6 3" xfId="12965"/>
    <cellStyle name="20% - Accent2 4 4 3 7" xfId="12966"/>
    <cellStyle name="20% - Accent2 4 4 3 7 2" xfId="12967"/>
    <cellStyle name="20% - Accent2 4 4 3 8" xfId="12968"/>
    <cellStyle name="20% - Accent2 4 4 3 9" xfId="12969"/>
    <cellStyle name="20% - Accent2 4 4 4" xfId="12970"/>
    <cellStyle name="20% - Accent2 4 4 4 2" xfId="12971"/>
    <cellStyle name="20% - Accent2 4 4 4 2 2" xfId="12972"/>
    <cellStyle name="20% - Accent2 4 4 4 2 2 2" xfId="12973"/>
    <cellStyle name="20% - Accent2 4 4 4 2 2 3" xfId="12974"/>
    <cellStyle name="20% - Accent2 4 4 4 2 3" xfId="12975"/>
    <cellStyle name="20% - Accent2 4 4 4 2 3 2" xfId="12976"/>
    <cellStyle name="20% - Accent2 4 4 4 2 3 3" xfId="12977"/>
    <cellStyle name="20% - Accent2 4 4 4 2 4" xfId="12978"/>
    <cellStyle name="20% - Accent2 4 4 4 2 4 2" xfId="12979"/>
    <cellStyle name="20% - Accent2 4 4 4 2 5" xfId="12980"/>
    <cellStyle name="20% - Accent2 4 4 4 2 6" xfId="12981"/>
    <cellStyle name="20% - Accent2 4 4 4 3" xfId="12982"/>
    <cellStyle name="20% - Accent2 4 4 4 3 2" xfId="12983"/>
    <cellStyle name="20% - Accent2 4 4 4 3 2 2" xfId="12984"/>
    <cellStyle name="20% - Accent2 4 4 4 3 2 3" xfId="12985"/>
    <cellStyle name="20% - Accent2 4 4 4 3 3" xfId="12986"/>
    <cellStyle name="20% - Accent2 4 4 4 3 3 2" xfId="12987"/>
    <cellStyle name="20% - Accent2 4 4 4 3 3 3" xfId="12988"/>
    <cellStyle name="20% - Accent2 4 4 4 3 4" xfId="12989"/>
    <cellStyle name="20% - Accent2 4 4 4 3 4 2" xfId="12990"/>
    <cellStyle name="20% - Accent2 4 4 4 3 5" xfId="12991"/>
    <cellStyle name="20% - Accent2 4 4 4 3 6" xfId="12992"/>
    <cellStyle name="20% - Accent2 4 4 4 4" xfId="12993"/>
    <cellStyle name="20% - Accent2 4 4 4 4 2" xfId="12994"/>
    <cellStyle name="20% - Accent2 4 4 4 4 2 2" xfId="12995"/>
    <cellStyle name="20% - Accent2 4 4 4 4 2 3" xfId="12996"/>
    <cellStyle name="20% - Accent2 4 4 4 4 3" xfId="12997"/>
    <cellStyle name="20% - Accent2 4 4 4 4 3 2" xfId="12998"/>
    <cellStyle name="20% - Accent2 4 4 4 4 4" xfId="12999"/>
    <cellStyle name="20% - Accent2 4 4 4 4 5" xfId="13000"/>
    <cellStyle name="20% - Accent2 4 4 4 5" xfId="13001"/>
    <cellStyle name="20% - Accent2 4 4 4 5 2" xfId="13002"/>
    <cellStyle name="20% - Accent2 4 4 4 5 3" xfId="13003"/>
    <cellStyle name="20% - Accent2 4 4 4 6" xfId="13004"/>
    <cellStyle name="20% - Accent2 4 4 4 6 2" xfId="13005"/>
    <cellStyle name="20% - Accent2 4 4 4 6 3" xfId="13006"/>
    <cellStyle name="20% - Accent2 4 4 4 7" xfId="13007"/>
    <cellStyle name="20% - Accent2 4 4 4 7 2" xfId="13008"/>
    <cellStyle name="20% - Accent2 4 4 4 8" xfId="13009"/>
    <cellStyle name="20% - Accent2 4 4 4 9" xfId="13010"/>
    <cellStyle name="20% - Accent2 4 4 5" xfId="13011"/>
    <cellStyle name="20% - Accent2 4 4 5 2" xfId="13012"/>
    <cellStyle name="20% - Accent2 4 4 5 2 2" xfId="13013"/>
    <cellStyle name="20% - Accent2 4 4 5 2 3" xfId="13014"/>
    <cellStyle name="20% - Accent2 4 4 5 3" xfId="13015"/>
    <cellStyle name="20% - Accent2 4 4 5 3 2" xfId="13016"/>
    <cellStyle name="20% - Accent2 4 4 5 3 3" xfId="13017"/>
    <cellStyle name="20% - Accent2 4 4 5 4" xfId="13018"/>
    <cellStyle name="20% - Accent2 4 4 5 4 2" xfId="13019"/>
    <cellStyle name="20% - Accent2 4 4 5 5" xfId="13020"/>
    <cellStyle name="20% - Accent2 4 4 5 6" xfId="13021"/>
    <cellStyle name="20% - Accent2 4 4 6" xfId="13022"/>
    <cellStyle name="20% - Accent2 4 4 6 2" xfId="13023"/>
    <cellStyle name="20% - Accent2 4 4 6 2 2" xfId="13024"/>
    <cellStyle name="20% - Accent2 4 4 6 2 3" xfId="13025"/>
    <cellStyle name="20% - Accent2 4 4 6 3" xfId="13026"/>
    <cellStyle name="20% - Accent2 4 4 6 3 2" xfId="13027"/>
    <cellStyle name="20% - Accent2 4 4 6 3 3" xfId="13028"/>
    <cellStyle name="20% - Accent2 4 4 6 4" xfId="13029"/>
    <cellStyle name="20% - Accent2 4 4 6 4 2" xfId="13030"/>
    <cellStyle name="20% - Accent2 4 4 6 5" xfId="13031"/>
    <cellStyle name="20% - Accent2 4 4 6 6" xfId="13032"/>
    <cellStyle name="20% - Accent2 4 4 7" xfId="13033"/>
    <cellStyle name="20% - Accent2 4 4 7 2" xfId="13034"/>
    <cellStyle name="20% - Accent2 4 4 7 2 2" xfId="13035"/>
    <cellStyle name="20% - Accent2 4 4 7 2 3" xfId="13036"/>
    <cellStyle name="20% - Accent2 4 4 7 3" xfId="13037"/>
    <cellStyle name="20% - Accent2 4 4 7 3 2" xfId="13038"/>
    <cellStyle name="20% - Accent2 4 4 7 4" xfId="13039"/>
    <cellStyle name="20% - Accent2 4 4 7 5" xfId="13040"/>
    <cellStyle name="20% - Accent2 4 4 8" xfId="13041"/>
    <cellStyle name="20% - Accent2 4 4 8 2" xfId="13042"/>
    <cellStyle name="20% - Accent2 4 4 8 3" xfId="13043"/>
    <cellStyle name="20% - Accent2 4 4 9" xfId="13044"/>
    <cellStyle name="20% - Accent2 4 4 9 2" xfId="13045"/>
    <cellStyle name="20% - Accent2 4 4 9 3" xfId="13046"/>
    <cellStyle name="20% - Accent2 4 5" xfId="395"/>
    <cellStyle name="20% - Accent2 4 5 10" xfId="13047"/>
    <cellStyle name="20% - Accent2 4 5 2" xfId="396"/>
    <cellStyle name="20% - Accent2 4 5 2 2" xfId="13048"/>
    <cellStyle name="20% - Accent2 4 5 2 2 2" xfId="13049"/>
    <cellStyle name="20% - Accent2 4 5 2 2 2 2" xfId="13050"/>
    <cellStyle name="20% - Accent2 4 5 2 2 2 3" xfId="13051"/>
    <cellStyle name="20% - Accent2 4 5 2 2 3" xfId="13052"/>
    <cellStyle name="20% - Accent2 4 5 2 2 3 2" xfId="13053"/>
    <cellStyle name="20% - Accent2 4 5 2 2 3 3" xfId="13054"/>
    <cellStyle name="20% - Accent2 4 5 2 2 4" xfId="13055"/>
    <cellStyle name="20% - Accent2 4 5 2 2 4 2" xfId="13056"/>
    <cellStyle name="20% - Accent2 4 5 2 2 5" xfId="13057"/>
    <cellStyle name="20% - Accent2 4 5 2 2 6" xfId="13058"/>
    <cellStyle name="20% - Accent2 4 5 2 3" xfId="13059"/>
    <cellStyle name="20% - Accent2 4 5 2 3 2" xfId="13060"/>
    <cellStyle name="20% - Accent2 4 5 2 3 2 2" xfId="13061"/>
    <cellStyle name="20% - Accent2 4 5 2 3 2 3" xfId="13062"/>
    <cellStyle name="20% - Accent2 4 5 2 3 3" xfId="13063"/>
    <cellStyle name="20% - Accent2 4 5 2 3 3 2" xfId="13064"/>
    <cellStyle name="20% - Accent2 4 5 2 3 3 3" xfId="13065"/>
    <cellStyle name="20% - Accent2 4 5 2 3 4" xfId="13066"/>
    <cellStyle name="20% - Accent2 4 5 2 3 4 2" xfId="13067"/>
    <cellStyle name="20% - Accent2 4 5 2 3 5" xfId="13068"/>
    <cellStyle name="20% - Accent2 4 5 2 3 6" xfId="13069"/>
    <cellStyle name="20% - Accent2 4 5 2 4" xfId="13070"/>
    <cellStyle name="20% - Accent2 4 5 2 4 2" xfId="13071"/>
    <cellStyle name="20% - Accent2 4 5 2 4 2 2" xfId="13072"/>
    <cellStyle name="20% - Accent2 4 5 2 4 2 3" xfId="13073"/>
    <cellStyle name="20% - Accent2 4 5 2 4 3" xfId="13074"/>
    <cellStyle name="20% - Accent2 4 5 2 4 3 2" xfId="13075"/>
    <cellStyle name="20% - Accent2 4 5 2 4 4" xfId="13076"/>
    <cellStyle name="20% - Accent2 4 5 2 4 5" xfId="13077"/>
    <cellStyle name="20% - Accent2 4 5 2 5" xfId="13078"/>
    <cellStyle name="20% - Accent2 4 5 2 5 2" xfId="13079"/>
    <cellStyle name="20% - Accent2 4 5 2 5 3" xfId="13080"/>
    <cellStyle name="20% - Accent2 4 5 2 6" xfId="13081"/>
    <cellStyle name="20% - Accent2 4 5 2 6 2" xfId="13082"/>
    <cellStyle name="20% - Accent2 4 5 2 6 3" xfId="13083"/>
    <cellStyle name="20% - Accent2 4 5 2 7" xfId="13084"/>
    <cellStyle name="20% - Accent2 4 5 2 7 2" xfId="13085"/>
    <cellStyle name="20% - Accent2 4 5 2 8" xfId="13086"/>
    <cellStyle name="20% - Accent2 4 5 2 9" xfId="13087"/>
    <cellStyle name="20% - Accent2 4 5 3" xfId="13088"/>
    <cellStyle name="20% - Accent2 4 5 3 2" xfId="13089"/>
    <cellStyle name="20% - Accent2 4 5 3 2 2" xfId="13090"/>
    <cellStyle name="20% - Accent2 4 5 3 2 3" xfId="13091"/>
    <cellStyle name="20% - Accent2 4 5 3 3" xfId="13092"/>
    <cellStyle name="20% - Accent2 4 5 3 3 2" xfId="13093"/>
    <cellStyle name="20% - Accent2 4 5 3 3 3" xfId="13094"/>
    <cellStyle name="20% - Accent2 4 5 3 4" xfId="13095"/>
    <cellStyle name="20% - Accent2 4 5 3 4 2" xfId="13096"/>
    <cellStyle name="20% - Accent2 4 5 3 5" xfId="13097"/>
    <cellStyle name="20% - Accent2 4 5 3 6" xfId="13098"/>
    <cellStyle name="20% - Accent2 4 5 4" xfId="13099"/>
    <cellStyle name="20% - Accent2 4 5 4 2" xfId="13100"/>
    <cellStyle name="20% - Accent2 4 5 4 2 2" xfId="13101"/>
    <cellStyle name="20% - Accent2 4 5 4 2 3" xfId="13102"/>
    <cellStyle name="20% - Accent2 4 5 4 3" xfId="13103"/>
    <cellStyle name="20% - Accent2 4 5 4 3 2" xfId="13104"/>
    <cellStyle name="20% - Accent2 4 5 4 3 3" xfId="13105"/>
    <cellStyle name="20% - Accent2 4 5 4 4" xfId="13106"/>
    <cellStyle name="20% - Accent2 4 5 4 4 2" xfId="13107"/>
    <cellStyle name="20% - Accent2 4 5 4 5" xfId="13108"/>
    <cellStyle name="20% - Accent2 4 5 4 6" xfId="13109"/>
    <cellStyle name="20% - Accent2 4 5 5" xfId="13110"/>
    <cellStyle name="20% - Accent2 4 5 5 2" xfId="13111"/>
    <cellStyle name="20% - Accent2 4 5 5 2 2" xfId="13112"/>
    <cellStyle name="20% - Accent2 4 5 5 2 3" xfId="13113"/>
    <cellStyle name="20% - Accent2 4 5 5 3" xfId="13114"/>
    <cellStyle name="20% - Accent2 4 5 5 3 2" xfId="13115"/>
    <cellStyle name="20% - Accent2 4 5 5 4" xfId="13116"/>
    <cellStyle name="20% - Accent2 4 5 5 5" xfId="13117"/>
    <cellStyle name="20% - Accent2 4 5 6" xfId="13118"/>
    <cellStyle name="20% - Accent2 4 5 6 2" xfId="13119"/>
    <cellStyle name="20% - Accent2 4 5 6 3" xfId="13120"/>
    <cellStyle name="20% - Accent2 4 5 7" xfId="13121"/>
    <cellStyle name="20% - Accent2 4 5 7 2" xfId="13122"/>
    <cellStyle name="20% - Accent2 4 5 7 3" xfId="13123"/>
    <cellStyle name="20% - Accent2 4 5 8" xfId="13124"/>
    <cellStyle name="20% - Accent2 4 5 8 2" xfId="13125"/>
    <cellStyle name="20% - Accent2 4 5 9" xfId="13126"/>
    <cellStyle name="20% - Accent2 4 6" xfId="397"/>
    <cellStyle name="20% - Accent2 4 6 2" xfId="13127"/>
    <cellStyle name="20% - Accent2 4 6 2 2" xfId="13128"/>
    <cellStyle name="20% - Accent2 4 6 2 2 2" xfId="13129"/>
    <cellStyle name="20% - Accent2 4 6 2 2 3" xfId="13130"/>
    <cellStyle name="20% - Accent2 4 6 2 3" xfId="13131"/>
    <cellStyle name="20% - Accent2 4 6 2 3 2" xfId="13132"/>
    <cellStyle name="20% - Accent2 4 6 2 3 3" xfId="13133"/>
    <cellStyle name="20% - Accent2 4 6 2 4" xfId="13134"/>
    <cellStyle name="20% - Accent2 4 6 2 4 2" xfId="13135"/>
    <cellStyle name="20% - Accent2 4 6 2 5" xfId="13136"/>
    <cellStyle name="20% - Accent2 4 6 2 6" xfId="13137"/>
    <cellStyle name="20% - Accent2 4 6 3" xfId="13138"/>
    <cellStyle name="20% - Accent2 4 6 3 2" xfId="13139"/>
    <cellStyle name="20% - Accent2 4 6 3 2 2" xfId="13140"/>
    <cellStyle name="20% - Accent2 4 6 3 2 3" xfId="13141"/>
    <cellStyle name="20% - Accent2 4 6 3 3" xfId="13142"/>
    <cellStyle name="20% - Accent2 4 6 3 3 2" xfId="13143"/>
    <cellStyle name="20% - Accent2 4 6 3 3 3" xfId="13144"/>
    <cellStyle name="20% - Accent2 4 6 3 4" xfId="13145"/>
    <cellStyle name="20% - Accent2 4 6 3 4 2" xfId="13146"/>
    <cellStyle name="20% - Accent2 4 6 3 5" xfId="13147"/>
    <cellStyle name="20% - Accent2 4 6 3 6" xfId="13148"/>
    <cellStyle name="20% - Accent2 4 6 4" xfId="13149"/>
    <cellStyle name="20% - Accent2 4 6 4 2" xfId="13150"/>
    <cellStyle name="20% - Accent2 4 6 4 2 2" xfId="13151"/>
    <cellStyle name="20% - Accent2 4 6 4 2 3" xfId="13152"/>
    <cellStyle name="20% - Accent2 4 6 4 3" xfId="13153"/>
    <cellStyle name="20% - Accent2 4 6 4 3 2" xfId="13154"/>
    <cellStyle name="20% - Accent2 4 6 4 4" xfId="13155"/>
    <cellStyle name="20% - Accent2 4 6 4 5" xfId="13156"/>
    <cellStyle name="20% - Accent2 4 6 5" xfId="13157"/>
    <cellStyle name="20% - Accent2 4 6 5 2" xfId="13158"/>
    <cellStyle name="20% - Accent2 4 6 5 3" xfId="13159"/>
    <cellStyle name="20% - Accent2 4 6 6" xfId="13160"/>
    <cellStyle name="20% - Accent2 4 6 6 2" xfId="13161"/>
    <cellStyle name="20% - Accent2 4 6 6 3" xfId="13162"/>
    <cellStyle name="20% - Accent2 4 6 7" xfId="13163"/>
    <cellStyle name="20% - Accent2 4 6 7 2" xfId="13164"/>
    <cellStyle name="20% - Accent2 4 6 8" xfId="13165"/>
    <cellStyle name="20% - Accent2 4 6 9" xfId="13166"/>
    <cellStyle name="20% - Accent2 4 7" xfId="8803"/>
    <cellStyle name="20% - Accent2 4 7 2" xfId="13167"/>
    <cellStyle name="20% - Accent2 4 7 2 2" xfId="13168"/>
    <cellStyle name="20% - Accent2 4 7 2 2 2" xfId="13169"/>
    <cellStyle name="20% - Accent2 4 7 2 2 3" xfId="13170"/>
    <cellStyle name="20% - Accent2 4 7 2 3" xfId="13171"/>
    <cellStyle name="20% - Accent2 4 7 2 3 2" xfId="13172"/>
    <cellStyle name="20% - Accent2 4 7 2 3 3" xfId="13173"/>
    <cellStyle name="20% - Accent2 4 7 2 4" xfId="13174"/>
    <cellStyle name="20% - Accent2 4 7 2 4 2" xfId="13175"/>
    <cellStyle name="20% - Accent2 4 7 2 5" xfId="13176"/>
    <cellStyle name="20% - Accent2 4 7 2 6" xfId="13177"/>
    <cellStyle name="20% - Accent2 4 7 3" xfId="13178"/>
    <cellStyle name="20% - Accent2 4 7 3 2" xfId="13179"/>
    <cellStyle name="20% - Accent2 4 7 3 2 2" xfId="13180"/>
    <cellStyle name="20% - Accent2 4 7 3 2 3" xfId="13181"/>
    <cellStyle name="20% - Accent2 4 7 3 3" xfId="13182"/>
    <cellStyle name="20% - Accent2 4 7 3 3 2" xfId="13183"/>
    <cellStyle name="20% - Accent2 4 7 3 3 3" xfId="13184"/>
    <cellStyle name="20% - Accent2 4 7 3 4" xfId="13185"/>
    <cellStyle name="20% - Accent2 4 7 3 4 2" xfId="13186"/>
    <cellStyle name="20% - Accent2 4 7 3 5" xfId="13187"/>
    <cellStyle name="20% - Accent2 4 7 3 6" xfId="13188"/>
    <cellStyle name="20% - Accent2 4 7 4" xfId="13189"/>
    <cellStyle name="20% - Accent2 4 7 4 2" xfId="13190"/>
    <cellStyle name="20% - Accent2 4 7 4 2 2" xfId="13191"/>
    <cellStyle name="20% - Accent2 4 7 4 2 3" xfId="13192"/>
    <cellStyle name="20% - Accent2 4 7 4 3" xfId="13193"/>
    <cellStyle name="20% - Accent2 4 7 4 3 2" xfId="13194"/>
    <cellStyle name="20% - Accent2 4 7 4 4" xfId="13195"/>
    <cellStyle name="20% - Accent2 4 7 4 5" xfId="13196"/>
    <cellStyle name="20% - Accent2 4 7 5" xfId="13197"/>
    <cellStyle name="20% - Accent2 4 7 5 2" xfId="13198"/>
    <cellStyle name="20% - Accent2 4 7 5 3" xfId="13199"/>
    <cellStyle name="20% - Accent2 4 7 6" xfId="13200"/>
    <cellStyle name="20% - Accent2 4 7 6 2" xfId="13201"/>
    <cellStyle name="20% - Accent2 4 7 6 3" xfId="13202"/>
    <cellStyle name="20% - Accent2 4 7 7" xfId="13203"/>
    <cellStyle name="20% - Accent2 4 7 7 2" xfId="13204"/>
    <cellStyle name="20% - Accent2 4 7 8" xfId="13205"/>
    <cellStyle name="20% - Accent2 4 7 9" xfId="13206"/>
    <cellStyle name="20% - Accent2 4 8" xfId="13207"/>
    <cellStyle name="20% - Accent2 4 8 2" xfId="13208"/>
    <cellStyle name="20% - Accent2 4 8 2 2" xfId="13209"/>
    <cellStyle name="20% - Accent2 4 8 2 3" xfId="13210"/>
    <cellStyle name="20% - Accent2 4 8 3" xfId="13211"/>
    <cellStyle name="20% - Accent2 4 8 3 2" xfId="13212"/>
    <cellStyle name="20% - Accent2 4 8 3 3" xfId="13213"/>
    <cellStyle name="20% - Accent2 4 8 4" xfId="13214"/>
    <cellStyle name="20% - Accent2 4 8 4 2" xfId="13215"/>
    <cellStyle name="20% - Accent2 4 8 5" xfId="13216"/>
    <cellStyle name="20% - Accent2 4 8 6" xfId="13217"/>
    <cellStyle name="20% - Accent2 4 9" xfId="13218"/>
    <cellStyle name="20% - Accent2 4 9 2" xfId="13219"/>
    <cellStyle name="20% - Accent2 4 9 2 2" xfId="13220"/>
    <cellStyle name="20% - Accent2 4 9 2 3" xfId="13221"/>
    <cellStyle name="20% - Accent2 4 9 3" xfId="13222"/>
    <cellStyle name="20% - Accent2 4 9 3 2" xfId="13223"/>
    <cellStyle name="20% - Accent2 4 9 3 3" xfId="13224"/>
    <cellStyle name="20% - Accent2 4 9 4" xfId="13225"/>
    <cellStyle name="20% - Accent2 4 9 4 2" xfId="13226"/>
    <cellStyle name="20% - Accent2 4 9 5" xfId="13227"/>
    <cellStyle name="20% - Accent2 4 9 6" xfId="13228"/>
    <cellStyle name="20% - Accent2 5" xfId="398"/>
    <cellStyle name="20% - Accent2 5 2" xfId="399"/>
    <cellStyle name="20% - Accent2 5 2 2" xfId="400"/>
    <cellStyle name="20% - Accent2 5 2 2 2" xfId="401"/>
    <cellStyle name="20% - Accent2 5 2 2 2 2" xfId="402"/>
    <cellStyle name="20% - Accent2 5 2 2 3" xfId="403"/>
    <cellStyle name="20% - Accent2 5 2 3" xfId="404"/>
    <cellStyle name="20% - Accent2 5 2 3 2" xfId="405"/>
    <cellStyle name="20% - Accent2 5 2 4" xfId="406"/>
    <cellStyle name="20% - Accent2 5 2 5" xfId="57861"/>
    <cellStyle name="20% - Accent2 5 3" xfId="407"/>
    <cellStyle name="20% - Accent2 5 3 2" xfId="408"/>
    <cellStyle name="20% - Accent2 5 3 2 2" xfId="409"/>
    <cellStyle name="20% - Accent2 5 3 3" xfId="410"/>
    <cellStyle name="20% - Accent2 5 4" xfId="411"/>
    <cellStyle name="20% - Accent2 5 4 2" xfId="412"/>
    <cellStyle name="20% - Accent2 5 5" xfId="413"/>
    <cellStyle name="20% - Accent2 5 6" xfId="8804"/>
    <cellStyle name="20% - Accent2 6" xfId="414"/>
    <cellStyle name="20% - Accent2 6 2" xfId="415"/>
    <cellStyle name="20% - Accent2 6 2 2" xfId="416"/>
    <cellStyle name="20% - Accent2 6 2 2 2" xfId="417"/>
    <cellStyle name="20% - Accent2 6 2 3" xfId="418"/>
    <cellStyle name="20% - Accent2 6 2 4" xfId="57862"/>
    <cellStyle name="20% - Accent2 6 2 5" xfId="57863"/>
    <cellStyle name="20% - Accent2 6 3" xfId="419"/>
    <cellStyle name="20% - Accent2 6 3 2" xfId="420"/>
    <cellStyle name="20% - Accent2 6 4" xfId="421"/>
    <cellStyle name="20% - Accent2 6 5" xfId="57864"/>
    <cellStyle name="20% - Accent2 7" xfId="422"/>
    <cellStyle name="20% - Accent2 7 2" xfId="423"/>
    <cellStyle name="20% - Accent2 7 2 2" xfId="424"/>
    <cellStyle name="20% - Accent2 7 2 2 2" xfId="425"/>
    <cellStyle name="20% - Accent2 7 2 3" xfId="426"/>
    <cellStyle name="20% - Accent2 7 3" xfId="427"/>
    <cellStyle name="20% - Accent2 7 3 2" xfId="428"/>
    <cellStyle name="20% - Accent2 7 4" xfId="429"/>
    <cellStyle name="20% - Accent2 7 5" xfId="57865"/>
    <cellStyle name="20% - Accent2 8" xfId="430"/>
    <cellStyle name="20% - Accent2 8 2" xfId="431"/>
    <cellStyle name="20% - Accent2 8 2 2" xfId="432"/>
    <cellStyle name="20% - Accent2 8 2 2 2" xfId="433"/>
    <cellStyle name="20% - Accent2 8 2 3" xfId="434"/>
    <cellStyle name="20% - Accent2 8 3" xfId="435"/>
    <cellStyle name="20% - Accent2 8 3 2" xfId="436"/>
    <cellStyle name="20% - Accent2 8 4" xfId="437"/>
    <cellStyle name="20% - Accent2 8 5" xfId="57866"/>
    <cellStyle name="20% - Accent2 9" xfId="438"/>
    <cellStyle name="20% - Accent2 9 2" xfId="439"/>
    <cellStyle name="20% - Accent2 9 2 2" xfId="440"/>
    <cellStyle name="20% - Accent2 9 3" xfId="441"/>
    <cellStyle name="20% - Accent2 9 4" xfId="57867"/>
    <cellStyle name="20% - Accent3 10" xfId="442"/>
    <cellStyle name="20% - Accent3 10 2" xfId="443"/>
    <cellStyle name="20% - Accent3 10 2 2" xfId="444"/>
    <cellStyle name="20% - Accent3 10 3" xfId="445"/>
    <cellStyle name="20% - Accent3 10 4" xfId="57868"/>
    <cellStyle name="20% - Accent3 11" xfId="446"/>
    <cellStyle name="20% - Accent3 11 2" xfId="447"/>
    <cellStyle name="20% - Accent3 11 2 2" xfId="448"/>
    <cellStyle name="20% - Accent3 11 3" xfId="449"/>
    <cellStyle name="20% - Accent3 11 4" xfId="57869"/>
    <cellStyle name="20% - Accent3 12" xfId="450"/>
    <cellStyle name="20% - Accent3 12 2" xfId="451"/>
    <cellStyle name="20% - Accent3 12 3" xfId="57870"/>
    <cellStyle name="20% - Accent3 13" xfId="452"/>
    <cellStyle name="20% - Accent3 13 2" xfId="57871"/>
    <cellStyle name="20% - Accent3 14" xfId="8805"/>
    <cellStyle name="20% - Accent3 15" xfId="9385"/>
    <cellStyle name="20% - Accent3 16" xfId="9386"/>
    <cellStyle name="20% - Accent3 17" xfId="9387"/>
    <cellStyle name="20% - Accent3 17 2" xfId="57872"/>
    <cellStyle name="20% - Accent3 18" xfId="57873"/>
    <cellStyle name="20% - Accent3 19" xfId="57874"/>
    <cellStyle name="20% - Accent3 2" xfId="453"/>
    <cellStyle name="20% - Accent3 2 2" xfId="454"/>
    <cellStyle name="20% - Accent3 2 2 2" xfId="455"/>
    <cellStyle name="20% - Accent3 2 2 2 2" xfId="456"/>
    <cellStyle name="20% - Accent3 2 2 2 2 2" xfId="457"/>
    <cellStyle name="20% - Accent3 2 2 2 2 2 2" xfId="458"/>
    <cellStyle name="20% - Accent3 2 2 2 2 2 2 2" xfId="459"/>
    <cellStyle name="20% - Accent3 2 2 2 2 2 3" xfId="460"/>
    <cellStyle name="20% - Accent3 2 2 2 2 3" xfId="461"/>
    <cellStyle name="20% - Accent3 2 2 2 2 3 2" xfId="462"/>
    <cellStyle name="20% - Accent3 2 2 2 2 4" xfId="463"/>
    <cellStyle name="20% - Accent3 2 2 2 2 5" xfId="57875"/>
    <cellStyle name="20% - Accent3 2 2 2 3" xfId="464"/>
    <cellStyle name="20% - Accent3 2 2 2 3 2" xfId="465"/>
    <cellStyle name="20% - Accent3 2 2 2 3 2 2" xfId="466"/>
    <cellStyle name="20% - Accent3 2 2 2 3 3" xfId="467"/>
    <cellStyle name="20% - Accent3 2 2 2 4" xfId="468"/>
    <cellStyle name="20% - Accent3 2 2 2 4 2" xfId="469"/>
    <cellStyle name="20% - Accent3 2 2 2 5" xfId="470"/>
    <cellStyle name="20% - Accent3 2 2 2 6" xfId="57876"/>
    <cellStyle name="20% - Accent3 2 2 3" xfId="471"/>
    <cellStyle name="20% - Accent3 2 2 3 2" xfId="472"/>
    <cellStyle name="20% - Accent3 2 2 3 2 2" xfId="473"/>
    <cellStyle name="20% - Accent3 2 2 3 2 2 2" xfId="474"/>
    <cellStyle name="20% - Accent3 2 2 3 2 3" xfId="475"/>
    <cellStyle name="20% - Accent3 2 2 3 3" xfId="476"/>
    <cellStyle name="20% - Accent3 2 2 3 3 2" xfId="477"/>
    <cellStyle name="20% - Accent3 2 2 3 4" xfId="478"/>
    <cellStyle name="20% - Accent3 2 2 3 5" xfId="57877"/>
    <cellStyle name="20% - Accent3 2 2 4" xfId="479"/>
    <cellStyle name="20% - Accent3 2 2 4 2" xfId="480"/>
    <cellStyle name="20% - Accent3 2 2 4 2 2" xfId="481"/>
    <cellStyle name="20% - Accent3 2 2 4 3" xfId="482"/>
    <cellStyle name="20% - Accent3 2 2 5" xfId="483"/>
    <cellStyle name="20% - Accent3 2 2 5 2" xfId="484"/>
    <cellStyle name="20% - Accent3 2 2 6" xfId="485"/>
    <cellStyle name="20% - Accent3 2 2 7" xfId="57878"/>
    <cellStyle name="20% - Accent3 2 3" xfId="486"/>
    <cellStyle name="20% - Accent3 2 3 2" xfId="487"/>
    <cellStyle name="20% - Accent3 2 3 2 2" xfId="488"/>
    <cellStyle name="20% - Accent3 2 3 2 2 2" xfId="489"/>
    <cellStyle name="20% - Accent3 2 3 2 2 2 2" xfId="490"/>
    <cellStyle name="20% - Accent3 2 3 2 2 3" xfId="491"/>
    <cellStyle name="20% - Accent3 2 3 2 3" xfId="492"/>
    <cellStyle name="20% - Accent3 2 3 2 3 2" xfId="493"/>
    <cellStyle name="20% - Accent3 2 3 2 4" xfId="494"/>
    <cellStyle name="20% - Accent3 2 3 3" xfId="495"/>
    <cellStyle name="20% - Accent3 2 3 3 2" xfId="496"/>
    <cellStyle name="20% - Accent3 2 3 3 2 2" xfId="497"/>
    <cellStyle name="20% - Accent3 2 3 3 3" xfId="498"/>
    <cellStyle name="20% - Accent3 2 3 4" xfId="499"/>
    <cellStyle name="20% - Accent3 2 3 4 2" xfId="500"/>
    <cellStyle name="20% - Accent3 2 3 5" xfId="501"/>
    <cellStyle name="20% - Accent3 2 3 6" xfId="57879"/>
    <cellStyle name="20% - Accent3 2 4" xfId="502"/>
    <cellStyle name="20% - Accent3 2 4 2" xfId="503"/>
    <cellStyle name="20% - Accent3 2 4 2 2" xfId="504"/>
    <cellStyle name="20% - Accent3 2 4 2 2 2" xfId="505"/>
    <cellStyle name="20% - Accent3 2 4 2 3" xfId="506"/>
    <cellStyle name="20% - Accent3 2 4 3" xfId="507"/>
    <cellStyle name="20% - Accent3 2 4 3 2" xfId="508"/>
    <cellStyle name="20% - Accent3 2 4 4" xfId="509"/>
    <cellStyle name="20% - Accent3 2 4 5" xfId="57880"/>
    <cellStyle name="20% - Accent3 2 5" xfId="510"/>
    <cellStyle name="20% - Accent3 2 5 2" xfId="511"/>
    <cellStyle name="20% - Accent3 2 5 2 2" xfId="512"/>
    <cellStyle name="20% - Accent3 2 5 3" xfId="513"/>
    <cellStyle name="20% - Accent3 2 5 4" xfId="57881"/>
    <cellStyle name="20% - Accent3 2 6" xfId="514"/>
    <cellStyle name="20% - Accent3 2 6 2" xfId="515"/>
    <cellStyle name="20% - Accent3 2 6 3" xfId="57882"/>
    <cellStyle name="20% - Accent3 2 7" xfId="516"/>
    <cellStyle name="20% - Accent3 2 8" xfId="517"/>
    <cellStyle name="20% - Accent3 2 9" xfId="57883"/>
    <cellStyle name="20% - Accent3 20" xfId="57884"/>
    <cellStyle name="20% - Accent3 21" xfId="57885"/>
    <cellStyle name="20% - Accent3 3" xfId="518"/>
    <cellStyle name="20% - Accent3 3 2" xfId="519"/>
    <cellStyle name="20% - Accent3 3 2 2" xfId="520"/>
    <cellStyle name="20% - Accent3 3 2 2 2" xfId="521"/>
    <cellStyle name="20% - Accent3 3 2 2 2 2" xfId="522"/>
    <cellStyle name="20% - Accent3 3 2 2 2 2 2" xfId="523"/>
    <cellStyle name="20% - Accent3 3 2 2 2 2 2 2" xfId="524"/>
    <cellStyle name="20% - Accent3 3 2 2 2 2 3" xfId="525"/>
    <cellStyle name="20% - Accent3 3 2 2 2 3" xfId="526"/>
    <cellStyle name="20% - Accent3 3 2 2 2 3 2" xfId="527"/>
    <cellStyle name="20% - Accent3 3 2 2 2 4" xfId="528"/>
    <cellStyle name="20% - Accent3 3 2 2 2 5" xfId="8806"/>
    <cellStyle name="20% - Accent3 3 2 2 3" xfId="529"/>
    <cellStyle name="20% - Accent3 3 2 2 3 2" xfId="530"/>
    <cellStyle name="20% - Accent3 3 2 2 3 2 2" xfId="531"/>
    <cellStyle name="20% - Accent3 3 2 2 3 3" xfId="532"/>
    <cellStyle name="20% - Accent3 3 2 2 4" xfId="533"/>
    <cellStyle name="20% - Accent3 3 2 2 4 2" xfId="534"/>
    <cellStyle name="20% - Accent3 3 2 2 5" xfId="535"/>
    <cellStyle name="20% - Accent3 3 2 2 6" xfId="8807"/>
    <cellStyle name="20% - Accent3 3 2 3" xfId="536"/>
    <cellStyle name="20% - Accent3 3 2 3 2" xfId="537"/>
    <cellStyle name="20% - Accent3 3 2 3 2 2" xfId="538"/>
    <cellStyle name="20% - Accent3 3 2 3 2 2 2" xfId="539"/>
    <cellStyle name="20% - Accent3 3 2 3 2 3" xfId="540"/>
    <cellStyle name="20% - Accent3 3 2 3 3" xfId="541"/>
    <cellStyle name="20% - Accent3 3 2 3 3 2" xfId="542"/>
    <cellStyle name="20% - Accent3 3 2 3 4" xfId="543"/>
    <cellStyle name="20% - Accent3 3 2 3 5" xfId="8808"/>
    <cellStyle name="20% - Accent3 3 2 4" xfId="544"/>
    <cellStyle name="20% - Accent3 3 2 4 2" xfId="545"/>
    <cellStyle name="20% - Accent3 3 2 4 2 2" xfId="546"/>
    <cellStyle name="20% - Accent3 3 2 4 3" xfId="547"/>
    <cellStyle name="20% - Accent3 3 2 5" xfId="548"/>
    <cellStyle name="20% - Accent3 3 2 5 2" xfId="549"/>
    <cellStyle name="20% - Accent3 3 2 6" xfId="550"/>
    <cellStyle name="20% - Accent3 3 2 7" xfId="8809"/>
    <cellStyle name="20% - Accent3 3 3" xfId="551"/>
    <cellStyle name="20% - Accent3 3 3 2" xfId="552"/>
    <cellStyle name="20% - Accent3 3 3 2 2" xfId="553"/>
    <cellStyle name="20% - Accent3 3 3 2 2 2" xfId="554"/>
    <cellStyle name="20% - Accent3 3 3 2 2 2 2" xfId="555"/>
    <cellStyle name="20% - Accent3 3 3 2 2 3" xfId="556"/>
    <cellStyle name="20% - Accent3 3 3 2 3" xfId="557"/>
    <cellStyle name="20% - Accent3 3 3 2 3 2" xfId="558"/>
    <cellStyle name="20% - Accent3 3 3 2 4" xfId="559"/>
    <cellStyle name="20% - Accent3 3 3 2 5" xfId="8810"/>
    <cellStyle name="20% - Accent3 3 3 3" xfId="560"/>
    <cellStyle name="20% - Accent3 3 3 3 2" xfId="561"/>
    <cellStyle name="20% - Accent3 3 3 3 2 2" xfId="562"/>
    <cellStyle name="20% - Accent3 3 3 3 3" xfId="563"/>
    <cellStyle name="20% - Accent3 3 3 4" xfId="564"/>
    <cellStyle name="20% - Accent3 3 3 4 2" xfId="565"/>
    <cellStyle name="20% - Accent3 3 3 5" xfId="566"/>
    <cellStyle name="20% - Accent3 3 3 6" xfId="8811"/>
    <cellStyle name="20% - Accent3 3 4" xfId="567"/>
    <cellStyle name="20% - Accent3 3 4 2" xfId="568"/>
    <cellStyle name="20% - Accent3 3 4 2 2" xfId="569"/>
    <cellStyle name="20% - Accent3 3 4 2 2 2" xfId="570"/>
    <cellStyle name="20% - Accent3 3 4 2 3" xfId="571"/>
    <cellStyle name="20% - Accent3 3 4 3" xfId="572"/>
    <cellStyle name="20% - Accent3 3 4 3 2" xfId="573"/>
    <cellStyle name="20% - Accent3 3 4 4" xfId="574"/>
    <cellStyle name="20% - Accent3 3 4 5" xfId="8812"/>
    <cellStyle name="20% - Accent3 3 5" xfId="575"/>
    <cellStyle name="20% - Accent3 3 5 2" xfId="576"/>
    <cellStyle name="20% - Accent3 3 5 2 2" xfId="577"/>
    <cellStyle name="20% - Accent3 3 5 3" xfId="578"/>
    <cellStyle name="20% - Accent3 3 6" xfId="579"/>
    <cellStyle name="20% - Accent3 3 6 2" xfId="580"/>
    <cellStyle name="20% - Accent3 3 7" xfId="581"/>
    <cellStyle name="20% - Accent3 3 8" xfId="582"/>
    <cellStyle name="20% - Accent3 3 9" xfId="8813"/>
    <cellStyle name="20% - Accent3 4" xfId="583"/>
    <cellStyle name="20% - Accent3 4 10" xfId="13229"/>
    <cellStyle name="20% - Accent3 4 10 2" xfId="13230"/>
    <cellStyle name="20% - Accent3 4 10 2 2" xfId="13231"/>
    <cellStyle name="20% - Accent3 4 10 2 3" xfId="13232"/>
    <cellStyle name="20% - Accent3 4 10 3" xfId="13233"/>
    <cellStyle name="20% - Accent3 4 10 3 2" xfId="13234"/>
    <cellStyle name="20% - Accent3 4 10 4" xfId="13235"/>
    <cellStyle name="20% - Accent3 4 10 5" xfId="13236"/>
    <cellStyle name="20% - Accent3 4 11" xfId="13237"/>
    <cellStyle name="20% - Accent3 4 11 2" xfId="13238"/>
    <cellStyle name="20% - Accent3 4 11 3" xfId="13239"/>
    <cellStyle name="20% - Accent3 4 12" xfId="13240"/>
    <cellStyle name="20% - Accent3 4 12 2" xfId="13241"/>
    <cellStyle name="20% - Accent3 4 12 3" xfId="13242"/>
    <cellStyle name="20% - Accent3 4 13" xfId="13243"/>
    <cellStyle name="20% - Accent3 4 13 2" xfId="13244"/>
    <cellStyle name="20% - Accent3 4 14" xfId="13245"/>
    <cellStyle name="20% - Accent3 4 15" xfId="13246"/>
    <cellStyle name="20% - Accent3 4 16" xfId="13247"/>
    <cellStyle name="20% - Accent3 4 2" xfId="584"/>
    <cellStyle name="20% - Accent3 4 2 10" xfId="13248"/>
    <cellStyle name="20% - Accent3 4 2 10 2" xfId="13249"/>
    <cellStyle name="20% - Accent3 4 2 10 3" xfId="13250"/>
    <cellStyle name="20% - Accent3 4 2 11" xfId="13251"/>
    <cellStyle name="20% - Accent3 4 2 11 2" xfId="13252"/>
    <cellStyle name="20% - Accent3 4 2 11 3" xfId="13253"/>
    <cellStyle name="20% - Accent3 4 2 12" xfId="13254"/>
    <cellStyle name="20% - Accent3 4 2 12 2" xfId="13255"/>
    <cellStyle name="20% - Accent3 4 2 13" xfId="13256"/>
    <cellStyle name="20% - Accent3 4 2 14" xfId="13257"/>
    <cellStyle name="20% - Accent3 4 2 15" xfId="13258"/>
    <cellStyle name="20% - Accent3 4 2 2" xfId="585"/>
    <cellStyle name="20% - Accent3 4 2 2 10" xfId="13259"/>
    <cellStyle name="20% - Accent3 4 2 2 10 2" xfId="13260"/>
    <cellStyle name="20% - Accent3 4 2 2 10 3" xfId="13261"/>
    <cellStyle name="20% - Accent3 4 2 2 11" xfId="13262"/>
    <cellStyle name="20% - Accent3 4 2 2 11 2" xfId="13263"/>
    <cellStyle name="20% - Accent3 4 2 2 12" xfId="13264"/>
    <cellStyle name="20% - Accent3 4 2 2 13" xfId="13265"/>
    <cellStyle name="20% - Accent3 4 2 2 2" xfId="586"/>
    <cellStyle name="20% - Accent3 4 2 2 2 10" xfId="13266"/>
    <cellStyle name="20% - Accent3 4 2 2 2 10 2" xfId="13267"/>
    <cellStyle name="20% - Accent3 4 2 2 2 11" xfId="13268"/>
    <cellStyle name="20% - Accent3 4 2 2 2 12" xfId="13269"/>
    <cellStyle name="20% - Accent3 4 2 2 2 2" xfId="587"/>
    <cellStyle name="20% - Accent3 4 2 2 2 2 10" xfId="13270"/>
    <cellStyle name="20% - Accent3 4 2 2 2 2 2" xfId="588"/>
    <cellStyle name="20% - Accent3 4 2 2 2 2 2 2" xfId="13271"/>
    <cellStyle name="20% - Accent3 4 2 2 2 2 2 2 2" xfId="13272"/>
    <cellStyle name="20% - Accent3 4 2 2 2 2 2 2 2 2" xfId="13273"/>
    <cellStyle name="20% - Accent3 4 2 2 2 2 2 2 2 3" xfId="13274"/>
    <cellStyle name="20% - Accent3 4 2 2 2 2 2 2 3" xfId="13275"/>
    <cellStyle name="20% - Accent3 4 2 2 2 2 2 2 3 2" xfId="13276"/>
    <cellStyle name="20% - Accent3 4 2 2 2 2 2 2 3 3" xfId="13277"/>
    <cellStyle name="20% - Accent3 4 2 2 2 2 2 2 4" xfId="13278"/>
    <cellStyle name="20% - Accent3 4 2 2 2 2 2 2 4 2" xfId="13279"/>
    <cellStyle name="20% - Accent3 4 2 2 2 2 2 2 5" xfId="13280"/>
    <cellStyle name="20% - Accent3 4 2 2 2 2 2 2 6" xfId="13281"/>
    <cellStyle name="20% - Accent3 4 2 2 2 2 2 3" xfId="13282"/>
    <cellStyle name="20% - Accent3 4 2 2 2 2 2 3 2" xfId="13283"/>
    <cellStyle name="20% - Accent3 4 2 2 2 2 2 3 2 2" xfId="13284"/>
    <cellStyle name="20% - Accent3 4 2 2 2 2 2 3 2 3" xfId="13285"/>
    <cellStyle name="20% - Accent3 4 2 2 2 2 2 3 3" xfId="13286"/>
    <cellStyle name="20% - Accent3 4 2 2 2 2 2 3 3 2" xfId="13287"/>
    <cellStyle name="20% - Accent3 4 2 2 2 2 2 3 3 3" xfId="13288"/>
    <cellStyle name="20% - Accent3 4 2 2 2 2 2 3 4" xfId="13289"/>
    <cellStyle name="20% - Accent3 4 2 2 2 2 2 3 4 2" xfId="13290"/>
    <cellStyle name="20% - Accent3 4 2 2 2 2 2 3 5" xfId="13291"/>
    <cellStyle name="20% - Accent3 4 2 2 2 2 2 3 6" xfId="13292"/>
    <cellStyle name="20% - Accent3 4 2 2 2 2 2 4" xfId="13293"/>
    <cellStyle name="20% - Accent3 4 2 2 2 2 2 4 2" xfId="13294"/>
    <cellStyle name="20% - Accent3 4 2 2 2 2 2 4 2 2" xfId="13295"/>
    <cellStyle name="20% - Accent3 4 2 2 2 2 2 4 2 3" xfId="13296"/>
    <cellStyle name="20% - Accent3 4 2 2 2 2 2 4 3" xfId="13297"/>
    <cellStyle name="20% - Accent3 4 2 2 2 2 2 4 3 2" xfId="13298"/>
    <cellStyle name="20% - Accent3 4 2 2 2 2 2 4 4" xfId="13299"/>
    <cellStyle name="20% - Accent3 4 2 2 2 2 2 4 5" xfId="13300"/>
    <cellStyle name="20% - Accent3 4 2 2 2 2 2 5" xfId="13301"/>
    <cellStyle name="20% - Accent3 4 2 2 2 2 2 5 2" xfId="13302"/>
    <cellStyle name="20% - Accent3 4 2 2 2 2 2 5 3" xfId="13303"/>
    <cellStyle name="20% - Accent3 4 2 2 2 2 2 6" xfId="13304"/>
    <cellStyle name="20% - Accent3 4 2 2 2 2 2 6 2" xfId="13305"/>
    <cellStyle name="20% - Accent3 4 2 2 2 2 2 6 3" xfId="13306"/>
    <cellStyle name="20% - Accent3 4 2 2 2 2 2 7" xfId="13307"/>
    <cellStyle name="20% - Accent3 4 2 2 2 2 2 7 2" xfId="13308"/>
    <cellStyle name="20% - Accent3 4 2 2 2 2 2 8" xfId="13309"/>
    <cellStyle name="20% - Accent3 4 2 2 2 2 2 9" xfId="13310"/>
    <cellStyle name="20% - Accent3 4 2 2 2 2 3" xfId="13311"/>
    <cellStyle name="20% - Accent3 4 2 2 2 2 3 2" xfId="13312"/>
    <cellStyle name="20% - Accent3 4 2 2 2 2 3 2 2" xfId="13313"/>
    <cellStyle name="20% - Accent3 4 2 2 2 2 3 2 3" xfId="13314"/>
    <cellStyle name="20% - Accent3 4 2 2 2 2 3 3" xfId="13315"/>
    <cellStyle name="20% - Accent3 4 2 2 2 2 3 3 2" xfId="13316"/>
    <cellStyle name="20% - Accent3 4 2 2 2 2 3 3 3" xfId="13317"/>
    <cellStyle name="20% - Accent3 4 2 2 2 2 3 4" xfId="13318"/>
    <cellStyle name="20% - Accent3 4 2 2 2 2 3 4 2" xfId="13319"/>
    <cellStyle name="20% - Accent3 4 2 2 2 2 3 5" xfId="13320"/>
    <cellStyle name="20% - Accent3 4 2 2 2 2 3 6" xfId="13321"/>
    <cellStyle name="20% - Accent3 4 2 2 2 2 4" xfId="13322"/>
    <cellStyle name="20% - Accent3 4 2 2 2 2 4 2" xfId="13323"/>
    <cellStyle name="20% - Accent3 4 2 2 2 2 4 2 2" xfId="13324"/>
    <cellStyle name="20% - Accent3 4 2 2 2 2 4 2 3" xfId="13325"/>
    <cellStyle name="20% - Accent3 4 2 2 2 2 4 3" xfId="13326"/>
    <cellStyle name="20% - Accent3 4 2 2 2 2 4 3 2" xfId="13327"/>
    <cellStyle name="20% - Accent3 4 2 2 2 2 4 3 3" xfId="13328"/>
    <cellStyle name="20% - Accent3 4 2 2 2 2 4 4" xfId="13329"/>
    <cellStyle name="20% - Accent3 4 2 2 2 2 4 4 2" xfId="13330"/>
    <cellStyle name="20% - Accent3 4 2 2 2 2 4 5" xfId="13331"/>
    <cellStyle name="20% - Accent3 4 2 2 2 2 4 6" xfId="13332"/>
    <cellStyle name="20% - Accent3 4 2 2 2 2 5" xfId="13333"/>
    <cellStyle name="20% - Accent3 4 2 2 2 2 5 2" xfId="13334"/>
    <cellStyle name="20% - Accent3 4 2 2 2 2 5 2 2" xfId="13335"/>
    <cellStyle name="20% - Accent3 4 2 2 2 2 5 2 3" xfId="13336"/>
    <cellStyle name="20% - Accent3 4 2 2 2 2 5 3" xfId="13337"/>
    <cellStyle name="20% - Accent3 4 2 2 2 2 5 3 2" xfId="13338"/>
    <cellStyle name="20% - Accent3 4 2 2 2 2 5 4" xfId="13339"/>
    <cellStyle name="20% - Accent3 4 2 2 2 2 5 5" xfId="13340"/>
    <cellStyle name="20% - Accent3 4 2 2 2 2 6" xfId="13341"/>
    <cellStyle name="20% - Accent3 4 2 2 2 2 6 2" xfId="13342"/>
    <cellStyle name="20% - Accent3 4 2 2 2 2 6 3" xfId="13343"/>
    <cellStyle name="20% - Accent3 4 2 2 2 2 7" xfId="13344"/>
    <cellStyle name="20% - Accent3 4 2 2 2 2 7 2" xfId="13345"/>
    <cellStyle name="20% - Accent3 4 2 2 2 2 7 3" xfId="13346"/>
    <cellStyle name="20% - Accent3 4 2 2 2 2 8" xfId="13347"/>
    <cellStyle name="20% - Accent3 4 2 2 2 2 8 2" xfId="13348"/>
    <cellStyle name="20% - Accent3 4 2 2 2 2 9" xfId="13349"/>
    <cellStyle name="20% - Accent3 4 2 2 2 3" xfId="589"/>
    <cellStyle name="20% - Accent3 4 2 2 2 3 2" xfId="13350"/>
    <cellStyle name="20% - Accent3 4 2 2 2 3 2 2" xfId="13351"/>
    <cellStyle name="20% - Accent3 4 2 2 2 3 2 2 2" xfId="13352"/>
    <cellStyle name="20% - Accent3 4 2 2 2 3 2 2 3" xfId="13353"/>
    <cellStyle name="20% - Accent3 4 2 2 2 3 2 3" xfId="13354"/>
    <cellStyle name="20% - Accent3 4 2 2 2 3 2 3 2" xfId="13355"/>
    <cellStyle name="20% - Accent3 4 2 2 2 3 2 3 3" xfId="13356"/>
    <cellStyle name="20% - Accent3 4 2 2 2 3 2 4" xfId="13357"/>
    <cellStyle name="20% - Accent3 4 2 2 2 3 2 4 2" xfId="13358"/>
    <cellStyle name="20% - Accent3 4 2 2 2 3 2 5" xfId="13359"/>
    <cellStyle name="20% - Accent3 4 2 2 2 3 2 6" xfId="13360"/>
    <cellStyle name="20% - Accent3 4 2 2 2 3 3" xfId="13361"/>
    <cellStyle name="20% - Accent3 4 2 2 2 3 3 2" xfId="13362"/>
    <cellStyle name="20% - Accent3 4 2 2 2 3 3 2 2" xfId="13363"/>
    <cellStyle name="20% - Accent3 4 2 2 2 3 3 2 3" xfId="13364"/>
    <cellStyle name="20% - Accent3 4 2 2 2 3 3 3" xfId="13365"/>
    <cellStyle name="20% - Accent3 4 2 2 2 3 3 3 2" xfId="13366"/>
    <cellStyle name="20% - Accent3 4 2 2 2 3 3 3 3" xfId="13367"/>
    <cellStyle name="20% - Accent3 4 2 2 2 3 3 4" xfId="13368"/>
    <cellStyle name="20% - Accent3 4 2 2 2 3 3 4 2" xfId="13369"/>
    <cellStyle name="20% - Accent3 4 2 2 2 3 3 5" xfId="13370"/>
    <cellStyle name="20% - Accent3 4 2 2 2 3 3 6" xfId="13371"/>
    <cellStyle name="20% - Accent3 4 2 2 2 3 4" xfId="13372"/>
    <cellStyle name="20% - Accent3 4 2 2 2 3 4 2" xfId="13373"/>
    <cellStyle name="20% - Accent3 4 2 2 2 3 4 2 2" xfId="13374"/>
    <cellStyle name="20% - Accent3 4 2 2 2 3 4 2 3" xfId="13375"/>
    <cellStyle name="20% - Accent3 4 2 2 2 3 4 3" xfId="13376"/>
    <cellStyle name="20% - Accent3 4 2 2 2 3 4 3 2" xfId="13377"/>
    <cellStyle name="20% - Accent3 4 2 2 2 3 4 4" xfId="13378"/>
    <cellStyle name="20% - Accent3 4 2 2 2 3 4 5" xfId="13379"/>
    <cellStyle name="20% - Accent3 4 2 2 2 3 5" xfId="13380"/>
    <cellStyle name="20% - Accent3 4 2 2 2 3 5 2" xfId="13381"/>
    <cellStyle name="20% - Accent3 4 2 2 2 3 5 3" xfId="13382"/>
    <cellStyle name="20% - Accent3 4 2 2 2 3 6" xfId="13383"/>
    <cellStyle name="20% - Accent3 4 2 2 2 3 6 2" xfId="13384"/>
    <cellStyle name="20% - Accent3 4 2 2 2 3 6 3" xfId="13385"/>
    <cellStyle name="20% - Accent3 4 2 2 2 3 7" xfId="13386"/>
    <cellStyle name="20% - Accent3 4 2 2 2 3 7 2" xfId="13387"/>
    <cellStyle name="20% - Accent3 4 2 2 2 3 8" xfId="13388"/>
    <cellStyle name="20% - Accent3 4 2 2 2 3 9" xfId="13389"/>
    <cellStyle name="20% - Accent3 4 2 2 2 4" xfId="13390"/>
    <cellStyle name="20% - Accent3 4 2 2 2 4 2" xfId="13391"/>
    <cellStyle name="20% - Accent3 4 2 2 2 4 2 2" xfId="13392"/>
    <cellStyle name="20% - Accent3 4 2 2 2 4 2 2 2" xfId="13393"/>
    <cellStyle name="20% - Accent3 4 2 2 2 4 2 2 3" xfId="13394"/>
    <cellStyle name="20% - Accent3 4 2 2 2 4 2 3" xfId="13395"/>
    <cellStyle name="20% - Accent3 4 2 2 2 4 2 3 2" xfId="13396"/>
    <cellStyle name="20% - Accent3 4 2 2 2 4 2 3 3" xfId="13397"/>
    <cellStyle name="20% - Accent3 4 2 2 2 4 2 4" xfId="13398"/>
    <cellStyle name="20% - Accent3 4 2 2 2 4 2 4 2" xfId="13399"/>
    <cellStyle name="20% - Accent3 4 2 2 2 4 2 5" xfId="13400"/>
    <cellStyle name="20% - Accent3 4 2 2 2 4 2 6" xfId="13401"/>
    <cellStyle name="20% - Accent3 4 2 2 2 4 3" xfId="13402"/>
    <cellStyle name="20% - Accent3 4 2 2 2 4 3 2" xfId="13403"/>
    <cellStyle name="20% - Accent3 4 2 2 2 4 3 2 2" xfId="13404"/>
    <cellStyle name="20% - Accent3 4 2 2 2 4 3 2 3" xfId="13405"/>
    <cellStyle name="20% - Accent3 4 2 2 2 4 3 3" xfId="13406"/>
    <cellStyle name="20% - Accent3 4 2 2 2 4 3 3 2" xfId="13407"/>
    <cellStyle name="20% - Accent3 4 2 2 2 4 3 3 3" xfId="13408"/>
    <cellStyle name="20% - Accent3 4 2 2 2 4 3 4" xfId="13409"/>
    <cellStyle name="20% - Accent3 4 2 2 2 4 3 4 2" xfId="13410"/>
    <cellStyle name="20% - Accent3 4 2 2 2 4 3 5" xfId="13411"/>
    <cellStyle name="20% - Accent3 4 2 2 2 4 3 6" xfId="13412"/>
    <cellStyle name="20% - Accent3 4 2 2 2 4 4" xfId="13413"/>
    <cellStyle name="20% - Accent3 4 2 2 2 4 4 2" xfId="13414"/>
    <cellStyle name="20% - Accent3 4 2 2 2 4 4 2 2" xfId="13415"/>
    <cellStyle name="20% - Accent3 4 2 2 2 4 4 2 3" xfId="13416"/>
    <cellStyle name="20% - Accent3 4 2 2 2 4 4 3" xfId="13417"/>
    <cellStyle name="20% - Accent3 4 2 2 2 4 4 3 2" xfId="13418"/>
    <cellStyle name="20% - Accent3 4 2 2 2 4 4 4" xfId="13419"/>
    <cellStyle name="20% - Accent3 4 2 2 2 4 4 5" xfId="13420"/>
    <cellStyle name="20% - Accent3 4 2 2 2 4 5" xfId="13421"/>
    <cellStyle name="20% - Accent3 4 2 2 2 4 5 2" xfId="13422"/>
    <cellStyle name="20% - Accent3 4 2 2 2 4 5 3" xfId="13423"/>
    <cellStyle name="20% - Accent3 4 2 2 2 4 6" xfId="13424"/>
    <cellStyle name="20% - Accent3 4 2 2 2 4 6 2" xfId="13425"/>
    <cellStyle name="20% - Accent3 4 2 2 2 4 6 3" xfId="13426"/>
    <cellStyle name="20% - Accent3 4 2 2 2 4 7" xfId="13427"/>
    <cellStyle name="20% - Accent3 4 2 2 2 4 7 2" xfId="13428"/>
    <cellStyle name="20% - Accent3 4 2 2 2 4 8" xfId="13429"/>
    <cellStyle name="20% - Accent3 4 2 2 2 4 9" xfId="13430"/>
    <cellStyle name="20% - Accent3 4 2 2 2 5" xfId="13431"/>
    <cellStyle name="20% - Accent3 4 2 2 2 5 2" xfId="13432"/>
    <cellStyle name="20% - Accent3 4 2 2 2 5 2 2" xfId="13433"/>
    <cellStyle name="20% - Accent3 4 2 2 2 5 2 3" xfId="13434"/>
    <cellStyle name="20% - Accent3 4 2 2 2 5 3" xfId="13435"/>
    <cellStyle name="20% - Accent3 4 2 2 2 5 3 2" xfId="13436"/>
    <cellStyle name="20% - Accent3 4 2 2 2 5 3 3" xfId="13437"/>
    <cellStyle name="20% - Accent3 4 2 2 2 5 4" xfId="13438"/>
    <cellStyle name="20% - Accent3 4 2 2 2 5 4 2" xfId="13439"/>
    <cellStyle name="20% - Accent3 4 2 2 2 5 5" xfId="13440"/>
    <cellStyle name="20% - Accent3 4 2 2 2 5 6" xfId="13441"/>
    <cellStyle name="20% - Accent3 4 2 2 2 6" xfId="13442"/>
    <cellStyle name="20% - Accent3 4 2 2 2 6 2" xfId="13443"/>
    <cellStyle name="20% - Accent3 4 2 2 2 6 2 2" xfId="13444"/>
    <cellStyle name="20% - Accent3 4 2 2 2 6 2 3" xfId="13445"/>
    <cellStyle name="20% - Accent3 4 2 2 2 6 3" xfId="13446"/>
    <cellStyle name="20% - Accent3 4 2 2 2 6 3 2" xfId="13447"/>
    <cellStyle name="20% - Accent3 4 2 2 2 6 3 3" xfId="13448"/>
    <cellStyle name="20% - Accent3 4 2 2 2 6 4" xfId="13449"/>
    <cellStyle name="20% - Accent3 4 2 2 2 6 4 2" xfId="13450"/>
    <cellStyle name="20% - Accent3 4 2 2 2 6 5" xfId="13451"/>
    <cellStyle name="20% - Accent3 4 2 2 2 6 6" xfId="13452"/>
    <cellStyle name="20% - Accent3 4 2 2 2 7" xfId="13453"/>
    <cellStyle name="20% - Accent3 4 2 2 2 7 2" xfId="13454"/>
    <cellStyle name="20% - Accent3 4 2 2 2 7 2 2" xfId="13455"/>
    <cellStyle name="20% - Accent3 4 2 2 2 7 2 3" xfId="13456"/>
    <cellStyle name="20% - Accent3 4 2 2 2 7 3" xfId="13457"/>
    <cellStyle name="20% - Accent3 4 2 2 2 7 3 2" xfId="13458"/>
    <cellStyle name="20% - Accent3 4 2 2 2 7 4" xfId="13459"/>
    <cellStyle name="20% - Accent3 4 2 2 2 7 5" xfId="13460"/>
    <cellStyle name="20% - Accent3 4 2 2 2 8" xfId="13461"/>
    <cellStyle name="20% - Accent3 4 2 2 2 8 2" xfId="13462"/>
    <cellStyle name="20% - Accent3 4 2 2 2 8 3" xfId="13463"/>
    <cellStyle name="20% - Accent3 4 2 2 2 9" xfId="13464"/>
    <cellStyle name="20% - Accent3 4 2 2 2 9 2" xfId="13465"/>
    <cellStyle name="20% - Accent3 4 2 2 2 9 3" xfId="13466"/>
    <cellStyle name="20% - Accent3 4 2 2 3" xfId="590"/>
    <cellStyle name="20% - Accent3 4 2 2 3 10" xfId="13467"/>
    <cellStyle name="20% - Accent3 4 2 2 3 2" xfId="591"/>
    <cellStyle name="20% - Accent3 4 2 2 3 2 2" xfId="13468"/>
    <cellStyle name="20% - Accent3 4 2 2 3 2 2 2" xfId="13469"/>
    <cellStyle name="20% - Accent3 4 2 2 3 2 2 2 2" xfId="13470"/>
    <cellStyle name="20% - Accent3 4 2 2 3 2 2 2 3" xfId="13471"/>
    <cellStyle name="20% - Accent3 4 2 2 3 2 2 3" xfId="13472"/>
    <cellStyle name="20% - Accent3 4 2 2 3 2 2 3 2" xfId="13473"/>
    <cellStyle name="20% - Accent3 4 2 2 3 2 2 3 3" xfId="13474"/>
    <cellStyle name="20% - Accent3 4 2 2 3 2 2 4" xfId="13475"/>
    <cellStyle name="20% - Accent3 4 2 2 3 2 2 4 2" xfId="13476"/>
    <cellStyle name="20% - Accent3 4 2 2 3 2 2 5" xfId="13477"/>
    <cellStyle name="20% - Accent3 4 2 2 3 2 2 6" xfId="13478"/>
    <cellStyle name="20% - Accent3 4 2 2 3 2 3" xfId="13479"/>
    <cellStyle name="20% - Accent3 4 2 2 3 2 3 2" xfId="13480"/>
    <cellStyle name="20% - Accent3 4 2 2 3 2 3 2 2" xfId="13481"/>
    <cellStyle name="20% - Accent3 4 2 2 3 2 3 2 3" xfId="13482"/>
    <cellStyle name="20% - Accent3 4 2 2 3 2 3 3" xfId="13483"/>
    <cellStyle name="20% - Accent3 4 2 2 3 2 3 3 2" xfId="13484"/>
    <cellStyle name="20% - Accent3 4 2 2 3 2 3 3 3" xfId="13485"/>
    <cellStyle name="20% - Accent3 4 2 2 3 2 3 4" xfId="13486"/>
    <cellStyle name="20% - Accent3 4 2 2 3 2 3 4 2" xfId="13487"/>
    <cellStyle name="20% - Accent3 4 2 2 3 2 3 5" xfId="13488"/>
    <cellStyle name="20% - Accent3 4 2 2 3 2 3 6" xfId="13489"/>
    <cellStyle name="20% - Accent3 4 2 2 3 2 4" xfId="13490"/>
    <cellStyle name="20% - Accent3 4 2 2 3 2 4 2" xfId="13491"/>
    <cellStyle name="20% - Accent3 4 2 2 3 2 4 2 2" xfId="13492"/>
    <cellStyle name="20% - Accent3 4 2 2 3 2 4 2 3" xfId="13493"/>
    <cellStyle name="20% - Accent3 4 2 2 3 2 4 3" xfId="13494"/>
    <cellStyle name="20% - Accent3 4 2 2 3 2 4 3 2" xfId="13495"/>
    <cellStyle name="20% - Accent3 4 2 2 3 2 4 4" xfId="13496"/>
    <cellStyle name="20% - Accent3 4 2 2 3 2 4 5" xfId="13497"/>
    <cellStyle name="20% - Accent3 4 2 2 3 2 5" xfId="13498"/>
    <cellStyle name="20% - Accent3 4 2 2 3 2 5 2" xfId="13499"/>
    <cellStyle name="20% - Accent3 4 2 2 3 2 5 3" xfId="13500"/>
    <cellStyle name="20% - Accent3 4 2 2 3 2 6" xfId="13501"/>
    <cellStyle name="20% - Accent3 4 2 2 3 2 6 2" xfId="13502"/>
    <cellStyle name="20% - Accent3 4 2 2 3 2 6 3" xfId="13503"/>
    <cellStyle name="20% - Accent3 4 2 2 3 2 7" xfId="13504"/>
    <cellStyle name="20% - Accent3 4 2 2 3 2 7 2" xfId="13505"/>
    <cellStyle name="20% - Accent3 4 2 2 3 2 8" xfId="13506"/>
    <cellStyle name="20% - Accent3 4 2 2 3 2 9" xfId="13507"/>
    <cellStyle name="20% - Accent3 4 2 2 3 3" xfId="13508"/>
    <cellStyle name="20% - Accent3 4 2 2 3 3 2" xfId="13509"/>
    <cellStyle name="20% - Accent3 4 2 2 3 3 2 2" xfId="13510"/>
    <cellStyle name="20% - Accent3 4 2 2 3 3 2 3" xfId="13511"/>
    <cellStyle name="20% - Accent3 4 2 2 3 3 3" xfId="13512"/>
    <cellStyle name="20% - Accent3 4 2 2 3 3 3 2" xfId="13513"/>
    <cellStyle name="20% - Accent3 4 2 2 3 3 3 3" xfId="13514"/>
    <cellStyle name="20% - Accent3 4 2 2 3 3 4" xfId="13515"/>
    <cellStyle name="20% - Accent3 4 2 2 3 3 4 2" xfId="13516"/>
    <cellStyle name="20% - Accent3 4 2 2 3 3 5" xfId="13517"/>
    <cellStyle name="20% - Accent3 4 2 2 3 3 6" xfId="13518"/>
    <cellStyle name="20% - Accent3 4 2 2 3 4" xfId="13519"/>
    <cellStyle name="20% - Accent3 4 2 2 3 4 2" xfId="13520"/>
    <cellStyle name="20% - Accent3 4 2 2 3 4 2 2" xfId="13521"/>
    <cellStyle name="20% - Accent3 4 2 2 3 4 2 3" xfId="13522"/>
    <cellStyle name="20% - Accent3 4 2 2 3 4 3" xfId="13523"/>
    <cellStyle name="20% - Accent3 4 2 2 3 4 3 2" xfId="13524"/>
    <cellStyle name="20% - Accent3 4 2 2 3 4 3 3" xfId="13525"/>
    <cellStyle name="20% - Accent3 4 2 2 3 4 4" xfId="13526"/>
    <cellStyle name="20% - Accent3 4 2 2 3 4 4 2" xfId="13527"/>
    <cellStyle name="20% - Accent3 4 2 2 3 4 5" xfId="13528"/>
    <cellStyle name="20% - Accent3 4 2 2 3 4 6" xfId="13529"/>
    <cellStyle name="20% - Accent3 4 2 2 3 5" xfId="13530"/>
    <cellStyle name="20% - Accent3 4 2 2 3 5 2" xfId="13531"/>
    <cellStyle name="20% - Accent3 4 2 2 3 5 2 2" xfId="13532"/>
    <cellStyle name="20% - Accent3 4 2 2 3 5 2 3" xfId="13533"/>
    <cellStyle name="20% - Accent3 4 2 2 3 5 3" xfId="13534"/>
    <cellStyle name="20% - Accent3 4 2 2 3 5 3 2" xfId="13535"/>
    <cellStyle name="20% - Accent3 4 2 2 3 5 4" xfId="13536"/>
    <cellStyle name="20% - Accent3 4 2 2 3 5 5" xfId="13537"/>
    <cellStyle name="20% - Accent3 4 2 2 3 6" xfId="13538"/>
    <cellStyle name="20% - Accent3 4 2 2 3 6 2" xfId="13539"/>
    <cellStyle name="20% - Accent3 4 2 2 3 6 3" xfId="13540"/>
    <cellStyle name="20% - Accent3 4 2 2 3 7" xfId="13541"/>
    <cellStyle name="20% - Accent3 4 2 2 3 7 2" xfId="13542"/>
    <cellStyle name="20% - Accent3 4 2 2 3 7 3" xfId="13543"/>
    <cellStyle name="20% - Accent3 4 2 2 3 8" xfId="13544"/>
    <cellStyle name="20% - Accent3 4 2 2 3 8 2" xfId="13545"/>
    <cellStyle name="20% - Accent3 4 2 2 3 9" xfId="13546"/>
    <cellStyle name="20% - Accent3 4 2 2 4" xfId="592"/>
    <cellStyle name="20% - Accent3 4 2 2 4 2" xfId="13547"/>
    <cellStyle name="20% - Accent3 4 2 2 4 2 2" xfId="13548"/>
    <cellStyle name="20% - Accent3 4 2 2 4 2 2 2" xfId="13549"/>
    <cellStyle name="20% - Accent3 4 2 2 4 2 2 3" xfId="13550"/>
    <cellStyle name="20% - Accent3 4 2 2 4 2 3" xfId="13551"/>
    <cellStyle name="20% - Accent3 4 2 2 4 2 3 2" xfId="13552"/>
    <cellStyle name="20% - Accent3 4 2 2 4 2 3 3" xfId="13553"/>
    <cellStyle name="20% - Accent3 4 2 2 4 2 4" xfId="13554"/>
    <cellStyle name="20% - Accent3 4 2 2 4 2 4 2" xfId="13555"/>
    <cellStyle name="20% - Accent3 4 2 2 4 2 5" xfId="13556"/>
    <cellStyle name="20% - Accent3 4 2 2 4 2 6" xfId="13557"/>
    <cellStyle name="20% - Accent3 4 2 2 4 3" xfId="13558"/>
    <cellStyle name="20% - Accent3 4 2 2 4 3 2" xfId="13559"/>
    <cellStyle name="20% - Accent3 4 2 2 4 3 2 2" xfId="13560"/>
    <cellStyle name="20% - Accent3 4 2 2 4 3 2 3" xfId="13561"/>
    <cellStyle name="20% - Accent3 4 2 2 4 3 3" xfId="13562"/>
    <cellStyle name="20% - Accent3 4 2 2 4 3 3 2" xfId="13563"/>
    <cellStyle name="20% - Accent3 4 2 2 4 3 3 3" xfId="13564"/>
    <cellStyle name="20% - Accent3 4 2 2 4 3 4" xfId="13565"/>
    <cellStyle name="20% - Accent3 4 2 2 4 3 4 2" xfId="13566"/>
    <cellStyle name="20% - Accent3 4 2 2 4 3 5" xfId="13567"/>
    <cellStyle name="20% - Accent3 4 2 2 4 3 6" xfId="13568"/>
    <cellStyle name="20% - Accent3 4 2 2 4 4" xfId="13569"/>
    <cellStyle name="20% - Accent3 4 2 2 4 4 2" xfId="13570"/>
    <cellStyle name="20% - Accent3 4 2 2 4 4 2 2" xfId="13571"/>
    <cellStyle name="20% - Accent3 4 2 2 4 4 2 3" xfId="13572"/>
    <cellStyle name="20% - Accent3 4 2 2 4 4 3" xfId="13573"/>
    <cellStyle name="20% - Accent3 4 2 2 4 4 3 2" xfId="13574"/>
    <cellStyle name="20% - Accent3 4 2 2 4 4 4" xfId="13575"/>
    <cellStyle name="20% - Accent3 4 2 2 4 4 5" xfId="13576"/>
    <cellStyle name="20% - Accent3 4 2 2 4 5" xfId="13577"/>
    <cellStyle name="20% - Accent3 4 2 2 4 5 2" xfId="13578"/>
    <cellStyle name="20% - Accent3 4 2 2 4 5 3" xfId="13579"/>
    <cellStyle name="20% - Accent3 4 2 2 4 6" xfId="13580"/>
    <cellStyle name="20% - Accent3 4 2 2 4 6 2" xfId="13581"/>
    <cellStyle name="20% - Accent3 4 2 2 4 6 3" xfId="13582"/>
    <cellStyle name="20% - Accent3 4 2 2 4 7" xfId="13583"/>
    <cellStyle name="20% - Accent3 4 2 2 4 7 2" xfId="13584"/>
    <cellStyle name="20% - Accent3 4 2 2 4 8" xfId="13585"/>
    <cellStyle name="20% - Accent3 4 2 2 4 9" xfId="13586"/>
    <cellStyle name="20% - Accent3 4 2 2 5" xfId="13587"/>
    <cellStyle name="20% - Accent3 4 2 2 5 2" xfId="13588"/>
    <cellStyle name="20% - Accent3 4 2 2 5 2 2" xfId="13589"/>
    <cellStyle name="20% - Accent3 4 2 2 5 2 2 2" xfId="13590"/>
    <cellStyle name="20% - Accent3 4 2 2 5 2 2 3" xfId="13591"/>
    <cellStyle name="20% - Accent3 4 2 2 5 2 3" xfId="13592"/>
    <cellStyle name="20% - Accent3 4 2 2 5 2 3 2" xfId="13593"/>
    <cellStyle name="20% - Accent3 4 2 2 5 2 3 3" xfId="13594"/>
    <cellStyle name="20% - Accent3 4 2 2 5 2 4" xfId="13595"/>
    <cellStyle name="20% - Accent3 4 2 2 5 2 4 2" xfId="13596"/>
    <cellStyle name="20% - Accent3 4 2 2 5 2 5" xfId="13597"/>
    <cellStyle name="20% - Accent3 4 2 2 5 2 6" xfId="13598"/>
    <cellStyle name="20% - Accent3 4 2 2 5 3" xfId="13599"/>
    <cellStyle name="20% - Accent3 4 2 2 5 3 2" xfId="13600"/>
    <cellStyle name="20% - Accent3 4 2 2 5 3 2 2" xfId="13601"/>
    <cellStyle name="20% - Accent3 4 2 2 5 3 2 3" xfId="13602"/>
    <cellStyle name="20% - Accent3 4 2 2 5 3 3" xfId="13603"/>
    <cellStyle name="20% - Accent3 4 2 2 5 3 3 2" xfId="13604"/>
    <cellStyle name="20% - Accent3 4 2 2 5 3 3 3" xfId="13605"/>
    <cellStyle name="20% - Accent3 4 2 2 5 3 4" xfId="13606"/>
    <cellStyle name="20% - Accent3 4 2 2 5 3 4 2" xfId="13607"/>
    <cellStyle name="20% - Accent3 4 2 2 5 3 5" xfId="13608"/>
    <cellStyle name="20% - Accent3 4 2 2 5 3 6" xfId="13609"/>
    <cellStyle name="20% - Accent3 4 2 2 5 4" xfId="13610"/>
    <cellStyle name="20% - Accent3 4 2 2 5 4 2" xfId="13611"/>
    <cellStyle name="20% - Accent3 4 2 2 5 4 2 2" xfId="13612"/>
    <cellStyle name="20% - Accent3 4 2 2 5 4 2 3" xfId="13613"/>
    <cellStyle name="20% - Accent3 4 2 2 5 4 3" xfId="13614"/>
    <cellStyle name="20% - Accent3 4 2 2 5 4 3 2" xfId="13615"/>
    <cellStyle name="20% - Accent3 4 2 2 5 4 4" xfId="13616"/>
    <cellStyle name="20% - Accent3 4 2 2 5 4 5" xfId="13617"/>
    <cellStyle name="20% - Accent3 4 2 2 5 5" xfId="13618"/>
    <cellStyle name="20% - Accent3 4 2 2 5 5 2" xfId="13619"/>
    <cellStyle name="20% - Accent3 4 2 2 5 5 3" xfId="13620"/>
    <cellStyle name="20% - Accent3 4 2 2 5 6" xfId="13621"/>
    <cellStyle name="20% - Accent3 4 2 2 5 6 2" xfId="13622"/>
    <cellStyle name="20% - Accent3 4 2 2 5 6 3" xfId="13623"/>
    <cellStyle name="20% - Accent3 4 2 2 5 7" xfId="13624"/>
    <cellStyle name="20% - Accent3 4 2 2 5 7 2" xfId="13625"/>
    <cellStyle name="20% - Accent3 4 2 2 5 8" xfId="13626"/>
    <cellStyle name="20% - Accent3 4 2 2 5 9" xfId="13627"/>
    <cellStyle name="20% - Accent3 4 2 2 6" xfId="13628"/>
    <cellStyle name="20% - Accent3 4 2 2 6 2" xfId="13629"/>
    <cellStyle name="20% - Accent3 4 2 2 6 2 2" xfId="13630"/>
    <cellStyle name="20% - Accent3 4 2 2 6 2 3" xfId="13631"/>
    <cellStyle name="20% - Accent3 4 2 2 6 3" xfId="13632"/>
    <cellStyle name="20% - Accent3 4 2 2 6 3 2" xfId="13633"/>
    <cellStyle name="20% - Accent3 4 2 2 6 3 3" xfId="13634"/>
    <cellStyle name="20% - Accent3 4 2 2 6 4" xfId="13635"/>
    <cellStyle name="20% - Accent3 4 2 2 6 4 2" xfId="13636"/>
    <cellStyle name="20% - Accent3 4 2 2 6 5" xfId="13637"/>
    <cellStyle name="20% - Accent3 4 2 2 6 6" xfId="13638"/>
    <cellStyle name="20% - Accent3 4 2 2 7" xfId="13639"/>
    <cellStyle name="20% - Accent3 4 2 2 7 2" xfId="13640"/>
    <cellStyle name="20% - Accent3 4 2 2 7 2 2" xfId="13641"/>
    <cellStyle name="20% - Accent3 4 2 2 7 2 3" xfId="13642"/>
    <cellStyle name="20% - Accent3 4 2 2 7 3" xfId="13643"/>
    <cellStyle name="20% - Accent3 4 2 2 7 3 2" xfId="13644"/>
    <cellStyle name="20% - Accent3 4 2 2 7 3 3" xfId="13645"/>
    <cellStyle name="20% - Accent3 4 2 2 7 4" xfId="13646"/>
    <cellStyle name="20% - Accent3 4 2 2 7 4 2" xfId="13647"/>
    <cellStyle name="20% - Accent3 4 2 2 7 5" xfId="13648"/>
    <cellStyle name="20% - Accent3 4 2 2 7 6" xfId="13649"/>
    <cellStyle name="20% - Accent3 4 2 2 8" xfId="13650"/>
    <cellStyle name="20% - Accent3 4 2 2 8 2" xfId="13651"/>
    <cellStyle name="20% - Accent3 4 2 2 8 2 2" xfId="13652"/>
    <cellStyle name="20% - Accent3 4 2 2 8 2 3" xfId="13653"/>
    <cellStyle name="20% - Accent3 4 2 2 8 3" xfId="13654"/>
    <cellStyle name="20% - Accent3 4 2 2 8 3 2" xfId="13655"/>
    <cellStyle name="20% - Accent3 4 2 2 8 4" xfId="13656"/>
    <cellStyle name="20% - Accent3 4 2 2 8 5" xfId="13657"/>
    <cellStyle name="20% - Accent3 4 2 2 9" xfId="13658"/>
    <cellStyle name="20% - Accent3 4 2 2 9 2" xfId="13659"/>
    <cellStyle name="20% - Accent3 4 2 2 9 3" xfId="13660"/>
    <cellStyle name="20% - Accent3 4 2 3" xfId="593"/>
    <cellStyle name="20% - Accent3 4 2 3 10" xfId="13661"/>
    <cellStyle name="20% - Accent3 4 2 3 10 2" xfId="13662"/>
    <cellStyle name="20% - Accent3 4 2 3 11" xfId="13663"/>
    <cellStyle name="20% - Accent3 4 2 3 12" xfId="13664"/>
    <cellStyle name="20% - Accent3 4 2 3 2" xfId="594"/>
    <cellStyle name="20% - Accent3 4 2 3 2 10" xfId="13665"/>
    <cellStyle name="20% - Accent3 4 2 3 2 2" xfId="595"/>
    <cellStyle name="20% - Accent3 4 2 3 2 2 2" xfId="13666"/>
    <cellStyle name="20% - Accent3 4 2 3 2 2 2 2" xfId="13667"/>
    <cellStyle name="20% - Accent3 4 2 3 2 2 2 2 2" xfId="13668"/>
    <cellStyle name="20% - Accent3 4 2 3 2 2 2 2 3" xfId="13669"/>
    <cellStyle name="20% - Accent3 4 2 3 2 2 2 3" xfId="13670"/>
    <cellStyle name="20% - Accent3 4 2 3 2 2 2 3 2" xfId="13671"/>
    <cellStyle name="20% - Accent3 4 2 3 2 2 2 3 3" xfId="13672"/>
    <cellStyle name="20% - Accent3 4 2 3 2 2 2 4" xfId="13673"/>
    <cellStyle name="20% - Accent3 4 2 3 2 2 2 4 2" xfId="13674"/>
    <cellStyle name="20% - Accent3 4 2 3 2 2 2 5" xfId="13675"/>
    <cellStyle name="20% - Accent3 4 2 3 2 2 2 6" xfId="13676"/>
    <cellStyle name="20% - Accent3 4 2 3 2 2 3" xfId="13677"/>
    <cellStyle name="20% - Accent3 4 2 3 2 2 3 2" xfId="13678"/>
    <cellStyle name="20% - Accent3 4 2 3 2 2 3 2 2" xfId="13679"/>
    <cellStyle name="20% - Accent3 4 2 3 2 2 3 2 3" xfId="13680"/>
    <cellStyle name="20% - Accent3 4 2 3 2 2 3 3" xfId="13681"/>
    <cellStyle name="20% - Accent3 4 2 3 2 2 3 3 2" xfId="13682"/>
    <cellStyle name="20% - Accent3 4 2 3 2 2 3 3 3" xfId="13683"/>
    <cellStyle name="20% - Accent3 4 2 3 2 2 3 4" xfId="13684"/>
    <cellStyle name="20% - Accent3 4 2 3 2 2 3 4 2" xfId="13685"/>
    <cellStyle name="20% - Accent3 4 2 3 2 2 3 5" xfId="13686"/>
    <cellStyle name="20% - Accent3 4 2 3 2 2 3 6" xfId="13687"/>
    <cellStyle name="20% - Accent3 4 2 3 2 2 4" xfId="13688"/>
    <cellStyle name="20% - Accent3 4 2 3 2 2 4 2" xfId="13689"/>
    <cellStyle name="20% - Accent3 4 2 3 2 2 4 2 2" xfId="13690"/>
    <cellStyle name="20% - Accent3 4 2 3 2 2 4 2 3" xfId="13691"/>
    <cellStyle name="20% - Accent3 4 2 3 2 2 4 3" xfId="13692"/>
    <cellStyle name="20% - Accent3 4 2 3 2 2 4 3 2" xfId="13693"/>
    <cellStyle name="20% - Accent3 4 2 3 2 2 4 4" xfId="13694"/>
    <cellStyle name="20% - Accent3 4 2 3 2 2 4 5" xfId="13695"/>
    <cellStyle name="20% - Accent3 4 2 3 2 2 5" xfId="13696"/>
    <cellStyle name="20% - Accent3 4 2 3 2 2 5 2" xfId="13697"/>
    <cellStyle name="20% - Accent3 4 2 3 2 2 5 3" xfId="13698"/>
    <cellStyle name="20% - Accent3 4 2 3 2 2 6" xfId="13699"/>
    <cellStyle name="20% - Accent3 4 2 3 2 2 6 2" xfId="13700"/>
    <cellStyle name="20% - Accent3 4 2 3 2 2 6 3" xfId="13701"/>
    <cellStyle name="20% - Accent3 4 2 3 2 2 7" xfId="13702"/>
    <cellStyle name="20% - Accent3 4 2 3 2 2 7 2" xfId="13703"/>
    <cellStyle name="20% - Accent3 4 2 3 2 2 8" xfId="13704"/>
    <cellStyle name="20% - Accent3 4 2 3 2 2 9" xfId="13705"/>
    <cellStyle name="20% - Accent3 4 2 3 2 3" xfId="13706"/>
    <cellStyle name="20% - Accent3 4 2 3 2 3 2" xfId="13707"/>
    <cellStyle name="20% - Accent3 4 2 3 2 3 2 2" xfId="13708"/>
    <cellStyle name="20% - Accent3 4 2 3 2 3 2 3" xfId="13709"/>
    <cellStyle name="20% - Accent3 4 2 3 2 3 3" xfId="13710"/>
    <cellStyle name="20% - Accent3 4 2 3 2 3 3 2" xfId="13711"/>
    <cellStyle name="20% - Accent3 4 2 3 2 3 3 3" xfId="13712"/>
    <cellStyle name="20% - Accent3 4 2 3 2 3 4" xfId="13713"/>
    <cellStyle name="20% - Accent3 4 2 3 2 3 4 2" xfId="13714"/>
    <cellStyle name="20% - Accent3 4 2 3 2 3 5" xfId="13715"/>
    <cellStyle name="20% - Accent3 4 2 3 2 3 6" xfId="13716"/>
    <cellStyle name="20% - Accent3 4 2 3 2 4" xfId="13717"/>
    <cellStyle name="20% - Accent3 4 2 3 2 4 2" xfId="13718"/>
    <cellStyle name="20% - Accent3 4 2 3 2 4 2 2" xfId="13719"/>
    <cellStyle name="20% - Accent3 4 2 3 2 4 2 3" xfId="13720"/>
    <cellStyle name="20% - Accent3 4 2 3 2 4 3" xfId="13721"/>
    <cellStyle name="20% - Accent3 4 2 3 2 4 3 2" xfId="13722"/>
    <cellStyle name="20% - Accent3 4 2 3 2 4 3 3" xfId="13723"/>
    <cellStyle name="20% - Accent3 4 2 3 2 4 4" xfId="13724"/>
    <cellStyle name="20% - Accent3 4 2 3 2 4 4 2" xfId="13725"/>
    <cellStyle name="20% - Accent3 4 2 3 2 4 5" xfId="13726"/>
    <cellStyle name="20% - Accent3 4 2 3 2 4 6" xfId="13727"/>
    <cellStyle name="20% - Accent3 4 2 3 2 5" xfId="13728"/>
    <cellStyle name="20% - Accent3 4 2 3 2 5 2" xfId="13729"/>
    <cellStyle name="20% - Accent3 4 2 3 2 5 2 2" xfId="13730"/>
    <cellStyle name="20% - Accent3 4 2 3 2 5 2 3" xfId="13731"/>
    <cellStyle name="20% - Accent3 4 2 3 2 5 3" xfId="13732"/>
    <cellStyle name="20% - Accent3 4 2 3 2 5 3 2" xfId="13733"/>
    <cellStyle name="20% - Accent3 4 2 3 2 5 4" xfId="13734"/>
    <cellStyle name="20% - Accent3 4 2 3 2 5 5" xfId="13735"/>
    <cellStyle name="20% - Accent3 4 2 3 2 6" xfId="13736"/>
    <cellStyle name="20% - Accent3 4 2 3 2 6 2" xfId="13737"/>
    <cellStyle name="20% - Accent3 4 2 3 2 6 3" xfId="13738"/>
    <cellStyle name="20% - Accent3 4 2 3 2 7" xfId="13739"/>
    <cellStyle name="20% - Accent3 4 2 3 2 7 2" xfId="13740"/>
    <cellStyle name="20% - Accent3 4 2 3 2 7 3" xfId="13741"/>
    <cellStyle name="20% - Accent3 4 2 3 2 8" xfId="13742"/>
    <cellStyle name="20% - Accent3 4 2 3 2 8 2" xfId="13743"/>
    <cellStyle name="20% - Accent3 4 2 3 2 9" xfId="13744"/>
    <cellStyle name="20% - Accent3 4 2 3 3" xfId="596"/>
    <cellStyle name="20% - Accent3 4 2 3 3 2" xfId="13745"/>
    <cellStyle name="20% - Accent3 4 2 3 3 2 2" xfId="13746"/>
    <cellStyle name="20% - Accent3 4 2 3 3 2 2 2" xfId="13747"/>
    <cellStyle name="20% - Accent3 4 2 3 3 2 2 3" xfId="13748"/>
    <cellStyle name="20% - Accent3 4 2 3 3 2 3" xfId="13749"/>
    <cellStyle name="20% - Accent3 4 2 3 3 2 3 2" xfId="13750"/>
    <cellStyle name="20% - Accent3 4 2 3 3 2 3 3" xfId="13751"/>
    <cellStyle name="20% - Accent3 4 2 3 3 2 4" xfId="13752"/>
    <cellStyle name="20% - Accent3 4 2 3 3 2 4 2" xfId="13753"/>
    <cellStyle name="20% - Accent3 4 2 3 3 2 5" xfId="13754"/>
    <cellStyle name="20% - Accent3 4 2 3 3 2 6" xfId="13755"/>
    <cellStyle name="20% - Accent3 4 2 3 3 3" xfId="13756"/>
    <cellStyle name="20% - Accent3 4 2 3 3 3 2" xfId="13757"/>
    <cellStyle name="20% - Accent3 4 2 3 3 3 2 2" xfId="13758"/>
    <cellStyle name="20% - Accent3 4 2 3 3 3 2 3" xfId="13759"/>
    <cellStyle name="20% - Accent3 4 2 3 3 3 3" xfId="13760"/>
    <cellStyle name="20% - Accent3 4 2 3 3 3 3 2" xfId="13761"/>
    <cellStyle name="20% - Accent3 4 2 3 3 3 3 3" xfId="13762"/>
    <cellStyle name="20% - Accent3 4 2 3 3 3 4" xfId="13763"/>
    <cellStyle name="20% - Accent3 4 2 3 3 3 4 2" xfId="13764"/>
    <cellStyle name="20% - Accent3 4 2 3 3 3 5" xfId="13765"/>
    <cellStyle name="20% - Accent3 4 2 3 3 3 6" xfId="13766"/>
    <cellStyle name="20% - Accent3 4 2 3 3 4" xfId="13767"/>
    <cellStyle name="20% - Accent3 4 2 3 3 4 2" xfId="13768"/>
    <cellStyle name="20% - Accent3 4 2 3 3 4 2 2" xfId="13769"/>
    <cellStyle name="20% - Accent3 4 2 3 3 4 2 3" xfId="13770"/>
    <cellStyle name="20% - Accent3 4 2 3 3 4 3" xfId="13771"/>
    <cellStyle name="20% - Accent3 4 2 3 3 4 3 2" xfId="13772"/>
    <cellStyle name="20% - Accent3 4 2 3 3 4 4" xfId="13773"/>
    <cellStyle name="20% - Accent3 4 2 3 3 4 5" xfId="13774"/>
    <cellStyle name="20% - Accent3 4 2 3 3 5" xfId="13775"/>
    <cellStyle name="20% - Accent3 4 2 3 3 5 2" xfId="13776"/>
    <cellStyle name="20% - Accent3 4 2 3 3 5 3" xfId="13777"/>
    <cellStyle name="20% - Accent3 4 2 3 3 6" xfId="13778"/>
    <cellStyle name="20% - Accent3 4 2 3 3 6 2" xfId="13779"/>
    <cellStyle name="20% - Accent3 4 2 3 3 6 3" xfId="13780"/>
    <cellStyle name="20% - Accent3 4 2 3 3 7" xfId="13781"/>
    <cellStyle name="20% - Accent3 4 2 3 3 7 2" xfId="13782"/>
    <cellStyle name="20% - Accent3 4 2 3 3 8" xfId="13783"/>
    <cellStyle name="20% - Accent3 4 2 3 3 9" xfId="13784"/>
    <cellStyle name="20% - Accent3 4 2 3 4" xfId="13785"/>
    <cellStyle name="20% - Accent3 4 2 3 4 2" xfId="13786"/>
    <cellStyle name="20% - Accent3 4 2 3 4 2 2" xfId="13787"/>
    <cellStyle name="20% - Accent3 4 2 3 4 2 2 2" xfId="13788"/>
    <cellStyle name="20% - Accent3 4 2 3 4 2 2 3" xfId="13789"/>
    <cellStyle name="20% - Accent3 4 2 3 4 2 3" xfId="13790"/>
    <cellStyle name="20% - Accent3 4 2 3 4 2 3 2" xfId="13791"/>
    <cellStyle name="20% - Accent3 4 2 3 4 2 3 3" xfId="13792"/>
    <cellStyle name="20% - Accent3 4 2 3 4 2 4" xfId="13793"/>
    <cellStyle name="20% - Accent3 4 2 3 4 2 4 2" xfId="13794"/>
    <cellStyle name="20% - Accent3 4 2 3 4 2 5" xfId="13795"/>
    <cellStyle name="20% - Accent3 4 2 3 4 2 6" xfId="13796"/>
    <cellStyle name="20% - Accent3 4 2 3 4 3" xfId="13797"/>
    <cellStyle name="20% - Accent3 4 2 3 4 3 2" xfId="13798"/>
    <cellStyle name="20% - Accent3 4 2 3 4 3 2 2" xfId="13799"/>
    <cellStyle name="20% - Accent3 4 2 3 4 3 2 3" xfId="13800"/>
    <cellStyle name="20% - Accent3 4 2 3 4 3 3" xfId="13801"/>
    <cellStyle name="20% - Accent3 4 2 3 4 3 3 2" xfId="13802"/>
    <cellStyle name="20% - Accent3 4 2 3 4 3 3 3" xfId="13803"/>
    <cellStyle name="20% - Accent3 4 2 3 4 3 4" xfId="13804"/>
    <cellStyle name="20% - Accent3 4 2 3 4 3 4 2" xfId="13805"/>
    <cellStyle name="20% - Accent3 4 2 3 4 3 5" xfId="13806"/>
    <cellStyle name="20% - Accent3 4 2 3 4 3 6" xfId="13807"/>
    <cellStyle name="20% - Accent3 4 2 3 4 4" xfId="13808"/>
    <cellStyle name="20% - Accent3 4 2 3 4 4 2" xfId="13809"/>
    <cellStyle name="20% - Accent3 4 2 3 4 4 2 2" xfId="13810"/>
    <cellStyle name="20% - Accent3 4 2 3 4 4 2 3" xfId="13811"/>
    <cellStyle name="20% - Accent3 4 2 3 4 4 3" xfId="13812"/>
    <cellStyle name="20% - Accent3 4 2 3 4 4 3 2" xfId="13813"/>
    <cellStyle name="20% - Accent3 4 2 3 4 4 4" xfId="13814"/>
    <cellStyle name="20% - Accent3 4 2 3 4 4 5" xfId="13815"/>
    <cellStyle name="20% - Accent3 4 2 3 4 5" xfId="13816"/>
    <cellStyle name="20% - Accent3 4 2 3 4 5 2" xfId="13817"/>
    <cellStyle name="20% - Accent3 4 2 3 4 5 3" xfId="13818"/>
    <cellStyle name="20% - Accent3 4 2 3 4 6" xfId="13819"/>
    <cellStyle name="20% - Accent3 4 2 3 4 6 2" xfId="13820"/>
    <cellStyle name="20% - Accent3 4 2 3 4 6 3" xfId="13821"/>
    <cellStyle name="20% - Accent3 4 2 3 4 7" xfId="13822"/>
    <cellStyle name="20% - Accent3 4 2 3 4 7 2" xfId="13823"/>
    <cellStyle name="20% - Accent3 4 2 3 4 8" xfId="13824"/>
    <cellStyle name="20% - Accent3 4 2 3 4 9" xfId="13825"/>
    <cellStyle name="20% - Accent3 4 2 3 5" xfId="13826"/>
    <cellStyle name="20% - Accent3 4 2 3 5 2" xfId="13827"/>
    <cellStyle name="20% - Accent3 4 2 3 5 2 2" xfId="13828"/>
    <cellStyle name="20% - Accent3 4 2 3 5 2 3" xfId="13829"/>
    <cellStyle name="20% - Accent3 4 2 3 5 3" xfId="13830"/>
    <cellStyle name="20% - Accent3 4 2 3 5 3 2" xfId="13831"/>
    <cellStyle name="20% - Accent3 4 2 3 5 3 3" xfId="13832"/>
    <cellStyle name="20% - Accent3 4 2 3 5 4" xfId="13833"/>
    <cellStyle name="20% - Accent3 4 2 3 5 4 2" xfId="13834"/>
    <cellStyle name="20% - Accent3 4 2 3 5 5" xfId="13835"/>
    <cellStyle name="20% - Accent3 4 2 3 5 6" xfId="13836"/>
    <cellStyle name="20% - Accent3 4 2 3 6" xfId="13837"/>
    <cellStyle name="20% - Accent3 4 2 3 6 2" xfId="13838"/>
    <cellStyle name="20% - Accent3 4 2 3 6 2 2" xfId="13839"/>
    <cellStyle name="20% - Accent3 4 2 3 6 2 3" xfId="13840"/>
    <cellStyle name="20% - Accent3 4 2 3 6 3" xfId="13841"/>
    <cellStyle name="20% - Accent3 4 2 3 6 3 2" xfId="13842"/>
    <cellStyle name="20% - Accent3 4 2 3 6 3 3" xfId="13843"/>
    <cellStyle name="20% - Accent3 4 2 3 6 4" xfId="13844"/>
    <cellStyle name="20% - Accent3 4 2 3 6 4 2" xfId="13845"/>
    <cellStyle name="20% - Accent3 4 2 3 6 5" xfId="13846"/>
    <cellStyle name="20% - Accent3 4 2 3 6 6" xfId="13847"/>
    <cellStyle name="20% - Accent3 4 2 3 7" xfId="13848"/>
    <cellStyle name="20% - Accent3 4 2 3 7 2" xfId="13849"/>
    <cellStyle name="20% - Accent3 4 2 3 7 2 2" xfId="13850"/>
    <cellStyle name="20% - Accent3 4 2 3 7 2 3" xfId="13851"/>
    <cellStyle name="20% - Accent3 4 2 3 7 3" xfId="13852"/>
    <cellStyle name="20% - Accent3 4 2 3 7 3 2" xfId="13853"/>
    <cellStyle name="20% - Accent3 4 2 3 7 4" xfId="13854"/>
    <cellStyle name="20% - Accent3 4 2 3 7 5" xfId="13855"/>
    <cellStyle name="20% - Accent3 4 2 3 8" xfId="13856"/>
    <cellStyle name="20% - Accent3 4 2 3 8 2" xfId="13857"/>
    <cellStyle name="20% - Accent3 4 2 3 8 3" xfId="13858"/>
    <cellStyle name="20% - Accent3 4 2 3 9" xfId="13859"/>
    <cellStyle name="20% - Accent3 4 2 3 9 2" xfId="13860"/>
    <cellStyle name="20% - Accent3 4 2 3 9 3" xfId="13861"/>
    <cellStyle name="20% - Accent3 4 2 4" xfId="597"/>
    <cellStyle name="20% - Accent3 4 2 4 10" xfId="13862"/>
    <cellStyle name="20% - Accent3 4 2 4 2" xfId="598"/>
    <cellStyle name="20% - Accent3 4 2 4 2 2" xfId="13863"/>
    <cellStyle name="20% - Accent3 4 2 4 2 2 2" xfId="13864"/>
    <cellStyle name="20% - Accent3 4 2 4 2 2 2 2" xfId="13865"/>
    <cellStyle name="20% - Accent3 4 2 4 2 2 2 3" xfId="13866"/>
    <cellStyle name="20% - Accent3 4 2 4 2 2 3" xfId="13867"/>
    <cellStyle name="20% - Accent3 4 2 4 2 2 3 2" xfId="13868"/>
    <cellStyle name="20% - Accent3 4 2 4 2 2 3 3" xfId="13869"/>
    <cellStyle name="20% - Accent3 4 2 4 2 2 4" xfId="13870"/>
    <cellStyle name="20% - Accent3 4 2 4 2 2 4 2" xfId="13871"/>
    <cellStyle name="20% - Accent3 4 2 4 2 2 5" xfId="13872"/>
    <cellStyle name="20% - Accent3 4 2 4 2 2 6" xfId="13873"/>
    <cellStyle name="20% - Accent3 4 2 4 2 3" xfId="13874"/>
    <cellStyle name="20% - Accent3 4 2 4 2 3 2" xfId="13875"/>
    <cellStyle name="20% - Accent3 4 2 4 2 3 2 2" xfId="13876"/>
    <cellStyle name="20% - Accent3 4 2 4 2 3 2 3" xfId="13877"/>
    <cellStyle name="20% - Accent3 4 2 4 2 3 3" xfId="13878"/>
    <cellStyle name="20% - Accent3 4 2 4 2 3 3 2" xfId="13879"/>
    <cellStyle name="20% - Accent3 4 2 4 2 3 3 3" xfId="13880"/>
    <cellStyle name="20% - Accent3 4 2 4 2 3 4" xfId="13881"/>
    <cellStyle name="20% - Accent3 4 2 4 2 3 4 2" xfId="13882"/>
    <cellStyle name="20% - Accent3 4 2 4 2 3 5" xfId="13883"/>
    <cellStyle name="20% - Accent3 4 2 4 2 3 6" xfId="13884"/>
    <cellStyle name="20% - Accent3 4 2 4 2 4" xfId="13885"/>
    <cellStyle name="20% - Accent3 4 2 4 2 4 2" xfId="13886"/>
    <cellStyle name="20% - Accent3 4 2 4 2 4 2 2" xfId="13887"/>
    <cellStyle name="20% - Accent3 4 2 4 2 4 2 3" xfId="13888"/>
    <cellStyle name="20% - Accent3 4 2 4 2 4 3" xfId="13889"/>
    <cellStyle name="20% - Accent3 4 2 4 2 4 3 2" xfId="13890"/>
    <cellStyle name="20% - Accent3 4 2 4 2 4 4" xfId="13891"/>
    <cellStyle name="20% - Accent3 4 2 4 2 4 5" xfId="13892"/>
    <cellStyle name="20% - Accent3 4 2 4 2 5" xfId="13893"/>
    <cellStyle name="20% - Accent3 4 2 4 2 5 2" xfId="13894"/>
    <cellStyle name="20% - Accent3 4 2 4 2 5 3" xfId="13895"/>
    <cellStyle name="20% - Accent3 4 2 4 2 6" xfId="13896"/>
    <cellStyle name="20% - Accent3 4 2 4 2 6 2" xfId="13897"/>
    <cellStyle name="20% - Accent3 4 2 4 2 6 3" xfId="13898"/>
    <cellStyle name="20% - Accent3 4 2 4 2 7" xfId="13899"/>
    <cellStyle name="20% - Accent3 4 2 4 2 7 2" xfId="13900"/>
    <cellStyle name="20% - Accent3 4 2 4 2 8" xfId="13901"/>
    <cellStyle name="20% - Accent3 4 2 4 2 9" xfId="13902"/>
    <cellStyle name="20% - Accent3 4 2 4 3" xfId="13903"/>
    <cellStyle name="20% - Accent3 4 2 4 3 2" xfId="13904"/>
    <cellStyle name="20% - Accent3 4 2 4 3 2 2" xfId="13905"/>
    <cellStyle name="20% - Accent3 4 2 4 3 2 3" xfId="13906"/>
    <cellStyle name="20% - Accent3 4 2 4 3 3" xfId="13907"/>
    <cellStyle name="20% - Accent3 4 2 4 3 3 2" xfId="13908"/>
    <cellStyle name="20% - Accent3 4 2 4 3 3 3" xfId="13909"/>
    <cellStyle name="20% - Accent3 4 2 4 3 4" xfId="13910"/>
    <cellStyle name="20% - Accent3 4 2 4 3 4 2" xfId="13911"/>
    <cellStyle name="20% - Accent3 4 2 4 3 5" xfId="13912"/>
    <cellStyle name="20% - Accent3 4 2 4 3 6" xfId="13913"/>
    <cellStyle name="20% - Accent3 4 2 4 4" xfId="13914"/>
    <cellStyle name="20% - Accent3 4 2 4 4 2" xfId="13915"/>
    <cellStyle name="20% - Accent3 4 2 4 4 2 2" xfId="13916"/>
    <cellStyle name="20% - Accent3 4 2 4 4 2 3" xfId="13917"/>
    <cellStyle name="20% - Accent3 4 2 4 4 3" xfId="13918"/>
    <cellStyle name="20% - Accent3 4 2 4 4 3 2" xfId="13919"/>
    <cellStyle name="20% - Accent3 4 2 4 4 3 3" xfId="13920"/>
    <cellStyle name="20% - Accent3 4 2 4 4 4" xfId="13921"/>
    <cellStyle name="20% - Accent3 4 2 4 4 4 2" xfId="13922"/>
    <cellStyle name="20% - Accent3 4 2 4 4 5" xfId="13923"/>
    <cellStyle name="20% - Accent3 4 2 4 4 6" xfId="13924"/>
    <cellStyle name="20% - Accent3 4 2 4 5" xfId="13925"/>
    <cellStyle name="20% - Accent3 4 2 4 5 2" xfId="13926"/>
    <cellStyle name="20% - Accent3 4 2 4 5 2 2" xfId="13927"/>
    <cellStyle name="20% - Accent3 4 2 4 5 2 3" xfId="13928"/>
    <cellStyle name="20% - Accent3 4 2 4 5 3" xfId="13929"/>
    <cellStyle name="20% - Accent3 4 2 4 5 3 2" xfId="13930"/>
    <cellStyle name="20% - Accent3 4 2 4 5 4" xfId="13931"/>
    <cellStyle name="20% - Accent3 4 2 4 5 5" xfId="13932"/>
    <cellStyle name="20% - Accent3 4 2 4 6" xfId="13933"/>
    <cellStyle name="20% - Accent3 4 2 4 6 2" xfId="13934"/>
    <cellStyle name="20% - Accent3 4 2 4 6 3" xfId="13935"/>
    <cellStyle name="20% - Accent3 4 2 4 7" xfId="13936"/>
    <cellStyle name="20% - Accent3 4 2 4 7 2" xfId="13937"/>
    <cellStyle name="20% - Accent3 4 2 4 7 3" xfId="13938"/>
    <cellStyle name="20% - Accent3 4 2 4 8" xfId="13939"/>
    <cellStyle name="20% - Accent3 4 2 4 8 2" xfId="13940"/>
    <cellStyle name="20% - Accent3 4 2 4 9" xfId="13941"/>
    <cellStyle name="20% - Accent3 4 2 5" xfId="599"/>
    <cellStyle name="20% - Accent3 4 2 5 2" xfId="13942"/>
    <cellStyle name="20% - Accent3 4 2 5 2 2" xfId="13943"/>
    <cellStyle name="20% - Accent3 4 2 5 2 2 2" xfId="13944"/>
    <cellStyle name="20% - Accent3 4 2 5 2 2 3" xfId="13945"/>
    <cellStyle name="20% - Accent3 4 2 5 2 3" xfId="13946"/>
    <cellStyle name="20% - Accent3 4 2 5 2 3 2" xfId="13947"/>
    <cellStyle name="20% - Accent3 4 2 5 2 3 3" xfId="13948"/>
    <cellStyle name="20% - Accent3 4 2 5 2 4" xfId="13949"/>
    <cellStyle name="20% - Accent3 4 2 5 2 4 2" xfId="13950"/>
    <cellStyle name="20% - Accent3 4 2 5 2 5" xfId="13951"/>
    <cellStyle name="20% - Accent3 4 2 5 2 6" xfId="13952"/>
    <cellStyle name="20% - Accent3 4 2 5 3" xfId="13953"/>
    <cellStyle name="20% - Accent3 4 2 5 3 2" xfId="13954"/>
    <cellStyle name="20% - Accent3 4 2 5 3 2 2" xfId="13955"/>
    <cellStyle name="20% - Accent3 4 2 5 3 2 3" xfId="13956"/>
    <cellStyle name="20% - Accent3 4 2 5 3 3" xfId="13957"/>
    <cellStyle name="20% - Accent3 4 2 5 3 3 2" xfId="13958"/>
    <cellStyle name="20% - Accent3 4 2 5 3 3 3" xfId="13959"/>
    <cellStyle name="20% - Accent3 4 2 5 3 4" xfId="13960"/>
    <cellStyle name="20% - Accent3 4 2 5 3 4 2" xfId="13961"/>
    <cellStyle name="20% - Accent3 4 2 5 3 5" xfId="13962"/>
    <cellStyle name="20% - Accent3 4 2 5 3 6" xfId="13963"/>
    <cellStyle name="20% - Accent3 4 2 5 4" xfId="13964"/>
    <cellStyle name="20% - Accent3 4 2 5 4 2" xfId="13965"/>
    <cellStyle name="20% - Accent3 4 2 5 4 2 2" xfId="13966"/>
    <cellStyle name="20% - Accent3 4 2 5 4 2 3" xfId="13967"/>
    <cellStyle name="20% - Accent3 4 2 5 4 3" xfId="13968"/>
    <cellStyle name="20% - Accent3 4 2 5 4 3 2" xfId="13969"/>
    <cellStyle name="20% - Accent3 4 2 5 4 4" xfId="13970"/>
    <cellStyle name="20% - Accent3 4 2 5 4 5" xfId="13971"/>
    <cellStyle name="20% - Accent3 4 2 5 5" xfId="13972"/>
    <cellStyle name="20% - Accent3 4 2 5 5 2" xfId="13973"/>
    <cellStyle name="20% - Accent3 4 2 5 5 3" xfId="13974"/>
    <cellStyle name="20% - Accent3 4 2 5 6" xfId="13975"/>
    <cellStyle name="20% - Accent3 4 2 5 6 2" xfId="13976"/>
    <cellStyle name="20% - Accent3 4 2 5 6 3" xfId="13977"/>
    <cellStyle name="20% - Accent3 4 2 5 7" xfId="13978"/>
    <cellStyle name="20% - Accent3 4 2 5 7 2" xfId="13979"/>
    <cellStyle name="20% - Accent3 4 2 5 8" xfId="13980"/>
    <cellStyle name="20% - Accent3 4 2 5 9" xfId="13981"/>
    <cellStyle name="20% - Accent3 4 2 6" xfId="13982"/>
    <cellStyle name="20% - Accent3 4 2 6 2" xfId="13983"/>
    <cellStyle name="20% - Accent3 4 2 6 2 2" xfId="13984"/>
    <cellStyle name="20% - Accent3 4 2 6 2 2 2" xfId="13985"/>
    <cellStyle name="20% - Accent3 4 2 6 2 2 3" xfId="13986"/>
    <cellStyle name="20% - Accent3 4 2 6 2 3" xfId="13987"/>
    <cellStyle name="20% - Accent3 4 2 6 2 3 2" xfId="13988"/>
    <cellStyle name="20% - Accent3 4 2 6 2 3 3" xfId="13989"/>
    <cellStyle name="20% - Accent3 4 2 6 2 4" xfId="13990"/>
    <cellStyle name="20% - Accent3 4 2 6 2 4 2" xfId="13991"/>
    <cellStyle name="20% - Accent3 4 2 6 2 5" xfId="13992"/>
    <cellStyle name="20% - Accent3 4 2 6 2 6" xfId="13993"/>
    <cellStyle name="20% - Accent3 4 2 6 3" xfId="13994"/>
    <cellStyle name="20% - Accent3 4 2 6 3 2" xfId="13995"/>
    <cellStyle name="20% - Accent3 4 2 6 3 2 2" xfId="13996"/>
    <cellStyle name="20% - Accent3 4 2 6 3 2 3" xfId="13997"/>
    <cellStyle name="20% - Accent3 4 2 6 3 3" xfId="13998"/>
    <cellStyle name="20% - Accent3 4 2 6 3 3 2" xfId="13999"/>
    <cellStyle name="20% - Accent3 4 2 6 3 3 3" xfId="14000"/>
    <cellStyle name="20% - Accent3 4 2 6 3 4" xfId="14001"/>
    <cellStyle name="20% - Accent3 4 2 6 3 4 2" xfId="14002"/>
    <cellStyle name="20% - Accent3 4 2 6 3 5" xfId="14003"/>
    <cellStyle name="20% - Accent3 4 2 6 3 6" xfId="14004"/>
    <cellStyle name="20% - Accent3 4 2 6 4" xfId="14005"/>
    <cellStyle name="20% - Accent3 4 2 6 4 2" xfId="14006"/>
    <cellStyle name="20% - Accent3 4 2 6 4 2 2" xfId="14007"/>
    <cellStyle name="20% - Accent3 4 2 6 4 2 3" xfId="14008"/>
    <cellStyle name="20% - Accent3 4 2 6 4 3" xfId="14009"/>
    <cellStyle name="20% - Accent3 4 2 6 4 3 2" xfId="14010"/>
    <cellStyle name="20% - Accent3 4 2 6 4 4" xfId="14011"/>
    <cellStyle name="20% - Accent3 4 2 6 4 5" xfId="14012"/>
    <cellStyle name="20% - Accent3 4 2 6 5" xfId="14013"/>
    <cellStyle name="20% - Accent3 4 2 6 5 2" xfId="14014"/>
    <cellStyle name="20% - Accent3 4 2 6 5 3" xfId="14015"/>
    <cellStyle name="20% - Accent3 4 2 6 6" xfId="14016"/>
    <cellStyle name="20% - Accent3 4 2 6 6 2" xfId="14017"/>
    <cellStyle name="20% - Accent3 4 2 6 6 3" xfId="14018"/>
    <cellStyle name="20% - Accent3 4 2 6 7" xfId="14019"/>
    <cellStyle name="20% - Accent3 4 2 6 7 2" xfId="14020"/>
    <cellStyle name="20% - Accent3 4 2 6 8" xfId="14021"/>
    <cellStyle name="20% - Accent3 4 2 6 9" xfId="14022"/>
    <cellStyle name="20% - Accent3 4 2 7" xfId="14023"/>
    <cellStyle name="20% - Accent3 4 2 7 2" xfId="14024"/>
    <cellStyle name="20% - Accent3 4 2 7 2 2" xfId="14025"/>
    <cellStyle name="20% - Accent3 4 2 7 2 3" xfId="14026"/>
    <cellStyle name="20% - Accent3 4 2 7 3" xfId="14027"/>
    <cellStyle name="20% - Accent3 4 2 7 3 2" xfId="14028"/>
    <cellStyle name="20% - Accent3 4 2 7 3 3" xfId="14029"/>
    <cellStyle name="20% - Accent3 4 2 7 4" xfId="14030"/>
    <cellStyle name="20% - Accent3 4 2 7 4 2" xfId="14031"/>
    <cellStyle name="20% - Accent3 4 2 7 5" xfId="14032"/>
    <cellStyle name="20% - Accent3 4 2 7 6" xfId="14033"/>
    <cellStyle name="20% - Accent3 4 2 8" xfId="14034"/>
    <cellStyle name="20% - Accent3 4 2 8 2" xfId="14035"/>
    <cellStyle name="20% - Accent3 4 2 8 2 2" xfId="14036"/>
    <cellStyle name="20% - Accent3 4 2 8 2 3" xfId="14037"/>
    <cellStyle name="20% - Accent3 4 2 8 3" xfId="14038"/>
    <cellStyle name="20% - Accent3 4 2 8 3 2" xfId="14039"/>
    <cellStyle name="20% - Accent3 4 2 8 3 3" xfId="14040"/>
    <cellStyle name="20% - Accent3 4 2 8 4" xfId="14041"/>
    <cellStyle name="20% - Accent3 4 2 8 4 2" xfId="14042"/>
    <cellStyle name="20% - Accent3 4 2 8 5" xfId="14043"/>
    <cellStyle name="20% - Accent3 4 2 8 6" xfId="14044"/>
    <cellStyle name="20% - Accent3 4 2 9" xfId="14045"/>
    <cellStyle name="20% - Accent3 4 2 9 2" xfId="14046"/>
    <cellStyle name="20% - Accent3 4 2 9 2 2" xfId="14047"/>
    <cellStyle name="20% - Accent3 4 2 9 2 3" xfId="14048"/>
    <cellStyle name="20% - Accent3 4 2 9 3" xfId="14049"/>
    <cellStyle name="20% - Accent3 4 2 9 3 2" xfId="14050"/>
    <cellStyle name="20% - Accent3 4 2 9 4" xfId="14051"/>
    <cellStyle name="20% - Accent3 4 2 9 5" xfId="14052"/>
    <cellStyle name="20% - Accent3 4 3" xfId="600"/>
    <cellStyle name="20% - Accent3 4 3 10" xfId="14053"/>
    <cellStyle name="20% - Accent3 4 3 10 2" xfId="14054"/>
    <cellStyle name="20% - Accent3 4 3 10 3" xfId="14055"/>
    <cellStyle name="20% - Accent3 4 3 11" xfId="14056"/>
    <cellStyle name="20% - Accent3 4 3 11 2" xfId="14057"/>
    <cellStyle name="20% - Accent3 4 3 12" xfId="14058"/>
    <cellStyle name="20% - Accent3 4 3 13" xfId="14059"/>
    <cellStyle name="20% - Accent3 4 3 14" xfId="14060"/>
    <cellStyle name="20% - Accent3 4 3 2" xfId="601"/>
    <cellStyle name="20% - Accent3 4 3 2 10" xfId="14061"/>
    <cellStyle name="20% - Accent3 4 3 2 10 2" xfId="14062"/>
    <cellStyle name="20% - Accent3 4 3 2 11" xfId="14063"/>
    <cellStyle name="20% - Accent3 4 3 2 12" xfId="14064"/>
    <cellStyle name="20% - Accent3 4 3 2 2" xfId="602"/>
    <cellStyle name="20% - Accent3 4 3 2 2 10" xfId="14065"/>
    <cellStyle name="20% - Accent3 4 3 2 2 2" xfId="603"/>
    <cellStyle name="20% - Accent3 4 3 2 2 2 2" xfId="14066"/>
    <cellStyle name="20% - Accent3 4 3 2 2 2 2 2" xfId="14067"/>
    <cellStyle name="20% - Accent3 4 3 2 2 2 2 2 2" xfId="14068"/>
    <cellStyle name="20% - Accent3 4 3 2 2 2 2 2 3" xfId="14069"/>
    <cellStyle name="20% - Accent3 4 3 2 2 2 2 3" xfId="14070"/>
    <cellStyle name="20% - Accent3 4 3 2 2 2 2 3 2" xfId="14071"/>
    <cellStyle name="20% - Accent3 4 3 2 2 2 2 3 3" xfId="14072"/>
    <cellStyle name="20% - Accent3 4 3 2 2 2 2 4" xfId="14073"/>
    <cellStyle name="20% - Accent3 4 3 2 2 2 2 4 2" xfId="14074"/>
    <cellStyle name="20% - Accent3 4 3 2 2 2 2 5" xfId="14075"/>
    <cellStyle name="20% - Accent3 4 3 2 2 2 2 6" xfId="14076"/>
    <cellStyle name="20% - Accent3 4 3 2 2 2 3" xfId="14077"/>
    <cellStyle name="20% - Accent3 4 3 2 2 2 3 2" xfId="14078"/>
    <cellStyle name="20% - Accent3 4 3 2 2 2 3 2 2" xfId="14079"/>
    <cellStyle name="20% - Accent3 4 3 2 2 2 3 2 3" xfId="14080"/>
    <cellStyle name="20% - Accent3 4 3 2 2 2 3 3" xfId="14081"/>
    <cellStyle name="20% - Accent3 4 3 2 2 2 3 3 2" xfId="14082"/>
    <cellStyle name="20% - Accent3 4 3 2 2 2 3 3 3" xfId="14083"/>
    <cellStyle name="20% - Accent3 4 3 2 2 2 3 4" xfId="14084"/>
    <cellStyle name="20% - Accent3 4 3 2 2 2 3 4 2" xfId="14085"/>
    <cellStyle name="20% - Accent3 4 3 2 2 2 3 5" xfId="14086"/>
    <cellStyle name="20% - Accent3 4 3 2 2 2 3 6" xfId="14087"/>
    <cellStyle name="20% - Accent3 4 3 2 2 2 4" xfId="14088"/>
    <cellStyle name="20% - Accent3 4 3 2 2 2 4 2" xfId="14089"/>
    <cellStyle name="20% - Accent3 4 3 2 2 2 4 2 2" xfId="14090"/>
    <cellStyle name="20% - Accent3 4 3 2 2 2 4 2 3" xfId="14091"/>
    <cellStyle name="20% - Accent3 4 3 2 2 2 4 3" xfId="14092"/>
    <cellStyle name="20% - Accent3 4 3 2 2 2 4 3 2" xfId="14093"/>
    <cellStyle name="20% - Accent3 4 3 2 2 2 4 4" xfId="14094"/>
    <cellStyle name="20% - Accent3 4 3 2 2 2 4 5" xfId="14095"/>
    <cellStyle name="20% - Accent3 4 3 2 2 2 5" xfId="14096"/>
    <cellStyle name="20% - Accent3 4 3 2 2 2 5 2" xfId="14097"/>
    <cellStyle name="20% - Accent3 4 3 2 2 2 5 3" xfId="14098"/>
    <cellStyle name="20% - Accent3 4 3 2 2 2 6" xfId="14099"/>
    <cellStyle name="20% - Accent3 4 3 2 2 2 6 2" xfId="14100"/>
    <cellStyle name="20% - Accent3 4 3 2 2 2 6 3" xfId="14101"/>
    <cellStyle name="20% - Accent3 4 3 2 2 2 7" xfId="14102"/>
    <cellStyle name="20% - Accent3 4 3 2 2 2 7 2" xfId="14103"/>
    <cellStyle name="20% - Accent3 4 3 2 2 2 8" xfId="14104"/>
    <cellStyle name="20% - Accent3 4 3 2 2 2 9" xfId="14105"/>
    <cellStyle name="20% - Accent3 4 3 2 2 3" xfId="14106"/>
    <cellStyle name="20% - Accent3 4 3 2 2 3 2" xfId="14107"/>
    <cellStyle name="20% - Accent3 4 3 2 2 3 2 2" xfId="14108"/>
    <cellStyle name="20% - Accent3 4 3 2 2 3 2 3" xfId="14109"/>
    <cellStyle name="20% - Accent3 4 3 2 2 3 3" xfId="14110"/>
    <cellStyle name="20% - Accent3 4 3 2 2 3 3 2" xfId="14111"/>
    <cellStyle name="20% - Accent3 4 3 2 2 3 3 3" xfId="14112"/>
    <cellStyle name="20% - Accent3 4 3 2 2 3 4" xfId="14113"/>
    <cellStyle name="20% - Accent3 4 3 2 2 3 4 2" xfId="14114"/>
    <cellStyle name="20% - Accent3 4 3 2 2 3 5" xfId="14115"/>
    <cellStyle name="20% - Accent3 4 3 2 2 3 6" xfId="14116"/>
    <cellStyle name="20% - Accent3 4 3 2 2 4" xfId="14117"/>
    <cellStyle name="20% - Accent3 4 3 2 2 4 2" xfId="14118"/>
    <cellStyle name="20% - Accent3 4 3 2 2 4 2 2" xfId="14119"/>
    <cellStyle name="20% - Accent3 4 3 2 2 4 2 3" xfId="14120"/>
    <cellStyle name="20% - Accent3 4 3 2 2 4 3" xfId="14121"/>
    <cellStyle name="20% - Accent3 4 3 2 2 4 3 2" xfId="14122"/>
    <cellStyle name="20% - Accent3 4 3 2 2 4 3 3" xfId="14123"/>
    <cellStyle name="20% - Accent3 4 3 2 2 4 4" xfId="14124"/>
    <cellStyle name="20% - Accent3 4 3 2 2 4 4 2" xfId="14125"/>
    <cellStyle name="20% - Accent3 4 3 2 2 4 5" xfId="14126"/>
    <cellStyle name="20% - Accent3 4 3 2 2 4 6" xfId="14127"/>
    <cellStyle name="20% - Accent3 4 3 2 2 5" xfId="14128"/>
    <cellStyle name="20% - Accent3 4 3 2 2 5 2" xfId="14129"/>
    <cellStyle name="20% - Accent3 4 3 2 2 5 2 2" xfId="14130"/>
    <cellStyle name="20% - Accent3 4 3 2 2 5 2 3" xfId="14131"/>
    <cellStyle name="20% - Accent3 4 3 2 2 5 3" xfId="14132"/>
    <cellStyle name="20% - Accent3 4 3 2 2 5 3 2" xfId="14133"/>
    <cellStyle name="20% - Accent3 4 3 2 2 5 4" xfId="14134"/>
    <cellStyle name="20% - Accent3 4 3 2 2 5 5" xfId="14135"/>
    <cellStyle name="20% - Accent3 4 3 2 2 6" xfId="14136"/>
    <cellStyle name="20% - Accent3 4 3 2 2 6 2" xfId="14137"/>
    <cellStyle name="20% - Accent3 4 3 2 2 6 3" xfId="14138"/>
    <cellStyle name="20% - Accent3 4 3 2 2 7" xfId="14139"/>
    <cellStyle name="20% - Accent3 4 3 2 2 7 2" xfId="14140"/>
    <cellStyle name="20% - Accent3 4 3 2 2 7 3" xfId="14141"/>
    <cellStyle name="20% - Accent3 4 3 2 2 8" xfId="14142"/>
    <cellStyle name="20% - Accent3 4 3 2 2 8 2" xfId="14143"/>
    <cellStyle name="20% - Accent3 4 3 2 2 9" xfId="14144"/>
    <cellStyle name="20% - Accent3 4 3 2 3" xfId="604"/>
    <cellStyle name="20% - Accent3 4 3 2 3 2" xfId="14145"/>
    <cellStyle name="20% - Accent3 4 3 2 3 2 2" xfId="14146"/>
    <cellStyle name="20% - Accent3 4 3 2 3 2 2 2" xfId="14147"/>
    <cellStyle name="20% - Accent3 4 3 2 3 2 2 3" xfId="14148"/>
    <cellStyle name="20% - Accent3 4 3 2 3 2 3" xfId="14149"/>
    <cellStyle name="20% - Accent3 4 3 2 3 2 3 2" xfId="14150"/>
    <cellStyle name="20% - Accent3 4 3 2 3 2 3 3" xfId="14151"/>
    <cellStyle name="20% - Accent3 4 3 2 3 2 4" xfId="14152"/>
    <cellStyle name="20% - Accent3 4 3 2 3 2 4 2" xfId="14153"/>
    <cellStyle name="20% - Accent3 4 3 2 3 2 5" xfId="14154"/>
    <cellStyle name="20% - Accent3 4 3 2 3 2 6" xfId="14155"/>
    <cellStyle name="20% - Accent3 4 3 2 3 3" xfId="14156"/>
    <cellStyle name="20% - Accent3 4 3 2 3 3 2" xfId="14157"/>
    <cellStyle name="20% - Accent3 4 3 2 3 3 2 2" xfId="14158"/>
    <cellStyle name="20% - Accent3 4 3 2 3 3 2 3" xfId="14159"/>
    <cellStyle name="20% - Accent3 4 3 2 3 3 3" xfId="14160"/>
    <cellStyle name="20% - Accent3 4 3 2 3 3 3 2" xfId="14161"/>
    <cellStyle name="20% - Accent3 4 3 2 3 3 3 3" xfId="14162"/>
    <cellStyle name="20% - Accent3 4 3 2 3 3 4" xfId="14163"/>
    <cellStyle name="20% - Accent3 4 3 2 3 3 4 2" xfId="14164"/>
    <cellStyle name="20% - Accent3 4 3 2 3 3 5" xfId="14165"/>
    <cellStyle name="20% - Accent3 4 3 2 3 3 6" xfId="14166"/>
    <cellStyle name="20% - Accent3 4 3 2 3 4" xfId="14167"/>
    <cellStyle name="20% - Accent3 4 3 2 3 4 2" xfId="14168"/>
    <cellStyle name="20% - Accent3 4 3 2 3 4 2 2" xfId="14169"/>
    <cellStyle name="20% - Accent3 4 3 2 3 4 2 3" xfId="14170"/>
    <cellStyle name="20% - Accent3 4 3 2 3 4 3" xfId="14171"/>
    <cellStyle name="20% - Accent3 4 3 2 3 4 3 2" xfId="14172"/>
    <cellStyle name="20% - Accent3 4 3 2 3 4 4" xfId="14173"/>
    <cellStyle name="20% - Accent3 4 3 2 3 4 5" xfId="14174"/>
    <cellStyle name="20% - Accent3 4 3 2 3 5" xfId="14175"/>
    <cellStyle name="20% - Accent3 4 3 2 3 5 2" xfId="14176"/>
    <cellStyle name="20% - Accent3 4 3 2 3 5 3" xfId="14177"/>
    <cellStyle name="20% - Accent3 4 3 2 3 6" xfId="14178"/>
    <cellStyle name="20% - Accent3 4 3 2 3 6 2" xfId="14179"/>
    <cellStyle name="20% - Accent3 4 3 2 3 6 3" xfId="14180"/>
    <cellStyle name="20% - Accent3 4 3 2 3 7" xfId="14181"/>
    <cellStyle name="20% - Accent3 4 3 2 3 7 2" xfId="14182"/>
    <cellStyle name="20% - Accent3 4 3 2 3 8" xfId="14183"/>
    <cellStyle name="20% - Accent3 4 3 2 3 9" xfId="14184"/>
    <cellStyle name="20% - Accent3 4 3 2 4" xfId="14185"/>
    <cellStyle name="20% - Accent3 4 3 2 4 2" xfId="14186"/>
    <cellStyle name="20% - Accent3 4 3 2 4 2 2" xfId="14187"/>
    <cellStyle name="20% - Accent3 4 3 2 4 2 2 2" xfId="14188"/>
    <cellStyle name="20% - Accent3 4 3 2 4 2 2 3" xfId="14189"/>
    <cellStyle name="20% - Accent3 4 3 2 4 2 3" xfId="14190"/>
    <cellStyle name="20% - Accent3 4 3 2 4 2 3 2" xfId="14191"/>
    <cellStyle name="20% - Accent3 4 3 2 4 2 3 3" xfId="14192"/>
    <cellStyle name="20% - Accent3 4 3 2 4 2 4" xfId="14193"/>
    <cellStyle name="20% - Accent3 4 3 2 4 2 4 2" xfId="14194"/>
    <cellStyle name="20% - Accent3 4 3 2 4 2 5" xfId="14195"/>
    <cellStyle name="20% - Accent3 4 3 2 4 2 6" xfId="14196"/>
    <cellStyle name="20% - Accent3 4 3 2 4 3" xfId="14197"/>
    <cellStyle name="20% - Accent3 4 3 2 4 3 2" xfId="14198"/>
    <cellStyle name="20% - Accent3 4 3 2 4 3 2 2" xfId="14199"/>
    <cellStyle name="20% - Accent3 4 3 2 4 3 2 3" xfId="14200"/>
    <cellStyle name="20% - Accent3 4 3 2 4 3 3" xfId="14201"/>
    <cellStyle name="20% - Accent3 4 3 2 4 3 3 2" xfId="14202"/>
    <cellStyle name="20% - Accent3 4 3 2 4 3 3 3" xfId="14203"/>
    <cellStyle name="20% - Accent3 4 3 2 4 3 4" xfId="14204"/>
    <cellStyle name="20% - Accent3 4 3 2 4 3 4 2" xfId="14205"/>
    <cellStyle name="20% - Accent3 4 3 2 4 3 5" xfId="14206"/>
    <cellStyle name="20% - Accent3 4 3 2 4 3 6" xfId="14207"/>
    <cellStyle name="20% - Accent3 4 3 2 4 4" xfId="14208"/>
    <cellStyle name="20% - Accent3 4 3 2 4 4 2" xfId="14209"/>
    <cellStyle name="20% - Accent3 4 3 2 4 4 2 2" xfId="14210"/>
    <cellStyle name="20% - Accent3 4 3 2 4 4 2 3" xfId="14211"/>
    <cellStyle name="20% - Accent3 4 3 2 4 4 3" xfId="14212"/>
    <cellStyle name="20% - Accent3 4 3 2 4 4 3 2" xfId="14213"/>
    <cellStyle name="20% - Accent3 4 3 2 4 4 4" xfId="14214"/>
    <cellStyle name="20% - Accent3 4 3 2 4 4 5" xfId="14215"/>
    <cellStyle name="20% - Accent3 4 3 2 4 5" xfId="14216"/>
    <cellStyle name="20% - Accent3 4 3 2 4 5 2" xfId="14217"/>
    <cellStyle name="20% - Accent3 4 3 2 4 5 3" xfId="14218"/>
    <cellStyle name="20% - Accent3 4 3 2 4 6" xfId="14219"/>
    <cellStyle name="20% - Accent3 4 3 2 4 6 2" xfId="14220"/>
    <cellStyle name="20% - Accent3 4 3 2 4 6 3" xfId="14221"/>
    <cellStyle name="20% - Accent3 4 3 2 4 7" xfId="14222"/>
    <cellStyle name="20% - Accent3 4 3 2 4 7 2" xfId="14223"/>
    <cellStyle name="20% - Accent3 4 3 2 4 8" xfId="14224"/>
    <cellStyle name="20% - Accent3 4 3 2 4 9" xfId="14225"/>
    <cellStyle name="20% - Accent3 4 3 2 5" xfId="14226"/>
    <cellStyle name="20% - Accent3 4 3 2 5 2" xfId="14227"/>
    <cellStyle name="20% - Accent3 4 3 2 5 2 2" xfId="14228"/>
    <cellStyle name="20% - Accent3 4 3 2 5 2 3" xfId="14229"/>
    <cellStyle name="20% - Accent3 4 3 2 5 3" xfId="14230"/>
    <cellStyle name="20% - Accent3 4 3 2 5 3 2" xfId="14231"/>
    <cellStyle name="20% - Accent3 4 3 2 5 3 3" xfId="14232"/>
    <cellStyle name="20% - Accent3 4 3 2 5 4" xfId="14233"/>
    <cellStyle name="20% - Accent3 4 3 2 5 4 2" xfId="14234"/>
    <cellStyle name="20% - Accent3 4 3 2 5 5" xfId="14235"/>
    <cellStyle name="20% - Accent3 4 3 2 5 6" xfId="14236"/>
    <cellStyle name="20% - Accent3 4 3 2 6" xfId="14237"/>
    <cellStyle name="20% - Accent3 4 3 2 6 2" xfId="14238"/>
    <cellStyle name="20% - Accent3 4 3 2 6 2 2" xfId="14239"/>
    <cellStyle name="20% - Accent3 4 3 2 6 2 3" xfId="14240"/>
    <cellStyle name="20% - Accent3 4 3 2 6 3" xfId="14241"/>
    <cellStyle name="20% - Accent3 4 3 2 6 3 2" xfId="14242"/>
    <cellStyle name="20% - Accent3 4 3 2 6 3 3" xfId="14243"/>
    <cellStyle name="20% - Accent3 4 3 2 6 4" xfId="14244"/>
    <cellStyle name="20% - Accent3 4 3 2 6 4 2" xfId="14245"/>
    <cellStyle name="20% - Accent3 4 3 2 6 5" xfId="14246"/>
    <cellStyle name="20% - Accent3 4 3 2 6 6" xfId="14247"/>
    <cellStyle name="20% - Accent3 4 3 2 7" xfId="14248"/>
    <cellStyle name="20% - Accent3 4 3 2 7 2" xfId="14249"/>
    <cellStyle name="20% - Accent3 4 3 2 7 2 2" xfId="14250"/>
    <cellStyle name="20% - Accent3 4 3 2 7 2 3" xfId="14251"/>
    <cellStyle name="20% - Accent3 4 3 2 7 3" xfId="14252"/>
    <cellStyle name="20% - Accent3 4 3 2 7 3 2" xfId="14253"/>
    <cellStyle name="20% - Accent3 4 3 2 7 4" xfId="14254"/>
    <cellStyle name="20% - Accent3 4 3 2 7 5" xfId="14255"/>
    <cellStyle name="20% - Accent3 4 3 2 8" xfId="14256"/>
    <cellStyle name="20% - Accent3 4 3 2 8 2" xfId="14257"/>
    <cellStyle name="20% - Accent3 4 3 2 8 3" xfId="14258"/>
    <cellStyle name="20% - Accent3 4 3 2 9" xfId="14259"/>
    <cellStyle name="20% - Accent3 4 3 2 9 2" xfId="14260"/>
    <cellStyle name="20% - Accent3 4 3 2 9 3" xfId="14261"/>
    <cellStyle name="20% - Accent3 4 3 3" xfId="605"/>
    <cellStyle name="20% - Accent3 4 3 3 10" xfId="14262"/>
    <cellStyle name="20% - Accent3 4 3 3 2" xfId="606"/>
    <cellStyle name="20% - Accent3 4 3 3 2 2" xfId="14263"/>
    <cellStyle name="20% - Accent3 4 3 3 2 2 2" xfId="14264"/>
    <cellStyle name="20% - Accent3 4 3 3 2 2 2 2" xfId="14265"/>
    <cellStyle name="20% - Accent3 4 3 3 2 2 2 3" xfId="14266"/>
    <cellStyle name="20% - Accent3 4 3 3 2 2 3" xfId="14267"/>
    <cellStyle name="20% - Accent3 4 3 3 2 2 3 2" xfId="14268"/>
    <cellStyle name="20% - Accent3 4 3 3 2 2 3 3" xfId="14269"/>
    <cellStyle name="20% - Accent3 4 3 3 2 2 4" xfId="14270"/>
    <cellStyle name="20% - Accent3 4 3 3 2 2 4 2" xfId="14271"/>
    <cellStyle name="20% - Accent3 4 3 3 2 2 5" xfId="14272"/>
    <cellStyle name="20% - Accent3 4 3 3 2 2 6" xfId="14273"/>
    <cellStyle name="20% - Accent3 4 3 3 2 3" xfId="14274"/>
    <cellStyle name="20% - Accent3 4 3 3 2 3 2" xfId="14275"/>
    <cellStyle name="20% - Accent3 4 3 3 2 3 2 2" xfId="14276"/>
    <cellStyle name="20% - Accent3 4 3 3 2 3 2 3" xfId="14277"/>
    <cellStyle name="20% - Accent3 4 3 3 2 3 3" xfId="14278"/>
    <cellStyle name="20% - Accent3 4 3 3 2 3 3 2" xfId="14279"/>
    <cellStyle name="20% - Accent3 4 3 3 2 3 3 3" xfId="14280"/>
    <cellStyle name="20% - Accent3 4 3 3 2 3 4" xfId="14281"/>
    <cellStyle name="20% - Accent3 4 3 3 2 3 4 2" xfId="14282"/>
    <cellStyle name="20% - Accent3 4 3 3 2 3 5" xfId="14283"/>
    <cellStyle name="20% - Accent3 4 3 3 2 3 6" xfId="14284"/>
    <cellStyle name="20% - Accent3 4 3 3 2 4" xfId="14285"/>
    <cellStyle name="20% - Accent3 4 3 3 2 4 2" xfId="14286"/>
    <cellStyle name="20% - Accent3 4 3 3 2 4 2 2" xfId="14287"/>
    <cellStyle name="20% - Accent3 4 3 3 2 4 2 3" xfId="14288"/>
    <cellStyle name="20% - Accent3 4 3 3 2 4 3" xfId="14289"/>
    <cellStyle name="20% - Accent3 4 3 3 2 4 3 2" xfId="14290"/>
    <cellStyle name="20% - Accent3 4 3 3 2 4 4" xfId="14291"/>
    <cellStyle name="20% - Accent3 4 3 3 2 4 5" xfId="14292"/>
    <cellStyle name="20% - Accent3 4 3 3 2 5" xfId="14293"/>
    <cellStyle name="20% - Accent3 4 3 3 2 5 2" xfId="14294"/>
    <cellStyle name="20% - Accent3 4 3 3 2 5 3" xfId="14295"/>
    <cellStyle name="20% - Accent3 4 3 3 2 6" xfId="14296"/>
    <cellStyle name="20% - Accent3 4 3 3 2 6 2" xfId="14297"/>
    <cellStyle name="20% - Accent3 4 3 3 2 6 3" xfId="14298"/>
    <cellStyle name="20% - Accent3 4 3 3 2 7" xfId="14299"/>
    <cellStyle name="20% - Accent3 4 3 3 2 7 2" xfId="14300"/>
    <cellStyle name="20% - Accent3 4 3 3 2 8" xfId="14301"/>
    <cellStyle name="20% - Accent3 4 3 3 2 9" xfId="14302"/>
    <cellStyle name="20% - Accent3 4 3 3 3" xfId="14303"/>
    <cellStyle name="20% - Accent3 4 3 3 3 2" xfId="14304"/>
    <cellStyle name="20% - Accent3 4 3 3 3 2 2" xfId="14305"/>
    <cellStyle name="20% - Accent3 4 3 3 3 2 3" xfId="14306"/>
    <cellStyle name="20% - Accent3 4 3 3 3 3" xfId="14307"/>
    <cellStyle name="20% - Accent3 4 3 3 3 3 2" xfId="14308"/>
    <cellStyle name="20% - Accent3 4 3 3 3 3 3" xfId="14309"/>
    <cellStyle name="20% - Accent3 4 3 3 3 4" xfId="14310"/>
    <cellStyle name="20% - Accent3 4 3 3 3 4 2" xfId="14311"/>
    <cellStyle name="20% - Accent3 4 3 3 3 5" xfId="14312"/>
    <cellStyle name="20% - Accent3 4 3 3 3 6" xfId="14313"/>
    <cellStyle name="20% - Accent3 4 3 3 4" xfId="14314"/>
    <cellStyle name="20% - Accent3 4 3 3 4 2" xfId="14315"/>
    <cellStyle name="20% - Accent3 4 3 3 4 2 2" xfId="14316"/>
    <cellStyle name="20% - Accent3 4 3 3 4 2 3" xfId="14317"/>
    <cellStyle name="20% - Accent3 4 3 3 4 3" xfId="14318"/>
    <cellStyle name="20% - Accent3 4 3 3 4 3 2" xfId="14319"/>
    <cellStyle name="20% - Accent3 4 3 3 4 3 3" xfId="14320"/>
    <cellStyle name="20% - Accent3 4 3 3 4 4" xfId="14321"/>
    <cellStyle name="20% - Accent3 4 3 3 4 4 2" xfId="14322"/>
    <cellStyle name="20% - Accent3 4 3 3 4 5" xfId="14323"/>
    <cellStyle name="20% - Accent3 4 3 3 4 6" xfId="14324"/>
    <cellStyle name="20% - Accent3 4 3 3 5" xfId="14325"/>
    <cellStyle name="20% - Accent3 4 3 3 5 2" xfId="14326"/>
    <cellStyle name="20% - Accent3 4 3 3 5 2 2" xfId="14327"/>
    <cellStyle name="20% - Accent3 4 3 3 5 2 3" xfId="14328"/>
    <cellStyle name="20% - Accent3 4 3 3 5 3" xfId="14329"/>
    <cellStyle name="20% - Accent3 4 3 3 5 3 2" xfId="14330"/>
    <cellStyle name="20% - Accent3 4 3 3 5 4" xfId="14331"/>
    <cellStyle name="20% - Accent3 4 3 3 5 5" xfId="14332"/>
    <cellStyle name="20% - Accent3 4 3 3 6" xfId="14333"/>
    <cellStyle name="20% - Accent3 4 3 3 6 2" xfId="14334"/>
    <cellStyle name="20% - Accent3 4 3 3 6 3" xfId="14335"/>
    <cellStyle name="20% - Accent3 4 3 3 7" xfId="14336"/>
    <cellStyle name="20% - Accent3 4 3 3 7 2" xfId="14337"/>
    <cellStyle name="20% - Accent3 4 3 3 7 3" xfId="14338"/>
    <cellStyle name="20% - Accent3 4 3 3 8" xfId="14339"/>
    <cellStyle name="20% - Accent3 4 3 3 8 2" xfId="14340"/>
    <cellStyle name="20% - Accent3 4 3 3 9" xfId="14341"/>
    <cellStyle name="20% - Accent3 4 3 4" xfId="607"/>
    <cellStyle name="20% - Accent3 4 3 4 2" xfId="14342"/>
    <cellStyle name="20% - Accent3 4 3 4 2 2" xfId="14343"/>
    <cellStyle name="20% - Accent3 4 3 4 2 2 2" xfId="14344"/>
    <cellStyle name="20% - Accent3 4 3 4 2 2 3" xfId="14345"/>
    <cellStyle name="20% - Accent3 4 3 4 2 3" xfId="14346"/>
    <cellStyle name="20% - Accent3 4 3 4 2 3 2" xfId="14347"/>
    <cellStyle name="20% - Accent3 4 3 4 2 3 3" xfId="14348"/>
    <cellStyle name="20% - Accent3 4 3 4 2 4" xfId="14349"/>
    <cellStyle name="20% - Accent3 4 3 4 2 4 2" xfId="14350"/>
    <cellStyle name="20% - Accent3 4 3 4 2 5" xfId="14351"/>
    <cellStyle name="20% - Accent3 4 3 4 2 6" xfId="14352"/>
    <cellStyle name="20% - Accent3 4 3 4 3" xfId="14353"/>
    <cellStyle name="20% - Accent3 4 3 4 3 2" xfId="14354"/>
    <cellStyle name="20% - Accent3 4 3 4 3 2 2" xfId="14355"/>
    <cellStyle name="20% - Accent3 4 3 4 3 2 3" xfId="14356"/>
    <cellStyle name="20% - Accent3 4 3 4 3 3" xfId="14357"/>
    <cellStyle name="20% - Accent3 4 3 4 3 3 2" xfId="14358"/>
    <cellStyle name="20% - Accent3 4 3 4 3 3 3" xfId="14359"/>
    <cellStyle name="20% - Accent3 4 3 4 3 4" xfId="14360"/>
    <cellStyle name="20% - Accent3 4 3 4 3 4 2" xfId="14361"/>
    <cellStyle name="20% - Accent3 4 3 4 3 5" xfId="14362"/>
    <cellStyle name="20% - Accent3 4 3 4 3 6" xfId="14363"/>
    <cellStyle name="20% - Accent3 4 3 4 4" xfId="14364"/>
    <cellStyle name="20% - Accent3 4 3 4 4 2" xfId="14365"/>
    <cellStyle name="20% - Accent3 4 3 4 4 2 2" xfId="14366"/>
    <cellStyle name="20% - Accent3 4 3 4 4 2 3" xfId="14367"/>
    <cellStyle name="20% - Accent3 4 3 4 4 3" xfId="14368"/>
    <cellStyle name="20% - Accent3 4 3 4 4 3 2" xfId="14369"/>
    <cellStyle name="20% - Accent3 4 3 4 4 4" xfId="14370"/>
    <cellStyle name="20% - Accent3 4 3 4 4 5" xfId="14371"/>
    <cellStyle name="20% - Accent3 4 3 4 5" xfId="14372"/>
    <cellStyle name="20% - Accent3 4 3 4 5 2" xfId="14373"/>
    <cellStyle name="20% - Accent3 4 3 4 5 3" xfId="14374"/>
    <cellStyle name="20% - Accent3 4 3 4 6" xfId="14375"/>
    <cellStyle name="20% - Accent3 4 3 4 6 2" xfId="14376"/>
    <cellStyle name="20% - Accent3 4 3 4 6 3" xfId="14377"/>
    <cellStyle name="20% - Accent3 4 3 4 7" xfId="14378"/>
    <cellStyle name="20% - Accent3 4 3 4 7 2" xfId="14379"/>
    <cellStyle name="20% - Accent3 4 3 4 8" xfId="14380"/>
    <cellStyle name="20% - Accent3 4 3 4 9" xfId="14381"/>
    <cellStyle name="20% - Accent3 4 3 5" xfId="14382"/>
    <cellStyle name="20% - Accent3 4 3 5 2" xfId="14383"/>
    <cellStyle name="20% - Accent3 4 3 5 2 2" xfId="14384"/>
    <cellStyle name="20% - Accent3 4 3 5 2 2 2" xfId="14385"/>
    <cellStyle name="20% - Accent3 4 3 5 2 2 3" xfId="14386"/>
    <cellStyle name="20% - Accent3 4 3 5 2 3" xfId="14387"/>
    <cellStyle name="20% - Accent3 4 3 5 2 3 2" xfId="14388"/>
    <cellStyle name="20% - Accent3 4 3 5 2 3 3" xfId="14389"/>
    <cellStyle name="20% - Accent3 4 3 5 2 4" xfId="14390"/>
    <cellStyle name="20% - Accent3 4 3 5 2 4 2" xfId="14391"/>
    <cellStyle name="20% - Accent3 4 3 5 2 5" xfId="14392"/>
    <cellStyle name="20% - Accent3 4 3 5 2 6" xfId="14393"/>
    <cellStyle name="20% - Accent3 4 3 5 3" xfId="14394"/>
    <cellStyle name="20% - Accent3 4 3 5 3 2" xfId="14395"/>
    <cellStyle name="20% - Accent3 4 3 5 3 2 2" xfId="14396"/>
    <cellStyle name="20% - Accent3 4 3 5 3 2 3" xfId="14397"/>
    <cellStyle name="20% - Accent3 4 3 5 3 3" xfId="14398"/>
    <cellStyle name="20% - Accent3 4 3 5 3 3 2" xfId="14399"/>
    <cellStyle name="20% - Accent3 4 3 5 3 3 3" xfId="14400"/>
    <cellStyle name="20% - Accent3 4 3 5 3 4" xfId="14401"/>
    <cellStyle name="20% - Accent3 4 3 5 3 4 2" xfId="14402"/>
    <cellStyle name="20% - Accent3 4 3 5 3 5" xfId="14403"/>
    <cellStyle name="20% - Accent3 4 3 5 3 6" xfId="14404"/>
    <cellStyle name="20% - Accent3 4 3 5 4" xfId="14405"/>
    <cellStyle name="20% - Accent3 4 3 5 4 2" xfId="14406"/>
    <cellStyle name="20% - Accent3 4 3 5 4 2 2" xfId="14407"/>
    <cellStyle name="20% - Accent3 4 3 5 4 2 3" xfId="14408"/>
    <cellStyle name="20% - Accent3 4 3 5 4 3" xfId="14409"/>
    <cellStyle name="20% - Accent3 4 3 5 4 3 2" xfId="14410"/>
    <cellStyle name="20% - Accent3 4 3 5 4 4" xfId="14411"/>
    <cellStyle name="20% - Accent3 4 3 5 4 5" xfId="14412"/>
    <cellStyle name="20% - Accent3 4 3 5 5" xfId="14413"/>
    <cellStyle name="20% - Accent3 4 3 5 5 2" xfId="14414"/>
    <cellStyle name="20% - Accent3 4 3 5 5 3" xfId="14415"/>
    <cellStyle name="20% - Accent3 4 3 5 6" xfId="14416"/>
    <cellStyle name="20% - Accent3 4 3 5 6 2" xfId="14417"/>
    <cellStyle name="20% - Accent3 4 3 5 6 3" xfId="14418"/>
    <cellStyle name="20% - Accent3 4 3 5 7" xfId="14419"/>
    <cellStyle name="20% - Accent3 4 3 5 7 2" xfId="14420"/>
    <cellStyle name="20% - Accent3 4 3 5 8" xfId="14421"/>
    <cellStyle name="20% - Accent3 4 3 5 9" xfId="14422"/>
    <cellStyle name="20% - Accent3 4 3 6" xfId="14423"/>
    <cellStyle name="20% - Accent3 4 3 6 2" xfId="14424"/>
    <cellStyle name="20% - Accent3 4 3 6 2 2" xfId="14425"/>
    <cellStyle name="20% - Accent3 4 3 6 2 3" xfId="14426"/>
    <cellStyle name="20% - Accent3 4 3 6 3" xfId="14427"/>
    <cellStyle name="20% - Accent3 4 3 6 3 2" xfId="14428"/>
    <cellStyle name="20% - Accent3 4 3 6 3 3" xfId="14429"/>
    <cellStyle name="20% - Accent3 4 3 6 4" xfId="14430"/>
    <cellStyle name="20% - Accent3 4 3 6 4 2" xfId="14431"/>
    <cellStyle name="20% - Accent3 4 3 6 5" xfId="14432"/>
    <cellStyle name="20% - Accent3 4 3 6 6" xfId="14433"/>
    <cellStyle name="20% - Accent3 4 3 7" xfId="14434"/>
    <cellStyle name="20% - Accent3 4 3 7 2" xfId="14435"/>
    <cellStyle name="20% - Accent3 4 3 7 2 2" xfId="14436"/>
    <cellStyle name="20% - Accent3 4 3 7 2 3" xfId="14437"/>
    <cellStyle name="20% - Accent3 4 3 7 3" xfId="14438"/>
    <cellStyle name="20% - Accent3 4 3 7 3 2" xfId="14439"/>
    <cellStyle name="20% - Accent3 4 3 7 3 3" xfId="14440"/>
    <cellStyle name="20% - Accent3 4 3 7 4" xfId="14441"/>
    <cellStyle name="20% - Accent3 4 3 7 4 2" xfId="14442"/>
    <cellStyle name="20% - Accent3 4 3 7 5" xfId="14443"/>
    <cellStyle name="20% - Accent3 4 3 7 6" xfId="14444"/>
    <cellStyle name="20% - Accent3 4 3 8" xfId="14445"/>
    <cellStyle name="20% - Accent3 4 3 8 2" xfId="14446"/>
    <cellStyle name="20% - Accent3 4 3 8 2 2" xfId="14447"/>
    <cellStyle name="20% - Accent3 4 3 8 2 3" xfId="14448"/>
    <cellStyle name="20% - Accent3 4 3 8 3" xfId="14449"/>
    <cellStyle name="20% - Accent3 4 3 8 3 2" xfId="14450"/>
    <cellStyle name="20% - Accent3 4 3 8 4" xfId="14451"/>
    <cellStyle name="20% - Accent3 4 3 8 5" xfId="14452"/>
    <cellStyle name="20% - Accent3 4 3 9" xfId="14453"/>
    <cellStyle name="20% - Accent3 4 3 9 2" xfId="14454"/>
    <cellStyle name="20% - Accent3 4 3 9 3" xfId="14455"/>
    <cellStyle name="20% - Accent3 4 4" xfId="608"/>
    <cellStyle name="20% - Accent3 4 4 10" xfId="14456"/>
    <cellStyle name="20% - Accent3 4 4 10 2" xfId="14457"/>
    <cellStyle name="20% - Accent3 4 4 11" xfId="14458"/>
    <cellStyle name="20% - Accent3 4 4 12" xfId="14459"/>
    <cellStyle name="20% - Accent3 4 4 2" xfId="609"/>
    <cellStyle name="20% - Accent3 4 4 2 10" xfId="14460"/>
    <cellStyle name="20% - Accent3 4 4 2 2" xfId="610"/>
    <cellStyle name="20% - Accent3 4 4 2 2 2" xfId="14461"/>
    <cellStyle name="20% - Accent3 4 4 2 2 2 2" xfId="14462"/>
    <cellStyle name="20% - Accent3 4 4 2 2 2 2 2" xfId="14463"/>
    <cellStyle name="20% - Accent3 4 4 2 2 2 2 3" xfId="14464"/>
    <cellStyle name="20% - Accent3 4 4 2 2 2 3" xfId="14465"/>
    <cellStyle name="20% - Accent3 4 4 2 2 2 3 2" xfId="14466"/>
    <cellStyle name="20% - Accent3 4 4 2 2 2 3 3" xfId="14467"/>
    <cellStyle name="20% - Accent3 4 4 2 2 2 4" xfId="14468"/>
    <cellStyle name="20% - Accent3 4 4 2 2 2 4 2" xfId="14469"/>
    <cellStyle name="20% - Accent3 4 4 2 2 2 5" xfId="14470"/>
    <cellStyle name="20% - Accent3 4 4 2 2 2 6" xfId="14471"/>
    <cellStyle name="20% - Accent3 4 4 2 2 3" xfId="14472"/>
    <cellStyle name="20% - Accent3 4 4 2 2 3 2" xfId="14473"/>
    <cellStyle name="20% - Accent3 4 4 2 2 3 2 2" xfId="14474"/>
    <cellStyle name="20% - Accent3 4 4 2 2 3 2 3" xfId="14475"/>
    <cellStyle name="20% - Accent3 4 4 2 2 3 3" xfId="14476"/>
    <cellStyle name="20% - Accent3 4 4 2 2 3 3 2" xfId="14477"/>
    <cellStyle name="20% - Accent3 4 4 2 2 3 3 3" xfId="14478"/>
    <cellStyle name="20% - Accent3 4 4 2 2 3 4" xfId="14479"/>
    <cellStyle name="20% - Accent3 4 4 2 2 3 4 2" xfId="14480"/>
    <cellStyle name="20% - Accent3 4 4 2 2 3 5" xfId="14481"/>
    <cellStyle name="20% - Accent3 4 4 2 2 3 6" xfId="14482"/>
    <cellStyle name="20% - Accent3 4 4 2 2 4" xfId="14483"/>
    <cellStyle name="20% - Accent3 4 4 2 2 4 2" xfId="14484"/>
    <cellStyle name="20% - Accent3 4 4 2 2 4 2 2" xfId="14485"/>
    <cellStyle name="20% - Accent3 4 4 2 2 4 2 3" xfId="14486"/>
    <cellStyle name="20% - Accent3 4 4 2 2 4 3" xfId="14487"/>
    <cellStyle name="20% - Accent3 4 4 2 2 4 3 2" xfId="14488"/>
    <cellStyle name="20% - Accent3 4 4 2 2 4 4" xfId="14489"/>
    <cellStyle name="20% - Accent3 4 4 2 2 4 5" xfId="14490"/>
    <cellStyle name="20% - Accent3 4 4 2 2 5" xfId="14491"/>
    <cellStyle name="20% - Accent3 4 4 2 2 5 2" xfId="14492"/>
    <cellStyle name="20% - Accent3 4 4 2 2 5 3" xfId="14493"/>
    <cellStyle name="20% - Accent3 4 4 2 2 6" xfId="14494"/>
    <cellStyle name="20% - Accent3 4 4 2 2 6 2" xfId="14495"/>
    <cellStyle name="20% - Accent3 4 4 2 2 6 3" xfId="14496"/>
    <cellStyle name="20% - Accent3 4 4 2 2 7" xfId="14497"/>
    <cellStyle name="20% - Accent3 4 4 2 2 7 2" xfId="14498"/>
    <cellStyle name="20% - Accent3 4 4 2 2 8" xfId="14499"/>
    <cellStyle name="20% - Accent3 4 4 2 2 9" xfId="14500"/>
    <cellStyle name="20% - Accent3 4 4 2 3" xfId="14501"/>
    <cellStyle name="20% - Accent3 4 4 2 3 2" xfId="14502"/>
    <cellStyle name="20% - Accent3 4 4 2 3 2 2" xfId="14503"/>
    <cellStyle name="20% - Accent3 4 4 2 3 2 3" xfId="14504"/>
    <cellStyle name="20% - Accent3 4 4 2 3 3" xfId="14505"/>
    <cellStyle name="20% - Accent3 4 4 2 3 3 2" xfId="14506"/>
    <cellStyle name="20% - Accent3 4 4 2 3 3 3" xfId="14507"/>
    <cellStyle name="20% - Accent3 4 4 2 3 4" xfId="14508"/>
    <cellStyle name="20% - Accent3 4 4 2 3 4 2" xfId="14509"/>
    <cellStyle name="20% - Accent3 4 4 2 3 5" xfId="14510"/>
    <cellStyle name="20% - Accent3 4 4 2 3 6" xfId="14511"/>
    <cellStyle name="20% - Accent3 4 4 2 4" xfId="14512"/>
    <cellStyle name="20% - Accent3 4 4 2 4 2" xfId="14513"/>
    <cellStyle name="20% - Accent3 4 4 2 4 2 2" xfId="14514"/>
    <cellStyle name="20% - Accent3 4 4 2 4 2 3" xfId="14515"/>
    <cellStyle name="20% - Accent3 4 4 2 4 3" xfId="14516"/>
    <cellStyle name="20% - Accent3 4 4 2 4 3 2" xfId="14517"/>
    <cellStyle name="20% - Accent3 4 4 2 4 3 3" xfId="14518"/>
    <cellStyle name="20% - Accent3 4 4 2 4 4" xfId="14519"/>
    <cellStyle name="20% - Accent3 4 4 2 4 4 2" xfId="14520"/>
    <cellStyle name="20% - Accent3 4 4 2 4 5" xfId="14521"/>
    <cellStyle name="20% - Accent3 4 4 2 4 6" xfId="14522"/>
    <cellStyle name="20% - Accent3 4 4 2 5" xfId="14523"/>
    <cellStyle name="20% - Accent3 4 4 2 5 2" xfId="14524"/>
    <cellStyle name="20% - Accent3 4 4 2 5 2 2" xfId="14525"/>
    <cellStyle name="20% - Accent3 4 4 2 5 2 3" xfId="14526"/>
    <cellStyle name="20% - Accent3 4 4 2 5 3" xfId="14527"/>
    <cellStyle name="20% - Accent3 4 4 2 5 3 2" xfId="14528"/>
    <cellStyle name="20% - Accent3 4 4 2 5 4" xfId="14529"/>
    <cellStyle name="20% - Accent3 4 4 2 5 5" xfId="14530"/>
    <cellStyle name="20% - Accent3 4 4 2 6" xfId="14531"/>
    <cellStyle name="20% - Accent3 4 4 2 6 2" xfId="14532"/>
    <cellStyle name="20% - Accent3 4 4 2 6 3" xfId="14533"/>
    <cellStyle name="20% - Accent3 4 4 2 7" xfId="14534"/>
    <cellStyle name="20% - Accent3 4 4 2 7 2" xfId="14535"/>
    <cellStyle name="20% - Accent3 4 4 2 7 3" xfId="14536"/>
    <cellStyle name="20% - Accent3 4 4 2 8" xfId="14537"/>
    <cellStyle name="20% - Accent3 4 4 2 8 2" xfId="14538"/>
    <cellStyle name="20% - Accent3 4 4 2 9" xfId="14539"/>
    <cellStyle name="20% - Accent3 4 4 3" xfId="611"/>
    <cellStyle name="20% - Accent3 4 4 3 2" xfId="14540"/>
    <cellStyle name="20% - Accent3 4 4 3 2 2" xfId="14541"/>
    <cellStyle name="20% - Accent3 4 4 3 2 2 2" xfId="14542"/>
    <cellStyle name="20% - Accent3 4 4 3 2 2 3" xfId="14543"/>
    <cellStyle name="20% - Accent3 4 4 3 2 3" xfId="14544"/>
    <cellStyle name="20% - Accent3 4 4 3 2 3 2" xfId="14545"/>
    <cellStyle name="20% - Accent3 4 4 3 2 3 3" xfId="14546"/>
    <cellStyle name="20% - Accent3 4 4 3 2 4" xfId="14547"/>
    <cellStyle name="20% - Accent3 4 4 3 2 4 2" xfId="14548"/>
    <cellStyle name="20% - Accent3 4 4 3 2 5" xfId="14549"/>
    <cellStyle name="20% - Accent3 4 4 3 2 6" xfId="14550"/>
    <cellStyle name="20% - Accent3 4 4 3 3" xfId="14551"/>
    <cellStyle name="20% - Accent3 4 4 3 3 2" xfId="14552"/>
    <cellStyle name="20% - Accent3 4 4 3 3 2 2" xfId="14553"/>
    <cellStyle name="20% - Accent3 4 4 3 3 2 3" xfId="14554"/>
    <cellStyle name="20% - Accent3 4 4 3 3 3" xfId="14555"/>
    <cellStyle name="20% - Accent3 4 4 3 3 3 2" xfId="14556"/>
    <cellStyle name="20% - Accent3 4 4 3 3 3 3" xfId="14557"/>
    <cellStyle name="20% - Accent3 4 4 3 3 4" xfId="14558"/>
    <cellStyle name="20% - Accent3 4 4 3 3 4 2" xfId="14559"/>
    <cellStyle name="20% - Accent3 4 4 3 3 5" xfId="14560"/>
    <cellStyle name="20% - Accent3 4 4 3 3 6" xfId="14561"/>
    <cellStyle name="20% - Accent3 4 4 3 4" xfId="14562"/>
    <cellStyle name="20% - Accent3 4 4 3 4 2" xfId="14563"/>
    <cellStyle name="20% - Accent3 4 4 3 4 2 2" xfId="14564"/>
    <cellStyle name="20% - Accent3 4 4 3 4 2 3" xfId="14565"/>
    <cellStyle name="20% - Accent3 4 4 3 4 3" xfId="14566"/>
    <cellStyle name="20% - Accent3 4 4 3 4 3 2" xfId="14567"/>
    <cellStyle name="20% - Accent3 4 4 3 4 4" xfId="14568"/>
    <cellStyle name="20% - Accent3 4 4 3 4 5" xfId="14569"/>
    <cellStyle name="20% - Accent3 4 4 3 5" xfId="14570"/>
    <cellStyle name="20% - Accent3 4 4 3 5 2" xfId="14571"/>
    <cellStyle name="20% - Accent3 4 4 3 5 3" xfId="14572"/>
    <cellStyle name="20% - Accent3 4 4 3 6" xfId="14573"/>
    <cellStyle name="20% - Accent3 4 4 3 6 2" xfId="14574"/>
    <cellStyle name="20% - Accent3 4 4 3 6 3" xfId="14575"/>
    <cellStyle name="20% - Accent3 4 4 3 7" xfId="14576"/>
    <cellStyle name="20% - Accent3 4 4 3 7 2" xfId="14577"/>
    <cellStyle name="20% - Accent3 4 4 3 8" xfId="14578"/>
    <cellStyle name="20% - Accent3 4 4 3 9" xfId="14579"/>
    <cellStyle name="20% - Accent3 4 4 4" xfId="14580"/>
    <cellStyle name="20% - Accent3 4 4 4 2" xfId="14581"/>
    <cellStyle name="20% - Accent3 4 4 4 2 2" xfId="14582"/>
    <cellStyle name="20% - Accent3 4 4 4 2 2 2" xfId="14583"/>
    <cellStyle name="20% - Accent3 4 4 4 2 2 3" xfId="14584"/>
    <cellStyle name="20% - Accent3 4 4 4 2 3" xfId="14585"/>
    <cellStyle name="20% - Accent3 4 4 4 2 3 2" xfId="14586"/>
    <cellStyle name="20% - Accent3 4 4 4 2 3 3" xfId="14587"/>
    <cellStyle name="20% - Accent3 4 4 4 2 4" xfId="14588"/>
    <cellStyle name="20% - Accent3 4 4 4 2 4 2" xfId="14589"/>
    <cellStyle name="20% - Accent3 4 4 4 2 5" xfId="14590"/>
    <cellStyle name="20% - Accent3 4 4 4 2 6" xfId="14591"/>
    <cellStyle name="20% - Accent3 4 4 4 3" xfId="14592"/>
    <cellStyle name="20% - Accent3 4 4 4 3 2" xfId="14593"/>
    <cellStyle name="20% - Accent3 4 4 4 3 2 2" xfId="14594"/>
    <cellStyle name="20% - Accent3 4 4 4 3 2 3" xfId="14595"/>
    <cellStyle name="20% - Accent3 4 4 4 3 3" xfId="14596"/>
    <cellStyle name="20% - Accent3 4 4 4 3 3 2" xfId="14597"/>
    <cellStyle name="20% - Accent3 4 4 4 3 3 3" xfId="14598"/>
    <cellStyle name="20% - Accent3 4 4 4 3 4" xfId="14599"/>
    <cellStyle name="20% - Accent3 4 4 4 3 4 2" xfId="14600"/>
    <cellStyle name="20% - Accent3 4 4 4 3 5" xfId="14601"/>
    <cellStyle name="20% - Accent3 4 4 4 3 6" xfId="14602"/>
    <cellStyle name="20% - Accent3 4 4 4 4" xfId="14603"/>
    <cellStyle name="20% - Accent3 4 4 4 4 2" xfId="14604"/>
    <cellStyle name="20% - Accent3 4 4 4 4 2 2" xfId="14605"/>
    <cellStyle name="20% - Accent3 4 4 4 4 2 3" xfId="14606"/>
    <cellStyle name="20% - Accent3 4 4 4 4 3" xfId="14607"/>
    <cellStyle name="20% - Accent3 4 4 4 4 3 2" xfId="14608"/>
    <cellStyle name="20% - Accent3 4 4 4 4 4" xfId="14609"/>
    <cellStyle name="20% - Accent3 4 4 4 4 5" xfId="14610"/>
    <cellStyle name="20% - Accent3 4 4 4 5" xfId="14611"/>
    <cellStyle name="20% - Accent3 4 4 4 5 2" xfId="14612"/>
    <cellStyle name="20% - Accent3 4 4 4 5 3" xfId="14613"/>
    <cellStyle name="20% - Accent3 4 4 4 6" xfId="14614"/>
    <cellStyle name="20% - Accent3 4 4 4 6 2" xfId="14615"/>
    <cellStyle name="20% - Accent3 4 4 4 6 3" xfId="14616"/>
    <cellStyle name="20% - Accent3 4 4 4 7" xfId="14617"/>
    <cellStyle name="20% - Accent3 4 4 4 7 2" xfId="14618"/>
    <cellStyle name="20% - Accent3 4 4 4 8" xfId="14619"/>
    <cellStyle name="20% - Accent3 4 4 4 9" xfId="14620"/>
    <cellStyle name="20% - Accent3 4 4 5" xfId="14621"/>
    <cellStyle name="20% - Accent3 4 4 5 2" xfId="14622"/>
    <cellStyle name="20% - Accent3 4 4 5 2 2" xfId="14623"/>
    <cellStyle name="20% - Accent3 4 4 5 2 3" xfId="14624"/>
    <cellStyle name="20% - Accent3 4 4 5 3" xfId="14625"/>
    <cellStyle name="20% - Accent3 4 4 5 3 2" xfId="14626"/>
    <cellStyle name="20% - Accent3 4 4 5 3 3" xfId="14627"/>
    <cellStyle name="20% - Accent3 4 4 5 4" xfId="14628"/>
    <cellStyle name="20% - Accent3 4 4 5 4 2" xfId="14629"/>
    <cellStyle name="20% - Accent3 4 4 5 5" xfId="14630"/>
    <cellStyle name="20% - Accent3 4 4 5 6" xfId="14631"/>
    <cellStyle name="20% - Accent3 4 4 6" xfId="14632"/>
    <cellStyle name="20% - Accent3 4 4 6 2" xfId="14633"/>
    <cellStyle name="20% - Accent3 4 4 6 2 2" xfId="14634"/>
    <cellStyle name="20% - Accent3 4 4 6 2 3" xfId="14635"/>
    <cellStyle name="20% - Accent3 4 4 6 3" xfId="14636"/>
    <cellStyle name="20% - Accent3 4 4 6 3 2" xfId="14637"/>
    <cellStyle name="20% - Accent3 4 4 6 3 3" xfId="14638"/>
    <cellStyle name="20% - Accent3 4 4 6 4" xfId="14639"/>
    <cellStyle name="20% - Accent3 4 4 6 4 2" xfId="14640"/>
    <cellStyle name="20% - Accent3 4 4 6 5" xfId="14641"/>
    <cellStyle name="20% - Accent3 4 4 6 6" xfId="14642"/>
    <cellStyle name="20% - Accent3 4 4 7" xfId="14643"/>
    <cellStyle name="20% - Accent3 4 4 7 2" xfId="14644"/>
    <cellStyle name="20% - Accent3 4 4 7 2 2" xfId="14645"/>
    <cellStyle name="20% - Accent3 4 4 7 2 3" xfId="14646"/>
    <cellStyle name="20% - Accent3 4 4 7 3" xfId="14647"/>
    <cellStyle name="20% - Accent3 4 4 7 3 2" xfId="14648"/>
    <cellStyle name="20% - Accent3 4 4 7 4" xfId="14649"/>
    <cellStyle name="20% - Accent3 4 4 7 5" xfId="14650"/>
    <cellStyle name="20% - Accent3 4 4 8" xfId="14651"/>
    <cellStyle name="20% - Accent3 4 4 8 2" xfId="14652"/>
    <cellStyle name="20% - Accent3 4 4 8 3" xfId="14653"/>
    <cellStyle name="20% - Accent3 4 4 9" xfId="14654"/>
    <cellStyle name="20% - Accent3 4 4 9 2" xfId="14655"/>
    <cellStyle name="20% - Accent3 4 4 9 3" xfId="14656"/>
    <cellStyle name="20% - Accent3 4 5" xfId="612"/>
    <cellStyle name="20% - Accent3 4 5 10" xfId="14657"/>
    <cellStyle name="20% - Accent3 4 5 2" xfId="613"/>
    <cellStyle name="20% - Accent3 4 5 2 2" xfId="14658"/>
    <cellStyle name="20% - Accent3 4 5 2 2 2" xfId="14659"/>
    <cellStyle name="20% - Accent3 4 5 2 2 2 2" xfId="14660"/>
    <cellStyle name="20% - Accent3 4 5 2 2 2 3" xfId="14661"/>
    <cellStyle name="20% - Accent3 4 5 2 2 3" xfId="14662"/>
    <cellStyle name="20% - Accent3 4 5 2 2 3 2" xfId="14663"/>
    <cellStyle name="20% - Accent3 4 5 2 2 3 3" xfId="14664"/>
    <cellStyle name="20% - Accent3 4 5 2 2 4" xfId="14665"/>
    <cellStyle name="20% - Accent3 4 5 2 2 4 2" xfId="14666"/>
    <cellStyle name="20% - Accent3 4 5 2 2 5" xfId="14667"/>
    <cellStyle name="20% - Accent3 4 5 2 2 6" xfId="14668"/>
    <cellStyle name="20% - Accent3 4 5 2 3" xfId="14669"/>
    <cellStyle name="20% - Accent3 4 5 2 3 2" xfId="14670"/>
    <cellStyle name="20% - Accent3 4 5 2 3 2 2" xfId="14671"/>
    <cellStyle name="20% - Accent3 4 5 2 3 2 3" xfId="14672"/>
    <cellStyle name="20% - Accent3 4 5 2 3 3" xfId="14673"/>
    <cellStyle name="20% - Accent3 4 5 2 3 3 2" xfId="14674"/>
    <cellStyle name="20% - Accent3 4 5 2 3 3 3" xfId="14675"/>
    <cellStyle name="20% - Accent3 4 5 2 3 4" xfId="14676"/>
    <cellStyle name="20% - Accent3 4 5 2 3 4 2" xfId="14677"/>
    <cellStyle name="20% - Accent3 4 5 2 3 5" xfId="14678"/>
    <cellStyle name="20% - Accent3 4 5 2 3 6" xfId="14679"/>
    <cellStyle name="20% - Accent3 4 5 2 4" xfId="14680"/>
    <cellStyle name="20% - Accent3 4 5 2 4 2" xfId="14681"/>
    <cellStyle name="20% - Accent3 4 5 2 4 2 2" xfId="14682"/>
    <cellStyle name="20% - Accent3 4 5 2 4 2 3" xfId="14683"/>
    <cellStyle name="20% - Accent3 4 5 2 4 3" xfId="14684"/>
    <cellStyle name="20% - Accent3 4 5 2 4 3 2" xfId="14685"/>
    <cellStyle name="20% - Accent3 4 5 2 4 4" xfId="14686"/>
    <cellStyle name="20% - Accent3 4 5 2 4 5" xfId="14687"/>
    <cellStyle name="20% - Accent3 4 5 2 5" xfId="14688"/>
    <cellStyle name="20% - Accent3 4 5 2 5 2" xfId="14689"/>
    <cellStyle name="20% - Accent3 4 5 2 5 3" xfId="14690"/>
    <cellStyle name="20% - Accent3 4 5 2 6" xfId="14691"/>
    <cellStyle name="20% - Accent3 4 5 2 6 2" xfId="14692"/>
    <cellStyle name="20% - Accent3 4 5 2 6 3" xfId="14693"/>
    <cellStyle name="20% - Accent3 4 5 2 7" xfId="14694"/>
    <cellStyle name="20% - Accent3 4 5 2 7 2" xfId="14695"/>
    <cellStyle name="20% - Accent3 4 5 2 8" xfId="14696"/>
    <cellStyle name="20% - Accent3 4 5 2 9" xfId="14697"/>
    <cellStyle name="20% - Accent3 4 5 3" xfId="14698"/>
    <cellStyle name="20% - Accent3 4 5 3 2" xfId="14699"/>
    <cellStyle name="20% - Accent3 4 5 3 2 2" xfId="14700"/>
    <cellStyle name="20% - Accent3 4 5 3 2 3" xfId="14701"/>
    <cellStyle name="20% - Accent3 4 5 3 3" xfId="14702"/>
    <cellStyle name="20% - Accent3 4 5 3 3 2" xfId="14703"/>
    <cellStyle name="20% - Accent3 4 5 3 3 3" xfId="14704"/>
    <cellStyle name="20% - Accent3 4 5 3 4" xfId="14705"/>
    <cellStyle name="20% - Accent3 4 5 3 4 2" xfId="14706"/>
    <cellStyle name="20% - Accent3 4 5 3 5" xfId="14707"/>
    <cellStyle name="20% - Accent3 4 5 3 6" xfId="14708"/>
    <cellStyle name="20% - Accent3 4 5 4" xfId="14709"/>
    <cellStyle name="20% - Accent3 4 5 4 2" xfId="14710"/>
    <cellStyle name="20% - Accent3 4 5 4 2 2" xfId="14711"/>
    <cellStyle name="20% - Accent3 4 5 4 2 3" xfId="14712"/>
    <cellStyle name="20% - Accent3 4 5 4 3" xfId="14713"/>
    <cellStyle name="20% - Accent3 4 5 4 3 2" xfId="14714"/>
    <cellStyle name="20% - Accent3 4 5 4 3 3" xfId="14715"/>
    <cellStyle name="20% - Accent3 4 5 4 4" xfId="14716"/>
    <cellStyle name="20% - Accent3 4 5 4 4 2" xfId="14717"/>
    <cellStyle name="20% - Accent3 4 5 4 5" xfId="14718"/>
    <cellStyle name="20% - Accent3 4 5 4 6" xfId="14719"/>
    <cellStyle name="20% - Accent3 4 5 5" xfId="14720"/>
    <cellStyle name="20% - Accent3 4 5 5 2" xfId="14721"/>
    <cellStyle name="20% - Accent3 4 5 5 2 2" xfId="14722"/>
    <cellStyle name="20% - Accent3 4 5 5 2 3" xfId="14723"/>
    <cellStyle name="20% - Accent3 4 5 5 3" xfId="14724"/>
    <cellStyle name="20% - Accent3 4 5 5 3 2" xfId="14725"/>
    <cellStyle name="20% - Accent3 4 5 5 4" xfId="14726"/>
    <cellStyle name="20% - Accent3 4 5 5 5" xfId="14727"/>
    <cellStyle name="20% - Accent3 4 5 6" xfId="14728"/>
    <cellStyle name="20% - Accent3 4 5 6 2" xfId="14729"/>
    <cellStyle name="20% - Accent3 4 5 6 3" xfId="14730"/>
    <cellStyle name="20% - Accent3 4 5 7" xfId="14731"/>
    <cellStyle name="20% - Accent3 4 5 7 2" xfId="14732"/>
    <cellStyle name="20% - Accent3 4 5 7 3" xfId="14733"/>
    <cellStyle name="20% - Accent3 4 5 8" xfId="14734"/>
    <cellStyle name="20% - Accent3 4 5 8 2" xfId="14735"/>
    <cellStyle name="20% - Accent3 4 5 9" xfId="14736"/>
    <cellStyle name="20% - Accent3 4 6" xfId="614"/>
    <cellStyle name="20% - Accent3 4 6 2" xfId="14737"/>
    <cellStyle name="20% - Accent3 4 6 2 2" xfId="14738"/>
    <cellStyle name="20% - Accent3 4 6 2 2 2" xfId="14739"/>
    <cellStyle name="20% - Accent3 4 6 2 2 3" xfId="14740"/>
    <cellStyle name="20% - Accent3 4 6 2 3" xfId="14741"/>
    <cellStyle name="20% - Accent3 4 6 2 3 2" xfId="14742"/>
    <cellStyle name="20% - Accent3 4 6 2 3 3" xfId="14743"/>
    <cellStyle name="20% - Accent3 4 6 2 4" xfId="14744"/>
    <cellStyle name="20% - Accent3 4 6 2 4 2" xfId="14745"/>
    <cellStyle name="20% - Accent3 4 6 2 5" xfId="14746"/>
    <cellStyle name="20% - Accent3 4 6 2 6" xfId="14747"/>
    <cellStyle name="20% - Accent3 4 6 3" xfId="14748"/>
    <cellStyle name="20% - Accent3 4 6 3 2" xfId="14749"/>
    <cellStyle name="20% - Accent3 4 6 3 2 2" xfId="14750"/>
    <cellStyle name="20% - Accent3 4 6 3 2 3" xfId="14751"/>
    <cellStyle name="20% - Accent3 4 6 3 3" xfId="14752"/>
    <cellStyle name="20% - Accent3 4 6 3 3 2" xfId="14753"/>
    <cellStyle name="20% - Accent3 4 6 3 3 3" xfId="14754"/>
    <cellStyle name="20% - Accent3 4 6 3 4" xfId="14755"/>
    <cellStyle name="20% - Accent3 4 6 3 4 2" xfId="14756"/>
    <cellStyle name="20% - Accent3 4 6 3 5" xfId="14757"/>
    <cellStyle name="20% - Accent3 4 6 3 6" xfId="14758"/>
    <cellStyle name="20% - Accent3 4 6 4" xfId="14759"/>
    <cellStyle name="20% - Accent3 4 6 4 2" xfId="14760"/>
    <cellStyle name="20% - Accent3 4 6 4 2 2" xfId="14761"/>
    <cellStyle name="20% - Accent3 4 6 4 2 3" xfId="14762"/>
    <cellStyle name="20% - Accent3 4 6 4 3" xfId="14763"/>
    <cellStyle name="20% - Accent3 4 6 4 3 2" xfId="14764"/>
    <cellStyle name="20% - Accent3 4 6 4 4" xfId="14765"/>
    <cellStyle name="20% - Accent3 4 6 4 5" xfId="14766"/>
    <cellStyle name="20% - Accent3 4 6 5" xfId="14767"/>
    <cellStyle name="20% - Accent3 4 6 5 2" xfId="14768"/>
    <cellStyle name="20% - Accent3 4 6 5 3" xfId="14769"/>
    <cellStyle name="20% - Accent3 4 6 6" xfId="14770"/>
    <cellStyle name="20% - Accent3 4 6 6 2" xfId="14771"/>
    <cellStyle name="20% - Accent3 4 6 6 3" xfId="14772"/>
    <cellStyle name="20% - Accent3 4 6 7" xfId="14773"/>
    <cellStyle name="20% - Accent3 4 6 7 2" xfId="14774"/>
    <cellStyle name="20% - Accent3 4 6 8" xfId="14775"/>
    <cellStyle name="20% - Accent3 4 6 9" xfId="14776"/>
    <cellStyle name="20% - Accent3 4 7" xfId="8814"/>
    <cellStyle name="20% - Accent3 4 7 2" xfId="14777"/>
    <cellStyle name="20% - Accent3 4 7 2 2" xfId="14778"/>
    <cellStyle name="20% - Accent3 4 7 2 2 2" xfId="14779"/>
    <cellStyle name="20% - Accent3 4 7 2 2 3" xfId="14780"/>
    <cellStyle name="20% - Accent3 4 7 2 3" xfId="14781"/>
    <cellStyle name="20% - Accent3 4 7 2 3 2" xfId="14782"/>
    <cellStyle name="20% - Accent3 4 7 2 3 3" xfId="14783"/>
    <cellStyle name="20% - Accent3 4 7 2 4" xfId="14784"/>
    <cellStyle name="20% - Accent3 4 7 2 4 2" xfId="14785"/>
    <cellStyle name="20% - Accent3 4 7 2 5" xfId="14786"/>
    <cellStyle name="20% - Accent3 4 7 2 6" xfId="14787"/>
    <cellStyle name="20% - Accent3 4 7 3" xfId="14788"/>
    <cellStyle name="20% - Accent3 4 7 3 2" xfId="14789"/>
    <cellStyle name="20% - Accent3 4 7 3 2 2" xfId="14790"/>
    <cellStyle name="20% - Accent3 4 7 3 2 3" xfId="14791"/>
    <cellStyle name="20% - Accent3 4 7 3 3" xfId="14792"/>
    <cellStyle name="20% - Accent3 4 7 3 3 2" xfId="14793"/>
    <cellStyle name="20% - Accent3 4 7 3 3 3" xfId="14794"/>
    <cellStyle name="20% - Accent3 4 7 3 4" xfId="14795"/>
    <cellStyle name="20% - Accent3 4 7 3 4 2" xfId="14796"/>
    <cellStyle name="20% - Accent3 4 7 3 5" xfId="14797"/>
    <cellStyle name="20% - Accent3 4 7 3 6" xfId="14798"/>
    <cellStyle name="20% - Accent3 4 7 4" xfId="14799"/>
    <cellStyle name="20% - Accent3 4 7 4 2" xfId="14800"/>
    <cellStyle name="20% - Accent3 4 7 4 2 2" xfId="14801"/>
    <cellStyle name="20% - Accent3 4 7 4 2 3" xfId="14802"/>
    <cellStyle name="20% - Accent3 4 7 4 3" xfId="14803"/>
    <cellStyle name="20% - Accent3 4 7 4 3 2" xfId="14804"/>
    <cellStyle name="20% - Accent3 4 7 4 4" xfId="14805"/>
    <cellStyle name="20% - Accent3 4 7 4 5" xfId="14806"/>
    <cellStyle name="20% - Accent3 4 7 5" xfId="14807"/>
    <cellStyle name="20% - Accent3 4 7 5 2" xfId="14808"/>
    <cellStyle name="20% - Accent3 4 7 5 3" xfId="14809"/>
    <cellStyle name="20% - Accent3 4 7 6" xfId="14810"/>
    <cellStyle name="20% - Accent3 4 7 6 2" xfId="14811"/>
    <cellStyle name="20% - Accent3 4 7 6 3" xfId="14812"/>
    <cellStyle name="20% - Accent3 4 7 7" xfId="14813"/>
    <cellStyle name="20% - Accent3 4 7 7 2" xfId="14814"/>
    <cellStyle name="20% - Accent3 4 7 8" xfId="14815"/>
    <cellStyle name="20% - Accent3 4 7 9" xfId="14816"/>
    <cellStyle name="20% - Accent3 4 8" xfId="14817"/>
    <cellStyle name="20% - Accent3 4 8 2" xfId="14818"/>
    <cellStyle name="20% - Accent3 4 8 2 2" xfId="14819"/>
    <cellStyle name="20% - Accent3 4 8 2 3" xfId="14820"/>
    <cellStyle name="20% - Accent3 4 8 3" xfId="14821"/>
    <cellStyle name="20% - Accent3 4 8 3 2" xfId="14822"/>
    <cellStyle name="20% - Accent3 4 8 3 3" xfId="14823"/>
    <cellStyle name="20% - Accent3 4 8 4" xfId="14824"/>
    <cellStyle name="20% - Accent3 4 8 4 2" xfId="14825"/>
    <cellStyle name="20% - Accent3 4 8 5" xfId="14826"/>
    <cellStyle name="20% - Accent3 4 8 6" xfId="14827"/>
    <cellStyle name="20% - Accent3 4 9" xfId="14828"/>
    <cellStyle name="20% - Accent3 4 9 2" xfId="14829"/>
    <cellStyle name="20% - Accent3 4 9 2 2" xfId="14830"/>
    <cellStyle name="20% - Accent3 4 9 2 3" xfId="14831"/>
    <cellStyle name="20% - Accent3 4 9 3" xfId="14832"/>
    <cellStyle name="20% - Accent3 4 9 3 2" xfId="14833"/>
    <cellStyle name="20% - Accent3 4 9 3 3" xfId="14834"/>
    <cellStyle name="20% - Accent3 4 9 4" xfId="14835"/>
    <cellStyle name="20% - Accent3 4 9 4 2" xfId="14836"/>
    <cellStyle name="20% - Accent3 4 9 5" xfId="14837"/>
    <cellStyle name="20% - Accent3 4 9 6" xfId="14838"/>
    <cellStyle name="20% - Accent3 5" xfId="615"/>
    <cellStyle name="20% - Accent3 5 2" xfId="616"/>
    <cellStyle name="20% - Accent3 5 2 2" xfId="617"/>
    <cellStyle name="20% - Accent3 5 2 2 2" xfId="618"/>
    <cellStyle name="20% - Accent3 5 2 2 2 2" xfId="619"/>
    <cellStyle name="20% - Accent3 5 2 2 3" xfId="620"/>
    <cellStyle name="20% - Accent3 5 2 3" xfId="621"/>
    <cellStyle name="20% - Accent3 5 2 3 2" xfId="622"/>
    <cellStyle name="20% - Accent3 5 2 4" xfId="623"/>
    <cellStyle name="20% - Accent3 5 2 5" xfId="57886"/>
    <cellStyle name="20% - Accent3 5 3" xfId="624"/>
    <cellStyle name="20% - Accent3 5 3 2" xfId="625"/>
    <cellStyle name="20% - Accent3 5 3 2 2" xfId="626"/>
    <cellStyle name="20% - Accent3 5 3 3" xfId="627"/>
    <cellStyle name="20% - Accent3 5 4" xfId="628"/>
    <cellStyle name="20% - Accent3 5 4 2" xfId="629"/>
    <cellStyle name="20% - Accent3 5 5" xfId="630"/>
    <cellStyle name="20% - Accent3 5 6" xfId="8815"/>
    <cellStyle name="20% - Accent3 6" xfId="631"/>
    <cellStyle name="20% - Accent3 6 2" xfId="632"/>
    <cellStyle name="20% - Accent3 6 2 2" xfId="633"/>
    <cellStyle name="20% - Accent3 6 2 2 2" xfId="634"/>
    <cellStyle name="20% - Accent3 6 2 3" xfId="635"/>
    <cellStyle name="20% - Accent3 6 2 4" xfId="57887"/>
    <cellStyle name="20% - Accent3 6 2 5" xfId="57888"/>
    <cellStyle name="20% - Accent3 6 3" xfId="636"/>
    <cellStyle name="20% - Accent3 6 3 2" xfId="637"/>
    <cellStyle name="20% - Accent3 6 4" xfId="638"/>
    <cellStyle name="20% - Accent3 6 5" xfId="57889"/>
    <cellStyle name="20% - Accent3 7" xfId="639"/>
    <cellStyle name="20% - Accent3 7 2" xfId="640"/>
    <cellStyle name="20% - Accent3 7 2 2" xfId="641"/>
    <cellStyle name="20% - Accent3 7 2 2 2" xfId="642"/>
    <cellStyle name="20% - Accent3 7 2 3" xfId="643"/>
    <cellStyle name="20% - Accent3 7 3" xfId="644"/>
    <cellStyle name="20% - Accent3 7 3 2" xfId="645"/>
    <cellStyle name="20% - Accent3 7 4" xfId="646"/>
    <cellStyle name="20% - Accent3 7 5" xfId="57890"/>
    <cellStyle name="20% - Accent3 8" xfId="647"/>
    <cellStyle name="20% - Accent3 8 2" xfId="648"/>
    <cellStyle name="20% - Accent3 8 2 2" xfId="649"/>
    <cellStyle name="20% - Accent3 8 2 2 2" xfId="650"/>
    <cellStyle name="20% - Accent3 8 2 3" xfId="651"/>
    <cellStyle name="20% - Accent3 8 3" xfId="652"/>
    <cellStyle name="20% - Accent3 8 3 2" xfId="653"/>
    <cellStyle name="20% - Accent3 8 4" xfId="654"/>
    <cellStyle name="20% - Accent3 8 5" xfId="57891"/>
    <cellStyle name="20% - Accent3 9" xfId="655"/>
    <cellStyle name="20% - Accent3 9 2" xfId="656"/>
    <cellStyle name="20% - Accent3 9 2 2" xfId="657"/>
    <cellStyle name="20% - Accent3 9 3" xfId="658"/>
    <cellStyle name="20% - Accent3 9 4" xfId="57892"/>
    <cellStyle name="20% - Accent4 10" xfId="659"/>
    <cellStyle name="20% - Accent4 10 2" xfId="660"/>
    <cellStyle name="20% - Accent4 10 2 2" xfId="661"/>
    <cellStyle name="20% - Accent4 10 3" xfId="662"/>
    <cellStyle name="20% - Accent4 10 4" xfId="57893"/>
    <cellStyle name="20% - Accent4 11" xfId="663"/>
    <cellStyle name="20% - Accent4 11 2" xfId="664"/>
    <cellStyle name="20% - Accent4 11 2 2" xfId="665"/>
    <cellStyle name="20% - Accent4 11 3" xfId="666"/>
    <cellStyle name="20% - Accent4 11 4" xfId="57894"/>
    <cellStyle name="20% - Accent4 12" xfId="667"/>
    <cellStyle name="20% - Accent4 12 2" xfId="668"/>
    <cellStyle name="20% - Accent4 12 2 2" xfId="669"/>
    <cellStyle name="20% - Accent4 12 3" xfId="670"/>
    <cellStyle name="20% - Accent4 12 4" xfId="57895"/>
    <cellStyle name="20% - Accent4 13" xfId="671"/>
    <cellStyle name="20% - Accent4 13 2" xfId="672"/>
    <cellStyle name="20% - Accent4 13 3" xfId="57896"/>
    <cellStyle name="20% - Accent4 14" xfId="673"/>
    <cellStyle name="20% - Accent4 14 2" xfId="57897"/>
    <cellStyle name="20% - Accent4 15" xfId="8816"/>
    <cellStyle name="20% - Accent4 16" xfId="9388"/>
    <cellStyle name="20% - Accent4 17" xfId="9389"/>
    <cellStyle name="20% - Accent4 17 2" xfId="57898"/>
    <cellStyle name="20% - Accent4 18" xfId="57899"/>
    <cellStyle name="20% - Accent4 19" xfId="57900"/>
    <cellStyle name="20% - Accent4 2" xfId="674"/>
    <cellStyle name="20% - Accent4 2 10" xfId="57901"/>
    <cellStyle name="20% - Accent4 2 11" xfId="57902"/>
    <cellStyle name="20% - Accent4 2 12" xfId="57903"/>
    <cellStyle name="20% - Accent4 2 13" xfId="57904"/>
    <cellStyle name="20% - Accent4 2 2" xfId="675"/>
    <cellStyle name="20% - Accent4 2 2 10" xfId="57905"/>
    <cellStyle name="20% - Accent4 2 2 2" xfId="676"/>
    <cellStyle name="20% - Accent4 2 2 2 2" xfId="677"/>
    <cellStyle name="20% - Accent4 2 2 2 2 2" xfId="678"/>
    <cellStyle name="20% - Accent4 2 2 2 2 2 2" xfId="679"/>
    <cellStyle name="20% - Accent4 2 2 2 2 2 2 2" xfId="680"/>
    <cellStyle name="20% - Accent4 2 2 2 2 2 3" xfId="681"/>
    <cellStyle name="20% - Accent4 2 2 2 2 2 4" xfId="8817"/>
    <cellStyle name="20% - Accent4 2 2 2 2 3" xfId="682"/>
    <cellStyle name="20% - Accent4 2 2 2 2 3 2" xfId="683"/>
    <cellStyle name="20% - Accent4 2 2 2 2 4" xfId="684"/>
    <cellStyle name="20% - Accent4 2 2 2 2 5" xfId="685"/>
    <cellStyle name="20% - Accent4 2 2 2 2 6" xfId="8818"/>
    <cellStyle name="20% - Accent4 2 2 2 3" xfId="686"/>
    <cellStyle name="20% - Accent4 2 2 2 3 2" xfId="687"/>
    <cellStyle name="20% - Accent4 2 2 2 3 2 2" xfId="688"/>
    <cellStyle name="20% - Accent4 2 2 2 3 3" xfId="689"/>
    <cellStyle name="20% - Accent4 2 2 2 3 4" xfId="8819"/>
    <cellStyle name="20% - Accent4 2 2 2 4" xfId="690"/>
    <cellStyle name="20% - Accent4 2 2 2 4 2" xfId="691"/>
    <cellStyle name="20% - Accent4 2 2 2 5" xfId="692"/>
    <cellStyle name="20% - Accent4 2 2 2 6" xfId="693"/>
    <cellStyle name="20% - Accent4 2 2 2 7" xfId="8820"/>
    <cellStyle name="20% - Accent4 2 2 3" xfId="694"/>
    <cellStyle name="20% - Accent4 2 2 3 2" xfId="695"/>
    <cellStyle name="20% - Accent4 2 2 3 2 2" xfId="696"/>
    <cellStyle name="20% - Accent4 2 2 3 2 2 2" xfId="697"/>
    <cellStyle name="20% - Accent4 2 2 3 2 3" xfId="698"/>
    <cellStyle name="20% - Accent4 2 2 3 2 4" xfId="8821"/>
    <cellStyle name="20% - Accent4 2 2 3 3" xfId="699"/>
    <cellStyle name="20% - Accent4 2 2 3 3 2" xfId="700"/>
    <cellStyle name="20% - Accent4 2 2 3 4" xfId="701"/>
    <cellStyle name="20% - Accent4 2 2 3 5" xfId="702"/>
    <cellStyle name="20% - Accent4 2 2 3 6" xfId="8822"/>
    <cellStyle name="20% - Accent4 2 2 4" xfId="703"/>
    <cellStyle name="20% - Accent4 2 2 4 2" xfId="704"/>
    <cellStyle name="20% - Accent4 2 2 4 2 2" xfId="705"/>
    <cellStyle name="20% - Accent4 2 2 4 3" xfId="706"/>
    <cellStyle name="20% - Accent4 2 2 4 4" xfId="8823"/>
    <cellStyle name="20% - Accent4 2 2 5" xfId="707"/>
    <cellStyle name="20% - Accent4 2 2 5 2" xfId="708"/>
    <cellStyle name="20% - Accent4 2 2 5 3" xfId="57906"/>
    <cellStyle name="20% - Accent4 2 2 6" xfId="709"/>
    <cellStyle name="20% - Accent4 2 2 6 2" xfId="57907"/>
    <cellStyle name="20% - Accent4 2 2 7" xfId="710"/>
    <cellStyle name="20% - Accent4 2 2 8" xfId="8824"/>
    <cellStyle name="20% - Accent4 2 2 9" xfId="57908"/>
    <cellStyle name="20% - Accent4 2 3" xfId="711"/>
    <cellStyle name="20% - Accent4 2 3 2" xfId="712"/>
    <cellStyle name="20% - Accent4 2 3 2 2" xfId="713"/>
    <cellStyle name="20% - Accent4 2 3 2 2 2" xfId="714"/>
    <cellStyle name="20% - Accent4 2 3 2 2 2 2" xfId="715"/>
    <cellStyle name="20% - Accent4 2 3 2 2 2 3" xfId="8825"/>
    <cellStyle name="20% - Accent4 2 3 2 2 3" xfId="716"/>
    <cellStyle name="20% - Accent4 2 3 2 2 4" xfId="717"/>
    <cellStyle name="20% - Accent4 2 3 2 2 5" xfId="8826"/>
    <cellStyle name="20% - Accent4 2 3 2 3" xfId="718"/>
    <cellStyle name="20% - Accent4 2 3 2 3 2" xfId="719"/>
    <cellStyle name="20% - Accent4 2 3 2 3 3" xfId="8827"/>
    <cellStyle name="20% - Accent4 2 3 2 4" xfId="720"/>
    <cellStyle name="20% - Accent4 2 3 2 5" xfId="721"/>
    <cellStyle name="20% - Accent4 2 3 2 6" xfId="8828"/>
    <cellStyle name="20% - Accent4 2 3 3" xfId="722"/>
    <cellStyle name="20% - Accent4 2 3 3 2" xfId="723"/>
    <cellStyle name="20% - Accent4 2 3 3 2 2" xfId="724"/>
    <cellStyle name="20% - Accent4 2 3 3 2 3" xfId="8829"/>
    <cellStyle name="20% - Accent4 2 3 3 3" xfId="725"/>
    <cellStyle name="20% - Accent4 2 3 3 4" xfId="726"/>
    <cellStyle name="20% - Accent4 2 3 3 5" xfId="8830"/>
    <cellStyle name="20% - Accent4 2 3 4" xfId="727"/>
    <cellStyle name="20% - Accent4 2 3 4 2" xfId="728"/>
    <cellStyle name="20% - Accent4 2 3 4 3" xfId="8831"/>
    <cellStyle name="20% - Accent4 2 3 5" xfId="729"/>
    <cellStyle name="20% - Accent4 2 3 6" xfId="730"/>
    <cellStyle name="20% - Accent4 2 3 7" xfId="8832"/>
    <cellStyle name="20% - Accent4 2 4" xfId="731"/>
    <cellStyle name="20% - Accent4 2 4 2" xfId="732"/>
    <cellStyle name="20% - Accent4 2 4 2 2" xfId="733"/>
    <cellStyle name="20% - Accent4 2 4 2 2 2" xfId="734"/>
    <cellStyle name="20% - Accent4 2 4 2 2 2 2" xfId="8833"/>
    <cellStyle name="20% - Accent4 2 4 2 2 3" xfId="735"/>
    <cellStyle name="20% - Accent4 2 4 2 2 4" xfId="8834"/>
    <cellStyle name="20% - Accent4 2 4 2 3" xfId="736"/>
    <cellStyle name="20% - Accent4 2 4 2 3 2" xfId="8835"/>
    <cellStyle name="20% - Accent4 2 4 2 4" xfId="737"/>
    <cellStyle name="20% - Accent4 2 4 2 5" xfId="8836"/>
    <cellStyle name="20% - Accent4 2 4 3" xfId="738"/>
    <cellStyle name="20% - Accent4 2 4 3 2" xfId="739"/>
    <cellStyle name="20% - Accent4 2 4 3 2 2" xfId="8837"/>
    <cellStyle name="20% - Accent4 2 4 3 3" xfId="740"/>
    <cellStyle name="20% - Accent4 2 4 3 4" xfId="8838"/>
    <cellStyle name="20% - Accent4 2 4 4" xfId="741"/>
    <cellStyle name="20% - Accent4 2 4 4 2" xfId="8839"/>
    <cellStyle name="20% - Accent4 2 4 5" xfId="742"/>
    <cellStyle name="20% - Accent4 2 4 6" xfId="8840"/>
    <cellStyle name="20% - Accent4 2 4 7" xfId="57909"/>
    <cellStyle name="20% - Accent4 2 5" xfId="743"/>
    <cellStyle name="20% - Accent4 2 5 2" xfId="744"/>
    <cellStyle name="20% - Accent4 2 5 2 2" xfId="745"/>
    <cellStyle name="20% - Accent4 2 5 2 2 2" xfId="8841"/>
    <cellStyle name="20% - Accent4 2 5 2 3" xfId="746"/>
    <cellStyle name="20% - Accent4 2 5 2 4" xfId="8842"/>
    <cellStyle name="20% - Accent4 2 5 3" xfId="747"/>
    <cellStyle name="20% - Accent4 2 5 3 2" xfId="8843"/>
    <cellStyle name="20% - Accent4 2 5 4" xfId="748"/>
    <cellStyle name="20% - Accent4 2 5 5" xfId="8844"/>
    <cellStyle name="20% - Accent4 2 5 6" xfId="57910"/>
    <cellStyle name="20% - Accent4 2 6" xfId="749"/>
    <cellStyle name="20% - Accent4 2 6 2" xfId="750"/>
    <cellStyle name="20% - Accent4 2 6 2 2" xfId="8845"/>
    <cellStyle name="20% - Accent4 2 6 3" xfId="751"/>
    <cellStyle name="20% - Accent4 2 6 4" xfId="8846"/>
    <cellStyle name="20% - Accent4 2 6 5" xfId="57911"/>
    <cellStyle name="20% - Accent4 2 7" xfId="752"/>
    <cellStyle name="20% - Accent4 2 7 2" xfId="8847"/>
    <cellStyle name="20% - Accent4 2 7 3" xfId="57912"/>
    <cellStyle name="20% - Accent4 2 7 4" xfId="57913"/>
    <cellStyle name="20% - Accent4 2 8" xfId="753"/>
    <cellStyle name="20% - Accent4 2 8 2" xfId="57914"/>
    <cellStyle name="20% - Accent4 2 8 3" xfId="57915"/>
    <cellStyle name="20% - Accent4 2 9" xfId="8848"/>
    <cellStyle name="20% - Accent4 2 9 2" xfId="57916"/>
    <cellStyle name="20% - Accent4 20" xfId="57917"/>
    <cellStyle name="20% - Accent4 21" xfId="57918"/>
    <cellStyle name="20% - Accent4 3" xfId="754"/>
    <cellStyle name="20% - Accent4 3 2" xfId="755"/>
    <cellStyle name="20% - Accent4 3 2 2" xfId="756"/>
    <cellStyle name="20% - Accent4 3 2 2 2" xfId="757"/>
    <cellStyle name="20% - Accent4 3 2 2 2 2" xfId="758"/>
    <cellStyle name="20% - Accent4 3 2 2 2 2 2" xfId="759"/>
    <cellStyle name="20% - Accent4 3 2 2 2 2 2 2" xfId="760"/>
    <cellStyle name="20% - Accent4 3 2 2 2 2 3" xfId="761"/>
    <cellStyle name="20% - Accent4 3 2 2 2 2 4" xfId="8849"/>
    <cellStyle name="20% - Accent4 3 2 2 2 3" xfId="762"/>
    <cellStyle name="20% - Accent4 3 2 2 2 3 2" xfId="763"/>
    <cellStyle name="20% - Accent4 3 2 2 2 4" xfId="764"/>
    <cellStyle name="20% - Accent4 3 2 2 2 5" xfId="765"/>
    <cellStyle name="20% - Accent4 3 2 2 2 6" xfId="8850"/>
    <cellStyle name="20% - Accent4 3 2 2 3" xfId="766"/>
    <cellStyle name="20% - Accent4 3 2 2 3 2" xfId="767"/>
    <cellStyle name="20% - Accent4 3 2 2 3 2 2" xfId="768"/>
    <cellStyle name="20% - Accent4 3 2 2 3 3" xfId="769"/>
    <cellStyle name="20% - Accent4 3 2 2 3 4" xfId="8851"/>
    <cellStyle name="20% - Accent4 3 2 2 4" xfId="770"/>
    <cellStyle name="20% - Accent4 3 2 2 4 2" xfId="771"/>
    <cellStyle name="20% - Accent4 3 2 2 5" xfId="772"/>
    <cellStyle name="20% - Accent4 3 2 2 6" xfId="773"/>
    <cellStyle name="20% - Accent4 3 2 2 7" xfId="8852"/>
    <cellStyle name="20% - Accent4 3 2 3" xfId="774"/>
    <cellStyle name="20% - Accent4 3 2 3 2" xfId="775"/>
    <cellStyle name="20% - Accent4 3 2 3 2 2" xfId="776"/>
    <cellStyle name="20% - Accent4 3 2 3 2 2 2" xfId="777"/>
    <cellStyle name="20% - Accent4 3 2 3 2 3" xfId="778"/>
    <cellStyle name="20% - Accent4 3 2 3 2 4" xfId="8853"/>
    <cellStyle name="20% - Accent4 3 2 3 3" xfId="779"/>
    <cellStyle name="20% - Accent4 3 2 3 3 2" xfId="780"/>
    <cellStyle name="20% - Accent4 3 2 3 4" xfId="781"/>
    <cellStyle name="20% - Accent4 3 2 3 5" xfId="782"/>
    <cellStyle name="20% - Accent4 3 2 3 6" xfId="8854"/>
    <cellStyle name="20% - Accent4 3 2 4" xfId="783"/>
    <cellStyle name="20% - Accent4 3 2 4 2" xfId="784"/>
    <cellStyle name="20% - Accent4 3 2 4 2 2" xfId="785"/>
    <cellStyle name="20% - Accent4 3 2 4 3" xfId="786"/>
    <cellStyle name="20% - Accent4 3 2 4 4" xfId="8855"/>
    <cellStyle name="20% - Accent4 3 2 5" xfId="787"/>
    <cellStyle name="20% - Accent4 3 2 5 2" xfId="788"/>
    <cellStyle name="20% - Accent4 3 2 6" xfId="789"/>
    <cellStyle name="20% - Accent4 3 2 7" xfId="790"/>
    <cellStyle name="20% - Accent4 3 2 8" xfId="8856"/>
    <cellStyle name="20% - Accent4 3 2 9" xfId="57919"/>
    <cellStyle name="20% - Accent4 3 3" xfId="791"/>
    <cellStyle name="20% - Accent4 3 3 2" xfId="792"/>
    <cellStyle name="20% - Accent4 3 3 2 2" xfId="793"/>
    <cellStyle name="20% - Accent4 3 3 2 2 2" xfId="794"/>
    <cellStyle name="20% - Accent4 3 3 2 2 2 2" xfId="795"/>
    <cellStyle name="20% - Accent4 3 3 2 2 2 3" xfId="8857"/>
    <cellStyle name="20% - Accent4 3 3 2 2 3" xfId="796"/>
    <cellStyle name="20% - Accent4 3 3 2 2 4" xfId="797"/>
    <cellStyle name="20% - Accent4 3 3 2 2 5" xfId="8858"/>
    <cellStyle name="20% - Accent4 3 3 2 3" xfId="798"/>
    <cellStyle name="20% - Accent4 3 3 2 3 2" xfId="799"/>
    <cellStyle name="20% - Accent4 3 3 2 3 3" xfId="8859"/>
    <cellStyle name="20% - Accent4 3 3 2 4" xfId="800"/>
    <cellStyle name="20% - Accent4 3 3 2 5" xfId="801"/>
    <cellStyle name="20% - Accent4 3 3 2 6" xfId="8860"/>
    <cellStyle name="20% - Accent4 3 3 3" xfId="802"/>
    <cellStyle name="20% - Accent4 3 3 3 2" xfId="803"/>
    <cellStyle name="20% - Accent4 3 3 3 2 2" xfId="804"/>
    <cellStyle name="20% - Accent4 3 3 3 2 3" xfId="8861"/>
    <cellStyle name="20% - Accent4 3 3 3 3" xfId="805"/>
    <cellStyle name="20% - Accent4 3 3 3 4" xfId="806"/>
    <cellStyle name="20% - Accent4 3 3 3 5" xfId="8862"/>
    <cellStyle name="20% - Accent4 3 3 4" xfId="807"/>
    <cellStyle name="20% - Accent4 3 3 4 2" xfId="808"/>
    <cellStyle name="20% - Accent4 3 3 4 3" xfId="8863"/>
    <cellStyle name="20% - Accent4 3 3 4 4" xfId="57920"/>
    <cellStyle name="20% - Accent4 3 3 5" xfId="809"/>
    <cellStyle name="20% - Accent4 3 3 5 2" xfId="57921"/>
    <cellStyle name="20% - Accent4 3 3 6" xfId="810"/>
    <cellStyle name="20% - Accent4 3 3 7" xfId="8864"/>
    <cellStyle name="20% - Accent4 3 3 8" xfId="57922"/>
    <cellStyle name="20% - Accent4 3 3 9" xfId="57923"/>
    <cellStyle name="20% - Accent4 3 4" xfId="811"/>
    <cellStyle name="20% - Accent4 3 4 2" xfId="812"/>
    <cellStyle name="20% - Accent4 3 4 2 2" xfId="813"/>
    <cellStyle name="20% - Accent4 3 4 2 2 2" xfId="814"/>
    <cellStyle name="20% - Accent4 3 4 2 2 2 2" xfId="8865"/>
    <cellStyle name="20% - Accent4 3 4 2 2 3" xfId="815"/>
    <cellStyle name="20% - Accent4 3 4 2 2 4" xfId="8866"/>
    <cellStyle name="20% - Accent4 3 4 2 3" xfId="816"/>
    <cellStyle name="20% - Accent4 3 4 2 3 2" xfId="8867"/>
    <cellStyle name="20% - Accent4 3 4 2 4" xfId="817"/>
    <cellStyle name="20% - Accent4 3 4 2 5" xfId="8868"/>
    <cellStyle name="20% - Accent4 3 4 3" xfId="818"/>
    <cellStyle name="20% - Accent4 3 4 3 2" xfId="819"/>
    <cellStyle name="20% - Accent4 3 4 3 2 2" xfId="8869"/>
    <cellStyle name="20% - Accent4 3 4 3 3" xfId="820"/>
    <cellStyle name="20% - Accent4 3 4 3 4" xfId="8870"/>
    <cellStyle name="20% - Accent4 3 4 4" xfId="821"/>
    <cellStyle name="20% - Accent4 3 4 4 2" xfId="8871"/>
    <cellStyle name="20% - Accent4 3 4 4 3" xfId="57924"/>
    <cellStyle name="20% - Accent4 3 4 4 4" xfId="57925"/>
    <cellStyle name="20% - Accent4 3 4 5" xfId="822"/>
    <cellStyle name="20% - Accent4 3 4 5 2" xfId="57926"/>
    <cellStyle name="20% - Accent4 3 4 6" xfId="8872"/>
    <cellStyle name="20% - Accent4 3 4 7" xfId="57927"/>
    <cellStyle name="20% - Accent4 3 4 8" xfId="57928"/>
    <cellStyle name="20% - Accent4 3 4 9" xfId="57929"/>
    <cellStyle name="20% - Accent4 3 5" xfId="823"/>
    <cellStyle name="20% - Accent4 3 5 2" xfId="824"/>
    <cellStyle name="20% - Accent4 3 5 2 2" xfId="825"/>
    <cellStyle name="20% - Accent4 3 5 2 2 2" xfId="8873"/>
    <cellStyle name="20% - Accent4 3 5 2 3" xfId="826"/>
    <cellStyle name="20% - Accent4 3 5 2 4" xfId="8874"/>
    <cellStyle name="20% - Accent4 3 5 3" xfId="827"/>
    <cellStyle name="20% - Accent4 3 5 3 2" xfId="8875"/>
    <cellStyle name="20% - Accent4 3 5 4" xfId="828"/>
    <cellStyle name="20% - Accent4 3 5 5" xfId="8876"/>
    <cellStyle name="20% - Accent4 3 6" xfId="829"/>
    <cellStyle name="20% - Accent4 3 6 2" xfId="830"/>
    <cellStyle name="20% - Accent4 3 6 2 2" xfId="8877"/>
    <cellStyle name="20% - Accent4 3 6 3" xfId="831"/>
    <cellStyle name="20% - Accent4 3 6 4" xfId="8878"/>
    <cellStyle name="20% - Accent4 3 7" xfId="832"/>
    <cellStyle name="20% - Accent4 3 7 2" xfId="8879"/>
    <cellStyle name="20% - Accent4 3 7 3" xfId="57930"/>
    <cellStyle name="20% - Accent4 3 7 4" xfId="57931"/>
    <cellStyle name="20% - Accent4 3 8" xfId="833"/>
    <cellStyle name="20% - Accent4 3 9" xfId="8880"/>
    <cellStyle name="20% - Accent4 4" xfId="834"/>
    <cellStyle name="20% - Accent4 4 10" xfId="14839"/>
    <cellStyle name="20% - Accent4 4 10 2" xfId="14840"/>
    <cellStyle name="20% - Accent4 4 10 2 2" xfId="14841"/>
    <cellStyle name="20% - Accent4 4 10 2 3" xfId="14842"/>
    <cellStyle name="20% - Accent4 4 10 3" xfId="14843"/>
    <cellStyle name="20% - Accent4 4 10 3 2" xfId="14844"/>
    <cellStyle name="20% - Accent4 4 10 4" xfId="14845"/>
    <cellStyle name="20% - Accent4 4 10 5" xfId="14846"/>
    <cellStyle name="20% - Accent4 4 11" xfId="14847"/>
    <cellStyle name="20% - Accent4 4 11 2" xfId="14848"/>
    <cellStyle name="20% - Accent4 4 11 3" xfId="14849"/>
    <cellStyle name="20% - Accent4 4 12" xfId="14850"/>
    <cellStyle name="20% - Accent4 4 12 2" xfId="14851"/>
    <cellStyle name="20% - Accent4 4 12 3" xfId="14852"/>
    <cellStyle name="20% - Accent4 4 13" xfId="14853"/>
    <cellStyle name="20% - Accent4 4 13 2" xfId="14854"/>
    <cellStyle name="20% - Accent4 4 14" xfId="14855"/>
    <cellStyle name="20% - Accent4 4 15" xfId="14856"/>
    <cellStyle name="20% - Accent4 4 16" xfId="14857"/>
    <cellStyle name="20% - Accent4 4 2" xfId="835"/>
    <cellStyle name="20% - Accent4 4 2 10" xfId="14858"/>
    <cellStyle name="20% - Accent4 4 2 10 2" xfId="14859"/>
    <cellStyle name="20% - Accent4 4 2 10 3" xfId="14860"/>
    <cellStyle name="20% - Accent4 4 2 11" xfId="14861"/>
    <cellStyle name="20% - Accent4 4 2 11 2" xfId="14862"/>
    <cellStyle name="20% - Accent4 4 2 11 3" xfId="14863"/>
    <cellStyle name="20% - Accent4 4 2 12" xfId="14864"/>
    <cellStyle name="20% - Accent4 4 2 12 2" xfId="14865"/>
    <cellStyle name="20% - Accent4 4 2 13" xfId="14866"/>
    <cellStyle name="20% - Accent4 4 2 14" xfId="14867"/>
    <cellStyle name="20% - Accent4 4 2 15" xfId="14868"/>
    <cellStyle name="20% - Accent4 4 2 2" xfId="836"/>
    <cellStyle name="20% - Accent4 4 2 2 10" xfId="14869"/>
    <cellStyle name="20% - Accent4 4 2 2 10 2" xfId="14870"/>
    <cellStyle name="20% - Accent4 4 2 2 10 3" xfId="14871"/>
    <cellStyle name="20% - Accent4 4 2 2 11" xfId="14872"/>
    <cellStyle name="20% - Accent4 4 2 2 11 2" xfId="14873"/>
    <cellStyle name="20% - Accent4 4 2 2 12" xfId="14874"/>
    <cellStyle name="20% - Accent4 4 2 2 13" xfId="14875"/>
    <cellStyle name="20% - Accent4 4 2 2 2" xfId="837"/>
    <cellStyle name="20% - Accent4 4 2 2 2 10" xfId="14876"/>
    <cellStyle name="20% - Accent4 4 2 2 2 10 2" xfId="14877"/>
    <cellStyle name="20% - Accent4 4 2 2 2 11" xfId="14878"/>
    <cellStyle name="20% - Accent4 4 2 2 2 12" xfId="14879"/>
    <cellStyle name="20% - Accent4 4 2 2 2 2" xfId="838"/>
    <cellStyle name="20% - Accent4 4 2 2 2 2 10" xfId="14880"/>
    <cellStyle name="20% - Accent4 4 2 2 2 2 2" xfId="839"/>
    <cellStyle name="20% - Accent4 4 2 2 2 2 2 2" xfId="840"/>
    <cellStyle name="20% - Accent4 4 2 2 2 2 2 2 2" xfId="14881"/>
    <cellStyle name="20% - Accent4 4 2 2 2 2 2 2 2 2" xfId="14882"/>
    <cellStyle name="20% - Accent4 4 2 2 2 2 2 2 2 3" xfId="14883"/>
    <cellStyle name="20% - Accent4 4 2 2 2 2 2 2 3" xfId="14884"/>
    <cellStyle name="20% - Accent4 4 2 2 2 2 2 2 3 2" xfId="14885"/>
    <cellStyle name="20% - Accent4 4 2 2 2 2 2 2 3 3" xfId="14886"/>
    <cellStyle name="20% - Accent4 4 2 2 2 2 2 2 4" xfId="14887"/>
    <cellStyle name="20% - Accent4 4 2 2 2 2 2 2 4 2" xfId="14888"/>
    <cellStyle name="20% - Accent4 4 2 2 2 2 2 2 5" xfId="14889"/>
    <cellStyle name="20% - Accent4 4 2 2 2 2 2 2 6" xfId="14890"/>
    <cellStyle name="20% - Accent4 4 2 2 2 2 2 3" xfId="14891"/>
    <cellStyle name="20% - Accent4 4 2 2 2 2 2 3 2" xfId="14892"/>
    <cellStyle name="20% - Accent4 4 2 2 2 2 2 3 2 2" xfId="14893"/>
    <cellStyle name="20% - Accent4 4 2 2 2 2 2 3 2 3" xfId="14894"/>
    <cellStyle name="20% - Accent4 4 2 2 2 2 2 3 3" xfId="14895"/>
    <cellStyle name="20% - Accent4 4 2 2 2 2 2 3 3 2" xfId="14896"/>
    <cellStyle name="20% - Accent4 4 2 2 2 2 2 3 3 3" xfId="14897"/>
    <cellStyle name="20% - Accent4 4 2 2 2 2 2 3 4" xfId="14898"/>
    <cellStyle name="20% - Accent4 4 2 2 2 2 2 3 4 2" xfId="14899"/>
    <cellStyle name="20% - Accent4 4 2 2 2 2 2 3 5" xfId="14900"/>
    <cellStyle name="20% - Accent4 4 2 2 2 2 2 3 6" xfId="14901"/>
    <cellStyle name="20% - Accent4 4 2 2 2 2 2 4" xfId="14902"/>
    <cellStyle name="20% - Accent4 4 2 2 2 2 2 4 2" xfId="14903"/>
    <cellStyle name="20% - Accent4 4 2 2 2 2 2 4 2 2" xfId="14904"/>
    <cellStyle name="20% - Accent4 4 2 2 2 2 2 4 2 3" xfId="14905"/>
    <cellStyle name="20% - Accent4 4 2 2 2 2 2 4 3" xfId="14906"/>
    <cellStyle name="20% - Accent4 4 2 2 2 2 2 4 3 2" xfId="14907"/>
    <cellStyle name="20% - Accent4 4 2 2 2 2 2 4 4" xfId="14908"/>
    <cellStyle name="20% - Accent4 4 2 2 2 2 2 4 5" xfId="14909"/>
    <cellStyle name="20% - Accent4 4 2 2 2 2 2 5" xfId="14910"/>
    <cellStyle name="20% - Accent4 4 2 2 2 2 2 5 2" xfId="14911"/>
    <cellStyle name="20% - Accent4 4 2 2 2 2 2 5 3" xfId="14912"/>
    <cellStyle name="20% - Accent4 4 2 2 2 2 2 6" xfId="14913"/>
    <cellStyle name="20% - Accent4 4 2 2 2 2 2 6 2" xfId="14914"/>
    <cellStyle name="20% - Accent4 4 2 2 2 2 2 6 3" xfId="14915"/>
    <cellStyle name="20% - Accent4 4 2 2 2 2 2 7" xfId="14916"/>
    <cellStyle name="20% - Accent4 4 2 2 2 2 2 7 2" xfId="14917"/>
    <cellStyle name="20% - Accent4 4 2 2 2 2 2 8" xfId="14918"/>
    <cellStyle name="20% - Accent4 4 2 2 2 2 2 9" xfId="14919"/>
    <cellStyle name="20% - Accent4 4 2 2 2 2 3" xfId="841"/>
    <cellStyle name="20% - Accent4 4 2 2 2 2 3 2" xfId="14920"/>
    <cellStyle name="20% - Accent4 4 2 2 2 2 3 2 2" xfId="14921"/>
    <cellStyle name="20% - Accent4 4 2 2 2 2 3 2 3" xfId="14922"/>
    <cellStyle name="20% - Accent4 4 2 2 2 2 3 3" xfId="14923"/>
    <cellStyle name="20% - Accent4 4 2 2 2 2 3 3 2" xfId="14924"/>
    <cellStyle name="20% - Accent4 4 2 2 2 2 3 3 3" xfId="14925"/>
    <cellStyle name="20% - Accent4 4 2 2 2 2 3 4" xfId="14926"/>
    <cellStyle name="20% - Accent4 4 2 2 2 2 3 4 2" xfId="14927"/>
    <cellStyle name="20% - Accent4 4 2 2 2 2 3 5" xfId="14928"/>
    <cellStyle name="20% - Accent4 4 2 2 2 2 3 6" xfId="14929"/>
    <cellStyle name="20% - Accent4 4 2 2 2 2 4" xfId="8881"/>
    <cellStyle name="20% - Accent4 4 2 2 2 2 4 2" xfId="14930"/>
    <cellStyle name="20% - Accent4 4 2 2 2 2 4 2 2" xfId="14931"/>
    <cellStyle name="20% - Accent4 4 2 2 2 2 4 2 3" xfId="14932"/>
    <cellStyle name="20% - Accent4 4 2 2 2 2 4 3" xfId="14933"/>
    <cellStyle name="20% - Accent4 4 2 2 2 2 4 3 2" xfId="14934"/>
    <cellStyle name="20% - Accent4 4 2 2 2 2 4 3 3" xfId="14935"/>
    <cellStyle name="20% - Accent4 4 2 2 2 2 4 4" xfId="14936"/>
    <cellStyle name="20% - Accent4 4 2 2 2 2 4 4 2" xfId="14937"/>
    <cellStyle name="20% - Accent4 4 2 2 2 2 4 5" xfId="14938"/>
    <cellStyle name="20% - Accent4 4 2 2 2 2 4 6" xfId="14939"/>
    <cellStyle name="20% - Accent4 4 2 2 2 2 5" xfId="14940"/>
    <cellStyle name="20% - Accent4 4 2 2 2 2 5 2" xfId="14941"/>
    <cellStyle name="20% - Accent4 4 2 2 2 2 5 2 2" xfId="14942"/>
    <cellStyle name="20% - Accent4 4 2 2 2 2 5 2 3" xfId="14943"/>
    <cellStyle name="20% - Accent4 4 2 2 2 2 5 3" xfId="14944"/>
    <cellStyle name="20% - Accent4 4 2 2 2 2 5 3 2" xfId="14945"/>
    <cellStyle name="20% - Accent4 4 2 2 2 2 5 4" xfId="14946"/>
    <cellStyle name="20% - Accent4 4 2 2 2 2 5 5" xfId="14947"/>
    <cellStyle name="20% - Accent4 4 2 2 2 2 6" xfId="14948"/>
    <cellStyle name="20% - Accent4 4 2 2 2 2 6 2" xfId="14949"/>
    <cellStyle name="20% - Accent4 4 2 2 2 2 6 3" xfId="14950"/>
    <cellStyle name="20% - Accent4 4 2 2 2 2 7" xfId="14951"/>
    <cellStyle name="20% - Accent4 4 2 2 2 2 7 2" xfId="14952"/>
    <cellStyle name="20% - Accent4 4 2 2 2 2 7 3" xfId="14953"/>
    <cellStyle name="20% - Accent4 4 2 2 2 2 8" xfId="14954"/>
    <cellStyle name="20% - Accent4 4 2 2 2 2 8 2" xfId="14955"/>
    <cellStyle name="20% - Accent4 4 2 2 2 2 9" xfId="14956"/>
    <cellStyle name="20% - Accent4 4 2 2 2 3" xfId="842"/>
    <cellStyle name="20% - Accent4 4 2 2 2 3 2" xfId="843"/>
    <cellStyle name="20% - Accent4 4 2 2 2 3 2 2" xfId="14957"/>
    <cellStyle name="20% - Accent4 4 2 2 2 3 2 2 2" xfId="14958"/>
    <cellStyle name="20% - Accent4 4 2 2 2 3 2 2 3" xfId="14959"/>
    <cellStyle name="20% - Accent4 4 2 2 2 3 2 3" xfId="14960"/>
    <cellStyle name="20% - Accent4 4 2 2 2 3 2 3 2" xfId="14961"/>
    <cellStyle name="20% - Accent4 4 2 2 2 3 2 3 3" xfId="14962"/>
    <cellStyle name="20% - Accent4 4 2 2 2 3 2 4" xfId="14963"/>
    <cellStyle name="20% - Accent4 4 2 2 2 3 2 4 2" xfId="14964"/>
    <cellStyle name="20% - Accent4 4 2 2 2 3 2 5" xfId="14965"/>
    <cellStyle name="20% - Accent4 4 2 2 2 3 2 6" xfId="14966"/>
    <cellStyle name="20% - Accent4 4 2 2 2 3 3" xfId="14967"/>
    <cellStyle name="20% - Accent4 4 2 2 2 3 3 2" xfId="14968"/>
    <cellStyle name="20% - Accent4 4 2 2 2 3 3 2 2" xfId="14969"/>
    <cellStyle name="20% - Accent4 4 2 2 2 3 3 2 3" xfId="14970"/>
    <cellStyle name="20% - Accent4 4 2 2 2 3 3 3" xfId="14971"/>
    <cellStyle name="20% - Accent4 4 2 2 2 3 3 3 2" xfId="14972"/>
    <cellStyle name="20% - Accent4 4 2 2 2 3 3 3 3" xfId="14973"/>
    <cellStyle name="20% - Accent4 4 2 2 2 3 3 4" xfId="14974"/>
    <cellStyle name="20% - Accent4 4 2 2 2 3 3 4 2" xfId="14975"/>
    <cellStyle name="20% - Accent4 4 2 2 2 3 3 5" xfId="14976"/>
    <cellStyle name="20% - Accent4 4 2 2 2 3 3 6" xfId="14977"/>
    <cellStyle name="20% - Accent4 4 2 2 2 3 4" xfId="14978"/>
    <cellStyle name="20% - Accent4 4 2 2 2 3 4 2" xfId="14979"/>
    <cellStyle name="20% - Accent4 4 2 2 2 3 4 2 2" xfId="14980"/>
    <cellStyle name="20% - Accent4 4 2 2 2 3 4 2 3" xfId="14981"/>
    <cellStyle name="20% - Accent4 4 2 2 2 3 4 3" xfId="14982"/>
    <cellStyle name="20% - Accent4 4 2 2 2 3 4 3 2" xfId="14983"/>
    <cellStyle name="20% - Accent4 4 2 2 2 3 4 4" xfId="14984"/>
    <cellStyle name="20% - Accent4 4 2 2 2 3 4 5" xfId="14985"/>
    <cellStyle name="20% - Accent4 4 2 2 2 3 5" xfId="14986"/>
    <cellStyle name="20% - Accent4 4 2 2 2 3 5 2" xfId="14987"/>
    <cellStyle name="20% - Accent4 4 2 2 2 3 5 3" xfId="14988"/>
    <cellStyle name="20% - Accent4 4 2 2 2 3 6" xfId="14989"/>
    <cellStyle name="20% - Accent4 4 2 2 2 3 6 2" xfId="14990"/>
    <cellStyle name="20% - Accent4 4 2 2 2 3 6 3" xfId="14991"/>
    <cellStyle name="20% - Accent4 4 2 2 2 3 7" xfId="14992"/>
    <cellStyle name="20% - Accent4 4 2 2 2 3 7 2" xfId="14993"/>
    <cellStyle name="20% - Accent4 4 2 2 2 3 8" xfId="14994"/>
    <cellStyle name="20% - Accent4 4 2 2 2 3 9" xfId="14995"/>
    <cellStyle name="20% - Accent4 4 2 2 2 4" xfId="844"/>
    <cellStyle name="20% - Accent4 4 2 2 2 4 2" xfId="14996"/>
    <cellStyle name="20% - Accent4 4 2 2 2 4 2 2" xfId="14997"/>
    <cellStyle name="20% - Accent4 4 2 2 2 4 2 2 2" xfId="14998"/>
    <cellStyle name="20% - Accent4 4 2 2 2 4 2 2 3" xfId="14999"/>
    <cellStyle name="20% - Accent4 4 2 2 2 4 2 3" xfId="15000"/>
    <cellStyle name="20% - Accent4 4 2 2 2 4 2 3 2" xfId="15001"/>
    <cellStyle name="20% - Accent4 4 2 2 2 4 2 3 3" xfId="15002"/>
    <cellStyle name="20% - Accent4 4 2 2 2 4 2 4" xfId="15003"/>
    <cellStyle name="20% - Accent4 4 2 2 2 4 2 4 2" xfId="15004"/>
    <cellStyle name="20% - Accent4 4 2 2 2 4 2 5" xfId="15005"/>
    <cellStyle name="20% - Accent4 4 2 2 2 4 2 6" xfId="15006"/>
    <cellStyle name="20% - Accent4 4 2 2 2 4 3" xfId="15007"/>
    <cellStyle name="20% - Accent4 4 2 2 2 4 3 2" xfId="15008"/>
    <cellStyle name="20% - Accent4 4 2 2 2 4 3 2 2" xfId="15009"/>
    <cellStyle name="20% - Accent4 4 2 2 2 4 3 2 3" xfId="15010"/>
    <cellStyle name="20% - Accent4 4 2 2 2 4 3 3" xfId="15011"/>
    <cellStyle name="20% - Accent4 4 2 2 2 4 3 3 2" xfId="15012"/>
    <cellStyle name="20% - Accent4 4 2 2 2 4 3 3 3" xfId="15013"/>
    <cellStyle name="20% - Accent4 4 2 2 2 4 3 4" xfId="15014"/>
    <cellStyle name="20% - Accent4 4 2 2 2 4 3 4 2" xfId="15015"/>
    <cellStyle name="20% - Accent4 4 2 2 2 4 3 5" xfId="15016"/>
    <cellStyle name="20% - Accent4 4 2 2 2 4 3 6" xfId="15017"/>
    <cellStyle name="20% - Accent4 4 2 2 2 4 4" xfId="15018"/>
    <cellStyle name="20% - Accent4 4 2 2 2 4 4 2" xfId="15019"/>
    <cellStyle name="20% - Accent4 4 2 2 2 4 4 2 2" xfId="15020"/>
    <cellStyle name="20% - Accent4 4 2 2 2 4 4 2 3" xfId="15021"/>
    <cellStyle name="20% - Accent4 4 2 2 2 4 4 3" xfId="15022"/>
    <cellStyle name="20% - Accent4 4 2 2 2 4 4 3 2" xfId="15023"/>
    <cellStyle name="20% - Accent4 4 2 2 2 4 4 4" xfId="15024"/>
    <cellStyle name="20% - Accent4 4 2 2 2 4 4 5" xfId="15025"/>
    <cellStyle name="20% - Accent4 4 2 2 2 4 5" xfId="15026"/>
    <cellStyle name="20% - Accent4 4 2 2 2 4 5 2" xfId="15027"/>
    <cellStyle name="20% - Accent4 4 2 2 2 4 5 3" xfId="15028"/>
    <cellStyle name="20% - Accent4 4 2 2 2 4 6" xfId="15029"/>
    <cellStyle name="20% - Accent4 4 2 2 2 4 6 2" xfId="15030"/>
    <cellStyle name="20% - Accent4 4 2 2 2 4 6 3" xfId="15031"/>
    <cellStyle name="20% - Accent4 4 2 2 2 4 7" xfId="15032"/>
    <cellStyle name="20% - Accent4 4 2 2 2 4 7 2" xfId="15033"/>
    <cellStyle name="20% - Accent4 4 2 2 2 4 8" xfId="15034"/>
    <cellStyle name="20% - Accent4 4 2 2 2 4 9" xfId="15035"/>
    <cellStyle name="20% - Accent4 4 2 2 2 5" xfId="845"/>
    <cellStyle name="20% - Accent4 4 2 2 2 5 2" xfId="15036"/>
    <cellStyle name="20% - Accent4 4 2 2 2 5 2 2" xfId="15037"/>
    <cellStyle name="20% - Accent4 4 2 2 2 5 2 3" xfId="15038"/>
    <cellStyle name="20% - Accent4 4 2 2 2 5 3" xfId="15039"/>
    <cellStyle name="20% - Accent4 4 2 2 2 5 3 2" xfId="15040"/>
    <cellStyle name="20% - Accent4 4 2 2 2 5 3 3" xfId="15041"/>
    <cellStyle name="20% - Accent4 4 2 2 2 5 4" xfId="15042"/>
    <cellStyle name="20% - Accent4 4 2 2 2 5 4 2" xfId="15043"/>
    <cellStyle name="20% - Accent4 4 2 2 2 5 5" xfId="15044"/>
    <cellStyle name="20% - Accent4 4 2 2 2 5 6" xfId="15045"/>
    <cellStyle name="20% - Accent4 4 2 2 2 6" xfId="8882"/>
    <cellStyle name="20% - Accent4 4 2 2 2 6 2" xfId="15046"/>
    <cellStyle name="20% - Accent4 4 2 2 2 6 2 2" xfId="15047"/>
    <cellStyle name="20% - Accent4 4 2 2 2 6 2 3" xfId="15048"/>
    <cellStyle name="20% - Accent4 4 2 2 2 6 3" xfId="15049"/>
    <cellStyle name="20% - Accent4 4 2 2 2 6 3 2" xfId="15050"/>
    <cellStyle name="20% - Accent4 4 2 2 2 6 3 3" xfId="15051"/>
    <cellStyle name="20% - Accent4 4 2 2 2 6 4" xfId="15052"/>
    <cellStyle name="20% - Accent4 4 2 2 2 6 4 2" xfId="15053"/>
    <cellStyle name="20% - Accent4 4 2 2 2 6 5" xfId="15054"/>
    <cellStyle name="20% - Accent4 4 2 2 2 6 6" xfId="15055"/>
    <cellStyle name="20% - Accent4 4 2 2 2 7" xfId="15056"/>
    <cellStyle name="20% - Accent4 4 2 2 2 7 2" xfId="15057"/>
    <cellStyle name="20% - Accent4 4 2 2 2 7 2 2" xfId="15058"/>
    <cellStyle name="20% - Accent4 4 2 2 2 7 2 3" xfId="15059"/>
    <cellStyle name="20% - Accent4 4 2 2 2 7 3" xfId="15060"/>
    <cellStyle name="20% - Accent4 4 2 2 2 7 3 2" xfId="15061"/>
    <cellStyle name="20% - Accent4 4 2 2 2 7 4" xfId="15062"/>
    <cellStyle name="20% - Accent4 4 2 2 2 7 5" xfId="15063"/>
    <cellStyle name="20% - Accent4 4 2 2 2 8" xfId="15064"/>
    <cellStyle name="20% - Accent4 4 2 2 2 8 2" xfId="15065"/>
    <cellStyle name="20% - Accent4 4 2 2 2 8 3" xfId="15066"/>
    <cellStyle name="20% - Accent4 4 2 2 2 9" xfId="15067"/>
    <cellStyle name="20% - Accent4 4 2 2 2 9 2" xfId="15068"/>
    <cellStyle name="20% - Accent4 4 2 2 2 9 3" xfId="15069"/>
    <cellStyle name="20% - Accent4 4 2 2 3" xfId="846"/>
    <cellStyle name="20% - Accent4 4 2 2 3 10" xfId="15070"/>
    <cellStyle name="20% - Accent4 4 2 2 3 2" xfId="847"/>
    <cellStyle name="20% - Accent4 4 2 2 3 2 2" xfId="848"/>
    <cellStyle name="20% - Accent4 4 2 2 3 2 2 2" xfId="15071"/>
    <cellStyle name="20% - Accent4 4 2 2 3 2 2 2 2" xfId="15072"/>
    <cellStyle name="20% - Accent4 4 2 2 3 2 2 2 3" xfId="15073"/>
    <cellStyle name="20% - Accent4 4 2 2 3 2 2 3" xfId="15074"/>
    <cellStyle name="20% - Accent4 4 2 2 3 2 2 3 2" xfId="15075"/>
    <cellStyle name="20% - Accent4 4 2 2 3 2 2 3 3" xfId="15076"/>
    <cellStyle name="20% - Accent4 4 2 2 3 2 2 4" xfId="15077"/>
    <cellStyle name="20% - Accent4 4 2 2 3 2 2 4 2" xfId="15078"/>
    <cellStyle name="20% - Accent4 4 2 2 3 2 2 5" xfId="15079"/>
    <cellStyle name="20% - Accent4 4 2 2 3 2 2 6" xfId="15080"/>
    <cellStyle name="20% - Accent4 4 2 2 3 2 3" xfId="15081"/>
    <cellStyle name="20% - Accent4 4 2 2 3 2 3 2" xfId="15082"/>
    <cellStyle name="20% - Accent4 4 2 2 3 2 3 2 2" xfId="15083"/>
    <cellStyle name="20% - Accent4 4 2 2 3 2 3 2 3" xfId="15084"/>
    <cellStyle name="20% - Accent4 4 2 2 3 2 3 3" xfId="15085"/>
    <cellStyle name="20% - Accent4 4 2 2 3 2 3 3 2" xfId="15086"/>
    <cellStyle name="20% - Accent4 4 2 2 3 2 3 3 3" xfId="15087"/>
    <cellStyle name="20% - Accent4 4 2 2 3 2 3 4" xfId="15088"/>
    <cellStyle name="20% - Accent4 4 2 2 3 2 3 4 2" xfId="15089"/>
    <cellStyle name="20% - Accent4 4 2 2 3 2 3 5" xfId="15090"/>
    <cellStyle name="20% - Accent4 4 2 2 3 2 3 6" xfId="15091"/>
    <cellStyle name="20% - Accent4 4 2 2 3 2 4" xfId="15092"/>
    <cellStyle name="20% - Accent4 4 2 2 3 2 4 2" xfId="15093"/>
    <cellStyle name="20% - Accent4 4 2 2 3 2 4 2 2" xfId="15094"/>
    <cellStyle name="20% - Accent4 4 2 2 3 2 4 2 3" xfId="15095"/>
    <cellStyle name="20% - Accent4 4 2 2 3 2 4 3" xfId="15096"/>
    <cellStyle name="20% - Accent4 4 2 2 3 2 4 3 2" xfId="15097"/>
    <cellStyle name="20% - Accent4 4 2 2 3 2 4 4" xfId="15098"/>
    <cellStyle name="20% - Accent4 4 2 2 3 2 4 5" xfId="15099"/>
    <cellStyle name="20% - Accent4 4 2 2 3 2 5" xfId="15100"/>
    <cellStyle name="20% - Accent4 4 2 2 3 2 5 2" xfId="15101"/>
    <cellStyle name="20% - Accent4 4 2 2 3 2 5 3" xfId="15102"/>
    <cellStyle name="20% - Accent4 4 2 2 3 2 6" xfId="15103"/>
    <cellStyle name="20% - Accent4 4 2 2 3 2 6 2" xfId="15104"/>
    <cellStyle name="20% - Accent4 4 2 2 3 2 6 3" xfId="15105"/>
    <cellStyle name="20% - Accent4 4 2 2 3 2 7" xfId="15106"/>
    <cellStyle name="20% - Accent4 4 2 2 3 2 7 2" xfId="15107"/>
    <cellStyle name="20% - Accent4 4 2 2 3 2 8" xfId="15108"/>
    <cellStyle name="20% - Accent4 4 2 2 3 2 9" xfId="15109"/>
    <cellStyle name="20% - Accent4 4 2 2 3 3" xfId="849"/>
    <cellStyle name="20% - Accent4 4 2 2 3 3 2" xfId="15110"/>
    <cellStyle name="20% - Accent4 4 2 2 3 3 2 2" xfId="15111"/>
    <cellStyle name="20% - Accent4 4 2 2 3 3 2 3" xfId="15112"/>
    <cellStyle name="20% - Accent4 4 2 2 3 3 3" xfId="15113"/>
    <cellStyle name="20% - Accent4 4 2 2 3 3 3 2" xfId="15114"/>
    <cellStyle name="20% - Accent4 4 2 2 3 3 3 3" xfId="15115"/>
    <cellStyle name="20% - Accent4 4 2 2 3 3 4" xfId="15116"/>
    <cellStyle name="20% - Accent4 4 2 2 3 3 4 2" xfId="15117"/>
    <cellStyle name="20% - Accent4 4 2 2 3 3 5" xfId="15118"/>
    <cellStyle name="20% - Accent4 4 2 2 3 3 6" xfId="15119"/>
    <cellStyle name="20% - Accent4 4 2 2 3 4" xfId="8883"/>
    <cellStyle name="20% - Accent4 4 2 2 3 4 2" xfId="15120"/>
    <cellStyle name="20% - Accent4 4 2 2 3 4 2 2" xfId="15121"/>
    <cellStyle name="20% - Accent4 4 2 2 3 4 2 3" xfId="15122"/>
    <cellStyle name="20% - Accent4 4 2 2 3 4 3" xfId="15123"/>
    <cellStyle name="20% - Accent4 4 2 2 3 4 3 2" xfId="15124"/>
    <cellStyle name="20% - Accent4 4 2 2 3 4 3 3" xfId="15125"/>
    <cellStyle name="20% - Accent4 4 2 2 3 4 4" xfId="15126"/>
    <cellStyle name="20% - Accent4 4 2 2 3 4 4 2" xfId="15127"/>
    <cellStyle name="20% - Accent4 4 2 2 3 4 5" xfId="15128"/>
    <cellStyle name="20% - Accent4 4 2 2 3 4 6" xfId="15129"/>
    <cellStyle name="20% - Accent4 4 2 2 3 5" xfId="15130"/>
    <cellStyle name="20% - Accent4 4 2 2 3 5 2" xfId="15131"/>
    <cellStyle name="20% - Accent4 4 2 2 3 5 2 2" xfId="15132"/>
    <cellStyle name="20% - Accent4 4 2 2 3 5 2 3" xfId="15133"/>
    <cellStyle name="20% - Accent4 4 2 2 3 5 3" xfId="15134"/>
    <cellStyle name="20% - Accent4 4 2 2 3 5 3 2" xfId="15135"/>
    <cellStyle name="20% - Accent4 4 2 2 3 5 4" xfId="15136"/>
    <cellStyle name="20% - Accent4 4 2 2 3 5 5" xfId="15137"/>
    <cellStyle name="20% - Accent4 4 2 2 3 6" xfId="15138"/>
    <cellStyle name="20% - Accent4 4 2 2 3 6 2" xfId="15139"/>
    <cellStyle name="20% - Accent4 4 2 2 3 6 3" xfId="15140"/>
    <cellStyle name="20% - Accent4 4 2 2 3 7" xfId="15141"/>
    <cellStyle name="20% - Accent4 4 2 2 3 7 2" xfId="15142"/>
    <cellStyle name="20% - Accent4 4 2 2 3 7 3" xfId="15143"/>
    <cellStyle name="20% - Accent4 4 2 2 3 8" xfId="15144"/>
    <cellStyle name="20% - Accent4 4 2 2 3 8 2" xfId="15145"/>
    <cellStyle name="20% - Accent4 4 2 2 3 9" xfId="15146"/>
    <cellStyle name="20% - Accent4 4 2 2 4" xfId="850"/>
    <cellStyle name="20% - Accent4 4 2 2 4 2" xfId="851"/>
    <cellStyle name="20% - Accent4 4 2 2 4 2 2" xfId="15147"/>
    <cellStyle name="20% - Accent4 4 2 2 4 2 2 2" xfId="15148"/>
    <cellStyle name="20% - Accent4 4 2 2 4 2 2 3" xfId="15149"/>
    <cellStyle name="20% - Accent4 4 2 2 4 2 3" xfId="15150"/>
    <cellStyle name="20% - Accent4 4 2 2 4 2 3 2" xfId="15151"/>
    <cellStyle name="20% - Accent4 4 2 2 4 2 3 3" xfId="15152"/>
    <cellStyle name="20% - Accent4 4 2 2 4 2 4" xfId="15153"/>
    <cellStyle name="20% - Accent4 4 2 2 4 2 4 2" xfId="15154"/>
    <cellStyle name="20% - Accent4 4 2 2 4 2 5" xfId="15155"/>
    <cellStyle name="20% - Accent4 4 2 2 4 2 6" xfId="15156"/>
    <cellStyle name="20% - Accent4 4 2 2 4 3" xfId="15157"/>
    <cellStyle name="20% - Accent4 4 2 2 4 3 2" xfId="15158"/>
    <cellStyle name="20% - Accent4 4 2 2 4 3 2 2" xfId="15159"/>
    <cellStyle name="20% - Accent4 4 2 2 4 3 2 3" xfId="15160"/>
    <cellStyle name="20% - Accent4 4 2 2 4 3 3" xfId="15161"/>
    <cellStyle name="20% - Accent4 4 2 2 4 3 3 2" xfId="15162"/>
    <cellStyle name="20% - Accent4 4 2 2 4 3 3 3" xfId="15163"/>
    <cellStyle name="20% - Accent4 4 2 2 4 3 4" xfId="15164"/>
    <cellStyle name="20% - Accent4 4 2 2 4 3 4 2" xfId="15165"/>
    <cellStyle name="20% - Accent4 4 2 2 4 3 5" xfId="15166"/>
    <cellStyle name="20% - Accent4 4 2 2 4 3 6" xfId="15167"/>
    <cellStyle name="20% - Accent4 4 2 2 4 4" xfId="15168"/>
    <cellStyle name="20% - Accent4 4 2 2 4 4 2" xfId="15169"/>
    <cellStyle name="20% - Accent4 4 2 2 4 4 2 2" xfId="15170"/>
    <cellStyle name="20% - Accent4 4 2 2 4 4 2 3" xfId="15171"/>
    <cellStyle name="20% - Accent4 4 2 2 4 4 3" xfId="15172"/>
    <cellStyle name="20% - Accent4 4 2 2 4 4 3 2" xfId="15173"/>
    <cellStyle name="20% - Accent4 4 2 2 4 4 4" xfId="15174"/>
    <cellStyle name="20% - Accent4 4 2 2 4 4 5" xfId="15175"/>
    <cellStyle name="20% - Accent4 4 2 2 4 5" xfId="15176"/>
    <cellStyle name="20% - Accent4 4 2 2 4 5 2" xfId="15177"/>
    <cellStyle name="20% - Accent4 4 2 2 4 5 3" xfId="15178"/>
    <cellStyle name="20% - Accent4 4 2 2 4 6" xfId="15179"/>
    <cellStyle name="20% - Accent4 4 2 2 4 6 2" xfId="15180"/>
    <cellStyle name="20% - Accent4 4 2 2 4 6 3" xfId="15181"/>
    <cellStyle name="20% - Accent4 4 2 2 4 7" xfId="15182"/>
    <cellStyle name="20% - Accent4 4 2 2 4 7 2" xfId="15183"/>
    <cellStyle name="20% - Accent4 4 2 2 4 8" xfId="15184"/>
    <cellStyle name="20% - Accent4 4 2 2 4 9" xfId="15185"/>
    <cellStyle name="20% - Accent4 4 2 2 5" xfId="852"/>
    <cellStyle name="20% - Accent4 4 2 2 5 2" xfId="15186"/>
    <cellStyle name="20% - Accent4 4 2 2 5 2 2" xfId="15187"/>
    <cellStyle name="20% - Accent4 4 2 2 5 2 2 2" xfId="15188"/>
    <cellStyle name="20% - Accent4 4 2 2 5 2 2 3" xfId="15189"/>
    <cellStyle name="20% - Accent4 4 2 2 5 2 3" xfId="15190"/>
    <cellStyle name="20% - Accent4 4 2 2 5 2 3 2" xfId="15191"/>
    <cellStyle name="20% - Accent4 4 2 2 5 2 3 3" xfId="15192"/>
    <cellStyle name="20% - Accent4 4 2 2 5 2 4" xfId="15193"/>
    <cellStyle name="20% - Accent4 4 2 2 5 2 4 2" xfId="15194"/>
    <cellStyle name="20% - Accent4 4 2 2 5 2 5" xfId="15195"/>
    <cellStyle name="20% - Accent4 4 2 2 5 2 6" xfId="15196"/>
    <cellStyle name="20% - Accent4 4 2 2 5 3" xfId="15197"/>
    <cellStyle name="20% - Accent4 4 2 2 5 3 2" xfId="15198"/>
    <cellStyle name="20% - Accent4 4 2 2 5 3 2 2" xfId="15199"/>
    <cellStyle name="20% - Accent4 4 2 2 5 3 2 3" xfId="15200"/>
    <cellStyle name="20% - Accent4 4 2 2 5 3 3" xfId="15201"/>
    <cellStyle name="20% - Accent4 4 2 2 5 3 3 2" xfId="15202"/>
    <cellStyle name="20% - Accent4 4 2 2 5 3 3 3" xfId="15203"/>
    <cellStyle name="20% - Accent4 4 2 2 5 3 4" xfId="15204"/>
    <cellStyle name="20% - Accent4 4 2 2 5 3 4 2" xfId="15205"/>
    <cellStyle name="20% - Accent4 4 2 2 5 3 5" xfId="15206"/>
    <cellStyle name="20% - Accent4 4 2 2 5 3 6" xfId="15207"/>
    <cellStyle name="20% - Accent4 4 2 2 5 4" xfId="15208"/>
    <cellStyle name="20% - Accent4 4 2 2 5 4 2" xfId="15209"/>
    <cellStyle name="20% - Accent4 4 2 2 5 4 2 2" xfId="15210"/>
    <cellStyle name="20% - Accent4 4 2 2 5 4 2 3" xfId="15211"/>
    <cellStyle name="20% - Accent4 4 2 2 5 4 3" xfId="15212"/>
    <cellStyle name="20% - Accent4 4 2 2 5 4 3 2" xfId="15213"/>
    <cellStyle name="20% - Accent4 4 2 2 5 4 4" xfId="15214"/>
    <cellStyle name="20% - Accent4 4 2 2 5 4 5" xfId="15215"/>
    <cellStyle name="20% - Accent4 4 2 2 5 5" xfId="15216"/>
    <cellStyle name="20% - Accent4 4 2 2 5 5 2" xfId="15217"/>
    <cellStyle name="20% - Accent4 4 2 2 5 5 3" xfId="15218"/>
    <cellStyle name="20% - Accent4 4 2 2 5 6" xfId="15219"/>
    <cellStyle name="20% - Accent4 4 2 2 5 6 2" xfId="15220"/>
    <cellStyle name="20% - Accent4 4 2 2 5 6 3" xfId="15221"/>
    <cellStyle name="20% - Accent4 4 2 2 5 7" xfId="15222"/>
    <cellStyle name="20% - Accent4 4 2 2 5 7 2" xfId="15223"/>
    <cellStyle name="20% - Accent4 4 2 2 5 8" xfId="15224"/>
    <cellStyle name="20% - Accent4 4 2 2 5 9" xfId="15225"/>
    <cellStyle name="20% - Accent4 4 2 2 6" xfId="853"/>
    <cellStyle name="20% - Accent4 4 2 2 6 2" xfId="15226"/>
    <cellStyle name="20% - Accent4 4 2 2 6 2 2" xfId="15227"/>
    <cellStyle name="20% - Accent4 4 2 2 6 2 3" xfId="15228"/>
    <cellStyle name="20% - Accent4 4 2 2 6 3" xfId="15229"/>
    <cellStyle name="20% - Accent4 4 2 2 6 3 2" xfId="15230"/>
    <cellStyle name="20% - Accent4 4 2 2 6 3 3" xfId="15231"/>
    <cellStyle name="20% - Accent4 4 2 2 6 4" xfId="15232"/>
    <cellStyle name="20% - Accent4 4 2 2 6 4 2" xfId="15233"/>
    <cellStyle name="20% - Accent4 4 2 2 6 5" xfId="15234"/>
    <cellStyle name="20% - Accent4 4 2 2 6 6" xfId="15235"/>
    <cellStyle name="20% - Accent4 4 2 2 7" xfId="8884"/>
    <cellStyle name="20% - Accent4 4 2 2 7 2" xfId="15236"/>
    <cellStyle name="20% - Accent4 4 2 2 7 2 2" xfId="15237"/>
    <cellStyle name="20% - Accent4 4 2 2 7 2 3" xfId="15238"/>
    <cellStyle name="20% - Accent4 4 2 2 7 3" xfId="15239"/>
    <cellStyle name="20% - Accent4 4 2 2 7 3 2" xfId="15240"/>
    <cellStyle name="20% - Accent4 4 2 2 7 3 3" xfId="15241"/>
    <cellStyle name="20% - Accent4 4 2 2 7 4" xfId="15242"/>
    <cellStyle name="20% - Accent4 4 2 2 7 4 2" xfId="15243"/>
    <cellStyle name="20% - Accent4 4 2 2 7 5" xfId="15244"/>
    <cellStyle name="20% - Accent4 4 2 2 7 6" xfId="15245"/>
    <cellStyle name="20% - Accent4 4 2 2 8" xfId="15246"/>
    <cellStyle name="20% - Accent4 4 2 2 8 2" xfId="15247"/>
    <cellStyle name="20% - Accent4 4 2 2 8 2 2" xfId="15248"/>
    <cellStyle name="20% - Accent4 4 2 2 8 2 3" xfId="15249"/>
    <cellStyle name="20% - Accent4 4 2 2 8 3" xfId="15250"/>
    <cellStyle name="20% - Accent4 4 2 2 8 3 2" xfId="15251"/>
    <cellStyle name="20% - Accent4 4 2 2 8 4" xfId="15252"/>
    <cellStyle name="20% - Accent4 4 2 2 8 5" xfId="15253"/>
    <cellStyle name="20% - Accent4 4 2 2 9" xfId="15254"/>
    <cellStyle name="20% - Accent4 4 2 2 9 2" xfId="15255"/>
    <cellStyle name="20% - Accent4 4 2 2 9 3" xfId="15256"/>
    <cellStyle name="20% - Accent4 4 2 3" xfId="854"/>
    <cellStyle name="20% - Accent4 4 2 3 10" xfId="15257"/>
    <cellStyle name="20% - Accent4 4 2 3 10 2" xfId="15258"/>
    <cellStyle name="20% - Accent4 4 2 3 11" xfId="15259"/>
    <cellStyle name="20% - Accent4 4 2 3 12" xfId="15260"/>
    <cellStyle name="20% - Accent4 4 2 3 2" xfId="855"/>
    <cellStyle name="20% - Accent4 4 2 3 2 10" xfId="15261"/>
    <cellStyle name="20% - Accent4 4 2 3 2 2" xfId="856"/>
    <cellStyle name="20% - Accent4 4 2 3 2 2 2" xfId="857"/>
    <cellStyle name="20% - Accent4 4 2 3 2 2 2 2" xfId="15262"/>
    <cellStyle name="20% - Accent4 4 2 3 2 2 2 2 2" xfId="15263"/>
    <cellStyle name="20% - Accent4 4 2 3 2 2 2 2 3" xfId="15264"/>
    <cellStyle name="20% - Accent4 4 2 3 2 2 2 3" xfId="15265"/>
    <cellStyle name="20% - Accent4 4 2 3 2 2 2 3 2" xfId="15266"/>
    <cellStyle name="20% - Accent4 4 2 3 2 2 2 3 3" xfId="15267"/>
    <cellStyle name="20% - Accent4 4 2 3 2 2 2 4" xfId="15268"/>
    <cellStyle name="20% - Accent4 4 2 3 2 2 2 4 2" xfId="15269"/>
    <cellStyle name="20% - Accent4 4 2 3 2 2 2 5" xfId="15270"/>
    <cellStyle name="20% - Accent4 4 2 3 2 2 2 6" xfId="15271"/>
    <cellStyle name="20% - Accent4 4 2 3 2 2 3" xfId="15272"/>
    <cellStyle name="20% - Accent4 4 2 3 2 2 3 2" xfId="15273"/>
    <cellStyle name="20% - Accent4 4 2 3 2 2 3 2 2" xfId="15274"/>
    <cellStyle name="20% - Accent4 4 2 3 2 2 3 2 3" xfId="15275"/>
    <cellStyle name="20% - Accent4 4 2 3 2 2 3 3" xfId="15276"/>
    <cellStyle name="20% - Accent4 4 2 3 2 2 3 3 2" xfId="15277"/>
    <cellStyle name="20% - Accent4 4 2 3 2 2 3 3 3" xfId="15278"/>
    <cellStyle name="20% - Accent4 4 2 3 2 2 3 4" xfId="15279"/>
    <cellStyle name="20% - Accent4 4 2 3 2 2 3 4 2" xfId="15280"/>
    <cellStyle name="20% - Accent4 4 2 3 2 2 3 5" xfId="15281"/>
    <cellStyle name="20% - Accent4 4 2 3 2 2 3 6" xfId="15282"/>
    <cellStyle name="20% - Accent4 4 2 3 2 2 4" xfId="15283"/>
    <cellStyle name="20% - Accent4 4 2 3 2 2 4 2" xfId="15284"/>
    <cellStyle name="20% - Accent4 4 2 3 2 2 4 2 2" xfId="15285"/>
    <cellStyle name="20% - Accent4 4 2 3 2 2 4 2 3" xfId="15286"/>
    <cellStyle name="20% - Accent4 4 2 3 2 2 4 3" xfId="15287"/>
    <cellStyle name="20% - Accent4 4 2 3 2 2 4 3 2" xfId="15288"/>
    <cellStyle name="20% - Accent4 4 2 3 2 2 4 4" xfId="15289"/>
    <cellStyle name="20% - Accent4 4 2 3 2 2 4 5" xfId="15290"/>
    <cellStyle name="20% - Accent4 4 2 3 2 2 5" xfId="15291"/>
    <cellStyle name="20% - Accent4 4 2 3 2 2 5 2" xfId="15292"/>
    <cellStyle name="20% - Accent4 4 2 3 2 2 5 3" xfId="15293"/>
    <cellStyle name="20% - Accent4 4 2 3 2 2 6" xfId="15294"/>
    <cellStyle name="20% - Accent4 4 2 3 2 2 6 2" xfId="15295"/>
    <cellStyle name="20% - Accent4 4 2 3 2 2 6 3" xfId="15296"/>
    <cellStyle name="20% - Accent4 4 2 3 2 2 7" xfId="15297"/>
    <cellStyle name="20% - Accent4 4 2 3 2 2 7 2" xfId="15298"/>
    <cellStyle name="20% - Accent4 4 2 3 2 2 8" xfId="15299"/>
    <cellStyle name="20% - Accent4 4 2 3 2 2 9" xfId="15300"/>
    <cellStyle name="20% - Accent4 4 2 3 2 3" xfId="858"/>
    <cellStyle name="20% - Accent4 4 2 3 2 3 2" xfId="15301"/>
    <cellStyle name="20% - Accent4 4 2 3 2 3 2 2" xfId="15302"/>
    <cellStyle name="20% - Accent4 4 2 3 2 3 2 3" xfId="15303"/>
    <cellStyle name="20% - Accent4 4 2 3 2 3 3" xfId="15304"/>
    <cellStyle name="20% - Accent4 4 2 3 2 3 3 2" xfId="15305"/>
    <cellStyle name="20% - Accent4 4 2 3 2 3 3 3" xfId="15306"/>
    <cellStyle name="20% - Accent4 4 2 3 2 3 4" xfId="15307"/>
    <cellStyle name="20% - Accent4 4 2 3 2 3 4 2" xfId="15308"/>
    <cellStyle name="20% - Accent4 4 2 3 2 3 5" xfId="15309"/>
    <cellStyle name="20% - Accent4 4 2 3 2 3 6" xfId="15310"/>
    <cellStyle name="20% - Accent4 4 2 3 2 4" xfId="8885"/>
    <cellStyle name="20% - Accent4 4 2 3 2 4 2" xfId="15311"/>
    <cellStyle name="20% - Accent4 4 2 3 2 4 2 2" xfId="15312"/>
    <cellStyle name="20% - Accent4 4 2 3 2 4 2 3" xfId="15313"/>
    <cellStyle name="20% - Accent4 4 2 3 2 4 3" xfId="15314"/>
    <cellStyle name="20% - Accent4 4 2 3 2 4 3 2" xfId="15315"/>
    <cellStyle name="20% - Accent4 4 2 3 2 4 3 3" xfId="15316"/>
    <cellStyle name="20% - Accent4 4 2 3 2 4 4" xfId="15317"/>
    <cellStyle name="20% - Accent4 4 2 3 2 4 4 2" xfId="15318"/>
    <cellStyle name="20% - Accent4 4 2 3 2 4 5" xfId="15319"/>
    <cellStyle name="20% - Accent4 4 2 3 2 4 6" xfId="15320"/>
    <cellStyle name="20% - Accent4 4 2 3 2 5" xfId="15321"/>
    <cellStyle name="20% - Accent4 4 2 3 2 5 2" xfId="15322"/>
    <cellStyle name="20% - Accent4 4 2 3 2 5 2 2" xfId="15323"/>
    <cellStyle name="20% - Accent4 4 2 3 2 5 2 3" xfId="15324"/>
    <cellStyle name="20% - Accent4 4 2 3 2 5 3" xfId="15325"/>
    <cellStyle name="20% - Accent4 4 2 3 2 5 3 2" xfId="15326"/>
    <cellStyle name="20% - Accent4 4 2 3 2 5 4" xfId="15327"/>
    <cellStyle name="20% - Accent4 4 2 3 2 5 5" xfId="15328"/>
    <cellStyle name="20% - Accent4 4 2 3 2 6" xfId="15329"/>
    <cellStyle name="20% - Accent4 4 2 3 2 6 2" xfId="15330"/>
    <cellStyle name="20% - Accent4 4 2 3 2 6 3" xfId="15331"/>
    <cellStyle name="20% - Accent4 4 2 3 2 7" xfId="15332"/>
    <cellStyle name="20% - Accent4 4 2 3 2 7 2" xfId="15333"/>
    <cellStyle name="20% - Accent4 4 2 3 2 7 3" xfId="15334"/>
    <cellStyle name="20% - Accent4 4 2 3 2 8" xfId="15335"/>
    <cellStyle name="20% - Accent4 4 2 3 2 8 2" xfId="15336"/>
    <cellStyle name="20% - Accent4 4 2 3 2 9" xfId="15337"/>
    <cellStyle name="20% - Accent4 4 2 3 3" xfId="859"/>
    <cellStyle name="20% - Accent4 4 2 3 3 2" xfId="860"/>
    <cellStyle name="20% - Accent4 4 2 3 3 2 2" xfId="15338"/>
    <cellStyle name="20% - Accent4 4 2 3 3 2 2 2" xfId="15339"/>
    <cellStyle name="20% - Accent4 4 2 3 3 2 2 3" xfId="15340"/>
    <cellStyle name="20% - Accent4 4 2 3 3 2 3" xfId="15341"/>
    <cellStyle name="20% - Accent4 4 2 3 3 2 3 2" xfId="15342"/>
    <cellStyle name="20% - Accent4 4 2 3 3 2 3 3" xfId="15343"/>
    <cellStyle name="20% - Accent4 4 2 3 3 2 4" xfId="15344"/>
    <cellStyle name="20% - Accent4 4 2 3 3 2 4 2" xfId="15345"/>
    <cellStyle name="20% - Accent4 4 2 3 3 2 5" xfId="15346"/>
    <cellStyle name="20% - Accent4 4 2 3 3 2 6" xfId="15347"/>
    <cellStyle name="20% - Accent4 4 2 3 3 3" xfId="15348"/>
    <cellStyle name="20% - Accent4 4 2 3 3 3 2" xfId="15349"/>
    <cellStyle name="20% - Accent4 4 2 3 3 3 2 2" xfId="15350"/>
    <cellStyle name="20% - Accent4 4 2 3 3 3 2 3" xfId="15351"/>
    <cellStyle name="20% - Accent4 4 2 3 3 3 3" xfId="15352"/>
    <cellStyle name="20% - Accent4 4 2 3 3 3 3 2" xfId="15353"/>
    <cellStyle name="20% - Accent4 4 2 3 3 3 3 3" xfId="15354"/>
    <cellStyle name="20% - Accent4 4 2 3 3 3 4" xfId="15355"/>
    <cellStyle name="20% - Accent4 4 2 3 3 3 4 2" xfId="15356"/>
    <cellStyle name="20% - Accent4 4 2 3 3 3 5" xfId="15357"/>
    <cellStyle name="20% - Accent4 4 2 3 3 3 6" xfId="15358"/>
    <cellStyle name="20% - Accent4 4 2 3 3 4" xfId="15359"/>
    <cellStyle name="20% - Accent4 4 2 3 3 4 2" xfId="15360"/>
    <cellStyle name="20% - Accent4 4 2 3 3 4 2 2" xfId="15361"/>
    <cellStyle name="20% - Accent4 4 2 3 3 4 2 3" xfId="15362"/>
    <cellStyle name="20% - Accent4 4 2 3 3 4 3" xfId="15363"/>
    <cellStyle name="20% - Accent4 4 2 3 3 4 3 2" xfId="15364"/>
    <cellStyle name="20% - Accent4 4 2 3 3 4 4" xfId="15365"/>
    <cellStyle name="20% - Accent4 4 2 3 3 4 5" xfId="15366"/>
    <cellStyle name="20% - Accent4 4 2 3 3 5" xfId="15367"/>
    <cellStyle name="20% - Accent4 4 2 3 3 5 2" xfId="15368"/>
    <cellStyle name="20% - Accent4 4 2 3 3 5 3" xfId="15369"/>
    <cellStyle name="20% - Accent4 4 2 3 3 6" xfId="15370"/>
    <cellStyle name="20% - Accent4 4 2 3 3 6 2" xfId="15371"/>
    <cellStyle name="20% - Accent4 4 2 3 3 6 3" xfId="15372"/>
    <cellStyle name="20% - Accent4 4 2 3 3 7" xfId="15373"/>
    <cellStyle name="20% - Accent4 4 2 3 3 7 2" xfId="15374"/>
    <cellStyle name="20% - Accent4 4 2 3 3 8" xfId="15375"/>
    <cellStyle name="20% - Accent4 4 2 3 3 9" xfId="15376"/>
    <cellStyle name="20% - Accent4 4 2 3 4" xfId="861"/>
    <cellStyle name="20% - Accent4 4 2 3 4 2" xfId="15377"/>
    <cellStyle name="20% - Accent4 4 2 3 4 2 2" xfId="15378"/>
    <cellStyle name="20% - Accent4 4 2 3 4 2 2 2" xfId="15379"/>
    <cellStyle name="20% - Accent4 4 2 3 4 2 2 3" xfId="15380"/>
    <cellStyle name="20% - Accent4 4 2 3 4 2 3" xfId="15381"/>
    <cellStyle name="20% - Accent4 4 2 3 4 2 3 2" xfId="15382"/>
    <cellStyle name="20% - Accent4 4 2 3 4 2 3 3" xfId="15383"/>
    <cellStyle name="20% - Accent4 4 2 3 4 2 4" xfId="15384"/>
    <cellStyle name="20% - Accent4 4 2 3 4 2 4 2" xfId="15385"/>
    <cellStyle name="20% - Accent4 4 2 3 4 2 5" xfId="15386"/>
    <cellStyle name="20% - Accent4 4 2 3 4 2 6" xfId="15387"/>
    <cellStyle name="20% - Accent4 4 2 3 4 3" xfId="15388"/>
    <cellStyle name="20% - Accent4 4 2 3 4 3 2" xfId="15389"/>
    <cellStyle name="20% - Accent4 4 2 3 4 3 2 2" xfId="15390"/>
    <cellStyle name="20% - Accent4 4 2 3 4 3 2 3" xfId="15391"/>
    <cellStyle name="20% - Accent4 4 2 3 4 3 3" xfId="15392"/>
    <cellStyle name="20% - Accent4 4 2 3 4 3 3 2" xfId="15393"/>
    <cellStyle name="20% - Accent4 4 2 3 4 3 3 3" xfId="15394"/>
    <cellStyle name="20% - Accent4 4 2 3 4 3 4" xfId="15395"/>
    <cellStyle name="20% - Accent4 4 2 3 4 3 4 2" xfId="15396"/>
    <cellStyle name="20% - Accent4 4 2 3 4 3 5" xfId="15397"/>
    <cellStyle name="20% - Accent4 4 2 3 4 3 6" xfId="15398"/>
    <cellStyle name="20% - Accent4 4 2 3 4 4" xfId="15399"/>
    <cellStyle name="20% - Accent4 4 2 3 4 4 2" xfId="15400"/>
    <cellStyle name="20% - Accent4 4 2 3 4 4 2 2" xfId="15401"/>
    <cellStyle name="20% - Accent4 4 2 3 4 4 2 3" xfId="15402"/>
    <cellStyle name="20% - Accent4 4 2 3 4 4 3" xfId="15403"/>
    <cellStyle name="20% - Accent4 4 2 3 4 4 3 2" xfId="15404"/>
    <cellStyle name="20% - Accent4 4 2 3 4 4 4" xfId="15405"/>
    <cellStyle name="20% - Accent4 4 2 3 4 4 5" xfId="15406"/>
    <cellStyle name="20% - Accent4 4 2 3 4 5" xfId="15407"/>
    <cellStyle name="20% - Accent4 4 2 3 4 5 2" xfId="15408"/>
    <cellStyle name="20% - Accent4 4 2 3 4 5 3" xfId="15409"/>
    <cellStyle name="20% - Accent4 4 2 3 4 6" xfId="15410"/>
    <cellStyle name="20% - Accent4 4 2 3 4 6 2" xfId="15411"/>
    <cellStyle name="20% - Accent4 4 2 3 4 6 3" xfId="15412"/>
    <cellStyle name="20% - Accent4 4 2 3 4 7" xfId="15413"/>
    <cellStyle name="20% - Accent4 4 2 3 4 7 2" xfId="15414"/>
    <cellStyle name="20% - Accent4 4 2 3 4 8" xfId="15415"/>
    <cellStyle name="20% - Accent4 4 2 3 4 9" xfId="15416"/>
    <cellStyle name="20% - Accent4 4 2 3 5" xfId="862"/>
    <cellStyle name="20% - Accent4 4 2 3 5 2" xfId="15417"/>
    <cellStyle name="20% - Accent4 4 2 3 5 2 2" xfId="15418"/>
    <cellStyle name="20% - Accent4 4 2 3 5 2 3" xfId="15419"/>
    <cellStyle name="20% - Accent4 4 2 3 5 3" xfId="15420"/>
    <cellStyle name="20% - Accent4 4 2 3 5 3 2" xfId="15421"/>
    <cellStyle name="20% - Accent4 4 2 3 5 3 3" xfId="15422"/>
    <cellStyle name="20% - Accent4 4 2 3 5 4" xfId="15423"/>
    <cellStyle name="20% - Accent4 4 2 3 5 4 2" xfId="15424"/>
    <cellStyle name="20% - Accent4 4 2 3 5 5" xfId="15425"/>
    <cellStyle name="20% - Accent4 4 2 3 5 6" xfId="15426"/>
    <cellStyle name="20% - Accent4 4 2 3 6" xfId="8886"/>
    <cellStyle name="20% - Accent4 4 2 3 6 2" xfId="15427"/>
    <cellStyle name="20% - Accent4 4 2 3 6 2 2" xfId="15428"/>
    <cellStyle name="20% - Accent4 4 2 3 6 2 3" xfId="15429"/>
    <cellStyle name="20% - Accent4 4 2 3 6 3" xfId="15430"/>
    <cellStyle name="20% - Accent4 4 2 3 6 3 2" xfId="15431"/>
    <cellStyle name="20% - Accent4 4 2 3 6 3 3" xfId="15432"/>
    <cellStyle name="20% - Accent4 4 2 3 6 4" xfId="15433"/>
    <cellStyle name="20% - Accent4 4 2 3 6 4 2" xfId="15434"/>
    <cellStyle name="20% - Accent4 4 2 3 6 5" xfId="15435"/>
    <cellStyle name="20% - Accent4 4 2 3 6 6" xfId="15436"/>
    <cellStyle name="20% - Accent4 4 2 3 7" xfId="15437"/>
    <cellStyle name="20% - Accent4 4 2 3 7 2" xfId="15438"/>
    <cellStyle name="20% - Accent4 4 2 3 7 2 2" xfId="15439"/>
    <cellStyle name="20% - Accent4 4 2 3 7 2 3" xfId="15440"/>
    <cellStyle name="20% - Accent4 4 2 3 7 3" xfId="15441"/>
    <cellStyle name="20% - Accent4 4 2 3 7 3 2" xfId="15442"/>
    <cellStyle name="20% - Accent4 4 2 3 7 4" xfId="15443"/>
    <cellStyle name="20% - Accent4 4 2 3 7 5" xfId="15444"/>
    <cellStyle name="20% - Accent4 4 2 3 8" xfId="15445"/>
    <cellStyle name="20% - Accent4 4 2 3 8 2" xfId="15446"/>
    <cellStyle name="20% - Accent4 4 2 3 8 3" xfId="15447"/>
    <cellStyle name="20% - Accent4 4 2 3 9" xfId="15448"/>
    <cellStyle name="20% - Accent4 4 2 3 9 2" xfId="15449"/>
    <cellStyle name="20% - Accent4 4 2 3 9 3" xfId="15450"/>
    <cellStyle name="20% - Accent4 4 2 4" xfId="863"/>
    <cellStyle name="20% - Accent4 4 2 4 10" xfId="15451"/>
    <cellStyle name="20% - Accent4 4 2 4 2" xfId="864"/>
    <cellStyle name="20% - Accent4 4 2 4 2 2" xfId="865"/>
    <cellStyle name="20% - Accent4 4 2 4 2 2 2" xfId="15452"/>
    <cellStyle name="20% - Accent4 4 2 4 2 2 2 2" xfId="15453"/>
    <cellStyle name="20% - Accent4 4 2 4 2 2 2 3" xfId="15454"/>
    <cellStyle name="20% - Accent4 4 2 4 2 2 3" xfId="15455"/>
    <cellStyle name="20% - Accent4 4 2 4 2 2 3 2" xfId="15456"/>
    <cellStyle name="20% - Accent4 4 2 4 2 2 3 3" xfId="15457"/>
    <cellStyle name="20% - Accent4 4 2 4 2 2 4" xfId="15458"/>
    <cellStyle name="20% - Accent4 4 2 4 2 2 4 2" xfId="15459"/>
    <cellStyle name="20% - Accent4 4 2 4 2 2 5" xfId="15460"/>
    <cellStyle name="20% - Accent4 4 2 4 2 2 6" xfId="15461"/>
    <cellStyle name="20% - Accent4 4 2 4 2 3" xfId="15462"/>
    <cellStyle name="20% - Accent4 4 2 4 2 3 2" xfId="15463"/>
    <cellStyle name="20% - Accent4 4 2 4 2 3 2 2" xfId="15464"/>
    <cellStyle name="20% - Accent4 4 2 4 2 3 2 3" xfId="15465"/>
    <cellStyle name="20% - Accent4 4 2 4 2 3 3" xfId="15466"/>
    <cellStyle name="20% - Accent4 4 2 4 2 3 3 2" xfId="15467"/>
    <cellStyle name="20% - Accent4 4 2 4 2 3 3 3" xfId="15468"/>
    <cellStyle name="20% - Accent4 4 2 4 2 3 4" xfId="15469"/>
    <cellStyle name="20% - Accent4 4 2 4 2 3 4 2" xfId="15470"/>
    <cellStyle name="20% - Accent4 4 2 4 2 3 5" xfId="15471"/>
    <cellStyle name="20% - Accent4 4 2 4 2 3 6" xfId="15472"/>
    <cellStyle name="20% - Accent4 4 2 4 2 4" xfId="15473"/>
    <cellStyle name="20% - Accent4 4 2 4 2 4 2" xfId="15474"/>
    <cellStyle name="20% - Accent4 4 2 4 2 4 2 2" xfId="15475"/>
    <cellStyle name="20% - Accent4 4 2 4 2 4 2 3" xfId="15476"/>
    <cellStyle name="20% - Accent4 4 2 4 2 4 3" xfId="15477"/>
    <cellStyle name="20% - Accent4 4 2 4 2 4 3 2" xfId="15478"/>
    <cellStyle name="20% - Accent4 4 2 4 2 4 4" xfId="15479"/>
    <cellStyle name="20% - Accent4 4 2 4 2 4 5" xfId="15480"/>
    <cellStyle name="20% - Accent4 4 2 4 2 5" xfId="15481"/>
    <cellStyle name="20% - Accent4 4 2 4 2 5 2" xfId="15482"/>
    <cellStyle name="20% - Accent4 4 2 4 2 5 3" xfId="15483"/>
    <cellStyle name="20% - Accent4 4 2 4 2 6" xfId="15484"/>
    <cellStyle name="20% - Accent4 4 2 4 2 6 2" xfId="15485"/>
    <cellStyle name="20% - Accent4 4 2 4 2 6 3" xfId="15486"/>
    <cellStyle name="20% - Accent4 4 2 4 2 7" xfId="15487"/>
    <cellStyle name="20% - Accent4 4 2 4 2 7 2" xfId="15488"/>
    <cellStyle name="20% - Accent4 4 2 4 2 8" xfId="15489"/>
    <cellStyle name="20% - Accent4 4 2 4 2 9" xfId="15490"/>
    <cellStyle name="20% - Accent4 4 2 4 3" xfId="866"/>
    <cellStyle name="20% - Accent4 4 2 4 3 2" xfId="15491"/>
    <cellStyle name="20% - Accent4 4 2 4 3 2 2" xfId="15492"/>
    <cellStyle name="20% - Accent4 4 2 4 3 2 3" xfId="15493"/>
    <cellStyle name="20% - Accent4 4 2 4 3 3" xfId="15494"/>
    <cellStyle name="20% - Accent4 4 2 4 3 3 2" xfId="15495"/>
    <cellStyle name="20% - Accent4 4 2 4 3 3 3" xfId="15496"/>
    <cellStyle name="20% - Accent4 4 2 4 3 4" xfId="15497"/>
    <cellStyle name="20% - Accent4 4 2 4 3 4 2" xfId="15498"/>
    <cellStyle name="20% - Accent4 4 2 4 3 5" xfId="15499"/>
    <cellStyle name="20% - Accent4 4 2 4 3 6" xfId="15500"/>
    <cellStyle name="20% - Accent4 4 2 4 4" xfId="8887"/>
    <cellStyle name="20% - Accent4 4 2 4 4 2" xfId="15501"/>
    <cellStyle name="20% - Accent4 4 2 4 4 2 2" xfId="15502"/>
    <cellStyle name="20% - Accent4 4 2 4 4 2 3" xfId="15503"/>
    <cellStyle name="20% - Accent4 4 2 4 4 3" xfId="15504"/>
    <cellStyle name="20% - Accent4 4 2 4 4 3 2" xfId="15505"/>
    <cellStyle name="20% - Accent4 4 2 4 4 3 3" xfId="15506"/>
    <cellStyle name="20% - Accent4 4 2 4 4 4" xfId="15507"/>
    <cellStyle name="20% - Accent4 4 2 4 4 4 2" xfId="15508"/>
    <cellStyle name="20% - Accent4 4 2 4 4 5" xfId="15509"/>
    <cellStyle name="20% - Accent4 4 2 4 4 6" xfId="15510"/>
    <cellStyle name="20% - Accent4 4 2 4 5" xfId="15511"/>
    <cellStyle name="20% - Accent4 4 2 4 5 2" xfId="15512"/>
    <cellStyle name="20% - Accent4 4 2 4 5 2 2" xfId="15513"/>
    <cellStyle name="20% - Accent4 4 2 4 5 2 3" xfId="15514"/>
    <cellStyle name="20% - Accent4 4 2 4 5 3" xfId="15515"/>
    <cellStyle name="20% - Accent4 4 2 4 5 3 2" xfId="15516"/>
    <cellStyle name="20% - Accent4 4 2 4 5 4" xfId="15517"/>
    <cellStyle name="20% - Accent4 4 2 4 5 5" xfId="15518"/>
    <cellStyle name="20% - Accent4 4 2 4 6" xfId="15519"/>
    <cellStyle name="20% - Accent4 4 2 4 6 2" xfId="15520"/>
    <cellStyle name="20% - Accent4 4 2 4 6 3" xfId="15521"/>
    <cellStyle name="20% - Accent4 4 2 4 7" xfId="15522"/>
    <cellStyle name="20% - Accent4 4 2 4 7 2" xfId="15523"/>
    <cellStyle name="20% - Accent4 4 2 4 7 3" xfId="15524"/>
    <cellStyle name="20% - Accent4 4 2 4 8" xfId="15525"/>
    <cellStyle name="20% - Accent4 4 2 4 8 2" xfId="15526"/>
    <cellStyle name="20% - Accent4 4 2 4 9" xfId="15527"/>
    <cellStyle name="20% - Accent4 4 2 5" xfId="867"/>
    <cellStyle name="20% - Accent4 4 2 5 2" xfId="868"/>
    <cellStyle name="20% - Accent4 4 2 5 2 2" xfId="15528"/>
    <cellStyle name="20% - Accent4 4 2 5 2 2 2" xfId="15529"/>
    <cellStyle name="20% - Accent4 4 2 5 2 2 3" xfId="15530"/>
    <cellStyle name="20% - Accent4 4 2 5 2 3" xfId="15531"/>
    <cellStyle name="20% - Accent4 4 2 5 2 3 2" xfId="15532"/>
    <cellStyle name="20% - Accent4 4 2 5 2 3 3" xfId="15533"/>
    <cellStyle name="20% - Accent4 4 2 5 2 4" xfId="15534"/>
    <cellStyle name="20% - Accent4 4 2 5 2 4 2" xfId="15535"/>
    <cellStyle name="20% - Accent4 4 2 5 2 5" xfId="15536"/>
    <cellStyle name="20% - Accent4 4 2 5 2 6" xfId="15537"/>
    <cellStyle name="20% - Accent4 4 2 5 3" xfId="15538"/>
    <cellStyle name="20% - Accent4 4 2 5 3 2" xfId="15539"/>
    <cellStyle name="20% - Accent4 4 2 5 3 2 2" xfId="15540"/>
    <cellStyle name="20% - Accent4 4 2 5 3 2 3" xfId="15541"/>
    <cellStyle name="20% - Accent4 4 2 5 3 3" xfId="15542"/>
    <cellStyle name="20% - Accent4 4 2 5 3 3 2" xfId="15543"/>
    <cellStyle name="20% - Accent4 4 2 5 3 3 3" xfId="15544"/>
    <cellStyle name="20% - Accent4 4 2 5 3 4" xfId="15545"/>
    <cellStyle name="20% - Accent4 4 2 5 3 4 2" xfId="15546"/>
    <cellStyle name="20% - Accent4 4 2 5 3 5" xfId="15547"/>
    <cellStyle name="20% - Accent4 4 2 5 3 6" xfId="15548"/>
    <cellStyle name="20% - Accent4 4 2 5 4" xfId="15549"/>
    <cellStyle name="20% - Accent4 4 2 5 4 2" xfId="15550"/>
    <cellStyle name="20% - Accent4 4 2 5 4 2 2" xfId="15551"/>
    <cellStyle name="20% - Accent4 4 2 5 4 2 3" xfId="15552"/>
    <cellStyle name="20% - Accent4 4 2 5 4 3" xfId="15553"/>
    <cellStyle name="20% - Accent4 4 2 5 4 3 2" xfId="15554"/>
    <cellStyle name="20% - Accent4 4 2 5 4 4" xfId="15555"/>
    <cellStyle name="20% - Accent4 4 2 5 4 5" xfId="15556"/>
    <cellStyle name="20% - Accent4 4 2 5 5" xfId="15557"/>
    <cellStyle name="20% - Accent4 4 2 5 5 2" xfId="15558"/>
    <cellStyle name="20% - Accent4 4 2 5 5 3" xfId="15559"/>
    <cellStyle name="20% - Accent4 4 2 5 6" xfId="15560"/>
    <cellStyle name="20% - Accent4 4 2 5 6 2" xfId="15561"/>
    <cellStyle name="20% - Accent4 4 2 5 6 3" xfId="15562"/>
    <cellStyle name="20% - Accent4 4 2 5 7" xfId="15563"/>
    <cellStyle name="20% - Accent4 4 2 5 7 2" xfId="15564"/>
    <cellStyle name="20% - Accent4 4 2 5 8" xfId="15565"/>
    <cellStyle name="20% - Accent4 4 2 5 9" xfId="15566"/>
    <cellStyle name="20% - Accent4 4 2 6" xfId="869"/>
    <cellStyle name="20% - Accent4 4 2 6 2" xfId="15567"/>
    <cellStyle name="20% - Accent4 4 2 6 2 2" xfId="15568"/>
    <cellStyle name="20% - Accent4 4 2 6 2 2 2" xfId="15569"/>
    <cellStyle name="20% - Accent4 4 2 6 2 2 3" xfId="15570"/>
    <cellStyle name="20% - Accent4 4 2 6 2 3" xfId="15571"/>
    <cellStyle name="20% - Accent4 4 2 6 2 3 2" xfId="15572"/>
    <cellStyle name="20% - Accent4 4 2 6 2 3 3" xfId="15573"/>
    <cellStyle name="20% - Accent4 4 2 6 2 4" xfId="15574"/>
    <cellStyle name="20% - Accent4 4 2 6 2 4 2" xfId="15575"/>
    <cellStyle name="20% - Accent4 4 2 6 2 5" xfId="15576"/>
    <cellStyle name="20% - Accent4 4 2 6 2 6" xfId="15577"/>
    <cellStyle name="20% - Accent4 4 2 6 3" xfId="15578"/>
    <cellStyle name="20% - Accent4 4 2 6 3 2" xfId="15579"/>
    <cellStyle name="20% - Accent4 4 2 6 3 2 2" xfId="15580"/>
    <cellStyle name="20% - Accent4 4 2 6 3 2 3" xfId="15581"/>
    <cellStyle name="20% - Accent4 4 2 6 3 3" xfId="15582"/>
    <cellStyle name="20% - Accent4 4 2 6 3 3 2" xfId="15583"/>
    <cellStyle name="20% - Accent4 4 2 6 3 3 3" xfId="15584"/>
    <cellStyle name="20% - Accent4 4 2 6 3 4" xfId="15585"/>
    <cellStyle name="20% - Accent4 4 2 6 3 4 2" xfId="15586"/>
    <cellStyle name="20% - Accent4 4 2 6 3 5" xfId="15587"/>
    <cellStyle name="20% - Accent4 4 2 6 3 6" xfId="15588"/>
    <cellStyle name="20% - Accent4 4 2 6 4" xfId="15589"/>
    <cellStyle name="20% - Accent4 4 2 6 4 2" xfId="15590"/>
    <cellStyle name="20% - Accent4 4 2 6 4 2 2" xfId="15591"/>
    <cellStyle name="20% - Accent4 4 2 6 4 2 3" xfId="15592"/>
    <cellStyle name="20% - Accent4 4 2 6 4 3" xfId="15593"/>
    <cellStyle name="20% - Accent4 4 2 6 4 3 2" xfId="15594"/>
    <cellStyle name="20% - Accent4 4 2 6 4 4" xfId="15595"/>
    <cellStyle name="20% - Accent4 4 2 6 4 5" xfId="15596"/>
    <cellStyle name="20% - Accent4 4 2 6 5" xfId="15597"/>
    <cellStyle name="20% - Accent4 4 2 6 5 2" xfId="15598"/>
    <cellStyle name="20% - Accent4 4 2 6 5 3" xfId="15599"/>
    <cellStyle name="20% - Accent4 4 2 6 6" xfId="15600"/>
    <cellStyle name="20% - Accent4 4 2 6 6 2" xfId="15601"/>
    <cellStyle name="20% - Accent4 4 2 6 6 3" xfId="15602"/>
    <cellStyle name="20% - Accent4 4 2 6 7" xfId="15603"/>
    <cellStyle name="20% - Accent4 4 2 6 7 2" xfId="15604"/>
    <cellStyle name="20% - Accent4 4 2 6 8" xfId="15605"/>
    <cellStyle name="20% - Accent4 4 2 6 9" xfId="15606"/>
    <cellStyle name="20% - Accent4 4 2 7" xfId="870"/>
    <cellStyle name="20% - Accent4 4 2 7 2" xfId="15607"/>
    <cellStyle name="20% - Accent4 4 2 7 2 2" xfId="15608"/>
    <cellStyle name="20% - Accent4 4 2 7 2 3" xfId="15609"/>
    <cellStyle name="20% - Accent4 4 2 7 3" xfId="15610"/>
    <cellStyle name="20% - Accent4 4 2 7 3 2" xfId="15611"/>
    <cellStyle name="20% - Accent4 4 2 7 3 3" xfId="15612"/>
    <cellStyle name="20% - Accent4 4 2 7 4" xfId="15613"/>
    <cellStyle name="20% - Accent4 4 2 7 4 2" xfId="15614"/>
    <cellStyle name="20% - Accent4 4 2 7 5" xfId="15615"/>
    <cellStyle name="20% - Accent4 4 2 7 6" xfId="15616"/>
    <cellStyle name="20% - Accent4 4 2 8" xfId="8888"/>
    <cellStyle name="20% - Accent4 4 2 8 2" xfId="15617"/>
    <cellStyle name="20% - Accent4 4 2 8 2 2" xfId="15618"/>
    <cellStyle name="20% - Accent4 4 2 8 2 3" xfId="15619"/>
    <cellStyle name="20% - Accent4 4 2 8 3" xfId="15620"/>
    <cellStyle name="20% - Accent4 4 2 8 3 2" xfId="15621"/>
    <cellStyle name="20% - Accent4 4 2 8 3 3" xfId="15622"/>
    <cellStyle name="20% - Accent4 4 2 8 4" xfId="15623"/>
    <cellStyle name="20% - Accent4 4 2 8 4 2" xfId="15624"/>
    <cellStyle name="20% - Accent4 4 2 8 5" xfId="15625"/>
    <cellStyle name="20% - Accent4 4 2 8 6" xfId="15626"/>
    <cellStyle name="20% - Accent4 4 2 9" xfId="15627"/>
    <cellStyle name="20% - Accent4 4 2 9 2" xfId="15628"/>
    <cellStyle name="20% - Accent4 4 2 9 2 2" xfId="15629"/>
    <cellStyle name="20% - Accent4 4 2 9 2 3" xfId="15630"/>
    <cellStyle name="20% - Accent4 4 2 9 3" xfId="15631"/>
    <cellStyle name="20% - Accent4 4 2 9 3 2" xfId="15632"/>
    <cellStyle name="20% - Accent4 4 2 9 4" xfId="15633"/>
    <cellStyle name="20% - Accent4 4 2 9 5" xfId="15634"/>
    <cellStyle name="20% - Accent4 4 3" xfId="871"/>
    <cellStyle name="20% - Accent4 4 3 10" xfId="15635"/>
    <cellStyle name="20% - Accent4 4 3 10 2" xfId="15636"/>
    <cellStyle name="20% - Accent4 4 3 10 3" xfId="15637"/>
    <cellStyle name="20% - Accent4 4 3 11" xfId="15638"/>
    <cellStyle name="20% - Accent4 4 3 11 2" xfId="15639"/>
    <cellStyle name="20% - Accent4 4 3 12" xfId="15640"/>
    <cellStyle name="20% - Accent4 4 3 13" xfId="15641"/>
    <cellStyle name="20% - Accent4 4 3 14" xfId="15642"/>
    <cellStyle name="20% - Accent4 4 3 2" xfId="872"/>
    <cellStyle name="20% - Accent4 4 3 2 10" xfId="15643"/>
    <cellStyle name="20% - Accent4 4 3 2 10 2" xfId="15644"/>
    <cellStyle name="20% - Accent4 4 3 2 11" xfId="15645"/>
    <cellStyle name="20% - Accent4 4 3 2 12" xfId="15646"/>
    <cellStyle name="20% - Accent4 4 3 2 2" xfId="873"/>
    <cellStyle name="20% - Accent4 4 3 2 2 10" xfId="15647"/>
    <cellStyle name="20% - Accent4 4 3 2 2 2" xfId="874"/>
    <cellStyle name="20% - Accent4 4 3 2 2 2 2" xfId="875"/>
    <cellStyle name="20% - Accent4 4 3 2 2 2 2 2" xfId="15648"/>
    <cellStyle name="20% - Accent4 4 3 2 2 2 2 2 2" xfId="15649"/>
    <cellStyle name="20% - Accent4 4 3 2 2 2 2 2 3" xfId="15650"/>
    <cellStyle name="20% - Accent4 4 3 2 2 2 2 3" xfId="15651"/>
    <cellStyle name="20% - Accent4 4 3 2 2 2 2 3 2" xfId="15652"/>
    <cellStyle name="20% - Accent4 4 3 2 2 2 2 3 3" xfId="15653"/>
    <cellStyle name="20% - Accent4 4 3 2 2 2 2 4" xfId="15654"/>
    <cellStyle name="20% - Accent4 4 3 2 2 2 2 4 2" xfId="15655"/>
    <cellStyle name="20% - Accent4 4 3 2 2 2 2 5" xfId="15656"/>
    <cellStyle name="20% - Accent4 4 3 2 2 2 2 6" xfId="15657"/>
    <cellStyle name="20% - Accent4 4 3 2 2 2 3" xfId="8889"/>
    <cellStyle name="20% - Accent4 4 3 2 2 2 3 2" xfId="15658"/>
    <cellStyle name="20% - Accent4 4 3 2 2 2 3 2 2" xfId="15659"/>
    <cellStyle name="20% - Accent4 4 3 2 2 2 3 2 3" xfId="15660"/>
    <cellStyle name="20% - Accent4 4 3 2 2 2 3 3" xfId="15661"/>
    <cellStyle name="20% - Accent4 4 3 2 2 2 3 3 2" xfId="15662"/>
    <cellStyle name="20% - Accent4 4 3 2 2 2 3 3 3" xfId="15663"/>
    <cellStyle name="20% - Accent4 4 3 2 2 2 3 4" xfId="15664"/>
    <cellStyle name="20% - Accent4 4 3 2 2 2 3 4 2" xfId="15665"/>
    <cellStyle name="20% - Accent4 4 3 2 2 2 3 5" xfId="15666"/>
    <cellStyle name="20% - Accent4 4 3 2 2 2 3 6" xfId="15667"/>
    <cellStyle name="20% - Accent4 4 3 2 2 2 4" xfId="15668"/>
    <cellStyle name="20% - Accent4 4 3 2 2 2 4 2" xfId="15669"/>
    <cellStyle name="20% - Accent4 4 3 2 2 2 4 2 2" xfId="15670"/>
    <cellStyle name="20% - Accent4 4 3 2 2 2 4 2 3" xfId="15671"/>
    <cellStyle name="20% - Accent4 4 3 2 2 2 4 3" xfId="15672"/>
    <cellStyle name="20% - Accent4 4 3 2 2 2 4 3 2" xfId="15673"/>
    <cellStyle name="20% - Accent4 4 3 2 2 2 4 4" xfId="15674"/>
    <cellStyle name="20% - Accent4 4 3 2 2 2 4 5" xfId="15675"/>
    <cellStyle name="20% - Accent4 4 3 2 2 2 5" xfId="15676"/>
    <cellStyle name="20% - Accent4 4 3 2 2 2 5 2" xfId="15677"/>
    <cellStyle name="20% - Accent4 4 3 2 2 2 5 3" xfId="15678"/>
    <cellStyle name="20% - Accent4 4 3 2 2 2 6" xfId="15679"/>
    <cellStyle name="20% - Accent4 4 3 2 2 2 6 2" xfId="15680"/>
    <cellStyle name="20% - Accent4 4 3 2 2 2 6 3" xfId="15681"/>
    <cellStyle name="20% - Accent4 4 3 2 2 2 7" xfId="15682"/>
    <cellStyle name="20% - Accent4 4 3 2 2 2 7 2" xfId="15683"/>
    <cellStyle name="20% - Accent4 4 3 2 2 2 8" xfId="15684"/>
    <cellStyle name="20% - Accent4 4 3 2 2 2 9" xfId="15685"/>
    <cellStyle name="20% - Accent4 4 3 2 2 3" xfId="876"/>
    <cellStyle name="20% - Accent4 4 3 2 2 3 2" xfId="15686"/>
    <cellStyle name="20% - Accent4 4 3 2 2 3 2 2" xfId="15687"/>
    <cellStyle name="20% - Accent4 4 3 2 2 3 2 3" xfId="15688"/>
    <cellStyle name="20% - Accent4 4 3 2 2 3 3" xfId="15689"/>
    <cellStyle name="20% - Accent4 4 3 2 2 3 3 2" xfId="15690"/>
    <cellStyle name="20% - Accent4 4 3 2 2 3 3 3" xfId="15691"/>
    <cellStyle name="20% - Accent4 4 3 2 2 3 4" xfId="15692"/>
    <cellStyle name="20% - Accent4 4 3 2 2 3 4 2" xfId="15693"/>
    <cellStyle name="20% - Accent4 4 3 2 2 3 5" xfId="15694"/>
    <cellStyle name="20% - Accent4 4 3 2 2 3 6" xfId="15695"/>
    <cellStyle name="20% - Accent4 4 3 2 2 4" xfId="877"/>
    <cellStyle name="20% - Accent4 4 3 2 2 4 2" xfId="15696"/>
    <cellStyle name="20% - Accent4 4 3 2 2 4 2 2" xfId="15697"/>
    <cellStyle name="20% - Accent4 4 3 2 2 4 2 3" xfId="15698"/>
    <cellStyle name="20% - Accent4 4 3 2 2 4 3" xfId="15699"/>
    <cellStyle name="20% - Accent4 4 3 2 2 4 3 2" xfId="15700"/>
    <cellStyle name="20% - Accent4 4 3 2 2 4 3 3" xfId="15701"/>
    <cellStyle name="20% - Accent4 4 3 2 2 4 4" xfId="15702"/>
    <cellStyle name="20% - Accent4 4 3 2 2 4 4 2" xfId="15703"/>
    <cellStyle name="20% - Accent4 4 3 2 2 4 5" xfId="15704"/>
    <cellStyle name="20% - Accent4 4 3 2 2 4 6" xfId="15705"/>
    <cellStyle name="20% - Accent4 4 3 2 2 5" xfId="8890"/>
    <cellStyle name="20% - Accent4 4 3 2 2 5 2" xfId="15706"/>
    <cellStyle name="20% - Accent4 4 3 2 2 5 2 2" xfId="15707"/>
    <cellStyle name="20% - Accent4 4 3 2 2 5 2 3" xfId="15708"/>
    <cellStyle name="20% - Accent4 4 3 2 2 5 3" xfId="15709"/>
    <cellStyle name="20% - Accent4 4 3 2 2 5 3 2" xfId="15710"/>
    <cellStyle name="20% - Accent4 4 3 2 2 5 4" xfId="15711"/>
    <cellStyle name="20% - Accent4 4 3 2 2 5 5" xfId="15712"/>
    <cellStyle name="20% - Accent4 4 3 2 2 6" xfId="15713"/>
    <cellStyle name="20% - Accent4 4 3 2 2 6 2" xfId="15714"/>
    <cellStyle name="20% - Accent4 4 3 2 2 6 3" xfId="15715"/>
    <cellStyle name="20% - Accent4 4 3 2 2 7" xfId="15716"/>
    <cellStyle name="20% - Accent4 4 3 2 2 7 2" xfId="15717"/>
    <cellStyle name="20% - Accent4 4 3 2 2 7 3" xfId="15718"/>
    <cellStyle name="20% - Accent4 4 3 2 2 8" xfId="15719"/>
    <cellStyle name="20% - Accent4 4 3 2 2 8 2" xfId="15720"/>
    <cellStyle name="20% - Accent4 4 3 2 2 9" xfId="15721"/>
    <cellStyle name="20% - Accent4 4 3 2 3" xfId="878"/>
    <cellStyle name="20% - Accent4 4 3 2 3 2" xfId="879"/>
    <cellStyle name="20% - Accent4 4 3 2 3 2 2" xfId="15722"/>
    <cellStyle name="20% - Accent4 4 3 2 3 2 2 2" xfId="15723"/>
    <cellStyle name="20% - Accent4 4 3 2 3 2 2 3" xfId="15724"/>
    <cellStyle name="20% - Accent4 4 3 2 3 2 3" xfId="15725"/>
    <cellStyle name="20% - Accent4 4 3 2 3 2 3 2" xfId="15726"/>
    <cellStyle name="20% - Accent4 4 3 2 3 2 3 3" xfId="15727"/>
    <cellStyle name="20% - Accent4 4 3 2 3 2 4" xfId="15728"/>
    <cellStyle name="20% - Accent4 4 3 2 3 2 4 2" xfId="15729"/>
    <cellStyle name="20% - Accent4 4 3 2 3 2 5" xfId="15730"/>
    <cellStyle name="20% - Accent4 4 3 2 3 2 6" xfId="15731"/>
    <cellStyle name="20% - Accent4 4 3 2 3 3" xfId="8891"/>
    <cellStyle name="20% - Accent4 4 3 2 3 3 2" xfId="15732"/>
    <cellStyle name="20% - Accent4 4 3 2 3 3 2 2" xfId="15733"/>
    <cellStyle name="20% - Accent4 4 3 2 3 3 2 3" xfId="15734"/>
    <cellStyle name="20% - Accent4 4 3 2 3 3 3" xfId="15735"/>
    <cellStyle name="20% - Accent4 4 3 2 3 3 3 2" xfId="15736"/>
    <cellStyle name="20% - Accent4 4 3 2 3 3 3 3" xfId="15737"/>
    <cellStyle name="20% - Accent4 4 3 2 3 3 4" xfId="15738"/>
    <cellStyle name="20% - Accent4 4 3 2 3 3 4 2" xfId="15739"/>
    <cellStyle name="20% - Accent4 4 3 2 3 3 5" xfId="15740"/>
    <cellStyle name="20% - Accent4 4 3 2 3 3 6" xfId="15741"/>
    <cellStyle name="20% - Accent4 4 3 2 3 4" xfId="15742"/>
    <cellStyle name="20% - Accent4 4 3 2 3 4 2" xfId="15743"/>
    <cellStyle name="20% - Accent4 4 3 2 3 4 2 2" xfId="15744"/>
    <cellStyle name="20% - Accent4 4 3 2 3 4 2 3" xfId="15745"/>
    <cellStyle name="20% - Accent4 4 3 2 3 4 3" xfId="15746"/>
    <cellStyle name="20% - Accent4 4 3 2 3 4 3 2" xfId="15747"/>
    <cellStyle name="20% - Accent4 4 3 2 3 4 4" xfId="15748"/>
    <cellStyle name="20% - Accent4 4 3 2 3 4 5" xfId="15749"/>
    <cellStyle name="20% - Accent4 4 3 2 3 5" xfId="15750"/>
    <cellStyle name="20% - Accent4 4 3 2 3 5 2" xfId="15751"/>
    <cellStyle name="20% - Accent4 4 3 2 3 5 3" xfId="15752"/>
    <cellStyle name="20% - Accent4 4 3 2 3 6" xfId="15753"/>
    <cellStyle name="20% - Accent4 4 3 2 3 6 2" xfId="15754"/>
    <cellStyle name="20% - Accent4 4 3 2 3 6 3" xfId="15755"/>
    <cellStyle name="20% - Accent4 4 3 2 3 7" xfId="15756"/>
    <cellStyle name="20% - Accent4 4 3 2 3 7 2" xfId="15757"/>
    <cellStyle name="20% - Accent4 4 3 2 3 8" xfId="15758"/>
    <cellStyle name="20% - Accent4 4 3 2 3 9" xfId="15759"/>
    <cellStyle name="20% - Accent4 4 3 2 4" xfId="880"/>
    <cellStyle name="20% - Accent4 4 3 2 4 2" xfId="15760"/>
    <cellStyle name="20% - Accent4 4 3 2 4 2 2" xfId="15761"/>
    <cellStyle name="20% - Accent4 4 3 2 4 2 2 2" xfId="15762"/>
    <cellStyle name="20% - Accent4 4 3 2 4 2 2 3" xfId="15763"/>
    <cellStyle name="20% - Accent4 4 3 2 4 2 3" xfId="15764"/>
    <cellStyle name="20% - Accent4 4 3 2 4 2 3 2" xfId="15765"/>
    <cellStyle name="20% - Accent4 4 3 2 4 2 3 3" xfId="15766"/>
    <cellStyle name="20% - Accent4 4 3 2 4 2 4" xfId="15767"/>
    <cellStyle name="20% - Accent4 4 3 2 4 2 4 2" xfId="15768"/>
    <cellStyle name="20% - Accent4 4 3 2 4 2 5" xfId="15769"/>
    <cellStyle name="20% - Accent4 4 3 2 4 2 6" xfId="15770"/>
    <cellStyle name="20% - Accent4 4 3 2 4 3" xfId="15771"/>
    <cellStyle name="20% - Accent4 4 3 2 4 3 2" xfId="15772"/>
    <cellStyle name="20% - Accent4 4 3 2 4 3 2 2" xfId="15773"/>
    <cellStyle name="20% - Accent4 4 3 2 4 3 2 3" xfId="15774"/>
    <cellStyle name="20% - Accent4 4 3 2 4 3 3" xfId="15775"/>
    <cellStyle name="20% - Accent4 4 3 2 4 3 3 2" xfId="15776"/>
    <cellStyle name="20% - Accent4 4 3 2 4 3 3 3" xfId="15777"/>
    <cellStyle name="20% - Accent4 4 3 2 4 3 4" xfId="15778"/>
    <cellStyle name="20% - Accent4 4 3 2 4 3 4 2" xfId="15779"/>
    <cellStyle name="20% - Accent4 4 3 2 4 3 5" xfId="15780"/>
    <cellStyle name="20% - Accent4 4 3 2 4 3 6" xfId="15781"/>
    <cellStyle name="20% - Accent4 4 3 2 4 4" xfId="15782"/>
    <cellStyle name="20% - Accent4 4 3 2 4 4 2" xfId="15783"/>
    <cellStyle name="20% - Accent4 4 3 2 4 4 2 2" xfId="15784"/>
    <cellStyle name="20% - Accent4 4 3 2 4 4 2 3" xfId="15785"/>
    <cellStyle name="20% - Accent4 4 3 2 4 4 3" xfId="15786"/>
    <cellStyle name="20% - Accent4 4 3 2 4 4 3 2" xfId="15787"/>
    <cellStyle name="20% - Accent4 4 3 2 4 4 4" xfId="15788"/>
    <cellStyle name="20% - Accent4 4 3 2 4 4 5" xfId="15789"/>
    <cellStyle name="20% - Accent4 4 3 2 4 5" xfId="15790"/>
    <cellStyle name="20% - Accent4 4 3 2 4 5 2" xfId="15791"/>
    <cellStyle name="20% - Accent4 4 3 2 4 5 3" xfId="15792"/>
    <cellStyle name="20% - Accent4 4 3 2 4 6" xfId="15793"/>
    <cellStyle name="20% - Accent4 4 3 2 4 6 2" xfId="15794"/>
    <cellStyle name="20% - Accent4 4 3 2 4 6 3" xfId="15795"/>
    <cellStyle name="20% - Accent4 4 3 2 4 7" xfId="15796"/>
    <cellStyle name="20% - Accent4 4 3 2 4 7 2" xfId="15797"/>
    <cellStyle name="20% - Accent4 4 3 2 4 8" xfId="15798"/>
    <cellStyle name="20% - Accent4 4 3 2 4 9" xfId="15799"/>
    <cellStyle name="20% - Accent4 4 3 2 5" xfId="881"/>
    <cellStyle name="20% - Accent4 4 3 2 5 2" xfId="15800"/>
    <cellStyle name="20% - Accent4 4 3 2 5 2 2" xfId="15801"/>
    <cellStyle name="20% - Accent4 4 3 2 5 2 3" xfId="15802"/>
    <cellStyle name="20% - Accent4 4 3 2 5 3" xfId="15803"/>
    <cellStyle name="20% - Accent4 4 3 2 5 3 2" xfId="15804"/>
    <cellStyle name="20% - Accent4 4 3 2 5 3 3" xfId="15805"/>
    <cellStyle name="20% - Accent4 4 3 2 5 4" xfId="15806"/>
    <cellStyle name="20% - Accent4 4 3 2 5 4 2" xfId="15807"/>
    <cellStyle name="20% - Accent4 4 3 2 5 5" xfId="15808"/>
    <cellStyle name="20% - Accent4 4 3 2 5 6" xfId="15809"/>
    <cellStyle name="20% - Accent4 4 3 2 6" xfId="8892"/>
    <cellStyle name="20% - Accent4 4 3 2 6 2" xfId="15810"/>
    <cellStyle name="20% - Accent4 4 3 2 6 2 2" xfId="15811"/>
    <cellStyle name="20% - Accent4 4 3 2 6 2 3" xfId="15812"/>
    <cellStyle name="20% - Accent4 4 3 2 6 3" xfId="15813"/>
    <cellStyle name="20% - Accent4 4 3 2 6 3 2" xfId="15814"/>
    <cellStyle name="20% - Accent4 4 3 2 6 3 3" xfId="15815"/>
    <cellStyle name="20% - Accent4 4 3 2 6 4" xfId="15816"/>
    <cellStyle name="20% - Accent4 4 3 2 6 4 2" xfId="15817"/>
    <cellStyle name="20% - Accent4 4 3 2 6 5" xfId="15818"/>
    <cellStyle name="20% - Accent4 4 3 2 6 6" xfId="15819"/>
    <cellStyle name="20% - Accent4 4 3 2 7" xfId="15820"/>
    <cellStyle name="20% - Accent4 4 3 2 7 2" xfId="15821"/>
    <cellStyle name="20% - Accent4 4 3 2 7 2 2" xfId="15822"/>
    <cellStyle name="20% - Accent4 4 3 2 7 2 3" xfId="15823"/>
    <cellStyle name="20% - Accent4 4 3 2 7 3" xfId="15824"/>
    <cellStyle name="20% - Accent4 4 3 2 7 3 2" xfId="15825"/>
    <cellStyle name="20% - Accent4 4 3 2 7 4" xfId="15826"/>
    <cellStyle name="20% - Accent4 4 3 2 7 5" xfId="15827"/>
    <cellStyle name="20% - Accent4 4 3 2 8" xfId="15828"/>
    <cellStyle name="20% - Accent4 4 3 2 8 2" xfId="15829"/>
    <cellStyle name="20% - Accent4 4 3 2 8 3" xfId="15830"/>
    <cellStyle name="20% - Accent4 4 3 2 9" xfId="15831"/>
    <cellStyle name="20% - Accent4 4 3 2 9 2" xfId="15832"/>
    <cellStyle name="20% - Accent4 4 3 2 9 3" xfId="15833"/>
    <cellStyle name="20% - Accent4 4 3 3" xfId="882"/>
    <cellStyle name="20% - Accent4 4 3 3 10" xfId="15834"/>
    <cellStyle name="20% - Accent4 4 3 3 2" xfId="883"/>
    <cellStyle name="20% - Accent4 4 3 3 2 2" xfId="884"/>
    <cellStyle name="20% - Accent4 4 3 3 2 2 2" xfId="15835"/>
    <cellStyle name="20% - Accent4 4 3 3 2 2 2 2" xfId="15836"/>
    <cellStyle name="20% - Accent4 4 3 3 2 2 2 3" xfId="15837"/>
    <cellStyle name="20% - Accent4 4 3 3 2 2 3" xfId="15838"/>
    <cellStyle name="20% - Accent4 4 3 3 2 2 3 2" xfId="15839"/>
    <cellStyle name="20% - Accent4 4 3 3 2 2 3 3" xfId="15840"/>
    <cellStyle name="20% - Accent4 4 3 3 2 2 4" xfId="15841"/>
    <cellStyle name="20% - Accent4 4 3 3 2 2 4 2" xfId="15842"/>
    <cellStyle name="20% - Accent4 4 3 3 2 2 5" xfId="15843"/>
    <cellStyle name="20% - Accent4 4 3 3 2 2 6" xfId="15844"/>
    <cellStyle name="20% - Accent4 4 3 3 2 3" xfId="8893"/>
    <cellStyle name="20% - Accent4 4 3 3 2 3 2" xfId="15845"/>
    <cellStyle name="20% - Accent4 4 3 3 2 3 2 2" xfId="15846"/>
    <cellStyle name="20% - Accent4 4 3 3 2 3 2 3" xfId="15847"/>
    <cellStyle name="20% - Accent4 4 3 3 2 3 3" xfId="15848"/>
    <cellStyle name="20% - Accent4 4 3 3 2 3 3 2" xfId="15849"/>
    <cellStyle name="20% - Accent4 4 3 3 2 3 3 3" xfId="15850"/>
    <cellStyle name="20% - Accent4 4 3 3 2 3 4" xfId="15851"/>
    <cellStyle name="20% - Accent4 4 3 3 2 3 4 2" xfId="15852"/>
    <cellStyle name="20% - Accent4 4 3 3 2 3 5" xfId="15853"/>
    <cellStyle name="20% - Accent4 4 3 3 2 3 6" xfId="15854"/>
    <cellStyle name="20% - Accent4 4 3 3 2 4" xfId="15855"/>
    <cellStyle name="20% - Accent4 4 3 3 2 4 2" xfId="15856"/>
    <cellStyle name="20% - Accent4 4 3 3 2 4 2 2" xfId="15857"/>
    <cellStyle name="20% - Accent4 4 3 3 2 4 2 3" xfId="15858"/>
    <cellStyle name="20% - Accent4 4 3 3 2 4 3" xfId="15859"/>
    <cellStyle name="20% - Accent4 4 3 3 2 4 3 2" xfId="15860"/>
    <cellStyle name="20% - Accent4 4 3 3 2 4 4" xfId="15861"/>
    <cellStyle name="20% - Accent4 4 3 3 2 4 5" xfId="15862"/>
    <cellStyle name="20% - Accent4 4 3 3 2 5" xfId="15863"/>
    <cellStyle name="20% - Accent4 4 3 3 2 5 2" xfId="15864"/>
    <cellStyle name="20% - Accent4 4 3 3 2 5 3" xfId="15865"/>
    <cellStyle name="20% - Accent4 4 3 3 2 6" xfId="15866"/>
    <cellStyle name="20% - Accent4 4 3 3 2 6 2" xfId="15867"/>
    <cellStyle name="20% - Accent4 4 3 3 2 6 3" xfId="15868"/>
    <cellStyle name="20% - Accent4 4 3 3 2 7" xfId="15869"/>
    <cellStyle name="20% - Accent4 4 3 3 2 7 2" xfId="15870"/>
    <cellStyle name="20% - Accent4 4 3 3 2 8" xfId="15871"/>
    <cellStyle name="20% - Accent4 4 3 3 2 9" xfId="15872"/>
    <cellStyle name="20% - Accent4 4 3 3 3" xfId="885"/>
    <cellStyle name="20% - Accent4 4 3 3 3 2" xfId="15873"/>
    <cellStyle name="20% - Accent4 4 3 3 3 2 2" xfId="15874"/>
    <cellStyle name="20% - Accent4 4 3 3 3 2 3" xfId="15875"/>
    <cellStyle name="20% - Accent4 4 3 3 3 3" xfId="15876"/>
    <cellStyle name="20% - Accent4 4 3 3 3 3 2" xfId="15877"/>
    <cellStyle name="20% - Accent4 4 3 3 3 3 3" xfId="15878"/>
    <cellStyle name="20% - Accent4 4 3 3 3 4" xfId="15879"/>
    <cellStyle name="20% - Accent4 4 3 3 3 4 2" xfId="15880"/>
    <cellStyle name="20% - Accent4 4 3 3 3 5" xfId="15881"/>
    <cellStyle name="20% - Accent4 4 3 3 3 6" xfId="15882"/>
    <cellStyle name="20% - Accent4 4 3 3 4" xfId="886"/>
    <cellStyle name="20% - Accent4 4 3 3 4 2" xfId="15883"/>
    <cellStyle name="20% - Accent4 4 3 3 4 2 2" xfId="15884"/>
    <cellStyle name="20% - Accent4 4 3 3 4 2 3" xfId="15885"/>
    <cellStyle name="20% - Accent4 4 3 3 4 3" xfId="15886"/>
    <cellStyle name="20% - Accent4 4 3 3 4 3 2" xfId="15887"/>
    <cellStyle name="20% - Accent4 4 3 3 4 3 3" xfId="15888"/>
    <cellStyle name="20% - Accent4 4 3 3 4 4" xfId="15889"/>
    <cellStyle name="20% - Accent4 4 3 3 4 4 2" xfId="15890"/>
    <cellStyle name="20% - Accent4 4 3 3 4 5" xfId="15891"/>
    <cellStyle name="20% - Accent4 4 3 3 4 6" xfId="15892"/>
    <cellStyle name="20% - Accent4 4 3 3 5" xfId="8894"/>
    <cellStyle name="20% - Accent4 4 3 3 5 2" xfId="15893"/>
    <cellStyle name="20% - Accent4 4 3 3 5 2 2" xfId="15894"/>
    <cellStyle name="20% - Accent4 4 3 3 5 2 3" xfId="15895"/>
    <cellStyle name="20% - Accent4 4 3 3 5 3" xfId="15896"/>
    <cellStyle name="20% - Accent4 4 3 3 5 3 2" xfId="15897"/>
    <cellStyle name="20% - Accent4 4 3 3 5 4" xfId="15898"/>
    <cellStyle name="20% - Accent4 4 3 3 5 5" xfId="15899"/>
    <cellStyle name="20% - Accent4 4 3 3 6" xfId="15900"/>
    <cellStyle name="20% - Accent4 4 3 3 6 2" xfId="15901"/>
    <cellStyle name="20% - Accent4 4 3 3 6 3" xfId="15902"/>
    <cellStyle name="20% - Accent4 4 3 3 7" xfId="15903"/>
    <cellStyle name="20% - Accent4 4 3 3 7 2" xfId="15904"/>
    <cellStyle name="20% - Accent4 4 3 3 7 3" xfId="15905"/>
    <cellStyle name="20% - Accent4 4 3 3 8" xfId="15906"/>
    <cellStyle name="20% - Accent4 4 3 3 8 2" xfId="15907"/>
    <cellStyle name="20% - Accent4 4 3 3 9" xfId="15908"/>
    <cellStyle name="20% - Accent4 4 3 4" xfId="887"/>
    <cellStyle name="20% - Accent4 4 3 4 2" xfId="888"/>
    <cellStyle name="20% - Accent4 4 3 4 2 2" xfId="15909"/>
    <cellStyle name="20% - Accent4 4 3 4 2 2 2" xfId="15910"/>
    <cellStyle name="20% - Accent4 4 3 4 2 2 3" xfId="15911"/>
    <cellStyle name="20% - Accent4 4 3 4 2 3" xfId="15912"/>
    <cellStyle name="20% - Accent4 4 3 4 2 3 2" xfId="15913"/>
    <cellStyle name="20% - Accent4 4 3 4 2 3 3" xfId="15914"/>
    <cellStyle name="20% - Accent4 4 3 4 2 4" xfId="15915"/>
    <cellStyle name="20% - Accent4 4 3 4 2 4 2" xfId="15916"/>
    <cellStyle name="20% - Accent4 4 3 4 2 5" xfId="15917"/>
    <cellStyle name="20% - Accent4 4 3 4 2 6" xfId="15918"/>
    <cellStyle name="20% - Accent4 4 3 4 3" xfId="8895"/>
    <cellStyle name="20% - Accent4 4 3 4 3 2" xfId="15919"/>
    <cellStyle name="20% - Accent4 4 3 4 3 2 2" xfId="15920"/>
    <cellStyle name="20% - Accent4 4 3 4 3 2 3" xfId="15921"/>
    <cellStyle name="20% - Accent4 4 3 4 3 3" xfId="15922"/>
    <cellStyle name="20% - Accent4 4 3 4 3 3 2" xfId="15923"/>
    <cellStyle name="20% - Accent4 4 3 4 3 3 3" xfId="15924"/>
    <cellStyle name="20% - Accent4 4 3 4 3 4" xfId="15925"/>
    <cellStyle name="20% - Accent4 4 3 4 3 4 2" xfId="15926"/>
    <cellStyle name="20% - Accent4 4 3 4 3 5" xfId="15927"/>
    <cellStyle name="20% - Accent4 4 3 4 3 6" xfId="15928"/>
    <cellStyle name="20% - Accent4 4 3 4 4" xfId="15929"/>
    <cellStyle name="20% - Accent4 4 3 4 4 2" xfId="15930"/>
    <cellStyle name="20% - Accent4 4 3 4 4 2 2" xfId="15931"/>
    <cellStyle name="20% - Accent4 4 3 4 4 2 3" xfId="15932"/>
    <cellStyle name="20% - Accent4 4 3 4 4 3" xfId="15933"/>
    <cellStyle name="20% - Accent4 4 3 4 4 3 2" xfId="15934"/>
    <cellStyle name="20% - Accent4 4 3 4 4 4" xfId="15935"/>
    <cellStyle name="20% - Accent4 4 3 4 4 5" xfId="15936"/>
    <cellStyle name="20% - Accent4 4 3 4 5" xfId="15937"/>
    <cellStyle name="20% - Accent4 4 3 4 5 2" xfId="15938"/>
    <cellStyle name="20% - Accent4 4 3 4 5 3" xfId="15939"/>
    <cellStyle name="20% - Accent4 4 3 4 6" xfId="15940"/>
    <cellStyle name="20% - Accent4 4 3 4 6 2" xfId="15941"/>
    <cellStyle name="20% - Accent4 4 3 4 6 3" xfId="15942"/>
    <cellStyle name="20% - Accent4 4 3 4 7" xfId="15943"/>
    <cellStyle name="20% - Accent4 4 3 4 7 2" xfId="15944"/>
    <cellStyle name="20% - Accent4 4 3 4 8" xfId="15945"/>
    <cellStyle name="20% - Accent4 4 3 4 9" xfId="15946"/>
    <cellStyle name="20% - Accent4 4 3 5" xfId="889"/>
    <cellStyle name="20% - Accent4 4 3 5 2" xfId="15947"/>
    <cellStyle name="20% - Accent4 4 3 5 2 2" xfId="15948"/>
    <cellStyle name="20% - Accent4 4 3 5 2 2 2" xfId="15949"/>
    <cellStyle name="20% - Accent4 4 3 5 2 2 3" xfId="15950"/>
    <cellStyle name="20% - Accent4 4 3 5 2 3" xfId="15951"/>
    <cellStyle name="20% - Accent4 4 3 5 2 3 2" xfId="15952"/>
    <cellStyle name="20% - Accent4 4 3 5 2 3 3" xfId="15953"/>
    <cellStyle name="20% - Accent4 4 3 5 2 4" xfId="15954"/>
    <cellStyle name="20% - Accent4 4 3 5 2 4 2" xfId="15955"/>
    <cellStyle name="20% - Accent4 4 3 5 2 5" xfId="15956"/>
    <cellStyle name="20% - Accent4 4 3 5 2 6" xfId="15957"/>
    <cellStyle name="20% - Accent4 4 3 5 3" xfId="15958"/>
    <cellStyle name="20% - Accent4 4 3 5 3 2" xfId="15959"/>
    <cellStyle name="20% - Accent4 4 3 5 3 2 2" xfId="15960"/>
    <cellStyle name="20% - Accent4 4 3 5 3 2 3" xfId="15961"/>
    <cellStyle name="20% - Accent4 4 3 5 3 3" xfId="15962"/>
    <cellStyle name="20% - Accent4 4 3 5 3 3 2" xfId="15963"/>
    <cellStyle name="20% - Accent4 4 3 5 3 3 3" xfId="15964"/>
    <cellStyle name="20% - Accent4 4 3 5 3 4" xfId="15965"/>
    <cellStyle name="20% - Accent4 4 3 5 3 4 2" xfId="15966"/>
    <cellStyle name="20% - Accent4 4 3 5 3 5" xfId="15967"/>
    <cellStyle name="20% - Accent4 4 3 5 3 6" xfId="15968"/>
    <cellStyle name="20% - Accent4 4 3 5 4" xfId="15969"/>
    <cellStyle name="20% - Accent4 4 3 5 4 2" xfId="15970"/>
    <cellStyle name="20% - Accent4 4 3 5 4 2 2" xfId="15971"/>
    <cellStyle name="20% - Accent4 4 3 5 4 2 3" xfId="15972"/>
    <cellStyle name="20% - Accent4 4 3 5 4 3" xfId="15973"/>
    <cellStyle name="20% - Accent4 4 3 5 4 3 2" xfId="15974"/>
    <cellStyle name="20% - Accent4 4 3 5 4 4" xfId="15975"/>
    <cellStyle name="20% - Accent4 4 3 5 4 5" xfId="15976"/>
    <cellStyle name="20% - Accent4 4 3 5 5" xfId="15977"/>
    <cellStyle name="20% - Accent4 4 3 5 5 2" xfId="15978"/>
    <cellStyle name="20% - Accent4 4 3 5 5 3" xfId="15979"/>
    <cellStyle name="20% - Accent4 4 3 5 6" xfId="15980"/>
    <cellStyle name="20% - Accent4 4 3 5 6 2" xfId="15981"/>
    <cellStyle name="20% - Accent4 4 3 5 6 3" xfId="15982"/>
    <cellStyle name="20% - Accent4 4 3 5 7" xfId="15983"/>
    <cellStyle name="20% - Accent4 4 3 5 7 2" xfId="15984"/>
    <cellStyle name="20% - Accent4 4 3 5 8" xfId="15985"/>
    <cellStyle name="20% - Accent4 4 3 5 9" xfId="15986"/>
    <cellStyle name="20% - Accent4 4 3 6" xfId="890"/>
    <cellStyle name="20% - Accent4 4 3 6 2" xfId="15987"/>
    <cellStyle name="20% - Accent4 4 3 6 2 2" xfId="15988"/>
    <cellStyle name="20% - Accent4 4 3 6 2 3" xfId="15989"/>
    <cellStyle name="20% - Accent4 4 3 6 3" xfId="15990"/>
    <cellStyle name="20% - Accent4 4 3 6 3 2" xfId="15991"/>
    <cellStyle name="20% - Accent4 4 3 6 3 3" xfId="15992"/>
    <cellStyle name="20% - Accent4 4 3 6 4" xfId="15993"/>
    <cellStyle name="20% - Accent4 4 3 6 4 2" xfId="15994"/>
    <cellStyle name="20% - Accent4 4 3 6 5" xfId="15995"/>
    <cellStyle name="20% - Accent4 4 3 6 6" xfId="15996"/>
    <cellStyle name="20% - Accent4 4 3 7" xfId="8896"/>
    <cellStyle name="20% - Accent4 4 3 7 2" xfId="15997"/>
    <cellStyle name="20% - Accent4 4 3 7 2 2" xfId="15998"/>
    <cellStyle name="20% - Accent4 4 3 7 2 3" xfId="15999"/>
    <cellStyle name="20% - Accent4 4 3 7 3" xfId="16000"/>
    <cellStyle name="20% - Accent4 4 3 7 3 2" xfId="16001"/>
    <cellStyle name="20% - Accent4 4 3 7 3 3" xfId="16002"/>
    <cellStyle name="20% - Accent4 4 3 7 4" xfId="16003"/>
    <cellStyle name="20% - Accent4 4 3 7 4 2" xfId="16004"/>
    <cellStyle name="20% - Accent4 4 3 7 5" xfId="16005"/>
    <cellStyle name="20% - Accent4 4 3 7 6" xfId="16006"/>
    <cellStyle name="20% - Accent4 4 3 8" xfId="16007"/>
    <cellStyle name="20% - Accent4 4 3 8 2" xfId="16008"/>
    <cellStyle name="20% - Accent4 4 3 8 2 2" xfId="16009"/>
    <cellStyle name="20% - Accent4 4 3 8 2 3" xfId="16010"/>
    <cellStyle name="20% - Accent4 4 3 8 3" xfId="16011"/>
    <cellStyle name="20% - Accent4 4 3 8 3 2" xfId="16012"/>
    <cellStyle name="20% - Accent4 4 3 8 4" xfId="16013"/>
    <cellStyle name="20% - Accent4 4 3 8 5" xfId="16014"/>
    <cellStyle name="20% - Accent4 4 3 9" xfId="16015"/>
    <cellStyle name="20% - Accent4 4 3 9 2" xfId="16016"/>
    <cellStyle name="20% - Accent4 4 3 9 3" xfId="16017"/>
    <cellStyle name="20% - Accent4 4 4" xfId="891"/>
    <cellStyle name="20% - Accent4 4 4 10" xfId="16018"/>
    <cellStyle name="20% - Accent4 4 4 10 2" xfId="16019"/>
    <cellStyle name="20% - Accent4 4 4 11" xfId="16020"/>
    <cellStyle name="20% - Accent4 4 4 12" xfId="16021"/>
    <cellStyle name="20% - Accent4 4 4 2" xfId="892"/>
    <cellStyle name="20% - Accent4 4 4 2 10" xfId="16022"/>
    <cellStyle name="20% - Accent4 4 4 2 2" xfId="893"/>
    <cellStyle name="20% - Accent4 4 4 2 2 2" xfId="894"/>
    <cellStyle name="20% - Accent4 4 4 2 2 2 2" xfId="8897"/>
    <cellStyle name="20% - Accent4 4 4 2 2 2 2 2" xfId="16023"/>
    <cellStyle name="20% - Accent4 4 4 2 2 2 2 3" xfId="16024"/>
    <cellStyle name="20% - Accent4 4 4 2 2 2 3" xfId="16025"/>
    <cellStyle name="20% - Accent4 4 4 2 2 2 3 2" xfId="16026"/>
    <cellStyle name="20% - Accent4 4 4 2 2 2 3 3" xfId="16027"/>
    <cellStyle name="20% - Accent4 4 4 2 2 2 4" xfId="16028"/>
    <cellStyle name="20% - Accent4 4 4 2 2 2 4 2" xfId="16029"/>
    <cellStyle name="20% - Accent4 4 4 2 2 2 5" xfId="16030"/>
    <cellStyle name="20% - Accent4 4 4 2 2 2 6" xfId="16031"/>
    <cellStyle name="20% - Accent4 4 4 2 2 3" xfId="895"/>
    <cellStyle name="20% - Accent4 4 4 2 2 3 2" xfId="16032"/>
    <cellStyle name="20% - Accent4 4 4 2 2 3 2 2" xfId="16033"/>
    <cellStyle name="20% - Accent4 4 4 2 2 3 2 3" xfId="16034"/>
    <cellStyle name="20% - Accent4 4 4 2 2 3 3" xfId="16035"/>
    <cellStyle name="20% - Accent4 4 4 2 2 3 3 2" xfId="16036"/>
    <cellStyle name="20% - Accent4 4 4 2 2 3 3 3" xfId="16037"/>
    <cellStyle name="20% - Accent4 4 4 2 2 3 4" xfId="16038"/>
    <cellStyle name="20% - Accent4 4 4 2 2 3 4 2" xfId="16039"/>
    <cellStyle name="20% - Accent4 4 4 2 2 3 5" xfId="16040"/>
    <cellStyle name="20% - Accent4 4 4 2 2 3 6" xfId="16041"/>
    <cellStyle name="20% - Accent4 4 4 2 2 4" xfId="8898"/>
    <cellStyle name="20% - Accent4 4 4 2 2 4 2" xfId="16042"/>
    <cellStyle name="20% - Accent4 4 4 2 2 4 2 2" xfId="16043"/>
    <cellStyle name="20% - Accent4 4 4 2 2 4 2 3" xfId="16044"/>
    <cellStyle name="20% - Accent4 4 4 2 2 4 3" xfId="16045"/>
    <cellStyle name="20% - Accent4 4 4 2 2 4 3 2" xfId="16046"/>
    <cellStyle name="20% - Accent4 4 4 2 2 4 4" xfId="16047"/>
    <cellStyle name="20% - Accent4 4 4 2 2 4 5" xfId="16048"/>
    <cellStyle name="20% - Accent4 4 4 2 2 5" xfId="16049"/>
    <cellStyle name="20% - Accent4 4 4 2 2 5 2" xfId="16050"/>
    <cellStyle name="20% - Accent4 4 4 2 2 5 3" xfId="16051"/>
    <cellStyle name="20% - Accent4 4 4 2 2 6" xfId="16052"/>
    <cellStyle name="20% - Accent4 4 4 2 2 6 2" xfId="16053"/>
    <cellStyle name="20% - Accent4 4 4 2 2 6 3" xfId="16054"/>
    <cellStyle name="20% - Accent4 4 4 2 2 7" xfId="16055"/>
    <cellStyle name="20% - Accent4 4 4 2 2 7 2" xfId="16056"/>
    <cellStyle name="20% - Accent4 4 4 2 2 8" xfId="16057"/>
    <cellStyle name="20% - Accent4 4 4 2 2 9" xfId="16058"/>
    <cellStyle name="20% - Accent4 4 4 2 3" xfId="896"/>
    <cellStyle name="20% - Accent4 4 4 2 3 2" xfId="8899"/>
    <cellStyle name="20% - Accent4 4 4 2 3 2 2" xfId="16059"/>
    <cellStyle name="20% - Accent4 4 4 2 3 2 3" xfId="16060"/>
    <cellStyle name="20% - Accent4 4 4 2 3 3" xfId="16061"/>
    <cellStyle name="20% - Accent4 4 4 2 3 3 2" xfId="16062"/>
    <cellStyle name="20% - Accent4 4 4 2 3 3 3" xfId="16063"/>
    <cellStyle name="20% - Accent4 4 4 2 3 4" xfId="16064"/>
    <cellStyle name="20% - Accent4 4 4 2 3 4 2" xfId="16065"/>
    <cellStyle name="20% - Accent4 4 4 2 3 5" xfId="16066"/>
    <cellStyle name="20% - Accent4 4 4 2 3 6" xfId="16067"/>
    <cellStyle name="20% - Accent4 4 4 2 4" xfId="897"/>
    <cellStyle name="20% - Accent4 4 4 2 4 2" xfId="16068"/>
    <cellStyle name="20% - Accent4 4 4 2 4 2 2" xfId="16069"/>
    <cellStyle name="20% - Accent4 4 4 2 4 2 3" xfId="16070"/>
    <cellStyle name="20% - Accent4 4 4 2 4 3" xfId="16071"/>
    <cellStyle name="20% - Accent4 4 4 2 4 3 2" xfId="16072"/>
    <cellStyle name="20% - Accent4 4 4 2 4 3 3" xfId="16073"/>
    <cellStyle name="20% - Accent4 4 4 2 4 4" xfId="16074"/>
    <cellStyle name="20% - Accent4 4 4 2 4 4 2" xfId="16075"/>
    <cellStyle name="20% - Accent4 4 4 2 4 5" xfId="16076"/>
    <cellStyle name="20% - Accent4 4 4 2 4 6" xfId="16077"/>
    <cellStyle name="20% - Accent4 4 4 2 5" xfId="8900"/>
    <cellStyle name="20% - Accent4 4 4 2 5 2" xfId="16078"/>
    <cellStyle name="20% - Accent4 4 4 2 5 2 2" xfId="16079"/>
    <cellStyle name="20% - Accent4 4 4 2 5 2 3" xfId="16080"/>
    <cellStyle name="20% - Accent4 4 4 2 5 3" xfId="16081"/>
    <cellStyle name="20% - Accent4 4 4 2 5 3 2" xfId="16082"/>
    <cellStyle name="20% - Accent4 4 4 2 5 4" xfId="16083"/>
    <cellStyle name="20% - Accent4 4 4 2 5 5" xfId="16084"/>
    <cellStyle name="20% - Accent4 4 4 2 6" xfId="16085"/>
    <cellStyle name="20% - Accent4 4 4 2 6 2" xfId="16086"/>
    <cellStyle name="20% - Accent4 4 4 2 6 3" xfId="16087"/>
    <cellStyle name="20% - Accent4 4 4 2 7" xfId="16088"/>
    <cellStyle name="20% - Accent4 4 4 2 7 2" xfId="16089"/>
    <cellStyle name="20% - Accent4 4 4 2 7 3" xfId="16090"/>
    <cellStyle name="20% - Accent4 4 4 2 8" xfId="16091"/>
    <cellStyle name="20% - Accent4 4 4 2 8 2" xfId="16092"/>
    <cellStyle name="20% - Accent4 4 4 2 9" xfId="16093"/>
    <cellStyle name="20% - Accent4 4 4 3" xfId="898"/>
    <cellStyle name="20% - Accent4 4 4 3 2" xfId="899"/>
    <cellStyle name="20% - Accent4 4 4 3 2 2" xfId="8901"/>
    <cellStyle name="20% - Accent4 4 4 3 2 2 2" xfId="16094"/>
    <cellStyle name="20% - Accent4 4 4 3 2 2 3" xfId="16095"/>
    <cellStyle name="20% - Accent4 4 4 3 2 3" xfId="16096"/>
    <cellStyle name="20% - Accent4 4 4 3 2 3 2" xfId="16097"/>
    <cellStyle name="20% - Accent4 4 4 3 2 3 3" xfId="16098"/>
    <cellStyle name="20% - Accent4 4 4 3 2 4" xfId="16099"/>
    <cellStyle name="20% - Accent4 4 4 3 2 4 2" xfId="16100"/>
    <cellStyle name="20% - Accent4 4 4 3 2 5" xfId="16101"/>
    <cellStyle name="20% - Accent4 4 4 3 2 6" xfId="16102"/>
    <cellStyle name="20% - Accent4 4 4 3 3" xfId="900"/>
    <cellStyle name="20% - Accent4 4 4 3 3 2" xfId="16103"/>
    <cellStyle name="20% - Accent4 4 4 3 3 2 2" xfId="16104"/>
    <cellStyle name="20% - Accent4 4 4 3 3 2 3" xfId="16105"/>
    <cellStyle name="20% - Accent4 4 4 3 3 3" xfId="16106"/>
    <cellStyle name="20% - Accent4 4 4 3 3 3 2" xfId="16107"/>
    <cellStyle name="20% - Accent4 4 4 3 3 3 3" xfId="16108"/>
    <cellStyle name="20% - Accent4 4 4 3 3 4" xfId="16109"/>
    <cellStyle name="20% - Accent4 4 4 3 3 4 2" xfId="16110"/>
    <cellStyle name="20% - Accent4 4 4 3 3 5" xfId="16111"/>
    <cellStyle name="20% - Accent4 4 4 3 3 6" xfId="16112"/>
    <cellStyle name="20% - Accent4 4 4 3 4" xfId="8902"/>
    <cellStyle name="20% - Accent4 4 4 3 4 2" xfId="16113"/>
    <cellStyle name="20% - Accent4 4 4 3 4 2 2" xfId="16114"/>
    <cellStyle name="20% - Accent4 4 4 3 4 2 3" xfId="16115"/>
    <cellStyle name="20% - Accent4 4 4 3 4 3" xfId="16116"/>
    <cellStyle name="20% - Accent4 4 4 3 4 3 2" xfId="16117"/>
    <cellStyle name="20% - Accent4 4 4 3 4 4" xfId="16118"/>
    <cellStyle name="20% - Accent4 4 4 3 4 5" xfId="16119"/>
    <cellStyle name="20% - Accent4 4 4 3 5" xfId="16120"/>
    <cellStyle name="20% - Accent4 4 4 3 5 2" xfId="16121"/>
    <cellStyle name="20% - Accent4 4 4 3 5 3" xfId="16122"/>
    <cellStyle name="20% - Accent4 4 4 3 6" xfId="16123"/>
    <cellStyle name="20% - Accent4 4 4 3 6 2" xfId="16124"/>
    <cellStyle name="20% - Accent4 4 4 3 6 3" xfId="16125"/>
    <cellStyle name="20% - Accent4 4 4 3 7" xfId="16126"/>
    <cellStyle name="20% - Accent4 4 4 3 7 2" xfId="16127"/>
    <cellStyle name="20% - Accent4 4 4 3 8" xfId="16128"/>
    <cellStyle name="20% - Accent4 4 4 3 9" xfId="16129"/>
    <cellStyle name="20% - Accent4 4 4 4" xfId="901"/>
    <cellStyle name="20% - Accent4 4 4 4 2" xfId="8903"/>
    <cellStyle name="20% - Accent4 4 4 4 2 2" xfId="16130"/>
    <cellStyle name="20% - Accent4 4 4 4 2 2 2" xfId="16131"/>
    <cellStyle name="20% - Accent4 4 4 4 2 2 3" xfId="16132"/>
    <cellStyle name="20% - Accent4 4 4 4 2 3" xfId="16133"/>
    <cellStyle name="20% - Accent4 4 4 4 2 3 2" xfId="16134"/>
    <cellStyle name="20% - Accent4 4 4 4 2 3 3" xfId="16135"/>
    <cellStyle name="20% - Accent4 4 4 4 2 4" xfId="16136"/>
    <cellStyle name="20% - Accent4 4 4 4 2 4 2" xfId="16137"/>
    <cellStyle name="20% - Accent4 4 4 4 2 5" xfId="16138"/>
    <cellStyle name="20% - Accent4 4 4 4 2 6" xfId="16139"/>
    <cellStyle name="20% - Accent4 4 4 4 3" xfId="16140"/>
    <cellStyle name="20% - Accent4 4 4 4 3 2" xfId="16141"/>
    <cellStyle name="20% - Accent4 4 4 4 3 2 2" xfId="16142"/>
    <cellStyle name="20% - Accent4 4 4 4 3 2 3" xfId="16143"/>
    <cellStyle name="20% - Accent4 4 4 4 3 3" xfId="16144"/>
    <cellStyle name="20% - Accent4 4 4 4 3 3 2" xfId="16145"/>
    <cellStyle name="20% - Accent4 4 4 4 3 3 3" xfId="16146"/>
    <cellStyle name="20% - Accent4 4 4 4 3 4" xfId="16147"/>
    <cellStyle name="20% - Accent4 4 4 4 3 4 2" xfId="16148"/>
    <cellStyle name="20% - Accent4 4 4 4 3 5" xfId="16149"/>
    <cellStyle name="20% - Accent4 4 4 4 3 6" xfId="16150"/>
    <cellStyle name="20% - Accent4 4 4 4 4" xfId="16151"/>
    <cellStyle name="20% - Accent4 4 4 4 4 2" xfId="16152"/>
    <cellStyle name="20% - Accent4 4 4 4 4 2 2" xfId="16153"/>
    <cellStyle name="20% - Accent4 4 4 4 4 2 3" xfId="16154"/>
    <cellStyle name="20% - Accent4 4 4 4 4 3" xfId="16155"/>
    <cellStyle name="20% - Accent4 4 4 4 4 3 2" xfId="16156"/>
    <cellStyle name="20% - Accent4 4 4 4 4 4" xfId="16157"/>
    <cellStyle name="20% - Accent4 4 4 4 4 5" xfId="16158"/>
    <cellStyle name="20% - Accent4 4 4 4 5" xfId="16159"/>
    <cellStyle name="20% - Accent4 4 4 4 5 2" xfId="16160"/>
    <cellStyle name="20% - Accent4 4 4 4 5 3" xfId="16161"/>
    <cellStyle name="20% - Accent4 4 4 4 6" xfId="16162"/>
    <cellStyle name="20% - Accent4 4 4 4 6 2" xfId="16163"/>
    <cellStyle name="20% - Accent4 4 4 4 6 3" xfId="16164"/>
    <cellStyle name="20% - Accent4 4 4 4 7" xfId="16165"/>
    <cellStyle name="20% - Accent4 4 4 4 7 2" xfId="16166"/>
    <cellStyle name="20% - Accent4 4 4 4 8" xfId="16167"/>
    <cellStyle name="20% - Accent4 4 4 4 9" xfId="16168"/>
    <cellStyle name="20% - Accent4 4 4 5" xfId="902"/>
    <cellStyle name="20% - Accent4 4 4 5 2" xfId="16169"/>
    <cellStyle name="20% - Accent4 4 4 5 2 2" xfId="16170"/>
    <cellStyle name="20% - Accent4 4 4 5 2 3" xfId="16171"/>
    <cellStyle name="20% - Accent4 4 4 5 3" xfId="16172"/>
    <cellStyle name="20% - Accent4 4 4 5 3 2" xfId="16173"/>
    <cellStyle name="20% - Accent4 4 4 5 3 3" xfId="16174"/>
    <cellStyle name="20% - Accent4 4 4 5 4" xfId="16175"/>
    <cellStyle name="20% - Accent4 4 4 5 4 2" xfId="16176"/>
    <cellStyle name="20% - Accent4 4 4 5 5" xfId="16177"/>
    <cellStyle name="20% - Accent4 4 4 5 6" xfId="16178"/>
    <cellStyle name="20% - Accent4 4 4 6" xfId="8904"/>
    <cellStyle name="20% - Accent4 4 4 6 2" xfId="16179"/>
    <cellStyle name="20% - Accent4 4 4 6 2 2" xfId="16180"/>
    <cellStyle name="20% - Accent4 4 4 6 2 3" xfId="16181"/>
    <cellStyle name="20% - Accent4 4 4 6 3" xfId="16182"/>
    <cellStyle name="20% - Accent4 4 4 6 3 2" xfId="16183"/>
    <cellStyle name="20% - Accent4 4 4 6 3 3" xfId="16184"/>
    <cellStyle name="20% - Accent4 4 4 6 4" xfId="16185"/>
    <cellStyle name="20% - Accent4 4 4 6 4 2" xfId="16186"/>
    <cellStyle name="20% - Accent4 4 4 6 5" xfId="16187"/>
    <cellStyle name="20% - Accent4 4 4 6 6" xfId="16188"/>
    <cellStyle name="20% - Accent4 4 4 7" xfId="16189"/>
    <cellStyle name="20% - Accent4 4 4 7 2" xfId="16190"/>
    <cellStyle name="20% - Accent4 4 4 7 2 2" xfId="16191"/>
    <cellStyle name="20% - Accent4 4 4 7 2 3" xfId="16192"/>
    <cellStyle name="20% - Accent4 4 4 7 3" xfId="16193"/>
    <cellStyle name="20% - Accent4 4 4 7 3 2" xfId="16194"/>
    <cellStyle name="20% - Accent4 4 4 7 4" xfId="16195"/>
    <cellStyle name="20% - Accent4 4 4 7 5" xfId="16196"/>
    <cellStyle name="20% - Accent4 4 4 8" xfId="16197"/>
    <cellStyle name="20% - Accent4 4 4 8 2" xfId="16198"/>
    <cellStyle name="20% - Accent4 4 4 8 3" xfId="16199"/>
    <cellStyle name="20% - Accent4 4 4 9" xfId="16200"/>
    <cellStyle name="20% - Accent4 4 4 9 2" xfId="16201"/>
    <cellStyle name="20% - Accent4 4 4 9 3" xfId="16202"/>
    <cellStyle name="20% - Accent4 4 5" xfId="903"/>
    <cellStyle name="20% - Accent4 4 5 10" xfId="16203"/>
    <cellStyle name="20% - Accent4 4 5 2" xfId="904"/>
    <cellStyle name="20% - Accent4 4 5 2 2" xfId="905"/>
    <cellStyle name="20% - Accent4 4 5 2 2 2" xfId="8905"/>
    <cellStyle name="20% - Accent4 4 5 2 2 2 2" xfId="16204"/>
    <cellStyle name="20% - Accent4 4 5 2 2 2 3" xfId="16205"/>
    <cellStyle name="20% - Accent4 4 5 2 2 3" xfId="16206"/>
    <cellStyle name="20% - Accent4 4 5 2 2 3 2" xfId="16207"/>
    <cellStyle name="20% - Accent4 4 5 2 2 3 3" xfId="16208"/>
    <cellStyle name="20% - Accent4 4 5 2 2 4" xfId="16209"/>
    <cellStyle name="20% - Accent4 4 5 2 2 4 2" xfId="16210"/>
    <cellStyle name="20% - Accent4 4 5 2 2 5" xfId="16211"/>
    <cellStyle name="20% - Accent4 4 5 2 2 6" xfId="16212"/>
    <cellStyle name="20% - Accent4 4 5 2 3" xfId="906"/>
    <cellStyle name="20% - Accent4 4 5 2 3 2" xfId="16213"/>
    <cellStyle name="20% - Accent4 4 5 2 3 2 2" xfId="16214"/>
    <cellStyle name="20% - Accent4 4 5 2 3 2 3" xfId="16215"/>
    <cellStyle name="20% - Accent4 4 5 2 3 3" xfId="16216"/>
    <cellStyle name="20% - Accent4 4 5 2 3 3 2" xfId="16217"/>
    <cellStyle name="20% - Accent4 4 5 2 3 3 3" xfId="16218"/>
    <cellStyle name="20% - Accent4 4 5 2 3 4" xfId="16219"/>
    <cellStyle name="20% - Accent4 4 5 2 3 4 2" xfId="16220"/>
    <cellStyle name="20% - Accent4 4 5 2 3 5" xfId="16221"/>
    <cellStyle name="20% - Accent4 4 5 2 3 6" xfId="16222"/>
    <cellStyle name="20% - Accent4 4 5 2 4" xfId="8906"/>
    <cellStyle name="20% - Accent4 4 5 2 4 2" xfId="16223"/>
    <cellStyle name="20% - Accent4 4 5 2 4 2 2" xfId="16224"/>
    <cellStyle name="20% - Accent4 4 5 2 4 2 3" xfId="16225"/>
    <cellStyle name="20% - Accent4 4 5 2 4 3" xfId="16226"/>
    <cellStyle name="20% - Accent4 4 5 2 4 3 2" xfId="16227"/>
    <cellStyle name="20% - Accent4 4 5 2 4 4" xfId="16228"/>
    <cellStyle name="20% - Accent4 4 5 2 4 5" xfId="16229"/>
    <cellStyle name="20% - Accent4 4 5 2 5" xfId="16230"/>
    <cellStyle name="20% - Accent4 4 5 2 5 2" xfId="16231"/>
    <cellStyle name="20% - Accent4 4 5 2 5 3" xfId="16232"/>
    <cellStyle name="20% - Accent4 4 5 2 6" xfId="16233"/>
    <cellStyle name="20% - Accent4 4 5 2 6 2" xfId="16234"/>
    <cellStyle name="20% - Accent4 4 5 2 6 3" xfId="16235"/>
    <cellStyle name="20% - Accent4 4 5 2 7" xfId="16236"/>
    <cellStyle name="20% - Accent4 4 5 2 7 2" xfId="16237"/>
    <cellStyle name="20% - Accent4 4 5 2 8" xfId="16238"/>
    <cellStyle name="20% - Accent4 4 5 2 9" xfId="16239"/>
    <cellStyle name="20% - Accent4 4 5 3" xfId="907"/>
    <cellStyle name="20% - Accent4 4 5 3 2" xfId="8907"/>
    <cellStyle name="20% - Accent4 4 5 3 2 2" xfId="16240"/>
    <cellStyle name="20% - Accent4 4 5 3 2 3" xfId="16241"/>
    <cellStyle name="20% - Accent4 4 5 3 3" xfId="16242"/>
    <cellStyle name="20% - Accent4 4 5 3 3 2" xfId="16243"/>
    <cellStyle name="20% - Accent4 4 5 3 3 3" xfId="16244"/>
    <cellStyle name="20% - Accent4 4 5 3 4" xfId="16245"/>
    <cellStyle name="20% - Accent4 4 5 3 4 2" xfId="16246"/>
    <cellStyle name="20% - Accent4 4 5 3 5" xfId="16247"/>
    <cellStyle name="20% - Accent4 4 5 3 6" xfId="16248"/>
    <cellStyle name="20% - Accent4 4 5 4" xfId="908"/>
    <cellStyle name="20% - Accent4 4 5 4 2" xfId="16249"/>
    <cellStyle name="20% - Accent4 4 5 4 2 2" xfId="16250"/>
    <cellStyle name="20% - Accent4 4 5 4 2 3" xfId="16251"/>
    <cellStyle name="20% - Accent4 4 5 4 3" xfId="16252"/>
    <cellStyle name="20% - Accent4 4 5 4 3 2" xfId="16253"/>
    <cellStyle name="20% - Accent4 4 5 4 3 3" xfId="16254"/>
    <cellStyle name="20% - Accent4 4 5 4 4" xfId="16255"/>
    <cellStyle name="20% - Accent4 4 5 4 4 2" xfId="16256"/>
    <cellStyle name="20% - Accent4 4 5 4 5" xfId="16257"/>
    <cellStyle name="20% - Accent4 4 5 4 6" xfId="16258"/>
    <cellStyle name="20% - Accent4 4 5 5" xfId="8908"/>
    <cellStyle name="20% - Accent4 4 5 5 2" xfId="16259"/>
    <cellStyle name="20% - Accent4 4 5 5 2 2" xfId="16260"/>
    <cellStyle name="20% - Accent4 4 5 5 2 3" xfId="16261"/>
    <cellStyle name="20% - Accent4 4 5 5 3" xfId="16262"/>
    <cellStyle name="20% - Accent4 4 5 5 3 2" xfId="16263"/>
    <cellStyle name="20% - Accent4 4 5 5 4" xfId="16264"/>
    <cellStyle name="20% - Accent4 4 5 5 5" xfId="16265"/>
    <cellStyle name="20% - Accent4 4 5 6" xfId="16266"/>
    <cellStyle name="20% - Accent4 4 5 6 2" xfId="16267"/>
    <cellStyle name="20% - Accent4 4 5 6 3" xfId="16268"/>
    <cellStyle name="20% - Accent4 4 5 7" xfId="16269"/>
    <cellStyle name="20% - Accent4 4 5 7 2" xfId="16270"/>
    <cellStyle name="20% - Accent4 4 5 7 3" xfId="16271"/>
    <cellStyle name="20% - Accent4 4 5 8" xfId="16272"/>
    <cellStyle name="20% - Accent4 4 5 8 2" xfId="16273"/>
    <cellStyle name="20% - Accent4 4 5 9" xfId="16274"/>
    <cellStyle name="20% - Accent4 4 6" xfId="909"/>
    <cellStyle name="20% - Accent4 4 6 2" xfId="910"/>
    <cellStyle name="20% - Accent4 4 6 2 2" xfId="8909"/>
    <cellStyle name="20% - Accent4 4 6 2 2 2" xfId="16275"/>
    <cellStyle name="20% - Accent4 4 6 2 2 3" xfId="16276"/>
    <cellStyle name="20% - Accent4 4 6 2 3" xfId="16277"/>
    <cellStyle name="20% - Accent4 4 6 2 3 2" xfId="16278"/>
    <cellStyle name="20% - Accent4 4 6 2 3 3" xfId="16279"/>
    <cellStyle name="20% - Accent4 4 6 2 4" xfId="16280"/>
    <cellStyle name="20% - Accent4 4 6 2 4 2" xfId="16281"/>
    <cellStyle name="20% - Accent4 4 6 2 5" xfId="16282"/>
    <cellStyle name="20% - Accent4 4 6 2 6" xfId="16283"/>
    <cellStyle name="20% - Accent4 4 6 3" xfId="911"/>
    <cellStyle name="20% - Accent4 4 6 3 2" xfId="16284"/>
    <cellStyle name="20% - Accent4 4 6 3 2 2" xfId="16285"/>
    <cellStyle name="20% - Accent4 4 6 3 2 3" xfId="16286"/>
    <cellStyle name="20% - Accent4 4 6 3 3" xfId="16287"/>
    <cellStyle name="20% - Accent4 4 6 3 3 2" xfId="16288"/>
    <cellStyle name="20% - Accent4 4 6 3 3 3" xfId="16289"/>
    <cellStyle name="20% - Accent4 4 6 3 4" xfId="16290"/>
    <cellStyle name="20% - Accent4 4 6 3 4 2" xfId="16291"/>
    <cellStyle name="20% - Accent4 4 6 3 5" xfId="16292"/>
    <cellStyle name="20% - Accent4 4 6 3 6" xfId="16293"/>
    <cellStyle name="20% - Accent4 4 6 4" xfId="8910"/>
    <cellStyle name="20% - Accent4 4 6 4 2" xfId="16294"/>
    <cellStyle name="20% - Accent4 4 6 4 2 2" xfId="16295"/>
    <cellStyle name="20% - Accent4 4 6 4 2 3" xfId="16296"/>
    <cellStyle name="20% - Accent4 4 6 4 3" xfId="16297"/>
    <cellStyle name="20% - Accent4 4 6 4 3 2" xfId="16298"/>
    <cellStyle name="20% - Accent4 4 6 4 4" xfId="16299"/>
    <cellStyle name="20% - Accent4 4 6 4 5" xfId="16300"/>
    <cellStyle name="20% - Accent4 4 6 5" xfId="16301"/>
    <cellStyle name="20% - Accent4 4 6 5 2" xfId="16302"/>
    <cellStyle name="20% - Accent4 4 6 5 3" xfId="16303"/>
    <cellStyle name="20% - Accent4 4 6 6" xfId="16304"/>
    <cellStyle name="20% - Accent4 4 6 6 2" xfId="16305"/>
    <cellStyle name="20% - Accent4 4 6 6 3" xfId="16306"/>
    <cellStyle name="20% - Accent4 4 6 7" xfId="16307"/>
    <cellStyle name="20% - Accent4 4 6 7 2" xfId="16308"/>
    <cellStyle name="20% - Accent4 4 6 8" xfId="16309"/>
    <cellStyle name="20% - Accent4 4 6 9" xfId="16310"/>
    <cellStyle name="20% - Accent4 4 7" xfId="912"/>
    <cellStyle name="20% - Accent4 4 7 2" xfId="8911"/>
    <cellStyle name="20% - Accent4 4 7 2 2" xfId="16311"/>
    <cellStyle name="20% - Accent4 4 7 2 2 2" xfId="16312"/>
    <cellStyle name="20% - Accent4 4 7 2 2 3" xfId="16313"/>
    <cellStyle name="20% - Accent4 4 7 2 3" xfId="16314"/>
    <cellStyle name="20% - Accent4 4 7 2 3 2" xfId="16315"/>
    <cellStyle name="20% - Accent4 4 7 2 3 3" xfId="16316"/>
    <cellStyle name="20% - Accent4 4 7 2 4" xfId="16317"/>
    <cellStyle name="20% - Accent4 4 7 2 4 2" xfId="16318"/>
    <cellStyle name="20% - Accent4 4 7 2 5" xfId="16319"/>
    <cellStyle name="20% - Accent4 4 7 2 6" xfId="16320"/>
    <cellStyle name="20% - Accent4 4 7 3" xfId="16321"/>
    <cellStyle name="20% - Accent4 4 7 3 2" xfId="16322"/>
    <cellStyle name="20% - Accent4 4 7 3 2 2" xfId="16323"/>
    <cellStyle name="20% - Accent4 4 7 3 2 3" xfId="16324"/>
    <cellStyle name="20% - Accent4 4 7 3 3" xfId="16325"/>
    <cellStyle name="20% - Accent4 4 7 3 3 2" xfId="16326"/>
    <cellStyle name="20% - Accent4 4 7 3 3 3" xfId="16327"/>
    <cellStyle name="20% - Accent4 4 7 3 4" xfId="16328"/>
    <cellStyle name="20% - Accent4 4 7 3 4 2" xfId="16329"/>
    <cellStyle name="20% - Accent4 4 7 3 5" xfId="16330"/>
    <cellStyle name="20% - Accent4 4 7 3 6" xfId="16331"/>
    <cellStyle name="20% - Accent4 4 7 4" xfId="16332"/>
    <cellStyle name="20% - Accent4 4 7 4 2" xfId="16333"/>
    <cellStyle name="20% - Accent4 4 7 4 2 2" xfId="16334"/>
    <cellStyle name="20% - Accent4 4 7 4 2 3" xfId="16335"/>
    <cellStyle name="20% - Accent4 4 7 4 3" xfId="16336"/>
    <cellStyle name="20% - Accent4 4 7 4 3 2" xfId="16337"/>
    <cellStyle name="20% - Accent4 4 7 4 4" xfId="16338"/>
    <cellStyle name="20% - Accent4 4 7 4 5" xfId="16339"/>
    <cellStyle name="20% - Accent4 4 7 5" xfId="16340"/>
    <cellStyle name="20% - Accent4 4 7 5 2" xfId="16341"/>
    <cellStyle name="20% - Accent4 4 7 5 3" xfId="16342"/>
    <cellStyle name="20% - Accent4 4 7 6" xfId="16343"/>
    <cellStyle name="20% - Accent4 4 7 6 2" xfId="16344"/>
    <cellStyle name="20% - Accent4 4 7 6 3" xfId="16345"/>
    <cellStyle name="20% - Accent4 4 7 7" xfId="16346"/>
    <cellStyle name="20% - Accent4 4 7 7 2" xfId="16347"/>
    <cellStyle name="20% - Accent4 4 7 8" xfId="16348"/>
    <cellStyle name="20% - Accent4 4 7 9" xfId="16349"/>
    <cellStyle name="20% - Accent4 4 8" xfId="913"/>
    <cellStyle name="20% - Accent4 4 8 2" xfId="16350"/>
    <cellStyle name="20% - Accent4 4 8 2 2" xfId="16351"/>
    <cellStyle name="20% - Accent4 4 8 2 3" xfId="16352"/>
    <cellStyle name="20% - Accent4 4 8 3" xfId="16353"/>
    <cellStyle name="20% - Accent4 4 8 3 2" xfId="16354"/>
    <cellStyle name="20% - Accent4 4 8 3 3" xfId="16355"/>
    <cellStyle name="20% - Accent4 4 8 4" xfId="16356"/>
    <cellStyle name="20% - Accent4 4 8 4 2" xfId="16357"/>
    <cellStyle name="20% - Accent4 4 8 5" xfId="16358"/>
    <cellStyle name="20% - Accent4 4 8 6" xfId="16359"/>
    <cellStyle name="20% - Accent4 4 9" xfId="8912"/>
    <cellStyle name="20% - Accent4 4 9 2" xfId="16360"/>
    <cellStyle name="20% - Accent4 4 9 2 2" xfId="16361"/>
    <cellStyle name="20% - Accent4 4 9 2 3" xfId="16362"/>
    <cellStyle name="20% - Accent4 4 9 3" xfId="16363"/>
    <cellStyle name="20% - Accent4 4 9 3 2" xfId="16364"/>
    <cellStyle name="20% - Accent4 4 9 3 3" xfId="16365"/>
    <cellStyle name="20% - Accent4 4 9 4" xfId="16366"/>
    <cellStyle name="20% - Accent4 4 9 4 2" xfId="16367"/>
    <cellStyle name="20% - Accent4 4 9 5" xfId="16368"/>
    <cellStyle name="20% - Accent4 4 9 6" xfId="16369"/>
    <cellStyle name="20% - Accent4 5" xfId="914"/>
    <cellStyle name="20% - Accent4 5 2" xfId="915"/>
    <cellStyle name="20% - Accent4 5 2 2" xfId="916"/>
    <cellStyle name="20% - Accent4 5 2 2 2" xfId="917"/>
    <cellStyle name="20% - Accent4 5 2 2 2 2" xfId="918"/>
    <cellStyle name="20% - Accent4 5 2 2 2 2 2" xfId="919"/>
    <cellStyle name="20% - Accent4 5 2 2 2 3" xfId="920"/>
    <cellStyle name="20% - Accent4 5 2 2 3" xfId="921"/>
    <cellStyle name="20% - Accent4 5 2 2 3 2" xfId="922"/>
    <cellStyle name="20% - Accent4 5 2 2 4" xfId="923"/>
    <cellStyle name="20% - Accent4 5 2 3" xfId="924"/>
    <cellStyle name="20% - Accent4 5 2 3 2" xfId="925"/>
    <cellStyle name="20% - Accent4 5 2 3 2 2" xfId="926"/>
    <cellStyle name="20% - Accent4 5 2 3 3" xfId="927"/>
    <cellStyle name="20% - Accent4 5 2 4" xfId="928"/>
    <cellStyle name="20% - Accent4 5 2 4 2" xfId="929"/>
    <cellStyle name="20% - Accent4 5 2 5" xfId="930"/>
    <cellStyle name="20% - Accent4 5 2 6" xfId="57932"/>
    <cellStyle name="20% - Accent4 5 3" xfId="931"/>
    <cellStyle name="20% - Accent4 5 3 2" xfId="932"/>
    <cellStyle name="20% - Accent4 5 3 2 2" xfId="933"/>
    <cellStyle name="20% - Accent4 5 3 2 2 2" xfId="934"/>
    <cellStyle name="20% - Accent4 5 3 2 3" xfId="935"/>
    <cellStyle name="20% - Accent4 5 3 3" xfId="936"/>
    <cellStyle name="20% - Accent4 5 3 3 2" xfId="937"/>
    <cellStyle name="20% - Accent4 5 3 4" xfId="938"/>
    <cellStyle name="20% - Accent4 5 4" xfId="939"/>
    <cellStyle name="20% - Accent4 5 4 2" xfId="940"/>
    <cellStyle name="20% - Accent4 5 4 2 2" xfId="941"/>
    <cellStyle name="20% - Accent4 5 4 3" xfId="942"/>
    <cellStyle name="20% - Accent4 5 5" xfId="943"/>
    <cellStyle name="20% - Accent4 5 5 2" xfId="944"/>
    <cellStyle name="20% - Accent4 5 6" xfId="945"/>
    <cellStyle name="20% - Accent4 5 7" xfId="946"/>
    <cellStyle name="20% - Accent4 5 8" xfId="57933"/>
    <cellStyle name="20% - Accent4 6" xfId="947"/>
    <cellStyle name="20% - Accent4 6 2" xfId="948"/>
    <cellStyle name="20% - Accent4 6 2 2" xfId="949"/>
    <cellStyle name="20% - Accent4 6 2 2 2" xfId="950"/>
    <cellStyle name="20% - Accent4 6 2 2 2 2" xfId="951"/>
    <cellStyle name="20% - Accent4 6 2 2 2 3" xfId="8913"/>
    <cellStyle name="20% - Accent4 6 2 2 3" xfId="952"/>
    <cellStyle name="20% - Accent4 6 2 2 4" xfId="8914"/>
    <cellStyle name="20% - Accent4 6 2 3" xfId="953"/>
    <cellStyle name="20% - Accent4 6 2 3 2" xfId="954"/>
    <cellStyle name="20% - Accent4 6 2 3 3" xfId="8915"/>
    <cellStyle name="20% - Accent4 6 2 4" xfId="955"/>
    <cellStyle name="20% - Accent4 6 2 5" xfId="8916"/>
    <cellStyle name="20% - Accent4 6 3" xfId="956"/>
    <cellStyle name="20% - Accent4 6 3 2" xfId="957"/>
    <cellStyle name="20% - Accent4 6 3 2 2" xfId="958"/>
    <cellStyle name="20% - Accent4 6 3 2 3" xfId="8917"/>
    <cellStyle name="20% - Accent4 6 3 3" xfId="959"/>
    <cellStyle name="20% - Accent4 6 3 4" xfId="8918"/>
    <cellStyle name="20% - Accent4 6 4" xfId="960"/>
    <cellStyle name="20% - Accent4 6 4 2" xfId="961"/>
    <cellStyle name="20% - Accent4 6 4 3" xfId="8919"/>
    <cellStyle name="20% - Accent4 6 5" xfId="962"/>
    <cellStyle name="20% - Accent4 6 6" xfId="8920"/>
    <cellStyle name="20% - Accent4 7" xfId="963"/>
    <cellStyle name="20% - Accent4 7 2" xfId="964"/>
    <cellStyle name="20% - Accent4 7 2 2" xfId="965"/>
    <cellStyle name="20% - Accent4 7 2 2 2" xfId="966"/>
    <cellStyle name="20% - Accent4 7 2 3" xfId="967"/>
    <cellStyle name="20% - Accent4 7 3" xfId="968"/>
    <cellStyle name="20% - Accent4 7 3 2" xfId="969"/>
    <cellStyle name="20% - Accent4 7 4" xfId="970"/>
    <cellStyle name="20% - Accent4 7 5" xfId="8921"/>
    <cellStyle name="20% - Accent4 8" xfId="971"/>
    <cellStyle name="20% - Accent4 8 2" xfId="972"/>
    <cellStyle name="20% - Accent4 8 2 2" xfId="973"/>
    <cellStyle name="20% - Accent4 8 2 2 2" xfId="974"/>
    <cellStyle name="20% - Accent4 8 2 3" xfId="975"/>
    <cellStyle name="20% - Accent4 8 3" xfId="976"/>
    <cellStyle name="20% - Accent4 8 3 2" xfId="977"/>
    <cellStyle name="20% - Accent4 8 4" xfId="978"/>
    <cellStyle name="20% - Accent4 8 5" xfId="8922"/>
    <cellStyle name="20% - Accent4 9" xfId="979"/>
    <cellStyle name="20% - Accent4 9 2" xfId="980"/>
    <cellStyle name="20% - Accent4 9 2 2" xfId="981"/>
    <cellStyle name="20% - Accent4 9 2 2 2" xfId="982"/>
    <cellStyle name="20% - Accent4 9 2 3" xfId="983"/>
    <cellStyle name="20% - Accent4 9 3" xfId="984"/>
    <cellStyle name="20% - Accent4 9 3 2" xfId="985"/>
    <cellStyle name="20% - Accent4 9 4" xfId="986"/>
    <cellStyle name="20% - Accent4 9 5" xfId="57934"/>
    <cellStyle name="20% - Accent5 10" xfId="987"/>
    <cellStyle name="20% - Accent5 10 2" xfId="988"/>
    <cellStyle name="20% - Accent5 10 2 2" xfId="989"/>
    <cellStyle name="20% - Accent5 10 3" xfId="990"/>
    <cellStyle name="20% - Accent5 10 4" xfId="57935"/>
    <cellStyle name="20% - Accent5 11" xfId="991"/>
    <cellStyle name="20% - Accent5 11 2" xfId="992"/>
    <cellStyle name="20% - Accent5 11 2 2" xfId="993"/>
    <cellStyle name="20% - Accent5 11 3" xfId="994"/>
    <cellStyle name="20% - Accent5 11 4" xfId="57936"/>
    <cellStyle name="20% - Accent5 12" xfId="995"/>
    <cellStyle name="20% - Accent5 12 2" xfId="996"/>
    <cellStyle name="20% - Accent5 12 3" xfId="57937"/>
    <cellStyle name="20% - Accent5 13" xfId="997"/>
    <cellStyle name="20% - Accent5 13 2" xfId="57938"/>
    <cellStyle name="20% - Accent5 14" xfId="8923"/>
    <cellStyle name="20% - Accent5 15" xfId="9390"/>
    <cellStyle name="20% - Accent5 16" xfId="9391"/>
    <cellStyle name="20% - Accent5 17" xfId="9392"/>
    <cellStyle name="20% - Accent5 18" xfId="57939"/>
    <cellStyle name="20% - Accent5 19" xfId="57940"/>
    <cellStyle name="20% - Accent5 2" xfId="998"/>
    <cellStyle name="20% - Accent5 2 2" xfId="999"/>
    <cellStyle name="20% - Accent5 2 2 2" xfId="1000"/>
    <cellStyle name="20% - Accent5 2 2 2 2" xfId="1001"/>
    <cellStyle name="20% - Accent5 2 2 2 2 2" xfId="1002"/>
    <cellStyle name="20% - Accent5 2 2 2 2 2 2" xfId="1003"/>
    <cellStyle name="20% - Accent5 2 2 2 2 2 2 2" xfId="1004"/>
    <cellStyle name="20% - Accent5 2 2 2 2 2 3" xfId="1005"/>
    <cellStyle name="20% - Accent5 2 2 2 2 3" xfId="1006"/>
    <cellStyle name="20% - Accent5 2 2 2 2 3 2" xfId="1007"/>
    <cellStyle name="20% - Accent5 2 2 2 2 4" xfId="1008"/>
    <cellStyle name="20% - Accent5 2 2 2 2 5" xfId="57941"/>
    <cellStyle name="20% - Accent5 2 2 2 3" xfId="1009"/>
    <cellStyle name="20% - Accent5 2 2 2 3 2" xfId="1010"/>
    <cellStyle name="20% - Accent5 2 2 2 3 2 2" xfId="1011"/>
    <cellStyle name="20% - Accent5 2 2 2 3 3" xfId="1012"/>
    <cellStyle name="20% - Accent5 2 2 2 4" xfId="1013"/>
    <cellStyle name="20% - Accent5 2 2 2 4 2" xfId="1014"/>
    <cellStyle name="20% - Accent5 2 2 2 5" xfId="1015"/>
    <cellStyle name="20% - Accent5 2 2 2 6" xfId="57942"/>
    <cellStyle name="20% - Accent5 2 2 3" xfId="1016"/>
    <cellStyle name="20% - Accent5 2 2 3 2" xfId="1017"/>
    <cellStyle name="20% - Accent5 2 2 3 2 2" xfId="1018"/>
    <cellStyle name="20% - Accent5 2 2 3 2 2 2" xfId="1019"/>
    <cellStyle name="20% - Accent5 2 2 3 2 3" xfId="1020"/>
    <cellStyle name="20% - Accent5 2 2 3 3" xfId="1021"/>
    <cellStyle name="20% - Accent5 2 2 3 3 2" xfId="1022"/>
    <cellStyle name="20% - Accent5 2 2 3 4" xfId="1023"/>
    <cellStyle name="20% - Accent5 2 2 3 5" xfId="57943"/>
    <cellStyle name="20% - Accent5 2 2 4" xfId="1024"/>
    <cellStyle name="20% - Accent5 2 2 4 2" xfId="1025"/>
    <cellStyle name="20% - Accent5 2 2 4 2 2" xfId="1026"/>
    <cellStyle name="20% - Accent5 2 2 4 3" xfId="1027"/>
    <cellStyle name="20% - Accent5 2 2 5" xfId="1028"/>
    <cellStyle name="20% - Accent5 2 2 5 2" xfId="1029"/>
    <cellStyle name="20% - Accent5 2 2 6" xfId="1030"/>
    <cellStyle name="20% - Accent5 2 2 7" xfId="57944"/>
    <cellStyle name="20% - Accent5 2 3" xfId="1031"/>
    <cellStyle name="20% - Accent5 2 3 2" xfId="1032"/>
    <cellStyle name="20% - Accent5 2 3 2 2" xfId="1033"/>
    <cellStyle name="20% - Accent5 2 3 2 2 2" xfId="1034"/>
    <cellStyle name="20% - Accent5 2 3 2 2 2 2" xfId="1035"/>
    <cellStyle name="20% - Accent5 2 3 2 2 3" xfId="1036"/>
    <cellStyle name="20% - Accent5 2 3 2 3" xfId="1037"/>
    <cellStyle name="20% - Accent5 2 3 2 3 2" xfId="1038"/>
    <cellStyle name="20% - Accent5 2 3 2 4" xfId="1039"/>
    <cellStyle name="20% - Accent5 2 3 3" xfId="1040"/>
    <cellStyle name="20% - Accent5 2 3 3 2" xfId="1041"/>
    <cellStyle name="20% - Accent5 2 3 3 2 2" xfId="1042"/>
    <cellStyle name="20% - Accent5 2 3 3 3" xfId="1043"/>
    <cellStyle name="20% - Accent5 2 3 4" xfId="1044"/>
    <cellStyle name="20% - Accent5 2 3 4 2" xfId="1045"/>
    <cellStyle name="20% - Accent5 2 3 5" xfId="1046"/>
    <cellStyle name="20% - Accent5 2 3 6" xfId="57945"/>
    <cellStyle name="20% - Accent5 2 4" xfId="1047"/>
    <cellStyle name="20% - Accent5 2 4 2" xfId="1048"/>
    <cellStyle name="20% - Accent5 2 4 2 2" xfId="1049"/>
    <cellStyle name="20% - Accent5 2 4 2 2 2" xfId="1050"/>
    <cellStyle name="20% - Accent5 2 4 2 3" xfId="1051"/>
    <cellStyle name="20% - Accent5 2 4 3" xfId="1052"/>
    <cellStyle name="20% - Accent5 2 4 3 2" xfId="1053"/>
    <cellStyle name="20% - Accent5 2 4 4" xfId="1054"/>
    <cellStyle name="20% - Accent5 2 4 5" xfId="57946"/>
    <cellStyle name="20% - Accent5 2 5" xfId="1055"/>
    <cellStyle name="20% - Accent5 2 5 2" xfId="1056"/>
    <cellStyle name="20% - Accent5 2 5 2 2" xfId="1057"/>
    <cellStyle name="20% - Accent5 2 5 3" xfId="1058"/>
    <cellStyle name="20% - Accent5 2 5 4" xfId="57947"/>
    <cellStyle name="20% - Accent5 2 6" xfId="1059"/>
    <cellStyle name="20% - Accent5 2 6 2" xfId="1060"/>
    <cellStyle name="20% - Accent5 2 6 3" xfId="57948"/>
    <cellStyle name="20% - Accent5 2 7" xfId="1061"/>
    <cellStyle name="20% - Accent5 2 8" xfId="1062"/>
    <cellStyle name="20% - Accent5 2 9" xfId="57949"/>
    <cellStyle name="20% - Accent5 20" xfId="57950"/>
    <cellStyle name="20% - Accent5 21" xfId="57951"/>
    <cellStyle name="20% - Accent5 3" xfId="1063"/>
    <cellStyle name="20% - Accent5 3 2" xfId="1064"/>
    <cellStyle name="20% - Accent5 3 2 2" xfId="1065"/>
    <cellStyle name="20% - Accent5 3 2 2 2" xfId="1066"/>
    <cellStyle name="20% - Accent5 3 2 2 2 2" xfId="1067"/>
    <cellStyle name="20% - Accent5 3 2 2 2 2 2" xfId="1068"/>
    <cellStyle name="20% - Accent5 3 2 2 2 2 2 2" xfId="1069"/>
    <cellStyle name="20% - Accent5 3 2 2 2 2 3" xfId="1070"/>
    <cellStyle name="20% - Accent5 3 2 2 2 3" xfId="1071"/>
    <cellStyle name="20% - Accent5 3 2 2 2 3 2" xfId="1072"/>
    <cellStyle name="20% - Accent5 3 2 2 2 4" xfId="1073"/>
    <cellStyle name="20% - Accent5 3 2 2 2 5" xfId="8924"/>
    <cellStyle name="20% - Accent5 3 2 2 3" xfId="1074"/>
    <cellStyle name="20% - Accent5 3 2 2 3 2" xfId="1075"/>
    <cellStyle name="20% - Accent5 3 2 2 3 2 2" xfId="1076"/>
    <cellStyle name="20% - Accent5 3 2 2 3 3" xfId="1077"/>
    <cellStyle name="20% - Accent5 3 2 2 4" xfId="1078"/>
    <cellStyle name="20% - Accent5 3 2 2 4 2" xfId="1079"/>
    <cellStyle name="20% - Accent5 3 2 2 5" xfId="1080"/>
    <cellStyle name="20% - Accent5 3 2 2 6" xfId="8925"/>
    <cellStyle name="20% - Accent5 3 2 3" xfId="1081"/>
    <cellStyle name="20% - Accent5 3 2 3 2" xfId="1082"/>
    <cellStyle name="20% - Accent5 3 2 3 2 2" xfId="1083"/>
    <cellStyle name="20% - Accent5 3 2 3 2 2 2" xfId="1084"/>
    <cellStyle name="20% - Accent5 3 2 3 2 3" xfId="1085"/>
    <cellStyle name="20% - Accent5 3 2 3 3" xfId="1086"/>
    <cellStyle name="20% - Accent5 3 2 3 3 2" xfId="1087"/>
    <cellStyle name="20% - Accent5 3 2 3 4" xfId="1088"/>
    <cellStyle name="20% - Accent5 3 2 3 5" xfId="8926"/>
    <cellStyle name="20% - Accent5 3 2 4" xfId="1089"/>
    <cellStyle name="20% - Accent5 3 2 4 2" xfId="1090"/>
    <cellStyle name="20% - Accent5 3 2 4 2 2" xfId="1091"/>
    <cellStyle name="20% - Accent5 3 2 4 3" xfId="1092"/>
    <cellStyle name="20% - Accent5 3 2 5" xfId="1093"/>
    <cellStyle name="20% - Accent5 3 2 5 2" xfId="1094"/>
    <cellStyle name="20% - Accent5 3 2 6" xfId="1095"/>
    <cellStyle name="20% - Accent5 3 2 7" xfId="8927"/>
    <cellStyle name="20% - Accent5 3 3" xfId="1096"/>
    <cellStyle name="20% - Accent5 3 3 2" xfId="1097"/>
    <cellStyle name="20% - Accent5 3 3 2 2" xfId="1098"/>
    <cellStyle name="20% - Accent5 3 3 2 2 2" xfId="1099"/>
    <cellStyle name="20% - Accent5 3 3 2 2 2 2" xfId="1100"/>
    <cellStyle name="20% - Accent5 3 3 2 2 3" xfId="1101"/>
    <cellStyle name="20% - Accent5 3 3 2 3" xfId="1102"/>
    <cellStyle name="20% - Accent5 3 3 2 3 2" xfId="1103"/>
    <cellStyle name="20% - Accent5 3 3 2 4" xfId="1104"/>
    <cellStyle name="20% - Accent5 3 3 2 5" xfId="8928"/>
    <cellStyle name="20% - Accent5 3 3 3" xfId="1105"/>
    <cellStyle name="20% - Accent5 3 3 3 2" xfId="1106"/>
    <cellStyle name="20% - Accent5 3 3 3 2 2" xfId="1107"/>
    <cellStyle name="20% - Accent5 3 3 3 3" xfId="1108"/>
    <cellStyle name="20% - Accent5 3 3 4" xfId="1109"/>
    <cellStyle name="20% - Accent5 3 3 4 2" xfId="1110"/>
    <cellStyle name="20% - Accent5 3 3 5" xfId="1111"/>
    <cellStyle name="20% - Accent5 3 3 6" xfId="8929"/>
    <cellStyle name="20% - Accent5 3 4" xfId="1112"/>
    <cellStyle name="20% - Accent5 3 4 2" xfId="1113"/>
    <cellStyle name="20% - Accent5 3 4 2 2" xfId="1114"/>
    <cellStyle name="20% - Accent5 3 4 2 2 2" xfId="1115"/>
    <cellStyle name="20% - Accent5 3 4 2 3" xfId="1116"/>
    <cellStyle name="20% - Accent5 3 4 3" xfId="1117"/>
    <cellStyle name="20% - Accent5 3 4 3 2" xfId="1118"/>
    <cellStyle name="20% - Accent5 3 4 4" xfId="1119"/>
    <cellStyle name="20% - Accent5 3 4 5" xfId="8930"/>
    <cellStyle name="20% - Accent5 3 5" xfId="1120"/>
    <cellStyle name="20% - Accent5 3 5 2" xfId="1121"/>
    <cellStyle name="20% - Accent5 3 5 2 2" xfId="1122"/>
    <cellStyle name="20% - Accent5 3 5 3" xfId="1123"/>
    <cellStyle name="20% - Accent5 3 6" xfId="1124"/>
    <cellStyle name="20% - Accent5 3 6 2" xfId="1125"/>
    <cellStyle name="20% - Accent5 3 7" xfId="1126"/>
    <cellStyle name="20% - Accent5 3 8" xfId="1127"/>
    <cellStyle name="20% - Accent5 3 9" xfId="8931"/>
    <cellStyle name="20% - Accent5 4" xfId="1128"/>
    <cellStyle name="20% - Accent5 4 10" xfId="16370"/>
    <cellStyle name="20% - Accent5 4 10 2" xfId="16371"/>
    <cellStyle name="20% - Accent5 4 10 2 2" xfId="16372"/>
    <cellStyle name="20% - Accent5 4 10 2 3" xfId="16373"/>
    <cellStyle name="20% - Accent5 4 10 3" xfId="16374"/>
    <cellStyle name="20% - Accent5 4 10 3 2" xfId="16375"/>
    <cellStyle name="20% - Accent5 4 10 4" xfId="16376"/>
    <cellStyle name="20% - Accent5 4 10 5" xfId="16377"/>
    <cellStyle name="20% - Accent5 4 11" xfId="16378"/>
    <cellStyle name="20% - Accent5 4 11 2" xfId="16379"/>
    <cellStyle name="20% - Accent5 4 11 3" xfId="16380"/>
    <cellStyle name="20% - Accent5 4 12" xfId="16381"/>
    <cellStyle name="20% - Accent5 4 12 2" xfId="16382"/>
    <cellStyle name="20% - Accent5 4 12 3" xfId="16383"/>
    <cellStyle name="20% - Accent5 4 13" xfId="16384"/>
    <cellStyle name="20% - Accent5 4 13 2" xfId="16385"/>
    <cellStyle name="20% - Accent5 4 14" xfId="16386"/>
    <cellStyle name="20% - Accent5 4 15" xfId="16387"/>
    <cellStyle name="20% - Accent5 4 16" xfId="16388"/>
    <cellStyle name="20% - Accent5 4 2" xfId="1129"/>
    <cellStyle name="20% - Accent5 4 2 10" xfId="16389"/>
    <cellStyle name="20% - Accent5 4 2 10 2" xfId="16390"/>
    <cellStyle name="20% - Accent5 4 2 10 3" xfId="16391"/>
    <cellStyle name="20% - Accent5 4 2 11" xfId="16392"/>
    <cellStyle name="20% - Accent5 4 2 11 2" xfId="16393"/>
    <cellStyle name="20% - Accent5 4 2 11 3" xfId="16394"/>
    <cellStyle name="20% - Accent5 4 2 12" xfId="16395"/>
    <cellStyle name="20% - Accent5 4 2 12 2" xfId="16396"/>
    <cellStyle name="20% - Accent5 4 2 13" xfId="16397"/>
    <cellStyle name="20% - Accent5 4 2 14" xfId="16398"/>
    <cellStyle name="20% - Accent5 4 2 15" xfId="16399"/>
    <cellStyle name="20% - Accent5 4 2 2" xfId="1130"/>
    <cellStyle name="20% - Accent5 4 2 2 10" xfId="16400"/>
    <cellStyle name="20% - Accent5 4 2 2 10 2" xfId="16401"/>
    <cellStyle name="20% - Accent5 4 2 2 10 3" xfId="16402"/>
    <cellStyle name="20% - Accent5 4 2 2 11" xfId="16403"/>
    <cellStyle name="20% - Accent5 4 2 2 11 2" xfId="16404"/>
    <cellStyle name="20% - Accent5 4 2 2 12" xfId="16405"/>
    <cellStyle name="20% - Accent5 4 2 2 13" xfId="16406"/>
    <cellStyle name="20% - Accent5 4 2 2 2" xfId="1131"/>
    <cellStyle name="20% - Accent5 4 2 2 2 10" xfId="16407"/>
    <cellStyle name="20% - Accent5 4 2 2 2 10 2" xfId="16408"/>
    <cellStyle name="20% - Accent5 4 2 2 2 11" xfId="16409"/>
    <cellStyle name="20% - Accent5 4 2 2 2 12" xfId="16410"/>
    <cellStyle name="20% - Accent5 4 2 2 2 2" xfId="1132"/>
    <cellStyle name="20% - Accent5 4 2 2 2 2 10" xfId="16411"/>
    <cellStyle name="20% - Accent5 4 2 2 2 2 2" xfId="1133"/>
    <cellStyle name="20% - Accent5 4 2 2 2 2 2 2" xfId="16412"/>
    <cellStyle name="20% - Accent5 4 2 2 2 2 2 2 2" xfId="16413"/>
    <cellStyle name="20% - Accent5 4 2 2 2 2 2 2 2 2" xfId="16414"/>
    <cellStyle name="20% - Accent5 4 2 2 2 2 2 2 2 3" xfId="16415"/>
    <cellStyle name="20% - Accent5 4 2 2 2 2 2 2 3" xfId="16416"/>
    <cellStyle name="20% - Accent5 4 2 2 2 2 2 2 3 2" xfId="16417"/>
    <cellStyle name="20% - Accent5 4 2 2 2 2 2 2 3 3" xfId="16418"/>
    <cellStyle name="20% - Accent5 4 2 2 2 2 2 2 4" xfId="16419"/>
    <cellStyle name="20% - Accent5 4 2 2 2 2 2 2 4 2" xfId="16420"/>
    <cellStyle name="20% - Accent5 4 2 2 2 2 2 2 5" xfId="16421"/>
    <cellStyle name="20% - Accent5 4 2 2 2 2 2 2 6" xfId="16422"/>
    <cellStyle name="20% - Accent5 4 2 2 2 2 2 3" xfId="16423"/>
    <cellStyle name="20% - Accent5 4 2 2 2 2 2 3 2" xfId="16424"/>
    <cellStyle name="20% - Accent5 4 2 2 2 2 2 3 2 2" xfId="16425"/>
    <cellStyle name="20% - Accent5 4 2 2 2 2 2 3 2 3" xfId="16426"/>
    <cellStyle name="20% - Accent5 4 2 2 2 2 2 3 3" xfId="16427"/>
    <cellStyle name="20% - Accent5 4 2 2 2 2 2 3 3 2" xfId="16428"/>
    <cellStyle name="20% - Accent5 4 2 2 2 2 2 3 3 3" xfId="16429"/>
    <cellStyle name="20% - Accent5 4 2 2 2 2 2 3 4" xfId="16430"/>
    <cellStyle name="20% - Accent5 4 2 2 2 2 2 3 4 2" xfId="16431"/>
    <cellStyle name="20% - Accent5 4 2 2 2 2 2 3 5" xfId="16432"/>
    <cellStyle name="20% - Accent5 4 2 2 2 2 2 3 6" xfId="16433"/>
    <cellStyle name="20% - Accent5 4 2 2 2 2 2 4" xfId="16434"/>
    <cellStyle name="20% - Accent5 4 2 2 2 2 2 4 2" xfId="16435"/>
    <cellStyle name="20% - Accent5 4 2 2 2 2 2 4 2 2" xfId="16436"/>
    <cellStyle name="20% - Accent5 4 2 2 2 2 2 4 2 3" xfId="16437"/>
    <cellStyle name="20% - Accent5 4 2 2 2 2 2 4 3" xfId="16438"/>
    <cellStyle name="20% - Accent5 4 2 2 2 2 2 4 3 2" xfId="16439"/>
    <cellStyle name="20% - Accent5 4 2 2 2 2 2 4 4" xfId="16440"/>
    <cellStyle name="20% - Accent5 4 2 2 2 2 2 4 5" xfId="16441"/>
    <cellStyle name="20% - Accent5 4 2 2 2 2 2 5" xfId="16442"/>
    <cellStyle name="20% - Accent5 4 2 2 2 2 2 5 2" xfId="16443"/>
    <cellStyle name="20% - Accent5 4 2 2 2 2 2 5 3" xfId="16444"/>
    <cellStyle name="20% - Accent5 4 2 2 2 2 2 6" xfId="16445"/>
    <cellStyle name="20% - Accent5 4 2 2 2 2 2 6 2" xfId="16446"/>
    <cellStyle name="20% - Accent5 4 2 2 2 2 2 6 3" xfId="16447"/>
    <cellStyle name="20% - Accent5 4 2 2 2 2 2 7" xfId="16448"/>
    <cellStyle name="20% - Accent5 4 2 2 2 2 2 7 2" xfId="16449"/>
    <cellStyle name="20% - Accent5 4 2 2 2 2 2 8" xfId="16450"/>
    <cellStyle name="20% - Accent5 4 2 2 2 2 2 9" xfId="16451"/>
    <cellStyle name="20% - Accent5 4 2 2 2 2 3" xfId="16452"/>
    <cellStyle name="20% - Accent5 4 2 2 2 2 3 2" xfId="16453"/>
    <cellStyle name="20% - Accent5 4 2 2 2 2 3 2 2" xfId="16454"/>
    <cellStyle name="20% - Accent5 4 2 2 2 2 3 2 3" xfId="16455"/>
    <cellStyle name="20% - Accent5 4 2 2 2 2 3 3" xfId="16456"/>
    <cellStyle name="20% - Accent5 4 2 2 2 2 3 3 2" xfId="16457"/>
    <cellStyle name="20% - Accent5 4 2 2 2 2 3 3 3" xfId="16458"/>
    <cellStyle name="20% - Accent5 4 2 2 2 2 3 4" xfId="16459"/>
    <cellStyle name="20% - Accent5 4 2 2 2 2 3 4 2" xfId="16460"/>
    <cellStyle name="20% - Accent5 4 2 2 2 2 3 5" xfId="16461"/>
    <cellStyle name="20% - Accent5 4 2 2 2 2 3 6" xfId="16462"/>
    <cellStyle name="20% - Accent5 4 2 2 2 2 4" xfId="16463"/>
    <cellStyle name="20% - Accent5 4 2 2 2 2 4 2" xfId="16464"/>
    <cellStyle name="20% - Accent5 4 2 2 2 2 4 2 2" xfId="16465"/>
    <cellStyle name="20% - Accent5 4 2 2 2 2 4 2 3" xfId="16466"/>
    <cellStyle name="20% - Accent5 4 2 2 2 2 4 3" xfId="16467"/>
    <cellStyle name="20% - Accent5 4 2 2 2 2 4 3 2" xfId="16468"/>
    <cellStyle name="20% - Accent5 4 2 2 2 2 4 3 3" xfId="16469"/>
    <cellStyle name="20% - Accent5 4 2 2 2 2 4 4" xfId="16470"/>
    <cellStyle name="20% - Accent5 4 2 2 2 2 4 4 2" xfId="16471"/>
    <cellStyle name="20% - Accent5 4 2 2 2 2 4 5" xfId="16472"/>
    <cellStyle name="20% - Accent5 4 2 2 2 2 4 6" xfId="16473"/>
    <cellStyle name="20% - Accent5 4 2 2 2 2 5" xfId="16474"/>
    <cellStyle name="20% - Accent5 4 2 2 2 2 5 2" xfId="16475"/>
    <cellStyle name="20% - Accent5 4 2 2 2 2 5 2 2" xfId="16476"/>
    <cellStyle name="20% - Accent5 4 2 2 2 2 5 2 3" xfId="16477"/>
    <cellStyle name="20% - Accent5 4 2 2 2 2 5 3" xfId="16478"/>
    <cellStyle name="20% - Accent5 4 2 2 2 2 5 3 2" xfId="16479"/>
    <cellStyle name="20% - Accent5 4 2 2 2 2 5 4" xfId="16480"/>
    <cellStyle name="20% - Accent5 4 2 2 2 2 5 5" xfId="16481"/>
    <cellStyle name="20% - Accent5 4 2 2 2 2 6" xfId="16482"/>
    <cellStyle name="20% - Accent5 4 2 2 2 2 6 2" xfId="16483"/>
    <cellStyle name="20% - Accent5 4 2 2 2 2 6 3" xfId="16484"/>
    <cellStyle name="20% - Accent5 4 2 2 2 2 7" xfId="16485"/>
    <cellStyle name="20% - Accent5 4 2 2 2 2 7 2" xfId="16486"/>
    <cellStyle name="20% - Accent5 4 2 2 2 2 7 3" xfId="16487"/>
    <cellStyle name="20% - Accent5 4 2 2 2 2 8" xfId="16488"/>
    <cellStyle name="20% - Accent5 4 2 2 2 2 8 2" xfId="16489"/>
    <cellStyle name="20% - Accent5 4 2 2 2 2 9" xfId="16490"/>
    <cellStyle name="20% - Accent5 4 2 2 2 3" xfId="1134"/>
    <cellStyle name="20% - Accent5 4 2 2 2 3 2" xfId="16491"/>
    <cellStyle name="20% - Accent5 4 2 2 2 3 2 2" xfId="16492"/>
    <cellStyle name="20% - Accent5 4 2 2 2 3 2 2 2" xfId="16493"/>
    <cellStyle name="20% - Accent5 4 2 2 2 3 2 2 3" xfId="16494"/>
    <cellStyle name="20% - Accent5 4 2 2 2 3 2 3" xfId="16495"/>
    <cellStyle name="20% - Accent5 4 2 2 2 3 2 3 2" xfId="16496"/>
    <cellStyle name="20% - Accent5 4 2 2 2 3 2 3 3" xfId="16497"/>
    <cellStyle name="20% - Accent5 4 2 2 2 3 2 4" xfId="16498"/>
    <cellStyle name="20% - Accent5 4 2 2 2 3 2 4 2" xfId="16499"/>
    <cellStyle name="20% - Accent5 4 2 2 2 3 2 5" xfId="16500"/>
    <cellStyle name="20% - Accent5 4 2 2 2 3 2 6" xfId="16501"/>
    <cellStyle name="20% - Accent5 4 2 2 2 3 3" xfId="16502"/>
    <cellStyle name="20% - Accent5 4 2 2 2 3 3 2" xfId="16503"/>
    <cellStyle name="20% - Accent5 4 2 2 2 3 3 2 2" xfId="16504"/>
    <cellStyle name="20% - Accent5 4 2 2 2 3 3 2 3" xfId="16505"/>
    <cellStyle name="20% - Accent5 4 2 2 2 3 3 3" xfId="16506"/>
    <cellStyle name="20% - Accent5 4 2 2 2 3 3 3 2" xfId="16507"/>
    <cellStyle name="20% - Accent5 4 2 2 2 3 3 3 3" xfId="16508"/>
    <cellStyle name="20% - Accent5 4 2 2 2 3 3 4" xfId="16509"/>
    <cellStyle name="20% - Accent5 4 2 2 2 3 3 4 2" xfId="16510"/>
    <cellStyle name="20% - Accent5 4 2 2 2 3 3 5" xfId="16511"/>
    <cellStyle name="20% - Accent5 4 2 2 2 3 3 6" xfId="16512"/>
    <cellStyle name="20% - Accent5 4 2 2 2 3 4" xfId="16513"/>
    <cellStyle name="20% - Accent5 4 2 2 2 3 4 2" xfId="16514"/>
    <cellStyle name="20% - Accent5 4 2 2 2 3 4 2 2" xfId="16515"/>
    <cellStyle name="20% - Accent5 4 2 2 2 3 4 2 3" xfId="16516"/>
    <cellStyle name="20% - Accent5 4 2 2 2 3 4 3" xfId="16517"/>
    <cellStyle name="20% - Accent5 4 2 2 2 3 4 3 2" xfId="16518"/>
    <cellStyle name="20% - Accent5 4 2 2 2 3 4 4" xfId="16519"/>
    <cellStyle name="20% - Accent5 4 2 2 2 3 4 5" xfId="16520"/>
    <cellStyle name="20% - Accent5 4 2 2 2 3 5" xfId="16521"/>
    <cellStyle name="20% - Accent5 4 2 2 2 3 5 2" xfId="16522"/>
    <cellStyle name="20% - Accent5 4 2 2 2 3 5 3" xfId="16523"/>
    <cellStyle name="20% - Accent5 4 2 2 2 3 6" xfId="16524"/>
    <cellStyle name="20% - Accent5 4 2 2 2 3 6 2" xfId="16525"/>
    <cellStyle name="20% - Accent5 4 2 2 2 3 6 3" xfId="16526"/>
    <cellStyle name="20% - Accent5 4 2 2 2 3 7" xfId="16527"/>
    <cellStyle name="20% - Accent5 4 2 2 2 3 7 2" xfId="16528"/>
    <cellStyle name="20% - Accent5 4 2 2 2 3 8" xfId="16529"/>
    <cellStyle name="20% - Accent5 4 2 2 2 3 9" xfId="16530"/>
    <cellStyle name="20% - Accent5 4 2 2 2 4" xfId="16531"/>
    <cellStyle name="20% - Accent5 4 2 2 2 4 2" xfId="16532"/>
    <cellStyle name="20% - Accent5 4 2 2 2 4 2 2" xfId="16533"/>
    <cellStyle name="20% - Accent5 4 2 2 2 4 2 2 2" xfId="16534"/>
    <cellStyle name="20% - Accent5 4 2 2 2 4 2 2 3" xfId="16535"/>
    <cellStyle name="20% - Accent5 4 2 2 2 4 2 3" xfId="16536"/>
    <cellStyle name="20% - Accent5 4 2 2 2 4 2 3 2" xfId="16537"/>
    <cellStyle name="20% - Accent5 4 2 2 2 4 2 3 3" xfId="16538"/>
    <cellStyle name="20% - Accent5 4 2 2 2 4 2 4" xfId="16539"/>
    <cellStyle name="20% - Accent5 4 2 2 2 4 2 4 2" xfId="16540"/>
    <cellStyle name="20% - Accent5 4 2 2 2 4 2 5" xfId="16541"/>
    <cellStyle name="20% - Accent5 4 2 2 2 4 2 6" xfId="16542"/>
    <cellStyle name="20% - Accent5 4 2 2 2 4 3" xfId="16543"/>
    <cellStyle name="20% - Accent5 4 2 2 2 4 3 2" xfId="16544"/>
    <cellStyle name="20% - Accent5 4 2 2 2 4 3 2 2" xfId="16545"/>
    <cellStyle name="20% - Accent5 4 2 2 2 4 3 2 3" xfId="16546"/>
    <cellStyle name="20% - Accent5 4 2 2 2 4 3 3" xfId="16547"/>
    <cellStyle name="20% - Accent5 4 2 2 2 4 3 3 2" xfId="16548"/>
    <cellStyle name="20% - Accent5 4 2 2 2 4 3 3 3" xfId="16549"/>
    <cellStyle name="20% - Accent5 4 2 2 2 4 3 4" xfId="16550"/>
    <cellStyle name="20% - Accent5 4 2 2 2 4 3 4 2" xfId="16551"/>
    <cellStyle name="20% - Accent5 4 2 2 2 4 3 5" xfId="16552"/>
    <cellStyle name="20% - Accent5 4 2 2 2 4 3 6" xfId="16553"/>
    <cellStyle name="20% - Accent5 4 2 2 2 4 4" xfId="16554"/>
    <cellStyle name="20% - Accent5 4 2 2 2 4 4 2" xfId="16555"/>
    <cellStyle name="20% - Accent5 4 2 2 2 4 4 2 2" xfId="16556"/>
    <cellStyle name="20% - Accent5 4 2 2 2 4 4 2 3" xfId="16557"/>
    <cellStyle name="20% - Accent5 4 2 2 2 4 4 3" xfId="16558"/>
    <cellStyle name="20% - Accent5 4 2 2 2 4 4 3 2" xfId="16559"/>
    <cellStyle name="20% - Accent5 4 2 2 2 4 4 4" xfId="16560"/>
    <cellStyle name="20% - Accent5 4 2 2 2 4 4 5" xfId="16561"/>
    <cellStyle name="20% - Accent5 4 2 2 2 4 5" xfId="16562"/>
    <cellStyle name="20% - Accent5 4 2 2 2 4 5 2" xfId="16563"/>
    <cellStyle name="20% - Accent5 4 2 2 2 4 5 3" xfId="16564"/>
    <cellStyle name="20% - Accent5 4 2 2 2 4 6" xfId="16565"/>
    <cellStyle name="20% - Accent5 4 2 2 2 4 6 2" xfId="16566"/>
    <cellStyle name="20% - Accent5 4 2 2 2 4 6 3" xfId="16567"/>
    <cellStyle name="20% - Accent5 4 2 2 2 4 7" xfId="16568"/>
    <cellStyle name="20% - Accent5 4 2 2 2 4 7 2" xfId="16569"/>
    <cellStyle name="20% - Accent5 4 2 2 2 4 8" xfId="16570"/>
    <cellStyle name="20% - Accent5 4 2 2 2 4 9" xfId="16571"/>
    <cellStyle name="20% - Accent5 4 2 2 2 5" xfId="16572"/>
    <cellStyle name="20% - Accent5 4 2 2 2 5 2" xfId="16573"/>
    <cellStyle name="20% - Accent5 4 2 2 2 5 2 2" xfId="16574"/>
    <cellStyle name="20% - Accent5 4 2 2 2 5 2 3" xfId="16575"/>
    <cellStyle name="20% - Accent5 4 2 2 2 5 3" xfId="16576"/>
    <cellStyle name="20% - Accent5 4 2 2 2 5 3 2" xfId="16577"/>
    <cellStyle name="20% - Accent5 4 2 2 2 5 3 3" xfId="16578"/>
    <cellStyle name="20% - Accent5 4 2 2 2 5 4" xfId="16579"/>
    <cellStyle name="20% - Accent5 4 2 2 2 5 4 2" xfId="16580"/>
    <cellStyle name="20% - Accent5 4 2 2 2 5 5" xfId="16581"/>
    <cellStyle name="20% - Accent5 4 2 2 2 5 6" xfId="16582"/>
    <cellStyle name="20% - Accent5 4 2 2 2 6" xfId="16583"/>
    <cellStyle name="20% - Accent5 4 2 2 2 6 2" xfId="16584"/>
    <cellStyle name="20% - Accent5 4 2 2 2 6 2 2" xfId="16585"/>
    <cellStyle name="20% - Accent5 4 2 2 2 6 2 3" xfId="16586"/>
    <cellStyle name="20% - Accent5 4 2 2 2 6 3" xfId="16587"/>
    <cellStyle name="20% - Accent5 4 2 2 2 6 3 2" xfId="16588"/>
    <cellStyle name="20% - Accent5 4 2 2 2 6 3 3" xfId="16589"/>
    <cellStyle name="20% - Accent5 4 2 2 2 6 4" xfId="16590"/>
    <cellStyle name="20% - Accent5 4 2 2 2 6 4 2" xfId="16591"/>
    <cellStyle name="20% - Accent5 4 2 2 2 6 5" xfId="16592"/>
    <cellStyle name="20% - Accent5 4 2 2 2 6 6" xfId="16593"/>
    <cellStyle name="20% - Accent5 4 2 2 2 7" xfId="16594"/>
    <cellStyle name="20% - Accent5 4 2 2 2 7 2" xfId="16595"/>
    <cellStyle name="20% - Accent5 4 2 2 2 7 2 2" xfId="16596"/>
    <cellStyle name="20% - Accent5 4 2 2 2 7 2 3" xfId="16597"/>
    <cellStyle name="20% - Accent5 4 2 2 2 7 3" xfId="16598"/>
    <cellStyle name="20% - Accent5 4 2 2 2 7 3 2" xfId="16599"/>
    <cellStyle name="20% - Accent5 4 2 2 2 7 4" xfId="16600"/>
    <cellStyle name="20% - Accent5 4 2 2 2 7 5" xfId="16601"/>
    <cellStyle name="20% - Accent5 4 2 2 2 8" xfId="16602"/>
    <cellStyle name="20% - Accent5 4 2 2 2 8 2" xfId="16603"/>
    <cellStyle name="20% - Accent5 4 2 2 2 8 3" xfId="16604"/>
    <cellStyle name="20% - Accent5 4 2 2 2 9" xfId="16605"/>
    <cellStyle name="20% - Accent5 4 2 2 2 9 2" xfId="16606"/>
    <cellStyle name="20% - Accent5 4 2 2 2 9 3" xfId="16607"/>
    <cellStyle name="20% - Accent5 4 2 2 3" xfId="1135"/>
    <cellStyle name="20% - Accent5 4 2 2 3 10" xfId="16608"/>
    <cellStyle name="20% - Accent5 4 2 2 3 2" xfId="1136"/>
    <cellStyle name="20% - Accent5 4 2 2 3 2 2" xfId="16609"/>
    <cellStyle name="20% - Accent5 4 2 2 3 2 2 2" xfId="16610"/>
    <cellStyle name="20% - Accent5 4 2 2 3 2 2 2 2" xfId="16611"/>
    <cellStyle name="20% - Accent5 4 2 2 3 2 2 2 3" xfId="16612"/>
    <cellStyle name="20% - Accent5 4 2 2 3 2 2 3" xfId="16613"/>
    <cellStyle name="20% - Accent5 4 2 2 3 2 2 3 2" xfId="16614"/>
    <cellStyle name="20% - Accent5 4 2 2 3 2 2 3 3" xfId="16615"/>
    <cellStyle name="20% - Accent5 4 2 2 3 2 2 4" xfId="16616"/>
    <cellStyle name="20% - Accent5 4 2 2 3 2 2 4 2" xfId="16617"/>
    <cellStyle name="20% - Accent5 4 2 2 3 2 2 5" xfId="16618"/>
    <cellStyle name="20% - Accent5 4 2 2 3 2 2 6" xfId="16619"/>
    <cellStyle name="20% - Accent5 4 2 2 3 2 3" xfId="16620"/>
    <cellStyle name="20% - Accent5 4 2 2 3 2 3 2" xfId="16621"/>
    <cellStyle name="20% - Accent5 4 2 2 3 2 3 2 2" xfId="16622"/>
    <cellStyle name="20% - Accent5 4 2 2 3 2 3 2 3" xfId="16623"/>
    <cellStyle name="20% - Accent5 4 2 2 3 2 3 3" xfId="16624"/>
    <cellStyle name="20% - Accent5 4 2 2 3 2 3 3 2" xfId="16625"/>
    <cellStyle name="20% - Accent5 4 2 2 3 2 3 3 3" xfId="16626"/>
    <cellStyle name="20% - Accent5 4 2 2 3 2 3 4" xfId="16627"/>
    <cellStyle name="20% - Accent5 4 2 2 3 2 3 4 2" xfId="16628"/>
    <cellStyle name="20% - Accent5 4 2 2 3 2 3 5" xfId="16629"/>
    <cellStyle name="20% - Accent5 4 2 2 3 2 3 6" xfId="16630"/>
    <cellStyle name="20% - Accent5 4 2 2 3 2 4" xfId="16631"/>
    <cellStyle name="20% - Accent5 4 2 2 3 2 4 2" xfId="16632"/>
    <cellStyle name="20% - Accent5 4 2 2 3 2 4 2 2" xfId="16633"/>
    <cellStyle name="20% - Accent5 4 2 2 3 2 4 2 3" xfId="16634"/>
    <cellStyle name="20% - Accent5 4 2 2 3 2 4 3" xfId="16635"/>
    <cellStyle name="20% - Accent5 4 2 2 3 2 4 3 2" xfId="16636"/>
    <cellStyle name="20% - Accent5 4 2 2 3 2 4 4" xfId="16637"/>
    <cellStyle name="20% - Accent5 4 2 2 3 2 4 5" xfId="16638"/>
    <cellStyle name="20% - Accent5 4 2 2 3 2 5" xfId="16639"/>
    <cellStyle name="20% - Accent5 4 2 2 3 2 5 2" xfId="16640"/>
    <cellStyle name="20% - Accent5 4 2 2 3 2 5 3" xfId="16641"/>
    <cellStyle name="20% - Accent5 4 2 2 3 2 6" xfId="16642"/>
    <cellStyle name="20% - Accent5 4 2 2 3 2 6 2" xfId="16643"/>
    <cellStyle name="20% - Accent5 4 2 2 3 2 6 3" xfId="16644"/>
    <cellStyle name="20% - Accent5 4 2 2 3 2 7" xfId="16645"/>
    <cellStyle name="20% - Accent5 4 2 2 3 2 7 2" xfId="16646"/>
    <cellStyle name="20% - Accent5 4 2 2 3 2 8" xfId="16647"/>
    <cellStyle name="20% - Accent5 4 2 2 3 2 9" xfId="16648"/>
    <cellStyle name="20% - Accent5 4 2 2 3 3" xfId="16649"/>
    <cellStyle name="20% - Accent5 4 2 2 3 3 2" xfId="16650"/>
    <cellStyle name="20% - Accent5 4 2 2 3 3 2 2" xfId="16651"/>
    <cellStyle name="20% - Accent5 4 2 2 3 3 2 3" xfId="16652"/>
    <cellStyle name="20% - Accent5 4 2 2 3 3 3" xfId="16653"/>
    <cellStyle name="20% - Accent5 4 2 2 3 3 3 2" xfId="16654"/>
    <cellStyle name="20% - Accent5 4 2 2 3 3 3 3" xfId="16655"/>
    <cellStyle name="20% - Accent5 4 2 2 3 3 4" xfId="16656"/>
    <cellStyle name="20% - Accent5 4 2 2 3 3 4 2" xfId="16657"/>
    <cellStyle name="20% - Accent5 4 2 2 3 3 5" xfId="16658"/>
    <cellStyle name="20% - Accent5 4 2 2 3 3 6" xfId="16659"/>
    <cellStyle name="20% - Accent5 4 2 2 3 4" xfId="16660"/>
    <cellStyle name="20% - Accent5 4 2 2 3 4 2" xfId="16661"/>
    <cellStyle name="20% - Accent5 4 2 2 3 4 2 2" xfId="16662"/>
    <cellStyle name="20% - Accent5 4 2 2 3 4 2 3" xfId="16663"/>
    <cellStyle name="20% - Accent5 4 2 2 3 4 3" xfId="16664"/>
    <cellStyle name="20% - Accent5 4 2 2 3 4 3 2" xfId="16665"/>
    <cellStyle name="20% - Accent5 4 2 2 3 4 3 3" xfId="16666"/>
    <cellStyle name="20% - Accent5 4 2 2 3 4 4" xfId="16667"/>
    <cellStyle name="20% - Accent5 4 2 2 3 4 4 2" xfId="16668"/>
    <cellStyle name="20% - Accent5 4 2 2 3 4 5" xfId="16669"/>
    <cellStyle name="20% - Accent5 4 2 2 3 4 6" xfId="16670"/>
    <cellStyle name="20% - Accent5 4 2 2 3 5" xfId="16671"/>
    <cellStyle name="20% - Accent5 4 2 2 3 5 2" xfId="16672"/>
    <cellStyle name="20% - Accent5 4 2 2 3 5 2 2" xfId="16673"/>
    <cellStyle name="20% - Accent5 4 2 2 3 5 2 3" xfId="16674"/>
    <cellStyle name="20% - Accent5 4 2 2 3 5 3" xfId="16675"/>
    <cellStyle name="20% - Accent5 4 2 2 3 5 3 2" xfId="16676"/>
    <cellStyle name="20% - Accent5 4 2 2 3 5 4" xfId="16677"/>
    <cellStyle name="20% - Accent5 4 2 2 3 5 5" xfId="16678"/>
    <cellStyle name="20% - Accent5 4 2 2 3 6" xfId="16679"/>
    <cellStyle name="20% - Accent5 4 2 2 3 6 2" xfId="16680"/>
    <cellStyle name="20% - Accent5 4 2 2 3 6 3" xfId="16681"/>
    <cellStyle name="20% - Accent5 4 2 2 3 7" xfId="16682"/>
    <cellStyle name="20% - Accent5 4 2 2 3 7 2" xfId="16683"/>
    <cellStyle name="20% - Accent5 4 2 2 3 7 3" xfId="16684"/>
    <cellStyle name="20% - Accent5 4 2 2 3 8" xfId="16685"/>
    <cellStyle name="20% - Accent5 4 2 2 3 8 2" xfId="16686"/>
    <cellStyle name="20% - Accent5 4 2 2 3 9" xfId="16687"/>
    <cellStyle name="20% - Accent5 4 2 2 4" xfId="1137"/>
    <cellStyle name="20% - Accent5 4 2 2 4 2" xfId="16688"/>
    <cellStyle name="20% - Accent5 4 2 2 4 2 2" xfId="16689"/>
    <cellStyle name="20% - Accent5 4 2 2 4 2 2 2" xfId="16690"/>
    <cellStyle name="20% - Accent5 4 2 2 4 2 2 3" xfId="16691"/>
    <cellStyle name="20% - Accent5 4 2 2 4 2 3" xfId="16692"/>
    <cellStyle name="20% - Accent5 4 2 2 4 2 3 2" xfId="16693"/>
    <cellStyle name="20% - Accent5 4 2 2 4 2 3 3" xfId="16694"/>
    <cellStyle name="20% - Accent5 4 2 2 4 2 4" xfId="16695"/>
    <cellStyle name="20% - Accent5 4 2 2 4 2 4 2" xfId="16696"/>
    <cellStyle name="20% - Accent5 4 2 2 4 2 5" xfId="16697"/>
    <cellStyle name="20% - Accent5 4 2 2 4 2 6" xfId="16698"/>
    <cellStyle name="20% - Accent5 4 2 2 4 3" xfId="16699"/>
    <cellStyle name="20% - Accent5 4 2 2 4 3 2" xfId="16700"/>
    <cellStyle name="20% - Accent5 4 2 2 4 3 2 2" xfId="16701"/>
    <cellStyle name="20% - Accent5 4 2 2 4 3 2 3" xfId="16702"/>
    <cellStyle name="20% - Accent5 4 2 2 4 3 3" xfId="16703"/>
    <cellStyle name="20% - Accent5 4 2 2 4 3 3 2" xfId="16704"/>
    <cellStyle name="20% - Accent5 4 2 2 4 3 3 3" xfId="16705"/>
    <cellStyle name="20% - Accent5 4 2 2 4 3 4" xfId="16706"/>
    <cellStyle name="20% - Accent5 4 2 2 4 3 4 2" xfId="16707"/>
    <cellStyle name="20% - Accent5 4 2 2 4 3 5" xfId="16708"/>
    <cellStyle name="20% - Accent5 4 2 2 4 3 6" xfId="16709"/>
    <cellStyle name="20% - Accent5 4 2 2 4 4" xfId="16710"/>
    <cellStyle name="20% - Accent5 4 2 2 4 4 2" xfId="16711"/>
    <cellStyle name="20% - Accent5 4 2 2 4 4 2 2" xfId="16712"/>
    <cellStyle name="20% - Accent5 4 2 2 4 4 2 3" xfId="16713"/>
    <cellStyle name="20% - Accent5 4 2 2 4 4 3" xfId="16714"/>
    <cellStyle name="20% - Accent5 4 2 2 4 4 3 2" xfId="16715"/>
    <cellStyle name="20% - Accent5 4 2 2 4 4 4" xfId="16716"/>
    <cellStyle name="20% - Accent5 4 2 2 4 4 5" xfId="16717"/>
    <cellStyle name="20% - Accent5 4 2 2 4 5" xfId="16718"/>
    <cellStyle name="20% - Accent5 4 2 2 4 5 2" xfId="16719"/>
    <cellStyle name="20% - Accent5 4 2 2 4 5 3" xfId="16720"/>
    <cellStyle name="20% - Accent5 4 2 2 4 6" xfId="16721"/>
    <cellStyle name="20% - Accent5 4 2 2 4 6 2" xfId="16722"/>
    <cellStyle name="20% - Accent5 4 2 2 4 6 3" xfId="16723"/>
    <cellStyle name="20% - Accent5 4 2 2 4 7" xfId="16724"/>
    <cellStyle name="20% - Accent5 4 2 2 4 7 2" xfId="16725"/>
    <cellStyle name="20% - Accent5 4 2 2 4 8" xfId="16726"/>
    <cellStyle name="20% - Accent5 4 2 2 4 9" xfId="16727"/>
    <cellStyle name="20% - Accent5 4 2 2 5" xfId="16728"/>
    <cellStyle name="20% - Accent5 4 2 2 5 2" xfId="16729"/>
    <cellStyle name="20% - Accent5 4 2 2 5 2 2" xfId="16730"/>
    <cellStyle name="20% - Accent5 4 2 2 5 2 2 2" xfId="16731"/>
    <cellStyle name="20% - Accent5 4 2 2 5 2 2 3" xfId="16732"/>
    <cellStyle name="20% - Accent5 4 2 2 5 2 3" xfId="16733"/>
    <cellStyle name="20% - Accent5 4 2 2 5 2 3 2" xfId="16734"/>
    <cellStyle name="20% - Accent5 4 2 2 5 2 3 3" xfId="16735"/>
    <cellStyle name="20% - Accent5 4 2 2 5 2 4" xfId="16736"/>
    <cellStyle name="20% - Accent5 4 2 2 5 2 4 2" xfId="16737"/>
    <cellStyle name="20% - Accent5 4 2 2 5 2 5" xfId="16738"/>
    <cellStyle name="20% - Accent5 4 2 2 5 2 6" xfId="16739"/>
    <cellStyle name="20% - Accent5 4 2 2 5 3" xfId="16740"/>
    <cellStyle name="20% - Accent5 4 2 2 5 3 2" xfId="16741"/>
    <cellStyle name="20% - Accent5 4 2 2 5 3 2 2" xfId="16742"/>
    <cellStyle name="20% - Accent5 4 2 2 5 3 2 3" xfId="16743"/>
    <cellStyle name="20% - Accent5 4 2 2 5 3 3" xfId="16744"/>
    <cellStyle name="20% - Accent5 4 2 2 5 3 3 2" xfId="16745"/>
    <cellStyle name="20% - Accent5 4 2 2 5 3 3 3" xfId="16746"/>
    <cellStyle name="20% - Accent5 4 2 2 5 3 4" xfId="16747"/>
    <cellStyle name="20% - Accent5 4 2 2 5 3 4 2" xfId="16748"/>
    <cellStyle name="20% - Accent5 4 2 2 5 3 5" xfId="16749"/>
    <cellStyle name="20% - Accent5 4 2 2 5 3 6" xfId="16750"/>
    <cellStyle name="20% - Accent5 4 2 2 5 4" xfId="16751"/>
    <cellStyle name="20% - Accent5 4 2 2 5 4 2" xfId="16752"/>
    <cellStyle name="20% - Accent5 4 2 2 5 4 2 2" xfId="16753"/>
    <cellStyle name="20% - Accent5 4 2 2 5 4 2 3" xfId="16754"/>
    <cellStyle name="20% - Accent5 4 2 2 5 4 3" xfId="16755"/>
    <cellStyle name="20% - Accent5 4 2 2 5 4 3 2" xfId="16756"/>
    <cellStyle name="20% - Accent5 4 2 2 5 4 4" xfId="16757"/>
    <cellStyle name="20% - Accent5 4 2 2 5 4 5" xfId="16758"/>
    <cellStyle name="20% - Accent5 4 2 2 5 5" xfId="16759"/>
    <cellStyle name="20% - Accent5 4 2 2 5 5 2" xfId="16760"/>
    <cellStyle name="20% - Accent5 4 2 2 5 5 3" xfId="16761"/>
    <cellStyle name="20% - Accent5 4 2 2 5 6" xfId="16762"/>
    <cellStyle name="20% - Accent5 4 2 2 5 6 2" xfId="16763"/>
    <cellStyle name="20% - Accent5 4 2 2 5 6 3" xfId="16764"/>
    <cellStyle name="20% - Accent5 4 2 2 5 7" xfId="16765"/>
    <cellStyle name="20% - Accent5 4 2 2 5 7 2" xfId="16766"/>
    <cellStyle name="20% - Accent5 4 2 2 5 8" xfId="16767"/>
    <cellStyle name="20% - Accent5 4 2 2 5 9" xfId="16768"/>
    <cellStyle name="20% - Accent5 4 2 2 6" xfId="16769"/>
    <cellStyle name="20% - Accent5 4 2 2 6 2" xfId="16770"/>
    <cellStyle name="20% - Accent5 4 2 2 6 2 2" xfId="16771"/>
    <cellStyle name="20% - Accent5 4 2 2 6 2 3" xfId="16772"/>
    <cellStyle name="20% - Accent5 4 2 2 6 3" xfId="16773"/>
    <cellStyle name="20% - Accent5 4 2 2 6 3 2" xfId="16774"/>
    <cellStyle name="20% - Accent5 4 2 2 6 3 3" xfId="16775"/>
    <cellStyle name="20% - Accent5 4 2 2 6 4" xfId="16776"/>
    <cellStyle name="20% - Accent5 4 2 2 6 4 2" xfId="16777"/>
    <cellStyle name="20% - Accent5 4 2 2 6 5" xfId="16778"/>
    <cellStyle name="20% - Accent5 4 2 2 6 6" xfId="16779"/>
    <cellStyle name="20% - Accent5 4 2 2 7" xfId="16780"/>
    <cellStyle name="20% - Accent5 4 2 2 7 2" xfId="16781"/>
    <cellStyle name="20% - Accent5 4 2 2 7 2 2" xfId="16782"/>
    <cellStyle name="20% - Accent5 4 2 2 7 2 3" xfId="16783"/>
    <cellStyle name="20% - Accent5 4 2 2 7 3" xfId="16784"/>
    <cellStyle name="20% - Accent5 4 2 2 7 3 2" xfId="16785"/>
    <cellStyle name="20% - Accent5 4 2 2 7 3 3" xfId="16786"/>
    <cellStyle name="20% - Accent5 4 2 2 7 4" xfId="16787"/>
    <cellStyle name="20% - Accent5 4 2 2 7 4 2" xfId="16788"/>
    <cellStyle name="20% - Accent5 4 2 2 7 5" xfId="16789"/>
    <cellStyle name="20% - Accent5 4 2 2 7 6" xfId="16790"/>
    <cellStyle name="20% - Accent5 4 2 2 8" xfId="16791"/>
    <cellStyle name="20% - Accent5 4 2 2 8 2" xfId="16792"/>
    <cellStyle name="20% - Accent5 4 2 2 8 2 2" xfId="16793"/>
    <cellStyle name="20% - Accent5 4 2 2 8 2 3" xfId="16794"/>
    <cellStyle name="20% - Accent5 4 2 2 8 3" xfId="16795"/>
    <cellStyle name="20% - Accent5 4 2 2 8 3 2" xfId="16796"/>
    <cellStyle name="20% - Accent5 4 2 2 8 4" xfId="16797"/>
    <cellStyle name="20% - Accent5 4 2 2 8 5" xfId="16798"/>
    <cellStyle name="20% - Accent5 4 2 2 9" xfId="16799"/>
    <cellStyle name="20% - Accent5 4 2 2 9 2" xfId="16800"/>
    <cellStyle name="20% - Accent5 4 2 2 9 3" xfId="16801"/>
    <cellStyle name="20% - Accent5 4 2 3" xfId="1138"/>
    <cellStyle name="20% - Accent5 4 2 3 10" xfId="16802"/>
    <cellStyle name="20% - Accent5 4 2 3 10 2" xfId="16803"/>
    <cellStyle name="20% - Accent5 4 2 3 11" xfId="16804"/>
    <cellStyle name="20% - Accent5 4 2 3 12" xfId="16805"/>
    <cellStyle name="20% - Accent5 4 2 3 2" xfId="1139"/>
    <cellStyle name="20% - Accent5 4 2 3 2 10" xfId="16806"/>
    <cellStyle name="20% - Accent5 4 2 3 2 2" xfId="1140"/>
    <cellStyle name="20% - Accent5 4 2 3 2 2 2" xfId="16807"/>
    <cellStyle name="20% - Accent5 4 2 3 2 2 2 2" xfId="16808"/>
    <cellStyle name="20% - Accent5 4 2 3 2 2 2 2 2" xfId="16809"/>
    <cellStyle name="20% - Accent5 4 2 3 2 2 2 2 3" xfId="16810"/>
    <cellStyle name="20% - Accent5 4 2 3 2 2 2 3" xfId="16811"/>
    <cellStyle name="20% - Accent5 4 2 3 2 2 2 3 2" xfId="16812"/>
    <cellStyle name="20% - Accent5 4 2 3 2 2 2 3 3" xfId="16813"/>
    <cellStyle name="20% - Accent5 4 2 3 2 2 2 4" xfId="16814"/>
    <cellStyle name="20% - Accent5 4 2 3 2 2 2 4 2" xfId="16815"/>
    <cellStyle name="20% - Accent5 4 2 3 2 2 2 5" xfId="16816"/>
    <cellStyle name="20% - Accent5 4 2 3 2 2 2 6" xfId="16817"/>
    <cellStyle name="20% - Accent5 4 2 3 2 2 3" xfId="16818"/>
    <cellStyle name="20% - Accent5 4 2 3 2 2 3 2" xfId="16819"/>
    <cellStyle name="20% - Accent5 4 2 3 2 2 3 2 2" xfId="16820"/>
    <cellStyle name="20% - Accent5 4 2 3 2 2 3 2 3" xfId="16821"/>
    <cellStyle name="20% - Accent5 4 2 3 2 2 3 3" xfId="16822"/>
    <cellStyle name="20% - Accent5 4 2 3 2 2 3 3 2" xfId="16823"/>
    <cellStyle name="20% - Accent5 4 2 3 2 2 3 3 3" xfId="16824"/>
    <cellStyle name="20% - Accent5 4 2 3 2 2 3 4" xfId="16825"/>
    <cellStyle name="20% - Accent5 4 2 3 2 2 3 4 2" xfId="16826"/>
    <cellStyle name="20% - Accent5 4 2 3 2 2 3 5" xfId="16827"/>
    <cellStyle name="20% - Accent5 4 2 3 2 2 3 6" xfId="16828"/>
    <cellStyle name="20% - Accent5 4 2 3 2 2 4" xfId="16829"/>
    <cellStyle name="20% - Accent5 4 2 3 2 2 4 2" xfId="16830"/>
    <cellStyle name="20% - Accent5 4 2 3 2 2 4 2 2" xfId="16831"/>
    <cellStyle name="20% - Accent5 4 2 3 2 2 4 2 3" xfId="16832"/>
    <cellStyle name="20% - Accent5 4 2 3 2 2 4 3" xfId="16833"/>
    <cellStyle name="20% - Accent5 4 2 3 2 2 4 3 2" xfId="16834"/>
    <cellStyle name="20% - Accent5 4 2 3 2 2 4 4" xfId="16835"/>
    <cellStyle name="20% - Accent5 4 2 3 2 2 4 5" xfId="16836"/>
    <cellStyle name="20% - Accent5 4 2 3 2 2 5" xfId="16837"/>
    <cellStyle name="20% - Accent5 4 2 3 2 2 5 2" xfId="16838"/>
    <cellStyle name="20% - Accent5 4 2 3 2 2 5 3" xfId="16839"/>
    <cellStyle name="20% - Accent5 4 2 3 2 2 6" xfId="16840"/>
    <cellStyle name="20% - Accent5 4 2 3 2 2 6 2" xfId="16841"/>
    <cellStyle name="20% - Accent5 4 2 3 2 2 6 3" xfId="16842"/>
    <cellStyle name="20% - Accent5 4 2 3 2 2 7" xfId="16843"/>
    <cellStyle name="20% - Accent5 4 2 3 2 2 7 2" xfId="16844"/>
    <cellStyle name="20% - Accent5 4 2 3 2 2 8" xfId="16845"/>
    <cellStyle name="20% - Accent5 4 2 3 2 2 9" xfId="16846"/>
    <cellStyle name="20% - Accent5 4 2 3 2 3" xfId="16847"/>
    <cellStyle name="20% - Accent5 4 2 3 2 3 2" xfId="16848"/>
    <cellStyle name="20% - Accent5 4 2 3 2 3 2 2" xfId="16849"/>
    <cellStyle name="20% - Accent5 4 2 3 2 3 2 3" xfId="16850"/>
    <cellStyle name="20% - Accent5 4 2 3 2 3 3" xfId="16851"/>
    <cellStyle name="20% - Accent5 4 2 3 2 3 3 2" xfId="16852"/>
    <cellStyle name="20% - Accent5 4 2 3 2 3 3 3" xfId="16853"/>
    <cellStyle name="20% - Accent5 4 2 3 2 3 4" xfId="16854"/>
    <cellStyle name="20% - Accent5 4 2 3 2 3 4 2" xfId="16855"/>
    <cellStyle name="20% - Accent5 4 2 3 2 3 5" xfId="16856"/>
    <cellStyle name="20% - Accent5 4 2 3 2 3 6" xfId="16857"/>
    <cellStyle name="20% - Accent5 4 2 3 2 4" xfId="16858"/>
    <cellStyle name="20% - Accent5 4 2 3 2 4 2" xfId="16859"/>
    <cellStyle name="20% - Accent5 4 2 3 2 4 2 2" xfId="16860"/>
    <cellStyle name="20% - Accent5 4 2 3 2 4 2 3" xfId="16861"/>
    <cellStyle name="20% - Accent5 4 2 3 2 4 3" xfId="16862"/>
    <cellStyle name="20% - Accent5 4 2 3 2 4 3 2" xfId="16863"/>
    <cellStyle name="20% - Accent5 4 2 3 2 4 3 3" xfId="16864"/>
    <cellStyle name="20% - Accent5 4 2 3 2 4 4" xfId="16865"/>
    <cellStyle name="20% - Accent5 4 2 3 2 4 4 2" xfId="16866"/>
    <cellStyle name="20% - Accent5 4 2 3 2 4 5" xfId="16867"/>
    <cellStyle name="20% - Accent5 4 2 3 2 4 6" xfId="16868"/>
    <cellStyle name="20% - Accent5 4 2 3 2 5" xfId="16869"/>
    <cellStyle name="20% - Accent5 4 2 3 2 5 2" xfId="16870"/>
    <cellStyle name="20% - Accent5 4 2 3 2 5 2 2" xfId="16871"/>
    <cellStyle name="20% - Accent5 4 2 3 2 5 2 3" xfId="16872"/>
    <cellStyle name="20% - Accent5 4 2 3 2 5 3" xfId="16873"/>
    <cellStyle name="20% - Accent5 4 2 3 2 5 3 2" xfId="16874"/>
    <cellStyle name="20% - Accent5 4 2 3 2 5 4" xfId="16875"/>
    <cellStyle name="20% - Accent5 4 2 3 2 5 5" xfId="16876"/>
    <cellStyle name="20% - Accent5 4 2 3 2 6" xfId="16877"/>
    <cellStyle name="20% - Accent5 4 2 3 2 6 2" xfId="16878"/>
    <cellStyle name="20% - Accent5 4 2 3 2 6 3" xfId="16879"/>
    <cellStyle name="20% - Accent5 4 2 3 2 7" xfId="16880"/>
    <cellStyle name="20% - Accent5 4 2 3 2 7 2" xfId="16881"/>
    <cellStyle name="20% - Accent5 4 2 3 2 7 3" xfId="16882"/>
    <cellStyle name="20% - Accent5 4 2 3 2 8" xfId="16883"/>
    <cellStyle name="20% - Accent5 4 2 3 2 8 2" xfId="16884"/>
    <cellStyle name="20% - Accent5 4 2 3 2 9" xfId="16885"/>
    <cellStyle name="20% - Accent5 4 2 3 3" xfId="1141"/>
    <cellStyle name="20% - Accent5 4 2 3 3 2" xfId="16886"/>
    <cellStyle name="20% - Accent5 4 2 3 3 2 2" xfId="16887"/>
    <cellStyle name="20% - Accent5 4 2 3 3 2 2 2" xfId="16888"/>
    <cellStyle name="20% - Accent5 4 2 3 3 2 2 3" xfId="16889"/>
    <cellStyle name="20% - Accent5 4 2 3 3 2 3" xfId="16890"/>
    <cellStyle name="20% - Accent5 4 2 3 3 2 3 2" xfId="16891"/>
    <cellStyle name="20% - Accent5 4 2 3 3 2 3 3" xfId="16892"/>
    <cellStyle name="20% - Accent5 4 2 3 3 2 4" xfId="16893"/>
    <cellStyle name="20% - Accent5 4 2 3 3 2 4 2" xfId="16894"/>
    <cellStyle name="20% - Accent5 4 2 3 3 2 5" xfId="16895"/>
    <cellStyle name="20% - Accent5 4 2 3 3 2 6" xfId="16896"/>
    <cellStyle name="20% - Accent5 4 2 3 3 3" xfId="16897"/>
    <cellStyle name="20% - Accent5 4 2 3 3 3 2" xfId="16898"/>
    <cellStyle name="20% - Accent5 4 2 3 3 3 2 2" xfId="16899"/>
    <cellStyle name="20% - Accent5 4 2 3 3 3 2 3" xfId="16900"/>
    <cellStyle name="20% - Accent5 4 2 3 3 3 3" xfId="16901"/>
    <cellStyle name="20% - Accent5 4 2 3 3 3 3 2" xfId="16902"/>
    <cellStyle name="20% - Accent5 4 2 3 3 3 3 3" xfId="16903"/>
    <cellStyle name="20% - Accent5 4 2 3 3 3 4" xfId="16904"/>
    <cellStyle name="20% - Accent5 4 2 3 3 3 4 2" xfId="16905"/>
    <cellStyle name="20% - Accent5 4 2 3 3 3 5" xfId="16906"/>
    <cellStyle name="20% - Accent5 4 2 3 3 3 6" xfId="16907"/>
    <cellStyle name="20% - Accent5 4 2 3 3 4" xfId="16908"/>
    <cellStyle name="20% - Accent5 4 2 3 3 4 2" xfId="16909"/>
    <cellStyle name="20% - Accent5 4 2 3 3 4 2 2" xfId="16910"/>
    <cellStyle name="20% - Accent5 4 2 3 3 4 2 3" xfId="16911"/>
    <cellStyle name="20% - Accent5 4 2 3 3 4 3" xfId="16912"/>
    <cellStyle name="20% - Accent5 4 2 3 3 4 3 2" xfId="16913"/>
    <cellStyle name="20% - Accent5 4 2 3 3 4 4" xfId="16914"/>
    <cellStyle name="20% - Accent5 4 2 3 3 4 5" xfId="16915"/>
    <cellStyle name="20% - Accent5 4 2 3 3 5" xfId="16916"/>
    <cellStyle name="20% - Accent5 4 2 3 3 5 2" xfId="16917"/>
    <cellStyle name="20% - Accent5 4 2 3 3 5 3" xfId="16918"/>
    <cellStyle name="20% - Accent5 4 2 3 3 6" xfId="16919"/>
    <cellStyle name="20% - Accent5 4 2 3 3 6 2" xfId="16920"/>
    <cellStyle name="20% - Accent5 4 2 3 3 6 3" xfId="16921"/>
    <cellStyle name="20% - Accent5 4 2 3 3 7" xfId="16922"/>
    <cellStyle name="20% - Accent5 4 2 3 3 7 2" xfId="16923"/>
    <cellStyle name="20% - Accent5 4 2 3 3 8" xfId="16924"/>
    <cellStyle name="20% - Accent5 4 2 3 3 9" xfId="16925"/>
    <cellStyle name="20% - Accent5 4 2 3 4" xfId="16926"/>
    <cellStyle name="20% - Accent5 4 2 3 4 2" xfId="16927"/>
    <cellStyle name="20% - Accent5 4 2 3 4 2 2" xfId="16928"/>
    <cellStyle name="20% - Accent5 4 2 3 4 2 2 2" xfId="16929"/>
    <cellStyle name="20% - Accent5 4 2 3 4 2 2 3" xfId="16930"/>
    <cellStyle name="20% - Accent5 4 2 3 4 2 3" xfId="16931"/>
    <cellStyle name="20% - Accent5 4 2 3 4 2 3 2" xfId="16932"/>
    <cellStyle name="20% - Accent5 4 2 3 4 2 3 3" xfId="16933"/>
    <cellStyle name="20% - Accent5 4 2 3 4 2 4" xfId="16934"/>
    <cellStyle name="20% - Accent5 4 2 3 4 2 4 2" xfId="16935"/>
    <cellStyle name="20% - Accent5 4 2 3 4 2 5" xfId="16936"/>
    <cellStyle name="20% - Accent5 4 2 3 4 2 6" xfId="16937"/>
    <cellStyle name="20% - Accent5 4 2 3 4 3" xfId="16938"/>
    <cellStyle name="20% - Accent5 4 2 3 4 3 2" xfId="16939"/>
    <cellStyle name="20% - Accent5 4 2 3 4 3 2 2" xfId="16940"/>
    <cellStyle name="20% - Accent5 4 2 3 4 3 2 3" xfId="16941"/>
    <cellStyle name="20% - Accent5 4 2 3 4 3 3" xfId="16942"/>
    <cellStyle name="20% - Accent5 4 2 3 4 3 3 2" xfId="16943"/>
    <cellStyle name="20% - Accent5 4 2 3 4 3 3 3" xfId="16944"/>
    <cellStyle name="20% - Accent5 4 2 3 4 3 4" xfId="16945"/>
    <cellStyle name="20% - Accent5 4 2 3 4 3 4 2" xfId="16946"/>
    <cellStyle name="20% - Accent5 4 2 3 4 3 5" xfId="16947"/>
    <cellStyle name="20% - Accent5 4 2 3 4 3 6" xfId="16948"/>
    <cellStyle name="20% - Accent5 4 2 3 4 4" xfId="16949"/>
    <cellStyle name="20% - Accent5 4 2 3 4 4 2" xfId="16950"/>
    <cellStyle name="20% - Accent5 4 2 3 4 4 2 2" xfId="16951"/>
    <cellStyle name="20% - Accent5 4 2 3 4 4 2 3" xfId="16952"/>
    <cellStyle name="20% - Accent5 4 2 3 4 4 3" xfId="16953"/>
    <cellStyle name="20% - Accent5 4 2 3 4 4 3 2" xfId="16954"/>
    <cellStyle name="20% - Accent5 4 2 3 4 4 4" xfId="16955"/>
    <cellStyle name="20% - Accent5 4 2 3 4 4 5" xfId="16956"/>
    <cellStyle name="20% - Accent5 4 2 3 4 5" xfId="16957"/>
    <cellStyle name="20% - Accent5 4 2 3 4 5 2" xfId="16958"/>
    <cellStyle name="20% - Accent5 4 2 3 4 5 3" xfId="16959"/>
    <cellStyle name="20% - Accent5 4 2 3 4 6" xfId="16960"/>
    <cellStyle name="20% - Accent5 4 2 3 4 6 2" xfId="16961"/>
    <cellStyle name="20% - Accent5 4 2 3 4 6 3" xfId="16962"/>
    <cellStyle name="20% - Accent5 4 2 3 4 7" xfId="16963"/>
    <cellStyle name="20% - Accent5 4 2 3 4 7 2" xfId="16964"/>
    <cellStyle name="20% - Accent5 4 2 3 4 8" xfId="16965"/>
    <cellStyle name="20% - Accent5 4 2 3 4 9" xfId="16966"/>
    <cellStyle name="20% - Accent5 4 2 3 5" xfId="16967"/>
    <cellStyle name="20% - Accent5 4 2 3 5 2" xfId="16968"/>
    <cellStyle name="20% - Accent5 4 2 3 5 2 2" xfId="16969"/>
    <cellStyle name="20% - Accent5 4 2 3 5 2 3" xfId="16970"/>
    <cellStyle name="20% - Accent5 4 2 3 5 3" xfId="16971"/>
    <cellStyle name="20% - Accent5 4 2 3 5 3 2" xfId="16972"/>
    <cellStyle name="20% - Accent5 4 2 3 5 3 3" xfId="16973"/>
    <cellStyle name="20% - Accent5 4 2 3 5 4" xfId="16974"/>
    <cellStyle name="20% - Accent5 4 2 3 5 4 2" xfId="16975"/>
    <cellStyle name="20% - Accent5 4 2 3 5 5" xfId="16976"/>
    <cellStyle name="20% - Accent5 4 2 3 5 6" xfId="16977"/>
    <cellStyle name="20% - Accent5 4 2 3 6" xfId="16978"/>
    <cellStyle name="20% - Accent5 4 2 3 6 2" xfId="16979"/>
    <cellStyle name="20% - Accent5 4 2 3 6 2 2" xfId="16980"/>
    <cellStyle name="20% - Accent5 4 2 3 6 2 3" xfId="16981"/>
    <cellStyle name="20% - Accent5 4 2 3 6 3" xfId="16982"/>
    <cellStyle name="20% - Accent5 4 2 3 6 3 2" xfId="16983"/>
    <cellStyle name="20% - Accent5 4 2 3 6 3 3" xfId="16984"/>
    <cellStyle name="20% - Accent5 4 2 3 6 4" xfId="16985"/>
    <cellStyle name="20% - Accent5 4 2 3 6 4 2" xfId="16986"/>
    <cellStyle name="20% - Accent5 4 2 3 6 5" xfId="16987"/>
    <cellStyle name="20% - Accent5 4 2 3 6 6" xfId="16988"/>
    <cellStyle name="20% - Accent5 4 2 3 7" xfId="16989"/>
    <cellStyle name="20% - Accent5 4 2 3 7 2" xfId="16990"/>
    <cellStyle name="20% - Accent5 4 2 3 7 2 2" xfId="16991"/>
    <cellStyle name="20% - Accent5 4 2 3 7 2 3" xfId="16992"/>
    <cellStyle name="20% - Accent5 4 2 3 7 3" xfId="16993"/>
    <cellStyle name="20% - Accent5 4 2 3 7 3 2" xfId="16994"/>
    <cellStyle name="20% - Accent5 4 2 3 7 4" xfId="16995"/>
    <cellStyle name="20% - Accent5 4 2 3 7 5" xfId="16996"/>
    <cellStyle name="20% - Accent5 4 2 3 8" xfId="16997"/>
    <cellStyle name="20% - Accent5 4 2 3 8 2" xfId="16998"/>
    <cellStyle name="20% - Accent5 4 2 3 8 3" xfId="16999"/>
    <cellStyle name="20% - Accent5 4 2 3 9" xfId="17000"/>
    <cellStyle name="20% - Accent5 4 2 3 9 2" xfId="17001"/>
    <cellStyle name="20% - Accent5 4 2 3 9 3" xfId="17002"/>
    <cellStyle name="20% - Accent5 4 2 4" xfId="1142"/>
    <cellStyle name="20% - Accent5 4 2 4 10" xfId="17003"/>
    <cellStyle name="20% - Accent5 4 2 4 2" xfId="1143"/>
    <cellStyle name="20% - Accent5 4 2 4 2 2" xfId="17004"/>
    <cellStyle name="20% - Accent5 4 2 4 2 2 2" xfId="17005"/>
    <cellStyle name="20% - Accent5 4 2 4 2 2 2 2" xfId="17006"/>
    <cellStyle name="20% - Accent5 4 2 4 2 2 2 3" xfId="17007"/>
    <cellStyle name="20% - Accent5 4 2 4 2 2 3" xfId="17008"/>
    <cellStyle name="20% - Accent5 4 2 4 2 2 3 2" xfId="17009"/>
    <cellStyle name="20% - Accent5 4 2 4 2 2 3 3" xfId="17010"/>
    <cellStyle name="20% - Accent5 4 2 4 2 2 4" xfId="17011"/>
    <cellStyle name="20% - Accent5 4 2 4 2 2 4 2" xfId="17012"/>
    <cellStyle name="20% - Accent5 4 2 4 2 2 5" xfId="17013"/>
    <cellStyle name="20% - Accent5 4 2 4 2 2 6" xfId="17014"/>
    <cellStyle name="20% - Accent5 4 2 4 2 3" xfId="17015"/>
    <cellStyle name="20% - Accent5 4 2 4 2 3 2" xfId="17016"/>
    <cellStyle name="20% - Accent5 4 2 4 2 3 2 2" xfId="17017"/>
    <cellStyle name="20% - Accent5 4 2 4 2 3 2 3" xfId="17018"/>
    <cellStyle name="20% - Accent5 4 2 4 2 3 3" xfId="17019"/>
    <cellStyle name="20% - Accent5 4 2 4 2 3 3 2" xfId="17020"/>
    <cellStyle name="20% - Accent5 4 2 4 2 3 3 3" xfId="17021"/>
    <cellStyle name="20% - Accent5 4 2 4 2 3 4" xfId="17022"/>
    <cellStyle name="20% - Accent5 4 2 4 2 3 4 2" xfId="17023"/>
    <cellStyle name="20% - Accent5 4 2 4 2 3 5" xfId="17024"/>
    <cellStyle name="20% - Accent5 4 2 4 2 3 6" xfId="17025"/>
    <cellStyle name="20% - Accent5 4 2 4 2 4" xfId="17026"/>
    <cellStyle name="20% - Accent5 4 2 4 2 4 2" xfId="17027"/>
    <cellStyle name="20% - Accent5 4 2 4 2 4 2 2" xfId="17028"/>
    <cellStyle name="20% - Accent5 4 2 4 2 4 2 3" xfId="17029"/>
    <cellStyle name="20% - Accent5 4 2 4 2 4 3" xfId="17030"/>
    <cellStyle name="20% - Accent5 4 2 4 2 4 3 2" xfId="17031"/>
    <cellStyle name="20% - Accent5 4 2 4 2 4 4" xfId="17032"/>
    <cellStyle name="20% - Accent5 4 2 4 2 4 5" xfId="17033"/>
    <cellStyle name="20% - Accent5 4 2 4 2 5" xfId="17034"/>
    <cellStyle name="20% - Accent5 4 2 4 2 5 2" xfId="17035"/>
    <cellStyle name="20% - Accent5 4 2 4 2 5 3" xfId="17036"/>
    <cellStyle name="20% - Accent5 4 2 4 2 6" xfId="17037"/>
    <cellStyle name="20% - Accent5 4 2 4 2 6 2" xfId="17038"/>
    <cellStyle name="20% - Accent5 4 2 4 2 6 3" xfId="17039"/>
    <cellStyle name="20% - Accent5 4 2 4 2 7" xfId="17040"/>
    <cellStyle name="20% - Accent5 4 2 4 2 7 2" xfId="17041"/>
    <cellStyle name="20% - Accent5 4 2 4 2 8" xfId="17042"/>
    <cellStyle name="20% - Accent5 4 2 4 2 9" xfId="17043"/>
    <cellStyle name="20% - Accent5 4 2 4 3" xfId="17044"/>
    <cellStyle name="20% - Accent5 4 2 4 3 2" xfId="17045"/>
    <cellStyle name="20% - Accent5 4 2 4 3 2 2" xfId="17046"/>
    <cellStyle name="20% - Accent5 4 2 4 3 2 3" xfId="17047"/>
    <cellStyle name="20% - Accent5 4 2 4 3 3" xfId="17048"/>
    <cellStyle name="20% - Accent5 4 2 4 3 3 2" xfId="17049"/>
    <cellStyle name="20% - Accent5 4 2 4 3 3 3" xfId="17050"/>
    <cellStyle name="20% - Accent5 4 2 4 3 4" xfId="17051"/>
    <cellStyle name="20% - Accent5 4 2 4 3 4 2" xfId="17052"/>
    <cellStyle name="20% - Accent5 4 2 4 3 5" xfId="17053"/>
    <cellStyle name="20% - Accent5 4 2 4 3 6" xfId="17054"/>
    <cellStyle name="20% - Accent5 4 2 4 4" xfId="17055"/>
    <cellStyle name="20% - Accent5 4 2 4 4 2" xfId="17056"/>
    <cellStyle name="20% - Accent5 4 2 4 4 2 2" xfId="17057"/>
    <cellStyle name="20% - Accent5 4 2 4 4 2 3" xfId="17058"/>
    <cellStyle name="20% - Accent5 4 2 4 4 3" xfId="17059"/>
    <cellStyle name="20% - Accent5 4 2 4 4 3 2" xfId="17060"/>
    <cellStyle name="20% - Accent5 4 2 4 4 3 3" xfId="17061"/>
    <cellStyle name="20% - Accent5 4 2 4 4 4" xfId="17062"/>
    <cellStyle name="20% - Accent5 4 2 4 4 4 2" xfId="17063"/>
    <cellStyle name="20% - Accent5 4 2 4 4 5" xfId="17064"/>
    <cellStyle name="20% - Accent5 4 2 4 4 6" xfId="17065"/>
    <cellStyle name="20% - Accent5 4 2 4 5" xfId="17066"/>
    <cellStyle name="20% - Accent5 4 2 4 5 2" xfId="17067"/>
    <cellStyle name="20% - Accent5 4 2 4 5 2 2" xfId="17068"/>
    <cellStyle name="20% - Accent5 4 2 4 5 2 3" xfId="17069"/>
    <cellStyle name="20% - Accent5 4 2 4 5 3" xfId="17070"/>
    <cellStyle name="20% - Accent5 4 2 4 5 3 2" xfId="17071"/>
    <cellStyle name="20% - Accent5 4 2 4 5 4" xfId="17072"/>
    <cellStyle name="20% - Accent5 4 2 4 5 5" xfId="17073"/>
    <cellStyle name="20% - Accent5 4 2 4 6" xfId="17074"/>
    <cellStyle name="20% - Accent5 4 2 4 6 2" xfId="17075"/>
    <cellStyle name="20% - Accent5 4 2 4 6 3" xfId="17076"/>
    <cellStyle name="20% - Accent5 4 2 4 7" xfId="17077"/>
    <cellStyle name="20% - Accent5 4 2 4 7 2" xfId="17078"/>
    <cellStyle name="20% - Accent5 4 2 4 7 3" xfId="17079"/>
    <cellStyle name="20% - Accent5 4 2 4 8" xfId="17080"/>
    <cellStyle name="20% - Accent5 4 2 4 8 2" xfId="17081"/>
    <cellStyle name="20% - Accent5 4 2 4 9" xfId="17082"/>
    <cellStyle name="20% - Accent5 4 2 5" xfId="1144"/>
    <cellStyle name="20% - Accent5 4 2 5 2" xfId="17083"/>
    <cellStyle name="20% - Accent5 4 2 5 2 2" xfId="17084"/>
    <cellStyle name="20% - Accent5 4 2 5 2 2 2" xfId="17085"/>
    <cellStyle name="20% - Accent5 4 2 5 2 2 3" xfId="17086"/>
    <cellStyle name="20% - Accent5 4 2 5 2 3" xfId="17087"/>
    <cellStyle name="20% - Accent5 4 2 5 2 3 2" xfId="17088"/>
    <cellStyle name="20% - Accent5 4 2 5 2 3 3" xfId="17089"/>
    <cellStyle name="20% - Accent5 4 2 5 2 4" xfId="17090"/>
    <cellStyle name="20% - Accent5 4 2 5 2 4 2" xfId="17091"/>
    <cellStyle name="20% - Accent5 4 2 5 2 5" xfId="17092"/>
    <cellStyle name="20% - Accent5 4 2 5 2 6" xfId="17093"/>
    <cellStyle name="20% - Accent5 4 2 5 3" xfId="17094"/>
    <cellStyle name="20% - Accent5 4 2 5 3 2" xfId="17095"/>
    <cellStyle name="20% - Accent5 4 2 5 3 2 2" xfId="17096"/>
    <cellStyle name="20% - Accent5 4 2 5 3 2 3" xfId="17097"/>
    <cellStyle name="20% - Accent5 4 2 5 3 3" xfId="17098"/>
    <cellStyle name="20% - Accent5 4 2 5 3 3 2" xfId="17099"/>
    <cellStyle name="20% - Accent5 4 2 5 3 3 3" xfId="17100"/>
    <cellStyle name="20% - Accent5 4 2 5 3 4" xfId="17101"/>
    <cellStyle name="20% - Accent5 4 2 5 3 4 2" xfId="17102"/>
    <cellStyle name="20% - Accent5 4 2 5 3 5" xfId="17103"/>
    <cellStyle name="20% - Accent5 4 2 5 3 6" xfId="17104"/>
    <cellStyle name="20% - Accent5 4 2 5 4" xfId="17105"/>
    <cellStyle name="20% - Accent5 4 2 5 4 2" xfId="17106"/>
    <cellStyle name="20% - Accent5 4 2 5 4 2 2" xfId="17107"/>
    <cellStyle name="20% - Accent5 4 2 5 4 2 3" xfId="17108"/>
    <cellStyle name="20% - Accent5 4 2 5 4 3" xfId="17109"/>
    <cellStyle name="20% - Accent5 4 2 5 4 3 2" xfId="17110"/>
    <cellStyle name="20% - Accent5 4 2 5 4 4" xfId="17111"/>
    <cellStyle name="20% - Accent5 4 2 5 4 5" xfId="17112"/>
    <cellStyle name="20% - Accent5 4 2 5 5" xfId="17113"/>
    <cellStyle name="20% - Accent5 4 2 5 5 2" xfId="17114"/>
    <cellStyle name="20% - Accent5 4 2 5 5 3" xfId="17115"/>
    <cellStyle name="20% - Accent5 4 2 5 6" xfId="17116"/>
    <cellStyle name="20% - Accent5 4 2 5 6 2" xfId="17117"/>
    <cellStyle name="20% - Accent5 4 2 5 6 3" xfId="17118"/>
    <cellStyle name="20% - Accent5 4 2 5 7" xfId="17119"/>
    <cellStyle name="20% - Accent5 4 2 5 7 2" xfId="17120"/>
    <cellStyle name="20% - Accent5 4 2 5 8" xfId="17121"/>
    <cellStyle name="20% - Accent5 4 2 5 9" xfId="17122"/>
    <cellStyle name="20% - Accent5 4 2 6" xfId="17123"/>
    <cellStyle name="20% - Accent5 4 2 6 2" xfId="17124"/>
    <cellStyle name="20% - Accent5 4 2 6 2 2" xfId="17125"/>
    <cellStyle name="20% - Accent5 4 2 6 2 2 2" xfId="17126"/>
    <cellStyle name="20% - Accent5 4 2 6 2 2 3" xfId="17127"/>
    <cellStyle name="20% - Accent5 4 2 6 2 3" xfId="17128"/>
    <cellStyle name="20% - Accent5 4 2 6 2 3 2" xfId="17129"/>
    <cellStyle name="20% - Accent5 4 2 6 2 3 3" xfId="17130"/>
    <cellStyle name="20% - Accent5 4 2 6 2 4" xfId="17131"/>
    <cellStyle name="20% - Accent5 4 2 6 2 4 2" xfId="17132"/>
    <cellStyle name="20% - Accent5 4 2 6 2 5" xfId="17133"/>
    <cellStyle name="20% - Accent5 4 2 6 2 6" xfId="17134"/>
    <cellStyle name="20% - Accent5 4 2 6 3" xfId="17135"/>
    <cellStyle name="20% - Accent5 4 2 6 3 2" xfId="17136"/>
    <cellStyle name="20% - Accent5 4 2 6 3 2 2" xfId="17137"/>
    <cellStyle name="20% - Accent5 4 2 6 3 2 3" xfId="17138"/>
    <cellStyle name="20% - Accent5 4 2 6 3 3" xfId="17139"/>
    <cellStyle name="20% - Accent5 4 2 6 3 3 2" xfId="17140"/>
    <cellStyle name="20% - Accent5 4 2 6 3 3 3" xfId="17141"/>
    <cellStyle name="20% - Accent5 4 2 6 3 4" xfId="17142"/>
    <cellStyle name="20% - Accent5 4 2 6 3 4 2" xfId="17143"/>
    <cellStyle name="20% - Accent5 4 2 6 3 5" xfId="17144"/>
    <cellStyle name="20% - Accent5 4 2 6 3 6" xfId="17145"/>
    <cellStyle name="20% - Accent5 4 2 6 4" xfId="17146"/>
    <cellStyle name="20% - Accent5 4 2 6 4 2" xfId="17147"/>
    <cellStyle name="20% - Accent5 4 2 6 4 2 2" xfId="17148"/>
    <cellStyle name="20% - Accent5 4 2 6 4 2 3" xfId="17149"/>
    <cellStyle name="20% - Accent5 4 2 6 4 3" xfId="17150"/>
    <cellStyle name="20% - Accent5 4 2 6 4 3 2" xfId="17151"/>
    <cellStyle name="20% - Accent5 4 2 6 4 4" xfId="17152"/>
    <cellStyle name="20% - Accent5 4 2 6 4 5" xfId="17153"/>
    <cellStyle name="20% - Accent5 4 2 6 5" xfId="17154"/>
    <cellStyle name="20% - Accent5 4 2 6 5 2" xfId="17155"/>
    <cellStyle name="20% - Accent5 4 2 6 5 3" xfId="17156"/>
    <cellStyle name="20% - Accent5 4 2 6 6" xfId="17157"/>
    <cellStyle name="20% - Accent5 4 2 6 6 2" xfId="17158"/>
    <cellStyle name="20% - Accent5 4 2 6 6 3" xfId="17159"/>
    <cellStyle name="20% - Accent5 4 2 6 7" xfId="17160"/>
    <cellStyle name="20% - Accent5 4 2 6 7 2" xfId="17161"/>
    <cellStyle name="20% - Accent5 4 2 6 8" xfId="17162"/>
    <cellStyle name="20% - Accent5 4 2 6 9" xfId="17163"/>
    <cellStyle name="20% - Accent5 4 2 7" xfId="17164"/>
    <cellStyle name="20% - Accent5 4 2 7 2" xfId="17165"/>
    <cellStyle name="20% - Accent5 4 2 7 2 2" xfId="17166"/>
    <cellStyle name="20% - Accent5 4 2 7 2 3" xfId="17167"/>
    <cellStyle name="20% - Accent5 4 2 7 3" xfId="17168"/>
    <cellStyle name="20% - Accent5 4 2 7 3 2" xfId="17169"/>
    <cellStyle name="20% - Accent5 4 2 7 3 3" xfId="17170"/>
    <cellStyle name="20% - Accent5 4 2 7 4" xfId="17171"/>
    <cellStyle name="20% - Accent5 4 2 7 4 2" xfId="17172"/>
    <cellStyle name="20% - Accent5 4 2 7 5" xfId="17173"/>
    <cellStyle name="20% - Accent5 4 2 7 6" xfId="17174"/>
    <cellStyle name="20% - Accent5 4 2 8" xfId="17175"/>
    <cellStyle name="20% - Accent5 4 2 8 2" xfId="17176"/>
    <cellStyle name="20% - Accent5 4 2 8 2 2" xfId="17177"/>
    <cellStyle name="20% - Accent5 4 2 8 2 3" xfId="17178"/>
    <cellStyle name="20% - Accent5 4 2 8 3" xfId="17179"/>
    <cellStyle name="20% - Accent5 4 2 8 3 2" xfId="17180"/>
    <cellStyle name="20% - Accent5 4 2 8 3 3" xfId="17181"/>
    <cellStyle name="20% - Accent5 4 2 8 4" xfId="17182"/>
    <cellStyle name="20% - Accent5 4 2 8 4 2" xfId="17183"/>
    <cellStyle name="20% - Accent5 4 2 8 5" xfId="17184"/>
    <cellStyle name="20% - Accent5 4 2 8 6" xfId="17185"/>
    <cellStyle name="20% - Accent5 4 2 9" xfId="17186"/>
    <cellStyle name="20% - Accent5 4 2 9 2" xfId="17187"/>
    <cellStyle name="20% - Accent5 4 2 9 2 2" xfId="17188"/>
    <cellStyle name="20% - Accent5 4 2 9 2 3" xfId="17189"/>
    <cellStyle name="20% - Accent5 4 2 9 3" xfId="17190"/>
    <cellStyle name="20% - Accent5 4 2 9 3 2" xfId="17191"/>
    <cellStyle name="20% - Accent5 4 2 9 4" xfId="17192"/>
    <cellStyle name="20% - Accent5 4 2 9 5" xfId="17193"/>
    <cellStyle name="20% - Accent5 4 3" xfId="1145"/>
    <cellStyle name="20% - Accent5 4 3 10" xfId="17194"/>
    <cellStyle name="20% - Accent5 4 3 10 2" xfId="17195"/>
    <cellStyle name="20% - Accent5 4 3 10 3" xfId="17196"/>
    <cellStyle name="20% - Accent5 4 3 11" xfId="17197"/>
    <cellStyle name="20% - Accent5 4 3 11 2" xfId="17198"/>
    <cellStyle name="20% - Accent5 4 3 12" xfId="17199"/>
    <cellStyle name="20% - Accent5 4 3 13" xfId="17200"/>
    <cellStyle name="20% - Accent5 4 3 14" xfId="17201"/>
    <cellStyle name="20% - Accent5 4 3 2" xfId="1146"/>
    <cellStyle name="20% - Accent5 4 3 2 10" xfId="17202"/>
    <cellStyle name="20% - Accent5 4 3 2 10 2" xfId="17203"/>
    <cellStyle name="20% - Accent5 4 3 2 11" xfId="17204"/>
    <cellStyle name="20% - Accent5 4 3 2 12" xfId="17205"/>
    <cellStyle name="20% - Accent5 4 3 2 2" xfId="1147"/>
    <cellStyle name="20% - Accent5 4 3 2 2 10" xfId="17206"/>
    <cellStyle name="20% - Accent5 4 3 2 2 2" xfId="1148"/>
    <cellStyle name="20% - Accent5 4 3 2 2 2 2" xfId="17207"/>
    <cellStyle name="20% - Accent5 4 3 2 2 2 2 2" xfId="17208"/>
    <cellStyle name="20% - Accent5 4 3 2 2 2 2 2 2" xfId="17209"/>
    <cellStyle name="20% - Accent5 4 3 2 2 2 2 2 3" xfId="17210"/>
    <cellStyle name="20% - Accent5 4 3 2 2 2 2 3" xfId="17211"/>
    <cellStyle name="20% - Accent5 4 3 2 2 2 2 3 2" xfId="17212"/>
    <cellStyle name="20% - Accent5 4 3 2 2 2 2 3 3" xfId="17213"/>
    <cellStyle name="20% - Accent5 4 3 2 2 2 2 4" xfId="17214"/>
    <cellStyle name="20% - Accent5 4 3 2 2 2 2 4 2" xfId="17215"/>
    <cellStyle name="20% - Accent5 4 3 2 2 2 2 5" xfId="17216"/>
    <cellStyle name="20% - Accent5 4 3 2 2 2 2 6" xfId="17217"/>
    <cellStyle name="20% - Accent5 4 3 2 2 2 3" xfId="17218"/>
    <cellStyle name="20% - Accent5 4 3 2 2 2 3 2" xfId="17219"/>
    <cellStyle name="20% - Accent5 4 3 2 2 2 3 2 2" xfId="17220"/>
    <cellStyle name="20% - Accent5 4 3 2 2 2 3 2 3" xfId="17221"/>
    <cellStyle name="20% - Accent5 4 3 2 2 2 3 3" xfId="17222"/>
    <cellStyle name="20% - Accent5 4 3 2 2 2 3 3 2" xfId="17223"/>
    <cellStyle name="20% - Accent5 4 3 2 2 2 3 3 3" xfId="17224"/>
    <cellStyle name="20% - Accent5 4 3 2 2 2 3 4" xfId="17225"/>
    <cellStyle name="20% - Accent5 4 3 2 2 2 3 4 2" xfId="17226"/>
    <cellStyle name="20% - Accent5 4 3 2 2 2 3 5" xfId="17227"/>
    <cellStyle name="20% - Accent5 4 3 2 2 2 3 6" xfId="17228"/>
    <cellStyle name="20% - Accent5 4 3 2 2 2 4" xfId="17229"/>
    <cellStyle name="20% - Accent5 4 3 2 2 2 4 2" xfId="17230"/>
    <cellStyle name="20% - Accent5 4 3 2 2 2 4 2 2" xfId="17231"/>
    <cellStyle name="20% - Accent5 4 3 2 2 2 4 2 3" xfId="17232"/>
    <cellStyle name="20% - Accent5 4 3 2 2 2 4 3" xfId="17233"/>
    <cellStyle name="20% - Accent5 4 3 2 2 2 4 3 2" xfId="17234"/>
    <cellStyle name="20% - Accent5 4 3 2 2 2 4 4" xfId="17235"/>
    <cellStyle name="20% - Accent5 4 3 2 2 2 4 5" xfId="17236"/>
    <cellStyle name="20% - Accent5 4 3 2 2 2 5" xfId="17237"/>
    <cellStyle name="20% - Accent5 4 3 2 2 2 5 2" xfId="17238"/>
    <cellStyle name="20% - Accent5 4 3 2 2 2 5 3" xfId="17239"/>
    <cellStyle name="20% - Accent5 4 3 2 2 2 6" xfId="17240"/>
    <cellStyle name="20% - Accent5 4 3 2 2 2 6 2" xfId="17241"/>
    <cellStyle name="20% - Accent5 4 3 2 2 2 6 3" xfId="17242"/>
    <cellStyle name="20% - Accent5 4 3 2 2 2 7" xfId="17243"/>
    <cellStyle name="20% - Accent5 4 3 2 2 2 7 2" xfId="17244"/>
    <cellStyle name="20% - Accent5 4 3 2 2 2 8" xfId="17245"/>
    <cellStyle name="20% - Accent5 4 3 2 2 2 9" xfId="17246"/>
    <cellStyle name="20% - Accent5 4 3 2 2 3" xfId="17247"/>
    <cellStyle name="20% - Accent5 4 3 2 2 3 2" xfId="17248"/>
    <cellStyle name="20% - Accent5 4 3 2 2 3 2 2" xfId="17249"/>
    <cellStyle name="20% - Accent5 4 3 2 2 3 2 3" xfId="17250"/>
    <cellStyle name="20% - Accent5 4 3 2 2 3 3" xfId="17251"/>
    <cellStyle name="20% - Accent5 4 3 2 2 3 3 2" xfId="17252"/>
    <cellStyle name="20% - Accent5 4 3 2 2 3 3 3" xfId="17253"/>
    <cellStyle name="20% - Accent5 4 3 2 2 3 4" xfId="17254"/>
    <cellStyle name="20% - Accent5 4 3 2 2 3 4 2" xfId="17255"/>
    <cellStyle name="20% - Accent5 4 3 2 2 3 5" xfId="17256"/>
    <cellStyle name="20% - Accent5 4 3 2 2 3 6" xfId="17257"/>
    <cellStyle name="20% - Accent5 4 3 2 2 4" xfId="17258"/>
    <cellStyle name="20% - Accent5 4 3 2 2 4 2" xfId="17259"/>
    <cellStyle name="20% - Accent5 4 3 2 2 4 2 2" xfId="17260"/>
    <cellStyle name="20% - Accent5 4 3 2 2 4 2 3" xfId="17261"/>
    <cellStyle name="20% - Accent5 4 3 2 2 4 3" xfId="17262"/>
    <cellStyle name="20% - Accent5 4 3 2 2 4 3 2" xfId="17263"/>
    <cellStyle name="20% - Accent5 4 3 2 2 4 3 3" xfId="17264"/>
    <cellStyle name="20% - Accent5 4 3 2 2 4 4" xfId="17265"/>
    <cellStyle name="20% - Accent5 4 3 2 2 4 4 2" xfId="17266"/>
    <cellStyle name="20% - Accent5 4 3 2 2 4 5" xfId="17267"/>
    <cellStyle name="20% - Accent5 4 3 2 2 4 6" xfId="17268"/>
    <cellStyle name="20% - Accent5 4 3 2 2 5" xfId="17269"/>
    <cellStyle name="20% - Accent5 4 3 2 2 5 2" xfId="17270"/>
    <cellStyle name="20% - Accent5 4 3 2 2 5 2 2" xfId="17271"/>
    <cellStyle name="20% - Accent5 4 3 2 2 5 2 3" xfId="17272"/>
    <cellStyle name="20% - Accent5 4 3 2 2 5 3" xfId="17273"/>
    <cellStyle name="20% - Accent5 4 3 2 2 5 3 2" xfId="17274"/>
    <cellStyle name="20% - Accent5 4 3 2 2 5 4" xfId="17275"/>
    <cellStyle name="20% - Accent5 4 3 2 2 5 5" xfId="17276"/>
    <cellStyle name="20% - Accent5 4 3 2 2 6" xfId="17277"/>
    <cellStyle name="20% - Accent5 4 3 2 2 6 2" xfId="17278"/>
    <cellStyle name="20% - Accent5 4 3 2 2 6 3" xfId="17279"/>
    <cellStyle name="20% - Accent5 4 3 2 2 7" xfId="17280"/>
    <cellStyle name="20% - Accent5 4 3 2 2 7 2" xfId="17281"/>
    <cellStyle name="20% - Accent5 4 3 2 2 7 3" xfId="17282"/>
    <cellStyle name="20% - Accent5 4 3 2 2 8" xfId="17283"/>
    <cellStyle name="20% - Accent5 4 3 2 2 8 2" xfId="17284"/>
    <cellStyle name="20% - Accent5 4 3 2 2 9" xfId="17285"/>
    <cellStyle name="20% - Accent5 4 3 2 3" xfId="1149"/>
    <cellStyle name="20% - Accent5 4 3 2 3 2" xfId="17286"/>
    <cellStyle name="20% - Accent5 4 3 2 3 2 2" xfId="17287"/>
    <cellStyle name="20% - Accent5 4 3 2 3 2 2 2" xfId="17288"/>
    <cellStyle name="20% - Accent5 4 3 2 3 2 2 3" xfId="17289"/>
    <cellStyle name="20% - Accent5 4 3 2 3 2 3" xfId="17290"/>
    <cellStyle name="20% - Accent5 4 3 2 3 2 3 2" xfId="17291"/>
    <cellStyle name="20% - Accent5 4 3 2 3 2 3 3" xfId="17292"/>
    <cellStyle name="20% - Accent5 4 3 2 3 2 4" xfId="17293"/>
    <cellStyle name="20% - Accent5 4 3 2 3 2 4 2" xfId="17294"/>
    <cellStyle name="20% - Accent5 4 3 2 3 2 5" xfId="17295"/>
    <cellStyle name="20% - Accent5 4 3 2 3 2 6" xfId="17296"/>
    <cellStyle name="20% - Accent5 4 3 2 3 3" xfId="17297"/>
    <cellStyle name="20% - Accent5 4 3 2 3 3 2" xfId="17298"/>
    <cellStyle name="20% - Accent5 4 3 2 3 3 2 2" xfId="17299"/>
    <cellStyle name="20% - Accent5 4 3 2 3 3 2 3" xfId="17300"/>
    <cellStyle name="20% - Accent5 4 3 2 3 3 3" xfId="17301"/>
    <cellStyle name="20% - Accent5 4 3 2 3 3 3 2" xfId="17302"/>
    <cellStyle name="20% - Accent5 4 3 2 3 3 3 3" xfId="17303"/>
    <cellStyle name="20% - Accent5 4 3 2 3 3 4" xfId="17304"/>
    <cellStyle name="20% - Accent5 4 3 2 3 3 4 2" xfId="17305"/>
    <cellStyle name="20% - Accent5 4 3 2 3 3 5" xfId="17306"/>
    <cellStyle name="20% - Accent5 4 3 2 3 3 6" xfId="17307"/>
    <cellStyle name="20% - Accent5 4 3 2 3 4" xfId="17308"/>
    <cellStyle name="20% - Accent5 4 3 2 3 4 2" xfId="17309"/>
    <cellStyle name="20% - Accent5 4 3 2 3 4 2 2" xfId="17310"/>
    <cellStyle name="20% - Accent5 4 3 2 3 4 2 3" xfId="17311"/>
    <cellStyle name="20% - Accent5 4 3 2 3 4 3" xfId="17312"/>
    <cellStyle name="20% - Accent5 4 3 2 3 4 3 2" xfId="17313"/>
    <cellStyle name="20% - Accent5 4 3 2 3 4 4" xfId="17314"/>
    <cellStyle name="20% - Accent5 4 3 2 3 4 5" xfId="17315"/>
    <cellStyle name="20% - Accent5 4 3 2 3 5" xfId="17316"/>
    <cellStyle name="20% - Accent5 4 3 2 3 5 2" xfId="17317"/>
    <cellStyle name="20% - Accent5 4 3 2 3 5 3" xfId="17318"/>
    <cellStyle name="20% - Accent5 4 3 2 3 6" xfId="17319"/>
    <cellStyle name="20% - Accent5 4 3 2 3 6 2" xfId="17320"/>
    <cellStyle name="20% - Accent5 4 3 2 3 6 3" xfId="17321"/>
    <cellStyle name="20% - Accent5 4 3 2 3 7" xfId="17322"/>
    <cellStyle name="20% - Accent5 4 3 2 3 7 2" xfId="17323"/>
    <cellStyle name="20% - Accent5 4 3 2 3 8" xfId="17324"/>
    <cellStyle name="20% - Accent5 4 3 2 3 9" xfId="17325"/>
    <cellStyle name="20% - Accent5 4 3 2 4" xfId="17326"/>
    <cellStyle name="20% - Accent5 4 3 2 4 2" xfId="17327"/>
    <cellStyle name="20% - Accent5 4 3 2 4 2 2" xfId="17328"/>
    <cellStyle name="20% - Accent5 4 3 2 4 2 2 2" xfId="17329"/>
    <cellStyle name="20% - Accent5 4 3 2 4 2 2 3" xfId="17330"/>
    <cellStyle name="20% - Accent5 4 3 2 4 2 3" xfId="17331"/>
    <cellStyle name="20% - Accent5 4 3 2 4 2 3 2" xfId="17332"/>
    <cellStyle name="20% - Accent5 4 3 2 4 2 3 3" xfId="17333"/>
    <cellStyle name="20% - Accent5 4 3 2 4 2 4" xfId="17334"/>
    <cellStyle name="20% - Accent5 4 3 2 4 2 4 2" xfId="17335"/>
    <cellStyle name="20% - Accent5 4 3 2 4 2 5" xfId="17336"/>
    <cellStyle name="20% - Accent5 4 3 2 4 2 6" xfId="17337"/>
    <cellStyle name="20% - Accent5 4 3 2 4 3" xfId="17338"/>
    <cellStyle name="20% - Accent5 4 3 2 4 3 2" xfId="17339"/>
    <cellStyle name="20% - Accent5 4 3 2 4 3 2 2" xfId="17340"/>
    <cellStyle name="20% - Accent5 4 3 2 4 3 2 3" xfId="17341"/>
    <cellStyle name="20% - Accent5 4 3 2 4 3 3" xfId="17342"/>
    <cellStyle name="20% - Accent5 4 3 2 4 3 3 2" xfId="17343"/>
    <cellStyle name="20% - Accent5 4 3 2 4 3 3 3" xfId="17344"/>
    <cellStyle name="20% - Accent5 4 3 2 4 3 4" xfId="17345"/>
    <cellStyle name="20% - Accent5 4 3 2 4 3 4 2" xfId="17346"/>
    <cellStyle name="20% - Accent5 4 3 2 4 3 5" xfId="17347"/>
    <cellStyle name="20% - Accent5 4 3 2 4 3 6" xfId="17348"/>
    <cellStyle name="20% - Accent5 4 3 2 4 4" xfId="17349"/>
    <cellStyle name="20% - Accent5 4 3 2 4 4 2" xfId="17350"/>
    <cellStyle name="20% - Accent5 4 3 2 4 4 2 2" xfId="17351"/>
    <cellStyle name="20% - Accent5 4 3 2 4 4 2 3" xfId="17352"/>
    <cellStyle name="20% - Accent5 4 3 2 4 4 3" xfId="17353"/>
    <cellStyle name="20% - Accent5 4 3 2 4 4 3 2" xfId="17354"/>
    <cellStyle name="20% - Accent5 4 3 2 4 4 4" xfId="17355"/>
    <cellStyle name="20% - Accent5 4 3 2 4 4 5" xfId="17356"/>
    <cellStyle name="20% - Accent5 4 3 2 4 5" xfId="17357"/>
    <cellStyle name="20% - Accent5 4 3 2 4 5 2" xfId="17358"/>
    <cellStyle name="20% - Accent5 4 3 2 4 5 3" xfId="17359"/>
    <cellStyle name="20% - Accent5 4 3 2 4 6" xfId="17360"/>
    <cellStyle name="20% - Accent5 4 3 2 4 6 2" xfId="17361"/>
    <cellStyle name="20% - Accent5 4 3 2 4 6 3" xfId="17362"/>
    <cellStyle name="20% - Accent5 4 3 2 4 7" xfId="17363"/>
    <cellStyle name="20% - Accent5 4 3 2 4 7 2" xfId="17364"/>
    <cellStyle name="20% - Accent5 4 3 2 4 8" xfId="17365"/>
    <cellStyle name="20% - Accent5 4 3 2 4 9" xfId="17366"/>
    <cellStyle name="20% - Accent5 4 3 2 5" xfId="17367"/>
    <cellStyle name="20% - Accent5 4 3 2 5 2" xfId="17368"/>
    <cellStyle name="20% - Accent5 4 3 2 5 2 2" xfId="17369"/>
    <cellStyle name="20% - Accent5 4 3 2 5 2 3" xfId="17370"/>
    <cellStyle name="20% - Accent5 4 3 2 5 3" xfId="17371"/>
    <cellStyle name="20% - Accent5 4 3 2 5 3 2" xfId="17372"/>
    <cellStyle name="20% - Accent5 4 3 2 5 3 3" xfId="17373"/>
    <cellStyle name="20% - Accent5 4 3 2 5 4" xfId="17374"/>
    <cellStyle name="20% - Accent5 4 3 2 5 4 2" xfId="17375"/>
    <cellStyle name="20% - Accent5 4 3 2 5 5" xfId="17376"/>
    <cellStyle name="20% - Accent5 4 3 2 5 6" xfId="17377"/>
    <cellStyle name="20% - Accent5 4 3 2 6" xfId="17378"/>
    <cellStyle name="20% - Accent5 4 3 2 6 2" xfId="17379"/>
    <cellStyle name="20% - Accent5 4 3 2 6 2 2" xfId="17380"/>
    <cellStyle name="20% - Accent5 4 3 2 6 2 3" xfId="17381"/>
    <cellStyle name="20% - Accent5 4 3 2 6 3" xfId="17382"/>
    <cellStyle name="20% - Accent5 4 3 2 6 3 2" xfId="17383"/>
    <cellStyle name="20% - Accent5 4 3 2 6 3 3" xfId="17384"/>
    <cellStyle name="20% - Accent5 4 3 2 6 4" xfId="17385"/>
    <cellStyle name="20% - Accent5 4 3 2 6 4 2" xfId="17386"/>
    <cellStyle name="20% - Accent5 4 3 2 6 5" xfId="17387"/>
    <cellStyle name="20% - Accent5 4 3 2 6 6" xfId="17388"/>
    <cellStyle name="20% - Accent5 4 3 2 7" xfId="17389"/>
    <cellStyle name="20% - Accent5 4 3 2 7 2" xfId="17390"/>
    <cellStyle name="20% - Accent5 4 3 2 7 2 2" xfId="17391"/>
    <cellStyle name="20% - Accent5 4 3 2 7 2 3" xfId="17392"/>
    <cellStyle name="20% - Accent5 4 3 2 7 3" xfId="17393"/>
    <cellStyle name="20% - Accent5 4 3 2 7 3 2" xfId="17394"/>
    <cellStyle name="20% - Accent5 4 3 2 7 4" xfId="17395"/>
    <cellStyle name="20% - Accent5 4 3 2 7 5" xfId="17396"/>
    <cellStyle name="20% - Accent5 4 3 2 8" xfId="17397"/>
    <cellStyle name="20% - Accent5 4 3 2 8 2" xfId="17398"/>
    <cellStyle name="20% - Accent5 4 3 2 8 3" xfId="17399"/>
    <cellStyle name="20% - Accent5 4 3 2 9" xfId="17400"/>
    <cellStyle name="20% - Accent5 4 3 2 9 2" xfId="17401"/>
    <cellStyle name="20% - Accent5 4 3 2 9 3" xfId="17402"/>
    <cellStyle name="20% - Accent5 4 3 3" xfId="1150"/>
    <cellStyle name="20% - Accent5 4 3 3 10" xfId="17403"/>
    <cellStyle name="20% - Accent5 4 3 3 2" xfId="1151"/>
    <cellStyle name="20% - Accent5 4 3 3 2 2" xfId="17404"/>
    <cellStyle name="20% - Accent5 4 3 3 2 2 2" xfId="17405"/>
    <cellStyle name="20% - Accent5 4 3 3 2 2 2 2" xfId="17406"/>
    <cellStyle name="20% - Accent5 4 3 3 2 2 2 3" xfId="17407"/>
    <cellStyle name="20% - Accent5 4 3 3 2 2 3" xfId="17408"/>
    <cellStyle name="20% - Accent5 4 3 3 2 2 3 2" xfId="17409"/>
    <cellStyle name="20% - Accent5 4 3 3 2 2 3 3" xfId="17410"/>
    <cellStyle name="20% - Accent5 4 3 3 2 2 4" xfId="17411"/>
    <cellStyle name="20% - Accent5 4 3 3 2 2 4 2" xfId="17412"/>
    <cellStyle name="20% - Accent5 4 3 3 2 2 5" xfId="17413"/>
    <cellStyle name="20% - Accent5 4 3 3 2 2 6" xfId="17414"/>
    <cellStyle name="20% - Accent5 4 3 3 2 3" xfId="17415"/>
    <cellStyle name="20% - Accent5 4 3 3 2 3 2" xfId="17416"/>
    <cellStyle name="20% - Accent5 4 3 3 2 3 2 2" xfId="17417"/>
    <cellStyle name="20% - Accent5 4 3 3 2 3 2 3" xfId="17418"/>
    <cellStyle name="20% - Accent5 4 3 3 2 3 3" xfId="17419"/>
    <cellStyle name="20% - Accent5 4 3 3 2 3 3 2" xfId="17420"/>
    <cellStyle name="20% - Accent5 4 3 3 2 3 3 3" xfId="17421"/>
    <cellStyle name="20% - Accent5 4 3 3 2 3 4" xfId="17422"/>
    <cellStyle name="20% - Accent5 4 3 3 2 3 4 2" xfId="17423"/>
    <cellStyle name="20% - Accent5 4 3 3 2 3 5" xfId="17424"/>
    <cellStyle name="20% - Accent5 4 3 3 2 3 6" xfId="17425"/>
    <cellStyle name="20% - Accent5 4 3 3 2 4" xfId="17426"/>
    <cellStyle name="20% - Accent5 4 3 3 2 4 2" xfId="17427"/>
    <cellStyle name="20% - Accent5 4 3 3 2 4 2 2" xfId="17428"/>
    <cellStyle name="20% - Accent5 4 3 3 2 4 2 3" xfId="17429"/>
    <cellStyle name="20% - Accent5 4 3 3 2 4 3" xfId="17430"/>
    <cellStyle name="20% - Accent5 4 3 3 2 4 3 2" xfId="17431"/>
    <cellStyle name="20% - Accent5 4 3 3 2 4 4" xfId="17432"/>
    <cellStyle name="20% - Accent5 4 3 3 2 4 5" xfId="17433"/>
    <cellStyle name="20% - Accent5 4 3 3 2 5" xfId="17434"/>
    <cellStyle name="20% - Accent5 4 3 3 2 5 2" xfId="17435"/>
    <cellStyle name="20% - Accent5 4 3 3 2 5 3" xfId="17436"/>
    <cellStyle name="20% - Accent5 4 3 3 2 6" xfId="17437"/>
    <cellStyle name="20% - Accent5 4 3 3 2 6 2" xfId="17438"/>
    <cellStyle name="20% - Accent5 4 3 3 2 6 3" xfId="17439"/>
    <cellStyle name="20% - Accent5 4 3 3 2 7" xfId="17440"/>
    <cellStyle name="20% - Accent5 4 3 3 2 7 2" xfId="17441"/>
    <cellStyle name="20% - Accent5 4 3 3 2 8" xfId="17442"/>
    <cellStyle name="20% - Accent5 4 3 3 2 9" xfId="17443"/>
    <cellStyle name="20% - Accent5 4 3 3 3" xfId="17444"/>
    <cellStyle name="20% - Accent5 4 3 3 3 2" xfId="17445"/>
    <cellStyle name="20% - Accent5 4 3 3 3 2 2" xfId="17446"/>
    <cellStyle name="20% - Accent5 4 3 3 3 2 3" xfId="17447"/>
    <cellStyle name="20% - Accent5 4 3 3 3 3" xfId="17448"/>
    <cellStyle name="20% - Accent5 4 3 3 3 3 2" xfId="17449"/>
    <cellStyle name="20% - Accent5 4 3 3 3 3 3" xfId="17450"/>
    <cellStyle name="20% - Accent5 4 3 3 3 4" xfId="17451"/>
    <cellStyle name="20% - Accent5 4 3 3 3 4 2" xfId="17452"/>
    <cellStyle name="20% - Accent5 4 3 3 3 5" xfId="17453"/>
    <cellStyle name="20% - Accent5 4 3 3 3 6" xfId="17454"/>
    <cellStyle name="20% - Accent5 4 3 3 4" xfId="17455"/>
    <cellStyle name="20% - Accent5 4 3 3 4 2" xfId="17456"/>
    <cellStyle name="20% - Accent5 4 3 3 4 2 2" xfId="17457"/>
    <cellStyle name="20% - Accent5 4 3 3 4 2 3" xfId="17458"/>
    <cellStyle name="20% - Accent5 4 3 3 4 3" xfId="17459"/>
    <cellStyle name="20% - Accent5 4 3 3 4 3 2" xfId="17460"/>
    <cellStyle name="20% - Accent5 4 3 3 4 3 3" xfId="17461"/>
    <cellStyle name="20% - Accent5 4 3 3 4 4" xfId="17462"/>
    <cellStyle name="20% - Accent5 4 3 3 4 4 2" xfId="17463"/>
    <cellStyle name="20% - Accent5 4 3 3 4 5" xfId="17464"/>
    <cellStyle name="20% - Accent5 4 3 3 4 6" xfId="17465"/>
    <cellStyle name="20% - Accent5 4 3 3 5" xfId="17466"/>
    <cellStyle name="20% - Accent5 4 3 3 5 2" xfId="17467"/>
    <cellStyle name="20% - Accent5 4 3 3 5 2 2" xfId="17468"/>
    <cellStyle name="20% - Accent5 4 3 3 5 2 3" xfId="17469"/>
    <cellStyle name="20% - Accent5 4 3 3 5 3" xfId="17470"/>
    <cellStyle name="20% - Accent5 4 3 3 5 3 2" xfId="17471"/>
    <cellStyle name="20% - Accent5 4 3 3 5 4" xfId="17472"/>
    <cellStyle name="20% - Accent5 4 3 3 5 5" xfId="17473"/>
    <cellStyle name="20% - Accent5 4 3 3 6" xfId="17474"/>
    <cellStyle name="20% - Accent5 4 3 3 6 2" xfId="17475"/>
    <cellStyle name="20% - Accent5 4 3 3 6 3" xfId="17476"/>
    <cellStyle name="20% - Accent5 4 3 3 7" xfId="17477"/>
    <cellStyle name="20% - Accent5 4 3 3 7 2" xfId="17478"/>
    <cellStyle name="20% - Accent5 4 3 3 7 3" xfId="17479"/>
    <cellStyle name="20% - Accent5 4 3 3 8" xfId="17480"/>
    <cellStyle name="20% - Accent5 4 3 3 8 2" xfId="17481"/>
    <cellStyle name="20% - Accent5 4 3 3 9" xfId="17482"/>
    <cellStyle name="20% - Accent5 4 3 4" xfId="1152"/>
    <cellStyle name="20% - Accent5 4 3 4 2" xfId="17483"/>
    <cellStyle name="20% - Accent5 4 3 4 2 2" xfId="17484"/>
    <cellStyle name="20% - Accent5 4 3 4 2 2 2" xfId="17485"/>
    <cellStyle name="20% - Accent5 4 3 4 2 2 3" xfId="17486"/>
    <cellStyle name="20% - Accent5 4 3 4 2 3" xfId="17487"/>
    <cellStyle name="20% - Accent5 4 3 4 2 3 2" xfId="17488"/>
    <cellStyle name="20% - Accent5 4 3 4 2 3 3" xfId="17489"/>
    <cellStyle name="20% - Accent5 4 3 4 2 4" xfId="17490"/>
    <cellStyle name="20% - Accent5 4 3 4 2 4 2" xfId="17491"/>
    <cellStyle name="20% - Accent5 4 3 4 2 5" xfId="17492"/>
    <cellStyle name="20% - Accent5 4 3 4 2 6" xfId="17493"/>
    <cellStyle name="20% - Accent5 4 3 4 3" xfId="17494"/>
    <cellStyle name="20% - Accent5 4 3 4 3 2" xfId="17495"/>
    <cellStyle name="20% - Accent5 4 3 4 3 2 2" xfId="17496"/>
    <cellStyle name="20% - Accent5 4 3 4 3 2 3" xfId="17497"/>
    <cellStyle name="20% - Accent5 4 3 4 3 3" xfId="17498"/>
    <cellStyle name="20% - Accent5 4 3 4 3 3 2" xfId="17499"/>
    <cellStyle name="20% - Accent5 4 3 4 3 3 3" xfId="17500"/>
    <cellStyle name="20% - Accent5 4 3 4 3 4" xfId="17501"/>
    <cellStyle name="20% - Accent5 4 3 4 3 4 2" xfId="17502"/>
    <cellStyle name="20% - Accent5 4 3 4 3 5" xfId="17503"/>
    <cellStyle name="20% - Accent5 4 3 4 3 6" xfId="17504"/>
    <cellStyle name="20% - Accent5 4 3 4 4" xfId="17505"/>
    <cellStyle name="20% - Accent5 4 3 4 4 2" xfId="17506"/>
    <cellStyle name="20% - Accent5 4 3 4 4 2 2" xfId="17507"/>
    <cellStyle name="20% - Accent5 4 3 4 4 2 3" xfId="17508"/>
    <cellStyle name="20% - Accent5 4 3 4 4 3" xfId="17509"/>
    <cellStyle name="20% - Accent5 4 3 4 4 3 2" xfId="17510"/>
    <cellStyle name="20% - Accent5 4 3 4 4 4" xfId="17511"/>
    <cellStyle name="20% - Accent5 4 3 4 4 5" xfId="17512"/>
    <cellStyle name="20% - Accent5 4 3 4 5" xfId="17513"/>
    <cellStyle name="20% - Accent5 4 3 4 5 2" xfId="17514"/>
    <cellStyle name="20% - Accent5 4 3 4 5 3" xfId="17515"/>
    <cellStyle name="20% - Accent5 4 3 4 6" xfId="17516"/>
    <cellStyle name="20% - Accent5 4 3 4 6 2" xfId="17517"/>
    <cellStyle name="20% - Accent5 4 3 4 6 3" xfId="17518"/>
    <cellStyle name="20% - Accent5 4 3 4 7" xfId="17519"/>
    <cellStyle name="20% - Accent5 4 3 4 7 2" xfId="17520"/>
    <cellStyle name="20% - Accent5 4 3 4 8" xfId="17521"/>
    <cellStyle name="20% - Accent5 4 3 4 9" xfId="17522"/>
    <cellStyle name="20% - Accent5 4 3 5" xfId="17523"/>
    <cellStyle name="20% - Accent5 4 3 5 2" xfId="17524"/>
    <cellStyle name="20% - Accent5 4 3 5 2 2" xfId="17525"/>
    <cellStyle name="20% - Accent5 4 3 5 2 2 2" xfId="17526"/>
    <cellStyle name="20% - Accent5 4 3 5 2 2 3" xfId="17527"/>
    <cellStyle name="20% - Accent5 4 3 5 2 3" xfId="17528"/>
    <cellStyle name="20% - Accent5 4 3 5 2 3 2" xfId="17529"/>
    <cellStyle name="20% - Accent5 4 3 5 2 3 3" xfId="17530"/>
    <cellStyle name="20% - Accent5 4 3 5 2 4" xfId="17531"/>
    <cellStyle name="20% - Accent5 4 3 5 2 4 2" xfId="17532"/>
    <cellStyle name="20% - Accent5 4 3 5 2 5" xfId="17533"/>
    <cellStyle name="20% - Accent5 4 3 5 2 6" xfId="17534"/>
    <cellStyle name="20% - Accent5 4 3 5 3" xfId="17535"/>
    <cellStyle name="20% - Accent5 4 3 5 3 2" xfId="17536"/>
    <cellStyle name="20% - Accent5 4 3 5 3 2 2" xfId="17537"/>
    <cellStyle name="20% - Accent5 4 3 5 3 2 3" xfId="17538"/>
    <cellStyle name="20% - Accent5 4 3 5 3 3" xfId="17539"/>
    <cellStyle name="20% - Accent5 4 3 5 3 3 2" xfId="17540"/>
    <cellStyle name="20% - Accent5 4 3 5 3 3 3" xfId="17541"/>
    <cellStyle name="20% - Accent5 4 3 5 3 4" xfId="17542"/>
    <cellStyle name="20% - Accent5 4 3 5 3 4 2" xfId="17543"/>
    <cellStyle name="20% - Accent5 4 3 5 3 5" xfId="17544"/>
    <cellStyle name="20% - Accent5 4 3 5 3 6" xfId="17545"/>
    <cellStyle name="20% - Accent5 4 3 5 4" xfId="17546"/>
    <cellStyle name="20% - Accent5 4 3 5 4 2" xfId="17547"/>
    <cellStyle name="20% - Accent5 4 3 5 4 2 2" xfId="17548"/>
    <cellStyle name="20% - Accent5 4 3 5 4 2 3" xfId="17549"/>
    <cellStyle name="20% - Accent5 4 3 5 4 3" xfId="17550"/>
    <cellStyle name="20% - Accent5 4 3 5 4 3 2" xfId="17551"/>
    <cellStyle name="20% - Accent5 4 3 5 4 4" xfId="17552"/>
    <cellStyle name="20% - Accent5 4 3 5 4 5" xfId="17553"/>
    <cellStyle name="20% - Accent5 4 3 5 5" xfId="17554"/>
    <cellStyle name="20% - Accent5 4 3 5 5 2" xfId="17555"/>
    <cellStyle name="20% - Accent5 4 3 5 5 3" xfId="17556"/>
    <cellStyle name="20% - Accent5 4 3 5 6" xfId="17557"/>
    <cellStyle name="20% - Accent5 4 3 5 6 2" xfId="17558"/>
    <cellStyle name="20% - Accent5 4 3 5 6 3" xfId="17559"/>
    <cellStyle name="20% - Accent5 4 3 5 7" xfId="17560"/>
    <cellStyle name="20% - Accent5 4 3 5 7 2" xfId="17561"/>
    <cellStyle name="20% - Accent5 4 3 5 8" xfId="17562"/>
    <cellStyle name="20% - Accent5 4 3 5 9" xfId="17563"/>
    <cellStyle name="20% - Accent5 4 3 6" xfId="17564"/>
    <cellStyle name="20% - Accent5 4 3 6 2" xfId="17565"/>
    <cellStyle name="20% - Accent5 4 3 6 2 2" xfId="17566"/>
    <cellStyle name="20% - Accent5 4 3 6 2 3" xfId="17567"/>
    <cellStyle name="20% - Accent5 4 3 6 3" xfId="17568"/>
    <cellStyle name="20% - Accent5 4 3 6 3 2" xfId="17569"/>
    <cellStyle name="20% - Accent5 4 3 6 3 3" xfId="17570"/>
    <cellStyle name="20% - Accent5 4 3 6 4" xfId="17571"/>
    <cellStyle name="20% - Accent5 4 3 6 4 2" xfId="17572"/>
    <cellStyle name="20% - Accent5 4 3 6 5" xfId="17573"/>
    <cellStyle name="20% - Accent5 4 3 6 6" xfId="17574"/>
    <cellStyle name="20% - Accent5 4 3 7" xfId="17575"/>
    <cellStyle name="20% - Accent5 4 3 7 2" xfId="17576"/>
    <cellStyle name="20% - Accent5 4 3 7 2 2" xfId="17577"/>
    <cellStyle name="20% - Accent5 4 3 7 2 3" xfId="17578"/>
    <cellStyle name="20% - Accent5 4 3 7 3" xfId="17579"/>
    <cellStyle name="20% - Accent5 4 3 7 3 2" xfId="17580"/>
    <cellStyle name="20% - Accent5 4 3 7 3 3" xfId="17581"/>
    <cellStyle name="20% - Accent5 4 3 7 4" xfId="17582"/>
    <cellStyle name="20% - Accent5 4 3 7 4 2" xfId="17583"/>
    <cellStyle name="20% - Accent5 4 3 7 5" xfId="17584"/>
    <cellStyle name="20% - Accent5 4 3 7 6" xfId="17585"/>
    <cellStyle name="20% - Accent5 4 3 8" xfId="17586"/>
    <cellStyle name="20% - Accent5 4 3 8 2" xfId="17587"/>
    <cellStyle name="20% - Accent5 4 3 8 2 2" xfId="17588"/>
    <cellStyle name="20% - Accent5 4 3 8 2 3" xfId="17589"/>
    <cellStyle name="20% - Accent5 4 3 8 3" xfId="17590"/>
    <cellStyle name="20% - Accent5 4 3 8 3 2" xfId="17591"/>
    <cellStyle name="20% - Accent5 4 3 8 4" xfId="17592"/>
    <cellStyle name="20% - Accent5 4 3 8 5" xfId="17593"/>
    <cellStyle name="20% - Accent5 4 3 9" xfId="17594"/>
    <cellStyle name="20% - Accent5 4 3 9 2" xfId="17595"/>
    <cellStyle name="20% - Accent5 4 3 9 3" xfId="17596"/>
    <cellStyle name="20% - Accent5 4 4" xfId="1153"/>
    <cellStyle name="20% - Accent5 4 4 10" xfId="17597"/>
    <cellStyle name="20% - Accent5 4 4 10 2" xfId="17598"/>
    <cellStyle name="20% - Accent5 4 4 11" xfId="17599"/>
    <cellStyle name="20% - Accent5 4 4 12" xfId="17600"/>
    <cellStyle name="20% - Accent5 4 4 2" xfId="1154"/>
    <cellStyle name="20% - Accent5 4 4 2 10" xfId="17601"/>
    <cellStyle name="20% - Accent5 4 4 2 2" xfId="1155"/>
    <cellStyle name="20% - Accent5 4 4 2 2 2" xfId="17602"/>
    <cellStyle name="20% - Accent5 4 4 2 2 2 2" xfId="17603"/>
    <cellStyle name="20% - Accent5 4 4 2 2 2 2 2" xfId="17604"/>
    <cellStyle name="20% - Accent5 4 4 2 2 2 2 3" xfId="17605"/>
    <cellStyle name="20% - Accent5 4 4 2 2 2 3" xfId="17606"/>
    <cellStyle name="20% - Accent5 4 4 2 2 2 3 2" xfId="17607"/>
    <cellStyle name="20% - Accent5 4 4 2 2 2 3 3" xfId="17608"/>
    <cellStyle name="20% - Accent5 4 4 2 2 2 4" xfId="17609"/>
    <cellStyle name="20% - Accent5 4 4 2 2 2 4 2" xfId="17610"/>
    <cellStyle name="20% - Accent5 4 4 2 2 2 5" xfId="17611"/>
    <cellStyle name="20% - Accent5 4 4 2 2 2 6" xfId="17612"/>
    <cellStyle name="20% - Accent5 4 4 2 2 3" xfId="17613"/>
    <cellStyle name="20% - Accent5 4 4 2 2 3 2" xfId="17614"/>
    <cellStyle name="20% - Accent5 4 4 2 2 3 2 2" xfId="17615"/>
    <cellStyle name="20% - Accent5 4 4 2 2 3 2 3" xfId="17616"/>
    <cellStyle name="20% - Accent5 4 4 2 2 3 3" xfId="17617"/>
    <cellStyle name="20% - Accent5 4 4 2 2 3 3 2" xfId="17618"/>
    <cellStyle name="20% - Accent5 4 4 2 2 3 3 3" xfId="17619"/>
    <cellStyle name="20% - Accent5 4 4 2 2 3 4" xfId="17620"/>
    <cellStyle name="20% - Accent5 4 4 2 2 3 4 2" xfId="17621"/>
    <cellStyle name="20% - Accent5 4 4 2 2 3 5" xfId="17622"/>
    <cellStyle name="20% - Accent5 4 4 2 2 3 6" xfId="17623"/>
    <cellStyle name="20% - Accent5 4 4 2 2 4" xfId="17624"/>
    <cellStyle name="20% - Accent5 4 4 2 2 4 2" xfId="17625"/>
    <cellStyle name="20% - Accent5 4 4 2 2 4 2 2" xfId="17626"/>
    <cellStyle name="20% - Accent5 4 4 2 2 4 2 3" xfId="17627"/>
    <cellStyle name="20% - Accent5 4 4 2 2 4 3" xfId="17628"/>
    <cellStyle name="20% - Accent5 4 4 2 2 4 3 2" xfId="17629"/>
    <cellStyle name="20% - Accent5 4 4 2 2 4 4" xfId="17630"/>
    <cellStyle name="20% - Accent5 4 4 2 2 4 5" xfId="17631"/>
    <cellStyle name="20% - Accent5 4 4 2 2 5" xfId="17632"/>
    <cellStyle name="20% - Accent5 4 4 2 2 5 2" xfId="17633"/>
    <cellStyle name="20% - Accent5 4 4 2 2 5 3" xfId="17634"/>
    <cellStyle name="20% - Accent5 4 4 2 2 6" xfId="17635"/>
    <cellStyle name="20% - Accent5 4 4 2 2 6 2" xfId="17636"/>
    <cellStyle name="20% - Accent5 4 4 2 2 6 3" xfId="17637"/>
    <cellStyle name="20% - Accent5 4 4 2 2 7" xfId="17638"/>
    <cellStyle name="20% - Accent5 4 4 2 2 7 2" xfId="17639"/>
    <cellStyle name="20% - Accent5 4 4 2 2 8" xfId="17640"/>
    <cellStyle name="20% - Accent5 4 4 2 2 9" xfId="17641"/>
    <cellStyle name="20% - Accent5 4 4 2 3" xfId="17642"/>
    <cellStyle name="20% - Accent5 4 4 2 3 2" xfId="17643"/>
    <cellStyle name="20% - Accent5 4 4 2 3 2 2" xfId="17644"/>
    <cellStyle name="20% - Accent5 4 4 2 3 2 3" xfId="17645"/>
    <cellStyle name="20% - Accent5 4 4 2 3 3" xfId="17646"/>
    <cellStyle name="20% - Accent5 4 4 2 3 3 2" xfId="17647"/>
    <cellStyle name="20% - Accent5 4 4 2 3 3 3" xfId="17648"/>
    <cellStyle name="20% - Accent5 4 4 2 3 4" xfId="17649"/>
    <cellStyle name="20% - Accent5 4 4 2 3 4 2" xfId="17650"/>
    <cellStyle name="20% - Accent5 4 4 2 3 5" xfId="17651"/>
    <cellStyle name="20% - Accent5 4 4 2 3 6" xfId="17652"/>
    <cellStyle name="20% - Accent5 4 4 2 4" xfId="17653"/>
    <cellStyle name="20% - Accent5 4 4 2 4 2" xfId="17654"/>
    <cellStyle name="20% - Accent5 4 4 2 4 2 2" xfId="17655"/>
    <cellStyle name="20% - Accent5 4 4 2 4 2 3" xfId="17656"/>
    <cellStyle name="20% - Accent5 4 4 2 4 3" xfId="17657"/>
    <cellStyle name="20% - Accent5 4 4 2 4 3 2" xfId="17658"/>
    <cellStyle name="20% - Accent5 4 4 2 4 3 3" xfId="17659"/>
    <cellStyle name="20% - Accent5 4 4 2 4 4" xfId="17660"/>
    <cellStyle name="20% - Accent5 4 4 2 4 4 2" xfId="17661"/>
    <cellStyle name="20% - Accent5 4 4 2 4 5" xfId="17662"/>
    <cellStyle name="20% - Accent5 4 4 2 4 6" xfId="17663"/>
    <cellStyle name="20% - Accent5 4 4 2 5" xfId="17664"/>
    <cellStyle name="20% - Accent5 4 4 2 5 2" xfId="17665"/>
    <cellStyle name="20% - Accent5 4 4 2 5 2 2" xfId="17666"/>
    <cellStyle name="20% - Accent5 4 4 2 5 2 3" xfId="17667"/>
    <cellStyle name="20% - Accent5 4 4 2 5 3" xfId="17668"/>
    <cellStyle name="20% - Accent5 4 4 2 5 3 2" xfId="17669"/>
    <cellStyle name="20% - Accent5 4 4 2 5 4" xfId="17670"/>
    <cellStyle name="20% - Accent5 4 4 2 5 5" xfId="17671"/>
    <cellStyle name="20% - Accent5 4 4 2 6" xfId="17672"/>
    <cellStyle name="20% - Accent5 4 4 2 6 2" xfId="17673"/>
    <cellStyle name="20% - Accent5 4 4 2 6 3" xfId="17674"/>
    <cellStyle name="20% - Accent5 4 4 2 7" xfId="17675"/>
    <cellStyle name="20% - Accent5 4 4 2 7 2" xfId="17676"/>
    <cellStyle name="20% - Accent5 4 4 2 7 3" xfId="17677"/>
    <cellStyle name="20% - Accent5 4 4 2 8" xfId="17678"/>
    <cellStyle name="20% - Accent5 4 4 2 8 2" xfId="17679"/>
    <cellStyle name="20% - Accent5 4 4 2 9" xfId="17680"/>
    <cellStyle name="20% - Accent5 4 4 3" xfId="1156"/>
    <cellStyle name="20% - Accent5 4 4 3 2" xfId="17681"/>
    <cellStyle name="20% - Accent5 4 4 3 2 2" xfId="17682"/>
    <cellStyle name="20% - Accent5 4 4 3 2 2 2" xfId="17683"/>
    <cellStyle name="20% - Accent5 4 4 3 2 2 3" xfId="17684"/>
    <cellStyle name="20% - Accent5 4 4 3 2 3" xfId="17685"/>
    <cellStyle name="20% - Accent5 4 4 3 2 3 2" xfId="17686"/>
    <cellStyle name="20% - Accent5 4 4 3 2 3 3" xfId="17687"/>
    <cellStyle name="20% - Accent5 4 4 3 2 4" xfId="17688"/>
    <cellStyle name="20% - Accent5 4 4 3 2 4 2" xfId="17689"/>
    <cellStyle name="20% - Accent5 4 4 3 2 5" xfId="17690"/>
    <cellStyle name="20% - Accent5 4 4 3 2 6" xfId="17691"/>
    <cellStyle name="20% - Accent5 4 4 3 3" xfId="17692"/>
    <cellStyle name="20% - Accent5 4 4 3 3 2" xfId="17693"/>
    <cellStyle name="20% - Accent5 4 4 3 3 2 2" xfId="17694"/>
    <cellStyle name="20% - Accent5 4 4 3 3 2 3" xfId="17695"/>
    <cellStyle name="20% - Accent5 4 4 3 3 3" xfId="17696"/>
    <cellStyle name="20% - Accent5 4 4 3 3 3 2" xfId="17697"/>
    <cellStyle name="20% - Accent5 4 4 3 3 3 3" xfId="17698"/>
    <cellStyle name="20% - Accent5 4 4 3 3 4" xfId="17699"/>
    <cellStyle name="20% - Accent5 4 4 3 3 4 2" xfId="17700"/>
    <cellStyle name="20% - Accent5 4 4 3 3 5" xfId="17701"/>
    <cellStyle name="20% - Accent5 4 4 3 3 6" xfId="17702"/>
    <cellStyle name="20% - Accent5 4 4 3 4" xfId="17703"/>
    <cellStyle name="20% - Accent5 4 4 3 4 2" xfId="17704"/>
    <cellStyle name="20% - Accent5 4 4 3 4 2 2" xfId="17705"/>
    <cellStyle name="20% - Accent5 4 4 3 4 2 3" xfId="17706"/>
    <cellStyle name="20% - Accent5 4 4 3 4 3" xfId="17707"/>
    <cellStyle name="20% - Accent5 4 4 3 4 3 2" xfId="17708"/>
    <cellStyle name="20% - Accent5 4 4 3 4 4" xfId="17709"/>
    <cellStyle name="20% - Accent5 4 4 3 4 5" xfId="17710"/>
    <cellStyle name="20% - Accent5 4 4 3 5" xfId="17711"/>
    <cellStyle name="20% - Accent5 4 4 3 5 2" xfId="17712"/>
    <cellStyle name="20% - Accent5 4 4 3 5 3" xfId="17713"/>
    <cellStyle name="20% - Accent5 4 4 3 6" xfId="17714"/>
    <cellStyle name="20% - Accent5 4 4 3 6 2" xfId="17715"/>
    <cellStyle name="20% - Accent5 4 4 3 6 3" xfId="17716"/>
    <cellStyle name="20% - Accent5 4 4 3 7" xfId="17717"/>
    <cellStyle name="20% - Accent5 4 4 3 7 2" xfId="17718"/>
    <cellStyle name="20% - Accent5 4 4 3 8" xfId="17719"/>
    <cellStyle name="20% - Accent5 4 4 3 9" xfId="17720"/>
    <cellStyle name="20% - Accent5 4 4 4" xfId="17721"/>
    <cellStyle name="20% - Accent5 4 4 4 2" xfId="17722"/>
    <cellStyle name="20% - Accent5 4 4 4 2 2" xfId="17723"/>
    <cellStyle name="20% - Accent5 4 4 4 2 2 2" xfId="17724"/>
    <cellStyle name="20% - Accent5 4 4 4 2 2 3" xfId="17725"/>
    <cellStyle name="20% - Accent5 4 4 4 2 3" xfId="17726"/>
    <cellStyle name="20% - Accent5 4 4 4 2 3 2" xfId="17727"/>
    <cellStyle name="20% - Accent5 4 4 4 2 3 3" xfId="17728"/>
    <cellStyle name="20% - Accent5 4 4 4 2 4" xfId="17729"/>
    <cellStyle name="20% - Accent5 4 4 4 2 4 2" xfId="17730"/>
    <cellStyle name="20% - Accent5 4 4 4 2 5" xfId="17731"/>
    <cellStyle name="20% - Accent5 4 4 4 2 6" xfId="17732"/>
    <cellStyle name="20% - Accent5 4 4 4 3" xfId="17733"/>
    <cellStyle name="20% - Accent5 4 4 4 3 2" xfId="17734"/>
    <cellStyle name="20% - Accent5 4 4 4 3 2 2" xfId="17735"/>
    <cellStyle name="20% - Accent5 4 4 4 3 2 3" xfId="17736"/>
    <cellStyle name="20% - Accent5 4 4 4 3 3" xfId="17737"/>
    <cellStyle name="20% - Accent5 4 4 4 3 3 2" xfId="17738"/>
    <cellStyle name="20% - Accent5 4 4 4 3 3 3" xfId="17739"/>
    <cellStyle name="20% - Accent5 4 4 4 3 4" xfId="17740"/>
    <cellStyle name="20% - Accent5 4 4 4 3 4 2" xfId="17741"/>
    <cellStyle name="20% - Accent5 4 4 4 3 5" xfId="17742"/>
    <cellStyle name="20% - Accent5 4 4 4 3 6" xfId="17743"/>
    <cellStyle name="20% - Accent5 4 4 4 4" xfId="17744"/>
    <cellStyle name="20% - Accent5 4 4 4 4 2" xfId="17745"/>
    <cellStyle name="20% - Accent5 4 4 4 4 2 2" xfId="17746"/>
    <cellStyle name="20% - Accent5 4 4 4 4 2 3" xfId="17747"/>
    <cellStyle name="20% - Accent5 4 4 4 4 3" xfId="17748"/>
    <cellStyle name="20% - Accent5 4 4 4 4 3 2" xfId="17749"/>
    <cellStyle name="20% - Accent5 4 4 4 4 4" xfId="17750"/>
    <cellStyle name="20% - Accent5 4 4 4 4 5" xfId="17751"/>
    <cellStyle name="20% - Accent5 4 4 4 5" xfId="17752"/>
    <cellStyle name="20% - Accent5 4 4 4 5 2" xfId="17753"/>
    <cellStyle name="20% - Accent5 4 4 4 5 3" xfId="17754"/>
    <cellStyle name="20% - Accent5 4 4 4 6" xfId="17755"/>
    <cellStyle name="20% - Accent5 4 4 4 6 2" xfId="17756"/>
    <cellStyle name="20% - Accent5 4 4 4 6 3" xfId="17757"/>
    <cellStyle name="20% - Accent5 4 4 4 7" xfId="17758"/>
    <cellStyle name="20% - Accent5 4 4 4 7 2" xfId="17759"/>
    <cellStyle name="20% - Accent5 4 4 4 8" xfId="17760"/>
    <cellStyle name="20% - Accent5 4 4 4 9" xfId="17761"/>
    <cellStyle name="20% - Accent5 4 4 5" xfId="17762"/>
    <cellStyle name="20% - Accent5 4 4 5 2" xfId="17763"/>
    <cellStyle name="20% - Accent5 4 4 5 2 2" xfId="17764"/>
    <cellStyle name="20% - Accent5 4 4 5 2 3" xfId="17765"/>
    <cellStyle name="20% - Accent5 4 4 5 3" xfId="17766"/>
    <cellStyle name="20% - Accent5 4 4 5 3 2" xfId="17767"/>
    <cellStyle name="20% - Accent5 4 4 5 3 3" xfId="17768"/>
    <cellStyle name="20% - Accent5 4 4 5 4" xfId="17769"/>
    <cellStyle name="20% - Accent5 4 4 5 4 2" xfId="17770"/>
    <cellStyle name="20% - Accent5 4 4 5 5" xfId="17771"/>
    <cellStyle name="20% - Accent5 4 4 5 6" xfId="17772"/>
    <cellStyle name="20% - Accent5 4 4 6" xfId="17773"/>
    <cellStyle name="20% - Accent5 4 4 6 2" xfId="17774"/>
    <cellStyle name="20% - Accent5 4 4 6 2 2" xfId="17775"/>
    <cellStyle name="20% - Accent5 4 4 6 2 3" xfId="17776"/>
    <cellStyle name="20% - Accent5 4 4 6 3" xfId="17777"/>
    <cellStyle name="20% - Accent5 4 4 6 3 2" xfId="17778"/>
    <cellStyle name="20% - Accent5 4 4 6 3 3" xfId="17779"/>
    <cellStyle name="20% - Accent5 4 4 6 4" xfId="17780"/>
    <cellStyle name="20% - Accent5 4 4 6 4 2" xfId="17781"/>
    <cellStyle name="20% - Accent5 4 4 6 5" xfId="17782"/>
    <cellStyle name="20% - Accent5 4 4 6 6" xfId="17783"/>
    <cellStyle name="20% - Accent5 4 4 7" xfId="17784"/>
    <cellStyle name="20% - Accent5 4 4 7 2" xfId="17785"/>
    <cellStyle name="20% - Accent5 4 4 7 2 2" xfId="17786"/>
    <cellStyle name="20% - Accent5 4 4 7 2 3" xfId="17787"/>
    <cellStyle name="20% - Accent5 4 4 7 3" xfId="17788"/>
    <cellStyle name="20% - Accent5 4 4 7 3 2" xfId="17789"/>
    <cellStyle name="20% - Accent5 4 4 7 4" xfId="17790"/>
    <cellStyle name="20% - Accent5 4 4 7 5" xfId="17791"/>
    <cellStyle name="20% - Accent5 4 4 8" xfId="17792"/>
    <cellStyle name="20% - Accent5 4 4 8 2" xfId="17793"/>
    <cellStyle name="20% - Accent5 4 4 8 3" xfId="17794"/>
    <cellStyle name="20% - Accent5 4 4 9" xfId="17795"/>
    <cellStyle name="20% - Accent5 4 4 9 2" xfId="17796"/>
    <cellStyle name="20% - Accent5 4 4 9 3" xfId="17797"/>
    <cellStyle name="20% - Accent5 4 5" xfId="1157"/>
    <cellStyle name="20% - Accent5 4 5 10" xfId="17798"/>
    <cellStyle name="20% - Accent5 4 5 2" xfId="1158"/>
    <cellStyle name="20% - Accent5 4 5 2 2" xfId="17799"/>
    <cellStyle name="20% - Accent5 4 5 2 2 2" xfId="17800"/>
    <cellStyle name="20% - Accent5 4 5 2 2 2 2" xfId="17801"/>
    <cellStyle name="20% - Accent5 4 5 2 2 2 3" xfId="17802"/>
    <cellStyle name="20% - Accent5 4 5 2 2 3" xfId="17803"/>
    <cellStyle name="20% - Accent5 4 5 2 2 3 2" xfId="17804"/>
    <cellStyle name="20% - Accent5 4 5 2 2 3 3" xfId="17805"/>
    <cellStyle name="20% - Accent5 4 5 2 2 4" xfId="17806"/>
    <cellStyle name="20% - Accent5 4 5 2 2 4 2" xfId="17807"/>
    <cellStyle name="20% - Accent5 4 5 2 2 5" xfId="17808"/>
    <cellStyle name="20% - Accent5 4 5 2 2 6" xfId="17809"/>
    <cellStyle name="20% - Accent5 4 5 2 3" xfId="17810"/>
    <cellStyle name="20% - Accent5 4 5 2 3 2" xfId="17811"/>
    <cellStyle name="20% - Accent5 4 5 2 3 2 2" xfId="17812"/>
    <cellStyle name="20% - Accent5 4 5 2 3 2 3" xfId="17813"/>
    <cellStyle name="20% - Accent5 4 5 2 3 3" xfId="17814"/>
    <cellStyle name="20% - Accent5 4 5 2 3 3 2" xfId="17815"/>
    <cellStyle name="20% - Accent5 4 5 2 3 3 3" xfId="17816"/>
    <cellStyle name="20% - Accent5 4 5 2 3 4" xfId="17817"/>
    <cellStyle name="20% - Accent5 4 5 2 3 4 2" xfId="17818"/>
    <cellStyle name="20% - Accent5 4 5 2 3 5" xfId="17819"/>
    <cellStyle name="20% - Accent5 4 5 2 3 6" xfId="17820"/>
    <cellStyle name="20% - Accent5 4 5 2 4" xfId="17821"/>
    <cellStyle name="20% - Accent5 4 5 2 4 2" xfId="17822"/>
    <cellStyle name="20% - Accent5 4 5 2 4 2 2" xfId="17823"/>
    <cellStyle name="20% - Accent5 4 5 2 4 2 3" xfId="17824"/>
    <cellStyle name="20% - Accent5 4 5 2 4 3" xfId="17825"/>
    <cellStyle name="20% - Accent5 4 5 2 4 3 2" xfId="17826"/>
    <cellStyle name="20% - Accent5 4 5 2 4 4" xfId="17827"/>
    <cellStyle name="20% - Accent5 4 5 2 4 5" xfId="17828"/>
    <cellStyle name="20% - Accent5 4 5 2 5" xfId="17829"/>
    <cellStyle name="20% - Accent5 4 5 2 5 2" xfId="17830"/>
    <cellStyle name="20% - Accent5 4 5 2 5 3" xfId="17831"/>
    <cellStyle name="20% - Accent5 4 5 2 6" xfId="17832"/>
    <cellStyle name="20% - Accent5 4 5 2 6 2" xfId="17833"/>
    <cellStyle name="20% - Accent5 4 5 2 6 3" xfId="17834"/>
    <cellStyle name="20% - Accent5 4 5 2 7" xfId="17835"/>
    <cellStyle name="20% - Accent5 4 5 2 7 2" xfId="17836"/>
    <cellStyle name="20% - Accent5 4 5 2 8" xfId="17837"/>
    <cellStyle name="20% - Accent5 4 5 2 9" xfId="17838"/>
    <cellStyle name="20% - Accent5 4 5 3" xfId="17839"/>
    <cellStyle name="20% - Accent5 4 5 3 2" xfId="17840"/>
    <cellStyle name="20% - Accent5 4 5 3 2 2" xfId="17841"/>
    <cellStyle name="20% - Accent5 4 5 3 2 3" xfId="17842"/>
    <cellStyle name="20% - Accent5 4 5 3 3" xfId="17843"/>
    <cellStyle name="20% - Accent5 4 5 3 3 2" xfId="17844"/>
    <cellStyle name="20% - Accent5 4 5 3 3 3" xfId="17845"/>
    <cellStyle name="20% - Accent5 4 5 3 4" xfId="17846"/>
    <cellStyle name="20% - Accent5 4 5 3 4 2" xfId="17847"/>
    <cellStyle name="20% - Accent5 4 5 3 5" xfId="17848"/>
    <cellStyle name="20% - Accent5 4 5 3 6" xfId="17849"/>
    <cellStyle name="20% - Accent5 4 5 4" xfId="17850"/>
    <cellStyle name="20% - Accent5 4 5 4 2" xfId="17851"/>
    <cellStyle name="20% - Accent5 4 5 4 2 2" xfId="17852"/>
    <cellStyle name="20% - Accent5 4 5 4 2 3" xfId="17853"/>
    <cellStyle name="20% - Accent5 4 5 4 3" xfId="17854"/>
    <cellStyle name="20% - Accent5 4 5 4 3 2" xfId="17855"/>
    <cellStyle name="20% - Accent5 4 5 4 3 3" xfId="17856"/>
    <cellStyle name="20% - Accent5 4 5 4 4" xfId="17857"/>
    <cellStyle name="20% - Accent5 4 5 4 4 2" xfId="17858"/>
    <cellStyle name="20% - Accent5 4 5 4 5" xfId="17859"/>
    <cellStyle name="20% - Accent5 4 5 4 6" xfId="17860"/>
    <cellStyle name="20% - Accent5 4 5 5" xfId="17861"/>
    <cellStyle name="20% - Accent5 4 5 5 2" xfId="17862"/>
    <cellStyle name="20% - Accent5 4 5 5 2 2" xfId="17863"/>
    <cellStyle name="20% - Accent5 4 5 5 2 3" xfId="17864"/>
    <cellStyle name="20% - Accent5 4 5 5 3" xfId="17865"/>
    <cellStyle name="20% - Accent5 4 5 5 3 2" xfId="17866"/>
    <cellStyle name="20% - Accent5 4 5 5 4" xfId="17867"/>
    <cellStyle name="20% - Accent5 4 5 5 5" xfId="17868"/>
    <cellStyle name="20% - Accent5 4 5 6" xfId="17869"/>
    <cellStyle name="20% - Accent5 4 5 6 2" xfId="17870"/>
    <cellStyle name="20% - Accent5 4 5 6 3" xfId="17871"/>
    <cellStyle name="20% - Accent5 4 5 7" xfId="17872"/>
    <cellStyle name="20% - Accent5 4 5 7 2" xfId="17873"/>
    <cellStyle name="20% - Accent5 4 5 7 3" xfId="17874"/>
    <cellStyle name="20% - Accent5 4 5 8" xfId="17875"/>
    <cellStyle name="20% - Accent5 4 5 8 2" xfId="17876"/>
    <cellStyle name="20% - Accent5 4 5 9" xfId="17877"/>
    <cellStyle name="20% - Accent5 4 6" xfId="1159"/>
    <cellStyle name="20% - Accent5 4 6 2" xfId="17878"/>
    <cellStyle name="20% - Accent5 4 6 2 2" xfId="17879"/>
    <cellStyle name="20% - Accent5 4 6 2 2 2" xfId="17880"/>
    <cellStyle name="20% - Accent5 4 6 2 2 3" xfId="17881"/>
    <cellStyle name="20% - Accent5 4 6 2 3" xfId="17882"/>
    <cellStyle name="20% - Accent5 4 6 2 3 2" xfId="17883"/>
    <cellStyle name="20% - Accent5 4 6 2 3 3" xfId="17884"/>
    <cellStyle name="20% - Accent5 4 6 2 4" xfId="17885"/>
    <cellStyle name="20% - Accent5 4 6 2 4 2" xfId="17886"/>
    <cellStyle name="20% - Accent5 4 6 2 5" xfId="17887"/>
    <cellStyle name="20% - Accent5 4 6 2 6" xfId="17888"/>
    <cellStyle name="20% - Accent5 4 6 3" xfId="17889"/>
    <cellStyle name="20% - Accent5 4 6 3 2" xfId="17890"/>
    <cellStyle name="20% - Accent5 4 6 3 2 2" xfId="17891"/>
    <cellStyle name="20% - Accent5 4 6 3 2 3" xfId="17892"/>
    <cellStyle name="20% - Accent5 4 6 3 3" xfId="17893"/>
    <cellStyle name="20% - Accent5 4 6 3 3 2" xfId="17894"/>
    <cellStyle name="20% - Accent5 4 6 3 3 3" xfId="17895"/>
    <cellStyle name="20% - Accent5 4 6 3 4" xfId="17896"/>
    <cellStyle name="20% - Accent5 4 6 3 4 2" xfId="17897"/>
    <cellStyle name="20% - Accent5 4 6 3 5" xfId="17898"/>
    <cellStyle name="20% - Accent5 4 6 3 6" xfId="17899"/>
    <cellStyle name="20% - Accent5 4 6 4" xfId="17900"/>
    <cellStyle name="20% - Accent5 4 6 4 2" xfId="17901"/>
    <cellStyle name="20% - Accent5 4 6 4 2 2" xfId="17902"/>
    <cellStyle name="20% - Accent5 4 6 4 2 3" xfId="17903"/>
    <cellStyle name="20% - Accent5 4 6 4 3" xfId="17904"/>
    <cellStyle name="20% - Accent5 4 6 4 3 2" xfId="17905"/>
    <cellStyle name="20% - Accent5 4 6 4 4" xfId="17906"/>
    <cellStyle name="20% - Accent5 4 6 4 5" xfId="17907"/>
    <cellStyle name="20% - Accent5 4 6 5" xfId="17908"/>
    <cellStyle name="20% - Accent5 4 6 5 2" xfId="17909"/>
    <cellStyle name="20% - Accent5 4 6 5 3" xfId="17910"/>
    <cellStyle name="20% - Accent5 4 6 6" xfId="17911"/>
    <cellStyle name="20% - Accent5 4 6 6 2" xfId="17912"/>
    <cellStyle name="20% - Accent5 4 6 6 3" xfId="17913"/>
    <cellStyle name="20% - Accent5 4 6 7" xfId="17914"/>
    <cellStyle name="20% - Accent5 4 6 7 2" xfId="17915"/>
    <cellStyle name="20% - Accent5 4 6 8" xfId="17916"/>
    <cellStyle name="20% - Accent5 4 6 9" xfId="17917"/>
    <cellStyle name="20% - Accent5 4 7" xfId="8932"/>
    <cellStyle name="20% - Accent5 4 7 2" xfId="17918"/>
    <cellStyle name="20% - Accent5 4 7 2 2" xfId="17919"/>
    <cellStyle name="20% - Accent5 4 7 2 2 2" xfId="17920"/>
    <cellStyle name="20% - Accent5 4 7 2 2 3" xfId="17921"/>
    <cellStyle name="20% - Accent5 4 7 2 3" xfId="17922"/>
    <cellStyle name="20% - Accent5 4 7 2 3 2" xfId="17923"/>
    <cellStyle name="20% - Accent5 4 7 2 3 3" xfId="17924"/>
    <cellStyle name="20% - Accent5 4 7 2 4" xfId="17925"/>
    <cellStyle name="20% - Accent5 4 7 2 4 2" xfId="17926"/>
    <cellStyle name="20% - Accent5 4 7 2 5" xfId="17927"/>
    <cellStyle name="20% - Accent5 4 7 2 6" xfId="17928"/>
    <cellStyle name="20% - Accent5 4 7 3" xfId="17929"/>
    <cellStyle name="20% - Accent5 4 7 3 2" xfId="17930"/>
    <cellStyle name="20% - Accent5 4 7 3 2 2" xfId="17931"/>
    <cellStyle name="20% - Accent5 4 7 3 2 3" xfId="17932"/>
    <cellStyle name="20% - Accent5 4 7 3 3" xfId="17933"/>
    <cellStyle name="20% - Accent5 4 7 3 3 2" xfId="17934"/>
    <cellStyle name="20% - Accent5 4 7 3 3 3" xfId="17935"/>
    <cellStyle name="20% - Accent5 4 7 3 4" xfId="17936"/>
    <cellStyle name="20% - Accent5 4 7 3 4 2" xfId="17937"/>
    <cellStyle name="20% - Accent5 4 7 3 5" xfId="17938"/>
    <cellStyle name="20% - Accent5 4 7 3 6" xfId="17939"/>
    <cellStyle name="20% - Accent5 4 7 4" xfId="17940"/>
    <cellStyle name="20% - Accent5 4 7 4 2" xfId="17941"/>
    <cellStyle name="20% - Accent5 4 7 4 2 2" xfId="17942"/>
    <cellStyle name="20% - Accent5 4 7 4 2 3" xfId="17943"/>
    <cellStyle name="20% - Accent5 4 7 4 3" xfId="17944"/>
    <cellStyle name="20% - Accent5 4 7 4 3 2" xfId="17945"/>
    <cellStyle name="20% - Accent5 4 7 4 4" xfId="17946"/>
    <cellStyle name="20% - Accent5 4 7 4 5" xfId="17947"/>
    <cellStyle name="20% - Accent5 4 7 5" xfId="17948"/>
    <cellStyle name="20% - Accent5 4 7 5 2" xfId="17949"/>
    <cellStyle name="20% - Accent5 4 7 5 3" xfId="17950"/>
    <cellStyle name="20% - Accent5 4 7 6" xfId="17951"/>
    <cellStyle name="20% - Accent5 4 7 6 2" xfId="17952"/>
    <cellStyle name="20% - Accent5 4 7 6 3" xfId="17953"/>
    <cellStyle name="20% - Accent5 4 7 7" xfId="17954"/>
    <cellStyle name="20% - Accent5 4 7 7 2" xfId="17955"/>
    <cellStyle name="20% - Accent5 4 7 8" xfId="17956"/>
    <cellStyle name="20% - Accent5 4 7 9" xfId="17957"/>
    <cellStyle name="20% - Accent5 4 8" xfId="17958"/>
    <cellStyle name="20% - Accent5 4 8 2" xfId="17959"/>
    <cellStyle name="20% - Accent5 4 8 2 2" xfId="17960"/>
    <cellStyle name="20% - Accent5 4 8 2 3" xfId="17961"/>
    <cellStyle name="20% - Accent5 4 8 3" xfId="17962"/>
    <cellStyle name="20% - Accent5 4 8 3 2" xfId="17963"/>
    <cellStyle name="20% - Accent5 4 8 3 3" xfId="17964"/>
    <cellStyle name="20% - Accent5 4 8 4" xfId="17965"/>
    <cellStyle name="20% - Accent5 4 8 4 2" xfId="17966"/>
    <cellStyle name="20% - Accent5 4 8 5" xfId="17967"/>
    <cellStyle name="20% - Accent5 4 8 6" xfId="17968"/>
    <cellStyle name="20% - Accent5 4 9" xfId="17969"/>
    <cellStyle name="20% - Accent5 4 9 2" xfId="17970"/>
    <cellStyle name="20% - Accent5 4 9 2 2" xfId="17971"/>
    <cellStyle name="20% - Accent5 4 9 2 3" xfId="17972"/>
    <cellStyle name="20% - Accent5 4 9 3" xfId="17973"/>
    <cellStyle name="20% - Accent5 4 9 3 2" xfId="17974"/>
    <cellStyle name="20% - Accent5 4 9 3 3" xfId="17975"/>
    <cellStyle name="20% - Accent5 4 9 4" xfId="17976"/>
    <cellStyle name="20% - Accent5 4 9 4 2" xfId="17977"/>
    <cellStyle name="20% - Accent5 4 9 5" xfId="17978"/>
    <cellStyle name="20% - Accent5 4 9 6" xfId="17979"/>
    <cellStyle name="20% - Accent5 5" xfId="1160"/>
    <cellStyle name="20% - Accent5 5 2" xfId="1161"/>
    <cellStyle name="20% - Accent5 5 2 2" xfId="1162"/>
    <cellStyle name="20% - Accent5 5 2 2 2" xfId="1163"/>
    <cellStyle name="20% - Accent5 5 2 2 2 2" xfId="1164"/>
    <cellStyle name="20% - Accent5 5 2 2 3" xfId="1165"/>
    <cellStyle name="20% - Accent5 5 2 3" xfId="1166"/>
    <cellStyle name="20% - Accent5 5 2 3 2" xfId="1167"/>
    <cellStyle name="20% - Accent5 5 2 4" xfId="1168"/>
    <cellStyle name="20% - Accent5 5 2 5" xfId="57952"/>
    <cellStyle name="20% - Accent5 5 3" xfId="1169"/>
    <cellStyle name="20% - Accent5 5 3 2" xfId="1170"/>
    <cellStyle name="20% - Accent5 5 3 2 2" xfId="1171"/>
    <cellStyle name="20% - Accent5 5 3 3" xfId="1172"/>
    <cellStyle name="20% - Accent5 5 4" xfId="1173"/>
    <cellStyle name="20% - Accent5 5 4 2" xfId="1174"/>
    <cellStyle name="20% - Accent5 5 5" xfId="1175"/>
    <cellStyle name="20% - Accent5 5 6" xfId="8933"/>
    <cellStyle name="20% - Accent5 6" xfId="1176"/>
    <cellStyle name="20% - Accent5 6 2" xfId="1177"/>
    <cellStyle name="20% - Accent5 6 2 2" xfId="1178"/>
    <cellStyle name="20% - Accent5 6 2 2 2" xfId="1179"/>
    <cellStyle name="20% - Accent5 6 2 3" xfId="1180"/>
    <cellStyle name="20% - Accent5 6 2 4" xfId="57953"/>
    <cellStyle name="20% - Accent5 6 2 5" xfId="57954"/>
    <cellStyle name="20% - Accent5 6 3" xfId="1181"/>
    <cellStyle name="20% - Accent5 6 3 2" xfId="1182"/>
    <cellStyle name="20% - Accent5 6 4" xfId="1183"/>
    <cellStyle name="20% - Accent5 6 5" xfId="57955"/>
    <cellStyle name="20% - Accent5 7" xfId="1184"/>
    <cellStyle name="20% - Accent5 7 2" xfId="1185"/>
    <cellStyle name="20% - Accent5 7 2 2" xfId="1186"/>
    <cellStyle name="20% - Accent5 7 2 2 2" xfId="1187"/>
    <cellStyle name="20% - Accent5 7 2 3" xfId="1188"/>
    <cellStyle name="20% - Accent5 7 3" xfId="1189"/>
    <cellStyle name="20% - Accent5 7 3 2" xfId="1190"/>
    <cellStyle name="20% - Accent5 7 4" xfId="1191"/>
    <cellStyle name="20% - Accent5 7 5" xfId="57956"/>
    <cellStyle name="20% - Accent5 8" xfId="1192"/>
    <cellStyle name="20% - Accent5 8 2" xfId="1193"/>
    <cellStyle name="20% - Accent5 8 2 2" xfId="1194"/>
    <cellStyle name="20% - Accent5 8 2 2 2" xfId="1195"/>
    <cellStyle name="20% - Accent5 8 2 3" xfId="1196"/>
    <cellStyle name="20% - Accent5 8 3" xfId="1197"/>
    <cellStyle name="20% - Accent5 8 3 2" xfId="1198"/>
    <cellStyle name="20% - Accent5 8 4" xfId="1199"/>
    <cellStyle name="20% - Accent5 8 5" xfId="57957"/>
    <cellStyle name="20% - Accent5 9" xfId="1200"/>
    <cellStyle name="20% - Accent5 9 2" xfId="1201"/>
    <cellStyle name="20% - Accent5 9 2 2" xfId="1202"/>
    <cellStyle name="20% - Accent5 9 3" xfId="1203"/>
    <cellStyle name="20% - Accent5 9 4" xfId="57958"/>
    <cellStyle name="20% - Accent6 10" xfId="1204"/>
    <cellStyle name="20% - Accent6 10 2" xfId="1205"/>
    <cellStyle name="20% - Accent6 10 2 2" xfId="1206"/>
    <cellStyle name="20% - Accent6 10 3" xfId="1207"/>
    <cellStyle name="20% - Accent6 10 4" xfId="57959"/>
    <cellStyle name="20% - Accent6 11" xfId="1208"/>
    <cellStyle name="20% - Accent6 11 2" xfId="1209"/>
    <cellStyle name="20% - Accent6 11 2 2" xfId="1210"/>
    <cellStyle name="20% - Accent6 11 3" xfId="1211"/>
    <cellStyle name="20% - Accent6 11 4" xfId="57960"/>
    <cellStyle name="20% - Accent6 12" xfId="1212"/>
    <cellStyle name="20% - Accent6 12 2" xfId="1213"/>
    <cellStyle name="20% - Accent6 12 3" xfId="57961"/>
    <cellStyle name="20% - Accent6 13" xfId="1214"/>
    <cellStyle name="20% - Accent6 13 2" xfId="57962"/>
    <cellStyle name="20% - Accent6 14" xfId="8934"/>
    <cellStyle name="20% - Accent6 15" xfId="9393"/>
    <cellStyle name="20% - Accent6 16" xfId="9394"/>
    <cellStyle name="20% - Accent6 17" xfId="9395"/>
    <cellStyle name="20% - Accent6 17 2" xfId="57963"/>
    <cellStyle name="20% - Accent6 18" xfId="57964"/>
    <cellStyle name="20% - Accent6 19" xfId="57965"/>
    <cellStyle name="20% - Accent6 2" xfId="1215"/>
    <cellStyle name="20% - Accent6 2 2" xfId="1216"/>
    <cellStyle name="20% - Accent6 2 2 2" xfId="1217"/>
    <cellStyle name="20% - Accent6 2 2 2 2" xfId="1218"/>
    <cellStyle name="20% - Accent6 2 2 2 2 2" xfId="1219"/>
    <cellStyle name="20% - Accent6 2 2 2 2 2 2" xfId="1220"/>
    <cellStyle name="20% - Accent6 2 2 2 2 2 2 2" xfId="1221"/>
    <cellStyle name="20% - Accent6 2 2 2 2 2 3" xfId="1222"/>
    <cellStyle name="20% - Accent6 2 2 2 2 3" xfId="1223"/>
    <cellStyle name="20% - Accent6 2 2 2 2 3 2" xfId="1224"/>
    <cellStyle name="20% - Accent6 2 2 2 2 4" xfId="1225"/>
    <cellStyle name="20% - Accent6 2 2 2 2 5" xfId="57966"/>
    <cellStyle name="20% - Accent6 2 2 2 3" xfId="1226"/>
    <cellStyle name="20% - Accent6 2 2 2 3 2" xfId="1227"/>
    <cellStyle name="20% - Accent6 2 2 2 3 2 2" xfId="1228"/>
    <cellStyle name="20% - Accent6 2 2 2 3 3" xfId="1229"/>
    <cellStyle name="20% - Accent6 2 2 2 4" xfId="1230"/>
    <cellStyle name="20% - Accent6 2 2 2 4 2" xfId="1231"/>
    <cellStyle name="20% - Accent6 2 2 2 5" xfId="1232"/>
    <cellStyle name="20% - Accent6 2 2 2 6" xfId="57967"/>
    <cellStyle name="20% - Accent6 2 2 3" xfId="1233"/>
    <cellStyle name="20% - Accent6 2 2 3 2" xfId="1234"/>
    <cellStyle name="20% - Accent6 2 2 3 2 2" xfId="1235"/>
    <cellStyle name="20% - Accent6 2 2 3 2 2 2" xfId="1236"/>
    <cellStyle name="20% - Accent6 2 2 3 2 3" xfId="1237"/>
    <cellStyle name="20% - Accent6 2 2 3 3" xfId="1238"/>
    <cellStyle name="20% - Accent6 2 2 3 3 2" xfId="1239"/>
    <cellStyle name="20% - Accent6 2 2 3 4" xfId="1240"/>
    <cellStyle name="20% - Accent6 2 2 3 5" xfId="57968"/>
    <cellStyle name="20% - Accent6 2 2 4" xfId="1241"/>
    <cellStyle name="20% - Accent6 2 2 4 2" xfId="1242"/>
    <cellStyle name="20% - Accent6 2 2 4 2 2" xfId="1243"/>
    <cellStyle name="20% - Accent6 2 2 4 3" xfId="1244"/>
    <cellStyle name="20% - Accent6 2 2 5" xfId="1245"/>
    <cellStyle name="20% - Accent6 2 2 5 2" xfId="1246"/>
    <cellStyle name="20% - Accent6 2 2 6" xfId="1247"/>
    <cellStyle name="20% - Accent6 2 2 7" xfId="57969"/>
    <cellStyle name="20% - Accent6 2 3" xfId="1248"/>
    <cellStyle name="20% - Accent6 2 3 2" xfId="1249"/>
    <cellStyle name="20% - Accent6 2 3 2 2" xfId="1250"/>
    <cellStyle name="20% - Accent6 2 3 2 2 2" xfId="1251"/>
    <cellStyle name="20% - Accent6 2 3 2 2 2 2" xfId="1252"/>
    <cellStyle name="20% - Accent6 2 3 2 2 3" xfId="1253"/>
    <cellStyle name="20% - Accent6 2 3 2 3" xfId="1254"/>
    <cellStyle name="20% - Accent6 2 3 2 3 2" xfId="1255"/>
    <cellStyle name="20% - Accent6 2 3 2 4" xfId="1256"/>
    <cellStyle name="20% - Accent6 2 3 3" xfId="1257"/>
    <cellStyle name="20% - Accent6 2 3 3 2" xfId="1258"/>
    <cellStyle name="20% - Accent6 2 3 3 2 2" xfId="1259"/>
    <cellStyle name="20% - Accent6 2 3 3 3" xfId="1260"/>
    <cellStyle name="20% - Accent6 2 3 4" xfId="1261"/>
    <cellStyle name="20% - Accent6 2 3 4 2" xfId="1262"/>
    <cellStyle name="20% - Accent6 2 3 5" xfId="1263"/>
    <cellStyle name="20% - Accent6 2 3 6" xfId="57970"/>
    <cellStyle name="20% - Accent6 2 4" xfId="1264"/>
    <cellStyle name="20% - Accent6 2 4 2" xfId="1265"/>
    <cellStyle name="20% - Accent6 2 4 2 2" xfId="1266"/>
    <cellStyle name="20% - Accent6 2 4 2 2 2" xfId="1267"/>
    <cellStyle name="20% - Accent6 2 4 2 3" xfId="1268"/>
    <cellStyle name="20% - Accent6 2 4 3" xfId="1269"/>
    <cellStyle name="20% - Accent6 2 4 3 2" xfId="1270"/>
    <cellStyle name="20% - Accent6 2 4 4" xfId="1271"/>
    <cellStyle name="20% - Accent6 2 4 5" xfId="57971"/>
    <cellStyle name="20% - Accent6 2 5" xfId="1272"/>
    <cellStyle name="20% - Accent6 2 5 2" xfId="1273"/>
    <cellStyle name="20% - Accent6 2 5 2 2" xfId="1274"/>
    <cellStyle name="20% - Accent6 2 5 3" xfId="1275"/>
    <cellStyle name="20% - Accent6 2 5 4" xfId="57972"/>
    <cellStyle name="20% - Accent6 2 6" xfId="1276"/>
    <cellStyle name="20% - Accent6 2 6 2" xfId="1277"/>
    <cellStyle name="20% - Accent6 2 6 3" xfId="57973"/>
    <cellStyle name="20% - Accent6 2 7" xfId="1278"/>
    <cellStyle name="20% - Accent6 2 8" xfId="1279"/>
    <cellStyle name="20% - Accent6 2 9" xfId="57974"/>
    <cellStyle name="20% - Accent6 20" xfId="57975"/>
    <cellStyle name="20% - Accent6 21" xfId="57976"/>
    <cellStyle name="20% - Accent6 3" xfId="1280"/>
    <cellStyle name="20% - Accent6 3 2" xfId="1281"/>
    <cellStyle name="20% - Accent6 3 2 2" xfId="1282"/>
    <cellStyle name="20% - Accent6 3 2 2 2" xfId="1283"/>
    <cellStyle name="20% - Accent6 3 2 2 2 2" xfId="1284"/>
    <cellStyle name="20% - Accent6 3 2 2 2 2 2" xfId="1285"/>
    <cellStyle name="20% - Accent6 3 2 2 2 2 2 2" xfId="1286"/>
    <cellStyle name="20% - Accent6 3 2 2 2 2 3" xfId="1287"/>
    <cellStyle name="20% - Accent6 3 2 2 2 3" xfId="1288"/>
    <cellStyle name="20% - Accent6 3 2 2 2 3 2" xfId="1289"/>
    <cellStyle name="20% - Accent6 3 2 2 2 4" xfId="1290"/>
    <cellStyle name="20% - Accent6 3 2 2 2 5" xfId="8935"/>
    <cellStyle name="20% - Accent6 3 2 2 3" xfId="1291"/>
    <cellStyle name="20% - Accent6 3 2 2 3 2" xfId="1292"/>
    <cellStyle name="20% - Accent6 3 2 2 3 2 2" xfId="1293"/>
    <cellStyle name="20% - Accent6 3 2 2 3 3" xfId="1294"/>
    <cellStyle name="20% - Accent6 3 2 2 4" xfId="1295"/>
    <cellStyle name="20% - Accent6 3 2 2 4 2" xfId="1296"/>
    <cellStyle name="20% - Accent6 3 2 2 5" xfId="1297"/>
    <cellStyle name="20% - Accent6 3 2 2 6" xfId="8936"/>
    <cellStyle name="20% - Accent6 3 2 3" xfId="1298"/>
    <cellStyle name="20% - Accent6 3 2 3 2" xfId="1299"/>
    <cellStyle name="20% - Accent6 3 2 3 2 2" xfId="1300"/>
    <cellStyle name="20% - Accent6 3 2 3 2 2 2" xfId="1301"/>
    <cellStyle name="20% - Accent6 3 2 3 2 3" xfId="1302"/>
    <cellStyle name="20% - Accent6 3 2 3 3" xfId="1303"/>
    <cellStyle name="20% - Accent6 3 2 3 3 2" xfId="1304"/>
    <cellStyle name="20% - Accent6 3 2 3 4" xfId="1305"/>
    <cellStyle name="20% - Accent6 3 2 3 5" xfId="8937"/>
    <cellStyle name="20% - Accent6 3 2 4" xfId="1306"/>
    <cellStyle name="20% - Accent6 3 2 4 2" xfId="1307"/>
    <cellStyle name="20% - Accent6 3 2 4 2 2" xfId="1308"/>
    <cellStyle name="20% - Accent6 3 2 4 3" xfId="1309"/>
    <cellStyle name="20% - Accent6 3 2 5" xfId="1310"/>
    <cellStyle name="20% - Accent6 3 2 5 2" xfId="1311"/>
    <cellStyle name="20% - Accent6 3 2 6" xfId="1312"/>
    <cellStyle name="20% - Accent6 3 2 7" xfId="8938"/>
    <cellStyle name="20% - Accent6 3 3" xfId="1313"/>
    <cellStyle name="20% - Accent6 3 3 2" xfId="1314"/>
    <cellStyle name="20% - Accent6 3 3 2 2" xfId="1315"/>
    <cellStyle name="20% - Accent6 3 3 2 2 2" xfId="1316"/>
    <cellStyle name="20% - Accent6 3 3 2 2 2 2" xfId="1317"/>
    <cellStyle name="20% - Accent6 3 3 2 2 3" xfId="1318"/>
    <cellStyle name="20% - Accent6 3 3 2 3" xfId="1319"/>
    <cellStyle name="20% - Accent6 3 3 2 3 2" xfId="1320"/>
    <cellStyle name="20% - Accent6 3 3 2 4" xfId="1321"/>
    <cellStyle name="20% - Accent6 3 3 2 5" xfId="8939"/>
    <cellStyle name="20% - Accent6 3 3 3" xfId="1322"/>
    <cellStyle name="20% - Accent6 3 3 3 2" xfId="1323"/>
    <cellStyle name="20% - Accent6 3 3 3 2 2" xfId="1324"/>
    <cellStyle name="20% - Accent6 3 3 3 3" xfId="1325"/>
    <cellStyle name="20% - Accent6 3 3 4" xfId="1326"/>
    <cellStyle name="20% - Accent6 3 3 4 2" xfId="1327"/>
    <cellStyle name="20% - Accent6 3 3 5" xfId="1328"/>
    <cellStyle name="20% - Accent6 3 3 6" xfId="8940"/>
    <cellStyle name="20% - Accent6 3 4" xfId="1329"/>
    <cellStyle name="20% - Accent6 3 4 2" xfId="1330"/>
    <cellStyle name="20% - Accent6 3 4 2 2" xfId="1331"/>
    <cellStyle name="20% - Accent6 3 4 2 2 2" xfId="1332"/>
    <cellStyle name="20% - Accent6 3 4 2 3" xfId="1333"/>
    <cellStyle name="20% - Accent6 3 4 3" xfId="1334"/>
    <cellStyle name="20% - Accent6 3 4 3 2" xfId="1335"/>
    <cellStyle name="20% - Accent6 3 4 4" xfId="1336"/>
    <cellStyle name="20% - Accent6 3 4 5" xfId="8941"/>
    <cellStyle name="20% - Accent6 3 5" xfId="1337"/>
    <cellStyle name="20% - Accent6 3 5 2" xfId="1338"/>
    <cellStyle name="20% - Accent6 3 5 2 2" xfId="1339"/>
    <cellStyle name="20% - Accent6 3 5 3" xfId="1340"/>
    <cellStyle name="20% - Accent6 3 6" xfId="1341"/>
    <cellStyle name="20% - Accent6 3 6 2" xfId="1342"/>
    <cellStyle name="20% - Accent6 3 7" xfId="1343"/>
    <cellStyle name="20% - Accent6 3 8" xfId="1344"/>
    <cellStyle name="20% - Accent6 3 9" xfId="8942"/>
    <cellStyle name="20% - Accent6 4" xfId="1345"/>
    <cellStyle name="20% - Accent6 4 10" xfId="17980"/>
    <cellStyle name="20% - Accent6 4 10 2" xfId="17981"/>
    <cellStyle name="20% - Accent6 4 10 2 2" xfId="17982"/>
    <cellStyle name="20% - Accent6 4 10 2 3" xfId="17983"/>
    <cellStyle name="20% - Accent6 4 10 3" xfId="17984"/>
    <cellStyle name="20% - Accent6 4 10 3 2" xfId="17985"/>
    <cellStyle name="20% - Accent6 4 10 4" xfId="17986"/>
    <cellStyle name="20% - Accent6 4 10 5" xfId="17987"/>
    <cellStyle name="20% - Accent6 4 11" xfId="17988"/>
    <cellStyle name="20% - Accent6 4 11 2" xfId="17989"/>
    <cellStyle name="20% - Accent6 4 11 3" xfId="17990"/>
    <cellStyle name="20% - Accent6 4 12" xfId="17991"/>
    <cellStyle name="20% - Accent6 4 12 2" xfId="17992"/>
    <cellStyle name="20% - Accent6 4 12 3" xfId="17993"/>
    <cellStyle name="20% - Accent6 4 13" xfId="17994"/>
    <cellStyle name="20% - Accent6 4 13 2" xfId="17995"/>
    <cellStyle name="20% - Accent6 4 14" xfId="17996"/>
    <cellStyle name="20% - Accent6 4 15" xfId="17997"/>
    <cellStyle name="20% - Accent6 4 16" xfId="17998"/>
    <cellStyle name="20% - Accent6 4 2" xfId="1346"/>
    <cellStyle name="20% - Accent6 4 2 10" xfId="17999"/>
    <cellStyle name="20% - Accent6 4 2 10 2" xfId="18000"/>
    <cellStyle name="20% - Accent6 4 2 10 3" xfId="18001"/>
    <cellStyle name="20% - Accent6 4 2 11" xfId="18002"/>
    <cellStyle name="20% - Accent6 4 2 11 2" xfId="18003"/>
    <cellStyle name="20% - Accent6 4 2 11 3" xfId="18004"/>
    <cellStyle name="20% - Accent6 4 2 12" xfId="18005"/>
    <cellStyle name="20% - Accent6 4 2 12 2" xfId="18006"/>
    <cellStyle name="20% - Accent6 4 2 13" xfId="18007"/>
    <cellStyle name="20% - Accent6 4 2 14" xfId="18008"/>
    <cellStyle name="20% - Accent6 4 2 15" xfId="18009"/>
    <cellStyle name="20% - Accent6 4 2 2" xfId="1347"/>
    <cellStyle name="20% - Accent6 4 2 2 10" xfId="18010"/>
    <cellStyle name="20% - Accent6 4 2 2 10 2" xfId="18011"/>
    <cellStyle name="20% - Accent6 4 2 2 10 3" xfId="18012"/>
    <cellStyle name="20% - Accent6 4 2 2 11" xfId="18013"/>
    <cellStyle name="20% - Accent6 4 2 2 11 2" xfId="18014"/>
    <cellStyle name="20% - Accent6 4 2 2 12" xfId="18015"/>
    <cellStyle name="20% - Accent6 4 2 2 13" xfId="18016"/>
    <cellStyle name="20% - Accent6 4 2 2 2" xfId="1348"/>
    <cellStyle name="20% - Accent6 4 2 2 2 10" xfId="18017"/>
    <cellStyle name="20% - Accent6 4 2 2 2 10 2" xfId="18018"/>
    <cellStyle name="20% - Accent6 4 2 2 2 11" xfId="18019"/>
    <cellStyle name="20% - Accent6 4 2 2 2 12" xfId="18020"/>
    <cellStyle name="20% - Accent6 4 2 2 2 2" xfId="1349"/>
    <cellStyle name="20% - Accent6 4 2 2 2 2 10" xfId="18021"/>
    <cellStyle name="20% - Accent6 4 2 2 2 2 2" xfId="1350"/>
    <cellStyle name="20% - Accent6 4 2 2 2 2 2 2" xfId="18022"/>
    <cellStyle name="20% - Accent6 4 2 2 2 2 2 2 2" xfId="18023"/>
    <cellStyle name="20% - Accent6 4 2 2 2 2 2 2 2 2" xfId="18024"/>
    <cellStyle name="20% - Accent6 4 2 2 2 2 2 2 2 3" xfId="18025"/>
    <cellStyle name="20% - Accent6 4 2 2 2 2 2 2 3" xfId="18026"/>
    <cellStyle name="20% - Accent6 4 2 2 2 2 2 2 3 2" xfId="18027"/>
    <cellStyle name="20% - Accent6 4 2 2 2 2 2 2 3 3" xfId="18028"/>
    <cellStyle name="20% - Accent6 4 2 2 2 2 2 2 4" xfId="18029"/>
    <cellStyle name="20% - Accent6 4 2 2 2 2 2 2 4 2" xfId="18030"/>
    <cellStyle name="20% - Accent6 4 2 2 2 2 2 2 5" xfId="18031"/>
    <cellStyle name="20% - Accent6 4 2 2 2 2 2 2 6" xfId="18032"/>
    <cellStyle name="20% - Accent6 4 2 2 2 2 2 3" xfId="18033"/>
    <cellStyle name="20% - Accent6 4 2 2 2 2 2 3 2" xfId="18034"/>
    <cellStyle name="20% - Accent6 4 2 2 2 2 2 3 2 2" xfId="18035"/>
    <cellStyle name="20% - Accent6 4 2 2 2 2 2 3 2 3" xfId="18036"/>
    <cellStyle name="20% - Accent6 4 2 2 2 2 2 3 3" xfId="18037"/>
    <cellStyle name="20% - Accent6 4 2 2 2 2 2 3 3 2" xfId="18038"/>
    <cellStyle name="20% - Accent6 4 2 2 2 2 2 3 3 3" xfId="18039"/>
    <cellStyle name="20% - Accent6 4 2 2 2 2 2 3 4" xfId="18040"/>
    <cellStyle name="20% - Accent6 4 2 2 2 2 2 3 4 2" xfId="18041"/>
    <cellStyle name="20% - Accent6 4 2 2 2 2 2 3 5" xfId="18042"/>
    <cellStyle name="20% - Accent6 4 2 2 2 2 2 3 6" xfId="18043"/>
    <cellStyle name="20% - Accent6 4 2 2 2 2 2 4" xfId="18044"/>
    <cellStyle name="20% - Accent6 4 2 2 2 2 2 4 2" xfId="18045"/>
    <cellStyle name="20% - Accent6 4 2 2 2 2 2 4 2 2" xfId="18046"/>
    <cellStyle name="20% - Accent6 4 2 2 2 2 2 4 2 3" xfId="18047"/>
    <cellStyle name="20% - Accent6 4 2 2 2 2 2 4 3" xfId="18048"/>
    <cellStyle name="20% - Accent6 4 2 2 2 2 2 4 3 2" xfId="18049"/>
    <cellStyle name="20% - Accent6 4 2 2 2 2 2 4 4" xfId="18050"/>
    <cellStyle name="20% - Accent6 4 2 2 2 2 2 4 5" xfId="18051"/>
    <cellStyle name="20% - Accent6 4 2 2 2 2 2 5" xfId="18052"/>
    <cellStyle name="20% - Accent6 4 2 2 2 2 2 5 2" xfId="18053"/>
    <cellStyle name="20% - Accent6 4 2 2 2 2 2 5 3" xfId="18054"/>
    <cellStyle name="20% - Accent6 4 2 2 2 2 2 6" xfId="18055"/>
    <cellStyle name="20% - Accent6 4 2 2 2 2 2 6 2" xfId="18056"/>
    <cellStyle name="20% - Accent6 4 2 2 2 2 2 6 3" xfId="18057"/>
    <cellStyle name="20% - Accent6 4 2 2 2 2 2 7" xfId="18058"/>
    <cellStyle name="20% - Accent6 4 2 2 2 2 2 7 2" xfId="18059"/>
    <cellStyle name="20% - Accent6 4 2 2 2 2 2 8" xfId="18060"/>
    <cellStyle name="20% - Accent6 4 2 2 2 2 2 9" xfId="18061"/>
    <cellStyle name="20% - Accent6 4 2 2 2 2 3" xfId="18062"/>
    <cellStyle name="20% - Accent6 4 2 2 2 2 3 2" xfId="18063"/>
    <cellStyle name="20% - Accent6 4 2 2 2 2 3 2 2" xfId="18064"/>
    <cellStyle name="20% - Accent6 4 2 2 2 2 3 2 3" xfId="18065"/>
    <cellStyle name="20% - Accent6 4 2 2 2 2 3 3" xfId="18066"/>
    <cellStyle name="20% - Accent6 4 2 2 2 2 3 3 2" xfId="18067"/>
    <cellStyle name="20% - Accent6 4 2 2 2 2 3 3 3" xfId="18068"/>
    <cellStyle name="20% - Accent6 4 2 2 2 2 3 4" xfId="18069"/>
    <cellStyle name="20% - Accent6 4 2 2 2 2 3 4 2" xfId="18070"/>
    <cellStyle name="20% - Accent6 4 2 2 2 2 3 5" xfId="18071"/>
    <cellStyle name="20% - Accent6 4 2 2 2 2 3 6" xfId="18072"/>
    <cellStyle name="20% - Accent6 4 2 2 2 2 4" xfId="18073"/>
    <cellStyle name="20% - Accent6 4 2 2 2 2 4 2" xfId="18074"/>
    <cellStyle name="20% - Accent6 4 2 2 2 2 4 2 2" xfId="18075"/>
    <cellStyle name="20% - Accent6 4 2 2 2 2 4 2 3" xfId="18076"/>
    <cellStyle name="20% - Accent6 4 2 2 2 2 4 3" xfId="18077"/>
    <cellStyle name="20% - Accent6 4 2 2 2 2 4 3 2" xfId="18078"/>
    <cellStyle name="20% - Accent6 4 2 2 2 2 4 3 3" xfId="18079"/>
    <cellStyle name="20% - Accent6 4 2 2 2 2 4 4" xfId="18080"/>
    <cellStyle name="20% - Accent6 4 2 2 2 2 4 4 2" xfId="18081"/>
    <cellStyle name="20% - Accent6 4 2 2 2 2 4 5" xfId="18082"/>
    <cellStyle name="20% - Accent6 4 2 2 2 2 4 6" xfId="18083"/>
    <cellStyle name="20% - Accent6 4 2 2 2 2 5" xfId="18084"/>
    <cellStyle name="20% - Accent6 4 2 2 2 2 5 2" xfId="18085"/>
    <cellStyle name="20% - Accent6 4 2 2 2 2 5 2 2" xfId="18086"/>
    <cellStyle name="20% - Accent6 4 2 2 2 2 5 2 3" xfId="18087"/>
    <cellStyle name="20% - Accent6 4 2 2 2 2 5 3" xfId="18088"/>
    <cellStyle name="20% - Accent6 4 2 2 2 2 5 3 2" xfId="18089"/>
    <cellStyle name="20% - Accent6 4 2 2 2 2 5 4" xfId="18090"/>
    <cellStyle name="20% - Accent6 4 2 2 2 2 5 5" xfId="18091"/>
    <cellStyle name="20% - Accent6 4 2 2 2 2 6" xfId="18092"/>
    <cellStyle name="20% - Accent6 4 2 2 2 2 6 2" xfId="18093"/>
    <cellStyle name="20% - Accent6 4 2 2 2 2 6 3" xfId="18094"/>
    <cellStyle name="20% - Accent6 4 2 2 2 2 7" xfId="18095"/>
    <cellStyle name="20% - Accent6 4 2 2 2 2 7 2" xfId="18096"/>
    <cellStyle name="20% - Accent6 4 2 2 2 2 7 3" xfId="18097"/>
    <cellStyle name="20% - Accent6 4 2 2 2 2 8" xfId="18098"/>
    <cellStyle name="20% - Accent6 4 2 2 2 2 8 2" xfId="18099"/>
    <cellStyle name="20% - Accent6 4 2 2 2 2 9" xfId="18100"/>
    <cellStyle name="20% - Accent6 4 2 2 2 3" xfId="1351"/>
    <cellStyle name="20% - Accent6 4 2 2 2 3 2" xfId="18101"/>
    <cellStyle name="20% - Accent6 4 2 2 2 3 2 2" xfId="18102"/>
    <cellStyle name="20% - Accent6 4 2 2 2 3 2 2 2" xfId="18103"/>
    <cellStyle name="20% - Accent6 4 2 2 2 3 2 2 3" xfId="18104"/>
    <cellStyle name="20% - Accent6 4 2 2 2 3 2 3" xfId="18105"/>
    <cellStyle name="20% - Accent6 4 2 2 2 3 2 3 2" xfId="18106"/>
    <cellStyle name="20% - Accent6 4 2 2 2 3 2 3 3" xfId="18107"/>
    <cellStyle name="20% - Accent6 4 2 2 2 3 2 4" xfId="18108"/>
    <cellStyle name="20% - Accent6 4 2 2 2 3 2 4 2" xfId="18109"/>
    <cellStyle name="20% - Accent6 4 2 2 2 3 2 5" xfId="18110"/>
    <cellStyle name="20% - Accent6 4 2 2 2 3 2 6" xfId="18111"/>
    <cellStyle name="20% - Accent6 4 2 2 2 3 3" xfId="18112"/>
    <cellStyle name="20% - Accent6 4 2 2 2 3 3 2" xfId="18113"/>
    <cellStyle name="20% - Accent6 4 2 2 2 3 3 2 2" xfId="18114"/>
    <cellStyle name="20% - Accent6 4 2 2 2 3 3 2 3" xfId="18115"/>
    <cellStyle name="20% - Accent6 4 2 2 2 3 3 3" xfId="18116"/>
    <cellStyle name="20% - Accent6 4 2 2 2 3 3 3 2" xfId="18117"/>
    <cellStyle name="20% - Accent6 4 2 2 2 3 3 3 3" xfId="18118"/>
    <cellStyle name="20% - Accent6 4 2 2 2 3 3 4" xfId="18119"/>
    <cellStyle name="20% - Accent6 4 2 2 2 3 3 4 2" xfId="18120"/>
    <cellStyle name="20% - Accent6 4 2 2 2 3 3 5" xfId="18121"/>
    <cellStyle name="20% - Accent6 4 2 2 2 3 3 6" xfId="18122"/>
    <cellStyle name="20% - Accent6 4 2 2 2 3 4" xfId="18123"/>
    <cellStyle name="20% - Accent6 4 2 2 2 3 4 2" xfId="18124"/>
    <cellStyle name="20% - Accent6 4 2 2 2 3 4 2 2" xfId="18125"/>
    <cellStyle name="20% - Accent6 4 2 2 2 3 4 2 3" xfId="18126"/>
    <cellStyle name="20% - Accent6 4 2 2 2 3 4 3" xfId="18127"/>
    <cellStyle name="20% - Accent6 4 2 2 2 3 4 3 2" xfId="18128"/>
    <cellStyle name="20% - Accent6 4 2 2 2 3 4 4" xfId="18129"/>
    <cellStyle name="20% - Accent6 4 2 2 2 3 4 5" xfId="18130"/>
    <cellStyle name="20% - Accent6 4 2 2 2 3 5" xfId="18131"/>
    <cellStyle name="20% - Accent6 4 2 2 2 3 5 2" xfId="18132"/>
    <cellStyle name="20% - Accent6 4 2 2 2 3 5 3" xfId="18133"/>
    <cellStyle name="20% - Accent6 4 2 2 2 3 6" xfId="18134"/>
    <cellStyle name="20% - Accent6 4 2 2 2 3 6 2" xfId="18135"/>
    <cellStyle name="20% - Accent6 4 2 2 2 3 6 3" xfId="18136"/>
    <cellStyle name="20% - Accent6 4 2 2 2 3 7" xfId="18137"/>
    <cellStyle name="20% - Accent6 4 2 2 2 3 7 2" xfId="18138"/>
    <cellStyle name="20% - Accent6 4 2 2 2 3 8" xfId="18139"/>
    <cellStyle name="20% - Accent6 4 2 2 2 3 9" xfId="18140"/>
    <cellStyle name="20% - Accent6 4 2 2 2 4" xfId="18141"/>
    <cellStyle name="20% - Accent6 4 2 2 2 4 2" xfId="18142"/>
    <cellStyle name="20% - Accent6 4 2 2 2 4 2 2" xfId="18143"/>
    <cellStyle name="20% - Accent6 4 2 2 2 4 2 2 2" xfId="18144"/>
    <cellStyle name="20% - Accent6 4 2 2 2 4 2 2 3" xfId="18145"/>
    <cellStyle name="20% - Accent6 4 2 2 2 4 2 3" xfId="18146"/>
    <cellStyle name="20% - Accent6 4 2 2 2 4 2 3 2" xfId="18147"/>
    <cellStyle name="20% - Accent6 4 2 2 2 4 2 3 3" xfId="18148"/>
    <cellStyle name="20% - Accent6 4 2 2 2 4 2 4" xfId="18149"/>
    <cellStyle name="20% - Accent6 4 2 2 2 4 2 4 2" xfId="18150"/>
    <cellStyle name="20% - Accent6 4 2 2 2 4 2 5" xfId="18151"/>
    <cellStyle name="20% - Accent6 4 2 2 2 4 2 6" xfId="18152"/>
    <cellStyle name="20% - Accent6 4 2 2 2 4 3" xfId="18153"/>
    <cellStyle name="20% - Accent6 4 2 2 2 4 3 2" xfId="18154"/>
    <cellStyle name="20% - Accent6 4 2 2 2 4 3 2 2" xfId="18155"/>
    <cellStyle name="20% - Accent6 4 2 2 2 4 3 2 3" xfId="18156"/>
    <cellStyle name="20% - Accent6 4 2 2 2 4 3 3" xfId="18157"/>
    <cellStyle name="20% - Accent6 4 2 2 2 4 3 3 2" xfId="18158"/>
    <cellStyle name="20% - Accent6 4 2 2 2 4 3 3 3" xfId="18159"/>
    <cellStyle name="20% - Accent6 4 2 2 2 4 3 4" xfId="18160"/>
    <cellStyle name="20% - Accent6 4 2 2 2 4 3 4 2" xfId="18161"/>
    <cellStyle name="20% - Accent6 4 2 2 2 4 3 5" xfId="18162"/>
    <cellStyle name="20% - Accent6 4 2 2 2 4 3 6" xfId="18163"/>
    <cellStyle name="20% - Accent6 4 2 2 2 4 4" xfId="18164"/>
    <cellStyle name="20% - Accent6 4 2 2 2 4 4 2" xfId="18165"/>
    <cellStyle name="20% - Accent6 4 2 2 2 4 4 2 2" xfId="18166"/>
    <cellStyle name="20% - Accent6 4 2 2 2 4 4 2 3" xfId="18167"/>
    <cellStyle name="20% - Accent6 4 2 2 2 4 4 3" xfId="18168"/>
    <cellStyle name="20% - Accent6 4 2 2 2 4 4 3 2" xfId="18169"/>
    <cellStyle name="20% - Accent6 4 2 2 2 4 4 4" xfId="18170"/>
    <cellStyle name="20% - Accent6 4 2 2 2 4 4 5" xfId="18171"/>
    <cellStyle name="20% - Accent6 4 2 2 2 4 5" xfId="18172"/>
    <cellStyle name="20% - Accent6 4 2 2 2 4 5 2" xfId="18173"/>
    <cellStyle name="20% - Accent6 4 2 2 2 4 5 3" xfId="18174"/>
    <cellStyle name="20% - Accent6 4 2 2 2 4 6" xfId="18175"/>
    <cellStyle name="20% - Accent6 4 2 2 2 4 6 2" xfId="18176"/>
    <cellStyle name="20% - Accent6 4 2 2 2 4 6 3" xfId="18177"/>
    <cellStyle name="20% - Accent6 4 2 2 2 4 7" xfId="18178"/>
    <cellStyle name="20% - Accent6 4 2 2 2 4 7 2" xfId="18179"/>
    <cellStyle name="20% - Accent6 4 2 2 2 4 8" xfId="18180"/>
    <cellStyle name="20% - Accent6 4 2 2 2 4 9" xfId="18181"/>
    <cellStyle name="20% - Accent6 4 2 2 2 5" xfId="18182"/>
    <cellStyle name="20% - Accent6 4 2 2 2 5 2" xfId="18183"/>
    <cellStyle name="20% - Accent6 4 2 2 2 5 2 2" xfId="18184"/>
    <cellStyle name="20% - Accent6 4 2 2 2 5 2 3" xfId="18185"/>
    <cellStyle name="20% - Accent6 4 2 2 2 5 3" xfId="18186"/>
    <cellStyle name="20% - Accent6 4 2 2 2 5 3 2" xfId="18187"/>
    <cellStyle name="20% - Accent6 4 2 2 2 5 3 3" xfId="18188"/>
    <cellStyle name="20% - Accent6 4 2 2 2 5 4" xfId="18189"/>
    <cellStyle name="20% - Accent6 4 2 2 2 5 4 2" xfId="18190"/>
    <cellStyle name="20% - Accent6 4 2 2 2 5 5" xfId="18191"/>
    <cellStyle name="20% - Accent6 4 2 2 2 5 6" xfId="18192"/>
    <cellStyle name="20% - Accent6 4 2 2 2 6" xfId="18193"/>
    <cellStyle name="20% - Accent6 4 2 2 2 6 2" xfId="18194"/>
    <cellStyle name="20% - Accent6 4 2 2 2 6 2 2" xfId="18195"/>
    <cellStyle name="20% - Accent6 4 2 2 2 6 2 3" xfId="18196"/>
    <cellStyle name="20% - Accent6 4 2 2 2 6 3" xfId="18197"/>
    <cellStyle name="20% - Accent6 4 2 2 2 6 3 2" xfId="18198"/>
    <cellStyle name="20% - Accent6 4 2 2 2 6 3 3" xfId="18199"/>
    <cellStyle name="20% - Accent6 4 2 2 2 6 4" xfId="18200"/>
    <cellStyle name="20% - Accent6 4 2 2 2 6 4 2" xfId="18201"/>
    <cellStyle name="20% - Accent6 4 2 2 2 6 5" xfId="18202"/>
    <cellStyle name="20% - Accent6 4 2 2 2 6 6" xfId="18203"/>
    <cellStyle name="20% - Accent6 4 2 2 2 7" xfId="18204"/>
    <cellStyle name="20% - Accent6 4 2 2 2 7 2" xfId="18205"/>
    <cellStyle name="20% - Accent6 4 2 2 2 7 2 2" xfId="18206"/>
    <cellStyle name="20% - Accent6 4 2 2 2 7 2 3" xfId="18207"/>
    <cellStyle name="20% - Accent6 4 2 2 2 7 3" xfId="18208"/>
    <cellStyle name="20% - Accent6 4 2 2 2 7 3 2" xfId="18209"/>
    <cellStyle name="20% - Accent6 4 2 2 2 7 4" xfId="18210"/>
    <cellStyle name="20% - Accent6 4 2 2 2 7 5" xfId="18211"/>
    <cellStyle name="20% - Accent6 4 2 2 2 8" xfId="18212"/>
    <cellStyle name="20% - Accent6 4 2 2 2 8 2" xfId="18213"/>
    <cellStyle name="20% - Accent6 4 2 2 2 8 3" xfId="18214"/>
    <cellStyle name="20% - Accent6 4 2 2 2 9" xfId="18215"/>
    <cellStyle name="20% - Accent6 4 2 2 2 9 2" xfId="18216"/>
    <cellStyle name="20% - Accent6 4 2 2 2 9 3" xfId="18217"/>
    <cellStyle name="20% - Accent6 4 2 2 3" xfId="1352"/>
    <cellStyle name="20% - Accent6 4 2 2 3 10" xfId="18218"/>
    <cellStyle name="20% - Accent6 4 2 2 3 2" xfId="1353"/>
    <cellStyle name="20% - Accent6 4 2 2 3 2 2" xfId="18219"/>
    <cellStyle name="20% - Accent6 4 2 2 3 2 2 2" xfId="18220"/>
    <cellStyle name="20% - Accent6 4 2 2 3 2 2 2 2" xfId="18221"/>
    <cellStyle name="20% - Accent6 4 2 2 3 2 2 2 3" xfId="18222"/>
    <cellStyle name="20% - Accent6 4 2 2 3 2 2 3" xfId="18223"/>
    <cellStyle name="20% - Accent6 4 2 2 3 2 2 3 2" xfId="18224"/>
    <cellStyle name="20% - Accent6 4 2 2 3 2 2 3 3" xfId="18225"/>
    <cellStyle name="20% - Accent6 4 2 2 3 2 2 4" xfId="18226"/>
    <cellStyle name="20% - Accent6 4 2 2 3 2 2 4 2" xfId="18227"/>
    <cellStyle name="20% - Accent6 4 2 2 3 2 2 5" xfId="18228"/>
    <cellStyle name="20% - Accent6 4 2 2 3 2 2 6" xfId="18229"/>
    <cellStyle name="20% - Accent6 4 2 2 3 2 3" xfId="18230"/>
    <cellStyle name="20% - Accent6 4 2 2 3 2 3 2" xfId="18231"/>
    <cellStyle name="20% - Accent6 4 2 2 3 2 3 2 2" xfId="18232"/>
    <cellStyle name="20% - Accent6 4 2 2 3 2 3 2 3" xfId="18233"/>
    <cellStyle name="20% - Accent6 4 2 2 3 2 3 3" xfId="18234"/>
    <cellStyle name="20% - Accent6 4 2 2 3 2 3 3 2" xfId="18235"/>
    <cellStyle name="20% - Accent6 4 2 2 3 2 3 3 3" xfId="18236"/>
    <cellStyle name="20% - Accent6 4 2 2 3 2 3 4" xfId="18237"/>
    <cellStyle name="20% - Accent6 4 2 2 3 2 3 4 2" xfId="18238"/>
    <cellStyle name="20% - Accent6 4 2 2 3 2 3 5" xfId="18239"/>
    <cellStyle name="20% - Accent6 4 2 2 3 2 3 6" xfId="18240"/>
    <cellStyle name="20% - Accent6 4 2 2 3 2 4" xfId="18241"/>
    <cellStyle name="20% - Accent6 4 2 2 3 2 4 2" xfId="18242"/>
    <cellStyle name="20% - Accent6 4 2 2 3 2 4 2 2" xfId="18243"/>
    <cellStyle name="20% - Accent6 4 2 2 3 2 4 2 3" xfId="18244"/>
    <cellStyle name="20% - Accent6 4 2 2 3 2 4 3" xfId="18245"/>
    <cellStyle name="20% - Accent6 4 2 2 3 2 4 3 2" xfId="18246"/>
    <cellStyle name="20% - Accent6 4 2 2 3 2 4 4" xfId="18247"/>
    <cellStyle name="20% - Accent6 4 2 2 3 2 4 5" xfId="18248"/>
    <cellStyle name="20% - Accent6 4 2 2 3 2 5" xfId="18249"/>
    <cellStyle name="20% - Accent6 4 2 2 3 2 5 2" xfId="18250"/>
    <cellStyle name="20% - Accent6 4 2 2 3 2 5 3" xfId="18251"/>
    <cellStyle name="20% - Accent6 4 2 2 3 2 6" xfId="18252"/>
    <cellStyle name="20% - Accent6 4 2 2 3 2 6 2" xfId="18253"/>
    <cellStyle name="20% - Accent6 4 2 2 3 2 6 3" xfId="18254"/>
    <cellStyle name="20% - Accent6 4 2 2 3 2 7" xfId="18255"/>
    <cellStyle name="20% - Accent6 4 2 2 3 2 7 2" xfId="18256"/>
    <cellStyle name="20% - Accent6 4 2 2 3 2 8" xfId="18257"/>
    <cellStyle name="20% - Accent6 4 2 2 3 2 9" xfId="18258"/>
    <cellStyle name="20% - Accent6 4 2 2 3 3" xfId="18259"/>
    <cellStyle name="20% - Accent6 4 2 2 3 3 2" xfId="18260"/>
    <cellStyle name="20% - Accent6 4 2 2 3 3 2 2" xfId="18261"/>
    <cellStyle name="20% - Accent6 4 2 2 3 3 2 3" xfId="18262"/>
    <cellStyle name="20% - Accent6 4 2 2 3 3 3" xfId="18263"/>
    <cellStyle name="20% - Accent6 4 2 2 3 3 3 2" xfId="18264"/>
    <cellStyle name="20% - Accent6 4 2 2 3 3 3 3" xfId="18265"/>
    <cellStyle name="20% - Accent6 4 2 2 3 3 4" xfId="18266"/>
    <cellStyle name="20% - Accent6 4 2 2 3 3 4 2" xfId="18267"/>
    <cellStyle name="20% - Accent6 4 2 2 3 3 5" xfId="18268"/>
    <cellStyle name="20% - Accent6 4 2 2 3 3 6" xfId="18269"/>
    <cellStyle name="20% - Accent6 4 2 2 3 4" xfId="18270"/>
    <cellStyle name="20% - Accent6 4 2 2 3 4 2" xfId="18271"/>
    <cellStyle name="20% - Accent6 4 2 2 3 4 2 2" xfId="18272"/>
    <cellStyle name="20% - Accent6 4 2 2 3 4 2 3" xfId="18273"/>
    <cellStyle name="20% - Accent6 4 2 2 3 4 3" xfId="18274"/>
    <cellStyle name="20% - Accent6 4 2 2 3 4 3 2" xfId="18275"/>
    <cellStyle name="20% - Accent6 4 2 2 3 4 3 3" xfId="18276"/>
    <cellStyle name="20% - Accent6 4 2 2 3 4 4" xfId="18277"/>
    <cellStyle name="20% - Accent6 4 2 2 3 4 4 2" xfId="18278"/>
    <cellStyle name="20% - Accent6 4 2 2 3 4 5" xfId="18279"/>
    <cellStyle name="20% - Accent6 4 2 2 3 4 6" xfId="18280"/>
    <cellStyle name="20% - Accent6 4 2 2 3 5" xfId="18281"/>
    <cellStyle name="20% - Accent6 4 2 2 3 5 2" xfId="18282"/>
    <cellStyle name="20% - Accent6 4 2 2 3 5 2 2" xfId="18283"/>
    <cellStyle name="20% - Accent6 4 2 2 3 5 2 3" xfId="18284"/>
    <cellStyle name="20% - Accent6 4 2 2 3 5 3" xfId="18285"/>
    <cellStyle name="20% - Accent6 4 2 2 3 5 3 2" xfId="18286"/>
    <cellStyle name="20% - Accent6 4 2 2 3 5 4" xfId="18287"/>
    <cellStyle name="20% - Accent6 4 2 2 3 5 5" xfId="18288"/>
    <cellStyle name="20% - Accent6 4 2 2 3 6" xfId="18289"/>
    <cellStyle name="20% - Accent6 4 2 2 3 6 2" xfId="18290"/>
    <cellStyle name="20% - Accent6 4 2 2 3 6 3" xfId="18291"/>
    <cellStyle name="20% - Accent6 4 2 2 3 7" xfId="18292"/>
    <cellStyle name="20% - Accent6 4 2 2 3 7 2" xfId="18293"/>
    <cellStyle name="20% - Accent6 4 2 2 3 7 3" xfId="18294"/>
    <cellStyle name="20% - Accent6 4 2 2 3 8" xfId="18295"/>
    <cellStyle name="20% - Accent6 4 2 2 3 8 2" xfId="18296"/>
    <cellStyle name="20% - Accent6 4 2 2 3 9" xfId="18297"/>
    <cellStyle name="20% - Accent6 4 2 2 4" xfId="1354"/>
    <cellStyle name="20% - Accent6 4 2 2 4 2" xfId="18298"/>
    <cellStyle name="20% - Accent6 4 2 2 4 2 2" xfId="18299"/>
    <cellStyle name="20% - Accent6 4 2 2 4 2 2 2" xfId="18300"/>
    <cellStyle name="20% - Accent6 4 2 2 4 2 2 3" xfId="18301"/>
    <cellStyle name="20% - Accent6 4 2 2 4 2 3" xfId="18302"/>
    <cellStyle name="20% - Accent6 4 2 2 4 2 3 2" xfId="18303"/>
    <cellStyle name="20% - Accent6 4 2 2 4 2 3 3" xfId="18304"/>
    <cellStyle name="20% - Accent6 4 2 2 4 2 4" xfId="18305"/>
    <cellStyle name="20% - Accent6 4 2 2 4 2 4 2" xfId="18306"/>
    <cellStyle name="20% - Accent6 4 2 2 4 2 5" xfId="18307"/>
    <cellStyle name="20% - Accent6 4 2 2 4 2 6" xfId="18308"/>
    <cellStyle name="20% - Accent6 4 2 2 4 3" xfId="18309"/>
    <cellStyle name="20% - Accent6 4 2 2 4 3 2" xfId="18310"/>
    <cellStyle name="20% - Accent6 4 2 2 4 3 2 2" xfId="18311"/>
    <cellStyle name="20% - Accent6 4 2 2 4 3 2 3" xfId="18312"/>
    <cellStyle name="20% - Accent6 4 2 2 4 3 3" xfId="18313"/>
    <cellStyle name="20% - Accent6 4 2 2 4 3 3 2" xfId="18314"/>
    <cellStyle name="20% - Accent6 4 2 2 4 3 3 3" xfId="18315"/>
    <cellStyle name="20% - Accent6 4 2 2 4 3 4" xfId="18316"/>
    <cellStyle name="20% - Accent6 4 2 2 4 3 4 2" xfId="18317"/>
    <cellStyle name="20% - Accent6 4 2 2 4 3 5" xfId="18318"/>
    <cellStyle name="20% - Accent6 4 2 2 4 3 6" xfId="18319"/>
    <cellStyle name="20% - Accent6 4 2 2 4 4" xfId="18320"/>
    <cellStyle name="20% - Accent6 4 2 2 4 4 2" xfId="18321"/>
    <cellStyle name="20% - Accent6 4 2 2 4 4 2 2" xfId="18322"/>
    <cellStyle name="20% - Accent6 4 2 2 4 4 2 3" xfId="18323"/>
    <cellStyle name="20% - Accent6 4 2 2 4 4 3" xfId="18324"/>
    <cellStyle name="20% - Accent6 4 2 2 4 4 3 2" xfId="18325"/>
    <cellStyle name="20% - Accent6 4 2 2 4 4 4" xfId="18326"/>
    <cellStyle name="20% - Accent6 4 2 2 4 4 5" xfId="18327"/>
    <cellStyle name="20% - Accent6 4 2 2 4 5" xfId="18328"/>
    <cellStyle name="20% - Accent6 4 2 2 4 5 2" xfId="18329"/>
    <cellStyle name="20% - Accent6 4 2 2 4 5 3" xfId="18330"/>
    <cellStyle name="20% - Accent6 4 2 2 4 6" xfId="18331"/>
    <cellStyle name="20% - Accent6 4 2 2 4 6 2" xfId="18332"/>
    <cellStyle name="20% - Accent6 4 2 2 4 6 3" xfId="18333"/>
    <cellStyle name="20% - Accent6 4 2 2 4 7" xfId="18334"/>
    <cellStyle name="20% - Accent6 4 2 2 4 7 2" xfId="18335"/>
    <cellStyle name="20% - Accent6 4 2 2 4 8" xfId="18336"/>
    <cellStyle name="20% - Accent6 4 2 2 4 9" xfId="18337"/>
    <cellStyle name="20% - Accent6 4 2 2 5" xfId="18338"/>
    <cellStyle name="20% - Accent6 4 2 2 5 2" xfId="18339"/>
    <cellStyle name="20% - Accent6 4 2 2 5 2 2" xfId="18340"/>
    <cellStyle name="20% - Accent6 4 2 2 5 2 2 2" xfId="18341"/>
    <cellStyle name="20% - Accent6 4 2 2 5 2 2 3" xfId="18342"/>
    <cellStyle name="20% - Accent6 4 2 2 5 2 3" xfId="18343"/>
    <cellStyle name="20% - Accent6 4 2 2 5 2 3 2" xfId="18344"/>
    <cellStyle name="20% - Accent6 4 2 2 5 2 3 3" xfId="18345"/>
    <cellStyle name="20% - Accent6 4 2 2 5 2 4" xfId="18346"/>
    <cellStyle name="20% - Accent6 4 2 2 5 2 4 2" xfId="18347"/>
    <cellStyle name="20% - Accent6 4 2 2 5 2 5" xfId="18348"/>
    <cellStyle name="20% - Accent6 4 2 2 5 2 6" xfId="18349"/>
    <cellStyle name="20% - Accent6 4 2 2 5 3" xfId="18350"/>
    <cellStyle name="20% - Accent6 4 2 2 5 3 2" xfId="18351"/>
    <cellStyle name="20% - Accent6 4 2 2 5 3 2 2" xfId="18352"/>
    <cellStyle name="20% - Accent6 4 2 2 5 3 2 3" xfId="18353"/>
    <cellStyle name="20% - Accent6 4 2 2 5 3 3" xfId="18354"/>
    <cellStyle name="20% - Accent6 4 2 2 5 3 3 2" xfId="18355"/>
    <cellStyle name="20% - Accent6 4 2 2 5 3 3 3" xfId="18356"/>
    <cellStyle name="20% - Accent6 4 2 2 5 3 4" xfId="18357"/>
    <cellStyle name="20% - Accent6 4 2 2 5 3 4 2" xfId="18358"/>
    <cellStyle name="20% - Accent6 4 2 2 5 3 5" xfId="18359"/>
    <cellStyle name="20% - Accent6 4 2 2 5 3 6" xfId="18360"/>
    <cellStyle name="20% - Accent6 4 2 2 5 4" xfId="18361"/>
    <cellStyle name="20% - Accent6 4 2 2 5 4 2" xfId="18362"/>
    <cellStyle name="20% - Accent6 4 2 2 5 4 2 2" xfId="18363"/>
    <cellStyle name="20% - Accent6 4 2 2 5 4 2 3" xfId="18364"/>
    <cellStyle name="20% - Accent6 4 2 2 5 4 3" xfId="18365"/>
    <cellStyle name="20% - Accent6 4 2 2 5 4 3 2" xfId="18366"/>
    <cellStyle name="20% - Accent6 4 2 2 5 4 4" xfId="18367"/>
    <cellStyle name="20% - Accent6 4 2 2 5 4 5" xfId="18368"/>
    <cellStyle name="20% - Accent6 4 2 2 5 5" xfId="18369"/>
    <cellStyle name="20% - Accent6 4 2 2 5 5 2" xfId="18370"/>
    <cellStyle name="20% - Accent6 4 2 2 5 5 3" xfId="18371"/>
    <cellStyle name="20% - Accent6 4 2 2 5 6" xfId="18372"/>
    <cellStyle name="20% - Accent6 4 2 2 5 6 2" xfId="18373"/>
    <cellStyle name="20% - Accent6 4 2 2 5 6 3" xfId="18374"/>
    <cellStyle name="20% - Accent6 4 2 2 5 7" xfId="18375"/>
    <cellStyle name="20% - Accent6 4 2 2 5 7 2" xfId="18376"/>
    <cellStyle name="20% - Accent6 4 2 2 5 8" xfId="18377"/>
    <cellStyle name="20% - Accent6 4 2 2 5 9" xfId="18378"/>
    <cellStyle name="20% - Accent6 4 2 2 6" xfId="18379"/>
    <cellStyle name="20% - Accent6 4 2 2 6 2" xfId="18380"/>
    <cellStyle name="20% - Accent6 4 2 2 6 2 2" xfId="18381"/>
    <cellStyle name="20% - Accent6 4 2 2 6 2 3" xfId="18382"/>
    <cellStyle name="20% - Accent6 4 2 2 6 3" xfId="18383"/>
    <cellStyle name="20% - Accent6 4 2 2 6 3 2" xfId="18384"/>
    <cellStyle name="20% - Accent6 4 2 2 6 3 3" xfId="18385"/>
    <cellStyle name="20% - Accent6 4 2 2 6 4" xfId="18386"/>
    <cellStyle name="20% - Accent6 4 2 2 6 4 2" xfId="18387"/>
    <cellStyle name="20% - Accent6 4 2 2 6 5" xfId="18388"/>
    <cellStyle name="20% - Accent6 4 2 2 6 6" xfId="18389"/>
    <cellStyle name="20% - Accent6 4 2 2 7" xfId="18390"/>
    <cellStyle name="20% - Accent6 4 2 2 7 2" xfId="18391"/>
    <cellStyle name="20% - Accent6 4 2 2 7 2 2" xfId="18392"/>
    <cellStyle name="20% - Accent6 4 2 2 7 2 3" xfId="18393"/>
    <cellStyle name="20% - Accent6 4 2 2 7 3" xfId="18394"/>
    <cellStyle name="20% - Accent6 4 2 2 7 3 2" xfId="18395"/>
    <cellStyle name="20% - Accent6 4 2 2 7 3 3" xfId="18396"/>
    <cellStyle name="20% - Accent6 4 2 2 7 4" xfId="18397"/>
    <cellStyle name="20% - Accent6 4 2 2 7 4 2" xfId="18398"/>
    <cellStyle name="20% - Accent6 4 2 2 7 5" xfId="18399"/>
    <cellStyle name="20% - Accent6 4 2 2 7 6" xfId="18400"/>
    <cellStyle name="20% - Accent6 4 2 2 8" xfId="18401"/>
    <cellStyle name="20% - Accent6 4 2 2 8 2" xfId="18402"/>
    <cellStyle name="20% - Accent6 4 2 2 8 2 2" xfId="18403"/>
    <cellStyle name="20% - Accent6 4 2 2 8 2 3" xfId="18404"/>
    <cellStyle name="20% - Accent6 4 2 2 8 3" xfId="18405"/>
    <cellStyle name="20% - Accent6 4 2 2 8 3 2" xfId="18406"/>
    <cellStyle name="20% - Accent6 4 2 2 8 4" xfId="18407"/>
    <cellStyle name="20% - Accent6 4 2 2 8 5" xfId="18408"/>
    <cellStyle name="20% - Accent6 4 2 2 9" xfId="18409"/>
    <cellStyle name="20% - Accent6 4 2 2 9 2" xfId="18410"/>
    <cellStyle name="20% - Accent6 4 2 2 9 3" xfId="18411"/>
    <cellStyle name="20% - Accent6 4 2 3" xfId="1355"/>
    <cellStyle name="20% - Accent6 4 2 3 10" xfId="18412"/>
    <cellStyle name="20% - Accent6 4 2 3 10 2" xfId="18413"/>
    <cellStyle name="20% - Accent6 4 2 3 11" xfId="18414"/>
    <cellStyle name="20% - Accent6 4 2 3 12" xfId="18415"/>
    <cellStyle name="20% - Accent6 4 2 3 2" xfId="1356"/>
    <cellStyle name="20% - Accent6 4 2 3 2 10" xfId="18416"/>
    <cellStyle name="20% - Accent6 4 2 3 2 2" xfId="1357"/>
    <cellStyle name="20% - Accent6 4 2 3 2 2 2" xfId="18417"/>
    <cellStyle name="20% - Accent6 4 2 3 2 2 2 2" xfId="18418"/>
    <cellStyle name="20% - Accent6 4 2 3 2 2 2 2 2" xfId="18419"/>
    <cellStyle name="20% - Accent6 4 2 3 2 2 2 2 3" xfId="18420"/>
    <cellStyle name="20% - Accent6 4 2 3 2 2 2 3" xfId="18421"/>
    <cellStyle name="20% - Accent6 4 2 3 2 2 2 3 2" xfId="18422"/>
    <cellStyle name="20% - Accent6 4 2 3 2 2 2 3 3" xfId="18423"/>
    <cellStyle name="20% - Accent6 4 2 3 2 2 2 4" xfId="18424"/>
    <cellStyle name="20% - Accent6 4 2 3 2 2 2 4 2" xfId="18425"/>
    <cellStyle name="20% - Accent6 4 2 3 2 2 2 5" xfId="18426"/>
    <cellStyle name="20% - Accent6 4 2 3 2 2 2 6" xfId="18427"/>
    <cellStyle name="20% - Accent6 4 2 3 2 2 3" xfId="18428"/>
    <cellStyle name="20% - Accent6 4 2 3 2 2 3 2" xfId="18429"/>
    <cellStyle name="20% - Accent6 4 2 3 2 2 3 2 2" xfId="18430"/>
    <cellStyle name="20% - Accent6 4 2 3 2 2 3 2 3" xfId="18431"/>
    <cellStyle name="20% - Accent6 4 2 3 2 2 3 3" xfId="18432"/>
    <cellStyle name="20% - Accent6 4 2 3 2 2 3 3 2" xfId="18433"/>
    <cellStyle name="20% - Accent6 4 2 3 2 2 3 3 3" xfId="18434"/>
    <cellStyle name="20% - Accent6 4 2 3 2 2 3 4" xfId="18435"/>
    <cellStyle name="20% - Accent6 4 2 3 2 2 3 4 2" xfId="18436"/>
    <cellStyle name="20% - Accent6 4 2 3 2 2 3 5" xfId="18437"/>
    <cellStyle name="20% - Accent6 4 2 3 2 2 3 6" xfId="18438"/>
    <cellStyle name="20% - Accent6 4 2 3 2 2 4" xfId="18439"/>
    <cellStyle name="20% - Accent6 4 2 3 2 2 4 2" xfId="18440"/>
    <cellStyle name="20% - Accent6 4 2 3 2 2 4 2 2" xfId="18441"/>
    <cellStyle name="20% - Accent6 4 2 3 2 2 4 2 3" xfId="18442"/>
    <cellStyle name="20% - Accent6 4 2 3 2 2 4 3" xfId="18443"/>
    <cellStyle name="20% - Accent6 4 2 3 2 2 4 3 2" xfId="18444"/>
    <cellStyle name="20% - Accent6 4 2 3 2 2 4 4" xfId="18445"/>
    <cellStyle name="20% - Accent6 4 2 3 2 2 4 5" xfId="18446"/>
    <cellStyle name="20% - Accent6 4 2 3 2 2 5" xfId="18447"/>
    <cellStyle name="20% - Accent6 4 2 3 2 2 5 2" xfId="18448"/>
    <cellStyle name="20% - Accent6 4 2 3 2 2 5 3" xfId="18449"/>
    <cellStyle name="20% - Accent6 4 2 3 2 2 6" xfId="18450"/>
    <cellStyle name="20% - Accent6 4 2 3 2 2 6 2" xfId="18451"/>
    <cellStyle name="20% - Accent6 4 2 3 2 2 6 3" xfId="18452"/>
    <cellStyle name="20% - Accent6 4 2 3 2 2 7" xfId="18453"/>
    <cellStyle name="20% - Accent6 4 2 3 2 2 7 2" xfId="18454"/>
    <cellStyle name="20% - Accent6 4 2 3 2 2 8" xfId="18455"/>
    <cellStyle name="20% - Accent6 4 2 3 2 2 9" xfId="18456"/>
    <cellStyle name="20% - Accent6 4 2 3 2 3" xfId="18457"/>
    <cellStyle name="20% - Accent6 4 2 3 2 3 2" xfId="18458"/>
    <cellStyle name="20% - Accent6 4 2 3 2 3 2 2" xfId="18459"/>
    <cellStyle name="20% - Accent6 4 2 3 2 3 2 3" xfId="18460"/>
    <cellStyle name="20% - Accent6 4 2 3 2 3 3" xfId="18461"/>
    <cellStyle name="20% - Accent6 4 2 3 2 3 3 2" xfId="18462"/>
    <cellStyle name="20% - Accent6 4 2 3 2 3 3 3" xfId="18463"/>
    <cellStyle name="20% - Accent6 4 2 3 2 3 4" xfId="18464"/>
    <cellStyle name="20% - Accent6 4 2 3 2 3 4 2" xfId="18465"/>
    <cellStyle name="20% - Accent6 4 2 3 2 3 5" xfId="18466"/>
    <cellStyle name="20% - Accent6 4 2 3 2 3 6" xfId="18467"/>
    <cellStyle name="20% - Accent6 4 2 3 2 4" xfId="18468"/>
    <cellStyle name="20% - Accent6 4 2 3 2 4 2" xfId="18469"/>
    <cellStyle name="20% - Accent6 4 2 3 2 4 2 2" xfId="18470"/>
    <cellStyle name="20% - Accent6 4 2 3 2 4 2 3" xfId="18471"/>
    <cellStyle name="20% - Accent6 4 2 3 2 4 3" xfId="18472"/>
    <cellStyle name="20% - Accent6 4 2 3 2 4 3 2" xfId="18473"/>
    <cellStyle name="20% - Accent6 4 2 3 2 4 3 3" xfId="18474"/>
    <cellStyle name="20% - Accent6 4 2 3 2 4 4" xfId="18475"/>
    <cellStyle name="20% - Accent6 4 2 3 2 4 4 2" xfId="18476"/>
    <cellStyle name="20% - Accent6 4 2 3 2 4 5" xfId="18477"/>
    <cellStyle name="20% - Accent6 4 2 3 2 4 6" xfId="18478"/>
    <cellStyle name="20% - Accent6 4 2 3 2 5" xfId="18479"/>
    <cellStyle name="20% - Accent6 4 2 3 2 5 2" xfId="18480"/>
    <cellStyle name="20% - Accent6 4 2 3 2 5 2 2" xfId="18481"/>
    <cellStyle name="20% - Accent6 4 2 3 2 5 2 3" xfId="18482"/>
    <cellStyle name="20% - Accent6 4 2 3 2 5 3" xfId="18483"/>
    <cellStyle name="20% - Accent6 4 2 3 2 5 3 2" xfId="18484"/>
    <cellStyle name="20% - Accent6 4 2 3 2 5 4" xfId="18485"/>
    <cellStyle name="20% - Accent6 4 2 3 2 5 5" xfId="18486"/>
    <cellStyle name="20% - Accent6 4 2 3 2 6" xfId="18487"/>
    <cellStyle name="20% - Accent6 4 2 3 2 6 2" xfId="18488"/>
    <cellStyle name="20% - Accent6 4 2 3 2 6 3" xfId="18489"/>
    <cellStyle name="20% - Accent6 4 2 3 2 7" xfId="18490"/>
    <cellStyle name="20% - Accent6 4 2 3 2 7 2" xfId="18491"/>
    <cellStyle name="20% - Accent6 4 2 3 2 7 3" xfId="18492"/>
    <cellStyle name="20% - Accent6 4 2 3 2 8" xfId="18493"/>
    <cellStyle name="20% - Accent6 4 2 3 2 8 2" xfId="18494"/>
    <cellStyle name="20% - Accent6 4 2 3 2 9" xfId="18495"/>
    <cellStyle name="20% - Accent6 4 2 3 3" xfId="1358"/>
    <cellStyle name="20% - Accent6 4 2 3 3 2" xfId="18496"/>
    <cellStyle name="20% - Accent6 4 2 3 3 2 2" xfId="18497"/>
    <cellStyle name="20% - Accent6 4 2 3 3 2 2 2" xfId="18498"/>
    <cellStyle name="20% - Accent6 4 2 3 3 2 2 3" xfId="18499"/>
    <cellStyle name="20% - Accent6 4 2 3 3 2 3" xfId="18500"/>
    <cellStyle name="20% - Accent6 4 2 3 3 2 3 2" xfId="18501"/>
    <cellStyle name="20% - Accent6 4 2 3 3 2 3 3" xfId="18502"/>
    <cellStyle name="20% - Accent6 4 2 3 3 2 4" xfId="18503"/>
    <cellStyle name="20% - Accent6 4 2 3 3 2 4 2" xfId="18504"/>
    <cellStyle name="20% - Accent6 4 2 3 3 2 5" xfId="18505"/>
    <cellStyle name="20% - Accent6 4 2 3 3 2 6" xfId="18506"/>
    <cellStyle name="20% - Accent6 4 2 3 3 3" xfId="18507"/>
    <cellStyle name="20% - Accent6 4 2 3 3 3 2" xfId="18508"/>
    <cellStyle name="20% - Accent6 4 2 3 3 3 2 2" xfId="18509"/>
    <cellStyle name="20% - Accent6 4 2 3 3 3 2 3" xfId="18510"/>
    <cellStyle name="20% - Accent6 4 2 3 3 3 3" xfId="18511"/>
    <cellStyle name="20% - Accent6 4 2 3 3 3 3 2" xfId="18512"/>
    <cellStyle name="20% - Accent6 4 2 3 3 3 3 3" xfId="18513"/>
    <cellStyle name="20% - Accent6 4 2 3 3 3 4" xfId="18514"/>
    <cellStyle name="20% - Accent6 4 2 3 3 3 4 2" xfId="18515"/>
    <cellStyle name="20% - Accent6 4 2 3 3 3 5" xfId="18516"/>
    <cellStyle name="20% - Accent6 4 2 3 3 3 6" xfId="18517"/>
    <cellStyle name="20% - Accent6 4 2 3 3 4" xfId="18518"/>
    <cellStyle name="20% - Accent6 4 2 3 3 4 2" xfId="18519"/>
    <cellStyle name="20% - Accent6 4 2 3 3 4 2 2" xfId="18520"/>
    <cellStyle name="20% - Accent6 4 2 3 3 4 2 3" xfId="18521"/>
    <cellStyle name="20% - Accent6 4 2 3 3 4 3" xfId="18522"/>
    <cellStyle name="20% - Accent6 4 2 3 3 4 3 2" xfId="18523"/>
    <cellStyle name="20% - Accent6 4 2 3 3 4 4" xfId="18524"/>
    <cellStyle name="20% - Accent6 4 2 3 3 4 5" xfId="18525"/>
    <cellStyle name="20% - Accent6 4 2 3 3 5" xfId="18526"/>
    <cellStyle name="20% - Accent6 4 2 3 3 5 2" xfId="18527"/>
    <cellStyle name="20% - Accent6 4 2 3 3 5 3" xfId="18528"/>
    <cellStyle name="20% - Accent6 4 2 3 3 6" xfId="18529"/>
    <cellStyle name="20% - Accent6 4 2 3 3 6 2" xfId="18530"/>
    <cellStyle name="20% - Accent6 4 2 3 3 6 3" xfId="18531"/>
    <cellStyle name="20% - Accent6 4 2 3 3 7" xfId="18532"/>
    <cellStyle name="20% - Accent6 4 2 3 3 7 2" xfId="18533"/>
    <cellStyle name="20% - Accent6 4 2 3 3 8" xfId="18534"/>
    <cellStyle name="20% - Accent6 4 2 3 3 9" xfId="18535"/>
    <cellStyle name="20% - Accent6 4 2 3 4" xfId="18536"/>
    <cellStyle name="20% - Accent6 4 2 3 4 2" xfId="18537"/>
    <cellStyle name="20% - Accent6 4 2 3 4 2 2" xfId="18538"/>
    <cellStyle name="20% - Accent6 4 2 3 4 2 2 2" xfId="18539"/>
    <cellStyle name="20% - Accent6 4 2 3 4 2 2 3" xfId="18540"/>
    <cellStyle name="20% - Accent6 4 2 3 4 2 3" xfId="18541"/>
    <cellStyle name="20% - Accent6 4 2 3 4 2 3 2" xfId="18542"/>
    <cellStyle name="20% - Accent6 4 2 3 4 2 3 3" xfId="18543"/>
    <cellStyle name="20% - Accent6 4 2 3 4 2 4" xfId="18544"/>
    <cellStyle name="20% - Accent6 4 2 3 4 2 4 2" xfId="18545"/>
    <cellStyle name="20% - Accent6 4 2 3 4 2 5" xfId="18546"/>
    <cellStyle name="20% - Accent6 4 2 3 4 2 6" xfId="18547"/>
    <cellStyle name="20% - Accent6 4 2 3 4 3" xfId="18548"/>
    <cellStyle name="20% - Accent6 4 2 3 4 3 2" xfId="18549"/>
    <cellStyle name="20% - Accent6 4 2 3 4 3 2 2" xfId="18550"/>
    <cellStyle name="20% - Accent6 4 2 3 4 3 2 3" xfId="18551"/>
    <cellStyle name="20% - Accent6 4 2 3 4 3 3" xfId="18552"/>
    <cellStyle name="20% - Accent6 4 2 3 4 3 3 2" xfId="18553"/>
    <cellStyle name="20% - Accent6 4 2 3 4 3 3 3" xfId="18554"/>
    <cellStyle name="20% - Accent6 4 2 3 4 3 4" xfId="18555"/>
    <cellStyle name="20% - Accent6 4 2 3 4 3 4 2" xfId="18556"/>
    <cellStyle name="20% - Accent6 4 2 3 4 3 5" xfId="18557"/>
    <cellStyle name="20% - Accent6 4 2 3 4 3 6" xfId="18558"/>
    <cellStyle name="20% - Accent6 4 2 3 4 4" xfId="18559"/>
    <cellStyle name="20% - Accent6 4 2 3 4 4 2" xfId="18560"/>
    <cellStyle name="20% - Accent6 4 2 3 4 4 2 2" xfId="18561"/>
    <cellStyle name="20% - Accent6 4 2 3 4 4 2 3" xfId="18562"/>
    <cellStyle name="20% - Accent6 4 2 3 4 4 3" xfId="18563"/>
    <cellStyle name="20% - Accent6 4 2 3 4 4 3 2" xfId="18564"/>
    <cellStyle name="20% - Accent6 4 2 3 4 4 4" xfId="18565"/>
    <cellStyle name="20% - Accent6 4 2 3 4 4 5" xfId="18566"/>
    <cellStyle name="20% - Accent6 4 2 3 4 5" xfId="18567"/>
    <cellStyle name="20% - Accent6 4 2 3 4 5 2" xfId="18568"/>
    <cellStyle name="20% - Accent6 4 2 3 4 5 3" xfId="18569"/>
    <cellStyle name="20% - Accent6 4 2 3 4 6" xfId="18570"/>
    <cellStyle name="20% - Accent6 4 2 3 4 6 2" xfId="18571"/>
    <cellStyle name="20% - Accent6 4 2 3 4 6 3" xfId="18572"/>
    <cellStyle name="20% - Accent6 4 2 3 4 7" xfId="18573"/>
    <cellStyle name="20% - Accent6 4 2 3 4 7 2" xfId="18574"/>
    <cellStyle name="20% - Accent6 4 2 3 4 8" xfId="18575"/>
    <cellStyle name="20% - Accent6 4 2 3 4 9" xfId="18576"/>
    <cellStyle name="20% - Accent6 4 2 3 5" xfId="18577"/>
    <cellStyle name="20% - Accent6 4 2 3 5 2" xfId="18578"/>
    <cellStyle name="20% - Accent6 4 2 3 5 2 2" xfId="18579"/>
    <cellStyle name="20% - Accent6 4 2 3 5 2 3" xfId="18580"/>
    <cellStyle name="20% - Accent6 4 2 3 5 3" xfId="18581"/>
    <cellStyle name="20% - Accent6 4 2 3 5 3 2" xfId="18582"/>
    <cellStyle name="20% - Accent6 4 2 3 5 3 3" xfId="18583"/>
    <cellStyle name="20% - Accent6 4 2 3 5 4" xfId="18584"/>
    <cellStyle name="20% - Accent6 4 2 3 5 4 2" xfId="18585"/>
    <cellStyle name="20% - Accent6 4 2 3 5 5" xfId="18586"/>
    <cellStyle name="20% - Accent6 4 2 3 5 6" xfId="18587"/>
    <cellStyle name="20% - Accent6 4 2 3 6" xfId="18588"/>
    <cellStyle name="20% - Accent6 4 2 3 6 2" xfId="18589"/>
    <cellStyle name="20% - Accent6 4 2 3 6 2 2" xfId="18590"/>
    <cellStyle name="20% - Accent6 4 2 3 6 2 3" xfId="18591"/>
    <cellStyle name="20% - Accent6 4 2 3 6 3" xfId="18592"/>
    <cellStyle name="20% - Accent6 4 2 3 6 3 2" xfId="18593"/>
    <cellStyle name="20% - Accent6 4 2 3 6 3 3" xfId="18594"/>
    <cellStyle name="20% - Accent6 4 2 3 6 4" xfId="18595"/>
    <cellStyle name="20% - Accent6 4 2 3 6 4 2" xfId="18596"/>
    <cellStyle name="20% - Accent6 4 2 3 6 5" xfId="18597"/>
    <cellStyle name="20% - Accent6 4 2 3 6 6" xfId="18598"/>
    <cellStyle name="20% - Accent6 4 2 3 7" xfId="18599"/>
    <cellStyle name="20% - Accent6 4 2 3 7 2" xfId="18600"/>
    <cellStyle name="20% - Accent6 4 2 3 7 2 2" xfId="18601"/>
    <cellStyle name="20% - Accent6 4 2 3 7 2 3" xfId="18602"/>
    <cellStyle name="20% - Accent6 4 2 3 7 3" xfId="18603"/>
    <cellStyle name="20% - Accent6 4 2 3 7 3 2" xfId="18604"/>
    <cellStyle name="20% - Accent6 4 2 3 7 4" xfId="18605"/>
    <cellStyle name="20% - Accent6 4 2 3 7 5" xfId="18606"/>
    <cellStyle name="20% - Accent6 4 2 3 8" xfId="18607"/>
    <cellStyle name="20% - Accent6 4 2 3 8 2" xfId="18608"/>
    <cellStyle name="20% - Accent6 4 2 3 8 3" xfId="18609"/>
    <cellStyle name="20% - Accent6 4 2 3 9" xfId="18610"/>
    <cellStyle name="20% - Accent6 4 2 3 9 2" xfId="18611"/>
    <cellStyle name="20% - Accent6 4 2 3 9 3" xfId="18612"/>
    <cellStyle name="20% - Accent6 4 2 4" xfId="1359"/>
    <cellStyle name="20% - Accent6 4 2 4 10" xfId="18613"/>
    <cellStyle name="20% - Accent6 4 2 4 2" xfId="1360"/>
    <cellStyle name="20% - Accent6 4 2 4 2 2" xfId="18614"/>
    <cellStyle name="20% - Accent6 4 2 4 2 2 2" xfId="18615"/>
    <cellStyle name="20% - Accent6 4 2 4 2 2 2 2" xfId="18616"/>
    <cellStyle name="20% - Accent6 4 2 4 2 2 2 3" xfId="18617"/>
    <cellStyle name="20% - Accent6 4 2 4 2 2 3" xfId="18618"/>
    <cellStyle name="20% - Accent6 4 2 4 2 2 3 2" xfId="18619"/>
    <cellStyle name="20% - Accent6 4 2 4 2 2 3 3" xfId="18620"/>
    <cellStyle name="20% - Accent6 4 2 4 2 2 4" xfId="18621"/>
    <cellStyle name="20% - Accent6 4 2 4 2 2 4 2" xfId="18622"/>
    <cellStyle name="20% - Accent6 4 2 4 2 2 5" xfId="18623"/>
    <cellStyle name="20% - Accent6 4 2 4 2 2 6" xfId="18624"/>
    <cellStyle name="20% - Accent6 4 2 4 2 3" xfId="18625"/>
    <cellStyle name="20% - Accent6 4 2 4 2 3 2" xfId="18626"/>
    <cellStyle name="20% - Accent6 4 2 4 2 3 2 2" xfId="18627"/>
    <cellStyle name="20% - Accent6 4 2 4 2 3 2 3" xfId="18628"/>
    <cellStyle name="20% - Accent6 4 2 4 2 3 3" xfId="18629"/>
    <cellStyle name="20% - Accent6 4 2 4 2 3 3 2" xfId="18630"/>
    <cellStyle name="20% - Accent6 4 2 4 2 3 3 3" xfId="18631"/>
    <cellStyle name="20% - Accent6 4 2 4 2 3 4" xfId="18632"/>
    <cellStyle name="20% - Accent6 4 2 4 2 3 4 2" xfId="18633"/>
    <cellStyle name="20% - Accent6 4 2 4 2 3 5" xfId="18634"/>
    <cellStyle name="20% - Accent6 4 2 4 2 3 6" xfId="18635"/>
    <cellStyle name="20% - Accent6 4 2 4 2 4" xfId="18636"/>
    <cellStyle name="20% - Accent6 4 2 4 2 4 2" xfId="18637"/>
    <cellStyle name="20% - Accent6 4 2 4 2 4 2 2" xfId="18638"/>
    <cellStyle name="20% - Accent6 4 2 4 2 4 2 3" xfId="18639"/>
    <cellStyle name="20% - Accent6 4 2 4 2 4 3" xfId="18640"/>
    <cellStyle name="20% - Accent6 4 2 4 2 4 3 2" xfId="18641"/>
    <cellStyle name="20% - Accent6 4 2 4 2 4 4" xfId="18642"/>
    <cellStyle name="20% - Accent6 4 2 4 2 4 5" xfId="18643"/>
    <cellStyle name="20% - Accent6 4 2 4 2 5" xfId="18644"/>
    <cellStyle name="20% - Accent6 4 2 4 2 5 2" xfId="18645"/>
    <cellStyle name="20% - Accent6 4 2 4 2 5 3" xfId="18646"/>
    <cellStyle name="20% - Accent6 4 2 4 2 6" xfId="18647"/>
    <cellStyle name="20% - Accent6 4 2 4 2 6 2" xfId="18648"/>
    <cellStyle name="20% - Accent6 4 2 4 2 6 3" xfId="18649"/>
    <cellStyle name="20% - Accent6 4 2 4 2 7" xfId="18650"/>
    <cellStyle name="20% - Accent6 4 2 4 2 7 2" xfId="18651"/>
    <cellStyle name="20% - Accent6 4 2 4 2 8" xfId="18652"/>
    <cellStyle name="20% - Accent6 4 2 4 2 9" xfId="18653"/>
    <cellStyle name="20% - Accent6 4 2 4 3" xfId="18654"/>
    <cellStyle name="20% - Accent6 4 2 4 3 2" xfId="18655"/>
    <cellStyle name="20% - Accent6 4 2 4 3 2 2" xfId="18656"/>
    <cellStyle name="20% - Accent6 4 2 4 3 2 3" xfId="18657"/>
    <cellStyle name="20% - Accent6 4 2 4 3 3" xfId="18658"/>
    <cellStyle name="20% - Accent6 4 2 4 3 3 2" xfId="18659"/>
    <cellStyle name="20% - Accent6 4 2 4 3 3 3" xfId="18660"/>
    <cellStyle name="20% - Accent6 4 2 4 3 4" xfId="18661"/>
    <cellStyle name="20% - Accent6 4 2 4 3 4 2" xfId="18662"/>
    <cellStyle name="20% - Accent6 4 2 4 3 5" xfId="18663"/>
    <cellStyle name="20% - Accent6 4 2 4 3 6" xfId="18664"/>
    <cellStyle name="20% - Accent6 4 2 4 4" xfId="18665"/>
    <cellStyle name="20% - Accent6 4 2 4 4 2" xfId="18666"/>
    <cellStyle name="20% - Accent6 4 2 4 4 2 2" xfId="18667"/>
    <cellStyle name="20% - Accent6 4 2 4 4 2 3" xfId="18668"/>
    <cellStyle name="20% - Accent6 4 2 4 4 3" xfId="18669"/>
    <cellStyle name="20% - Accent6 4 2 4 4 3 2" xfId="18670"/>
    <cellStyle name="20% - Accent6 4 2 4 4 3 3" xfId="18671"/>
    <cellStyle name="20% - Accent6 4 2 4 4 4" xfId="18672"/>
    <cellStyle name="20% - Accent6 4 2 4 4 4 2" xfId="18673"/>
    <cellStyle name="20% - Accent6 4 2 4 4 5" xfId="18674"/>
    <cellStyle name="20% - Accent6 4 2 4 4 6" xfId="18675"/>
    <cellStyle name="20% - Accent6 4 2 4 5" xfId="18676"/>
    <cellStyle name="20% - Accent6 4 2 4 5 2" xfId="18677"/>
    <cellStyle name="20% - Accent6 4 2 4 5 2 2" xfId="18678"/>
    <cellStyle name="20% - Accent6 4 2 4 5 2 3" xfId="18679"/>
    <cellStyle name="20% - Accent6 4 2 4 5 3" xfId="18680"/>
    <cellStyle name="20% - Accent6 4 2 4 5 3 2" xfId="18681"/>
    <cellStyle name="20% - Accent6 4 2 4 5 4" xfId="18682"/>
    <cellStyle name="20% - Accent6 4 2 4 5 5" xfId="18683"/>
    <cellStyle name="20% - Accent6 4 2 4 6" xfId="18684"/>
    <cellStyle name="20% - Accent6 4 2 4 6 2" xfId="18685"/>
    <cellStyle name="20% - Accent6 4 2 4 6 3" xfId="18686"/>
    <cellStyle name="20% - Accent6 4 2 4 7" xfId="18687"/>
    <cellStyle name="20% - Accent6 4 2 4 7 2" xfId="18688"/>
    <cellStyle name="20% - Accent6 4 2 4 7 3" xfId="18689"/>
    <cellStyle name="20% - Accent6 4 2 4 8" xfId="18690"/>
    <cellStyle name="20% - Accent6 4 2 4 8 2" xfId="18691"/>
    <cellStyle name="20% - Accent6 4 2 4 9" xfId="18692"/>
    <cellStyle name="20% - Accent6 4 2 5" xfId="1361"/>
    <cellStyle name="20% - Accent6 4 2 5 2" xfId="18693"/>
    <cellStyle name="20% - Accent6 4 2 5 2 2" xfId="18694"/>
    <cellStyle name="20% - Accent6 4 2 5 2 2 2" xfId="18695"/>
    <cellStyle name="20% - Accent6 4 2 5 2 2 3" xfId="18696"/>
    <cellStyle name="20% - Accent6 4 2 5 2 3" xfId="18697"/>
    <cellStyle name="20% - Accent6 4 2 5 2 3 2" xfId="18698"/>
    <cellStyle name="20% - Accent6 4 2 5 2 3 3" xfId="18699"/>
    <cellStyle name="20% - Accent6 4 2 5 2 4" xfId="18700"/>
    <cellStyle name="20% - Accent6 4 2 5 2 4 2" xfId="18701"/>
    <cellStyle name="20% - Accent6 4 2 5 2 5" xfId="18702"/>
    <cellStyle name="20% - Accent6 4 2 5 2 6" xfId="18703"/>
    <cellStyle name="20% - Accent6 4 2 5 3" xfId="18704"/>
    <cellStyle name="20% - Accent6 4 2 5 3 2" xfId="18705"/>
    <cellStyle name="20% - Accent6 4 2 5 3 2 2" xfId="18706"/>
    <cellStyle name="20% - Accent6 4 2 5 3 2 3" xfId="18707"/>
    <cellStyle name="20% - Accent6 4 2 5 3 3" xfId="18708"/>
    <cellStyle name="20% - Accent6 4 2 5 3 3 2" xfId="18709"/>
    <cellStyle name="20% - Accent6 4 2 5 3 3 3" xfId="18710"/>
    <cellStyle name="20% - Accent6 4 2 5 3 4" xfId="18711"/>
    <cellStyle name="20% - Accent6 4 2 5 3 4 2" xfId="18712"/>
    <cellStyle name="20% - Accent6 4 2 5 3 5" xfId="18713"/>
    <cellStyle name="20% - Accent6 4 2 5 3 6" xfId="18714"/>
    <cellStyle name="20% - Accent6 4 2 5 4" xfId="18715"/>
    <cellStyle name="20% - Accent6 4 2 5 4 2" xfId="18716"/>
    <cellStyle name="20% - Accent6 4 2 5 4 2 2" xfId="18717"/>
    <cellStyle name="20% - Accent6 4 2 5 4 2 3" xfId="18718"/>
    <cellStyle name="20% - Accent6 4 2 5 4 3" xfId="18719"/>
    <cellStyle name="20% - Accent6 4 2 5 4 3 2" xfId="18720"/>
    <cellStyle name="20% - Accent6 4 2 5 4 4" xfId="18721"/>
    <cellStyle name="20% - Accent6 4 2 5 4 5" xfId="18722"/>
    <cellStyle name="20% - Accent6 4 2 5 5" xfId="18723"/>
    <cellStyle name="20% - Accent6 4 2 5 5 2" xfId="18724"/>
    <cellStyle name="20% - Accent6 4 2 5 5 3" xfId="18725"/>
    <cellStyle name="20% - Accent6 4 2 5 6" xfId="18726"/>
    <cellStyle name="20% - Accent6 4 2 5 6 2" xfId="18727"/>
    <cellStyle name="20% - Accent6 4 2 5 6 3" xfId="18728"/>
    <cellStyle name="20% - Accent6 4 2 5 7" xfId="18729"/>
    <cellStyle name="20% - Accent6 4 2 5 7 2" xfId="18730"/>
    <cellStyle name="20% - Accent6 4 2 5 8" xfId="18731"/>
    <cellStyle name="20% - Accent6 4 2 5 9" xfId="18732"/>
    <cellStyle name="20% - Accent6 4 2 6" xfId="18733"/>
    <cellStyle name="20% - Accent6 4 2 6 2" xfId="18734"/>
    <cellStyle name="20% - Accent6 4 2 6 2 2" xfId="18735"/>
    <cellStyle name="20% - Accent6 4 2 6 2 2 2" xfId="18736"/>
    <cellStyle name="20% - Accent6 4 2 6 2 2 3" xfId="18737"/>
    <cellStyle name="20% - Accent6 4 2 6 2 3" xfId="18738"/>
    <cellStyle name="20% - Accent6 4 2 6 2 3 2" xfId="18739"/>
    <cellStyle name="20% - Accent6 4 2 6 2 3 3" xfId="18740"/>
    <cellStyle name="20% - Accent6 4 2 6 2 4" xfId="18741"/>
    <cellStyle name="20% - Accent6 4 2 6 2 4 2" xfId="18742"/>
    <cellStyle name="20% - Accent6 4 2 6 2 5" xfId="18743"/>
    <cellStyle name="20% - Accent6 4 2 6 2 6" xfId="18744"/>
    <cellStyle name="20% - Accent6 4 2 6 3" xfId="18745"/>
    <cellStyle name="20% - Accent6 4 2 6 3 2" xfId="18746"/>
    <cellStyle name="20% - Accent6 4 2 6 3 2 2" xfId="18747"/>
    <cellStyle name="20% - Accent6 4 2 6 3 2 3" xfId="18748"/>
    <cellStyle name="20% - Accent6 4 2 6 3 3" xfId="18749"/>
    <cellStyle name="20% - Accent6 4 2 6 3 3 2" xfId="18750"/>
    <cellStyle name="20% - Accent6 4 2 6 3 3 3" xfId="18751"/>
    <cellStyle name="20% - Accent6 4 2 6 3 4" xfId="18752"/>
    <cellStyle name="20% - Accent6 4 2 6 3 4 2" xfId="18753"/>
    <cellStyle name="20% - Accent6 4 2 6 3 5" xfId="18754"/>
    <cellStyle name="20% - Accent6 4 2 6 3 6" xfId="18755"/>
    <cellStyle name="20% - Accent6 4 2 6 4" xfId="18756"/>
    <cellStyle name="20% - Accent6 4 2 6 4 2" xfId="18757"/>
    <cellStyle name="20% - Accent6 4 2 6 4 2 2" xfId="18758"/>
    <cellStyle name="20% - Accent6 4 2 6 4 2 3" xfId="18759"/>
    <cellStyle name="20% - Accent6 4 2 6 4 3" xfId="18760"/>
    <cellStyle name="20% - Accent6 4 2 6 4 3 2" xfId="18761"/>
    <cellStyle name="20% - Accent6 4 2 6 4 4" xfId="18762"/>
    <cellStyle name="20% - Accent6 4 2 6 4 5" xfId="18763"/>
    <cellStyle name="20% - Accent6 4 2 6 5" xfId="18764"/>
    <cellStyle name="20% - Accent6 4 2 6 5 2" xfId="18765"/>
    <cellStyle name="20% - Accent6 4 2 6 5 3" xfId="18766"/>
    <cellStyle name="20% - Accent6 4 2 6 6" xfId="18767"/>
    <cellStyle name="20% - Accent6 4 2 6 6 2" xfId="18768"/>
    <cellStyle name="20% - Accent6 4 2 6 6 3" xfId="18769"/>
    <cellStyle name="20% - Accent6 4 2 6 7" xfId="18770"/>
    <cellStyle name="20% - Accent6 4 2 6 7 2" xfId="18771"/>
    <cellStyle name="20% - Accent6 4 2 6 8" xfId="18772"/>
    <cellStyle name="20% - Accent6 4 2 6 9" xfId="18773"/>
    <cellStyle name="20% - Accent6 4 2 7" xfId="18774"/>
    <cellStyle name="20% - Accent6 4 2 7 2" xfId="18775"/>
    <cellStyle name="20% - Accent6 4 2 7 2 2" xfId="18776"/>
    <cellStyle name="20% - Accent6 4 2 7 2 3" xfId="18777"/>
    <cellStyle name="20% - Accent6 4 2 7 3" xfId="18778"/>
    <cellStyle name="20% - Accent6 4 2 7 3 2" xfId="18779"/>
    <cellStyle name="20% - Accent6 4 2 7 3 3" xfId="18780"/>
    <cellStyle name="20% - Accent6 4 2 7 4" xfId="18781"/>
    <cellStyle name="20% - Accent6 4 2 7 4 2" xfId="18782"/>
    <cellStyle name="20% - Accent6 4 2 7 5" xfId="18783"/>
    <cellStyle name="20% - Accent6 4 2 7 6" xfId="18784"/>
    <cellStyle name="20% - Accent6 4 2 8" xfId="18785"/>
    <cellStyle name="20% - Accent6 4 2 8 2" xfId="18786"/>
    <cellStyle name="20% - Accent6 4 2 8 2 2" xfId="18787"/>
    <cellStyle name="20% - Accent6 4 2 8 2 3" xfId="18788"/>
    <cellStyle name="20% - Accent6 4 2 8 3" xfId="18789"/>
    <cellStyle name="20% - Accent6 4 2 8 3 2" xfId="18790"/>
    <cellStyle name="20% - Accent6 4 2 8 3 3" xfId="18791"/>
    <cellStyle name="20% - Accent6 4 2 8 4" xfId="18792"/>
    <cellStyle name="20% - Accent6 4 2 8 4 2" xfId="18793"/>
    <cellStyle name="20% - Accent6 4 2 8 5" xfId="18794"/>
    <cellStyle name="20% - Accent6 4 2 8 6" xfId="18795"/>
    <cellStyle name="20% - Accent6 4 2 9" xfId="18796"/>
    <cellStyle name="20% - Accent6 4 2 9 2" xfId="18797"/>
    <cellStyle name="20% - Accent6 4 2 9 2 2" xfId="18798"/>
    <cellStyle name="20% - Accent6 4 2 9 2 3" xfId="18799"/>
    <cellStyle name="20% - Accent6 4 2 9 3" xfId="18800"/>
    <cellStyle name="20% - Accent6 4 2 9 3 2" xfId="18801"/>
    <cellStyle name="20% - Accent6 4 2 9 4" xfId="18802"/>
    <cellStyle name="20% - Accent6 4 2 9 5" xfId="18803"/>
    <cellStyle name="20% - Accent6 4 3" xfId="1362"/>
    <cellStyle name="20% - Accent6 4 3 10" xfId="18804"/>
    <cellStyle name="20% - Accent6 4 3 10 2" xfId="18805"/>
    <cellStyle name="20% - Accent6 4 3 10 3" xfId="18806"/>
    <cellStyle name="20% - Accent6 4 3 11" xfId="18807"/>
    <cellStyle name="20% - Accent6 4 3 11 2" xfId="18808"/>
    <cellStyle name="20% - Accent6 4 3 12" xfId="18809"/>
    <cellStyle name="20% - Accent6 4 3 13" xfId="18810"/>
    <cellStyle name="20% - Accent6 4 3 14" xfId="18811"/>
    <cellStyle name="20% - Accent6 4 3 2" xfId="1363"/>
    <cellStyle name="20% - Accent6 4 3 2 10" xfId="18812"/>
    <cellStyle name="20% - Accent6 4 3 2 10 2" xfId="18813"/>
    <cellStyle name="20% - Accent6 4 3 2 11" xfId="18814"/>
    <cellStyle name="20% - Accent6 4 3 2 12" xfId="18815"/>
    <cellStyle name="20% - Accent6 4 3 2 2" xfId="1364"/>
    <cellStyle name="20% - Accent6 4 3 2 2 10" xfId="18816"/>
    <cellStyle name="20% - Accent6 4 3 2 2 2" xfId="1365"/>
    <cellStyle name="20% - Accent6 4 3 2 2 2 2" xfId="18817"/>
    <cellStyle name="20% - Accent6 4 3 2 2 2 2 2" xfId="18818"/>
    <cellStyle name="20% - Accent6 4 3 2 2 2 2 2 2" xfId="18819"/>
    <cellStyle name="20% - Accent6 4 3 2 2 2 2 2 3" xfId="18820"/>
    <cellStyle name="20% - Accent6 4 3 2 2 2 2 3" xfId="18821"/>
    <cellStyle name="20% - Accent6 4 3 2 2 2 2 3 2" xfId="18822"/>
    <cellStyle name="20% - Accent6 4 3 2 2 2 2 3 3" xfId="18823"/>
    <cellStyle name="20% - Accent6 4 3 2 2 2 2 4" xfId="18824"/>
    <cellStyle name="20% - Accent6 4 3 2 2 2 2 4 2" xfId="18825"/>
    <cellStyle name="20% - Accent6 4 3 2 2 2 2 5" xfId="18826"/>
    <cellStyle name="20% - Accent6 4 3 2 2 2 2 6" xfId="18827"/>
    <cellStyle name="20% - Accent6 4 3 2 2 2 3" xfId="18828"/>
    <cellStyle name="20% - Accent6 4 3 2 2 2 3 2" xfId="18829"/>
    <cellStyle name="20% - Accent6 4 3 2 2 2 3 2 2" xfId="18830"/>
    <cellStyle name="20% - Accent6 4 3 2 2 2 3 2 3" xfId="18831"/>
    <cellStyle name="20% - Accent6 4 3 2 2 2 3 3" xfId="18832"/>
    <cellStyle name="20% - Accent6 4 3 2 2 2 3 3 2" xfId="18833"/>
    <cellStyle name="20% - Accent6 4 3 2 2 2 3 3 3" xfId="18834"/>
    <cellStyle name="20% - Accent6 4 3 2 2 2 3 4" xfId="18835"/>
    <cellStyle name="20% - Accent6 4 3 2 2 2 3 4 2" xfId="18836"/>
    <cellStyle name="20% - Accent6 4 3 2 2 2 3 5" xfId="18837"/>
    <cellStyle name="20% - Accent6 4 3 2 2 2 3 6" xfId="18838"/>
    <cellStyle name="20% - Accent6 4 3 2 2 2 4" xfId="18839"/>
    <cellStyle name="20% - Accent6 4 3 2 2 2 4 2" xfId="18840"/>
    <cellStyle name="20% - Accent6 4 3 2 2 2 4 2 2" xfId="18841"/>
    <cellStyle name="20% - Accent6 4 3 2 2 2 4 2 3" xfId="18842"/>
    <cellStyle name="20% - Accent6 4 3 2 2 2 4 3" xfId="18843"/>
    <cellStyle name="20% - Accent6 4 3 2 2 2 4 3 2" xfId="18844"/>
    <cellStyle name="20% - Accent6 4 3 2 2 2 4 4" xfId="18845"/>
    <cellStyle name="20% - Accent6 4 3 2 2 2 4 5" xfId="18846"/>
    <cellStyle name="20% - Accent6 4 3 2 2 2 5" xfId="18847"/>
    <cellStyle name="20% - Accent6 4 3 2 2 2 5 2" xfId="18848"/>
    <cellStyle name="20% - Accent6 4 3 2 2 2 5 3" xfId="18849"/>
    <cellStyle name="20% - Accent6 4 3 2 2 2 6" xfId="18850"/>
    <cellStyle name="20% - Accent6 4 3 2 2 2 6 2" xfId="18851"/>
    <cellStyle name="20% - Accent6 4 3 2 2 2 6 3" xfId="18852"/>
    <cellStyle name="20% - Accent6 4 3 2 2 2 7" xfId="18853"/>
    <cellStyle name="20% - Accent6 4 3 2 2 2 7 2" xfId="18854"/>
    <cellStyle name="20% - Accent6 4 3 2 2 2 8" xfId="18855"/>
    <cellStyle name="20% - Accent6 4 3 2 2 2 9" xfId="18856"/>
    <cellStyle name="20% - Accent6 4 3 2 2 3" xfId="18857"/>
    <cellStyle name="20% - Accent6 4 3 2 2 3 2" xfId="18858"/>
    <cellStyle name="20% - Accent6 4 3 2 2 3 2 2" xfId="18859"/>
    <cellStyle name="20% - Accent6 4 3 2 2 3 2 3" xfId="18860"/>
    <cellStyle name="20% - Accent6 4 3 2 2 3 3" xfId="18861"/>
    <cellStyle name="20% - Accent6 4 3 2 2 3 3 2" xfId="18862"/>
    <cellStyle name="20% - Accent6 4 3 2 2 3 3 3" xfId="18863"/>
    <cellStyle name="20% - Accent6 4 3 2 2 3 4" xfId="18864"/>
    <cellStyle name="20% - Accent6 4 3 2 2 3 4 2" xfId="18865"/>
    <cellStyle name="20% - Accent6 4 3 2 2 3 5" xfId="18866"/>
    <cellStyle name="20% - Accent6 4 3 2 2 3 6" xfId="18867"/>
    <cellStyle name="20% - Accent6 4 3 2 2 4" xfId="18868"/>
    <cellStyle name="20% - Accent6 4 3 2 2 4 2" xfId="18869"/>
    <cellStyle name="20% - Accent6 4 3 2 2 4 2 2" xfId="18870"/>
    <cellStyle name="20% - Accent6 4 3 2 2 4 2 3" xfId="18871"/>
    <cellStyle name="20% - Accent6 4 3 2 2 4 3" xfId="18872"/>
    <cellStyle name="20% - Accent6 4 3 2 2 4 3 2" xfId="18873"/>
    <cellStyle name="20% - Accent6 4 3 2 2 4 3 3" xfId="18874"/>
    <cellStyle name="20% - Accent6 4 3 2 2 4 4" xfId="18875"/>
    <cellStyle name="20% - Accent6 4 3 2 2 4 4 2" xfId="18876"/>
    <cellStyle name="20% - Accent6 4 3 2 2 4 5" xfId="18877"/>
    <cellStyle name="20% - Accent6 4 3 2 2 4 6" xfId="18878"/>
    <cellStyle name="20% - Accent6 4 3 2 2 5" xfId="18879"/>
    <cellStyle name="20% - Accent6 4 3 2 2 5 2" xfId="18880"/>
    <cellStyle name="20% - Accent6 4 3 2 2 5 2 2" xfId="18881"/>
    <cellStyle name="20% - Accent6 4 3 2 2 5 2 3" xfId="18882"/>
    <cellStyle name="20% - Accent6 4 3 2 2 5 3" xfId="18883"/>
    <cellStyle name="20% - Accent6 4 3 2 2 5 3 2" xfId="18884"/>
    <cellStyle name="20% - Accent6 4 3 2 2 5 4" xfId="18885"/>
    <cellStyle name="20% - Accent6 4 3 2 2 5 5" xfId="18886"/>
    <cellStyle name="20% - Accent6 4 3 2 2 6" xfId="18887"/>
    <cellStyle name="20% - Accent6 4 3 2 2 6 2" xfId="18888"/>
    <cellStyle name="20% - Accent6 4 3 2 2 6 3" xfId="18889"/>
    <cellStyle name="20% - Accent6 4 3 2 2 7" xfId="18890"/>
    <cellStyle name="20% - Accent6 4 3 2 2 7 2" xfId="18891"/>
    <cellStyle name="20% - Accent6 4 3 2 2 7 3" xfId="18892"/>
    <cellStyle name="20% - Accent6 4 3 2 2 8" xfId="18893"/>
    <cellStyle name="20% - Accent6 4 3 2 2 8 2" xfId="18894"/>
    <cellStyle name="20% - Accent6 4 3 2 2 9" xfId="18895"/>
    <cellStyle name="20% - Accent6 4 3 2 3" xfId="1366"/>
    <cellStyle name="20% - Accent6 4 3 2 3 2" xfId="18896"/>
    <cellStyle name="20% - Accent6 4 3 2 3 2 2" xfId="18897"/>
    <cellStyle name="20% - Accent6 4 3 2 3 2 2 2" xfId="18898"/>
    <cellStyle name="20% - Accent6 4 3 2 3 2 2 3" xfId="18899"/>
    <cellStyle name="20% - Accent6 4 3 2 3 2 3" xfId="18900"/>
    <cellStyle name="20% - Accent6 4 3 2 3 2 3 2" xfId="18901"/>
    <cellStyle name="20% - Accent6 4 3 2 3 2 3 3" xfId="18902"/>
    <cellStyle name="20% - Accent6 4 3 2 3 2 4" xfId="18903"/>
    <cellStyle name="20% - Accent6 4 3 2 3 2 4 2" xfId="18904"/>
    <cellStyle name="20% - Accent6 4 3 2 3 2 5" xfId="18905"/>
    <cellStyle name="20% - Accent6 4 3 2 3 2 6" xfId="18906"/>
    <cellStyle name="20% - Accent6 4 3 2 3 3" xfId="18907"/>
    <cellStyle name="20% - Accent6 4 3 2 3 3 2" xfId="18908"/>
    <cellStyle name="20% - Accent6 4 3 2 3 3 2 2" xfId="18909"/>
    <cellStyle name="20% - Accent6 4 3 2 3 3 2 3" xfId="18910"/>
    <cellStyle name="20% - Accent6 4 3 2 3 3 3" xfId="18911"/>
    <cellStyle name="20% - Accent6 4 3 2 3 3 3 2" xfId="18912"/>
    <cellStyle name="20% - Accent6 4 3 2 3 3 3 3" xfId="18913"/>
    <cellStyle name="20% - Accent6 4 3 2 3 3 4" xfId="18914"/>
    <cellStyle name="20% - Accent6 4 3 2 3 3 4 2" xfId="18915"/>
    <cellStyle name="20% - Accent6 4 3 2 3 3 5" xfId="18916"/>
    <cellStyle name="20% - Accent6 4 3 2 3 3 6" xfId="18917"/>
    <cellStyle name="20% - Accent6 4 3 2 3 4" xfId="18918"/>
    <cellStyle name="20% - Accent6 4 3 2 3 4 2" xfId="18919"/>
    <cellStyle name="20% - Accent6 4 3 2 3 4 2 2" xfId="18920"/>
    <cellStyle name="20% - Accent6 4 3 2 3 4 2 3" xfId="18921"/>
    <cellStyle name="20% - Accent6 4 3 2 3 4 3" xfId="18922"/>
    <cellStyle name="20% - Accent6 4 3 2 3 4 3 2" xfId="18923"/>
    <cellStyle name="20% - Accent6 4 3 2 3 4 4" xfId="18924"/>
    <cellStyle name="20% - Accent6 4 3 2 3 4 5" xfId="18925"/>
    <cellStyle name="20% - Accent6 4 3 2 3 5" xfId="18926"/>
    <cellStyle name="20% - Accent6 4 3 2 3 5 2" xfId="18927"/>
    <cellStyle name="20% - Accent6 4 3 2 3 5 3" xfId="18928"/>
    <cellStyle name="20% - Accent6 4 3 2 3 6" xfId="18929"/>
    <cellStyle name="20% - Accent6 4 3 2 3 6 2" xfId="18930"/>
    <cellStyle name="20% - Accent6 4 3 2 3 6 3" xfId="18931"/>
    <cellStyle name="20% - Accent6 4 3 2 3 7" xfId="18932"/>
    <cellStyle name="20% - Accent6 4 3 2 3 7 2" xfId="18933"/>
    <cellStyle name="20% - Accent6 4 3 2 3 8" xfId="18934"/>
    <cellStyle name="20% - Accent6 4 3 2 3 9" xfId="18935"/>
    <cellStyle name="20% - Accent6 4 3 2 4" xfId="18936"/>
    <cellStyle name="20% - Accent6 4 3 2 4 2" xfId="18937"/>
    <cellStyle name="20% - Accent6 4 3 2 4 2 2" xfId="18938"/>
    <cellStyle name="20% - Accent6 4 3 2 4 2 2 2" xfId="18939"/>
    <cellStyle name="20% - Accent6 4 3 2 4 2 2 3" xfId="18940"/>
    <cellStyle name="20% - Accent6 4 3 2 4 2 3" xfId="18941"/>
    <cellStyle name="20% - Accent6 4 3 2 4 2 3 2" xfId="18942"/>
    <cellStyle name="20% - Accent6 4 3 2 4 2 3 3" xfId="18943"/>
    <cellStyle name="20% - Accent6 4 3 2 4 2 4" xfId="18944"/>
    <cellStyle name="20% - Accent6 4 3 2 4 2 4 2" xfId="18945"/>
    <cellStyle name="20% - Accent6 4 3 2 4 2 5" xfId="18946"/>
    <cellStyle name="20% - Accent6 4 3 2 4 2 6" xfId="18947"/>
    <cellStyle name="20% - Accent6 4 3 2 4 3" xfId="18948"/>
    <cellStyle name="20% - Accent6 4 3 2 4 3 2" xfId="18949"/>
    <cellStyle name="20% - Accent6 4 3 2 4 3 2 2" xfId="18950"/>
    <cellStyle name="20% - Accent6 4 3 2 4 3 2 3" xfId="18951"/>
    <cellStyle name="20% - Accent6 4 3 2 4 3 3" xfId="18952"/>
    <cellStyle name="20% - Accent6 4 3 2 4 3 3 2" xfId="18953"/>
    <cellStyle name="20% - Accent6 4 3 2 4 3 3 3" xfId="18954"/>
    <cellStyle name="20% - Accent6 4 3 2 4 3 4" xfId="18955"/>
    <cellStyle name="20% - Accent6 4 3 2 4 3 4 2" xfId="18956"/>
    <cellStyle name="20% - Accent6 4 3 2 4 3 5" xfId="18957"/>
    <cellStyle name="20% - Accent6 4 3 2 4 3 6" xfId="18958"/>
    <cellStyle name="20% - Accent6 4 3 2 4 4" xfId="18959"/>
    <cellStyle name="20% - Accent6 4 3 2 4 4 2" xfId="18960"/>
    <cellStyle name="20% - Accent6 4 3 2 4 4 2 2" xfId="18961"/>
    <cellStyle name="20% - Accent6 4 3 2 4 4 2 3" xfId="18962"/>
    <cellStyle name="20% - Accent6 4 3 2 4 4 3" xfId="18963"/>
    <cellStyle name="20% - Accent6 4 3 2 4 4 3 2" xfId="18964"/>
    <cellStyle name="20% - Accent6 4 3 2 4 4 4" xfId="18965"/>
    <cellStyle name="20% - Accent6 4 3 2 4 4 5" xfId="18966"/>
    <cellStyle name="20% - Accent6 4 3 2 4 5" xfId="18967"/>
    <cellStyle name="20% - Accent6 4 3 2 4 5 2" xfId="18968"/>
    <cellStyle name="20% - Accent6 4 3 2 4 5 3" xfId="18969"/>
    <cellStyle name="20% - Accent6 4 3 2 4 6" xfId="18970"/>
    <cellStyle name="20% - Accent6 4 3 2 4 6 2" xfId="18971"/>
    <cellStyle name="20% - Accent6 4 3 2 4 6 3" xfId="18972"/>
    <cellStyle name="20% - Accent6 4 3 2 4 7" xfId="18973"/>
    <cellStyle name="20% - Accent6 4 3 2 4 7 2" xfId="18974"/>
    <cellStyle name="20% - Accent6 4 3 2 4 8" xfId="18975"/>
    <cellStyle name="20% - Accent6 4 3 2 4 9" xfId="18976"/>
    <cellStyle name="20% - Accent6 4 3 2 5" xfId="18977"/>
    <cellStyle name="20% - Accent6 4 3 2 5 2" xfId="18978"/>
    <cellStyle name="20% - Accent6 4 3 2 5 2 2" xfId="18979"/>
    <cellStyle name="20% - Accent6 4 3 2 5 2 3" xfId="18980"/>
    <cellStyle name="20% - Accent6 4 3 2 5 3" xfId="18981"/>
    <cellStyle name="20% - Accent6 4 3 2 5 3 2" xfId="18982"/>
    <cellStyle name="20% - Accent6 4 3 2 5 3 3" xfId="18983"/>
    <cellStyle name="20% - Accent6 4 3 2 5 4" xfId="18984"/>
    <cellStyle name="20% - Accent6 4 3 2 5 4 2" xfId="18985"/>
    <cellStyle name="20% - Accent6 4 3 2 5 5" xfId="18986"/>
    <cellStyle name="20% - Accent6 4 3 2 5 6" xfId="18987"/>
    <cellStyle name="20% - Accent6 4 3 2 6" xfId="18988"/>
    <cellStyle name="20% - Accent6 4 3 2 6 2" xfId="18989"/>
    <cellStyle name="20% - Accent6 4 3 2 6 2 2" xfId="18990"/>
    <cellStyle name="20% - Accent6 4 3 2 6 2 3" xfId="18991"/>
    <cellStyle name="20% - Accent6 4 3 2 6 3" xfId="18992"/>
    <cellStyle name="20% - Accent6 4 3 2 6 3 2" xfId="18993"/>
    <cellStyle name="20% - Accent6 4 3 2 6 3 3" xfId="18994"/>
    <cellStyle name="20% - Accent6 4 3 2 6 4" xfId="18995"/>
    <cellStyle name="20% - Accent6 4 3 2 6 4 2" xfId="18996"/>
    <cellStyle name="20% - Accent6 4 3 2 6 5" xfId="18997"/>
    <cellStyle name="20% - Accent6 4 3 2 6 6" xfId="18998"/>
    <cellStyle name="20% - Accent6 4 3 2 7" xfId="18999"/>
    <cellStyle name="20% - Accent6 4 3 2 7 2" xfId="19000"/>
    <cellStyle name="20% - Accent6 4 3 2 7 2 2" xfId="19001"/>
    <cellStyle name="20% - Accent6 4 3 2 7 2 3" xfId="19002"/>
    <cellStyle name="20% - Accent6 4 3 2 7 3" xfId="19003"/>
    <cellStyle name="20% - Accent6 4 3 2 7 3 2" xfId="19004"/>
    <cellStyle name="20% - Accent6 4 3 2 7 4" xfId="19005"/>
    <cellStyle name="20% - Accent6 4 3 2 7 5" xfId="19006"/>
    <cellStyle name="20% - Accent6 4 3 2 8" xfId="19007"/>
    <cellStyle name="20% - Accent6 4 3 2 8 2" xfId="19008"/>
    <cellStyle name="20% - Accent6 4 3 2 8 3" xfId="19009"/>
    <cellStyle name="20% - Accent6 4 3 2 9" xfId="19010"/>
    <cellStyle name="20% - Accent6 4 3 2 9 2" xfId="19011"/>
    <cellStyle name="20% - Accent6 4 3 2 9 3" xfId="19012"/>
    <cellStyle name="20% - Accent6 4 3 3" xfId="1367"/>
    <cellStyle name="20% - Accent6 4 3 3 10" xfId="19013"/>
    <cellStyle name="20% - Accent6 4 3 3 2" xfId="1368"/>
    <cellStyle name="20% - Accent6 4 3 3 2 2" xfId="19014"/>
    <cellStyle name="20% - Accent6 4 3 3 2 2 2" xfId="19015"/>
    <cellStyle name="20% - Accent6 4 3 3 2 2 2 2" xfId="19016"/>
    <cellStyle name="20% - Accent6 4 3 3 2 2 2 3" xfId="19017"/>
    <cellStyle name="20% - Accent6 4 3 3 2 2 3" xfId="19018"/>
    <cellStyle name="20% - Accent6 4 3 3 2 2 3 2" xfId="19019"/>
    <cellStyle name="20% - Accent6 4 3 3 2 2 3 3" xfId="19020"/>
    <cellStyle name="20% - Accent6 4 3 3 2 2 4" xfId="19021"/>
    <cellStyle name="20% - Accent6 4 3 3 2 2 4 2" xfId="19022"/>
    <cellStyle name="20% - Accent6 4 3 3 2 2 5" xfId="19023"/>
    <cellStyle name="20% - Accent6 4 3 3 2 2 6" xfId="19024"/>
    <cellStyle name="20% - Accent6 4 3 3 2 3" xfId="19025"/>
    <cellStyle name="20% - Accent6 4 3 3 2 3 2" xfId="19026"/>
    <cellStyle name="20% - Accent6 4 3 3 2 3 2 2" xfId="19027"/>
    <cellStyle name="20% - Accent6 4 3 3 2 3 2 3" xfId="19028"/>
    <cellStyle name="20% - Accent6 4 3 3 2 3 3" xfId="19029"/>
    <cellStyle name="20% - Accent6 4 3 3 2 3 3 2" xfId="19030"/>
    <cellStyle name="20% - Accent6 4 3 3 2 3 3 3" xfId="19031"/>
    <cellStyle name="20% - Accent6 4 3 3 2 3 4" xfId="19032"/>
    <cellStyle name="20% - Accent6 4 3 3 2 3 4 2" xfId="19033"/>
    <cellStyle name="20% - Accent6 4 3 3 2 3 5" xfId="19034"/>
    <cellStyle name="20% - Accent6 4 3 3 2 3 6" xfId="19035"/>
    <cellStyle name="20% - Accent6 4 3 3 2 4" xfId="19036"/>
    <cellStyle name="20% - Accent6 4 3 3 2 4 2" xfId="19037"/>
    <cellStyle name="20% - Accent6 4 3 3 2 4 2 2" xfId="19038"/>
    <cellStyle name="20% - Accent6 4 3 3 2 4 2 3" xfId="19039"/>
    <cellStyle name="20% - Accent6 4 3 3 2 4 3" xfId="19040"/>
    <cellStyle name="20% - Accent6 4 3 3 2 4 3 2" xfId="19041"/>
    <cellStyle name="20% - Accent6 4 3 3 2 4 4" xfId="19042"/>
    <cellStyle name="20% - Accent6 4 3 3 2 4 5" xfId="19043"/>
    <cellStyle name="20% - Accent6 4 3 3 2 5" xfId="19044"/>
    <cellStyle name="20% - Accent6 4 3 3 2 5 2" xfId="19045"/>
    <cellStyle name="20% - Accent6 4 3 3 2 5 3" xfId="19046"/>
    <cellStyle name="20% - Accent6 4 3 3 2 6" xfId="19047"/>
    <cellStyle name="20% - Accent6 4 3 3 2 6 2" xfId="19048"/>
    <cellStyle name="20% - Accent6 4 3 3 2 6 3" xfId="19049"/>
    <cellStyle name="20% - Accent6 4 3 3 2 7" xfId="19050"/>
    <cellStyle name="20% - Accent6 4 3 3 2 7 2" xfId="19051"/>
    <cellStyle name="20% - Accent6 4 3 3 2 8" xfId="19052"/>
    <cellStyle name="20% - Accent6 4 3 3 2 9" xfId="19053"/>
    <cellStyle name="20% - Accent6 4 3 3 3" xfId="19054"/>
    <cellStyle name="20% - Accent6 4 3 3 3 2" xfId="19055"/>
    <cellStyle name="20% - Accent6 4 3 3 3 2 2" xfId="19056"/>
    <cellStyle name="20% - Accent6 4 3 3 3 2 3" xfId="19057"/>
    <cellStyle name="20% - Accent6 4 3 3 3 3" xfId="19058"/>
    <cellStyle name="20% - Accent6 4 3 3 3 3 2" xfId="19059"/>
    <cellStyle name="20% - Accent6 4 3 3 3 3 3" xfId="19060"/>
    <cellStyle name="20% - Accent6 4 3 3 3 4" xfId="19061"/>
    <cellStyle name="20% - Accent6 4 3 3 3 4 2" xfId="19062"/>
    <cellStyle name="20% - Accent6 4 3 3 3 5" xfId="19063"/>
    <cellStyle name="20% - Accent6 4 3 3 3 6" xfId="19064"/>
    <cellStyle name="20% - Accent6 4 3 3 4" xfId="19065"/>
    <cellStyle name="20% - Accent6 4 3 3 4 2" xfId="19066"/>
    <cellStyle name="20% - Accent6 4 3 3 4 2 2" xfId="19067"/>
    <cellStyle name="20% - Accent6 4 3 3 4 2 3" xfId="19068"/>
    <cellStyle name="20% - Accent6 4 3 3 4 3" xfId="19069"/>
    <cellStyle name="20% - Accent6 4 3 3 4 3 2" xfId="19070"/>
    <cellStyle name="20% - Accent6 4 3 3 4 3 3" xfId="19071"/>
    <cellStyle name="20% - Accent6 4 3 3 4 4" xfId="19072"/>
    <cellStyle name="20% - Accent6 4 3 3 4 4 2" xfId="19073"/>
    <cellStyle name="20% - Accent6 4 3 3 4 5" xfId="19074"/>
    <cellStyle name="20% - Accent6 4 3 3 4 6" xfId="19075"/>
    <cellStyle name="20% - Accent6 4 3 3 5" xfId="19076"/>
    <cellStyle name="20% - Accent6 4 3 3 5 2" xfId="19077"/>
    <cellStyle name="20% - Accent6 4 3 3 5 2 2" xfId="19078"/>
    <cellStyle name="20% - Accent6 4 3 3 5 2 3" xfId="19079"/>
    <cellStyle name="20% - Accent6 4 3 3 5 3" xfId="19080"/>
    <cellStyle name="20% - Accent6 4 3 3 5 3 2" xfId="19081"/>
    <cellStyle name="20% - Accent6 4 3 3 5 4" xfId="19082"/>
    <cellStyle name="20% - Accent6 4 3 3 5 5" xfId="19083"/>
    <cellStyle name="20% - Accent6 4 3 3 6" xfId="19084"/>
    <cellStyle name="20% - Accent6 4 3 3 6 2" xfId="19085"/>
    <cellStyle name="20% - Accent6 4 3 3 6 3" xfId="19086"/>
    <cellStyle name="20% - Accent6 4 3 3 7" xfId="19087"/>
    <cellStyle name="20% - Accent6 4 3 3 7 2" xfId="19088"/>
    <cellStyle name="20% - Accent6 4 3 3 7 3" xfId="19089"/>
    <cellStyle name="20% - Accent6 4 3 3 8" xfId="19090"/>
    <cellStyle name="20% - Accent6 4 3 3 8 2" xfId="19091"/>
    <cellStyle name="20% - Accent6 4 3 3 9" xfId="19092"/>
    <cellStyle name="20% - Accent6 4 3 4" xfId="1369"/>
    <cellStyle name="20% - Accent6 4 3 4 2" xfId="19093"/>
    <cellStyle name="20% - Accent6 4 3 4 2 2" xfId="19094"/>
    <cellStyle name="20% - Accent6 4 3 4 2 2 2" xfId="19095"/>
    <cellStyle name="20% - Accent6 4 3 4 2 2 3" xfId="19096"/>
    <cellStyle name="20% - Accent6 4 3 4 2 3" xfId="19097"/>
    <cellStyle name="20% - Accent6 4 3 4 2 3 2" xfId="19098"/>
    <cellStyle name="20% - Accent6 4 3 4 2 3 3" xfId="19099"/>
    <cellStyle name="20% - Accent6 4 3 4 2 4" xfId="19100"/>
    <cellStyle name="20% - Accent6 4 3 4 2 4 2" xfId="19101"/>
    <cellStyle name="20% - Accent6 4 3 4 2 5" xfId="19102"/>
    <cellStyle name="20% - Accent6 4 3 4 2 6" xfId="19103"/>
    <cellStyle name="20% - Accent6 4 3 4 3" xfId="19104"/>
    <cellStyle name="20% - Accent6 4 3 4 3 2" xfId="19105"/>
    <cellStyle name="20% - Accent6 4 3 4 3 2 2" xfId="19106"/>
    <cellStyle name="20% - Accent6 4 3 4 3 2 3" xfId="19107"/>
    <cellStyle name="20% - Accent6 4 3 4 3 3" xfId="19108"/>
    <cellStyle name="20% - Accent6 4 3 4 3 3 2" xfId="19109"/>
    <cellStyle name="20% - Accent6 4 3 4 3 3 3" xfId="19110"/>
    <cellStyle name="20% - Accent6 4 3 4 3 4" xfId="19111"/>
    <cellStyle name="20% - Accent6 4 3 4 3 4 2" xfId="19112"/>
    <cellStyle name="20% - Accent6 4 3 4 3 5" xfId="19113"/>
    <cellStyle name="20% - Accent6 4 3 4 3 6" xfId="19114"/>
    <cellStyle name="20% - Accent6 4 3 4 4" xfId="19115"/>
    <cellStyle name="20% - Accent6 4 3 4 4 2" xfId="19116"/>
    <cellStyle name="20% - Accent6 4 3 4 4 2 2" xfId="19117"/>
    <cellStyle name="20% - Accent6 4 3 4 4 2 3" xfId="19118"/>
    <cellStyle name="20% - Accent6 4 3 4 4 3" xfId="19119"/>
    <cellStyle name="20% - Accent6 4 3 4 4 3 2" xfId="19120"/>
    <cellStyle name="20% - Accent6 4 3 4 4 4" xfId="19121"/>
    <cellStyle name="20% - Accent6 4 3 4 4 5" xfId="19122"/>
    <cellStyle name="20% - Accent6 4 3 4 5" xfId="19123"/>
    <cellStyle name="20% - Accent6 4 3 4 5 2" xfId="19124"/>
    <cellStyle name="20% - Accent6 4 3 4 5 3" xfId="19125"/>
    <cellStyle name="20% - Accent6 4 3 4 6" xfId="19126"/>
    <cellStyle name="20% - Accent6 4 3 4 6 2" xfId="19127"/>
    <cellStyle name="20% - Accent6 4 3 4 6 3" xfId="19128"/>
    <cellStyle name="20% - Accent6 4 3 4 7" xfId="19129"/>
    <cellStyle name="20% - Accent6 4 3 4 7 2" xfId="19130"/>
    <cellStyle name="20% - Accent6 4 3 4 8" xfId="19131"/>
    <cellStyle name="20% - Accent6 4 3 4 9" xfId="19132"/>
    <cellStyle name="20% - Accent6 4 3 5" xfId="19133"/>
    <cellStyle name="20% - Accent6 4 3 5 2" xfId="19134"/>
    <cellStyle name="20% - Accent6 4 3 5 2 2" xfId="19135"/>
    <cellStyle name="20% - Accent6 4 3 5 2 2 2" xfId="19136"/>
    <cellStyle name="20% - Accent6 4 3 5 2 2 3" xfId="19137"/>
    <cellStyle name="20% - Accent6 4 3 5 2 3" xfId="19138"/>
    <cellStyle name="20% - Accent6 4 3 5 2 3 2" xfId="19139"/>
    <cellStyle name="20% - Accent6 4 3 5 2 3 3" xfId="19140"/>
    <cellStyle name="20% - Accent6 4 3 5 2 4" xfId="19141"/>
    <cellStyle name="20% - Accent6 4 3 5 2 4 2" xfId="19142"/>
    <cellStyle name="20% - Accent6 4 3 5 2 5" xfId="19143"/>
    <cellStyle name="20% - Accent6 4 3 5 2 6" xfId="19144"/>
    <cellStyle name="20% - Accent6 4 3 5 3" xfId="19145"/>
    <cellStyle name="20% - Accent6 4 3 5 3 2" xfId="19146"/>
    <cellStyle name="20% - Accent6 4 3 5 3 2 2" xfId="19147"/>
    <cellStyle name="20% - Accent6 4 3 5 3 2 3" xfId="19148"/>
    <cellStyle name="20% - Accent6 4 3 5 3 3" xfId="19149"/>
    <cellStyle name="20% - Accent6 4 3 5 3 3 2" xfId="19150"/>
    <cellStyle name="20% - Accent6 4 3 5 3 3 3" xfId="19151"/>
    <cellStyle name="20% - Accent6 4 3 5 3 4" xfId="19152"/>
    <cellStyle name="20% - Accent6 4 3 5 3 4 2" xfId="19153"/>
    <cellStyle name="20% - Accent6 4 3 5 3 5" xfId="19154"/>
    <cellStyle name="20% - Accent6 4 3 5 3 6" xfId="19155"/>
    <cellStyle name="20% - Accent6 4 3 5 4" xfId="19156"/>
    <cellStyle name="20% - Accent6 4 3 5 4 2" xfId="19157"/>
    <cellStyle name="20% - Accent6 4 3 5 4 2 2" xfId="19158"/>
    <cellStyle name="20% - Accent6 4 3 5 4 2 3" xfId="19159"/>
    <cellStyle name="20% - Accent6 4 3 5 4 3" xfId="19160"/>
    <cellStyle name="20% - Accent6 4 3 5 4 3 2" xfId="19161"/>
    <cellStyle name="20% - Accent6 4 3 5 4 4" xfId="19162"/>
    <cellStyle name="20% - Accent6 4 3 5 4 5" xfId="19163"/>
    <cellStyle name="20% - Accent6 4 3 5 5" xfId="19164"/>
    <cellStyle name="20% - Accent6 4 3 5 5 2" xfId="19165"/>
    <cellStyle name="20% - Accent6 4 3 5 5 3" xfId="19166"/>
    <cellStyle name="20% - Accent6 4 3 5 6" xfId="19167"/>
    <cellStyle name="20% - Accent6 4 3 5 6 2" xfId="19168"/>
    <cellStyle name="20% - Accent6 4 3 5 6 3" xfId="19169"/>
    <cellStyle name="20% - Accent6 4 3 5 7" xfId="19170"/>
    <cellStyle name="20% - Accent6 4 3 5 7 2" xfId="19171"/>
    <cellStyle name="20% - Accent6 4 3 5 8" xfId="19172"/>
    <cellStyle name="20% - Accent6 4 3 5 9" xfId="19173"/>
    <cellStyle name="20% - Accent6 4 3 6" xfId="19174"/>
    <cellStyle name="20% - Accent6 4 3 6 2" xfId="19175"/>
    <cellStyle name="20% - Accent6 4 3 6 2 2" xfId="19176"/>
    <cellStyle name="20% - Accent6 4 3 6 2 3" xfId="19177"/>
    <cellStyle name="20% - Accent6 4 3 6 3" xfId="19178"/>
    <cellStyle name="20% - Accent6 4 3 6 3 2" xfId="19179"/>
    <cellStyle name="20% - Accent6 4 3 6 3 3" xfId="19180"/>
    <cellStyle name="20% - Accent6 4 3 6 4" xfId="19181"/>
    <cellStyle name="20% - Accent6 4 3 6 4 2" xfId="19182"/>
    <cellStyle name="20% - Accent6 4 3 6 5" xfId="19183"/>
    <cellStyle name="20% - Accent6 4 3 6 6" xfId="19184"/>
    <cellStyle name="20% - Accent6 4 3 7" xfId="19185"/>
    <cellStyle name="20% - Accent6 4 3 7 2" xfId="19186"/>
    <cellStyle name="20% - Accent6 4 3 7 2 2" xfId="19187"/>
    <cellStyle name="20% - Accent6 4 3 7 2 3" xfId="19188"/>
    <cellStyle name="20% - Accent6 4 3 7 3" xfId="19189"/>
    <cellStyle name="20% - Accent6 4 3 7 3 2" xfId="19190"/>
    <cellStyle name="20% - Accent6 4 3 7 3 3" xfId="19191"/>
    <cellStyle name="20% - Accent6 4 3 7 4" xfId="19192"/>
    <cellStyle name="20% - Accent6 4 3 7 4 2" xfId="19193"/>
    <cellStyle name="20% - Accent6 4 3 7 5" xfId="19194"/>
    <cellStyle name="20% - Accent6 4 3 7 6" xfId="19195"/>
    <cellStyle name="20% - Accent6 4 3 8" xfId="19196"/>
    <cellStyle name="20% - Accent6 4 3 8 2" xfId="19197"/>
    <cellStyle name="20% - Accent6 4 3 8 2 2" xfId="19198"/>
    <cellStyle name="20% - Accent6 4 3 8 2 3" xfId="19199"/>
    <cellStyle name="20% - Accent6 4 3 8 3" xfId="19200"/>
    <cellStyle name="20% - Accent6 4 3 8 3 2" xfId="19201"/>
    <cellStyle name="20% - Accent6 4 3 8 4" xfId="19202"/>
    <cellStyle name="20% - Accent6 4 3 8 5" xfId="19203"/>
    <cellStyle name="20% - Accent6 4 3 9" xfId="19204"/>
    <cellStyle name="20% - Accent6 4 3 9 2" xfId="19205"/>
    <cellStyle name="20% - Accent6 4 3 9 3" xfId="19206"/>
    <cellStyle name="20% - Accent6 4 4" xfId="1370"/>
    <cellStyle name="20% - Accent6 4 4 10" xfId="19207"/>
    <cellStyle name="20% - Accent6 4 4 10 2" xfId="19208"/>
    <cellStyle name="20% - Accent6 4 4 11" xfId="19209"/>
    <cellStyle name="20% - Accent6 4 4 12" xfId="19210"/>
    <cellStyle name="20% - Accent6 4 4 2" xfId="1371"/>
    <cellStyle name="20% - Accent6 4 4 2 10" xfId="19211"/>
    <cellStyle name="20% - Accent6 4 4 2 2" xfId="1372"/>
    <cellStyle name="20% - Accent6 4 4 2 2 2" xfId="19212"/>
    <cellStyle name="20% - Accent6 4 4 2 2 2 2" xfId="19213"/>
    <cellStyle name="20% - Accent6 4 4 2 2 2 2 2" xfId="19214"/>
    <cellStyle name="20% - Accent6 4 4 2 2 2 2 3" xfId="19215"/>
    <cellStyle name="20% - Accent6 4 4 2 2 2 3" xfId="19216"/>
    <cellStyle name="20% - Accent6 4 4 2 2 2 3 2" xfId="19217"/>
    <cellStyle name="20% - Accent6 4 4 2 2 2 3 3" xfId="19218"/>
    <cellStyle name="20% - Accent6 4 4 2 2 2 4" xfId="19219"/>
    <cellStyle name="20% - Accent6 4 4 2 2 2 4 2" xfId="19220"/>
    <cellStyle name="20% - Accent6 4 4 2 2 2 5" xfId="19221"/>
    <cellStyle name="20% - Accent6 4 4 2 2 2 6" xfId="19222"/>
    <cellStyle name="20% - Accent6 4 4 2 2 3" xfId="19223"/>
    <cellStyle name="20% - Accent6 4 4 2 2 3 2" xfId="19224"/>
    <cellStyle name="20% - Accent6 4 4 2 2 3 2 2" xfId="19225"/>
    <cellStyle name="20% - Accent6 4 4 2 2 3 2 3" xfId="19226"/>
    <cellStyle name="20% - Accent6 4 4 2 2 3 3" xfId="19227"/>
    <cellStyle name="20% - Accent6 4 4 2 2 3 3 2" xfId="19228"/>
    <cellStyle name="20% - Accent6 4 4 2 2 3 3 3" xfId="19229"/>
    <cellStyle name="20% - Accent6 4 4 2 2 3 4" xfId="19230"/>
    <cellStyle name="20% - Accent6 4 4 2 2 3 4 2" xfId="19231"/>
    <cellStyle name="20% - Accent6 4 4 2 2 3 5" xfId="19232"/>
    <cellStyle name="20% - Accent6 4 4 2 2 3 6" xfId="19233"/>
    <cellStyle name="20% - Accent6 4 4 2 2 4" xfId="19234"/>
    <cellStyle name="20% - Accent6 4 4 2 2 4 2" xfId="19235"/>
    <cellStyle name="20% - Accent6 4 4 2 2 4 2 2" xfId="19236"/>
    <cellStyle name="20% - Accent6 4 4 2 2 4 2 3" xfId="19237"/>
    <cellStyle name="20% - Accent6 4 4 2 2 4 3" xfId="19238"/>
    <cellStyle name="20% - Accent6 4 4 2 2 4 3 2" xfId="19239"/>
    <cellStyle name="20% - Accent6 4 4 2 2 4 4" xfId="19240"/>
    <cellStyle name="20% - Accent6 4 4 2 2 4 5" xfId="19241"/>
    <cellStyle name="20% - Accent6 4 4 2 2 5" xfId="19242"/>
    <cellStyle name="20% - Accent6 4 4 2 2 5 2" xfId="19243"/>
    <cellStyle name="20% - Accent6 4 4 2 2 5 3" xfId="19244"/>
    <cellStyle name="20% - Accent6 4 4 2 2 6" xfId="19245"/>
    <cellStyle name="20% - Accent6 4 4 2 2 6 2" xfId="19246"/>
    <cellStyle name="20% - Accent6 4 4 2 2 6 3" xfId="19247"/>
    <cellStyle name="20% - Accent6 4 4 2 2 7" xfId="19248"/>
    <cellStyle name="20% - Accent6 4 4 2 2 7 2" xfId="19249"/>
    <cellStyle name="20% - Accent6 4 4 2 2 8" xfId="19250"/>
    <cellStyle name="20% - Accent6 4 4 2 2 9" xfId="19251"/>
    <cellStyle name="20% - Accent6 4 4 2 3" xfId="19252"/>
    <cellStyle name="20% - Accent6 4 4 2 3 2" xfId="19253"/>
    <cellStyle name="20% - Accent6 4 4 2 3 2 2" xfId="19254"/>
    <cellStyle name="20% - Accent6 4 4 2 3 2 3" xfId="19255"/>
    <cellStyle name="20% - Accent6 4 4 2 3 3" xfId="19256"/>
    <cellStyle name="20% - Accent6 4 4 2 3 3 2" xfId="19257"/>
    <cellStyle name="20% - Accent6 4 4 2 3 3 3" xfId="19258"/>
    <cellStyle name="20% - Accent6 4 4 2 3 4" xfId="19259"/>
    <cellStyle name="20% - Accent6 4 4 2 3 4 2" xfId="19260"/>
    <cellStyle name="20% - Accent6 4 4 2 3 5" xfId="19261"/>
    <cellStyle name="20% - Accent6 4 4 2 3 6" xfId="19262"/>
    <cellStyle name="20% - Accent6 4 4 2 4" xfId="19263"/>
    <cellStyle name="20% - Accent6 4 4 2 4 2" xfId="19264"/>
    <cellStyle name="20% - Accent6 4 4 2 4 2 2" xfId="19265"/>
    <cellStyle name="20% - Accent6 4 4 2 4 2 3" xfId="19266"/>
    <cellStyle name="20% - Accent6 4 4 2 4 3" xfId="19267"/>
    <cellStyle name="20% - Accent6 4 4 2 4 3 2" xfId="19268"/>
    <cellStyle name="20% - Accent6 4 4 2 4 3 3" xfId="19269"/>
    <cellStyle name="20% - Accent6 4 4 2 4 4" xfId="19270"/>
    <cellStyle name="20% - Accent6 4 4 2 4 4 2" xfId="19271"/>
    <cellStyle name="20% - Accent6 4 4 2 4 5" xfId="19272"/>
    <cellStyle name="20% - Accent6 4 4 2 4 6" xfId="19273"/>
    <cellStyle name="20% - Accent6 4 4 2 5" xfId="19274"/>
    <cellStyle name="20% - Accent6 4 4 2 5 2" xfId="19275"/>
    <cellStyle name="20% - Accent6 4 4 2 5 2 2" xfId="19276"/>
    <cellStyle name="20% - Accent6 4 4 2 5 2 3" xfId="19277"/>
    <cellStyle name="20% - Accent6 4 4 2 5 3" xfId="19278"/>
    <cellStyle name="20% - Accent6 4 4 2 5 3 2" xfId="19279"/>
    <cellStyle name="20% - Accent6 4 4 2 5 4" xfId="19280"/>
    <cellStyle name="20% - Accent6 4 4 2 5 5" xfId="19281"/>
    <cellStyle name="20% - Accent6 4 4 2 6" xfId="19282"/>
    <cellStyle name="20% - Accent6 4 4 2 6 2" xfId="19283"/>
    <cellStyle name="20% - Accent6 4 4 2 6 3" xfId="19284"/>
    <cellStyle name="20% - Accent6 4 4 2 7" xfId="19285"/>
    <cellStyle name="20% - Accent6 4 4 2 7 2" xfId="19286"/>
    <cellStyle name="20% - Accent6 4 4 2 7 3" xfId="19287"/>
    <cellStyle name="20% - Accent6 4 4 2 8" xfId="19288"/>
    <cellStyle name="20% - Accent6 4 4 2 8 2" xfId="19289"/>
    <cellStyle name="20% - Accent6 4 4 2 9" xfId="19290"/>
    <cellStyle name="20% - Accent6 4 4 3" xfId="1373"/>
    <cellStyle name="20% - Accent6 4 4 3 2" xfId="19291"/>
    <cellStyle name="20% - Accent6 4 4 3 2 2" xfId="19292"/>
    <cellStyle name="20% - Accent6 4 4 3 2 2 2" xfId="19293"/>
    <cellStyle name="20% - Accent6 4 4 3 2 2 3" xfId="19294"/>
    <cellStyle name="20% - Accent6 4 4 3 2 3" xfId="19295"/>
    <cellStyle name="20% - Accent6 4 4 3 2 3 2" xfId="19296"/>
    <cellStyle name="20% - Accent6 4 4 3 2 3 3" xfId="19297"/>
    <cellStyle name="20% - Accent6 4 4 3 2 4" xfId="19298"/>
    <cellStyle name="20% - Accent6 4 4 3 2 4 2" xfId="19299"/>
    <cellStyle name="20% - Accent6 4 4 3 2 5" xfId="19300"/>
    <cellStyle name="20% - Accent6 4 4 3 2 6" xfId="19301"/>
    <cellStyle name="20% - Accent6 4 4 3 3" xfId="19302"/>
    <cellStyle name="20% - Accent6 4 4 3 3 2" xfId="19303"/>
    <cellStyle name="20% - Accent6 4 4 3 3 2 2" xfId="19304"/>
    <cellStyle name="20% - Accent6 4 4 3 3 2 3" xfId="19305"/>
    <cellStyle name="20% - Accent6 4 4 3 3 3" xfId="19306"/>
    <cellStyle name="20% - Accent6 4 4 3 3 3 2" xfId="19307"/>
    <cellStyle name="20% - Accent6 4 4 3 3 3 3" xfId="19308"/>
    <cellStyle name="20% - Accent6 4 4 3 3 4" xfId="19309"/>
    <cellStyle name="20% - Accent6 4 4 3 3 4 2" xfId="19310"/>
    <cellStyle name="20% - Accent6 4 4 3 3 5" xfId="19311"/>
    <cellStyle name="20% - Accent6 4 4 3 3 6" xfId="19312"/>
    <cellStyle name="20% - Accent6 4 4 3 4" xfId="19313"/>
    <cellStyle name="20% - Accent6 4 4 3 4 2" xfId="19314"/>
    <cellStyle name="20% - Accent6 4 4 3 4 2 2" xfId="19315"/>
    <cellStyle name="20% - Accent6 4 4 3 4 2 3" xfId="19316"/>
    <cellStyle name="20% - Accent6 4 4 3 4 3" xfId="19317"/>
    <cellStyle name="20% - Accent6 4 4 3 4 3 2" xfId="19318"/>
    <cellStyle name="20% - Accent6 4 4 3 4 4" xfId="19319"/>
    <cellStyle name="20% - Accent6 4 4 3 4 5" xfId="19320"/>
    <cellStyle name="20% - Accent6 4 4 3 5" xfId="19321"/>
    <cellStyle name="20% - Accent6 4 4 3 5 2" xfId="19322"/>
    <cellStyle name="20% - Accent6 4 4 3 5 3" xfId="19323"/>
    <cellStyle name="20% - Accent6 4 4 3 6" xfId="19324"/>
    <cellStyle name="20% - Accent6 4 4 3 6 2" xfId="19325"/>
    <cellStyle name="20% - Accent6 4 4 3 6 3" xfId="19326"/>
    <cellStyle name="20% - Accent6 4 4 3 7" xfId="19327"/>
    <cellStyle name="20% - Accent6 4 4 3 7 2" xfId="19328"/>
    <cellStyle name="20% - Accent6 4 4 3 8" xfId="19329"/>
    <cellStyle name="20% - Accent6 4 4 3 9" xfId="19330"/>
    <cellStyle name="20% - Accent6 4 4 4" xfId="19331"/>
    <cellStyle name="20% - Accent6 4 4 4 2" xfId="19332"/>
    <cellStyle name="20% - Accent6 4 4 4 2 2" xfId="19333"/>
    <cellStyle name="20% - Accent6 4 4 4 2 2 2" xfId="19334"/>
    <cellStyle name="20% - Accent6 4 4 4 2 2 3" xfId="19335"/>
    <cellStyle name="20% - Accent6 4 4 4 2 3" xfId="19336"/>
    <cellStyle name="20% - Accent6 4 4 4 2 3 2" xfId="19337"/>
    <cellStyle name="20% - Accent6 4 4 4 2 3 3" xfId="19338"/>
    <cellStyle name="20% - Accent6 4 4 4 2 4" xfId="19339"/>
    <cellStyle name="20% - Accent6 4 4 4 2 4 2" xfId="19340"/>
    <cellStyle name="20% - Accent6 4 4 4 2 5" xfId="19341"/>
    <cellStyle name="20% - Accent6 4 4 4 2 6" xfId="19342"/>
    <cellStyle name="20% - Accent6 4 4 4 3" xfId="19343"/>
    <cellStyle name="20% - Accent6 4 4 4 3 2" xfId="19344"/>
    <cellStyle name="20% - Accent6 4 4 4 3 2 2" xfId="19345"/>
    <cellStyle name="20% - Accent6 4 4 4 3 2 3" xfId="19346"/>
    <cellStyle name="20% - Accent6 4 4 4 3 3" xfId="19347"/>
    <cellStyle name="20% - Accent6 4 4 4 3 3 2" xfId="19348"/>
    <cellStyle name="20% - Accent6 4 4 4 3 3 3" xfId="19349"/>
    <cellStyle name="20% - Accent6 4 4 4 3 4" xfId="19350"/>
    <cellStyle name="20% - Accent6 4 4 4 3 4 2" xfId="19351"/>
    <cellStyle name="20% - Accent6 4 4 4 3 5" xfId="19352"/>
    <cellStyle name="20% - Accent6 4 4 4 3 6" xfId="19353"/>
    <cellStyle name="20% - Accent6 4 4 4 4" xfId="19354"/>
    <cellStyle name="20% - Accent6 4 4 4 4 2" xfId="19355"/>
    <cellStyle name="20% - Accent6 4 4 4 4 2 2" xfId="19356"/>
    <cellStyle name="20% - Accent6 4 4 4 4 2 3" xfId="19357"/>
    <cellStyle name="20% - Accent6 4 4 4 4 3" xfId="19358"/>
    <cellStyle name="20% - Accent6 4 4 4 4 3 2" xfId="19359"/>
    <cellStyle name="20% - Accent6 4 4 4 4 4" xfId="19360"/>
    <cellStyle name="20% - Accent6 4 4 4 4 5" xfId="19361"/>
    <cellStyle name="20% - Accent6 4 4 4 5" xfId="19362"/>
    <cellStyle name="20% - Accent6 4 4 4 5 2" xfId="19363"/>
    <cellStyle name="20% - Accent6 4 4 4 5 3" xfId="19364"/>
    <cellStyle name="20% - Accent6 4 4 4 6" xfId="19365"/>
    <cellStyle name="20% - Accent6 4 4 4 6 2" xfId="19366"/>
    <cellStyle name="20% - Accent6 4 4 4 6 3" xfId="19367"/>
    <cellStyle name="20% - Accent6 4 4 4 7" xfId="19368"/>
    <cellStyle name="20% - Accent6 4 4 4 7 2" xfId="19369"/>
    <cellStyle name="20% - Accent6 4 4 4 8" xfId="19370"/>
    <cellStyle name="20% - Accent6 4 4 4 9" xfId="19371"/>
    <cellStyle name="20% - Accent6 4 4 5" xfId="19372"/>
    <cellStyle name="20% - Accent6 4 4 5 2" xfId="19373"/>
    <cellStyle name="20% - Accent6 4 4 5 2 2" xfId="19374"/>
    <cellStyle name="20% - Accent6 4 4 5 2 3" xfId="19375"/>
    <cellStyle name="20% - Accent6 4 4 5 3" xfId="19376"/>
    <cellStyle name="20% - Accent6 4 4 5 3 2" xfId="19377"/>
    <cellStyle name="20% - Accent6 4 4 5 3 3" xfId="19378"/>
    <cellStyle name="20% - Accent6 4 4 5 4" xfId="19379"/>
    <cellStyle name="20% - Accent6 4 4 5 4 2" xfId="19380"/>
    <cellStyle name="20% - Accent6 4 4 5 5" xfId="19381"/>
    <cellStyle name="20% - Accent6 4 4 5 6" xfId="19382"/>
    <cellStyle name="20% - Accent6 4 4 6" xfId="19383"/>
    <cellStyle name="20% - Accent6 4 4 6 2" xfId="19384"/>
    <cellStyle name="20% - Accent6 4 4 6 2 2" xfId="19385"/>
    <cellStyle name="20% - Accent6 4 4 6 2 3" xfId="19386"/>
    <cellStyle name="20% - Accent6 4 4 6 3" xfId="19387"/>
    <cellStyle name="20% - Accent6 4 4 6 3 2" xfId="19388"/>
    <cellStyle name="20% - Accent6 4 4 6 3 3" xfId="19389"/>
    <cellStyle name="20% - Accent6 4 4 6 4" xfId="19390"/>
    <cellStyle name="20% - Accent6 4 4 6 4 2" xfId="19391"/>
    <cellStyle name="20% - Accent6 4 4 6 5" xfId="19392"/>
    <cellStyle name="20% - Accent6 4 4 6 6" xfId="19393"/>
    <cellStyle name="20% - Accent6 4 4 7" xfId="19394"/>
    <cellStyle name="20% - Accent6 4 4 7 2" xfId="19395"/>
    <cellStyle name="20% - Accent6 4 4 7 2 2" xfId="19396"/>
    <cellStyle name="20% - Accent6 4 4 7 2 3" xfId="19397"/>
    <cellStyle name="20% - Accent6 4 4 7 3" xfId="19398"/>
    <cellStyle name="20% - Accent6 4 4 7 3 2" xfId="19399"/>
    <cellStyle name="20% - Accent6 4 4 7 4" xfId="19400"/>
    <cellStyle name="20% - Accent6 4 4 7 5" xfId="19401"/>
    <cellStyle name="20% - Accent6 4 4 8" xfId="19402"/>
    <cellStyle name="20% - Accent6 4 4 8 2" xfId="19403"/>
    <cellStyle name="20% - Accent6 4 4 8 3" xfId="19404"/>
    <cellStyle name="20% - Accent6 4 4 9" xfId="19405"/>
    <cellStyle name="20% - Accent6 4 4 9 2" xfId="19406"/>
    <cellStyle name="20% - Accent6 4 4 9 3" xfId="19407"/>
    <cellStyle name="20% - Accent6 4 5" xfId="1374"/>
    <cellStyle name="20% - Accent6 4 5 10" xfId="19408"/>
    <cellStyle name="20% - Accent6 4 5 2" xfId="1375"/>
    <cellStyle name="20% - Accent6 4 5 2 2" xfId="19409"/>
    <cellStyle name="20% - Accent6 4 5 2 2 2" xfId="19410"/>
    <cellStyle name="20% - Accent6 4 5 2 2 2 2" xfId="19411"/>
    <cellStyle name="20% - Accent6 4 5 2 2 2 3" xfId="19412"/>
    <cellStyle name="20% - Accent6 4 5 2 2 3" xfId="19413"/>
    <cellStyle name="20% - Accent6 4 5 2 2 3 2" xfId="19414"/>
    <cellStyle name="20% - Accent6 4 5 2 2 3 3" xfId="19415"/>
    <cellStyle name="20% - Accent6 4 5 2 2 4" xfId="19416"/>
    <cellStyle name="20% - Accent6 4 5 2 2 4 2" xfId="19417"/>
    <cellStyle name="20% - Accent6 4 5 2 2 5" xfId="19418"/>
    <cellStyle name="20% - Accent6 4 5 2 2 6" xfId="19419"/>
    <cellStyle name="20% - Accent6 4 5 2 3" xfId="19420"/>
    <cellStyle name="20% - Accent6 4 5 2 3 2" xfId="19421"/>
    <cellStyle name="20% - Accent6 4 5 2 3 2 2" xfId="19422"/>
    <cellStyle name="20% - Accent6 4 5 2 3 2 3" xfId="19423"/>
    <cellStyle name="20% - Accent6 4 5 2 3 3" xfId="19424"/>
    <cellStyle name="20% - Accent6 4 5 2 3 3 2" xfId="19425"/>
    <cellStyle name="20% - Accent6 4 5 2 3 3 3" xfId="19426"/>
    <cellStyle name="20% - Accent6 4 5 2 3 4" xfId="19427"/>
    <cellStyle name="20% - Accent6 4 5 2 3 4 2" xfId="19428"/>
    <cellStyle name="20% - Accent6 4 5 2 3 5" xfId="19429"/>
    <cellStyle name="20% - Accent6 4 5 2 3 6" xfId="19430"/>
    <cellStyle name="20% - Accent6 4 5 2 4" xfId="19431"/>
    <cellStyle name="20% - Accent6 4 5 2 4 2" xfId="19432"/>
    <cellStyle name="20% - Accent6 4 5 2 4 2 2" xfId="19433"/>
    <cellStyle name="20% - Accent6 4 5 2 4 2 3" xfId="19434"/>
    <cellStyle name="20% - Accent6 4 5 2 4 3" xfId="19435"/>
    <cellStyle name="20% - Accent6 4 5 2 4 3 2" xfId="19436"/>
    <cellStyle name="20% - Accent6 4 5 2 4 4" xfId="19437"/>
    <cellStyle name="20% - Accent6 4 5 2 4 5" xfId="19438"/>
    <cellStyle name="20% - Accent6 4 5 2 5" xfId="19439"/>
    <cellStyle name="20% - Accent6 4 5 2 5 2" xfId="19440"/>
    <cellStyle name="20% - Accent6 4 5 2 5 3" xfId="19441"/>
    <cellStyle name="20% - Accent6 4 5 2 6" xfId="19442"/>
    <cellStyle name="20% - Accent6 4 5 2 6 2" xfId="19443"/>
    <cellStyle name="20% - Accent6 4 5 2 6 3" xfId="19444"/>
    <cellStyle name="20% - Accent6 4 5 2 7" xfId="19445"/>
    <cellStyle name="20% - Accent6 4 5 2 7 2" xfId="19446"/>
    <cellStyle name="20% - Accent6 4 5 2 8" xfId="19447"/>
    <cellStyle name="20% - Accent6 4 5 2 9" xfId="19448"/>
    <cellStyle name="20% - Accent6 4 5 3" xfId="19449"/>
    <cellStyle name="20% - Accent6 4 5 3 2" xfId="19450"/>
    <cellStyle name="20% - Accent6 4 5 3 2 2" xfId="19451"/>
    <cellStyle name="20% - Accent6 4 5 3 2 3" xfId="19452"/>
    <cellStyle name="20% - Accent6 4 5 3 3" xfId="19453"/>
    <cellStyle name="20% - Accent6 4 5 3 3 2" xfId="19454"/>
    <cellStyle name="20% - Accent6 4 5 3 3 3" xfId="19455"/>
    <cellStyle name="20% - Accent6 4 5 3 4" xfId="19456"/>
    <cellStyle name="20% - Accent6 4 5 3 4 2" xfId="19457"/>
    <cellStyle name="20% - Accent6 4 5 3 5" xfId="19458"/>
    <cellStyle name="20% - Accent6 4 5 3 6" xfId="19459"/>
    <cellStyle name="20% - Accent6 4 5 4" xfId="19460"/>
    <cellStyle name="20% - Accent6 4 5 4 2" xfId="19461"/>
    <cellStyle name="20% - Accent6 4 5 4 2 2" xfId="19462"/>
    <cellStyle name="20% - Accent6 4 5 4 2 3" xfId="19463"/>
    <cellStyle name="20% - Accent6 4 5 4 3" xfId="19464"/>
    <cellStyle name="20% - Accent6 4 5 4 3 2" xfId="19465"/>
    <cellStyle name="20% - Accent6 4 5 4 3 3" xfId="19466"/>
    <cellStyle name="20% - Accent6 4 5 4 4" xfId="19467"/>
    <cellStyle name="20% - Accent6 4 5 4 4 2" xfId="19468"/>
    <cellStyle name="20% - Accent6 4 5 4 5" xfId="19469"/>
    <cellStyle name="20% - Accent6 4 5 4 6" xfId="19470"/>
    <cellStyle name="20% - Accent6 4 5 5" xfId="19471"/>
    <cellStyle name="20% - Accent6 4 5 5 2" xfId="19472"/>
    <cellStyle name="20% - Accent6 4 5 5 2 2" xfId="19473"/>
    <cellStyle name="20% - Accent6 4 5 5 2 3" xfId="19474"/>
    <cellStyle name="20% - Accent6 4 5 5 3" xfId="19475"/>
    <cellStyle name="20% - Accent6 4 5 5 3 2" xfId="19476"/>
    <cellStyle name="20% - Accent6 4 5 5 4" xfId="19477"/>
    <cellStyle name="20% - Accent6 4 5 5 5" xfId="19478"/>
    <cellStyle name="20% - Accent6 4 5 6" xfId="19479"/>
    <cellStyle name="20% - Accent6 4 5 6 2" xfId="19480"/>
    <cellStyle name="20% - Accent6 4 5 6 3" xfId="19481"/>
    <cellStyle name="20% - Accent6 4 5 7" xfId="19482"/>
    <cellStyle name="20% - Accent6 4 5 7 2" xfId="19483"/>
    <cellStyle name="20% - Accent6 4 5 7 3" xfId="19484"/>
    <cellStyle name="20% - Accent6 4 5 8" xfId="19485"/>
    <cellStyle name="20% - Accent6 4 5 8 2" xfId="19486"/>
    <cellStyle name="20% - Accent6 4 5 9" xfId="19487"/>
    <cellStyle name="20% - Accent6 4 6" xfId="1376"/>
    <cellStyle name="20% - Accent6 4 6 2" xfId="19488"/>
    <cellStyle name="20% - Accent6 4 6 2 2" xfId="19489"/>
    <cellStyle name="20% - Accent6 4 6 2 2 2" xfId="19490"/>
    <cellStyle name="20% - Accent6 4 6 2 2 3" xfId="19491"/>
    <cellStyle name="20% - Accent6 4 6 2 3" xfId="19492"/>
    <cellStyle name="20% - Accent6 4 6 2 3 2" xfId="19493"/>
    <cellStyle name="20% - Accent6 4 6 2 3 3" xfId="19494"/>
    <cellStyle name="20% - Accent6 4 6 2 4" xfId="19495"/>
    <cellStyle name="20% - Accent6 4 6 2 4 2" xfId="19496"/>
    <cellStyle name="20% - Accent6 4 6 2 5" xfId="19497"/>
    <cellStyle name="20% - Accent6 4 6 2 6" xfId="19498"/>
    <cellStyle name="20% - Accent6 4 6 3" xfId="19499"/>
    <cellStyle name="20% - Accent6 4 6 3 2" xfId="19500"/>
    <cellStyle name="20% - Accent6 4 6 3 2 2" xfId="19501"/>
    <cellStyle name="20% - Accent6 4 6 3 2 3" xfId="19502"/>
    <cellStyle name="20% - Accent6 4 6 3 3" xfId="19503"/>
    <cellStyle name="20% - Accent6 4 6 3 3 2" xfId="19504"/>
    <cellStyle name="20% - Accent6 4 6 3 3 3" xfId="19505"/>
    <cellStyle name="20% - Accent6 4 6 3 4" xfId="19506"/>
    <cellStyle name="20% - Accent6 4 6 3 4 2" xfId="19507"/>
    <cellStyle name="20% - Accent6 4 6 3 5" xfId="19508"/>
    <cellStyle name="20% - Accent6 4 6 3 6" xfId="19509"/>
    <cellStyle name="20% - Accent6 4 6 4" xfId="19510"/>
    <cellStyle name="20% - Accent6 4 6 4 2" xfId="19511"/>
    <cellStyle name="20% - Accent6 4 6 4 2 2" xfId="19512"/>
    <cellStyle name="20% - Accent6 4 6 4 2 3" xfId="19513"/>
    <cellStyle name="20% - Accent6 4 6 4 3" xfId="19514"/>
    <cellStyle name="20% - Accent6 4 6 4 3 2" xfId="19515"/>
    <cellStyle name="20% - Accent6 4 6 4 4" xfId="19516"/>
    <cellStyle name="20% - Accent6 4 6 4 5" xfId="19517"/>
    <cellStyle name="20% - Accent6 4 6 5" xfId="19518"/>
    <cellStyle name="20% - Accent6 4 6 5 2" xfId="19519"/>
    <cellStyle name="20% - Accent6 4 6 5 3" xfId="19520"/>
    <cellStyle name="20% - Accent6 4 6 6" xfId="19521"/>
    <cellStyle name="20% - Accent6 4 6 6 2" xfId="19522"/>
    <cellStyle name="20% - Accent6 4 6 6 3" xfId="19523"/>
    <cellStyle name="20% - Accent6 4 6 7" xfId="19524"/>
    <cellStyle name="20% - Accent6 4 6 7 2" xfId="19525"/>
    <cellStyle name="20% - Accent6 4 6 8" xfId="19526"/>
    <cellStyle name="20% - Accent6 4 6 9" xfId="19527"/>
    <cellStyle name="20% - Accent6 4 7" xfId="8943"/>
    <cellStyle name="20% - Accent6 4 7 2" xfId="19528"/>
    <cellStyle name="20% - Accent6 4 7 2 2" xfId="19529"/>
    <cellStyle name="20% - Accent6 4 7 2 2 2" xfId="19530"/>
    <cellStyle name="20% - Accent6 4 7 2 2 3" xfId="19531"/>
    <cellStyle name="20% - Accent6 4 7 2 3" xfId="19532"/>
    <cellStyle name="20% - Accent6 4 7 2 3 2" xfId="19533"/>
    <cellStyle name="20% - Accent6 4 7 2 3 3" xfId="19534"/>
    <cellStyle name="20% - Accent6 4 7 2 4" xfId="19535"/>
    <cellStyle name="20% - Accent6 4 7 2 4 2" xfId="19536"/>
    <cellStyle name="20% - Accent6 4 7 2 5" xfId="19537"/>
    <cellStyle name="20% - Accent6 4 7 2 6" xfId="19538"/>
    <cellStyle name="20% - Accent6 4 7 3" xfId="19539"/>
    <cellStyle name="20% - Accent6 4 7 3 2" xfId="19540"/>
    <cellStyle name="20% - Accent6 4 7 3 2 2" xfId="19541"/>
    <cellStyle name="20% - Accent6 4 7 3 2 3" xfId="19542"/>
    <cellStyle name="20% - Accent6 4 7 3 3" xfId="19543"/>
    <cellStyle name="20% - Accent6 4 7 3 3 2" xfId="19544"/>
    <cellStyle name="20% - Accent6 4 7 3 3 3" xfId="19545"/>
    <cellStyle name="20% - Accent6 4 7 3 4" xfId="19546"/>
    <cellStyle name="20% - Accent6 4 7 3 4 2" xfId="19547"/>
    <cellStyle name="20% - Accent6 4 7 3 5" xfId="19548"/>
    <cellStyle name="20% - Accent6 4 7 3 6" xfId="19549"/>
    <cellStyle name="20% - Accent6 4 7 4" xfId="19550"/>
    <cellStyle name="20% - Accent6 4 7 4 2" xfId="19551"/>
    <cellStyle name="20% - Accent6 4 7 4 2 2" xfId="19552"/>
    <cellStyle name="20% - Accent6 4 7 4 2 3" xfId="19553"/>
    <cellStyle name="20% - Accent6 4 7 4 3" xfId="19554"/>
    <cellStyle name="20% - Accent6 4 7 4 3 2" xfId="19555"/>
    <cellStyle name="20% - Accent6 4 7 4 4" xfId="19556"/>
    <cellStyle name="20% - Accent6 4 7 4 5" xfId="19557"/>
    <cellStyle name="20% - Accent6 4 7 5" xfId="19558"/>
    <cellStyle name="20% - Accent6 4 7 5 2" xfId="19559"/>
    <cellStyle name="20% - Accent6 4 7 5 3" xfId="19560"/>
    <cellStyle name="20% - Accent6 4 7 6" xfId="19561"/>
    <cellStyle name="20% - Accent6 4 7 6 2" xfId="19562"/>
    <cellStyle name="20% - Accent6 4 7 6 3" xfId="19563"/>
    <cellStyle name="20% - Accent6 4 7 7" xfId="19564"/>
    <cellStyle name="20% - Accent6 4 7 7 2" xfId="19565"/>
    <cellStyle name="20% - Accent6 4 7 8" xfId="19566"/>
    <cellStyle name="20% - Accent6 4 7 9" xfId="19567"/>
    <cellStyle name="20% - Accent6 4 8" xfId="19568"/>
    <cellStyle name="20% - Accent6 4 8 2" xfId="19569"/>
    <cellStyle name="20% - Accent6 4 8 2 2" xfId="19570"/>
    <cellStyle name="20% - Accent6 4 8 2 3" xfId="19571"/>
    <cellStyle name="20% - Accent6 4 8 3" xfId="19572"/>
    <cellStyle name="20% - Accent6 4 8 3 2" xfId="19573"/>
    <cellStyle name="20% - Accent6 4 8 3 3" xfId="19574"/>
    <cellStyle name="20% - Accent6 4 8 4" xfId="19575"/>
    <cellStyle name="20% - Accent6 4 8 4 2" xfId="19576"/>
    <cellStyle name="20% - Accent6 4 8 5" xfId="19577"/>
    <cellStyle name="20% - Accent6 4 8 6" xfId="19578"/>
    <cellStyle name="20% - Accent6 4 9" xfId="19579"/>
    <cellStyle name="20% - Accent6 4 9 2" xfId="19580"/>
    <cellStyle name="20% - Accent6 4 9 2 2" xfId="19581"/>
    <cellStyle name="20% - Accent6 4 9 2 3" xfId="19582"/>
    <cellStyle name="20% - Accent6 4 9 3" xfId="19583"/>
    <cellStyle name="20% - Accent6 4 9 3 2" xfId="19584"/>
    <cellStyle name="20% - Accent6 4 9 3 3" xfId="19585"/>
    <cellStyle name="20% - Accent6 4 9 4" xfId="19586"/>
    <cellStyle name="20% - Accent6 4 9 4 2" xfId="19587"/>
    <cellStyle name="20% - Accent6 4 9 5" xfId="19588"/>
    <cellStyle name="20% - Accent6 4 9 6" xfId="19589"/>
    <cellStyle name="20% - Accent6 5" xfId="1377"/>
    <cellStyle name="20% - Accent6 5 2" xfId="1378"/>
    <cellStyle name="20% - Accent6 5 2 2" xfId="1379"/>
    <cellStyle name="20% - Accent6 5 2 2 2" xfId="1380"/>
    <cellStyle name="20% - Accent6 5 2 2 2 2" xfId="1381"/>
    <cellStyle name="20% - Accent6 5 2 2 3" xfId="1382"/>
    <cellStyle name="20% - Accent6 5 2 3" xfId="1383"/>
    <cellStyle name="20% - Accent6 5 2 3 2" xfId="1384"/>
    <cellStyle name="20% - Accent6 5 2 4" xfId="1385"/>
    <cellStyle name="20% - Accent6 5 2 5" xfId="57977"/>
    <cellStyle name="20% - Accent6 5 3" xfId="1386"/>
    <cellStyle name="20% - Accent6 5 3 2" xfId="1387"/>
    <cellStyle name="20% - Accent6 5 3 2 2" xfId="1388"/>
    <cellStyle name="20% - Accent6 5 3 3" xfId="1389"/>
    <cellStyle name="20% - Accent6 5 4" xfId="1390"/>
    <cellStyle name="20% - Accent6 5 4 2" xfId="1391"/>
    <cellStyle name="20% - Accent6 5 5" xfId="1392"/>
    <cellStyle name="20% - Accent6 5 6" xfId="8944"/>
    <cellStyle name="20% - Accent6 6" xfId="1393"/>
    <cellStyle name="20% - Accent6 6 2" xfId="1394"/>
    <cellStyle name="20% - Accent6 6 2 2" xfId="1395"/>
    <cellStyle name="20% - Accent6 6 2 2 2" xfId="1396"/>
    <cellStyle name="20% - Accent6 6 2 3" xfId="1397"/>
    <cellStyle name="20% - Accent6 6 2 4" xfId="57978"/>
    <cellStyle name="20% - Accent6 6 2 5" xfId="57979"/>
    <cellStyle name="20% - Accent6 6 3" xfId="1398"/>
    <cellStyle name="20% - Accent6 6 3 2" xfId="1399"/>
    <cellStyle name="20% - Accent6 6 4" xfId="1400"/>
    <cellStyle name="20% - Accent6 6 5" xfId="57980"/>
    <cellStyle name="20% - Accent6 7" xfId="1401"/>
    <cellStyle name="20% - Accent6 7 2" xfId="1402"/>
    <cellStyle name="20% - Accent6 7 2 2" xfId="1403"/>
    <cellStyle name="20% - Accent6 7 2 2 2" xfId="1404"/>
    <cellStyle name="20% - Accent6 7 2 3" xfId="1405"/>
    <cellStyle name="20% - Accent6 7 3" xfId="1406"/>
    <cellStyle name="20% - Accent6 7 3 2" xfId="1407"/>
    <cellStyle name="20% - Accent6 7 4" xfId="1408"/>
    <cellStyle name="20% - Accent6 7 5" xfId="57981"/>
    <cellStyle name="20% - Accent6 8" xfId="1409"/>
    <cellStyle name="20% - Accent6 8 2" xfId="1410"/>
    <cellStyle name="20% - Accent6 8 2 2" xfId="1411"/>
    <cellStyle name="20% - Accent6 8 2 2 2" xfId="1412"/>
    <cellStyle name="20% - Accent6 8 2 3" xfId="1413"/>
    <cellStyle name="20% - Accent6 8 3" xfId="1414"/>
    <cellStyle name="20% - Accent6 8 3 2" xfId="1415"/>
    <cellStyle name="20% - Accent6 8 4" xfId="1416"/>
    <cellStyle name="20% - Accent6 8 5" xfId="57982"/>
    <cellStyle name="20% - Accent6 9" xfId="1417"/>
    <cellStyle name="20% - Accent6 9 2" xfId="1418"/>
    <cellStyle name="20% - Accent6 9 2 2" xfId="1419"/>
    <cellStyle name="20% - Accent6 9 3" xfId="1420"/>
    <cellStyle name="20% - Accent6 9 4" xfId="57983"/>
    <cellStyle name="40% - Accent1 10" xfId="1421"/>
    <cellStyle name="40% - Accent1 10 2" xfId="1422"/>
    <cellStyle name="40% - Accent1 10 2 2" xfId="1423"/>
    <cellStyle name="40% - Accent1 10 3" xfId="1424"/>
    <cellStyle name="40% - Accent1 10 4" xfId="57984"/>
    <cellStyle name="40% - Accent1 11" xfId="1425"/>
    <cellStyle name="40% - Accent1 11 2" xfId="1426"/>
    <cellStyle name="40% - Accent1 11 2 2" xfId="1427"/>
    <cellStyle name="40% - Accent1 11 3" xfId="1428"/>
    <cellStyle name="40% - Accent1 11 4" xfId="57985"/>
    <cellStyle name="40% - Accent1 12" xfId="1429"/>
    <cellStyle name="40% - Accent1 12 2" xfId="1430"/>
    <cellStyle name="40% - Accent1 12 3" xfId="57986"/>
    <cellStyle name="40% - Accent1 13" xfId="1431"/>
    <cellStyle name="40% - Accent1 13 2" xfId="57987"/>
    <cellStyle name="40% - Accent1 14" xfId="8945"/>
    <cellStyle name="40% - Accent1 15" xfId="9396"/>
    <cellStyle name="40% - Accent1 16" xfId="9397"/>
    <cellStyle name="40% - Accent1 17" xfId="9398"/>
    <cellStyle name="40% - Accent1 17 2" xfId="57988"/>
    <cellStyle name="40% - Accent1 18" xfId="57989"/>
    <cellStyle name="40% - Accent1 19" xfId="57990"/>
    <cellStyle name="40% - Accent1 2" xfId="1432"/>
    <cellStyle name="40% - Accent1 2 2" xfId="1433"/>
    <cellStyle name="40% - Accent1 2 2 2" xfId="1434"/>
    <cellStyle name="40% - Accent1 2 2 2 2" xfId="1435"/>
    <cellStyle name="40% - Accent1 2 2 2 2 2" xfId="1436"/>
    <cellStyle name="40% - Accent1 2 2 2 2 2 2" xfId="1437"/>
    <cellStyle name="40% - Accent1 2 2 2 2 2 2 2" xfId="1438"/>
    <cellStyle name="40% - Accent1 2 2 2 2 2 3" xfId="1439"/>
    <cellStyle name="40% - Accent1 2 2 2 2 3" xfId="1440"/>
    <cellStyle name="40% - Accent1 2 2 2 2 3 2" xfId="1441"/>
    <cellStyle name="40% - Accent1 2 2 2 2 4" xfId="1442"/>
    <cellStyle name="40% - Accent1 2 2 2 2 5" xfId="57991"/>
    <cellStyle name="40% - Accent1 2 2 2 3" xfId="1443"/>
    <cellStyle name="40% - Accent1 2 2 2 3 2" xfId="1444"/>
    <cellStyle name="40% - Accent1 2 2 2 3 2 2" xfId="1445"/>
    <cellStyle name="40% - Accent1 2 2 2 3 3" xfId="1446"/>
    <cellStyle name="40% - Accent1 2 2 2 4" xfId="1447"/>
    <cellStyle name="40% - Accent1 2 2 2 4 2" xfId="1448"/>
    <cellStyle name="40% - Accent1 2 2 2 5" xfId="1449"/>
    <cellStyle name="40% - Accent1 2 2 2 6" xfId="57992"/>
    <cellStyle name="40% - Accent1 2 2 3" xfId="1450"/>
    <cellStyle name="40% - Accent1 2 2 3 2" xfId="1451"/>
    <cellStyle name="40% - Accent1 2 2 3 2 2" xfId="1452"/>
    <cellStyle name="40% - Accent1 2 2 3 2 2 2" xfId="1453"/>
    <cellStyle name="40% - Accent1 2 2 3 2 3" xfId="1454"/>
    <cellStyle name="40% - Accent1 2 2 3 3" xfId="1455"/>
    <cellStyle name="40% - Accent1 2 2 3 3 2" xfId="1456"/>
    <cellStyle name="40% - Accent1 2 2 3 4" xfId="1457"/>
    <cellStyle name="40% - Accent1 2 2 3 5" xfId="57993"/>
    <cellStyle name="40% - Accent1 2 2 4" xfId="1458"/>
    <cellStyle name="40% - Accent1 2 2 4 2" xfId="1459"/>
    <cellStyle name="40% - Accent1 2 2 4 2 2" xfId="1460"/>
    <cellStyle name="40% - Accent1 2 2 4 3" xfId="1461"/>
    <cellStyle name="40% - Accent1 2 2 5" xfId="1462"/>
    <cellStyle name="40% - Accent1 2 2 5 2" xfId="1463"/>
    <cellStyle name="40% - Accent1 2 2 6" xfId="1464"/>
    <cellStyle name="40% - Accent1 2 2 7" xfId="57994"/>
    <cellStyle name="40% - Accent1 2 3" xfId="1465"/>
    <cellStyle name="40% - Accent1 2 3 2" xfId="1466"/>
    <cellStyle name="40% - Accent1 2 3 2 2" xfId="1467"/>
    <cellStyle name="40% - Accent1 2 3 2 2 2" xfId="1468"/>
    <cellStyle name="40% - Accent1 2 3 2 2 2 2" xfId="1469"/>
    <cellStyle name="40% - Accent1 2 3 2 2 3" xfId="1470"/>
    <cellStyle name="40% - Accent1 2 3 2 3" xfId="1471"/>
    <cellStyle name="40% - Accent1 2 3 2 3 2" xfId="1472"/>
    <cellStyle name="40% - Accent1 2 3 2 4" xfId="1473"/>
    <cellStyle name="40% - Accent1 2 3 3" xfId="1474"/>
    <cellStyle name="40% - Accent1 2 3 3 2" xfId="1475"/>
    <cellStyle name="40% - Accent1 2 3 3 2 2" xfId="1476"/>
    <cellStyle name="40% - Accent1 2 3 3 3" xfId="1477"/>
    <cellStyle name="40% - Accent1 2 3 4" xfId="1478"/>
    <cellStyle name="40% - Accent1 2 3 4 2" xfId="1479"/>
    <cellStyle name="40% - Accent1 2 3 5" xfId="1480"/>
    <cellStyle name="40% - Accent1 2 3 6" xfId="57995"/>
    <cellStyle name="40% - Accent1 2 4" xfId="1481"/>
    <cellStyle name="40% - Accent1 2 4 2" xfId="1482"/>
    <cellStyle name="40% - Accent1 2 4 2 2" xfId="1483"/>
    <cellStyle name="40% - Accent1 2 4 2 2 2" xfId="1484"/>
    <cellStyle name="40% - Accent1 2 4 2 3" xfId="1485"/>
    <cellStyle name="40% - Accent1 2 4 3" xfId="1486"/>
    <cellStyle name="40% - Accent1 2 4 3 2" xfId="1487"/>
    <cellStyle name="40% - Accent1 2 4 4" xfId="1488"/>
    <cellStyle name="40% - Accent1 2 4 5" xfId="57996"/>
    <cellStyle name="40% - Accent1 2 5" xfId="1489"/>
    <cellStyle name="40% - Accent1 2 5 2" xfId="1490"/>
    <cellStyle name="40% - Accent1 2 5 2 2" xfId="1491"/>
    <cellStyle name="40% - Accent1 2 5 3" xfId="1492"/>
    <cellStyle name="40% - Accent1 2 5 4" xfId="57997"/>
    <cellStyle name="40% - Accent1 2 6" xfId="1493"/>
    <cellStyle name="40% - Accent1 2 6 2" xfId="1494"/>
    <cellStyle name="40% - Accent1 2 6 3" xfId="57998"/>
    <cellStyle name="40% - Accent1 2 7" xfId="1495"/>
    <cellStyle name="40% - Accent1 2 8" xfId="1496"/>
    <cellStyle name="40% - Accent1 2 9" xfId="57999"/>
    <cellStyle name="40% - Accent1 20" xfId="58000"/>
    <cellStyle name="40% - Accent1 21" xfId="58001"/>
    <cellStyle name="40% - Accent1 3" xfId="1497"/>
    <cellStyle name="40% - Accent1 3 2" xfId="1498"/>
    <cellStyle name="40% - Accent1 3 2 2" xfId="1499"/>
    <cellStyle name="40% - Accent1 3 2 2 2" xfId="1500"/>
    <cellStyle name="40% - Accent1 3 2 2 2 2" xfId="1501"/>
    <cellStyle name="40% - Accent1 3 2 2 2 2 2" xfId="1502"/>
    <cellStyle name="40% - Accent1 3 2 2 2 2 2 2" xfId="1503"/>
    <cellStyle name="40% - Accent1 3 2 2 2 2 3" xfId="1504"/>
    <cellStyle name="40% - Accent1 3 2 2 2 3" xfId="1505"/>
    <cellStyle name="40% - Accent1 3 2 2 2 3 2" xfId="1506"/>
    <cellStyle name="40% - Accent1 3 2 2 2 4" xfId="1507"/>
    <cellStyle name="40% - Accent1 3 2 2 2 5" xfId="8946"/>
    <cellStyle name="40% - Accent1 3 2 2 3" xfId="1508"/>
    <cellStyle name="40% - Accent1 3 2 2 3 2" xfId="1509"/>
    <cellStyle name="40% - Accent1 3 2 2 3 2 2" xfId="1510"/>
    <cellStyle name="40% - Accent1 3 2 2 3 3" xfId="1511"/>
    <cellStyle name="40% - Accent1 3 2 2 4" xfId="1512"/>
    <cellStyle name="40% - Accent1 3 2 2 4 2" xfId="1513"/>
    <cellStyle name="40% - Accent1 3 2 2 5" xfId="1514"/>
    <cellStyle name="40% - Accent1 3 2 2 6" xfId="8947"/>
    <cellStyle name="40% - Accent1 3 2 3" xfId="1515"/>
    <cellStyle name="40% - Accent1 3 2 3 2" xfId="1516"/>
    <cellStyle name="40% - Accent1 3 2 3 2 2" xfId="1517"/>
    <cellStyle name="40% - Accent1 3 2 3 2 2 2" xfId="1518"/>
    <cellStyle name="40% - Accent1 3 2 3 2 3" xfId="1519"/>
    <cellStyle name="40% - Accent1 3 2 3 3" xfId="1520"/>
    <cellStyle name="40% - Accent1 3 2 3 3 2" xfId="1521"/>
    <cellStyle name="40% - Accent1 3 2 3 4" xfId="1522"/>
    <cellStyle name="40% - Accent1 3 2 3 5" xfId="8948"/>
    <cellStyle name="40% - Accent1 3 2 4" xfId="1523"/>
    <cellStyle name="40% - Accent1 3 2 4 2" xfId="1524"/>
    <cellStyle name="40% - Accent1 3 2 4 2 2" xfId="1525"/>
    <cellStyle name="40% - Accent1 3 2 4 3" xfId="1526"/>
    <cellStyle name="40% - Accent1 3 2 5" xfId="1527"/>
    <cellStyle name="40% - Accent1 3 2 5 2" xfId="1528"/>
    <cellStyle name="40% - Accent1 3 2 6" xfId="1529"/>
    <cellStyle name="40% - Accent1 3 2 7" xfId="8949"/>
    <cellStyle name="40% - Accent1 3 3" xfId="1530"/>
    <cellStyle name="40% - Accent1 3 3 2" xfId="1531"/>
    <cellStyle name="40% - Accent1 3 3 2 2" xfId="1532"/>
    <cellStyle name="40% - Accent1 3 3 2 2 2" xfId="1533"/>
    <cellStyle name="40% - Accent1 3 3 2 2 2 2" xfId="1534"/>
    <cellStyle name="40% - Accent1 3 3 2 2 3" xfId="1535"/>
    <cellStyle name="40% - Accent1 3 3 2 3" xfId="1536"/>
    <cellStyle name="40% - Accent1 3 3 2 3 2" xfId="1537"/>
    <cellStyle name="40% - Accent1 3 3 2 4" xfId="1538"/>
    <cellStyle name="40% - Accent1 3 3 2 5" xfId="8950"/>
    <cellStyle name="40% - Accent1 3 3 3" xfId="1539"/>
    <cellStyle name="40% - Accent1 3 3 3 2" xfId="1540"/>
    <cellStyle name="40% - Accent1 3 3 3 2 2" xfId="1541"/>
    <cellStyle name="40% - Accent1 3 3 3 3" xfId="1542"/>
    <cellStyle name="40% - Accent1 3 3 4" xfId="1543"/>
    <cellStyle name="40% - Accent1 3 3 4 2" xfId="1544"/>
    <cellStyle name="40% - Accent1 3 3 5" xfId="1545"/>
    <cellStyle name="40% - Accent1 3 3 6" xfId="8951"/>
    <cellStyle name="40% - Accent1 3 4" xfId="1546"/>
    <cellStyle name="40% - Accent1 3 4 2" xfId="1547"/>
    <cellStyle name="40% - Accent1 3 4 2 2" xfId="1548"/>
    <cellStyle name="40% - Accent1 3 4 2 2 2" xfId="1549"/>
    <cellStyle name="40% - Accent1 3 4 2 3" xfId="1550"/>
    <cellStyle name="40% - Accent1 3 4 3" xfId="1551"/>
    <cellStyle name="40% - Accent1 3 4 3 2" xfId="1552"/>
    <cellStyle name="40% - Accent1 3 4 4" xfId="1553"/>
    <cellStyle name="40% - Accent1 3 4 5" xfId="8952"/>
    <cellStyle name="40% - Accent1 3 5" xfId="1554"/>
    <cellStyle name="40% - Accent1 3 5 2" xfId="1555"/>
    <cellStyle name="40% - Accent1 3 5 2 2" xfId="1556"/>
    <cellStyle name="40% - Accent1 3 5 3" xfId="1557"/>
    <cellStyle name="40% - Accent1 3 6" xfId="1558"/>
    <cellStyle name="40% - Accent1 3 6 2" xfId="1559"/>
    <cellStyle name="40% - Accent1 3 7" xfId="1560"/>
    <cellStyle name="40% - Accent1 3 8" xfId="1561"/>
    <cellStyle name="40% - Accent1 3 9" xfId="8953"/>
    <cellStyle name="40% - Accent1 4" xfId="1562"/>
    <cellStyle name="40% - Accent1 4 10" xfId="19590"/>
    <cellStyle name="40% - Accent1 4 10 2" xfId="19591"/>
    <cellStyle name="40% - Accent1 4 10 2 2" xfId="19592"/>
    <cellStyle name="40% - Accent1 4 10 2 3" xfId="19593"/>
    <cellStyle name="40% - Accent1 4 10 3" xfId="19594"/>
    <cellStyle name="40% - Accent1 4 10 3 2" xfId="19595"/>
    <cellStyle name="40% - Accent1 4 10 4" xfId="19596"/>
    <cellStyle name="40% - Accent1 4 10 5" xfId="19597"/>
    <cellStyle name="40% - Accent1 4 11" xfId="19598"/>
    <cellStyle name="40% - Accent1 4 11 2" xfId="19599"/>
    <cellStyle name="40% - Accent1 4 11 3" xfId="19600"/>
    <cellStyle name="40% - Accent1 4 12" xfId="19601"/>
    <cellStyle name="40% - Accent1 4 12 2" xfId="19602"/>
    <cellStyle name="40% - Accent1 4 12 3" xfId="19603"/>
    <cellStyle name="40% - Accent1 4 13" xfId="19604"/>
    <cellStyle name="40% - Accent1 4 13 2" xfId="19605"/>
    <cellStyle name="40% - Accent1 4 14" xfId="19606"/>
    <cellStyle name="40% - Accent1 4 15" xfId="19607"/>
    <cellStyle name="40% - Accent1 4 16" xfId="19608"/>
    <cellStyle name="40% - Accent1 4 2" xfId="1563"/>
    <cellStyle name="40% - Accent1 4 2 10" xfId="19609"/>
    <cellStyle name="40% - Accent1 4 2 10 2" xfId="19610"/>
    <cellStyle name="40% - Accent1 4 2 10 3" xfId="19611"/>
    <cellStyle name="40% - Accent1 4 2 11" xfId="19612"/>
    <cellStyle name="40% - Accent1 4 2 11 2" xfId="19613"/>
    <cellStyle name="40% - Accent1 4 2 11 3" xfId="19614"/>
    <cellStyle name="40% - Accent1 4 2 12" xfId="19615"/>
    <cellStyle name="40% - Accent1 4 2 12 2" xfId="19616"/>
    <cellStyle name="40% - Accent1 4 2 13" xfId="19617"/>
    <cellStyle name="40% - Accent1 4 2 14" xfId="19618"/>
    <cellStyle name="40% - Accent1 4 2 15" xfId="19619"/>
    <cellStyle name="40% - Accent1 4 2 2" xfId="1564"/>
    <cellStyle name="40% - Accent1 4 2 2 10" xfId="19620"/>
    <cellStyle name="40% - Accent1 4 2 2 10 2" xfId="19621"/>
    <cellStyle name="40% - Accent1 4 2 2 10 3" xfId="19622"/>
    <cellStyle name="40% - Accent1 4 2 2 11" xfId="19623"/>
    <cellStyle name="40% - Accent1 4 2 2 11 2" xfId="19624"/>
    <cellStyle name="40% - Accent1 4 2 2 12" xfId="19625"/>
    <cellStyle name="40% - Accent1 4 2 2 13" xfId="19626"/>
    <cellStyle name="40% - Accent1 4 2 2 2" xfId="1565"/>
    <cellStyle name="40% - Accent1 4 2 2 2 10" xfId="19627"/>
    <cellStyle name="40% - Accent1 4 2 2 2 10 2" xfId="19628"/>
    <cellStyle name="40% - Accent1 4 2 2 2 11" xfId="19629"/>
    <cellStyle name="40% - Accent1 4 2 2 2 12" xfId="19630"/>
    <cellStyle name="40% - Accent1 4 2 2 2 2" xfId="1566"/>
    <cellStyle name="40% - Accent1 4 2 2 2 2 10" xfId="19631"/>
    <cellStyle name="40% - Accent1 4 2 2 2 2 2" xfId="1567"/>
    <cellStyle name="40% - Accent1 4 2 2 2 2 2 2" xfId="19632"/>
    <cellStyle name="40% - Accent1 4 2 2 2 2 2 2 2" xfId="19633"/>
    <cellStyle name="40% - Accent1 4 2 2 2 2 2 2 2 2" xfId="19634"/>
    <cellStyle name="40% - Accent1 4 2 2 2 2 2 2 2 3" xfId="19635"/>
    <cellStyle name="40% - Accent1 4 2 2 2 2 2 2 3" xfId="19636"/>
    <cellStyle name="40% - Accent1 4 2 2 2 2 2 2 3 2" xfId="19637"/>
    <cellStyle name="40% - Accent1 4 2 2 2 2 2 2 3 3" xfId="19638"/>
    <cellStyle name="40% - Accent1 4 2 2 2 2 2 2 4" xfId="19639"/>
    <cellStyle name="40% - Accent1 4 2 2 2 2 2 2 4 2" xfId="19640"/>
    <cellStyle name="40% - Accent1 4 2 2 2 2 2 2 5" xfId="19641"/>
    <cellStyle name="40% - Accent1 4 2 2 2 2 2 2 6" xfId="19642"/>
    <cellStyle name="40% - Accent1 4 2 2 2 2 2 3" xfId="19643"/>
    <cellStyle name="40% - Accent1 4 2 2 2 2 2 3 2" xfId="19644"/>
    <cellStyle name="40% - Accent1 4 2 2 2 2 2 3 2 2" xfId="19645"/>
    <cellStyle name="40% - Accent1 4 2 2 2 2 2 3 2 3" xfId="19646"/>
    <cellStyle name="40% - Accent1 4 2 2 2 2 2 3 3" xfId="19647"/>
    <cellStyle name="40% - Accent1 4 2 2 2 2 2 3 3 2" xfId="19648"/>
    <cellStyle name="40% - Accent1 4 2 2 2 2 2 3 3 3" xfId="19649"/>
    <cellStyle name="40% - Accent1 4 2 2 2 2 2 3 4" xfId="19650"/>
    <cellStyle name="40% - Accent1 4 2 2 2 2 2 3 4 2" xfId="19651"/>
    <cellStyle name="40% - Accent1 4 2 2 2 2 2 3 5" xfId="19652"/>
    <cellStyle name="40% - Accent1 4 2 2 2 2 2 3 6" xfId="19653"/>
    <cellStyle name="40% - Accent1 4 2 2 2 2 2 4" xfId="19654"/>
    <cellStyle name="40% - Accent1 4 2 2 2 2 2 4 2" xfId="19655"/>
    <cellStyle name="40% - Accent1 4 2 2 2 2 2 4 2 2" xfId="19656"/>
    <cellStyle name="40% - Accent1 4 2 2 2 2 2 4 2 3" xfId="19657"/>
    <cellStyle name="40% - Accent1 4 2 2 2 2 2 4 3" xfId="19658"/>
    <cellStyle name="40% - Accent1 4 2 2 2 2 2 4 3 2" xfId="19659"/>
    <cellStyle name="40% - Accent1 4 2 2 2 2 2 4 4" xfId="19660"/>
    <cellStyle name="40% - Accent1 4 2 2 2 2 2 4 5" xfId="19661"/>
    <cellStyle name="40% - Accent1 4 2 2 2 2 2 5" xfId="19662"/>
    <cellStyle name="40% - Accent1 4 2 2 2 2 2 5 2" xfId="19663"/>
    <cellStyle name="40% - Accent1 4 2 2 2 2 2 5 3" xfId="19664"/>
    <cellStyle name="40% - Accent1 4 2 2 2 2 2 6" xfId="19665"/>
    <cellStyle name="40% - Accent1 4 2 2 2 2 2 6 2" xfId="19666"/>
    <cellStyle name="40% - Accent1 4 2 2 2 2 2 6 3" xfId="19667"/>
    <cellStyle name="40% - Accent1 4 2 2 2 2 2 7" xfId="19668"/>
    <cellStyle name="40% - Accent1 4 2 2 2 2 2 7 2" xfId="19669"/>
    <cellStyle name="40% - Accent1 4 2 2 2 2 2 8" xfId="19670"/>
    <cellStyle name="40% - Accent1 4 2 2 2 2 2 9" xfId="19671"/>
    <cellStyle name="40% - Accent1 4 2 2 2 2 3" xfId="19672"/>
    <cellStyle name="40% - Accent1 4 2 2 2 2 3 2" xfId="19673"/>
    <cellStyle name="40% - Accent1 4 2 2 2 2 3 2 2" xfId="19674"/>
    <cellStyle name="40% - Accent1 4 2 2 2 2 3 2 3" xfId="19675"/>
    <cellStyle name="40% - Accent1 4 2 2 2 2 3 3" xfId="19676"/>
    <cellStyle name="40% - Accent1 4 2 2 2 2 3 3 2" xfId="19677"/>
    <cellStyle name="40% - Accent1 4 2 2 2 2 3 3 3" xfId="19678"/>
    <cellStyle name="40% - Accent1 4 2 2 2 2 3 4" xfId="19679"/>
    <cellStyle name="40% - Accent1 4 2 2 2 2 3 4 2" xfId="19680"/>
    <cellStyle name="40% - Accent1 4 2 2 2 2 3 5" xfId="19681"/>
    <cellStyle name="40% - Accent1 4 2 2 2 2 3 6" xfId="19682"/>
    <cellStyle name="40% - Accent1 4 2 2 2 2 4" xfId="19683"/>
    <cellStyle name="40% - Accent1 4 2 2 2 2 4 2" xfId="19684"/>
    <cellStyle name="40% - Accent1 4 2 2 2 2 4 2 2" xfId="19685"/>
    <cellStyle name="40% - Accent1 4 2 2 2 2 4 2 3" xfId="19686"/>
    <cellStyle name="40% - Accent1 4 2 2 2 2 4 3" xfId="19687"/>
    <cellStyle name="40% - Accent1 4 2 2 2 2 4 3 2" xfId="19688"/>
    <cellStyle name="40% - Accent1 4 2 2 2 2 4 3 3" xfId="19689"/>
    <cellStyle name="40% - Accent1 4 2 2 2 2 4 4" xfId="19690"/>
    <cellStyle name="40% - Accent1 4 2 2 2 2 4 4 2" xfId="19691"/>
    <cellStyle name="40% - Accent1 4 2 2 2 2 4 5" xfId="19692"/>
    <cellStyle name="40% - Accent1 4 2 2 2 2 4 6" xfId="19693"/>
    <cellStyle name="40% - Accent1 4 2 2 2 2 5" xfId="19694"/>
    <cellStyle name="40% - Accent1 4 2 2 2 2 5 2" xfId="19695"/>
    <cellStyle name="40% - Accent1 4 2 2 2 2 5 2 2" xfId="19696"/>
    <cellStyle name="40% - Accent1 4 2 2 2 2 5 2 3" xfId="19697"/>
    <cellStyle name="40% - Accent1 4 2 2 2 2 5 3" xfId="19698"/>
    <cellStyle name="40% - Accent1 4 2 2 2 2 5 3 2" xfId="19699"/>
    <cellStyle name="40% - Accent1 4 2 2 2 2 5 4" xfId="19700"/>
    <cellStyle name="40% - Accent1 4 2 2 2 2 5 5" xfId="19701"/>
    <cellStyle name="40% - Accent1 4 2 2 2 2 6" xfId="19702"/>
    <cellStyle name="40% - Accent1 4 2 2 2 2 6 2" xfId="19703"/>
    <cellStyle name="40% - Accent1 4 2 2 2 2 6 3" xfId="19704"/>
    <cellStyle name="40% - Accent1 4 2 2 2 2 7" xfId="19705"/>
    <cellStyle name="40% - Accent1 4 2 2 2 2 7 2" xfId="19706"/>
    <cellStyle name="40% - Accent1 4 2 2 2 2 7 3" xfId="19707"/>
    <cellStyle name="40% - Accent1 4 2 2 2 2 8" xfId="19708"/>
    <cellStyle name="40% - Accent1 4 2 2 2 2 8 2" xfId="19709"/>
    <cellStyle name="40% - Accent1 4 2 2 2 2 9" xfId="19710"/>
    <cellStyle name="40% - Accent1 4 2 2 2 3" xfId="1568"/>
    <cellStyle name="40% - Accent1 4 2 2 2 3 2" xfId="19711"/>
    <cellStyle name="40% - Accent1 4 2 2 2 3 2 2" xfId="19712"/>
    <cellStyle name="40% - Accent1 4 2 2 2 3 2 2 2" xfId="19713"/>
    <cellStyle name="40% - Accent1 4 2 2 2 3 2 2 3" xfId="19714"/>
    <cellStyle name="40% - Accent1 4 2 2 2 3 2 3" xfId="19715"/>
    <cellStyle name="40% - Accent1 4 2 2 2 3 2 3 2" xfId="19716"/>
    <cellStyle name="40% - Accent1 4 2 2 2 3 2 3 3" xfId="19717"/>
    <cellStyle name="40% - Accent1 4 2 2 2 3 2 4" xfId="19718"/>
    <cellStyle name="40% - Accent1 4 2 2 2 3 2 4 2" xfId="19719"/>
    <cellStyle name="40% - Accent1 4 2 2 2 3 2 5" xfId="19720"/>
    <cellStyle name="40% - Accent1 4 2 2 2 3 2 6" xfId="19721"/>
    <cellStyle name="40% - Accent1 4 2 2 2 3 3" xfId="19722"/>
    <cellStyle name="40% - Accent1 4 2 2 2 3 3 2" xfId="19723"/>
    <cellStyle name="40% - Accent1 4 2 2 2 3 3 2 2" xfId="19724"/>
    <cellStyle name="40% - Accent1 4 2 2 2 3 3 2 3" xfId="19725"/>
    <cellStyle name="40% - Accent1 4 2 2 2 3 3 3" xfId="19726"/>
    <cellStyle name="40% - Accent1 4 2 2 2 3 3 3 2" xfId="19727"/>
    <cellStyle name="40% - Accent1 4 2 2 2 3 3 3 3" xfId="19728"/>
    <cellStyle name="40% - Accent1 4 2 2 2 3 3 4" xfId="19729"/>
    <cellStyle name="40% - Accent1 4 2 2 2 3 3 4 2" xfId="19730"/>
    <cellStyle name="40% - Accent1 4 2 2 2 3 3 5" xfId="19731"/>
    <cellStyle name="40% - Accent1 4 2 2 2 3 3 6" xfId="19732"/>
    <cellStyle name="40% - Accent1 4 2 2 2 3 4" xfId="19733"/>
    <cellStyle name="40% - Accent1 4 2 2 2 3 4 2" xfId="19734"/>
    <cellStyle name="40% - Accent1 4 2 2 2 3 4 2 2" xfId="19735"/>
    <cellStyle name="40% - Accent1 4 2 2 2 3 4 2 3" xfId="19736"/>
    <cellStyle name="40% - Accent1 4 2 2 2 3 4 3" xfId="19737"/>
    <cellStyle name="40% - Accent1 4 2 2 2 3 4 3 2" xfId="19738"/>
    <cellStyle name="40% - Accent1 4 2 2 2 3 4 4" xfId="19739"/>
    <cellStyle name="40% - Accent1 4 2 2 2 3 4 5" xfId="19740"/>
    <cellStyle name="40% - Accent1 4 2 2 2 3 5" xfId="19741"/>
    <cellStyle name="40% - Accent1 4 2 2 2 3 5 2" xfId="19742"/>
    <cellStyle name="40% - Accent1 4 2 2 2 3 5 3" xfId="19743"/>
    <cellStyle name="40% - Accent1 4 2 2 2 3 6" xfId="19744"/>
    <cellStyle name="40% - Accent1 4 2 2 2 3 6 2" xfId="19745"/>
    <cellStyle name="40% - Accent1 4 2 2 2 3 6 3" xfId="19746"/>
    <cellStyle name="40% - Accent1 4 2 2 2 3 7" xfId="19747"/>
    <cellStyle name="40% - Accent1 4 2 2 2 3 7 2" xfId="19748"/>
    <cellStyle name="40% - Accent1 4 2 2 2 3 8" xfId="19749"/>
    <cellStyle name="40% - Accent1 4 2 2 2 3 9" xfId="19750"/>
    <cellStyle name="40% - Accent1 4 2 2 2 4" xfId="19751"/>
    <cellStyle name="40% - Accent1 4 2 2 2 4 2" xfId="19752"/>
    <cellStyle name="40% - Accent1 4 2 2 2 4 2 2" xfId="19753"/>
    <cellStyle name="40% - Accent1 4 2 2 2 4 2 2 2" xfId="19754"/>
    <cellStyle name="40% - Accent1 4 2 2 2 4 2 2 3" xfId="19755"/>
    <cellStyle name="40% - Accent1 4 2 2 2 4 2 3" xfId="19756"/>
    <cellStyle name="40% - Accent1 4 2 2 2 4 2 3 2" xfId="19757"/>
    <cellStyle name="40% - Accent1 4 2 2 2 4 2 3 3" xfId="19758"/>
    <cellStyle name="40% - Accent1 4 2 2 2 4 2 4" xfId="19759"/>
    <cellStyle name="40% - Accent1 4 2 2 2 4 2 4 2" xfId="19760"/>
    <cellStyle name="40% - Accent1 4 2 2 2 4 2 5" xfId="19761"/>
    <cellStyle name="40% - Accent1 4 2 2 2 4 2 6" xfId="19762"/>
    <cellStyle name="40% - Accent1 4 2 2 2 4 3" xfId="19763"/>
    <cellStyle name="40% - Accent1 4 2 2 2 4 3 2" xfId="19764"/>
    <cellStyle name="40% - Accent1 4 2 2 2 4 3 2 2" xfId="19765"/>
    <cellStyle name="40% - Accent1 4 2 2 2 4 3 2 3" xfId="19766"/>
    <cellStyle name="40% - Accent1 4 2 2 2 4 3 3" xfId="19767"/>
    <cellStyle name="40% - Accent1 4 2 2 2 4 3 3 2" xfId="19768"/>
    <cellStyle name="40% - Accent1 4 2 2 2 4 3 3 3" xfId="19769"/>
    <cellStyle name="40% - Accent1 4 2 2 2 4 3 4" xfId="19770"/>
    <cellStyle name="40% - Accent1 4 2 2 2 4 3 4 2" xfId="19771"/>
    <cellStyle name="40% - Accent1 4 2 2 2 4 3 5" xfId="19772"/>
    <cellStyle name="40% - Accent1 4 2 2 2 4 3 6" xfId="19773"/>
    <cellStyle name="40% - Accent1 4 2 2 2 4 4" xfId="19774"/>
    <cellStyle name="40% - Accent1 4 2 2 2 4 4 2" xfId="19775"/>
    <cellStyle name="40% - Accent1 4 2 2 2 4 4 2 2" xfId="19776"/>
    <cellStyle name="40% - Accent1 4 2 2 2 4 4 2 3" xfId="19777"/>
    <cellStyle name="40% - Accent1 4 2 2 2 4 4 3" xfId="19778"/>
    <cellStyle name="40% - Accent1 4 2 2 2 4 4 3 2" xfId="19779"/>
    <cellStyle name="40% - Accent1 4 2 2 2 4 4 4" xfId="19780"/>
    <cellStyle name="40% - Accent1 4 2 2 2 4 4 5" xfId="19781"/>
    <cellStyle name="40% - Accent1 4 2 2 2 4 5" xfId="19782"/>
    <cellStyle name="40% - Accent1 4 2 2 2 4 5 2" xfId="19783"/>
    <cellStyle name="40% - Accent1 4 2 2 2 4 5 3" xfId="19784"/>
    <cellStyle name="40% - Accent1 4 2 2 2 4 6" xfId="19785"/>
    <cellStyle name="40% - Accent1 4 2 2 2 4 6 2" xfId="19786"/>
    <cellStyle name="40% - Accent1 4 2 2 2 4 6 3" xfId="19787"/>
    <cellStyle name="40% - Accent1 4 2 2 2 4 7" xfId="19788"/>
    <cellStyle name="40% - Accent1 4 2 2 2 4 7 2" xfId="19789"/>
    <cellStyle name="40% - Accent1 4 2 2 2 4 8" xfId="19790"/>
    <cellStyle name="40% - Accent1 4 2 2 2 4 9" xfId="19791"/>
    <cellStyle name="40% - Accent1 4 2 2 2 5" xfId="19792"/>
    <cellStyle name="40% - Accent1 4 2 2 2 5 2" xfId="19793"/>
    <cellStyle name="40% - Accent1 4 2 2 2 5 2 2" xfId="19794"/>
    <cellStyle name="40% - Accent1 4 2 2 2 5 2 3" xfId="19795"/>
    <cellStyle name="40% - Accent1 4 2 2 2 5 3" xfId="19796"/>
    <cellStyle name="40% - Accent1 4 2 2 2 5 3 2" xfId="19797"/>
    <cellStyle name="40% - Accent1 4 2 2 2 5 3 3" xfId="19798"/>
    <cellStyle name="40% - Accent1 4 2 2 2 5 4" xfId="19799"/>
    <cellStyle name="40% - Accent1 4 2 2 2 5 4 2" xfId="19800"/>
    <cellStyle name="40% - Accent1 4 2 2 2 5 5" xfId="19801"/>
    <cellStyle name="40% - Accent1 4 2 2 2 5 6" xfId="19802"/>
    <cellStyle name="40% - Accent1 4 2 2 2 6" xfId="19803"/>
    <cellStyle name="40% - Accent1 4 2 2 2 6 2" xfId="19804"/>
    <cellStyle name="40% - Accent1 4 2 2 2 6 2 2" xfId="19805"/>
    <cellStyle name="40% - Accent1 4 2 2 2 6 2 3" xfId="19806"/>
    <cellStyle name="40% - Accent1 4 2 2 2 6 3" xfId="19807"/>
    <cellStyle name="40% - Accent1 4 2 2 2 6 3 2" xfId="19808"/>
    <cellStyle name="40% - Accent1 4 2 2 2 6 3 3" xfId="19809"/>
    <cellStyle name="40% - Accent1 4 2 2 2 6 4" xfId="19810"/>
    <cellStyle name="40% - Accent1 4 2 2 2 6 4 2" xfId="19811"/>
    <cellStyle name="40% - Accent1 4 2 2 2 6 5" xfId="19812"/>
    <cellStyle name="40% - Accent1 4 2 2 2 6 6" xfId="19813"/>
    <cellStyle name="40% - Accent1 4 2 2 2 7" xfId="19814"/>
    <cellStyle name="40% - Accent1 4 2 2 2 7 2" xfId="19815"/>
    <cellStyle name="40% - Accent1 4 2 2 2 7 2 2" xfId="19816"/>
    <cellStyle name="40% - Accent1 4 2 2 2 7 2 3" xfId="19817"/>
    <cellStyle name="40% - Accent1 4 2 2 2 7 3" xfId="19818"/>
    <cellStyle name="40% - Accent1 4 2 2 2 7 3 2" xfId="19819"/>
    <cellStyle name="40% - Accent1 4 2 2 2 7 4" xfId="19820"/>
    <cellStyle name="40% - Accent1 4 2 2 2 7 5" xfId="19821"/>
    <cellStyle name="40% - Accent1 4 2 2 2 8" xfId="19822"/>
    <cellStyle name="40% - Accent1 4 2 2 2 8 2" xfId="19823"/>
    <cellStyle name="40% - Accent1 4 2 2 2 8 3" xfId="19824"/>
    <cellStyle name="40% - Accent1 4 2 2 2 9" xfId="19825"/>
    <cellStyle name="40% - Accent1 4 2 2 2 9 2" xfId="19826"/>
    <cellStyle name="40% - Accent1 4 2 2 2 9 3" xfId="19827"/>
    <cellStyle name="40% - Accent1 4 2 2 3" xfId="1569"/>
    <cellStyle name="40% - Accent1 4 2 2 3 10" xfId="19828"/>
    <cellStyle name="40% - Accent1 4 2 2 3 2" xfId="1570"/>
    <cellStyle name="40% - Accent1 4 2 2 3 2 2" xfId="19829"/>
    <cellStyle name="40% - Accent1 4 2 2 3 2 2 2" xfId="19830"/>
    <cellStyle name="40% - Accent1 4 2 2 3 2 2 2 2" xfId="19831"/>
    <cellStyle name="40% - Accent1 4 2 2 3 2 2 2 3" xfId="19832"/>
    <cellStyle name="40% - Accent1 4 2 2 3 2 2 3" xfId="19833"/>
    <cellStyle name="40% - Accent1 4 2 2 3 2 2 3 2" xfId="19834"/>
    <cellStyle name="40% - Accent1 4 2 2 3 2 2 3 3" xfId="19835"/>
    <cellStyle name="40% - Accent1 4 2 2 3 2 2 4" xfId="19836"/>
    <cellStyle name="40% - Accent1 4 2 2 3 2 2 4 2" xfId="19837"/>
    <cellStyle name="40% - Accent1 4 2 2 3 2 2 5" xfId="19838"/>
    <cellStyle name="40% - Accent1 4 2 2 3 2 2 6" xfId="19839"/>
    <cellStyle name="40% - Accent1 4 2 2 3 2 3" xfId="19840"/>
    <cellStyle name="40% - Accent1 4 2 2 3 2 3 2" xfId="19841"/>
    <cellStyle name="40% - Accent1 4 2 2 3 2 3 2 2" xfId="19842"/>
    <cellStyle name="40% - Accent1 4 2 2 3 2 3 2 3" xfId="19843"/>
    <cellStyle name="40% - Accent1 4 2 2 3 2 3 3" xfId="19844"/>
    <cellStyle name="40% - Accent1 4 2 2 3 2 3 3 2" xfId="19845"/>
    <cellStyle name="40% - Accent1 4 2 2 3 2 3 3 3" xfId="19846"/>
    <cellStyle name="40% - Accent1 4 2 2 3 2 3 4" xfId="19847"/>
    <cellStyle name="40% - Accent1 4 2 2 3 2 3 4 2" xfId="19848"/>
    <cellStyle name="40% - Accent1 4 2 2 3 2 3 5" xfId="19849"/>
    <cellStyle name="40% - Accent1 4 2 2 3 2 3 6" xfId="19850"/>
    <cellStyle name="40% - Accent1 4 2 2 3 2 4" xfId="19851"/>
    <cellStyle name="40% - Accent1 4 2 2 3 2 4 2" xfId="19852"/>
    <cellStyle name="40% - Accent1 4 2 2 3 2 4 2 2" xfId="19853"/>
    <cellStyle name="40% - Accent1 4 2 2 3 2 4 2 3" xfId="19854"/>
    <cellStyle name="40% - Accent1 4 2 2 3 2 4 3" xfId="19855"/>
    <cellStyle name="40% - Accent1 4 2 2 3 2 4 3 2" xfId="19856"/>
    <cellStyle name="40% - Accent1 4 2 2 3 2 4 4" xfId="19857"/>
    <cellStyle name="40% - Accent1 4 2 2 3 2 4 5" xfId="19858"/>
    <cellStyle name="40% - Accent1 4 2 2 3 2 5" xfId="19859"/>
    <cellStyle name="40% - Accent1 4 2 2 3 2 5 2" xfId="19860"/>
    <cellStyle name="40% - Accent1 4 2 2 3 2 5 3" xfId="19861"/>
    <cellStyle name="40% - Accent1 4 2 2 3 2 6" xfId="19862"/>
    <cellStyle name="40% - Accent1 4 2 2 3 2 6 2" xfId="19863"/>
    <cellStyle name="40% - Accent1 4 2 2 3 2 6 3" xfId="19864"/>
    <cellStyle name="40% - Accent1 4 2 2 3 2 7" xfId="19865"/>
    <cellStyle name="40% - Accent1 4 2 2 3 2 7 2" xfId="19866"/>
    <cellStyle name="40% - Accent1 4 2 2 3 2 8" xfId="19867"/>
    <cellStyle name="40% - Accent1 4 2 2 3 2 9" xfId="19868"/>
    <cellStyle name="40% - Accent1 4 2 2 3 3" xfId="19869"/>
    <cellStyle name="40% - Accent1 4 2 2 3 3 2" xfId="19870"/>
    <cellStyle name="40% - Accent1 4 2 2 3 3 2 2" xfId="19871"/>
    <cellStyle name="40% - Accent1 4 2 2 3 3 2 3" xfId="19872"/>
    <cellStyle name="40% - Accent1 4 2 2 3 3 3" xfId="19873"/>
    <cellStyle name="40% - Accent1 4 2 2 3 3 3 2" xfId="19874"/>
    <cellStyle name="40% - Accent1 4 2 2 3 3 3 3" xfId="19875"/>
    <cellStyle name="40% - Accent1 4 2 2 3 3 4" xfId="19876"/>
    <cellStyle name="40% - Accent1 4 2 2 3 3 4 2" xfId="19877"/>
    <cellStyle name="40% - Accent1 4 2 2 3 3 5" xfId="19878"/>
    <cellStyle name="40% - Accent1 4 2 2 3 3 6" xfId="19879"/>
    <cellStyle name="40% - Accent1 4 2 2 3 4" xfId="19880"/>
    <cellStyle name="40% - Accent1 4 2 2 3 4 2" xfId="19881"/>
    <cellStyle name="40% - Accent1 4 2 2 3 4 2 2" xfId="19882"/>
    <cellStyle name="40% - Accent1 4 2 2 3 4 2 3" xfId="19883"/>
    <cellStyle name="40% - Accent1 4 2 2 3 4 3" xfId="19884"/>
    <cellStyle name="40% - Accent1 4 2 2 3 4 3 2" xfId="19885"/>
    <cellStyle name="40% - Accent1 4 2 2 3 4 3 3" xfId="19886"/>
    <cellStyle name="40% - Accent1 4 2 2 3 4 4" xfId="19887"/>
    <cellStyle name="40% - Accent1 4 2 2 3 4 4 2" xfId="19888"/>
    <cellStyle name="40% - Accent1 4 2 2 3 4 5" xfId="19889"/>
    <cellStyle name="40% - Accent1 4 2 2 3 4 6" xfId="19890"/>
    <cellStyle name="40% - Accent1 4 2 2 3 5" xfId="19891"/>
    <cellStyle name="40% - Accent1 4 2 2 3 5 2" xfId="19892"/>
    <cellStyle name="40% - Accent1 4 2 2 3 5 2 2" xfId="19893"/>
    <cellStyle name="40% - Accent1 4 2 2 3 5 2 3" xfId="19894"/>
    <cellStyle name="40% - Accent1 4 2 2 3 5 3" xfId="19895"/>
    <cellStyle name="40% - Accent1 4 2 2 3 5 3 2" xfId="19896"/>
    <cellStyle name="40% - Accent1 4 2 2 3 5 4" xfId="19897"/>
    <cellStyle name="40% - Accent1 4 2 2 3 5 5" xfId="19898"/>
    <cellStyle name="40% - Accent1 4 2 2 3 6" xfId="19899"/>
    <cellStyle name="40% - Accent1 4 2 2 3 6 2" xfId="19900"/>
    <cellStyle name="40% - Accent1 4 2 2 3 6 3" xfId="19901"/>
    <cellStyle name="40% - Accent1 4 2 2 3 7" xfId="19902"/>
    <cellStyle name="40% - Accent1 4 2 2 3 7 2" xfId="19903"/>
    <cellStyle name="40% - Accent1 4 2 2 3 7 3" xfId="19904"/>
    <cellStyle name="40% - Accent1 4 2 2 3 8" xfId="19905"/>
    <cellStyle name="40% - Accent1 4 2 2 3 8 2" xfId="19906"/>
    <cellStyle name="40% - Accent1 4 2 2 3 9" xfId="19907"/>
    <cellStyle name="40% - Accent1 4 2 2 4" xfId="1571"/>
    <cellStyle name="40% - Accent1 4 2 2 4 2" xfId="19908"/>
    <cellStyle name="40% - Accent1 4 2 2 4 2 2" xfId="19909"/>
    <cellStyle name="40% - Accent1 4 2 2 4 2 2 2" xfId="19910"/>
    <cellStyle name="40% - Accent1 4 2 2 4 2 2 3" xfId="19911"/>
    <cellStyle name="40% - Accent1 4 2 2 4 2 3" xfId="19912"/>
    <cellStyle name="40% - Accent1 4 2 2 4 2 3 2" xfId="19913"/>
    <cellStyle name="40% - Accent1 4 2 2 4 2 3 3" xfId="19914"/>
    <cellStyle name="40% - Accent1 4 2 2 4 2 4" xfId="19915"/>
    <cellStyle name="40% - Accent1 4 2 2 4 2 4 2" xfId="19916"/>
    <cellStyle name="40% - Accent1 4 2 2 4 2 5" xfId="19917"/>
    <cellStyle name="40% - Accent1 4 2 2 4 2 6" xfId="19918"/>
    <cellStyle name="40% - Accent1 4 2 2 4 3" xfId="19919"/>
    <cellStyle name="40% - Accent1 4 2 2 4 3 2" xfId="19920"/>
    <cellStyle name="40% - Accent1 4 2 2 4 3 2 2" xfId="19921"/>
    <cellStyle name="40% - Accent1 4 2 2 4 3 2 3" xfId="19922"/>
    <cellStyle name="40% - Accent1 4 2 2 4 3 3" xfId="19923"/>
    <cellStyle name="40% - Accent1 4 2 2 4 3 3 2" xfId="19924"/>
    <cellStyle name="40% - Accent1 4 2 2 4 3 3 3" xfId="19925"/>
    <cellStyle name="40% - Accent1 4 2 2 4 3 4" xfId="19926"/>
    <cellStyle name="40% - Accent1 4 2 2 4 3 4 2" xfId="19927"/>
    <cellStyle name="40% - Accent1 4 2 2 4 3 5" xfId="19928"/>
    <cellStyle name="40% - Accent1 4 2 2 4 3 6" xfId="19929"/>
    <cellStyle name="40% - Accent1 4 2 2 4 4" xfId="19930"/>
    <cellStyle name="40% - Accent1 4 2 2 4 4 2" xfId="19931"/>
    <cellStyle name="40% - Accent1 4 2 2 4 4 2 2" xfId="19932"/>
    <cellStyle name="40% - Accent1 4 2 2 4 4 2 3" xfId="19933"/>
    <cellStyle name="40% - Accent1 4 2 2 4 4 3" xfId="19934"/>
    <cellStyle name="40% - Accent1 4 2 2 4 4 3 2" xfId="19935"/>
    <cellStyle name="40% - Accent1 4 2 2 4 4 4" xfId="19936"/>
    <cellStyle name="40% - Accent1 4 2 2 4 4 5" xfId="19937"/>
    <cellStyle name="40% - Accent1 4 2 2 4 5" xfId="19938"/>
    <cellStyle name="40% - Accent1 4 2 2 4 5 2" xfId="19939"/>
    <cellStyle name="40% - Accent1 4 2 2 4 5 3" xfId="19940"/>
    <cellStyle name="40% - Accent1 4 2 2 4 6" xfId="19941"/>
    <cellStyle name="40% - Accent1 4 2 2 4 6 2" xfId="19942"/>
    <cellStyle name="40% - Accent1 4 2 2 4 6 3" xfId="19943"/>
    <cellStyle name="40% - Accent1 4 2 2 4 7" xfId="19944"/>
    <cellStyle name="40% - Accent1 4 2 2 4 7 2" xfId="19945"/>
    <cellStyle name="40% - Accent1 4 2 2 4 8" xfId="19946"/>
    <cellStyle name="40% - Accent1 4 2 2 4 9" xfId="19947"/>
    <cellStyle name="40% - Accent1 4 2 2 5" xfId="19948"/>
    <cellStyle name="40% - Accent1 4 2 2 5 2" xfId="19949"/>
    <cellStyle name="40% - Accent1 4 2 2 5 2 2" xfId="19950"/>
    <cellStyle name="40% - Accent1 4 2 2 5 2 2 2" xfId="19951"/>
    <cellStyle name="40% - Accent1 4 2 2 5 2 2 3" xfId="19952"/>
    <cellStyle name="40% - Accent1 4 2 2 5 2 3" xfId="19953"/>
    <cellStyle name="40% - Accent1 4 2 2 5 2 3 2" xfId="19954"/>
    <cellStyle name="40% - Accent1 4 2 2 5 2 3 3" xfId="19955"/>
    <cellStyle name="40% - Accent1 4 2 2 5 2 4" xfId="19956"/>
    <cellStyle name="40% - Accent1 4 2 2 5 2 4 2" xfId="19957"/>
    <cellStyle name="40% - Accent1 4 2 2 5 2 5" xfId="19958"/>
    <cellStyle name="40% - Accent1 4 2 2 5 2 6" xfId="19959"/>
    <cellStyle name="40% - Accent1 4 2 2 5 3" xfId="19960"/>
    <cellStyle name="40% - Accent1 4 2 2 5 3 2" xfId="19961"/>
    <cellStyle name="40% - Accent1 4 2 2 5 3 2 2" xfId="19962"/>
    <cellStyle name="40% - Accent1 4 2 2 5 3 2 3" xfId="19963"/>
    <cellStyle name="40% - Accent1 4 2 2 5 3 3" xfId="19964"/>
    <cellStyle name="40% - Accent1 4 2 2 5 3 3 2" xfId="19965"/>
    <cellStyle name="40% - Accent1 4 2 2 5 3 3 3" xfId="19966"/>
    <cellStyle name="40% - Accent1 4 2 2 5 3 4" xfId="19967"/>
    <cellStyle name="40% - Accent1 4 2 2 5 3 4 2" xfId="19968"/>
    <cellStyle name="40% - Accent1 4 2 2 5 3 5" xfId="19969"/>
    <cellStyle name="40% - Accent1 4 2 2 5 3 6" xfId="19970"/>
    <cellStyle name="40% - Accent1 4 2 2 5 4" xfId="19971"/>
    <cellStyle name="40% - Accent1 4 2 2 5 4 2" xfId="19972"/>
    <cellStyle name="40% - Accent1 4 2 2 5 4 2 2" xfId="19973"/>
    <cellStyle name="40% - Accent1 4 2 2 5 4 2 3" xfId="19974"/>
    <cellStyle name="40% - Accent1 4 2 2 5 4 3" xfId="19975"/>
    <cellStyle name="40% - Accent1 4 2 2 5 4 3 2" xfId="19976"/>
    <cellStyle name="40% - Accent1 4 2 2 5 4 4" xfId="19977"/>
    <cellStyle name="40% - Accent1 4 2 2 5 4 5" xfId="19978"/>
    <cellStyle name="40% - Accent1 4 2 2 5 5" xfId="19979"/>
    <cellStyle name="40% - Accent1 4 2 2 5 5 2" xfId="19980"/>
    <cellStyle name="40% - Accent1 4 2 2 5 5 3" xfId="19981"/>
    <cellStyle name="40% - Accent1 4 2 2 5 6" xfId="19982"/>
    <cellStyle name="40% - Accent1 4 2 2 5 6 2" xfId="19983"/>
    <cellStyle name="40% - Accent1 4 2 2 5 6 3" xfId="19984"/>
    <cellStyle name="40% - Accent1 4 2 2 5 7" xfId="19985"/>
    <cellStyle name="40% - Accent1 4 2 2 5 7 2" xfId="19986"/>
    <cellStyle name="40% - Accent1 4 2 2 5 8" xfId="19987"/>
    <cellStyle name="40% - Accent1 4 2 2 5 9" xfId="19988"/>
    <cellStyle name="40% - Accent1 4 2 2 6" xfId="19989"/>
    <cellStyle name="40% - Accent1 4 2 2 6 2" xfId="19990"/>
    <cellStyle name="40% - Accent1 4 2 2 6 2 2" xfId="19991"/>
    <cellStyle name="40% - Accent1 4 2 2 6 2 3" xfId="19992"/>
    <cellStyle name="40% - Accent1 4 2 2 6 3" xfId="19993"/>
    <cellStyle name="40% - Accent1 4 2 2 6 3 2" xfId="19994"/>
    <cellStyle name="40% - Accent1 4 2 2 6 3 3" xfId="19995"/>
    <cellStyle name="40% - Accent1 4 2 2 6 4" xfId="19996"/>
    <cellStyle name="40% - Accent1 4 2 2 6 4 2" xfId="19997"/>
    <cellStyle name="40% - Accent1 4 2 2 6 5" xfId="19998"/>
    <cellStyle name="40% - Accent1 4 2 2 6 6" xfId="19999"/>
    <cellStyle name="40% - Accent1 4 2 2 7" xfId="20000"/>
    <cellStyle name="40% - Accent1 4 2 2 7 2" xfId="20001"/>
    <cellStyle name="40% - Accent1 4 2 2 7 2 2" xfId="20002"/>
    <cellStyle name="40% - Accent1 4 2 2 7 2 3" xfId="20003"/>
    <cellStyle name="40% - Accent1 4 2 2 7 3" xfId="20004"/>
    <cellStyle name="40% - Accent1 4 2 2 7 3 2" xfId="20005"/>
    <cellStyle name="40% - Accent1 4 2 2 7 3 3" xfId="20006"/>
    <cellStyle name="40% - Accent1 4 2 2 7 4" xfId="20007"/>
    <cellStyle name="40% - Accent1 4 2 2 7 4 2" xfId="20008"/>
    <cellStyle name="40% - Accent1 4 2 2 7 5" xfId="20009"/>
    <cellStyle name="40% - Accent1 4 2 2 7 6" xfId="20010"/>
    <cellStyle name="40% - Accent1 4 2 2 8" xfId="20011"/>
    <cellStyle name="40% - Accent1 4 2 2 8 2" xfId="20012"/>
    <cellStyle name="40% - Accent1 4 2 2 8 2 2" xfId="20013"/>
    <cellStyle name="40% - Accent1 4 2 2 8 2 3" xfId="20014"/>
    <cellStyle name="40% - Accent1 4 2 2 8 3" xfId="20015"/>
    <cellStyle name="40% - Accent1 4 2 2 8 3 2" xfId="20016"/>
    <cellStyle name="40% - Accent1 4 2 2 8 4" xfId="20017"/>
    <cellStyle name="40% - Accent1 4 2 2 8 5" xfId="20018"/>
    <cellStyle name="40% - Accent1 4 2 2 9" xfId="20019"/>
    <cellStyle name="40% - Accent1 4 2 2 9 2" xfId="20020"/>
    <cellStyle name="40% - Accent1 4 2 2 9 3" xfId="20021"/>
    <cellStyle name="40% - Accent1 4 2 3" xfId="1572"/>
    <cellStyle name="40% - Accent1 4 2 3 10" xfId="20022"/>
    <cellStyle name="40% - Accent1 4 2 3 10 2" xfId="20023"/>
    <cellStyle name="40% - Accent1 4 2 3 11" xfId="20024"/>
    <cellStyle name="40% - Accent1 4 2 3 12" xfId="20025"/>
    <cellStyle name="40% - Accent1 4 2 3 2" xfId="1573"/>
    <cellStyle name="40% - Accent1 4 2 3 2 10" xfId="20026"/>
    <cellStyle name="40% - Accent1 4 2 3 2 2" xfId="1574"/>
    <cellStyle name="40% - Accent1 4 2 3 2 2 2" xfId="20027"/>
    <cellStyle name="40% - Accent1 4 2 3 2 2 2 2" xfId="20028"/>
    <cellStyle name="40% - Accent1 4 2 3 2 2 2 2 2" xfId="20029"/>
    <cellStyle name="40% - Accent1 4 2 3 2 2 2 2 3" xfId="20030"/>
    <cellStyle name="40% - Accent1 4 2 3 2 2 2 3" xfId="20031"/>
    <cellStyle name="40% - Accent1 4 2 3 2 2 2 3 2" xfId="20032"/>
    <cellStyle name="40% - Accent1 4 2 3 2 2 2 3 3" xfId="20033"/>
    <cellStyle name="40% - Accent1 4 2 3 2 2 2 4" xfId="20034"/>
    <cellStyle name="40% - Accent1 4 2 3 2 2 2 4 2" xfId="20035"/>
    <cellStyle name="40% - Accent1 4 2 3 2 2 2 5" xfId="20036"/>
    <cellStyle name="40% - Accent1 4 2 3 2 2 2 6" xfId="20037"/>
    <cellStyle name="40% - Accent1 4 2 3 2 2 3" xfId="20038"/>
    <cellStyle name="40% - Accent1 4 2 3 2 2 3 2" xfId="20039"/>
    <cellStyle name="40% - Accent1 4 2 3 2 2 3 2 2" xfId="20040"/>
    <cellStyle name="40% - Accent1 4 2 3 2 2 3 2 3" xfId="20041"/>
    <cellStyle name="40% - Accent1 4 2 3 2 2 3 3" xfId="20042"/>
    <cellStyle name="40% - Accent1 4 2 3 2 2 3 3 2" xfId="20043"/>
    <cellStyle name="40% - Accent1 4 2 3 2 2 3 3 3" xfId="20044"/>
    <cellStyle name="40% - Accent1 4 2 3 2 2 3 4" xfId="20045"/>
    <cellStyle name="40% - Accent1 4 2 3 2 2 3 4 2" xfId="20046"/>
    <cellStyle name="40% - Accent1 4 2 3 2 2 3 5" xfId="20047"/>
    <cellStyle name="40% - Accent1 4 2 3 2 2 3 6" xfId="20048"/>
    <cellStyle name="40% - Accent1 4 2 3 2 2 4" xfId="20049"/>
    <cellStyle name="40% - Accent1 4 2 3 2 2 4 2" xfId="20050"/>
    <cellStyle name="40% - Accent1 4 2 3 2 2 4 2 2" xfId="20051"/>
    <cellStyle name="40% - Accent1 4 2 3 2 2 4 2 3" xfId="20052"/>
    <cellStyle name="40% - Accent1 4 2 3 2 2 4 3" xfId="20053"/>
    <cellStyle name="40% - Accent1 4 2 3 2 2 4 3 2" xfId="20054"/>
    <cellStyle name="40% - Accent1 4 2 3 2 2 4 4" xfId="20055"/>
    <cellStyle name="40% - Accent1 4 2 3 2 2 4 5" xfId="20056"/>
    <cellStyle name="40% - Accent1 4 2 3 2 2 5" xfId="20057"/>
    <cellStyle name="40% - Accent1 4 2 3 2 2 5 2" xfId="20058"/>
    <cellStyle name="40% - Accent1 4 2 3 2 2 5 3" xfId="20059"/>
    <cellStyle name="40% - Accent1 4 2 3 2 2 6" xfId="20060"/>
    <cellStyle name="40% - Accent1 4 2 3 2 2 6 2" xfId="20061"/>
    <cellStyle name="40% - Accent1 4 2 3 2 2 6 3" xfId="20062"/>
    <cellStyle name="40% - Accent1 4 2 3 2 2 7" xfId="20063"/>
    <cellStyle name="40% - Accent1 4 2 3 2 2 7 2" xfId="20064"/>
    <cellStyle name="40% - Accent1 4 2 3 2 2 8" xfId="20065"/>
    <cellStyle name="40% - Accent1 4 2 3 2 2 9" xfId="20066"/>
    <cellStyle name="40% - Accent1 4 2 3 2 3" xfId="20067"/>
    <cellStyle name="40% - Accent1 4 2 3 2 3 2" xfId="20068"/>
    <cellStyle name="40% - Accent1 4 2 3 2 3 2 2" xfId="20069"/>
    <cellStyle name="40% - Accent1 4 2 3 2 3 2 3" xfId="20070"/>
    <cellStyle name="40% - Accent1 4 2 3 2 3 3" xfId="20071"/>
    <cellStyle name="40% - Accent1 4 2 3 2 3 3 2" xfId="20072"/>
    <cellStyle name="40% - Accent1 4 2 3 2 3 3 3" xfId="20073"/>
    <cellStyle name="40% - Accent1 4 2 3 2 3 4" xfId="20074"/>
    <cellStyle name="40% - Accent1 4 2 3 2 3 4 2" xfId="20075"/>
    <cellStyle name="40% - Accent1 4 2 3 2 3 5" xfId="20076"/>
    <cellStyle name="40% - Accent1 4 2 3 2 3 6" xfId="20077"/>
    <cellStyle name="40% - Accent1 4 2 3 2 4" xfId="20078"/>
    <cellStyle name="40% - Accent1 4 2 3 2 4 2" xfId="20079"/>
    <cellStyle name="40% - Accent1 4 2 3 2 4 2 2" xfId="20080"/>
    <cellStyle name="40% - Accent1 4 2 3 2 4 2 3" xfId="20081"/>
    <cellStyle name="40% - Accent1 4 2 3 2 4 3" xfId="20082"/>
    <cellStyle name="40% - Accent1 4 2 3 2 4 3 2" xfId="20083"/>
    <cellStyle name="40% - Accent1 4 2 3 2 4 3 3" xfId="20084"/>
    <cellStyle name="40% - Accent1 4 2 3 2 4 4" xfId="20085"/>
    <cellStyle name="40% - Accent1 4 2 3 2 4 4 2" xfId="20086"/>
    <cellStyle name="40% - Accent1 4 2 3 2 4 5" xfId="20087"/>
    <cellStyle name="40% - Accent1 4 2 3 2 4 6" xfId="20088"/>
    <cellStyle name="40% - Accent1 4 2 3 2 5" xfId="20089"/>
    <cellStyle name="40% - Accent1 4 2 3 2 5 2" xfId="20090"/>
    <cellStyle name="40% - Accent1 4 2 3 2 5 2 2" xfId="20091"/>
    <cellStyle name="40% - Accent1 4 2 3 2 5 2 3" xfId="20092"/>
    <cellStyle name="40% - Accent1 4 2 3 2 5 3" xfId="20093"/>
    <cellStyle name="40% - Accent1 4 2 3 2 5 3 2" xfId="20094"/>
    <cellStyle name="40% - Accent1 4 2 3 2 5 4" xfId="20095"/>
    <cellStyle name="40% - Accent1 4 2 3 2 5 5" xfId="20096"/>
    <cellStyle name="40% - Accent1 4 2 3 2 6" xfId="20097"/>
    <cellStyle name="40% - Accent1 4 2 3 2 6 2" xfId="20098"/>
    <cellStyle name="40% - Accent1 4 2 3 2 6 3" xfId="20099"/>
    <cellStyle name="40% - Accent1 4 2 3 2 7" xfId="20100"/>
    <cellStyle name="40% - Accent1 4 2 3 2 7 2" xfId="20101"/>
    <cellStyle name="40% - Accent1 4 2 3 2 7 3" xfId="20102"/>
    <cellStyle name="40% - Accent1 4 2 3 2 8" xfId="20103"/>
    <cellStyle name="40% - Accent1 4 2 3 2 8 2" xfId="20104"/>
    <cellStyle name="40% - Accent1 4 2 3 2 9" xfId="20105"/>
    <cellStyle name="40% - Accent1 4 2 3 3" xfId="1575"/>
    <cellStyle name="40% - Accent1 4 2 3 3 2" xfId="20106"/>
    <cellStyle name="40% - Accent1 4 2 3 3 2 2" xfId="20107"/>
    <cellStyle name="40% - Accent1 4 2 3 3 2 2 2" xfId="20108"/>
    <cellStyle name="40% - Accent1 4 2 3 3 2 2 3" xfId="20109"/>
    <cellStyle name="40% - Accent1 4 2 3 3 2 3" xfId="20110"/>
    <cellStyle name="40% - Accent1 4 2 3 3 2 3 2" xfId="20111"/>
    <cellStyle name="40% - Accent1 4 2 3 3 2 3 3" xfId="20112"/>
    <cellStyle name="40% - Accent1 4 2 3 3 2 4" xfId="20113"/>
    <cellStyle name="40% - Accent1 4 2 3 3 2 4 2" xfId="20114"/>
    <cellStyle name="40% - Accent1 4 2 3 3 2 5" xfId="20115"/>
    <cellStyle name="40% - Accent1 4 2 3 3 2 6" xfId="20116"/>
    <cellStyle name="40% - Accent1 4 2 3 3 3" xfId="20117"/>
    <cellStyle name="40% - Accent1 4 2 3 3 3 2" xfId="20118"/>
    <cellStyle name="40% - Accent1 4 2 3 3 3 2 2" xfId="20119"/>
    <cellStyle name="40% - Accent1 4 2 3 3 3 2 3" xfId="20120"/>
    <cellStyle name="40% - Accent1 4 2 3 3 3 3" xfId="20121"/>
    <cellStyle name="40% - Accent1 4 2 3 3 3 3 2" xfId="20122"/>
    <cellStyle name="40% - Accent1 4 2 3 3 3 3 3" xfId="20123"/>
    <cellStyle name="40% - Accent1 4 2 3 3 3 4" xfId="20124"/>
    <cellStyle name="40% - Accent1 4 2 3 3 3 4 2" xfId="20125"/>
    <cellStyle name="40% - Accent1 4 2 3 3 3 5" xfId="20126"/>
    <cellStyle name="40% - Accent1 4 2 3 3 3 6" xfId="20127"/>
    <cellStyle name="40% - Accent1 4 2 3 3 4" xfId="20128"/>
    <cellStyle name="40% - Accent1 4 2 3 3 4 2" xfId="20129"/>
    <cellStyle name="40% - Accent1 4 2 3 3 4 2 2" xfId="20130"/>
    <cellStyle name="40% - Accent1 4 2 3 3 4 2 3" xfId="20131"/>
    <cellStyle name="40% - Accent1 4 2 3 3 4 3" xfId="20132"/>
    <cellStyle name="40% - Accent1 4 2 3 3 4 3 2" xfId="20133"/>
    <cellStyle name="40% - Accent1 4 2 3 3 4 4" xfId="20134"/>
    <cellStyle name="40% - Accent1 4 2 3 3 4 5" xfId="20135"/>
    <cellStyle name="40% - Accent1 4 2 3 3 5" xfId="20136"/>
    <cellStyle name="40% - Accent1 4 2 3 3 5 2" xfId="20137"/>
    <cellStyle name="40% - Accent1 4 2 3 3 5 3" xfId="20138"/>
    <cellStyle name="40% - Accent1 4 2 3 3 6" xfId="20139"/>
    <cellStyle name="40% - Accent1 4 2 3 3 6 2" xfId="20140"/>
    <cellStyle name="40% - Accent1 4 2 3 3 6 3" xfId="20141"/>
    <cellStyle name="40% - Accent1 4 2 3 3 7" xfId="20142"/>
    <cellStyle name="40% - Accent1 4 2 3 3 7 2" xfId="20143"/>
    <cellStyle name="40% - Accent1 4 2 3 3 8" xfId="20144"/>
    <cellStyle name="40% - Accent1 4 2 3 3 9" xfId="20145"/>
    <cellStyle name="40% - Accent1 4 2 3 4" xfId="20146"/>
    <cellStyle name="40% - Accent1 4 2 3 4 2" xfId="20147"/>
    <cellStyle name="40% - Accent1 4 2 3 4 2 2" xfId="20148"/>
    <cellStyle name="40% - Accent1 4 2 3 4 2 2 2" xfId="20149"/>
    <cellStyle name="40% - Accent1 4 2 3 4 2 2 3" xfId="20150"/>
    <cellStyle name="40% - Accent1 4 2 3 4 2 3" xfId="20151"/>
    <cellStyle name="40% - Accent1 4 2 3 4 2 3 2" xfId="20152"/>
    <cellStyle name="40% - Accent1 4 2 3 4 2 3 3" xfId="20153"/>
    <cellStyle name="40% - Accent1 4 2 3 4 2 4" xfId="20154"/>
    <cellStyle name="40% - Accent1 4 2 3 4 2 4 2" xfId="20155"/>
    <cellStyle name="40% - Accent1 4 2 3 4 2 5" xfId="20156"/>
    <cellStyle name="40% - Accent1 4 2 3 4 2 6" xfId="20157"/>
    <cellStyle name="40% - Accent1 4 2 3 4 3" xfId="20158"/>
    <cellStyle name="40% - Accent1 4 2 3 4 3 2" xfId="20159"/>
    <cellStyle name="40% - Accent1 4 2 3 4 3 2 2" xfId="20160"/>
    <cellStyle name="40% - Accent1 4 2 3 4 3 2 3" xfId="20161"/>
    <cellStyle name="40% - Accent1 4 2 3 4 3 3" xfId="20162"/>
    <cellStyle name="40% - Accent1 4 2 3 4 3 3 2" xfId="20163"/>
    <cellStyle name="40% - Accent1 4 2 3 4 3 3 3" xfId="20164"/>
    <cellStyle name="40% - Accent1 4 2 3 4 3 4" xfId="20165"/>
    <cellStyle name="40% - Accent1 4 2 3 4 3 4 2" xfId="20166"/>
    <cellStyle name="40% - Accent1 4 2 3 4 3 5" xfId="20167"/>
    <cellStyle name="40% - Accent1 4 2 3 4 3 6" xfId="20168"/>
    <cellStyle name="40% - Accent1 4 2 3 4 4" xfId="20169"/>
    <cellStyle name="40% - Accent1 4 2 3 4 4 2" xfId="20170"/>
    <cellStyle name="40% - Accent1 4 2 3 4 4 2 2" xfId="20171"/>
    <cellStyle name="40% - Accent1 4 2 3 4 4 2 3" xfId="20172"/>
    <cellStyle name="40% - Accent1 4 2 3 4 4 3" xfId="20173"/>
    <cellStyle name="40% - Accent1 4 2 3 4 4 3 2" xfId="20174"/>
    <cellStyle name="40% - Accent1 4 2 3 4 4 4" xfId="20175"/>
    <cellStyle name="40% - Accent1 4 2 3 4 4 5" xfId="20176"/>
    <cellStyle name="40% - Accent1 4 2 3 4 5" xfId="20177"/>
    <cellStyle name="40% - Accent1 4 2 3 4 5 2" xfId="20178"/>
    <cellStyle name="40% - Accent1 4 2 3 4 5 3" xfId="20179"/>
    <cellStyle name="40% - Accent1 4 2 3 4 6" xfId="20180"/>
    <cellStyle name="40% - Accent1 4 2 3 4 6 2" xfId="20181"/>
    <cellStyle name="40% - Accent1 4 2 3 4 6 3" xfId="20182"/>
    <cellStyle name="40% - Accent1 4 2 3 4 7" xfId="20183"/>
    <cellStyle name="40% - Accent1 4 2 3 4 7 2" xfId="20184"/>
    <cellStyle name="40% - Accent1 4 2 3 4 8" xfId="20185"/>
    <cellStyle name="40% - Accent1 4 2 3 4 9" xfId="20186"/>
    <cellStyle name="40% - Accent1 4 2 3 5" xfId="20187"/>
    <cellStyle name="40% - Accent1 4 2 3 5 2" xfId="20188"/>
    <cellStyle name="40% - Accent1 4 2 3 5 2 2" xfId="20189"/>
    <cellStyle name="40% - Accent1 4 2 3 5 2 3" xfId="20190"/>
    <cellStyle name="40% - Accent1 4 2 3 5 3" xfId="20191"/>
    <cellStyle name="40% - Accent1 4 2 3 5 3 2" xfId="20192"/>
    <cellStyle name="40% - Accent1 4 2 3 5 3 3" xfId="20193"/>
    <cellStyle name="40% - Accent1 4 2 3 5 4" xfId="20194"/>
    <cellStyle name="40% - Accent1 4 2 3 5 4 2" xfId="20195"/>
    <cellStyle name="40% - Accent1 4 2 3 5 5" xfId="20196"/>
    <cellStyle name="40% - Accent1 4 2 3 5 6" xfId="20197"/>
    <cellStyle name="40% - Accent1 4 2 3 6" xfId="20198"/>
    <cellStyle name="40% - Accent1 4 2 3 6 2" xfId="20199"/>
    <cellStyle name="40% - Accent1 4 2 3 6 2 2" xfId="20200"/>
    <cellStyle name="40% - Accent1 4 2 3 6 2 3" xfId="20201"/>
    <cellStyle name="40% - Accent1 4 2 3 6 3" xfId="20202"/>
    <cellStyle name="40% - Accent1 4 2 3 6 3 2" xfId="20203"/>
    <cellStyle name="40% - Accent1 4 2 3 6 3 3" xfId="20204"/>
    <cellStyle name="40% - Accent1 4 2 3 6 4" xfId="20205"/>
    <cellStyle name="40% - Accent1 4 2 3 6 4 2" xfId="20206"/>
    <cellStyle name="40% - Accent1 4 2 3 6 5" xfId="20207"/>
    <cellStyle name="40% - Accent1 4 2 3 6 6" xfId="20208"/>
    <cellStyle name="40% - Accent1 4 2 3 7" xfId="20209"/>
    <cellStyle name="40% - Accent1 4 2 3 7 2" xfId="20210"/>
    <cellStyle name="40% - Accent1 4 2 3 7 2 2" xfId="20211"/>
    <cellStyle name="40% - Accent1 4 2 3 7 2 3" xfId="20212"/>
    <cellStyle name="40% - Accent1 4 2 3 7 3" xfId="20213"/>
    <cellStyle name="40% - Accent1 4 2 3 7 3 2" xfId="20214"/>
    <cellStyle name="40% - Accent1 4 2 3 7 4" xfId="20215"/>
    <cellStyle name="40% - Accent1 4 2 3 7 5" xfId="20216"/>
    <cellStyle name="40% - Accent1 4 2 3 8" xfId="20217"/>
    <cellStyle name="40% - Accent1 4 2 3 8 2" xfId="20218"/>
    <cellStyle name="40% - Accent1 4 2 3 8 3" xfId="20219"/>
    <cellStyle name="40% - Accent1 4 2 3 9" xfId="20220"/>
    <cellStyle name="40% - Accent1 4 2 3 9 2" xfId="20221"/>
    <cellStyle name="40% - Accent1 4 2 3 9 3" xfId="20222"/>
    <cellStyle name="40% - Accent1 4 2 4" xfId="1576"/>
    <cellStyle name="40% - Accent1 4 2 4 10" xfId="20223"/>
    <cellStyle name="40% - Accent1 4 2 4 2" xfId="1577"/>
    <cellStyle name="40% - Accent1 4 2 4 2 2" xfId="20224"/>
    <cellStyle name="40% - Accent1 4 2 4 2 2 2" xfId="20225"/>
    <cellStyle name="40% - Accent1 4 2 4 2 2 2 2" xfId="20226"/>
    <cellStyle name="40% - Accent1 4 2 4 2 2 2 3" xfId="20227"/>
    <cellStyle name="40% - Accent1 4 2 4 2 2 3" xfId="20228"/>
    <cellStyle name="40% - Accent1 4 2 4 2 2 3 2" xfId="20229"/>
    <cellStyle name="40% - Accent1 4 2 4 2 2 3 3" xfId="20230"/>
    <cellStyle name="40% - Accent1 4 2 4 2 2 4" xfId="20231"/>
    <cellStyle name="40% - Accent1 4 2 4 2 2 4 2" xfId="20232"/>
    <cellStyle name="40% - Accent1 4 2 4 2 2 5" xfId="20233"/>
    <cellStyle name="40% - Accent1 4 2 4 2 2 6" xfId="20234"/>
    <cellStyle name="40% - Accent1 4 2 4 2 3" xfId="20235"/>
    <cellStyle name="40% - Accent1 4 2 4 2 3 2" xfId="20236"/>
    <cellStyle name="40% - Accent1 4 2 4 2 3 2 2" xfId="20237"/>
    <cellStyle name="40% - Accent1 4 2 4 2 3 2 3" xfId="20238"/>
    <cellStyle name="40% - Accent1 4 2 4 2 3 3" xfId="20239"/>
    <cellStyle name="40% - Accent1 4 2 4 2 3 3 2" xfId="20240"/>
    <cellStyle name="40% - Accent1 4 2 4 2 3 3 3" xfId="20241"/>
    <cellStyle name="40% - Accent1 4 2 4 2 3 4" xfId="20242"/>
    <cellStyle name="40% - Accent1 4 2 4 2 3 4 2" xfId="20243"/>
    <cellStyle name="40% - Accent1 4 2 4 2 3 5" xfId="20244"/>
    <cellStyle name="40% - Accent1 4 2 4 2 3 6" xfId="20245"/>
    <cellStyle name="40% - Accent1 4 2 4 2 4" xfId="20246"/>
    <cellStyle name="40% - Accent1 4 2 4 2 4 2" xfId="20247"/>
    <cellStyle name="40% - Accent1 4 2 4 2 4 2 2" xfId="20248"/>
    <cellStyle name="40% - Accent1 4 2 4 2 4 2 3" xfId="20249"/>
    <cellStyle name="40% - Accent1 4 2 4 2 4 3" xfId="20250"/>
    <cellStyle name="40% - Accent1 4 2 4 2 4 3 2" xfId="20251"/>
    <cellStyle name="40% - Accent1 4 2 4 2 4 4" xfId="20252"/>
    <cellStyle name="40% - Accent1 4 2 4 2 4 5" xfId="20253"/>
    <cellStyle name="40% - Accent1 4 2 4 2 5" xfId="20254"/>
    <cellStyle name="40% - Accent1 4 2 4 2 5 2" xfId="20255"/>
    <cellStyle name="40% - Accent1 4 2 4 2 5 3" xfId="20256"/>
    <cellStyle name="40% - Accent1 4 2 4 2 6" xfId="20257"/>
    <cellStyle name="40% - Accent1 4 2 4 2 6 2" xfId="20258"/>
    <cellStyle name="40% - Accent1 4 2 4 2 6 3" xfId="20259"/>
    <cellStyle name="40% - Accent1 4 2 4 2 7" xfId="20260"/>
    <cellStyle name="40% - Accent1 4 2 4 2 7 2" xfId="20261"/>
    <cellStyle name="40% - Accent1 4 2 4 2 8" xfId="20262"/>
    <cellStyle name="40% - Accent1 4 2 4 2 9" xfId="20263"/>
    <cellStyle name="40% - Accent1 4 2 4 3" xfId="20264"/>
    <cellStyle name="40% - Accent1 4 2 4 3 2" xfId="20265"/>
    <cellStyle name="40% - Accent1 4 2 4 3 2 2" xfId="20266"/>
    <cellStyle name="40% - Accent1 4 2 4 3 2 3" xfId="20267"/>
    <cellStyle name="40% - Accent1 4 2 4 3 3" xfId="20268"/>
    <cellStyle name="40% - Accent1 4 2 4 3 3 2" xfId="20269"/>
    <cellStyle name="40% - Accent1 4 2 4 3 3 3" xfId="20270"/>
    <cellStyle name="40% - Accent1 4 2 4 3 4" xfId="20271"/>
    <cellStyle name="40% - Accent1 4 2 4 3 4 2" xfId="20272"/>
    <cellStyle name="40% - Accent1 4 2 4 3 5" xfId="20273"/>
    <cellStyle name="40% - Accent1 4 2 4 3 6" xfId="20274"/>
    <cellStyle name="40% - Accent1 4 2 4 4" xfId="20275"/>
    <cellStyle name="40% - Accent1 4 2 4 4 2" xfId="20276"/>
    <cellStyle name="40% - Accent1 4 2 4 4 2 2" xfId="20277"/>
    <cellStyle name="40% - Accent1 4 2 4 4 2 3" xfId="20278"/>
    <cellStyle name="40% - Accent1 4 2 4 4 3" xfId="20279"/>
    <cellStyle name="40% - Accent1 4 2 4 4 3 2" xfId="20280"/>
    <cellStyle name="40% - Accent1 4 2 4 4 3 3" xfId="20281"/>
    <cellStyle name="40% - Accent1 4 2 4 4 4" xfId="20282"/>
    <cellStyle name="40% - Accent1 4 2 4 4 4 2" xfId="20283"/>
    <cellStyle name="40% - Accent1 4 2 4 4 5" xfId="20284"/>
    <cellStyle name="40% - Accent1 4 2 4 4 6" xfId="20285"/>
    <cellStyle name="40% - Accent1 4 2 4 5" xfId="20286"/>
    <cellStyle name="40% - Accent1 4 2 4 5 2" xfId="20287"/>
    <cellStyle name="40% - Accent1 4 2 4 5 2 2" xfId="20288"/>
    <cellStyle name="40% - Accent1 4 2 4 5 2 3" xfId="20289"/>
    <cellStyle name="40% - Accent1 4 2 4 5 3" xfId="20290"/>
    <cellStyle name="40% - Accent1 4 2 4 5 3 2" xfId="20291"/>
    <cellStyle name="40% - Accent1 4 2 4 5 4" xfId="20292"/>
    <cellStyle name="40% - Accent1 4 2 4 5 5" xfId="20293"/>
    <cellStyle name="40% - Accent1 4 2 4 6" xfId="20294"/>
    <cellStyle name="40% - Accent1 4 2 4 6 2" xfId="20295"/>
    <cellStyle name="40% - Accent1 4 2 4 6 3" xfId="20296"/>
    <cellStyle name="40% - Accent1 4 2 4 7" xfId="20297"/>
    <cellStyle name="40% - Accent1 4 2 4 7 2" xfId="20298"/>
    <cellStyle name="40% - Accent1 4 2 4 7 3" xfId="20299"/>
    <cellStyle name="40% - Accent1 4 2 4 8" xfId="20300"/>
    <cellStyle name="40% - Accent1 4 2 4 8 2" xfId="20301"/>
    <cellStyle name="40% - Accent1 4 2 4 9" xfId="20302"/>
    <cellStyle name="40% - Accent1 4 2 5" xfId="1578"/>
    <cellStyle name="40% - Accent1 4 2 5 2" xfId="20303"/>
    <cellStyle name="40% - Accent1 4 2 5 2 2" xfId="20304"/>
    <cellStyle name="40% - Accent1 4 2 5 2 2 2" xfId="20305"/>
    <cellStyle name="40% - Accent1 4 2 5 2 2 3" xfId="20306"/>
    <cellStyle name="40% - Accent1 4 2 5 2 3" xfId="20307"/>
    <cellStyle name="40% - Accent1 4 2 5 2 3 2" xfId="20308"/>
    <cellStyle name="40% - Accent1 4 2 5 2 3 3" xfId="20309"/>
    <cellStyle name="40% - Accent1 4 2 5 2 4" xfId="20310"/>
    <cellStyle name="40% - Accent1 4 2 5 2 4 2" xfId="20311"/>
    <cellStyle name="40% - Accent1 4 2 5 2 5" xfId="20312"/>
    <cellStyle name="40% - Accent1 4 2 5 2 6" xfId="20313"/>
    <cellStyle name="40% - Accent1 4 2 5 3" xfId="20314"/>
    <cellStyle name="40% - Accent1 4 2 5 3 2" xfId="20315"/>
    <cellStyle name="40% - Accent1 4 2 5 3 2 2" xfId="20316"/>
    <cellStyle name="40% - Accent1 4 2 5 3 2 3" xfId="20317"/>
    <cellStyle name="40% - Accent1 4 2 5 3 3" xfId="20318"/>
    <cellStyle name="40% - Accent1 4 2 5 3 3 2" xfId="20319"/>
    <cellStyle name="40% - Accent1 4 2 5 3 3 3" xfId="20320"/>
    <cellStyle name="40% - Accent1 4 2 5 3 4" xfId="20321"/>
    <cellStyle name="40% - Accent1 4 2 5 3 4 2" xfId="20322"/>
    <cellStyle name="40% - Accent1 4 2 5 3 5" xfId="20323"/>
    <cellStyle name="40% - Accent1 4 2 5 3 6" xfId="20324"/>
    <cellStyle name="40% - Accent1 4 2 5 4" xfId="20325"/>
    <cellStyle name="40% - Accent1 4 2 5 4 2" xfId="20326"/>
    <cellStyle name="40% - Accent1 4 2 5 4 2 2" xfId="20327"/>
    <cellStyle name="40% - Accent1 4 2 5 4 2 3" xfId="20328"/>
    <cellStyle name="40% - Accent1 4 2 5 4 3" xfId="20329"/>
    <cellStyle name="40% - Accent1 4 2 5 4 3 2" xfId="20330"/>
    <cellStyle name="40% - Accent1 4 2 5 4 4" xfId="20331"/>
    <cellStyle name="40% - Accent1 4 2 5 4 5" xfId="20332"/>
    <cellStyle name="40% - Accent1 4 2 5 5" xfId="20333"/>
    <cellStyle name="40% - Accent1 4 2 5 5 2" xfId="20334"/>
    <cellStyle name="40% - Accent1 4 2 5 5 3" xfId="20335"/>
    <cellStyle name="40% - Accent1 4 2 5 6" xfId="20336"/>
    <cellStyle name="40% - Accent1 4 2 5 6 2" xfId="20337"/>
    <cellStyle name="40% - Accent1 4 2 5 6 3" xfId="20338"/>
    <cellStyle name="40% - Accent1 4 2 5 7" xfId="20339"/>
    <cellStyle name="40% - Accent1 4 2 5 7 2" xfId="20340"/>
    <cellStyle name="40% - Accent1 4 2 5 8" xfId="20341"/>
    <cellStyle name="40% - Accent1 4 2 5 9" xfId="20342"/>
    <cellStyle name="40% - Accent1 4 2 6" xfId="20343"/>
    <cellStyle name="40% - Accent1 4 2 6 2" xfId="20344"/>
    <cellStyle name="40% - Accent1 4 2 6 2 2" xfId="20345"/>
    <cellStyle name="40% - Accent1 4 2 6 2 2 2" xfId="20346"/>
    <cellStyle name="40% - Accent1 4 2 6 2 2 3" xfId="20347"/>
    <cellStyle name="40% - Accent1 4 2 6 2 3" xfId="20348"/>
    <cellStyle name="40% - Accent1 4 2 6 2 3 2" xfId="20349"/>
    <cellStyle name="40% - Accent1 4 2 6 2 3 3" xfId="20350"/>
    <cellStyle name="40% - Accent1 4 2 6 2 4" xfId="20351"/>
    <cellStyle name="40% - Accent1 4 2 6 2 4 2" xfId="20352"/>
    <cellStyle name="40% - Accent1 4 2 6 2 5" xfId="20353"/>
    <cellStyle name="40% - Accent1 4 2 6 2 6" xfId="20354"/>
    <cellStyle name="40% - Accent1 4 2 6 3" xfId="20355"/>
    <cellStyle name="40% - Accent1 4 2 6 3 2" xfId="20356"/>
    <cellStyle name="40% - Accent1 4 2 6 3 2 2" xfId="20357"/>
    <cellStyle name="40% - Accent1 4 2 6 3 2 3" xfId="20358"/>
    <cellStyle name="40% - Accent1 4 2 6 3 3" xfId="20359"/>
    <cellStyle name="40% - Accent1 4 2 6 3 3 2" xfId="20360"/>
    <cellStyle name="40% - Accent1 4 2 6 3 3 3" xfId="20361"/>
    <cellStyle name="40% - Accent1 4 2 6 3 4" xfId="20362"/>
    <cellStyle name="40% - Accent1 4 2 6 3 4 2" xfId="20363"/>
    <cellStyle name="40% - Accent1 4 2 6 3 5" xfId="20364"/>
    <cellStyle name="40% - Accent1 4 2 6 3 6" xfId="20365"/>
    <cellStyle name="40% - Accent1 4 2 6 4" xfId="20366"/>
    <cellStyle name="40% - Accent1 4 2 6 4 2" xfId="20367"/>
    <cellStyle name="40% - Accent1 4 2 6 4 2 2" xfId="20368"/>
    <cellStyle name="40% - Accent1 4 2 6 4 2 3" xfId="20369"/>
    <cellStyle name="40% - Accent1 4 2 6 4 3" xfId="20370"/>
    <cellStyle name="40% - Accent1 4 2 6 4 3 2" xfId="20371"/>
    <cellStyle name="40% - Accent1 4 2 6 4 4" xfId="20372"/>
    <cellStyle name="40% - Accent1 4 2 6 4 5" xfId="20373"/>
    <cellStyle name="40% - Accent1 4 2 6 5" xfId="20374"/>
    <cellStyle name="40% - Accent1 4 2 6 5 2" xfId="20375"/>
    <cellStyle name="40% - Accent1 4 2 6 5 3" xfId="20376"/>
    <cellStyle name="40% - Accent1 4 2 6 6" xfId="20377"/>
    <cellStyle name="40% - Accent1 4 2 6 6 2" xfId="20378"/>
    <cellStyle name="40% - Accent1 4 2 6 6 3" xfId="20379"/>
    <cellStyle name="40% - Accent1 4 2 6 7" xfId="20380"/>
    <cellStyle name="40% - Accent1 4 2 6 7 2" xfId="20381"/>
    <cellStyle name="40% - Accent1 4 2 6 8" xfId="20382"/>
    <cellStyle name="40% - Accent1 4 2 6 9" xfId="20383"/>
    <cellStyle name="40% - Accent1 4 2 7" xfId="20384"/>
    <cellStyle name="40% - Accent1 4 2 7 2" xfId="20385"/>
    <cellStyle name="40% - Accent1 4 2 7 2 2" xfId="20386"/>
    <cellStyle name="40% - Accent1 4 2 7 2 3" xfId="20387"/>
    <cellStyle name="40% - Accent1 4 2 7 3" xfId="20388"/>
    <cellStyle name="40% - Accent1 4 2 7 3 2" xfId="20389"/>
    <cellStyle name="40% - Accent1 4 2 7 3 3" xfId="20390"/>
    <cellStyle name="40% - Accent1 4 2 7 4" xfId="20391"/>
    <cellStyle name="40% - Accent1 4 2 7 4 2" xfId="20392"/>
    <cellStyle name="40% - Accent1 4 2 7 5" xfId="20393"/>
    <cellStyle name="40% - Accent1 4 2 7 6" xfId="20394"/>
    <cellStyle name="40% - Accent1 4 2 8" xfId="20395"/>
    <cellStyle name="40% - Accent1 4 2 8 2" xfId="20396"/>
    <cellStyle name="40% - Accent1 4 2 8 2 2" xfId="20397"/>
    <cellStyle name="40% - Accent1 4 2 8 2 3" xfId="20398"/>
    <cellStyle name="40% - Accent1 4 2 8 3" xfId="20399"/>
    <cellStyle name="40% - Accent1 4 2 8 3 2" xfId="20400"/>
    <cellStyle name="40% - Accent1 4 2 8 3 3" xfId="20401"/>
    <cellStyle name="40% - Accent1 4 2 8 4" xfId="20402"/>
    <cellStyle name="40% - Accent1 4 2 8 4 2" xfId="20403"/>
    <cellStyle name="40% - Accent1 4 2 8 5" xfId="20404"/>
    <cellStyle name="40% - Accent1 4 2 8 6" xfId="20405"/>
    <cellStyle name="40% - Accent1 4 2 9" xfId="20406"/>
    <cellStyle name="40% - Accent1 4 2 9 2" xfId="20407"/>
    <cellStyle name="40% - Accent1 4 2 9 2 2" xfId="20408"/>
    <cellStyle name="40% - Accent1 4 2 9 2 3" xfId="20409"/>
    <cellStyle name="40% - Accent1 4 2 9 3" xfId="20410"/>
    <cellStyle name="40% - Accent1 4 2 9 3 2" xfId="20411"/>
    <cellStyle name="40% - Accent1 4 2 9 4" xfId="20412"/>
    <cellStyle name="40% - Accent1 4 2 9 5" xfId="20413"/>
    <cellStyle name="40% - Accent1 4 3" xfId="1579"/>
    <cellStyle name="40% - Accent1 4 3 10" xfId="20414"/>
    <cellStyle name="40% - Accent1 4 3 10 2" xfId="20415"/>
    <cellStyle name="40% - Accent1 4 3 10 3" xfId="20416"/>
    <cellStyle name="40% - Accent1 4 3 11" xfId="20417"/>
    <cellStyle name="40% - Accent1 4 3 11 2" xfId="20418"/>
    <cellStyle name="40% - Accent1 4 3 12" xfId="20419"/>
    <cellStyle name="40% - Accent1 4 3 13" xfId="20420"/>
    <cellStyle name="40% - Accent1 4 3 14" xfId="20421"/>
    <cellStyle name="40% - Accent1 4 3 2" xfId="1580"/>
    <cellStyle name="40% - Accent1 4 3 2 10" xfId="20422"/>
    <cellStyle name="40% - Accent1 4 3 2 10 2" xfId="20423"/>
    <cellStyle name="40% - Accent1 4 3 2 11" xfId="20424"/>
    <cellStyle name="40% - Accent1 4 3 2 12" xfId="20425"/>
    <cellStyle name="40% - Accent1 4 3 2 2" xfId="1581"/>
    <cellStyle name="40% - Accent1 4 3 2 2 10" xfId="20426"/>
    <cellStyle name="40% - Accent1 4 3 2 2 2" xfId="1582"/>
    <cellStyle name="40% - Accent1 4 3 2 2 2 2" xfId="20427"/>
    <cellStyle name="40% - Accent1 4 3 2 2 2 2 2" xfId="20428"/>
    <cellStyle name="40% - Accent1 4 3 2 2 2 2 2 2" xfId="20429"/>
    <cellStyle name="40% - Accent1 4 3 2 2 2 2 2 3" xfId="20430"/>
    <cellStyle name="40% - Accent1 4 3 2 2 2 2 3" xfId="20431"/>
    <cellStyle name="40% - Accent1 4 3 2 2 2 2 3 2" xfId="20432"/>
    <cellStyle name="40% - Accent1 4 3 2 2 2 2 3 3" xfId="20433"/>
    <cellStyle name="40% - Accent1 4 3 2 2 2 2 4" xfId="20434"/>
    <cellStyle name="40% - Accent1 4 3 2 2 2 2 4 2" xfId="20435"/>
    <cellStyle name="40% - Accent1 4 3 2 2 2 2 5" xfId="20436"/>
    <cellStyle name="40% - Accent1 4 3 2 2 2 2 6" xfId="20437"/>
    <cellStyle name="40% - Accent1 4 3 2 2 2 3" xfId="20438"/>
    <cellStyle name="40% - Accent1 4 3 2 2 2 3 2" xfId="20439"/>
    <cellStyle name="40% - Accent1 4 3 2 2 2 3 2 2" xfId="20440"/>
    <cellStyle name="40% - Accent1 4 3 2 2 2 3 2 3" xfId="20441"/>
    <cellStyle name="40% - Accent1 4 3 2 2 2 3 3" xfId="20442"/>
    <cellStyle name="40% - Accent1 4 3 2 2 2 3 3 2" xfId="20443"/>
    <cellStyle name="40% - Accent1 4 3 2 2 2 3 3 3" xfId="20444"/>
    <cellStyle name="40% - Accent1 4 3 2 2 2 3 4" xfId="20445"/>
    <cellStyle name="40% - Accent1 4 3 2 2 2 3 4 2" xfId="20446"/>
    <cellStyle name="40% - Accent1 4 3 2 2 2 3 5" xfId="20447"/>
    <cellStyle name="40% - Accent1 4 3 2 2 2 3 6" xfId="20448"/>
    <cellStyle name="40% - Accent1 4 3 2 2 2 4" xfId="20449"/>
    <cellStyle name="40% - Accent1 4 3 2 2 2 4 2" xfId="20450"/>
    <cellStyle name="40% - Accent1 4 3 2 2 2 4 2 2" xfId="20451"/>
    <cellStyle name="40% - Accent1 4 3 2 2 2 4 2 3" xfId="20452"/>
    <cellStyle name="40% - Accent1 4 3 2 2 2 4 3" xfId="20453"/>
    <cellStyle name="40% - Accent1 4 3 2 2 2 4 3 2" xfId="20454"/>
    <cellStyle name="40% - Accent1 4 3 2 2 2 4 4" xfId="20455"/>
    <cellStyle name="40% - Accent1 4 3 2 2 2 4 5" xfId="20456"/>
    <cellStyle name="40% - Accent1 4 3 2 2 2 5" xfId="20457"/>
    <cellStyle name="40% - Accent1 4 3 2 2 2 5 2" xfId="20458"/>
    <cellStyle name="40% - Accent1 4 3 2 2 2 5 3" xfId="20459"/>
    <cellStyle name="40% - Accent1 4 3 2 2 2 6" xfId="20460"/>
    <cellStyle name="40% - Accent1 4 3 2 2 2 6 2" xfId="20461"/>
    <cellStyle name="40% - Accent1 4 3 2 2 2 6 3" xfId="20462"/>
    <cellStyle name="40% - Accent1 4 3 2 2 2 7" xfId="20463"/>
    <cellStyle name="40% - Accent1 4 3 2 2 2 7 2" xfId="20464"/>
    <cellStyle name="40% - Accent1 4 3 2 2 2 8" xfId="20465"/>
    <cellStyle name="40% - Accent1 4 3 2 2 2 9" xfId="20466"/>
    <cellStyle name="40% - Accent1 4 3 2 2 3" xfId="20467"/>
    <cellStyle name="40% - Accent1 4 3 2 2 3 2" xfId="20468"/>
    <cellStyle name="40% - Accent1 4 3 2 2 3 2 2" xfId="20469"/>
    <cellStyle name="40% - Accent1 4 3 2 2 3 2 3" xfId="20470"/>
    <cellStyle name="40% - Accent1 4 3 2 2 3 3" xfId="20471"/>
    <cellStyle name="40% - Accent1 4 3 2 2 3 3 2" xfId="20472"/>
    <cellStyle name="40% - Accent1 4 3 2 2 3 3 3" xfId="20473"/>
    <cellStyle name="40% - Accent1 4 3 2 2 3 4" xfId="20474"/>
    <cellStyle name="40% - Accent1 4 3 2 2 3 4 2" xfId="20475"/>
    <cellStyle name="40% - Accent1 4 3 2 2 3 5" xfId="20476"/>
    <cellStyle name="40% - Accent1 4 3 2 2 3 6" xfId="20477"/>
    <cellStyle name="40% - Accent1 4 3 2 2 4" xfId="20478"/>
    <cellStyle name="40% - Accent1 4 3 2 2 4 2" xfId="20479"/>
    <cellStyle name="40% - Accent1 4 3 2 2 4 2 2" xfId="20480"/>
    <cellStyle name="40% - Accent1 4 3 2 2 4 2 3" xfId="20481"/>
    <cellStyle name="40% - Accent1 4 3 2 2 4 3" xfId="20482"/>
    <cellStyle name="40% - Accent1 4 3 2 2 4 3 2" xfId="20483"/>
    <cellStyle name="40% - Accent1 4 3 2 2 4 3 3" xfId="20484"/>
    <cellStyle name="40% - Accent1 4 3 2 2 4 4" xfId="20485"/>
    <cellStyle name="40% - Accent1 4 3 2 2 4 4 2" xfId="20486"/>
    <cellStyle name="40% - Accent1 4 3 2 2 4 5" xfId="20487"/>
    <cellStyle name="40% - Accent1 4 3 2 2 4 6" xfId="20488"/>
    <cellStyle name="40% - Accent1 4 3 2 2 5" xfId="20489"/>
    <cellStyle name="40% - Accent1 4 3 2 2 5 2" xfId="20490"/>
    <cellStyle name="40% - Accent1 4 3 2 2 5 2 2" xfId="20491"/>
    <cellStyle name="40% - Accent1 4 3 2 2 5 2 3" xfId="20492"/>
    <cellStyle name="40% - Accent1 4 3 2 2 5 3" xfId="20493"/>
    <cellStyle name="40% - Accent1 4 3 2 2 5 3 2" xfId="20494"/>
    <cellStyle name="40% - Accent1 4 3 2 2 5 4" xfId="20495"/>
    <cellStyle name="40% - Accent1 4 3 2 2 5 5" xfId="20496"/>
    <cellStyle name="40% - Accent1 4 3 2 2 6" xfId="20497"/>
    <cellStyle name="40% - Accent1 4 3 2 2 6 2" xfId="20498"/>
    <cellStyle name="40% - Accent1 4 3 2 2 6 3" xfId="20499"/>
    <cellStyle name="40% - Accent1 4 3 2 2 7" xfId="20500"/>
    <cellStyle name="40% - Accent1 4 3 2 2 7 2" xfId="20501"/>
    <cellStyle name="40% - Accent1 4 3 2 2 7 3" xfId="20502"/>
    <cellStyle name="40% - Accent1 4 3 2 2 8" xfId="20503"/>
    <cellStyle name="40% - Accent1 4 3 2 2 8 2" xfId="20504"/>
    <cellStyle name="40% - Accent1 4 3 2 2 9" xfId="20505"/>
    <cellStyle name="40% - Accent1 4 3 2 3" xfId="1583"/>
    <cellStyle name="40% - Accent1 4 3 2 3 2" xfId="20506"/>
    <cellStyle name="40% - Accent1 4 3 2 3 2 2" xfId="20507"/>
    <cellStyle name="40% - Accent1 4 3 2 3 2 2 2" xfId="20508"/>
    <cellStyle name="40% - Accent1 4 3 2 3 2 2 3" xfId="20509"/>
    <cellStyle name="40% - Accent1 4 3 2 3 2 3" xfId="20510"/>
    <cellStyle name="40% - Accent1 4 3 2 3 2 3 2" xfId="20511"/>
    <cellStyle name="40% - Accent1 4 3 2 3 2 3 3" xfId="20512"/>
    <cellStyle name="40% - Accent1 4 3 2 3 2 4" xfId="20513"/>
    <cellStyle name="40% - Accent1 4 3 2 3 2 4 2" xfId="20514"/>
    <cellStyle name="40% - Accent1 4 3 2 3 2 5" xfId="20515"/>
    <cellStyle name="40% - Accent1 4 3 2 3 2 6" xfId="20516"/>
    <cellStyle name="40% - Accent1 4 3 2 3 3" xfId="20517"/>
    <cellStyle name="40% - Accent1 4 3 2 3 3 2" xfId="20518"/>
    <cellStyle name="40% - Accent1 4 3 2 3 3 2 2" xfId="20519"/>
    <cellStyle name="40% - Accent1 4 3 2 3 3 2 3" xfId="20520"/>
    <cellStyle name="40% - Accent1 4 3 2 3 3 3" xfId="20521"/>
    <cellStyle name="40% - Accent1 4 3 2 3 3 3 2" xfId="20522"/>
    <cellStyle name="40% - Accent1 4 3 2 3 3 3 3" xfId="20523"/>
    <cellStyle name="40% - Accent1 4 3 2 3 3 4" xfId="20524"/>
    <cellStyle name="40% - Accent1 4 3 2 3 3 4 2" xfId="20525"/>
    <cellStyle name="40% - Accent1 4 3 2 3 3 5" xfId="20526"/>
    <cellStyle name="40% - Accent1 4 3 2 3 3 6" xfId="20527"/>
    <cellStyle name="40% - Accent1 4 3 2 3 4" xfId="20528"/>
    <cellStyle name="40% - Accent1 4 3 2 3 4 2" xfId="20529"/>
    <cellStyle name="40% - Accent1 4 3 2 3 4 2 2" xfId="20530"/>
    <cellStyle name="40% - Accent1 4 3 2 3 4 2 3" xfId="20531"/>
    <cellStyle name="40% - Accent1 4 3 2 3 4 3" xfId="20532"/>
    <cellStyle name="40% - Accent1 4 3 2 3 4 3 2" xfId="20533"/>
    <cellStyle name="40% - Accent1 4 3 2 3 4 4" xfId="20534"/>
    <cellStyle name="40% - Accent1 4 3 2 3 4 5" xfId="20535"/>
    <cellStyle name="40% - Accent1 4 3 2 3 5" xfId="20536"/>
    <cellStyle name="40% - Accent1 4 3 2 3 5 2" xfId="20537"/>
    <cellStyle name="40% - Accent1 4 3 2 3 5 3" xfId="20538"/>
    <cellStyle name="40% - Accent1 4 3 2 3 6" xfId="20539"/>
    <cellStyle name="40% - Accent1 4 3 2 3 6 2" xfId="20540"/>
    <cellStyle name="40% - Accent1 4 3 2 3 6 3" xfId="20541"/>
    <cellStyle name="40% - Accent1 4 3 2 3 7" xfId="20542"/>
    <cellStyle name="40% - Accent1 4 3 2 3 7 2" xfId="20543"/>
    <cellStyle name="40% - Accent1 4 3 2 3 8" xfId="20544"/>
    <cellStyle name="40% - Accent1 4 3 2 3 9" xfId="20545"/>
    <cellStyle name="40% - Accent1 4 3 2 4" xfId="20546"/>
    <cellStyle name="40% - Accent1 4 3 2 4 2" xfId="20547"/>
    <cellStyle name="40% - Accent1 4 3 2 4 2 2" xfId="20548"/>
    <cellStyle name="40% - Accent1 4 3 2 4 2 2 2" xfId="20549"/>
    <cellStyle name="40% - Accent1 4 3 2 4 2 2 3" xfId="20550"/>
    <cellStyle name="40% - Accent1 4 3 2 4 2 3" xfId="20551"/>
    <cellStyle name="40% - Accent1 4 3 2 4 2 3 2" xfId="20552"/>
    <cellStyle name="40% - Accent1 4 3 2 4 2 3 3" xfId="20553"/>
    <cellStyle name="40% - Accent1 4 3 2 4 2 4" xfId="20554"/>
    <cellStyle name="40% - Accent1 4 3 2 4 2 4 2" xfId="20555"/>
    <cellStyle name="40% - Accent1 4 3 2 4 2 5" xfId="20556"/>
    <cellStyle name="40% - Accent1 4 3 2 4 2 6" xfId="20557"/>
    <cellStyle name="40% - Accent1 4 3 2 4 3" xfId="20558"/>
    <cellStyle name="40% - Accent1 4 3 2 4 3 2" xfId="20559"/>
    <cellStyle name="40% - Accent1 4 3 2 4 3 2 2" xfId="20560"/>
    <cellStyle name="40% - Accent1 4 3 2 4 3 2 3" xfId="20561"/>
    <cellStyle name="40% - Accent1 4 3 2 4 3 3" xfId="20562"/>
    <cellStyle name="40% - Accent1 4 3 2 4 3 3 2" xfId="20563"/>
    <cellStyle name="40% - Accent1 4 3 2 4 3 3 3" xfId="20564"/>
    <cellStyle name="40% - Accent1 4 3 2 4 3 4" xfId="20565"/>
    <cellStyle name="40% - Accent1 4 3 2 4 3 4 2" xfId="20566"/>
    <cellStyle name="40% - Accent1 4 3 2 4 3 5" xfId="20567"/>
    <cellStyle name="40% - Accent1 4 3 2 4 3 6" xfId="20568"/>
    <cellStyle name="40% - Accent1 4 3 2 4 4" xfId="20569"/>
    <cellStyle name="40% - Accent1 4 3 2 4 4 2" xfId="20570"/>
    <cellStyle name="40% - Accent1 4 3 2 4 4 2 2" xfId="20571"/>
    <cellStyle name="40% - Accent1 4 3 2 4 4 2 3" xfId="20572"/>
    <cellStyle name="40% - Accent1 4 3 2 4 4 3" xfId="20573"/>
    <cellStyle name="40% - Accent1 4 3 2 4 4 3 2" xfId="20574"/>
    <cellStyle name="40% - Accent1 4 3 2 4 4 4" xfId="20575"/>
    <cellStyle name="40% - Accent1 4 3 2 4 4 5" xfId="20576"/>
    <cellStyle name="40% - Accent1 4 3 2 4 5" xfId="20577"/>
    <cellStyle name="40% - Accent1 4 3 2 4 5 2" xfId="20578"/>
    <cellStyle name="40% - Accent1 4 3 2 4 5 3" xfId="20579"/>
    <cellStyle name="40% - Accent1 4 3 2 4 6" xfId="20580"/>
    <cellStyle name="40% - Accent1 4 3 2 4 6 2" xfId="20581"/>
    <cellStyle name="40% - Accent1 4 3 2 4 6 3" xfId="20582"/>
    <cellStyle name="40% - Accent1 4 3 2 4 7" xfId="20583"/>
    <cellStyle name="40% - Accent1 4 3 2 4 7 2" xfId="20584"/>
    <cellStyle name="40% - Accent1 4 3 2 4 8" xfId="20585"/>
    <cellStyle name="40% - Accent1 4 3 2 4 9" xfId="20586"/>
    <cellStyle name="40% - Accent1 4 3 2 5" xfId="20587"/>
    <cellStyle name="40% - Accent1 4 3 2 5 2" xfId="20588"/>
    <cellStyle name="40% - Accent1 4 3 2 5 2 2" xfId="20589"/>
    <cellStyle name="40% - Accent1 4 3 2 5 2 3" xfId="20590"/>
    <cellStyle name="40% - Accent1 4 3 2 5 3" xfId="20591"/>
    <cellStyle name="40% - Accent1 4 3 2 5 3 2" xfId="20592"/>
    <cellStyle name="40% - Accent1 4 3 2 5 3 3" xfId="20593"/>
    <cellStyle name="40% - Accent1 4 3 2 5 4" xfId="20594"/>
    <cellStyle name="40% - Accent1 4 3 2 5 4 2" xfId="20595"/>
    <cellStyle name="40% - Accent1 4 3 2 5 5" xfId="20596"/>
    <cellStyle name="40% - Accent1 4 3 2 5 6" xfId="20597"/>
    <cellStyle name="40% - Accent1 4 3 2 6" xfId="20598"/>
    <cellStyle name="40% - Accent1 4 3 2 6 2" xfId="20599"/>
    <cellStyle name="40% - Accent1 4 3 2 6 2 2" xfId="20600"/>
    <cellStyle name="40% - Accent1 4 3 2 6 2 3" xfId="20601"/>
    <cellStyle name="40% - Accent1 4 3 2 6 3" xfId="20602"/>
    <cellStyle name="40% - Accent1 4 3 2 6 3 2" xfId="20603"/>
    <cellStyle name="40% - Accent1 4 3 2 6 3 3" xfId="20604"/>
    <cellStyle name="40% - Accent1 4 3 2 6 4" xfId="20605"/>
    <cellStyle name="40% - Accent1 4 3 2 6 4 2" xfId="20606"/>
    <cellStyle name="40% - Accent1 4 3 2 6 5" xfId="20607"/>
    <cellStyle name="40% - Accent1 4 3 2 6 6" xfId="20608"/>
    <cellStyle name="40% - Accent1 4 3 2 7" xfId="20609"/>
    <cellStyle name="40% - Accent1 4 3 2 7 2" xfId="20610"/>
    <cellStyle name="40% - Accent1 4 3 2 7 2 2" xfId="20611"/>
    <cellStyle name="40% - Accent1 4 3 2 7 2 3" xfId="20612"/>
    <cellStyle name="40% - Accent1 4 3 2 7 3" xfId="20613"/>
    <cellStyle name="40% - Accent1 4 3 2 7 3 2" xfId="20614"/>
    <cellStyle name="40% - Accent1 4 3 2 7 4" xfId="20615"/>
    <cellStyle name="40% - Accent1 4 3 2 7 5" xfId="20616"/>
    <cellStyle name="40% - Accent1 4 3 2 8" xfId="20617"/>
    <cellStyle name="40% - Accent1 4 3 2 8 2" xfId="20618"/>
    <cellStyle name="40% - Accent1 4 3 2 8 3" xfId="20619"/>
    <cellStyle name="40% - Accent1 4 3 2 9" xfId="20620"/>
    <cellStyle name="40% - Accent1 4 3 2 9 2" xfId="20621"/>
    <cellStyle name="40% - Accent1 4 3 2 9 3" xfId="20622"/>
    <cellStyle name="40% - Accent1 4 3 3" xfId="1584"/>
    <cellStyle name="40% - Accent1 4 3 3 10" xfId="20623"/>
    <cellStyle name="40% - Accent1 4 3 3 2" xfId="1585"/>
    <cellStyle name="40% - Accent1 4 3 3 2 2" xfId="20624"/>
    <cellStyle name="40% - Accent1 4 3 3 2 2 2" xfId="20625"/>
    <cellStyle name="40% - Accent1 4 3 3 2 2 2 2" xfId="20626"/>
    <cellStyle name="40% - Accent1 4 3 3 2 2 2 3" xfId="20627"/>
    <cellStyle name="40% - Accent1 4 3 3 2 2 3" xfId="20628"/>
    <cellStyle name="40% - Accent1 4 3 3 2 2 3 2" xfId="20629"/>
    <cellStyle name="40% - Accent1 4 3 3 2 2 3 3" xfId="20630"/>
    <cellStyle name="40% - Accent1 4 3 3 2 2 4" xfId="20631"/>
    <cellStyle name="40% - Accent1 4 3 3 2 2 4 2" xfId="20632"/>
    <cellStyle name="40% - Accent1 4 3 3 2 2 5" xfId="20633"/>
    <cellStyle name="40% - Accent1 4 3 3 2 2 6" xfId="20634"/>
    <cellStyle name="40% - Accent1 4 3 3 2 3" xfId="20635"/>
    <cellStyle name="40% - Accent1 4 3 3 2 3 2" xfId="20636"/>
    <cellStyle name="40% - Accent1 4 3 3 2 3 2 2" xfId="20637"/>
    <cellStyle name="40% - Accent1 4 3 3 2 3 2 3" xfId="20638"/>
    <cellStyle name="40% - Accent1 4 3 3 2 3 3" xfId="20639"/>
    <cellStyle name="40% - Accent1 4 3 3 2 3 3 2" xfId="20640"/>
    <cellStyle name="40% - Accent1 4 3 3 2 3 3 3" xfId="20641"/>
    <cellStyle name="40% - Accent1 4 3 3 2 3 4" xfId="20642"/>
    <cellStyle name="40% - Accent1 4 3 3 2 3 4 2" xfId="20643"/>
    <cellStyle name="40% - Accent1 4 3 3 2 3 5" xfId="20644"/>
    <cellStyle name="40% - Accent1 4 3 3 2 3 6" xfId="20645"/>
    <cellStyle name="40% - Accent1 4 3 3 2 4" xfId="20646"/>
    <cellStyle name="40% - Accent1 4 3 3 2 4 2" xfId="20647"/>
    <cellStyle name="40% - Accent1 4 3 3 2 4 2 2" xfId="20648"/>
    <cellStyle name="40% - Accent1 4 3 3 2 4 2 3" xfId="20649"/>
    <cellStyle name="40% - Accent1 4 3 3 2 4 3" xfId="20650"/>
    <cellStyle name="40% - Accent1 4 3 3 2 4 3 2" xfId="20651"/>
    <cellStyle name="40% - Accent1 4 3 3 2 4 4" xfId="20652"/>
    <cellStyle name="40% - Accent1 4 3 3 2 4 5" xfId="20653"/>
    <cellStyle name="40% - Accent1 4 3 3 2 5" xfId="20654"/>
    <cellStyle name="40% - Accent1 4 3 3 2 5 2" xfId="20655"/>
    <cellStyle name="40% - Accent1 4 3 3 2 5 3" xfId="20656"/>
    <cellStyle name="40% - Accent1 4 3 3 2 6" xfId="20657"/>
    <cellStyle name="40% - Accent1 4 3 3 2 6 2" xfId="20658"/>
    <cellStyle name="40% - Accent1 4 3 3 2 6 3" xfId="20659"/>
    <cellStyle name="40% - Accent1 4 3 3 2 7" xfId="20660"/>
    <cellStyle name="40% - Accent1 4 3 3 2 7 2" xfId="20661"/>
    <cellStyle name="40% - Accent1 4 3 3 2 8" xfId="20662"/>
    <cellStyle name="40% - Accent1 4 3 3 2 9" xfId="20663"/>
    <cellStyle name="40% - Accent1 4 3 3 3" xfId="20664"/>
    <cellStyle name="40% - Accent1 4 3 3 3 2" xfId="20665"/>
    <cellStyle name="40% - Accent1 4 3 3 3 2 2" xfId="20666"/>
    <cellStyle name="40% - Accent1 4 3 3 3 2 3" xfId="20667"/>
    <cellStyle name="40% - Accent1 4 3 3 3 3" xfId="20668"/>
    <cellStyle name="40% - Accent1 4 3 3 3 3 2" xfId="20669"/>
    <cellStyle name="40% - Accent1 4 3 3 3 3 3" xfId="20670"/>
    <cellStyle name="40% - Accent1 4 3 3 3 4" xfId="20671"/>
    <cellStyle name="40% - Accent1 4 3 3 3 4 2" xfId="20672"/>
    <cellStyle name="40% - Accent1 4 3 3 3 5" xfId="20673"/>
    <cellStyle name="40% - Accent1 4 3 3 3 6" xfId="20674"/>
    <cellStyle name="40% - Accent1 4 3 3 4" xfId="20675"/>
    <cellStyle name="40% - Accent1 4 3 3 4 2" xfId="20676"/>
    <cellStyle name="40% - Accent1 4 3 3 4 2 2" xfId="20677"/>
    <cellStyle name="40% - Accent1 4 3 3 4 2 3" xfId="20678"/>
    <cellStyle name="40% - Accent1 4 3 3 4 3" xfId="20679"/>
    <cellStyle name="40% - Accent1 4 3 3 4 3 2" xfId="20680"/>
    <cellStyle name="40% - Accent1 4 3 3 4 3 3" xfId="20681"/>
    <cellStyle name="40% - Accent1 4 3 3 4 4" xfId="20682"/>
    <cellStyle name="40% - Accent1 4 3 3 4 4 2" xfId="20683"/>
    <cellStyle name="40% - Accent1 4 3 3 4 5" xfId="20684"/>
    <cellStyle name="40% - Accent1 4 3 3 4 6" xfId="20685"/>
    <cellStyle name="40% - Accent1 4 3 3 5" xfId="20686"/>
    <cellStyle name="40% - Accent1 4 3 3 5 2" xfId="20687"/>
    <cellStyle name="40% - Accent1 4 3 3 5 2 2" xfId="20688"/>
    <cellStyle name="40% - Accent1 4 3 3 5 2 3" xfId="20689"/>
    <cellStyle name="40% - Accent1 4 3 3 5 3" xfId="20690"/>
    <cellStyle name="40% - Accent1 4 3 3 5 3 2" xfId="20691"/>
    <cellStyle name="40% - Accent1 4 3 3 5 4" xfId="20692"/>
    <cellStyle name="40% - Accent1 4 3 3 5 5" xfId="20693"/>
    <cellStyle name="40% - Accent1 4 3 3 6" xfId="20694"/>
    <cellStyle name="40% - Accent1 4 3 3 6 2" xfId="20695"/>
    <cellStyle name="40% - Accent1 4 3 3 6 3" xfId="20696"/>
    <cellStyle name="40% - Accent1 4 3 3 7" xfId="20697"/>
    <cellStyle name="40% - Accent1 4 3 3 7 2" xfId="20698"/>
    <cellStyle name="40% - Accent1 4 3 3 7 3" xfId="20699"/>
    <cellStyle name="40% - Accent1 4 3 3 8" xfId="20700"/>
    <cellStyle name="40% - Accent1 4 3 3 8 2" xfId="20701"/>
    <cellStyle name="40% - Accent1 4 3 3 9" xfId="20702"/>
    <cellStyle name="40% - Accent1 4 3 4" xfId="1586"/>
    <cellStyle name="40% - Accent1 4 3 4 2" xfId="20703"/>
    <cellStyle name="40% - Accent1 4 3 4 2 2" xfId="20704"/>
    <cellStyle name="40% - Accent1 4 3 4 2 2 2" xfId="20705"/>
    <cellStyle name="40% - Accent1 4 3 4 2 2 3" xfId="20706"/>
    <cellStyle name="40% - Accent1 4 3 4 2 3" xfId="20707"/>
    <cellStyle name="40% - Accent1 4 3 4 2 3 2" xfId="20708"/>
    <cellStyle name="40% - Accent1 4 3 4 2 3 3" xfId="20709"/>
    <cellStyle name="40% - Accent1 4 3 4 2 4" xfId="20710"/>
    <cellStyle name="40% - Accent1 4 3 4 2 4 2" xfId="20711"/>
    <cellStyle name="40% - Accent1 4 3 4 2 5" xfId="20712"/>
    <cellStyle name="40% - Accent1 4 3 4 2 6" xfId="20713"/>
    <cellStyle name="40% - Accent1 4 3 4 3" xfId="20714"/>
    <cellStyle name="40% - Accent1 4 3 4 3 2" xfId="20715"/>
    <cellStyle name="40% - Accent1 4 3 4 3 2 2" xfId="20716"/>
    <cellStyle name="40% - Accent1 4 3 4 3 2 3" xfId="20717"/>
    <cellStyle name="40% - Accent1 4 3 4 3 3" xfId="20718"/>
    <cellStyle name="40% - Accent1 4 3 4 3 3 2" xfId="20719"/>
    <cellStyle name="40% - Accent1 4 3 4 3 3 3" xfId="20720"/>
    <cellStyle name="40% - Accent1 4 3 4 3 4" xfId="20721"/>
    <cellStyle name="40% - Accent1 4 3 4 3 4 2" xfId="20722"/>
    <cellStyle name="40% - Accent1 4 3 4 3 5" xfId="20723"/>
    <cellStyle name="40% - Accent1 4 3 4 3 6" xfId="20724"/>
    <cellStyle name="40% - Accent1 4 3 4 4" xfId="20725"/>
    <cellStyle name="40% - Accent1 4 3 4 4 2" xfId="20726"/>
    <cellStyle name="40% - Accent1 4 3 4 4 2 2" xfId="20727"/>
    <cellStyle name="40% - Accent1 4 3 4 4 2 3" xfId="20728"/>
    <cellStyle name="40% - Accent1 4 3 4 4 3" xfId="20729"/>
    <cellStyle name="40% - Accent1 4 3 4 4 3 2" xfId="20730"/>
    <cellStyle name="40% - Accent1 4 3 4 4 4" xfId="20731"/>
    <cellStyle name="40% - Accent1 4 3 4 4 5" xfId="20732"/>
    <cellStyle name="40% - Accent1 4 3 4 5" xfId="20733"/>
    <cellStyle name="40% - Accent1 4 3 4 5 2" xfId="20734"/>
    <cellStyle name="40% - Accent1 4 3 4 5 3" xfId="20735"/>
    <cellStyle name="40% - Accent1 4 3 4 6" xfId="20736"/>
    <cellStyle name="40% - Accent1 4 3 4 6 2" xfId="20737"/>
    <cellStyle name="40% - Accent1 4 3 4 6 3" xfId="20738"/>
    <cellStyle name="40% - Accent1 4 3 4 7" xfId="20739"/>
    <cellStyle name="40% - Accent1 4 3 4 7 2" xfId="20740"/>
    <cellStyle name="40% - Accent1 4 3 4 8" xfId="20741"/>
    <cellStyle name="40% - Accent1 4 3 4 9" xfId="20742"/>
    <cellStyle name="40% - Accent1 4 3 5" xfId="20743"/>
    <cellStyle name="40% - Accent1 4 3 5 2" xfId="20744"/>
    <cellStyle name="40% - Accent1 4 3 5 2 2" xfId="20745"/>
    <cellStyle name="40% - Accent1 4 3 5 2 2 2" xfId="20746"/>
    <cellStyle name="40% - Accent1 4 3 5 2 2 3" xfId="20747"/>
    <cellStyle name="40% - Accent1 4 3 5 2 3" xfId="20748"/>
    <cellStyle name="40% - Accent1 4 3 5 2 3 2" xfId="20749"/>
    <cellStyle name="40% - Accent1 4 3 5 2 3 3" xfId="20750"/>
    <cellStyle name="40% - Accent1 4 3 5 2 4" xfId="20751"/>
    <cellStyle name="40% - Accent1 4 3 5 2 4 2" xfId="20752"/>
    <cellStyle name="40% - Accent1 4 3 5 2 5" xfId="20753"/>
    <cellStyle name="40% - Accent1 4 3 5 2 6" xfId="20754"/>
    <cellStyle name="40% - Accent1 4 3 5 3" xfId="20755"/>
    <cellStyle name="40% - Accent1 4 3 5 3 2" xfId="20756"/>
    <cellStyle name="40% - Accent1 4 3 5 3 2 2" xfId="20757"/>
    <cellStyle name="40% - Accent1 4 3 5 3 2 3" xfId="20758"/>
    <cellStyle name="40% - Accent1 4 3 5 3 3" xfId="20759"/>
    <cellStyle name="40% - Accent1 4 3 5 3 3 2" xfId="20760"/>
    <cellStyle name="40% - Accent1 4 3 5 3 3 3" xfId="20761"/>
    <cellStyle name="40% - Accent1 4 3 5 3 4" xfId="20762"/>
    <cellStyle name="40% - Accent1 4 3 5 3 4 2" xfId="20763"/>
    <cellStyle name="40% - Accent1 4 3 5 3 5" xfId="20764"/>
    <cellStyle name="40% - Accent1 4 3 5 3 6" xfId="20765"/>
    <cellStyle name="40% - Accent1 4 3 5 4" xfId="20766"/>
    <cellStyle name="40% - Accent1 4 3 5 4 2" xfId="20767"/>
    <cellStyle name="40% - Accent1 4 3 5 4 2 2" xfId="20768"/>
    <cellStyle name="40% - Accent1 4 3 5 4 2 3" xfId="20769"/>
    <cellStyle name="40% - Accent1 4 3 5 4 3" xfId="20770"/>
    <cellStyle name="40% - Accent1 4 3 5 4 3 2" xfId="20771"/>
    <cellStyle name="40% - Accent1 4 3 5 4 4" xfId="20772"/>
    <cellStyle name="40% - Accent1 4 3 5 4 5" xfId="20773"/>
    <cellStyle name="40% - Accent1 4 3 5 5" xfId="20774"/>
    <cellStyle name="40% - Accent1 4 3 5 5 2" xfId="20775"/>
    <cellStyle name="40% - Accent1 4 3 5 5 3" xfId="20776"/>
    <cellStyle name="40% - Accent1 4 3 5 6" xfId="20777"/>
    <cellStyle name="40% - Accent1 4 3 5 6 2" xfId="20778"/>
    <cellStyle name="40% - Accent1 4 3 5 6 3" xfId="20779"/>
    <cellStyle name="40% - Accent1 4 3 5 7" xfId="20780"/>
    <cellStyle name="40% - Accent1 4 3 5 7 2" xfId="20781"/>
    <cellStyle name="40% - Accent1 4 3 5 8" xfId="20782"/>
    <cellStyle name="40% - Accent1 4 3 5 9" xfId="20783"/>
    <cellStyle name="40% - Accent1 4 3 6" xfId="20784"/>
    <cellStyle name="40% - Accent1 4 3 6 2" xfId="20785"/>
    <cellStyle name="40% - Accent1 4 3 6 2 2" xfId="20786"/>
    <cellStyle name="40% - Accent1 4 3 6 2 3" xfId="20787"/>
    <cellStyle name="40% - Accent1 4 3 6 3" xfId="20788"/>
    <cellStyle name="40% - Accent1 4 3 6 3 2" xfId="20789"/>
    <cellStyle name="40% - Accent1 4 3 6 3 3" xfId="20790"/>
    <cellStyle name="40% - Accent1 4 3 6 4" xfId="20791"/>
    <cellStyle name="40% - Accent1 4 3 6 4 2" xfId="20792"/>
    <cellStyle name="40% - Accent1 4 3 6 5" xfId="20793"/>
    <cellStyle name="40% - Accent1 4 3 6 6" xfId="20794"/>
    <cellStyle name="40% - Accent1 4 3 7" xfId="20795"/>
    <cellStyle name="40% - Accent1 4 3 7 2" xfId="20796"/>
    <cellStyle name="40% - Accent1 4 3 7 2 2" xfId="20797"/>
    <cellStyle name="40% - Accent1 4 3 7 2 3" xfId="20798"/>
    <cellStyle name="40% - Accent1 4 3 7 3" xfId="20799"/>
    <cellStyle name="40% - Accent1 4 3 7 3 2" xfId="20800"/>
    <cellStyle name="40% - Accent1 4 3 7 3 3" xfId="20801"/>
    <cellStyle name="40% - Accent1 4 3 7 4" xfId="20802"/>
    <cellStyle name="40% - Accent1 4 3 7 4 2" xfId="20803"/>
    <cellStyle name="40% - Accent1 4 3 7 5" xfId="20804"/>
    <cellStyle name="40% - Accent1 4 3 7 6" xfId="20805"/>
    <cellStyle name="40% - Accent1 4 3 8" xfId="20806"/>
    <cellStyle name="40% - Accent1 4 3 8 2" xfId="20807"/>
    <cellStyle name="40% - Accent1 4 3 8 2 2" xfId="20808"/>
    <cellStyle name="40% - Accent1 4 3 8 2 3" xfId="20809"/>
    <cellStyle name="40% - Accent1 4 3 8 3" xfId="20810"/>
    <cellStyle name="40% - Accent1 4 3 8 3 2" xfId="20811"/>
    <cellStyle name="40% - Accent1 4 3 8 4" xfId="20812"/>
    <cellStyle name="40% - Accent1 4 3 8 5" xfId="20813"/>
    <cellStyle name="40% - Accent1 4 3 9" xfId="20814"/>
    <cellStyle name="40% - Accent1 4 3 9 2" xfId="20815"/>
    <cellStyle name="40% - Accent1 4 3 9 3" xfId="20816"/>
    <cellStyle name="40% - Accent1 4 4" xfId="1587"/>
    <cellStyle name="40% - Accent1 4 4 10" xfId="20817"/>
    <cellStyle name="40% - Accent1 4 4 10 2" xfId="20818"/>
    <cellStyle name="40% - Accent1 4 4 11" xfId="20819"/>
    <cellStyle name="40% - Accent1 4 4 12" xfId="20820"/>
    <cellStyle name="40% - Accent1 4 4 2" xfId="1588"/>
    <cellStyle name="40% - Accent1 4 4 2 10" xfId="20821"/>
    <cellStyle name="40% - Accent1 4 4 2 2" xfId="1589"/>
    <cellStyle name="40% - Accent1 4 4 2 2 2" xfId="20822"/>
    <cellStyle name="40% - Accent1 4 4 2 2 2 2" xfId="20823"/>
    <cellStyle name="40% - Accent1 4 4 2 2 2 2 2" xfId="20824"/>
    <cellStyle name="40% - Accent1 4 4 2 2 2 2 3" xfId="20825"/>
    <cellStyle name="40% - Accent1 4 4 2 2 2 3" xfId="20826"/>
    <cellStyle name="40% - Accent1 4 4 2 2 2 3 2" xfId="20827"/>
    <cellStyle name="40% - Accent1 4 4 2 2 2 3 3" xfId="20828"/>
    <cellStyle name="40% - Accent1 4 4 2 2 2 4" xfId="20829"/>
    <cellStyle name="40% - Accent1 4 4 2 2 2 4 2" xfId="20830"/>
    <cellStyle name="40% - Accent1 4 4 2 2 2 5" xfId="20831"/>
    <cellStyle name="40% - Accent1 4 4 2 2 2 6" xfId="20832"/>
    <cellStyle name="40% - Accent1 4 4 2 2 3" xfId="20833"/>
    <cellStyle name="40% - Accent1 4 4 2 2 3 2" xfId="20834"/>
    <cellStyle name="40% - Accent1 4 4 2 2 3 2 2" xfId="20835"/>
    <cellStyle name="40% - Accent1 4 4 2 2 3 2 3" xfId="20836"/>
    <cellStyle name="40% - Accent1 4 4 2 2 3 3" xfId="20837"/>
    <cellStyle name="40% - Accent1 4 4 2 2 3 3 2" xfId="20838"/>
    <cellStyle name="40% - Accent1 4 4 2 2 3 3 3" xfId="20839"/>
    <cellStyle name="40% - Accent1 4 4 2 2 3 4" xfId="20840"/>
    <cellStyle name="40% - Accent1 4 4 2 2 3 4 2" xfId="20841"/>
    <cellStyle name="40% - Accent1 4 4 2 2 3 5" xfId="20842"/>
    <cellStyle name="40% - Accent1 4 4 2 2 3 6" xfId="20843"/>
    <cellStyle name="40% - Accent1 4 4 2 2 4" xfId="20844"/>
    <cellStyle name="40% - Accent1 4 4 2 2 4 2" xfId="20845"/>
    <cellStyle name="40% - Accent1 4 4 2 2 4 2 2" xfId="20846"/>
    <cellStyle name="40% - Accent1 4 4 2 2 4 2 3" xfId="20847"/>
    <cellStyle name="40% - Accent1 4 4 2 2 4 3" xfId="20848"/>
    <cellStyle name="40% - Accent1 4 4 2 2 4 3 2" xfId="20849"/>
    <cellStyle name="40% - Accent1 4 4 2 2 4 4" xfId="20850"/>
    <cellStyle name="40% - Accent1 4 4 2 2 4 5" xfId="20851"/>
    <cellStyle name="40% - Accent1 4 4 2 2 5" xfId="20852"/>
    <cellStyle name="40% - Accent1 4 4 2 2 5 2" xfId="20853"/>
    <cellStyle name="40% - Accent1 4 4 2 2 5 3" xfId="20854"/>
    <cellStyle name="40% - Accent1 4 4 2 2 6" xfId="20855"/>
    <cellStyle name="40% - Accent1 4 4 2 2 6 2" xfId="20856"/>
    <cellStyle name="40% - Accent1 4 4 2 2 6 3" xfId="20857"/>
    <cellStyle name="40% - Accent1 4 4 2 2 7" xfId="20858"/>
    <cellStyle name="40% - Accent1 4 4 2 2 7 2" xfId="20859"/>
    <cellStyle name="40% - Accent1 4 4 2 2 8" xfId="20860"/>
    <cellStyle name="40% - Accent1 4 4 2 2 9" xfId="20861"/>
    <cellStyle name="40% - Accent1 4 4 2 3" xfId="20862"/>
    <cellStyle name="40% - Accent1 4 4 2 3 2" xfId="20863"/>
    <cellStyle name="40% - Accent1 4 4 2 3 2 2" xfId="20864"/>
    <cellStyle name="40% - Accent1 4 4 2 3 2 3" xfId="20865"/>
    <cellStyle name="40% - Accent1 4 4 2 3 3" xfId="20866"/>
    <cellStyle name="40% - Accent1 4 4 2 3 3 2" xfId="20867"/>
    <cellStyle name="40% - Accent1 4 4 2 3 3 3" xfId="20868"/>
    <cellStyle name="40% - Accent1 4 4 2 3 4" xfId="20869"/>
    <cellStyle name="40% - Accent1 4 4 2 3 4 2" xfId="20870"/>
    <cellStyle name="40% - Accent1 4 4 2 3 5" xfId="20871"/>
    <cellStyle name="40% - Accent1 4 4 2 3 6" xfId="20872"/>
    <cellStyle name="40% - Accent1 4 4 2 4" xfId="20873"/>
    <cellStyle name="40% - Accent1 4 4 2 4 2" xfId="20874"/>
    <cellStyle name="40% - Accent1 4 4 2 4 2 2" xfId="20875"/>
    <cellStyle name="40% - Accent1 4 4 2 4 2 3" xfId="20876"/>
    <cellStyle name="40% - Accent1 4 4 2 4 3" xfId="20877"/>
    <cellStyle name="40% - Accent1 4 4 2 4 3 2" xfId="20878"/>
    <cellStyle name="40% - Accent1 4 4 2 4 3 3" xfId="20879"/>
    <cellStyle name="40% - Accent1 4 4 2 4 4" xfId="20880"/>
    <cellStyle name="40% - Accent1 4 4 2 4 4 2" xfId="20881"/>
    <cellStyle name="40% - Accent1 4 4 2 4 5" xfId="20882"/>
    <cellStyle name="40% - Accent1 4 4 2 4 6" xfId="20883"/>
    <cellStyle name="40% - Accent1 4 4 2 5" xfId="20884"/>
    <cellStyle name="40% - Accent1 4 4 2 5 2" xfId="20885"/>
    <cellStyle name="40% - Accent1 4 4 2 5 2 2" xfId="20886"/>
    <cellStyle name="40% - Accent1 4 4 2 5 2 3" xfId="20887"/>
    <cellStyle name="40% - Accent1 4 4 2 5 3" xfId="20888"/>
    <cellStyle name="40% - Accent1 4 4 2 5 3 2" xfId="20889"/>
    <cellStyle name="40% - Accent1 4 4 2 5 4" xfId="20890"/>
    <cellStyle name="40% - Accent1 4 4 2 5 5" xfId="20891"/>
    <cellStyle name="40% - Accent1 4 4 2 6" xfId="20892"/>
    <cellStyle name="40% - Accent1 4 4 2 6 2" xfId="20893"/>
    <cellStyle name="40% - Accent1 4 4 2 6 3" xfId="20894"/>
    <cellStyle name="40% - Accent1 4 4 2 7" xfId="20895"/>
    <cellStyle name="40% - Accent1 4 4 2 7 2" xfId="20896"/>
    <cellStyle name="40% - Accent1 4 4 2 7 3" xfId="20897"/>
    <cellStyle name="40% - Accent1 4 4 2 8" xfId="20898"/>
    <cellStyle name="40% - Accent1 4 4 2 8 2" xfId="20899"/>
    <cellStyle name="40% - Accent1 4 4 2 9" xfId="20900"/>
    <cellStyle name="40% - Accent1 4 4 3" xfId="1590"/>
    <cellStyle name="40% - Accent1 4 4 3 2" xfId="20901"/>
    <cellStyle name="40% - Accent1 4 4 3 2 2" xfId="20902"/>
    <cellStyle name="40% - Accent1 4 4 3 2 2 2" xfId="20903"/>
    <cellStyle name="40% - Accent1 4 4 3 2 2 3" xfId="20904"/>
    <cellStyle name="40% - Accent1 4 4 3 2 3" xfId="20905"/>
    <cellStyle name="40% - Accent1 4 4 3 2 3 2" xfId="20906"/>
    <cellStyle name="40% - Accent1 4 4 3 2 3 3" xfId="20907"/>
    <cellStyle name="40% - Accent1 4 4 3 2 4" xfId="20908"/>
    <cellStyle name="40% - Accent1 4 4 3 2 4 2" xfId="20909"/>
    <cellStyle name="40% - Accent1 4 4 3 2 5" xfId="20910"/>
    <cellStyle name="40% - Accent1 4 4 3 2 6" xfId="20911"/>
    <cellStyle name="40% - Accent1 4 4 3 3" xfId="20912"/>
    <cellStyle name="40% - Accent1 4 4 3 3 2" xfId="20913"/>
    <cellStyle name="40% - Accent1 4 4 3 3 2 2" xfId="20914"/>
    <cellStyle name="40% - Accent1 4 4 3 3 2 3" xfId="20915"/>
    <cellStyle name="40% - Accent1 4 4 3 3 3" xfId="20916"/>
    <cellStyle name="40% - Accent1 4 4 3 3 3 2" xfId="20917"/>
    <cellStyle name="40% - Accent1 4 4 3 3 3 3" xfId="20918"/>
    <cellStyle name="40% - Accent1 4 4 3 3 4" xfId="20919"/>
    <cellStyle name="40% - Accent1 4 4 3 3 4 2" xfId="20920"/>
    <cellStyle name="40% - Accent1 4 4 3 3 5" xfId="20921"/>
    <cellStyle name="40% - Accent1 4 4 3 3 6" xfId="20922"/>
    <cellStyle name="40% - Accent1 4 4 3 4" xfId="20923"/>
    <cellStyle name="40% - Accent1 4 4 3 4 2" xfId="20924"/>
    <cellStyle name="40% - Accent1 4 4 3 4 2 2" xfId="20925"/>
    <cellStyle name="40% - Accent1 4 4 3 4 2 3" xfId="20926"/>
    <cellStyle name="40% - Accent1 4 4 3 4 3" xfId="20927"/>
    <cellStyle name="40% - Accent1 4 4 3 4 3 2" xfId="20928"/>
    <cellStyle name="40% - Accent1 4 4 3 4 4" xfId="20929"/>
    <cellStyle name="40% - Accent1 4 4 3 4 5" xfId="20930"/>
    <cellStyle name="40% - Accent1 4 4 3 5" xfId="20931"/>
    <cellStyle name="40% - Accent1 4 4 3 5 2" xfId="20932"/>
    <cellStyle name="40% - Accent1 4 4 3 5 3" xfId="20933"/>
    <cellStyle name="40% - Accent1 4 4 3 6" xfId="20934"/>
    <cellStyle name="40% - Accent1 4 4 3 6 2" xfId="20935"/>
    <cellStyle name="40% - Accent1 4 4 3 6 3" xfId="20936"/>
    <cellStyle name="40% - Accent1 4 4 3 7" xfId="20937"/>
    <cellStyle name="40% - Accent1 4 4 3 7 2" xfId="20938"/>
    <cellStyle name="40% - Accent1 4 4 3 8" xfId="20939"/>
    <cellStyle name="40% - Accent1 4 4 3 9" xfId="20940"/>
    <cellStyle name="40% - Accent1 4 4 4" xfId="20941"/>
    <cellStyle name="40% - Accent1 4 4 4 2" xfId="20942"/>
    <cellStyle name="40% - Accent1 4 4 4 2 2" xfId="20943"/>
    <cellStyle name="40% - Accent1 4 4 4 2 2 2" xfId="20944"/>
    <cellStyle name="40% - Accent1 4 4 4 2 2 3" xfId="20945"/>
    <cellStyle name="40% - Accent1 4 4 4 2 3" xfId="20946"/>
    <cellStyle name="40% - Accent1 4 4 4 2 3 2" xfId="20947"/>
    <cellStyle name="40% - Accent1 4 4 4 2 3 3" xfId="20948"/>
    <cellStyle name="40% - Accent1 4 4 4 2 4" xfId="20949"/>
    <cellStyle name="40% - Accent1 4 4 4 2 4 2" xfId="20950"/>
    <cellStyle name="40% - Accent1 4 4 4 2 5" xfId="20951"/>
    <cellStyle name="40% - Accent1 4 4 4 2 6" xfId="20952"/>
    <cellStyle name="40% - Accent1 4 4 4 3" xfId="20953"/>
    <cellStyle name="40% - Accent1 4 4 4 3 2" xfId="20954"/>
    <cellStyle name="40% - Accent1 4 4 4 3 2 2" xfId="20955"/>
    <cellStyle name="40% - Accent1 4 4 4 3 2 3" xfId="20956"/>
    <cellStyle name="40% - Accent1 4 4 4 3 3" xfId="20957"/>
    <cellStyle name="40% - Accent1 4 4 4 3 3 2" xfId="20958"/>
    <cellStyle name="40% - Accent1 4 4 4 3 3 3" xfId="20959"/>
    <cellStyle name="40% - Accent1 4 4 4 3 4" xfId="20960"/>
    <cellStyle name="40% - Accent1 4 4 4 3 4 2" xfId="20961"/>
    <cellStyle name="40% - Accent1 4 4 4 3 5" xfId="20962"/>
    <cellStyle name="40% - Accent1 4 4 4 3 6" xfId="20963"/>
    <cellStyle name="40% - Accent1 4 4 4 4" xfId="20964"/>
    <cellStyle name="40% - Accent1 4 4 4 4 2" xfId="20965"/>
    <cellStyle name="40% - Accent1 4 4 4 4 2 2" xfId="20966"/>
    <cellStyle name="40% - Accent1 4 4 4 4 2 3" xfId="20967"/>
    <cellStyle name="40% - Accent1 4 4 4 4 3" xfId="20968"/>
    <cellStyle name="40% - Accent1 4 4 4 4 3 2" xfId="20969"/>
    <cellStyle name="40% - Accent1 4 4 4 4 4" xfId="20970"/>
    <cellStyle name="40% - Accent1 4 4 4 4 5" xfId="20971"/>
    <cellStyle name="40% - Accent1 4 4 4 5" xfId="20972"/>
    <cellStyle name="40% - Accent1 4 4 4 5 2" xfId="20973"/>
    <cellStyle name="40% - Accent1 4 4 4 5 3" xfId="20974"/>
    <cellStyle name="40% - Accent1 4 4 4 6" xfId="20975"/>
    <cellStyle name="40% - Accent1 4 4 4 6 2" xfId="20976"/>
    <cellStyle name="40% - Accent1 4 4 4 6 3" xfId="20977"/>
    <cellStyle name="40% - Accent1 4 4 4 7" xfId="20978"/>
    <cellStyle name="40% - Accent1 4 4 4 7 2" xfId="20979"/>
    <cellStyle name="40% - Accent1 4 4 4 8" xfId="20980"/>
    <cellStyle name="40% - Accent1 4 4 4 9" xfId="20981"/>
    <cellStyle name="40% - Accent1 4 4 5" xfId="20982"/>
    <cellStyle name="40% - Accent1 4 4 5 2" xfId="20983"/>
    <cellStyle name="40% - Accent1 4 4 5 2 2" xfId="20984"/>
    <cellStyle name="40% - Accent1 4 4 5 2 3" xfId="20985"/>
    <cellStyle name="40% - Accent1 4 4 5 3" xfId="20986"/>
    <cellStyle name="40% - Accent1 4 4 5 3 2" xfId="20987"/>
    <cellStyle name="40% - Accent1 4 4 5 3 3" xfId="20988"/>
    <cellStyle name="40% - Accent1 4 4 5 4" xfId="20989"/>
    <cellStyle name="40% - Accent1 4 4 5 4 2" xfId="20990"/>
    <cellStyle name="40% - Accent1 4 4 5 5" xfId="20991"/>
    <cellStyle name="40% - Accent1 4 4 5 6" xfId="20992"/>
    <cellStyle name="40% - Accent1 4 4 6" xfId="20993"/>
    <cellStyle name="40% - Accent1 4 4 6 2" xfId="20994"/>
    <cellStyle name="40% - Accent1 4 4 6 2 2" xfId="20995"/>
    <cellStyle name="40% - Accent1 4 4 6 2 3" xfId="20996"/>
    <cellStyle name="40% - Accent1 4 4 6 3" xfId="20997"/>
    <cellStyle name="40% - Accent1 4 4 6 3 2" xfId="20998"/>
    <cellStyle name="40% - Accent1 4 4 6 3 3" xfId="20999"/>
    <cellStyle name="40% - Accent1 4 4 6 4" xfId="21000"/>
    <cellStyle name="40% - Accent1 4 4 6 4 2" xfId="21001"/>
    <cellStyle name="40% - Accent1 4 4 6 5" xfId="21002"/>
    <cellStyle name="40% - Accent1 4 4 6 6" xfId="21003"/>
    <cellStyle name="40% - Accent1 4 4 7" xfId="21004"/>
    <cellStyle name="40% - Accent1 4 4 7 2" xfId="21005"/>
    <cellStyle name="40% - Accent1 4 4 7 2 2" xfId="21006"/>
    <cellStyle name="40% - Accent1 4 4 7 2 3" xfId="21007"/>
    <cellStyle name="40% - Accent1 4 4 7 3" xfId="21008"/>
    <cellStyle name="40% - Accent1 4 4 7 3 2" xfId="21009"/>
    <cellStyle name="40% - Accent1 4 4 7 4" xfId="21010"/>
    <cellStyle name="40% - Accent1 4 4 7 5" xfId="21011"/>
    <cellStyle name="40% - Accent1 4 4 8" xfId="21012"/>
    <cellStyle name="40% - Accent1 4 4 8 2" xfId="21013"/>
    <cellStyle name="40% - Accent1 4 4 8 3" xfId="21014"/>
    <cellStyle name="40% - Accent1 4 4 9" xfId="21015"/>
    <cellStyle name="40% - Accent1 4 4 9 2" xfId="21016"/>
    <cellStyle name="40% - Accent1 4 4 9 3" xfId="21017"/>
    <cellStyle name="40% - Accent1 4 5" xfId="1591"/>
    <cellStyle name="40% - Accent1 4 5 10" xfId="21018"/>
    <cellStyle name="40% - Accent1 4 5 2" xfId="1592"/>
    <cellStyle name="40% - Accent1 4 5 2 2" xfId="21019"/>
    <cellStyle name="40% - Accent1 4 5 2 2 2" xfId="21020"/>
    <cellStyle name="40% - Accent1 4 5 2 2 2 2" xfId="21021"/>
    <cellStyle name="40% - Accent1 4 5 2 2 2 3" xfId="21022"/>
    <cellStyle name="40% - Accent1 4 5 2 2 3" xfId="21023"/>
    <cellStyle name="40% - Accent1 4 5 2 2 3 2" xfId="21024"/>
    <cellStyle name="40% - Accent1 4 5 2 2 3 3" xfId="21025"/>
    <cellStyle name="40% - Accent1 4 5 2 2 4" xfId="21026"/>
    <cellStyle name="40% - Accent1 4 5 2 2 4 2" xfId="21027"/>
    <cellStyle name="40% - Accent1 4 5 2 2 5" xfId="21028"/>
    <cellStyle name="40% - Accent1 4 5 2 2 6" xfId="21029"/>
    <cellStyle name="40% - Accent1 4 5 2 3" xfId="21030"/>
    <cellStyle name="40% - Accent1 4 5 2 3 2" xfId="21031"/>
    <cellStyle name="40% - Accent1 4 5 2 3 2 2" xfId="21032"/>
    <cellStyle name="40% - Accent1 4 5 2 3 2 3" xfId="21033"/>
    <cellStyle name="40% - Accent1 4 5 2 3 3" xfId="21034"/>
    <cellStyle name="40% - Accent1 4 5 2 3 3 2" xfId="21035"/>
    <cellStyle name="40% - Accent1 4 5 2 3 3 3" xfId="21036"/>
    <cellStyle name="40% - Accent1 4 5 2 3 4" xfId="21037"/>
    <cellStyle name="40% - Accent1 4 5 2 3 4 2" xfId="21038"/>
    <cellStyle name="40% - Accent1 4 5 2 3 5" xfId="21039"/>
    <cellStyle name="40% - Accent1 4 5 2 3 6" xfId="21040"/>
    <cellStyle name="40% - Accent1 4 5 2 4" xfId="21041"/>
    <cellStyle name="40% - Accent1 4 5 2 4 2" xfId="21042"/>
    <cellStyle name="40% - Accent1 4 5 2 4 2 2" xfId="21043"/>
    <cellStyle name="40% - Accent1 4 5 2 4 2 3" xfId="21044"/>
    <cellStyle name="40% - Accent1 4 5 2 4 3" xfId="21045"/>
    <cellStyle name="40% - Accent1 4 5 2 4 3 2" xfId="21046"/>
    <cellStyle name="40% - Accent1 4 5 2 4 4" xfId="21047"/>
    <cellStyle name="40% - Accent1 4 5 2 4 5" xfId="21048"/>
    <cellStyle name="40% - Accent1 4 5 2 5" xfId="21049"/>
    <cellStyle name="40% - Accent1 4 5 2 5 2" xfId="21050"/>
    <cellStyle name="40% - Accent1 4 5 2 5 3" xfId="21051"/>
    <cellStyle name="40% - Accent1 4 5 2 6" xfId="21052"/>
    <cellStyle name="40% - Accent1 4 5 2 6 2" xfId="21053"/>
    <cellStyle name="40% - Accent1 4 5 2 6 3" xfId="21054"/>
    <cellStyle name="40% - Accent1 4 5 2 7" xfId="21055"/>
    <cellStyle name="40% - Accent1 4 5 2 7 2" xfId="21056"/>
    <cellStyle name="40% - Accent1 4 5 2 8" xfId="21057"/>
    <cellStyle name="40% - Accent1 4 5 2 9" xfId="21058"/>
    <cellStyle name="40% - Accent1 4 5 3" xfId="21059"/>
    <cellStyle name="40% - Accent1 4 5 3 2" xfId="21060"/>
    <cellStyle name="40% - Accent1 4 5 3 2 2" xfId="21061"/>
    <cellStyle name="40% - Accent1 4 5 3 2 3" xfId="21062"/>
    <cellStyle name="40% - Accent1 4 5 3 3" xfId="21063"/>
    <cellStyle name="40% - Accent1 4 5 3 3 2" xfId="21064"/>
    <cellStyle name="40% - Accent1 4 5 3 3 3" xfId="21065"/>
    <cellStyle name="40% - Accent1 4 5 3 4" xfId="21066"/>
    <cellStyle name="40% - Accent1 4 5 3 4 2" xfId="21067"/>
    <cellStyle name="40% - Accent1 4 5 3 5" xfId="21068"/>
    <cellStyle name="40% - Accent1 4 5 3 6" xfId="21069"/>
    <cellStyle name="40% - Accent1 4 5 4" xfId="21070"/>
    <cellStyle name="40% - Accent1 4 5 4 2" xfId="21071"/>
    <cellStyle name="40% - Accent1 4 5 4 2 2" xfId="21072"/>
    <cellStyle name="40% - Accent1 4 5 4 2 3" xfId="21073"/>
    <cellStyle name="40% - Accent1 4 5 4 3" xfId="21074"/>
    <cellStyle name="40% - Accent1 4 5 4 3 2" xfId="21075"/>
    <cellStyle name="40% - Accent1 4 5 4 3 3" xfId="21076"/>
    <cellStyle name="40% - Accent1 4 5 4 4" xfId="21077"/>
    <cellStyle name="40% - Accent1 4 5 4 4 2" xfId="21078"/>
    <cellStyle name="40% - Accent1 4 5 4 5" xfId="21079"/>
    <cellStyle name="40% - Accent1 4 5 4 6" xfId="21080"/>
    <cellStyle name="40% - Accent1 4 5 5" xfId="21081"/>
    <cellStyle name="40% - Accent1 4 5 5 2" xfId="21082"/>
    <cellStyle name="40% - Accent1 4 5 5 2 2" xfId="21083"/>
    <cellStyle name="40% - Accent1 4 5 5 2 3" xfId="21084"/>
    <cellStyle name="40% - Accent1 4 5 5 3" xfId="21085"/>
    <cellStyle name="40% - Accent1 4 5 5 3 2" xfId="21086"/>
    <cellStyle name="40% - Accent1 4 5 5 4" xfId="21087"/>
    <cellStyle name="40% - Accent1 4 5 5 5" xfId="21088"/>
    <cellStyle name="40% - Accent1 4 5 6" xfId="21089"/>
    <cellStyle name="40% - Accent1 4 5 6 2" xfId="21090"/>
    <cellStyle name="40% - Accent1 4 5 6 3" xfId="21091"/>
    <cellStyle name="40% - Accent1 4 5 7" xfId="21092"/>
    <cellStyle name="40% - Accent1 4 5 7 2" xfId="21093"/>
    <cellStyle name="40% - Accent1 4 5 7 3" xfId="21094"/>
    <cellStyle name="40% - Accent1 4 5 8" xfId="21095"/>
    <cellStyle name="40% - Accent1 4 5 8 2" xfId="21096"/>
    <cellStyle name="40% - Accent1 4 5 9" xfId="21097"/>
    <cellStyle name="40% - Accent1 4 6" xfId="1593"/>
    <cellStyle name="40% - Accent1 4 6 2" xfId="21098"/>
    <cellStyle name="40% - Accent1 4 6 2 2" xfId="21099"/>
    <cellStyle name="40% - Accent1 4 6 2 2 2" xfId="21100"/>
    <cellStyle name="40% - Accent1 4 6 2 2 3" xfId="21101"/>
    <cellStyle name="40% - Accent1 4 6 2 3" xfId="21102"/>
    <cellStyle name="40% - Accent1 4 6 2 3 2" xfId="21103"/>
    <cellStyle name="40% - Accent1 4 6 2 3 3" xfId="21104"/>
    <cellStyle name="40% - Accent1 4 6 2 4" xfId="21105"/>
    <cellStyle name="40% - Accent1 4 6 2 4 2" xfId="21106"/>
    <cellStyle name="40% - Accent1 4 6 2 5" xfId="21107"/>
    <cellStyle name="40% - Accent1 4 6 2 6" xfId="21108"/>
    <cellStyle name="40% - Accent1 4 6 3" xfId="21109"/>
    <cellStyle name="40% - Accent1 4 6 3 2" xfId="21110"/>
    <cellStyle name="40% - Accent1 4 6 3 2 2" xfId="21111"/>
    <cellStyle name="40% - Accent1 4 6 3 2 3" xfId="21112"/>
    <cellStyle name="40% - Accent1 4 6 3 3" xfId="21113"/>
    <cellStyle name="40% - Accent1 4 6 3 3 2" xfId="21114"/>
    <cellStyle name="40% - Accent1 4 6 3 3 3" xfId="21115"/>
    <cellStyle name="40% - Accent1 4 6 3 4" xfId="21116"/>
    <cellStyle name="40% - Accent1 4 6 3 4 2" xfId="21117"/>
    <cellStyle name="40% - Accent1 4 6 3 5" xfId="21118"/>
    <cellStyle name="40% - Accent1 4 6 3 6" xfId="21119"/>
    <cellStyle name="40% - Accent1 4 6 4" xfId="21120"/>
    <cellStyle name="40% - Accent1 4 6 4 2" xfId="21121"/>
    <cellStyle name="40% - Accent1 4 6 4 2 2" xfId="21122"/>
    <cellStyle name="40% - Accent1 4 6 4 2 3" xfId="21123"/>
    <cellStyle name="40% - Accent1 4 6 4 3" xfId="21124"/>
    <cellStyle name="40% - Accent1 4 6 4 3 2" xfId="21125"/>
    <cellStyle name="40% - Accent1 4 6 4 4" xfId="21126"/>
    <cellStyle name="40% - Accent1 4 6 4 5" xfId="21127"/>
    <cellStyle name="40% - Accent1 4 6 5" xfId="21128"/>
    <cellStyle name="40% - Accent1 4 6 5 2" xfId="21129"/>
    <cellStyle name="40% - Accent1 4 6 5 3" xfId="21130"/>
    <cellStyle name="40% - Accent1 4 6 6" xfId="21131"/>
    <cellStyle name="40% - Accent1 4 6 6 2" xfId="21132"/>
    <cellStyle name="40% - Accent1 4 6 6 3" xfId="21133"/>
    <cellStyle name="40% - Accent1 4 6 7" xfId="21134"/>
    <cellStyle name="40% - Accent1 4 6 7 2" xfId="21135"/>
    <cellStyle name="40% - Accent1 4 6 8" xfId="21136"/>
    <cellStyle name="40% - Accent1 4 6 9" xfId="21137"/>
    <cellStyle name="40% - Accent1 4 7" xfId="8954"/>
    <cellStyle name="40% - Accent1 4 7 2" xfId="21138"/>
    <cellStyle name="40% - Accent1 4 7 2 2" xfId="21139"/>
    <cellStyle name="40% - Accent1 4 7 2 2 2" xfId="21140"/>
    <cellStyle name="40% - Accent1 4 7 2 2 3" xfId="21141"/>
    <cellStyle name="40% - Accent1 4 7 2 3" xfId="21142"/>
    <cellStyle name="40% - Accent1 4 7 2 3 2" xfId="21143"/>
    <cellStyle name="40% - Accent1 4 7 2 3 3" xfId="21144"/>
    <cellStyle name="40% - Accent1 4 7 2 4" xfId="21145"/>
    <cellStyle name="40% - Accent1 4 7 2 4 2" xfId="21146"/>
    <cellStyle name="40% - Accent1 4 7 2 5" xfId="21147"/>
    <cellStyle name="40% - Accent1 4 7 2 6" xfId="21148"/>
    <cellStyle name="40% - Accent1 4 7 3" xfId="21149"/>
    <cellStyle name="40% - Accent1 4 7 3 2" xfId="21150"/>
    <cellStyle name="40% - Accent1 4 7 3 2 2" xfId="21151"/>
    <cellStyle name="40% - Accent1 4 7 3 2 3" xfId="21152"/>
    <cellStyle name="40% - Accent1 4 7 3 3" xfId="21153"/>
    <cellStyle name="40% - Accent1 4 7 3 3 2" xfId="21154"/>
    <cellStyle name="40% - Accent1 4 7 3 3 3" xfId="21155"/>
    <cellStyle name="40% - Accent1 4 7 3 4" xfId="21156"/>
    <cellStyle name="40% - Accent1 4 7 3 4 2" xfId="21157"/>
    <cellStyle name="40% - Accent1 4 7 3 5" xfId="21158"/>
    <cellStyle name="40% - Accent1 4 7 3 6" xfId="21159"/>
    <cellStyle name="40% - Accent1 4 7 4" xfId="21160"/>
    <cellStyle name="40% - Accent1 4 7 4 2" xfId="21161"/>
    <cellStyle name="40% - Accent1 4 7 4 2 2" xfId="21162"/>
    <cellStyle name="40% - Accent1 4 7 4 2 3" xfId="21163"/>
    <cellStyle name="40% - Accent1 4 7 4 3" xfId="21164"/>
    <cellStyle name="40% - Accent1 4 7 4 3 2" xfId="21165"/>
    <cellStyle name="40% - Accent1 4 7 4 4" xfId="21166"/>
    <cellStyle name="40% - Accent1 4 7 4 5" xfId="21167"/>
    <cellStyle name="40% - Accent1 4 7 5" xfId="21168"/>
    <cellStyle name="40% - Accent1 4 7 5 2" xfId="21169"/>
    <cellStyle name="40% - Accent1 4 7 5 3" xfId="21170"/>
    <cellStyle name="40% - Accent1 4 7 6" xfId="21171"/>
    <cellStyle name="40% - Accent1 4 7 6 2" xfId="21172"/>
    <cellStyle name="40% - Accent1 4 7 6 3" xfId="21173"/>
    <cellStyle name="40% - Accent1 4 7 7" xfId="21174"/>
    <cellStyle name="40% - Accent1 4 7 7 2" xfId="21175"/>
    <cellStyle name="40% - Accent1 4 7 8" xfId="21176"/>
    <cellStyle name="40% - Accent1 4 7 9" xfId="21177"/>
    <cellStyle name="40% - Accent1 4 8" xfId="21178"/>
    <cellStyle name="40% - Accent1 4 8 2" xfId="21179"/>
    <cellStyle name="40% - Accent1 4 8 2 2" xfId="21180"/>
    <cellStyle name="40% - Accent1 4 8 2 3" xfId="21181"/>
    <cellStyle name="40% - Accent1 4 8 3" xfId="21182"/>
    <cellStyle name="40% - Accent1 4 8 3 2" xfId="21183"/>
    <cellStyle name="40% - Accent1 4 8 3 3" xfId="21184"/>
    <cellStyle name="40% - Accent1 4 8 4" xfId="21185"/>
    <cellStyle name="40% - Accent1 4 8 4 2" xfId="21186"/>
    <cellStyle name="40% - Accent1 4 8 5" xfId="21187"/>
    <cellStyle name="40% - Accent1 4 8 6" xfId="21188"/>
    <cellStyle name="40% - Accent1 4 9" xfId="21189"/>
    <cellStyle name="40% - Accent1 4 9 2" xfId="21190"/>
    <cellStyle name="40% - Accent1 4 9 2 2" xfId="21191"/>
    <cellStyle name="40% - Accent1 4 9 2 3" xfId="21192"/>
    <cellStyle name="40% - Accent1 4 9 3" xfId="21193"/>
    <cellStyle name="40% - Accent1 4 9 3 2" xfId="21194"/>
    <cellStyle name="40% - Accent1 4 9 3 3" xfId="21195"/>
    <cellStyle name="40% - Accent1 4 9 4" xfId="21196"/>
    <cellStyle name="40% - Accent1 4 9 4 2" xfId="21197"/>
    <cellStyle name="40% - Accent1 4 9 5" xfId="21198"/>
    <cellStyle name="40% - Accent1 4 9 6" xfId="21199"/>
    <cellStyle name="40% - Accent1 5" xfId="1594"/>
    <cellStyle name="40% - Accent1 5 2" xfId="1595"/>
    <cellStyle name="40% - Accent1 5 2 2" xfId="1596"/>
    <cellStyle name="40% - Accent1 5 2 2 2" xfId="1597"/>
    <cellStyle name="40% - Accent1 5 2 2 2 2" xfId="1598"/>
    <cellStyle name="40% - Accent1 5 2 2 3" xfId="1599"/>
    <cellStyle name="40% - Accent1 5 2 3" xfId="1600"/>
    <cellStyle name="40% - Accent1 5 2 3 2" xfId="1601"/>
    <cellStyle name="40% - Accent1 5 2 4" xfId="1602"/>
    <cellStyle name="40% - Accent1 5 2 5" xfId="58002"/>
    <cellStyle name="40% - Accent1 5 3" xfId="1603"/>
    <cellStyle name="40% - Accent1 5 3 2" xfId="1604"/>
    <cellStyle name="40% - Accent1 5 3 2 2" xfId="1605"/>
    <cellStyle name="40% - Accent1 5 3 3" xfId="1606"/>
    <cellStyle name="40% - Accent1 5 4" xfId="1607"/>
    <cellStyle name="40% - Accent1 5 4 2" xfId="1608"/>
    <cellStyle name="40% - Accent1 5 5" xfId="1609"/>
    <cellStyle name="40% - Accent1 5 6" xfId="8955"/>
    <cellStyle name="40% - Accent1 6" xfId="1610"/>
    <cellStyle name="40% - Accent1 6 2" xfId="1611"/>
    <cellStyle name="40% - Accent1 6 2 2" xfId="1612"/>
    <cellStyle name="40% - Accent1 6 2 2 2" xfId="1613"/>
    <cellStyle name="40% - Accent1 6 2 3" xfId="1614"/>
    <cellStyle name="40% - Accent1 6 2 4" xfId="58003"/>
    <cellStyle name="40% - Accent1 6 2 5" xfId="58004"/>
    <cellStyle name="40% - Accent1 6 3" xfId="1615"/>
    <cellStyle name="40% - Accent1 6 3 2" xfId="1616"/>
    <cellStyle name="40% - Accent1 6 4" xfId="1617"/>
    <cellStyle name="40% - Accent1 6 5" xfId="58005"/>
    <cellStyle name="40% - Accent1 7" xfId="1618"/>
    <cellStyle name="40% - Accent1 7 2" xfId="1619"/>
    <cellStyle name="40% - Accent1 7 2 2" xfId="1620"/>
    <cellStyle name="40% - Accent1 7 2 2 2" xfId="1621"/>
    <cellStyle name="40% - Accent1 7 2 3" xfId="1622"/>
    <cellStyle name="40% - Accent1 7 3" xfId="1623"/>
    <cellStyle name="40% - Accent1 7 3 2" xfId="1624"/>
    <cellStyle name="40% - Accent1 7 4" xfId="1625"/>
    <cellStyle name="40% - Accent1 7 5" xfId="58006"/>
    <cellStyle name="40% - Accent1 8" xfId="1626"/>
    <cellStyle name="40% - Accent1 8 2" xfId="1627"/>
    <cellStyle name="40% - Accent1 8 2 2" xfId="1628"/>
    <cellStyle name="40% - Accent1 8 2 2 2" xfId="1629"/>
    <cellStyle name="40% - Accent1 8 2 3" xfId="1630"/>
    <cellStyle name="40% - Accent1 8 3" xfId="1631"/>
    <cellStyle name="40% - Accent1 8 3 2" xfId="1632"/>
    <cellStyle name="40% - Accent1 8 4" xfId="1633"/>
    <cellStyle name="40% - Accent1 8 5" xfId="58007"/>
    <cellStyle name="40% - Accent1 9" xfId="1634"/>
    <cellStyle name="40% - Accent1 9 2" xfId="1635"/>
    <cellStyle name="40% - Accent1 9 2 2" xfId="1636"/>
    <cellStyle name="40% - Accent1 9 3" xfId="1637"/>
    <cellStyle name="40% - Accent1 9 4" xfId="58008"/>
    <cellStyle name="40% - Accent2 10" xfId="1638"/>
    <cellStyle name="40% - Accent2 10 2" xfId="1639"/>
    <cellStyle name="40% - Accent2 10 2 2" xfId="1640"/>
    <cellStyle name="40% - Accent2 10 3" xfId="1641"/>
    <cellStyle name="40% - Accent2 10 4" xfId="58009"/>
    <cellStyle name="40% - Accent2 11" xfId="1642"/>
    <cellStyle name="40% - Accent2 11 2" xfId="1643"/>
    <cellStyle name="40% - Accent2 11 2 2" xfId="1644"/>
    <cellStyle name="40% - Accent2 11 3" xfId="1645"/>
    <cellStyle name="40% - Accent2 11 4" xfId="58010"/>
    <cellStyle name="40% - Accent2 12" xfId="1646"/>
    <cellStyle name="40% - Accent2 12 2" xfId="1647"/>
    <cellStyle name="40% - Accent2 12 3" xfId="58011"/>
    <cellStyle name="40% - Accent2 13" xfId="1648"/>
    <cellStyle name="40% - Accent2 13 2" xfId="58012"/>
    <cellStyle name="40% - Accent2 14" xfId="8956"/>
    <cellStyle name="40% - Accent2 15" xfId="9399"/>
    <cellStyle name="40% - Accent2 16" xfId="9400"/>
    <cellStyle name="40% - Accent2 17" xfId="9401"/>
    <cellStyle name="40% - Accent2 18" xfId="58013"/>
    <cellStyle name="40% - Accent2 19" xfId="58014"/>
    <cellStyle name="40% - Accent2 2" xfId="1649"/>
    <cellStyle name="40% - Accent2 2 2" xfId="1650"/>
    <cellStyle name="40% - Accent2 2 2 2" xfId="1651"/>
    <cellStyle name="40% - Accent2 2 2 2 2" xfId="1652"/>
    <cellStyle name="40% - Accent2 2 2 2 2 2" xfId="1653"/>
    <cellStyle name="40% - Accent2 2 2 2 2 2 2" xfId="1654"/>
    <cellStyle name="40% - Accent2 2 2 2 2 2 2 2" xfId="1655"/>
    <cellStyle name="40% - Accent2 2 2 2 2 2 3" xfId="1656"/>
    <cellStyle name="40% - Accent2 2 2 2 2 3" xfId="1657"/>
    <cellStyle name="40% - Accent2 2 2 2 2 3 2" xfId="1658"/>
    <cellStyle name="40% - Accent2 2 2 2 2 4" xfId="1659"/>
    <cellStyle name="40% - Accent2 2 2 2 2 5" xfId="58015"/>
    <cellStyle name="40% - Accent2 2 2 2 3" xfId="1660"/>
    <cellStyle name="40% - Accent2 2 2 2 3 2" xfId="1661"/>
    <cellStyle name="40% - Accent2 2 2 2 3 2 2" xfId="1662"/>
    <cellStyle name="40% - Accent2 2 2 2 3 3" xfId="1663"/>
    <cellStyle name="40% - Accent2 2 2 2 4" xfId="1664"/>
    <cellStyle name="40% - Accent2 2 2 2 4 2" xfId="1665"/>
    <cellStyle name="40% - Accent2 2 2 2 5" xfId="1666"/>
    <cellStyle name="40% - Accent2 2 2 2 6" xfId="58016"/>
    <cellStyle name="40% - Accent2 2 2 3" xfId="1667"/>
    <cellStyle name="40% - Accent2 2 2 3 2" xfId="1668"/>
    <cellStyle name="40% - Accent2 2 2 3 2 2" xfId="1669"/>
    <cellStyle name="40% - Accent2 2 2 3 2 2 2" xfId="1670"/>
    <cellStyle name="40% - Accent2 2 2 3 2 3" xfId="1671"/>
    <cellStyle name="40% - Accent2 2 2 3 3" xfId="1672"/>
    <cellStyle name="40% - Accent2 2 2 3 3 2" xfId="1673"/>
    <cellStyle name="40% - Accent2 2 2 3 4" xfId="1674"/>
    <cellStyle name="40% - Accent2 2 2 3 5" xfId="58017"/>
    <cellStyle name="40% - Accent2 2 2 4" xfId="1675"/>
    <cellStyle name="40% - Accent2 2 2 4 2" xfId="1676"/>
    <cellStyle name="40% - Accent2 2 2 4 2 2" xfId="1677"/>
    <cellStyle name="40% - Accent2 2 2 4 3" xfId="1678"/>
    <cellStyle name="40% - Accent2 2 2 5" xfId="1679"/>
    <cellStyle name="40% - Accent2 2 2 5 2" xfId="1680"/>
    <cellStyle name="40% - Accent2 2 2 6" xfId="1681"/>
    <cellStyle name="40% - Accent2 2 2 7" xfId="58018"/>
    <cellStyle name="40% - Accent2 2 3" xfId="1682"/>
    <cellStyle name="40% - Accent2 2 3 2" xfId="1683"/>
    <cellStyle name="40% - Accent2 2 3 2 2" xfId="1684"/>
    <cellStyle name="40% - Accent2 2 3 2 2 2" xfId="1685"/>
    <cellStyle name="40% - Accent2 2 3 2 2 2 2" xfId="1686"/>
    <cellStyle name="40% - Accent2 2 3 2 2 3" xfId="1687"/>
    <cellStyle name="40% - Accent2 2 3 2 3" xfId="1688"/>
    <cellStyle name="40% - Accent2 2 3 2 3 2" xfId="1689"/>
    <cellStyle name="40% - Accent2 2 3 2 4" xfId="1690"/>
    <cellStyle name="40% - Accent2 2 3 3" xfId="1691"/>
    <cellStyle name="40% - Accent2 2 3 3 2" xfId="1692"/>
    <cellStyle name="40% - Accent2 2 3 3 2 2" xfId="1693"/>
    <cellStyle name="40% - Accent2 2 3 3 3" xfId="1694"/>
    <cellStyle name="40% - Accent2 2 3 4" xfId="1695"/>
    <cellStyle name="40% - Accent2 2 3 4 2" xfId="1696"/>
    <cellStyle name="40% - Accent2 2 3 5" xfId="1697"/>
    <cellStyle name="40% - Accent2 2 3 6" xfId="58019"/>
    <cellStyle name="40% - Accent2 2 4" xfId="1698"/>
    <cellStyle name="40% - Accent2 2 4 2" xfId="1699"/>
    <cellStyle name="40% - Accent2 2 4 2 2" xfId="1700"/>
    <cellStyle name="40% - Accent2 2 4 2 2 2" xfId="1701"/>
    <cellStyle name="40% - Accent2 2 4 2 3" xfId="1702"/>
    <cellStyle name="40% - Accent2 2 4 3" xfId="1703"/>
    <cellStyle name="40% - Accent2 2 4 3 2" xfId="1704"/>
    <cellStyle name="40% - Accent2 2 4 4" xfId="1705"/>
    <cellStyle name="40% - Accent2 2 4 5" xfId="58020"/>
    <cellStyle name="40% - Accent2 2 5" xfId="1706"/>
    <cellStyle name="40% - Accent2 2 5 2" xfId="1707"/>
    <cellStyle name="40% - Accent2 2 5 2 2" xfId="1708"/>
    <cellStyle name="40% - Accent2 2 5 3" xfId="1709"/>
    <cellStyle name="40% - Accent2 2 5 4" xfId="58021"/>
    <cellStyle name="40% - Accent2 2 6" xfId="1710"/>
    <cellStyle name="40% - Accent2 2 6 2" xfId="1711"/>
    <cellStyle name="40% - Accent2 2 6 3" xfId="58022"/>
    <cellStyle name="40% - Accent2 2 7" xfId="1712"/>
    <cellStyle name="40% - Accent2 2 8" xfId="1713"/>
    <cellStyle name="40% - Accent2 2 9" xfId="58023"/>
    <cellStyle name="40% - Accent2 20" xfId="58024"/>
    <cellStyle name="40% - Accent2 21" xfId="58025"/>
    <cellStyle name="40% - Accent2 3" xfId="1714"/>
    <cellStyle name="40% - Accent2 3 2" xfId="1715"/>
    <cellStyle name="40% - Accent2 3 2 2" xfId="1716"/>
    <cellStyle name="40% - Accent2 3 2 2 2" xfId="1717"/>
    <cellStyle name="40% - Accent2 3 2 2 2 2" xfId="1718"/>
    <cellStyle name="40% - Accent2 3 2 2 2 2 2" xfId="1719"/>
    <cellStyle name="40% - Accent2 3 2 2 2 2 2 2" xfId="1720"/>
    <cellStyle name="40% - Accent2 3 2 2 2 2 3" xfId="1721"/>
    <cellStyle name="40% - Accent2 3 2 2 2 3" xfId="1722"/>
    <cellStyle name="40% - Accent2 3 2 2 2 3 2" xfId="1723"/>
    <cellStyle name="40% - Accent2 3 2 2 2 4" xfId="1724"/>
    <cellStyle name="40% - Accent2 3 2 2 2 5" xfId="8957"/>
    <cellStyle name="40% - Accent2 3 2 2 3" xfId="1725"/>
    <cellStyle name="40% - Accent2 3 2 2 3 2" xfId="1726"/>
    <cellStyle name="40% - Accent2 3 2 2 3 2 2" xfId="1727"/>
    <cellStyle name="40% - Accent2 3 2 2 3 3" xfId="1728"/>
    <cellStyle name="40% - Accent2 3 2 2 4" xfId="1729"/>
    <cellStyle name="40% - Accent2 3 2 2 4 2" xfId="1730"/>
    <cellStyle name="40% - Accent2 3 2 2 5" xfId="1731"/>
    <cellStyle name="40% - Accent2 3 2 2 6" xfId="8958"/>
    <cellStyle name="40% - Accent2 3 2 3" xfId="1732"/>
    <cellStyle name="40% - Accent2 3 2 3 2" xfId="1733"/>
    <cellStyle name="40% - Accent2 3 2 3 2 2" xfId="1734"/>
    <cellStyle name="40% - Accent2 3 2 3 2 2 2" xfId="1735"/>
    <cellStyle name="40% - Accent2 3 2 3 2 3" xfId="1736"/>
    <cellStyle name="40% - Accent2 3 2 3 3" xfId="1737"/>
    <cellStyle name="40% - Accent2 3 2 3 3 2" xfId="1738"/>
    <cellStyle name="40% - Accent2 3 2 3 4" xfId="1739"/>
    <cellStyle name="40% - Accent2 3 2 3 5" xfId="8959"/>
    <cellStyle name="40% - Accent2 3 2 4" xfId="1740"/>
    <cellStyle name="40% - Accent2 3 2 4 2" xfId="1741"/>
    <cellStyle name="40% - Accent2 3 2 4 2 2" xfId="1742"/>
    <cellStyle name="40% - Accent2 3 2 4 3" xfId="1743"/>
    <cellStyle name="40% - Accent2 3 2 5" xfId="1744"/>
    <cellStyle name="40% - Accent2 3 2 5 2" xfId="1745"/>
    <cellStyle name="40% - Accent2 3 2 6" xfId="1746"/>
    <cellStyle name="40% - Accent2 3 2 7" xfId="8960"/>
    <cellStyle name="40% - Accent2 3 3" xfId="1747"/>
    <cellStyle name="40% - Accent2 3 3 2" xfId="1748"/>
    <cellStyle name="40% - Accent2 3 3 2 2" xfId="1749"/>
    <cellStyle name="40% - Accent2 3 3 2 2 2" xfId="1750"/>
    <cellStyle name="40% - Accent2 3 3 2 2 2 2" xfId="1751"/>
    <cellStyle name="40% - Accent2 3 3 2 2 3" xfId="1752"/>
    <cellStyle name="40% - Accent2 3 3 2 3" xfId="1753"/>
    <cellStyle name="40% - Accent2 3 3 2 3 2" xfId="1754"/>
    <cellStyle name="40% - Accent2 3 3 2 4" xfId="1755"/>
    <cellStyle name="40% - Accent2 3 3 2 5" xfId="8961"/>
    <cellStyle name="40% - Accent2 3 3 3" xfId="1756"/>
    <cellStyle name="40% - Accent2 3 3 3 2" xfId="1757"/>
    <cellStyle name="40% - Accent2 3 3 3 2 2" xfId="1758"/>
    <cellStyle name="40% - Accent2 3 3 3 3" xfId="1759"/>
    <cellStyle name="40% - Accent2 3 3 4" xfId="1760"/>
    <cellStyle name="40% - Accent2 3 3 4 2" xfId="1761"/>
    <cellStyle name="40% - Accent2 3 3 5" xfId="1762"/>
    <cellStyle name="40% - Accent2 3 3 6" xfId="8962"/>
    <cellStyle name="40% - Accent2 3 4" xfId="1763"/>
    <cellStyle name="40% - Accent2 3 4 2" xfId="1764"/>
    <cellStyle name="40% - Accent2 3 4 2 2" xfId="1765"/>
    <cellStyle name="40% - Accent2 3 4 2 2 2" xfId="1766"/>
    <cellStyle name="40% - Accent2 3 4 2 3" xfId="1767"/>
    <cellStyle name="40% - Accent2 3 4 3" xfId="1768"/>
    <cellStyle name="40% - Accent2 3 4 3 2" xfId="1769"/>
    <cellStyle name="40% - Accent2 3 4 4" xfId="1770"/>
    <cellStyle name="40% - Accent2 3 4 5" xfId="8963"/>
    <cellStyle name="40% - Accent2 3 5" xfId="1771"/>
    <cellStyle name="40% - Accent2 3 5 2" xfId="1772"/>
    <cellStyle name="40% - Accent2 3 5 2 2" xfId="1773"/>
    <cellStyle name="40% - Accent2 3 5 3" xfId="1774"/>
    <cellStyle name="40% - Accent2 3 6" xfId="1775"/>
    <cellStyle name="40% - Accent2 3 6 2" xfId="1776"/>
    <cellStyle name="40% - Accent2 3 7" xfId="1777"/>
    <cellStyle name="40% - Accent2 3 8" xfId="1778"/>
    <cellStyle name="40% - Accent2 3 9" xfId="8964"/>
    <cellStyle name="40% - Accent2 4" xfId="1779"/>
    <cellStyle name="40% - Accent2 4 10" xfId="21200"/>
    <cellStyle name="40% - Accent2 4 10 2" xfId="21201"/>
    <cellStyle name="40% - Accent2 4 10 2 2" xfId="21202"/>
    <cellStyle name="40% - Accent2 4 10 2 3" xfId="21203"/>
    <cellStyle name="40% - Accent2 4 10 3" xfId="21204"/>
    <cellStyle name="40% - Accent2 4 10 3 2" xfId="21205"/>
    <cellStyle name="40% - Accent2 4 10 4" xfId="21206"/>
    <cellStyle name="40% - Accent2 4 10 5" xfId="21207"/>
    <cellStyle name="40% - Accent2 4 11" xfId="21208"/>
    <cellStyle name="40% - Accent2 4 11 2" xfId="21209"/>
    <cellStyle name="40% - Accent2 4 11 3" xfId="21210"/>
    <cellStyle name="40% - Accent2 4 12" xfId="21211"/>
    <cellStyle name="40% - Accent2 4 12 2" xfId="21212"/>
    <cellStyle name="40% - Accent2 4 12 3" xfId="21213"/>
    <cellStyle name="40% - Accent2 4 13" xfId="21214"/>
    <cellStyle name="40% - Accent2 4 13 2" xfId="21215"/>
    <cellStyle name="40% - Accent2 4 14" xfId="21216"/>
    <cellStyle name="40% - Accent2 4 15" xfId="21217"/>
    <cellStyle name="40% - Accent2 4 16" xfId="21218"/>
    <cellStyle name="40% - Accent2 4 2" xfId="1780"/>
    <cellStyle name="40% - Accent2 4 2 10" xfId="21219"/>
    <cellStyle name="40% - Accent2 4 2 10 2" xfId="21220"/>
    <cellStyle name="40% - Accent2 4 2 10 3" xfId="21221"/>
    <cellStyle name="40% - Accent2 4 2 11" xfId="21222"/>
    <cellStyle name="40% - Accent2 4 2 11 2" xfId="21223"/>
    <cellStyle name="40% - Accent2 4 2 11 3" xfId="21224"/>
    <cellStyle name="40% - Accent2 4 2 12" xfId="21225"/>
    <cellStyle name="40% - Accent2 4 2 12 2" xfId="21226"/>
    <cellStyle name="40% - Accent2 4 2 13" xfId="21227"/>
    <cellStyle name="40% - Accent2 4 2 14" xfId="21228"/>
    <cellStyle name="40% - Accent2 4 2 15" xfId="21229"/>
    <cellStyle name="40% - Accent2 4 2 2" xfId="1781"/>
    <cellStyle name="40% - Accent2 4 2 2 10" xfId="21230"/>
    <cellStyle name="40% - Accent2 4 2 2 10 2" xfId="21231"/>
    <cellStyle name="40% - Accent2 4 2 2 10 3" xfId="21232"/>
    <cellStyle name="40% - Accent2 4 2 2 11" xfId="21233"/>
    <cellStyle name="40% - Accent2 4 2 2 11 2" xfId="21234"/>
    <cellStyle name="40% - Accent2 4 2 2 12" xfId="21235"/>
    <cellStyle name="40% - Accent2 4 2 2 13" xfId="21236"/>
    <cellStyle name="40% - Accent2 4 2 2 2" xfId="1782"/>
    <cellStyle name="40% - Accent2 4 2 2 2 10" xfId="21237"/>
    <cellStyle name="40% - Accent2 4 2 2 2 10 2" xfId="21238"/>
    <cellStyle name="40% - Accent2 4 2 2 2 11" xfId="21239"/>
    <cellStyle name="40% - Accent2 4 2 2 2 12" xfId="21240"/>
    <cellStyle name="40% - Accent2 4 2 2 2 2" xfId="1783"/>
    <cellStyle name="40% - Accent2 4 2 2 2 2 10" xfId="21241"/>
    <cellStyle name="40% - Accent2 4 2 2 2 2 2" xfId="1784"/>
    <cellStyle name="40% - Accent2 4 2 2 2 2 2 2" xfId="21242"/>
    <cellStyle name="40% - Accent2 4 2 2 2 2 2 2 2" xfId="21243"/>
    <cellStyle name="40% - Accent2 4 2 2 2 2 2 2 2 2" xfId="21244"/>
    <cellStyle name="40% - Accent2 4 2 2 2 2 2 2 2 3" xfId="21245"/>
    <cellStyle name="40% - Accent2 4 2 2 2 2 2 2 3" xfId="21246"/>
    <cellStyle name="40% - Accent2 4 2 2 2 2 2 2 3 2" xfId="21247"/>
    <cellStyle name="40% - Accent2 4 2 2 2 2 2 2 3 3" xfId="21248"/>
    <cellStyle name="40% - Accent2 4 2 2 2 2 2 2 4" xfId="21249"/>
    <cellStyle name="40% - Accent2 4 2 2 2 2 2 2 4 2" xfId="21250"/>
    <cellStyle name="40% - Accent2 4 2 2 2 2 2 2 5" xfId="21251"/>
    <cellStyle name="40% - Accent2 4 2 2 2 2 2 2 6" xfId="21252"/>
    <cellStyle name="40% - Accent2 4 2 2 2 2 2 3" xfId="21253"/>
    <cellStyle name="40% - Accent2 4 2 2 2 2 2 3 2" xfId="21254"/>
    <cellStyle name="40% - Accent2 4 2 2 2 2 2 3 2 2" xfId="21255"/>
    <cellStyle name="40% - Accent2 4 2 2 2 2 2 3 2 3" xfId="21256"/>
    <cellStyle name="40% - Accent2 4 2 2 2 2 2 3 3" xfId="21257"/>
    <cellStyle name="40% - Accent2 4 2 2 2 2 2 3 3 2" xfId="21258"/>
    <cellStyle name="40% - Accent2 4 2 2 2 2 2 3 3 3" xfId="21259"/>
    <cellStyle name="40% - Accent2 4 2 2 2 2 2 3 4" xfId="21260"/>
    <cellStyle name="40% - Accent2 4 2 2 2 2 2 3 4 2" xfId="21261"/>
    <cellStyle name="40% - Accent2 4 2 2 2 2 2 3 5" xfId="21262"/>
    <cellStyle name="40% - Accent2 4 2 2 2 2 2 3 6" xfId="21263"/>
    <cellStyle name="40% - Accent2 4 2 2 2 2 2 4" xfId="21264"/>
    <cellStyle name="40% - Accent2 4 2 2 2 2 2 4 2" xfId="21265"/>
    <cellStyle name="40% - Accent2 4 2 2 2 2 2 4 2 2" xfId="21266"/>
    <cellStyle name="40% - Accent2 4 2 2 2 2 2 4 2 3" xfId="21267"/>
    <cellStyle name="40% - Accent2 4 2 2 2 2 2 4 3" xfId="21268"/>
    <cellStyle name="40% - Accent2 4 2 2 2 2 2 4 3 2" xfId="21269"/>
    <cellStyle name="40% - Accent2 4 2 2 2 2 2 4 4" xfId="21270"/>
    <cellStyle name="40% - Accent2 4 2 2 2 2 2 4 5" xfId="21271"/>
    <cellStyle name="40% - Accent2 4 2 2 2 2 2 5" xfId="21272"/>
    <cellStyle name="40% - Accent2 4 2 2 2 2 2 5 2" xfId="21273"/>
    <cellStyle name="40% - Accent2 4 2 2 2 2 2 5 3" xfId="21274"/>
    <cellStyle name="40% - Accent2 4 2 2 2 2 2 6" xfId="21275"/>
    <cellStyle name="40% - Accent2 4 2 2 2 2 2 6 2" xfId="21276"/>
    <cellStyle name="40% - Accent2 4 2 2 2 2 2 6 3" xfId="21277"/>
    <cellStyle name="40% - Accent2 4 2 2 2 2 2 7" xfId="21278"/>
    <cellStyle name="40% - Accent2 4 2 2 2 2 2 7 2" xfId="21279"/>
    <cellStyle name="40% - Accent2 4 2 2 2 2 2 8" xfId="21280"/>
    <cellStyle name="40% - Accent2 4 2 2 2 2 2 9" xfId="21281"/>
    <cellStyle name="40% - Accent2 4 2 2 2 2 3" xfId="21282"/>
    <cellStyle name="40% - Accent2 4 2 2 2 2 3 2" xfId="21283"/>
    <cellStyle name="40% - Accent2 4 2 2 2 2 3 2 2" xfId="21284"/>
    <cellStyle name="40% - Accent2 4 2 2 2 2 3 2 3" xfId="21285"/>
    <cellStyle name="40% - Accent2 4 2 2 2 2 3 3" xfId="21286"/>
    <cellStyle name="40% - Accent2 4 2 2 2 2 3 3 2" xfId="21287"/>
    <cellStyle name="40% - Accent2 4 2 2 2 2 3 3 3" xfId="21288"/>
    <cellStyle name="40% - Accent2 4 2 2 2 2 3 4" xfId="21289"/>
    <cellStyle name="40% - Accent2 4 2 2 2 2 3 4 2" xfId="21290"/>
    <cellStyle name="40% - Accent2 4 2 2 2 2 3 5" xfId="21291"/>
    <cellStyle name="40% - Accent2 4 2 2 2 2 3 6" xfId="21292"/>
    <cellStyle name="40% - Accent2 4 2 2 2 2 4" xfId="21293"/>
    <cellStyle name="40% - Accent2 4 2 2 2 2 4 2" xfId="21294"/>
    <cellStyle name="40% - Accent2 4 2 2 2 2 4 2 2" xfId="21295"/>
    <cellStyle name="40% - Accent2 4 2 2 2 2 4 2 3" xfId="21296"/>
    <cellStyle name="40% - Accent2 4 2 2 2 2 4 3" xfId="21297"/>
    <cellStyle name="40% - Accent2 4 2 2 2 2 4 3 2" xfId="21298"/>
    <cellStyle name="40% - Accent2 4 2 2 2 2 4 3 3" xfId="21299"/>
    <cellStyle name="40% - Accent2 4 2 2 2 2 4 4" xfId="21300"/>
    <cellStyle name="40% - Accent2 4 2 2 2 2 4 4 2" xfId="21301"/>
    <cellStyle name="40% - Accent2 4 2 2 2 2 4 5" xfId="21302"/>
    <cellStyle name="40% - Accent2 4 2 2 2 2 4 6" xfId="21303"/>
    <cellStyle name="40% - Accent2 4 2 2 2 2 5" xfId="21304"/>
    <cellStyle name="40% - Accent2 4 2 2 2 2 5 2" xfId="21305"/>
    <cellStyle name="40% - Accent2 4 2 2 2 2 5 2 2" xfId="21306"/>
    <cellStyle name="40% - Accent2 4 2 2 2 2 5 2 3" xfId="21307"/>
    <cellStyle name="40% - Accent2 4 2 2 2 2 5 3" xfId="21308"/>
    <cellStyle name="40% - Accent2 4 2 2 2 2 5 3 2" xfId="21309"/>
    <cellStyle name="40% - Accent2 4 2 2 2 2 5 4" xfId="21310"/>
    <cellStyle name="40% - Accent2 4 2 2 2 2 5 5" xfId="21311"/>
    <cellStyle name="40% - Accent2 4 2 2 2 2 6" xfId="21312"/>
    <cellStyle name="40% - Accent2 4 2 2 2 2 6 2" xfId="21313"/>
    <cellStyle name="40% - Accent2 4 2 2 2 2 6 3" xfId="21314"/>
    <cellStyle name="40% - Accent2 4 2 2 2 2 7" xfId="21315"/>
    <cellStyle name="40% - Accent2 4 2 2 2 2 7 2" xfId="21316"/>
    <cellStyle name="40% - Accent2 4 2 2 2 2 7 3" xfId="21317"/>
    <cellStyle name="40% - Accent2 4 2 2 2 2 8" xfId="21318"/>
    <cellStyle name="40% - Accent2 4 2 2 2 2 8 2" xfId="21319"/>
    <cellStyle name="40% - Accent2 4 2 2 2 2 9" xfId="21320"/>
    <cellStyle name="40% - Accent2 4 2 2 2 3" xfId="1785"/>
    <cellStyle name="40% - Accent2 4 2 2 2 3 2" xfId="21321"/>
    <cellStyle name="40% - Accent2 4 2 2 2 3 2 2" xfId="21322"/>
    <cellStyle name="40% - Accent2 4 2 2 2 3 2 2 2" xfId="21323"/>
    <cellStyle name="40% - Accent2 4 2 2 2 3 2 2 3" xfId="21324"/>
    <cellStyle name="40% - Accent2 4 2 2 2 3 2 3" xfId="21325"/>
    <cellStyle name="40% - Accent2 4 2 2 2 3 2 3 2" xfId="21326"/>
    <cellStyle name="40% - Accent2 4 2 2 2 3 2 3 3" xfId="21327"/>
    <cellStyle name="40% - Accent2 4 2 2 2 3 2 4" xfId="21328"/>
    <cellStyle name="40% - Accent2 4 2 2 2 3 2 4 2" xfId="21329"/>
    <cellStyle name="40% - Accent2 4 2 2 2 3 2 5" xfId="21330"/>
    <cellStyle name="40% - Accent2 4 2 2 2 3 2 6" xfId="21331"/>
    <cellStyle name="40% - Accent2 4 2 2 2 3 3" xfId="21332"/>
    <cellStyle name="40% - Accent2 4 2 2 2 3 3 2" xfId="21333"/>
    <cellStyle name="40% - Accent2 4 2 2 2 3 3 2 2" xfId="21334"/>
    <cellStyle name="40% - Accent2 4 2 2 2 3 3 2 3" xfId="21335"/>
    <cellStyle name="40% - Accent2 4 2 2 2 3 3 3" xfId="21336"/>
    <cellStyle name="40% - Accent2 4 2 2 2 3 3 3 2" xfId="21337"/>
    <cellStyle name="40% - Accent2 4 2 2 2 3 3 3 3" xfId="21338"/>
    <cellStyle name="40% - Accent2 4 2 2 2 3 3 4" xfId="21339"/>
    <cellStyle name="40% - Accent2 4 2 2 2 3 3 4 2" xfId="21340"/>
    <cellStyle name="40% - Accent2 4 2 2 2 3 3 5" xfId="21341"/>
    <cellStyle name="40% - Accent2 4 2 2 2 3 3 6" xfId="21342"/>
    <cellStyle name="40% - Accent2 4 2 2 2 3 4" xfId="21343"/>
    <cellStyle name="40% - Accent2 4 2 2 2 3 4 2" xfId="21344"/>
    <cellStyle name="40% - Accent2 4 2 2 2 3 4 2 2" xfId="21345"/>
    <cellStyle name="40% - Accent2 4 2 2 2 3 4 2 3" xfId="21346"/>
    <cellStyle name="40% - Accent2 4 2 2 2 3 4 3" xfId="21347"/>
    <cellStyle name="40% - Accent2 4 2 2 2 3 4 3 2" xfId="21348"/>
    <cellStyle name="40% - Accent2 4 2 2 2 3 4 4" xfId="21349"/>
    <cellStyle name="40% - Accent2 4 2 2 2 3 4 5" xfId="21350"/>
    <cellStyle name="40% - Accent2 4 2 2 2 3 5" xfId="21351"/>
    <cellStyle name="40% - Accent2 4 2 2 2 3 5 2" xfId="21352"/>
    <cellStyle name="40% - Accent2 4 2 2 2 3 5 3" xfId="21353"/>
    <cellStyle name="40% - Accent2 4 2 2 2 3 6" xfId="21354"/>
    <cellStyle name="40% - Accent2 4 2 2 2 3 6 2" xfId="21355"/>
    <cellStyle name="40% - Accent2 4 2 2 2 3 6 3" xfId="21356"/>
    <cellStyle name="40% - Accent2 4 2 2 2 3 7" xfId="21357"/>
    <cellStyle name="40% - Accent2 4 2 2 2 3 7 2" xfId="21358"/>
    <cellStyle name="40% - Accent2 4 2 2 2 3 8" xfId="21359"/>
    <cellStyle name="40% - Accent2 4 2 2 2 3 9" xfId="21360"/>
    <cellStyle name="40% - Accent2 4 2 2 2 4" xfId="21361"/>
    <cellStyle name="40% - Accent2 4 2 2 2 4 2" xfId="21362"/>
    <cellStyle name="40% - Accent2 4 2 2 2 4 2 2" xfId="21363"/>
    <cellStyle name="40% - Accent2 4 2 2 2 4 2 2 2" xfId="21364"/>
    <cellStyle name="40% - Accent2 4 2 2 2 4 2 2 3" xfId="21365"/>
    <cellStyle name="40% - Accent2 4 2 2 2 4 2 3" xfId="21366"/>
    <cellStyle name="40% - Accent2 4 2 2 2 4 2 3 2" xfId="21367"/>
    <cellStyle name="40% - Accent2 4 2 2 2 4 2 3 3" xfId="21368"/>
    <cellStyle name="40% - Accent2 4 2 2 2 4 2 4" xfId="21369"/>
    <cellStyle name="40% - Accent2 4 2 2 2 4 2 4 2" xfId="21370"/>
    <cellStyle name="40% - Accent2 4 2 2 2 4 2 5" xfId="21371"/>
    <cellStyle name="40% - Accent2 4 2 2 2 4 2 6" xfId="21372"/>
    <cellStyle name="40% - Accent2 4 2 2 2 4 3" xfId="21373"/>
    <cellStyle name="40% - Accent2 4 2 2 2 4 3 2" xfId="21374"/>
    <cellStyle name="40% - Accent2 4 2 2 2 4 3 2 2" xfId="21375"/>
    <cellStyle name="40% - Accent2 4 2 2 2 4 3 2 3" xfId="21376"/>
    <cellStyle name="40% - Accent2 4 2 2 2 4 3 3" xfId="21377"/>
    <cellStyle name="40% - Accent2 4 2 2 2 4 3 3 2" xfId="21378"/>
    <cellStyle name="40% - Accent2 4 2 2 2 4 3 3 3" xfId="21379"/>
    <cellStyle name="40% - Accent2 4 2 2 2 4 3 4" xfId="21380"/>
    <cellStyle name="40% - Accent2 4 2 2 2 4 3 4 2" xfId="21381"/>
    <cellStyle name="40% - Accent2 4 2 2 2 4 3 5" xfId="21382"/>
    <cellStyle name="40% - Accent2 4 2 2 2 4 3 6" xfId="21383"/>
    <cellStyle name="40% - Accent2 4 2 2 2 4 4" xfId="21384"/>
    <cellStyle name="40% - Accent2 4 2 2 2 4 4 2" xfId="21385"/>
    <cellStyle name="40% - Accent2 4 2 2 2 4 4 2 2" xfId="21386"/>
    <cellStyle name="40% - Accent2 4 2 2 2 4 4 2 3" xfId="21387"/>
    <cellStyle name="40% - Accent2 4 2 2 2 4 4 3" xfId="21388"/>
    <cellStyle name="40% - Accent2 4 2 2 2 4 4 3 2" xfId="21389"/>
    <cellStyle name="40% - Accent2 4 2 2 2 4 4 4" xfId="21390"/>
    <cellStyle name="40% - Accent2 4 2 2 2 4 4 5" xfId="21391"/>
    <cellStyle name="40% - Accent2 4 2 2 2 4 5" xfId="21392"/>
    <cellStyle name="40% - Accent2 4 2 2 2 4 5 2" xfId="21393"/>
    <cellStyle name="40% - Accent2 4 2 2 2 4 5 3" xfId="21394"/>
    <cellStyle name="40% - Accent2 4 2 2 2 4 6" xfId="21395"/>
    <cellStyle name="40% - Accent2 4 2 2 2 4 6 2" xfId="21396"/>
    <cellStyle name="40% - Accent2 4 2 2 2 4 6 3" xfId="21397"/>
    <cellStyle name="40% - Accent2 4 2 2 2 4 7" xfId="21398"/>
    <cellStyle name="40% - Accent2 4 2 2 2 4 7 2" xfId="21399"/>
    <cellStyle name="40% - Accent2 4 2 2 2 4 8" xfId="21400"/>
    <cellStyle name="40% - Accent2 4 2 2 2 4 9" xfId="21401"/>
    <cellStyle name="40% - Accent2 4 2 2 2 5" xfId="21402"/>
    <cellStyle name="40% - Accent2 4 2 2 2 5 2" xfId="21403"/>
    <cellStyle name="40% - Accent2 4 2 2 2 5 2 2" xfId="21404"/>
    <cellStyle name="40% - Accent2 4 2 2 2 5 2 3" xfId="21405"/>
    <cellStyle name="40% - Accent2 4 2 2 2 5 3" xfId="21406"/>
    <cellStyle name="40% - Accent2 4 2 2 2 5 3 2" xfId="21407"/>
    <cellStyle name="40% - Accent2 4 2 2 2 5 3 3" xfId="21408"/>
    <cellStyle name="40% - Accent2 4 2 2 2 5 4" xfId="21409"/>
    <cellStyle name="40% - Accent2 4 2 2 2 5 4 2" xfId="21410"/>
    <cellStyle name="40% - Accent2 4 2 2 2 5 5" xfId="21411"/>
    <cellStyle name="40% - Accent2 4 2 2 2 5 6" xfId="21412"/>
    <cellStyle name="40% - Accent2 4 2 2 2 6" xfId="21413"/>
    <cellStyle name="40% - Accent2 4 2 2 2 6 2" xfId="21414"/>
    <cellStyle name="40% - Accent2 4 2 2 2 6 2 2" xfId="21415"/>
    <cellStyle name="40% - Accent2 4 2 2 2 6 2 3" xfId="21416"/>
    <cellStyle name="40% - Accent2 4 2 2 2 6 3" xfId="21417"/>
    <cellStyle name="40% - Accent2 4 2 2 2 6 3 2" xfId="21418"/>
    <cellStyle name="40% - Accent2 4 2 2 2 6 3 3" xfId="21419"/>
    <cellStyle name="40% - Accent2 4 2 2 2 6 4" xfId="21420"/>
    <cellStyle name="40% - Accent2 4 2 2 2 6 4 2" xfId="21421"/>
    <cellStyle name="40% - Accent2 4 2 2 2 6 5" xfId="21422"/>
    <cellStyle name="40% - Accent2 4 2 2 2 6 6" xfId="21423"/>
    <cellStyle name="40% - Accent2 4 2 2 2 7" xfId="21424"/>
    <cellStyle name="40% - Accent2 4 2 2 2 7 2" xfId="21425"/>
    <cellStyle name="40% - Accent2 4 2 2 2 7 2 2" xfId="21426"/>
    <cellStyle name="40% - Accent2 4 2 2 2 7 2 3" xfId="21427"/>
    <cellStyle name="40% - Accent2 4 2 2 2 7 3" xfId="21428"/>
    <cellStyle name="40% - Accent2 4 2 2 2 7 3 2" xfId="21429"/>
    <cellStyle name="40% - Accent2 4 2 2 2 7 4" xfId="21430"/>
    <cellStyle name="40% - Accent2 4 2 2 2 7 5" xfId="21431"/>
    <cellStyle name="40% - Accent2 4 2 2 2 8" xfId="21432"/>
    <cellStyle name="40% - Accent2 4 2 2 2 8 2" xfId="21433"/>
    <cellStyle name="40% - Accent2 4 2 2 2 8 3" xfId="21434"/>
    <cellStyle name="40% - Accent2 4 2 2 2 9" xfId="21435"/>
    <cellStyle name="40% - Accent2 4 2 2 2 9 2" xfId="21436"/>
    <cellStyle name="40% - Accent2 4 2 2 2 9 3" xfId="21437"/>
    <cellStyle name="40% - Accent2 4 2 2 3" xfId="1786"/>
    <cellStyle name="40% - Accent2 4 2 2 3 10" xfId="21438"/>
    <cellStyle name="40% - Accent2 4 2 2 3 2" xfId="1787"/>
    <cellStyle name="40% - Accent2 4 2 2 3 2 2" xfId="21439"/>
    <cellStyle name="40% - Accent2 4 2 2 3 2 2 2" xfId="21440"/>
    <cellStyle name="40% - Accent2 4 2 2 3 2 2 2 2" xfId="21441"/>
    <cellStyle name="40% - Accent2 4 2 2 3 2 2 2 3" xfId="21442"/>
    <cellStyle name="40% - Accent2 4 2 2 3 2 2 3" xfId="21443"/>
    <cellStyle name="40% - Accent2 4 2 2 3 2 2 3 2" xfId="21444"/>
    <cellStyle name="40% - Accent2 4 2 2 3 2 2 3 3" xfId="21445"/>
    <cellStyle name="40% - Accent2 4 2 2 3 2 2 4" xfId="21446"/>
    <cellStyle name="40% - Accent2 4 2 2 3 2 2 4 2" xfId="21447"/>
    <cellStyle name="40% - Accent2 4 2 2 3 2 2 5" xfId="21448"/>
    <cellStyle name="40% - Accent2 4 2 2 3 2 2 6" xfId="21449"/>
    <cellStyle name="40% - Accent2 4 2 2 3 2 3" xfId="21450"/>
    <cellStyle name="40% - Accent2 4 2 2 3 2 3 2" xfId="21451"/>
    <cellStyle name="40% - Accent2 4 2 2 3 2 3 2 2" xfId="21452"/>
    <cellStyle name="40% - Accent2 4 2 2 3 2 3 2 3" xfId="21453"/>
    <cellStyle name="40% - Accent2 4 2 2 3 2 3 3" xfId="21454"/>
    <cellStyle name="40% - Accent2 4 2 2 3 2 3 3 2" xfId="21455"/>
    <cellStyle name="40% - Accent2 4 2 2 3 2 3 3 3" xfId="21456"/>
    <cellStyle name="40% - Accent2 4 2 2 3 2 3 4" xfId="21457"/>
    <cellStyle name="40% - Accent2 4 2 2 3 2 3 4 2" xfId="21458"/>
    <cellStyle name="40% - Accent2 4 2 2 3 2 3 5" xfId="21459"/>
    <cellStyle name="40% - Accent2 4 2 2 3 2 3 6" xfId="21460"/>
    <cellStyle name="40% - Accent2 4 2 2 3 2 4" xfId="21461"/>
    <cellStyle name="40% - Accent2 4 2 2 3 2 4 2" xfId="21462"/>
    <cellStyle name="40% - Accent2 4 2 2 3 2 4 2 2" xfId="21463"/>
    <cellStyle name="40% - Accent2 4 2 2 3 2 4 2 3" xfId="21464"/>
    <cellStyle name="40% - Accent2 4 2 2 3 2 4 3" xfId="21465"/>
    <cellStyle name="40% - Accent2 4 2 2 3 2 4 3 2" xfId="21466"/>
    <cellStyle name="40% - Accent2 4 2 2 3 2 4 4" xfId="21467"/>
    <cellStyle name="40% - Accent2 4 2 2 3 2 4 5" xfId="21468"/>
    <cellStyle name="40% - Accent2 4 2 2 3 2 5" xfId="21469"/>
    <cellStyle name="40% - Accent2 4 2 2 3 2 5 2" xfId="21470"/>
    <cellStyle name="40% - Accent2 4 2 2 3 2 5 3" xfId="21471"/>
    <cellStyle name="40% - Accent2 4 2 2 3 2 6" xfId="21472"/>
    <cellStyle name="40% - Accent2 4 2 2 3 2 6 2" xfId="21473"/>
    <cellStyle name="40% - Accent2 4 2 2 3 2 6 3" xfId="21474"/>
    <cellStyle name="40% - Accent2 4 2 2 3 2 7" xfId="21475"/>
    <cellStyle name="40% - Accent2 4 2 2 3 2 7 2" xfId="21476"/>
    <cellStyle name="40% - Accent2 4 2 2 3 2 8" xfId="21477"/>
    <cellStyle name="40% - Accent2 4 2 2 3 2 9" xfId="21478"/>
    <cellStyle name="40% - Accent2 4 2 2 3 3" xfId="21479"/>
    <cellStyle name="40% - Accent2 4 2 2 3 3 2" xfId="21480"/>
    <cellStyle name="40% - Accent2 4 2 2 3 3 2 2" xfId="21481"/>
    <cellStyle name="40% - Accent2 4 2 2 3 3 2 3" xfId="21482"/>
    <cellStyle name="40% - Accent2 4 2 2 3 3 3" xfId="21483"/>
    <cellStyle name="40% - Accent2 4 2 2 3 3 3 2" xfId="21484"/>
    <cellStyle name="40% - Accent2 4 2 2 3 3 3 3" xfId="21485"/>
    <cellStyle name="40% - Accent2 4 2 2 3 3 4" xfId="21486"/>
    <cellStyle name="40% - Accent2 4 2 2 3 3 4 2" xfId="21487"/>
    <cellStyle name="40% - Accent2 4 2 2 3 3 5" xfId="21488"/>
    <cellStyle name="40% - Accent2 4 2 2 3 3 6" xfId="21489"/>
    <cellStyle name="40% - Accent2 4 2 2 3 4" xfId="21490"/>
    <cellStyle name="40% - Accent2 4 2 2 3 4 2" xfId="21491"/>
    <cellStyle name="40% - Accent2 4 2 2 3 4 2 2" xfId="21492"/>
    <cellStyle name="40% - Accent2 4 2 2 3 4 2 3" xfId="21493"/>
    <cellStyle name="40% - Accent2 4 2 2 3 4 3" xfId="21494"/>
    <cellStyle name="40% - Accent2 4 2 2 3 4 3 2" xfId="21495"/>
    <cellStyle name="40% - Accent2 4 2 2 3 4 3 3" xfId="21496"/>
    <cellStyle name="40% - Accent2 4 2 2 3 4 4" xfId="21497"/>
    <cellStyle name="40% - Accent2 4 2 2 3 4 4 2" xfId="21498"/>
    <cellStyle name="40% - Accent2 4 2 2 3 4 5" xfId="21499"/>
    <cellStyle name="40% - Accent2 4 2 2 3 4 6" xfId="21500"/>
    <cellStyle name="40% - Accent2 4 2 2 3 5" xfId="21501"/>
    <cellStyle name="40% - Accent2 4 2 2 3 5 2" xfId="21502"/>
    <cellStyle name="40% - Accent2 4 2 2 3 5 2 2" xfId="21503"/>
    <cellStyle name="40% - Accent2 4 2 2 3 5 2 3" xfId="21504"/>
    <cellStyle name="40% - Accent2 4 2 2 3 5 3" xfId="21505"/>
    <cellStyle name="40% - Accent2 4 2 2 3 5 3 2" xfId="21506"/>
    <cellStyle name="40% - Accent2 4 2 2 3 5 4" xfId="21507"/>
    <cellStyle name="40% - Accent2 4 2 2 3 5 5" xfId="21508"/>
    <cellStyle name="40% - Accent2 4 2 2 3 6" xfId="21509"/>
    <cellStyle name="40% - Accent2 4 2 2 3 6 2" xfId="21510"/>
    <cellStyle name="40% - Accent2 4 2 2 3 6 3" xfId="21511"/>
    <cellStyle name="40% - Accent2 4 2 2 3 7" xfId="21512"/>
    <cellStyle name="40% - Accent2 4 2 2 3 7 2" xfId="21513"/>
    <cellStyle name="40% - Accent2 4 2 2 3 7 3" xfId="21514"/>
    <cellStyle name="40% - Accent2 4 2 2 3 8" xfId="21515"/>
    <cellStyle name="40% - Accent2 4 2 2 3 8 2" xfId="21516"/>
    <cellStyle name="40% - Accent2 4 2 2 3 9" xfId="21517"/>
    <cellStyle name="40% - Accent2 4 2 2 4" xfId="1788"/>
    <cellStyle name="40% - Accent2 4 2 2 4 2" xfId="21518"/>
    <cellStyle name="40% - Accent2 4 2 2 4 2 2" xfId="21519"/>
    <cellStyle name="40% - Accent2 4 2 2 4 2 2 2" xfId="21520"/>
    <cellStyle name="40% - Accent2 4 2 2 4 2 2 3" xfId="21521"/>
    <cellStyle name="40% - Accent2 4 2 2 4 2 3" xfId="21522"/>
    <cellStyle name="40% - Accent2 4 2 2 4 2 3 2" xfId="21523"/>
    <cellStyle name="40% - Accent2 4 2 2 4 2 3 3" xfId="21524"/>
    <cellStyle name="40% - Accent2 4 2 2 4 2 4" xfId="21525"/>
    <cellStyle name="40% - Accent2 4 2 2 4 2 4 2" xfId="21526"/>
    <cellStyle name="40% - Accent2 4 2 2 4 2 5" xfId="21527"/>
    <cellStyle name="40% - Accent2 4 2 2 4 2 6" xfId="21528"/>
    <cellStyle name="40% - Accent2 4 2 2 4 3" xfId="21529"/>
    <cellStyle name="40% - Accent2 4 2 2 4 3 2" xfId="21530"/>
    <cellStyle name="40% - Accent2 4 2 2 4 3 2 2" xfId="21531"/>
    <cellStyle name="40% - Accent2 4 2 2 4 3 2 3" xfId="21532"/>
    <cellStyle name="40% - Accent2 4 2 2 4 3 3" xfId="21533"/>
    <cellStyle name="40% - Accent2 4 2 2 4 3 3 2" xfId="21534"/>
    <cellStyle name="40% - Accent2 4 2 2 4 3 3 3" xfId="21535"/>
    <cellStyle name="40% - Accent2 4 2 2 4 3 4" xfId="21536"/>
    <cellStyle name="40% - Accent2 4 2 2 4 3 4 2" xfId="21537"/>
    <cellStyle name="40% - Accent2 4 2 2 4 3 5" xfId="21538"/>
    <cellStyle name="40% - Accent2 4 2 2 4 3 6" xfId="21539"/>
    <cellStyle name="40% - Accent2 4 2 2 4 4" xfId="21540"/>
    <cellStyle name="40% - Accent2 4 2 2 4 4 2" xfId="21541"/>
    <cellStyle name="40% - Accent2 4 2 2 4 4 2 2" xfId="21542"/>
    <cellStyle name="40% - Accent2 4 2 2 4 4 2 3" xfId="21543"/>
    <cellStyle name="40% - Accent2 4 2 2 4 4 3" xfId="21544"/>
    <cellStyle name="40% - Accent2 4 2 2 4 4 3 2" xfId="21545"/>
    <cellStyle name="40% - Accent2 4 2 2 4 4 4" xfId="21546"/>
    <cellStyle name="40% - Accent2 4 2 2 4 4 5" xfId="21547"/>
    <cellStyle name="40% - Accent2 4 2 2 4 5" xfId="21548"/>
    <cellStyle name="40% - Accent2 4 2 2 4 5 2" xfId="21549"/>
    <cellStyle name="40% - Accent2 4 2 2 4 5 3" xfId="21550"/>
    <cellStyle name="40% - Accent2 4 2 2 4 6" xfId="21551"/>
    <cellStyle name="40% - Accent2 4 2 2 4 6 2" xfId="21552"/>
    <cellStyle name="40% - Accent2 4 2 2 4 6 3" xfId="21553"/>
    <cellStyle name="40% - Accent2 4 2 2 4 7" xfId="21554"/>
    <cellStyle name="40% - Accent2 4 2 2 4 7 2" xfId="21555"/>
    <cellStyle name="40% - Accent2 4 2 2 4 8" xfId="21556"/>
    <cellStyle name="40% - Accent2 4 2 2 4 9" xfId="21557"/>
    <cellStyle name="40% - Accent2 4 2 2 5" xfId="21558"/>
    <cellStyle name="40% - Accent2 4 2 2 5 2" xfId="21559"/>
    <cellStyle name="40% - Accent2 4 2 2 5 2 2" xfId="21560"/>
    <cellStyle name="40% - Accent2 4 2 2 5 2 2 2" xfId="21561"/>
    <cellStyle name="40% - Accent2 4 2 2 5 2 2 3" xfId="21562"/>
    <cellStyle name="40% - Accent2 4 2 2 5 2 3" xfId="21563"/>
    <cellStyle name="40% - Accent2 4 2 2 5 2 3 2" xfId="21564"/>
    <cellStyle name="40% - Accent2 4 2 2 5 2 3 3" xfId="21565"/>
    <cellStyle name="40% - Accent2 4 2 2 5 2 4" xfId="21566"/>
    <cellStyle name="40% - Accent2 4 2 2 5 2 4 2" xfId="21567"/>
    <cellStyle name="40% - Accent2 4 2 2 5 2 5" xfId="21568"/>
    <cellStyle name="40% - Accent2 4 2 2 5 2 6" xfId="21569"/>
    <cellStyle name="40% - Accent2 4 2 2 5 3" xfId="21570"/>
    <cellStyle name="40% - Accent2 4 2 2 5 3 2" xfId="21571"/>
    <cellStyle name="40% - Accent2 4 2 2 5 3 2 2" xfId="21572"/>
    <cellStyle name="40% - Accent2 4 2 2 5 3 2 3" xfId="21573"/>
    <cellStyle name="40% - Accent2 4 2 2 5 3 3" xfId="21574"/>
    <cellStyle name="40% - Accent2 4 2 2 5 3 3 2" xfId="21575"/>
    <cellStyle name="40% - Accent2 4 2 2 5 3 3 3" xfId="21576"/>
    <cellStyle name="40% - Accent2 4 2 2 5 3 4" xfId="21577"/>
    <cellStyle name="40% - Accent2 4 2 2 5 3 4 2" xfId="21578"/>
    <cellStyle name="40% - Accent2 4 2 2 5 3 5" xfId="21579"/>
    <cellStyle name="40% - Accent2 4 2 2 5 3 6" xfId="21580"/>
    <cellStyle name="40% - Accent2 4 2 2 5 4" xfId="21581"/>
    <cellStyle name="40% - Accent2 4 2 2 5 4 2" xfId="21582"/>
    <cellStyle name="40% - Accent2 4 2 2 5 4 2 2" xfId="21583"/>
    <cellStyle name="40% - Accent2 4 2 2 5 4 2 3" xfId="21584"/>
    <cellStyle name="40% - Accent2 4 2 2 5 4 3" xfId="21585"/>
    <cellStyle name="40% - Accent2 4 2 2 5 4 3 2" xfId="21586"/>
    <cellStyle name="40% - Accent2 4 2 2 5 4 4" xfId="21587"/>
    <cellStyle name="40% - Accent2 4 2 2 5 4 5" xfId="21588"/>
    <cellStyle name="40% - Accent2 4 2 2 5 5" xfId="21589"/>
    <cellStyle name="40% - Accent2 4 2 2 5 5 2" xfId="21590"/>
    <cellStyle name="40% - Accent2 4 2 2 5 5 3" xfId="21591"/>
    <cellStyle name="40% - Accent2 4 2 2 5 6" xfId="21592"/>
    <cellStyle name="40% - Accent2 4 2 2 5 6 2" xfId="21593"/>
    <cellStyle name="40% - Accent2 4 2 2 5 6 3" xfId="21594"/>
    <cellStyle name="40% - Accent2 4 2 2 5 7" xfId="21595"/>
    <cellStyle name="40% - Accent2 4 2 2 5 7 2" xfId="21596"/>
    <cellStyle name="40% - Accent2 4 2 2 5 8" xfId="21597"/>
    <cellStyle name="40% - Accent2 4 2 2 5 9" xfId="21598"/>
    <cellStyle name="40% - Accent2 4 2 2 6" xfId="21599"/>
    <cellStyle name="40% - Accent2 4 2 2 6 2" xfId="21600"/>
    <cellStyle name="40% - Accent2 4 2 2 6 2 2" xfId="21601"/>
    <cellStyle name="40% - Accent2 4 2 2 6 2 3" xfId="21602"/>
    <cellStyle name="40% - Accent2 4 2 2 6 3" xfId="21603"/>
    <cellStyle name="40% - Accent2 4 2 2 6 3 2" xfId="21604"/>
    <cellStyle name="40% - Accent2 4 2 2 6 3 3" xfId="21605"/>
    <cellStyle name="40% - Accent2 4 2 2 6 4" xfId="21606"/>
    <cellStyle name="40% - Accent2 4 2 2 6 4 2" xfId="21607"/>
    <cellStyle name="40% - Accent2 4 2 2 6 5" xfId="21608"/>
    <cellStyle name="40% - Accent2 4 2 2 6 6" xfId="21609"/>
    <cellStyle name="40% - Accent2 4 2 2 7" xfId="21610"/>
    <cellStyle name="40% - Accent2 4 2 2 7 2" xfId="21611"/>
    <cellStyle name="40% - Accent2 4 2 2 7 2 2" xfId="21612"/>
    <cellStyle name="40% - Accent2 4 2 2 7 2 3" xfId="21613"/>
    <cellStyle name="40% - Accent2 4 2 2 7 3" xfId="21614"/>
    <cellStyle name="40% - Accent2 4 2 2 7 3 2" xfId="21615"/>
    <cellStyle name="40% - Accent2 4 2 2 7 3 3" xfId="21616"/>
    <cellStyle name="40% - Accent2 4 2 2 7 4" xfId="21617"/>
    <cellStyle name="40% - Accent2 4 2 2 7 4 2" xfId="21618"/>
    <cellStyle name="40% - Accent2 4 2 2 7 5" xfId="21619"/>
    <cellStyle name="40% - Accent2 4 2 2 7 6" xfId="21620"/>
    <cellStyle name="40% - Accent2 4 2 2 8" xfId="21621"/>
    <cellStyle name="40% - Accent2 4 2 2 8 2" xfId="21622"/>
    <cellStyle name="40% - Accent2 4 2 2 8 2 2" xfId="21623"/>
    <cellStyle name="40% - Accent2 4 2 2 8 2 3" xfId="21624"/>
    <cellStyle name="40% - Accent2 4 2 2 8 3" xfId="21625"/>
    <cellStyle name="40% - Accent2 4 2 2 8 3 2" xfId="21626"/>
    <cellStyle name="40% - Accent2 4 2 2 8 4" xfId="21627"/>
    <cellStyle name="40% - Accent2 4 2 2 8 5" xfId="21628"/>
    <cellStyle name="40% - Accent2 4 2 2 9" xfId="21629"/>
    <cellStyle name="40% - Accent2 4 2 2 9 2" xfId="21630"/>
    <cellStyle name="40% - Accent2 4 2 2 9 3" xfId="21631"/>
    <cellStyle name="40% - Accent2 4 2 3" xfId="1789"/>
    <cellStyle name="40% - Accent2 4 2 3 10" xfId="21632"/>
    <cellStyle name="40% - Accent2 4 2 3 10 2" xfId="21633"/>
    <cellStyle name="40% - Accent2 4 2 3 11" xfId="21634"/>
    <cellStyle name="40% - Accent2 4 2 3 12" xfId="21635"/>
    <cellStyle name="40% - Accent2 4 2 3 2" xfId="1790"/>
    <cellStyle name="40% - Accent2 4 2 3 2 10" xfId="21636"/>
    <cellStyle name="40% - Accent2 4 2 3 2 2" xfId="1791"/>
    <cellStyle name="40% - Accent2 4 2 3 2 2 2" xfId="21637"/>
    <cellStyle name="40% - Accent2 4 2 3 2 2 2 2" xfId="21638"/>
    <cellStyle name="40% - Accent2 4 2 3 2 2 2 2 2" xfId="21639"/>
    <cellStyle name="40% - Accent2 4 2 3 2 2 2 2 3" xfId="21640"/>
    <cellStyle name="40% - Accent2 4 2 3 2 2 2 3" xfId="21641"/>
    <cellStyle name="40% - Accent2 4 2 3 2 2 2 3 2" xfId="21642"/>
    <cellStyle name="40% - Accent2 4 2 3 2 2 2 3 3" xfId="21643"/>
    <cellStyle name="40% - Accent2 4 2 3 2 2 2 4" xfId="21644"/>
    <cellStyle name="40% - Accent2 4 2 3 2 2 2 4 2" xfId="21645"/>
    <cellStyle name="40% - Accent2 4 2 3 2 2 2 5" xfId="21646"/>
    <cellStyle name="40% - Accent2 4 2 3 2 2 2 6" xfId="21647"/>
    <cellStyle name="40% - Accent2 4 2 3 2 2 3" xfId="21648"/>
    <cellStyle name="40% - Accent2 4 2 3 2 2 3 2" xfId="21649"/>
    <cellStyle name="40% - Accent2 4 2 3 2 2 3 2 2" xfId="21650"/>
    <cellStyle name="40% - Accent2 4 2 3 2 2 3 2 3" xfId="21651"/>
    <cellStyle name="40% - Accent2 4 2 3 2 2 3 3" xfId="21652"/>
    <cellStyle name="40% - Accent2 4 2 3 2 2 3 3 2" xfId="21653"/>
    <cellStyle name="40% - Accent2 4 2 3 2 2 3 3 3" xfId="21654"/>
    <cellStyle name="40% - Accent2 4 2 3 2 2 3 4" xfId="21655"/>
    <cellStyle name="40% - Accent2 4 2 3 2 2 3 4 2" xfId="21656"/>
    <cellStyle name="40% - Accent2 4 2 3 2 2 3 5" xfId="21657"/>
    <cellStyle name="40% - Accent2 4 2 3 2 2 3 6" xfId="21658"/>
    <cellStyle name="40% - Accent2 4 2 3 2 2 4" xfId="21659"/>
    <cellStyle name="40% - Accent2 4 2 3 2 2 4 2" xfId="21660"/>
    <cellStyle name="40% - Accent2 4 2 3 2 2 4 2 2" xfId="21661"/>
    <cellStyle name="40% - Accent2 4 2 3 2 2 4 2 3" xfId="21662"/>
    <cellStyle name="40% - Accent2 4 2 3 2 2 4 3" xfId="21663"/>
    <cellStyle name="40% - Accent2 4 2 3 2 2 4 3 2" xfId="21664"/>
    <cellStyle name="40% - Accent2 4 2 3 2 2 4 4" xfId="21665"/>
    <cellStyle name="40% - Accent2 4 2 3 2 2 4 5" xfId="21666"/>
    <cellStyle name="40% - Accent2 4 2 3 2 2 5" xfId="21667"/>
    <cellStyle name="40% - Accent2 4 2 3 2 2 5 2" xfId="21668"/>
    <cellStyle name="40% - Accent2 4 2 3 2 2 5 3" xfId="21669"/>
    <cellStyle name="40% - Accent2 4 2 3 2 2 6" xfId="21670"/>
    <cellStyle name="40% - Accent2 4 2 3 2 2 6 2" xfId="21671"/>
    <cellStyle name="40% - Accent2 4 2 3 2 2 6 3" xfId="21672"/>
    <cellStyle name="40% - Accent2 4 2 3 2 2 7" xfId="21673"/>
    <cellStyle name="40% - Accent2 4 2 3 2 2 7 2" xfId="21674"/>
    <cellStyle name="40% - Accent2 4 2 3 2 2 8" xfId="21675"/>
    <cellStyle name="40% - Accent2 4 2 3 2 2 9" xfId="21676"/>
    <cellStyle name="40% - Accent2 4 2 3 2 3" xfId="21677"/>
    <cellStyle name="40% - Accent2 4 2 3 2 3 2" xfId="21678"/>
    <cellStyle name="40% - Accent2 4 2 3 2 3 2 2" xfId="21679"/>
    <cellStyle name="40% - Accent2 4 2 3 2 3 2 3" xfId="21680"/>
    <cellStyle name="40% - Accent2 4 2 3 2 3 3" xfId="21681"/>
    <cellStyle name="40% - Accent2 4 2 3 2 3 3 2" xfId="21682"/>
    <cellStyle name="40% - Accent2 4 2 3 2 3 3 3" xfId="21683"/>
    <cellStyle name="40% - Accent2 4 2 3 2 3 4" xfId="21684"/>
    <cellStyle name="40% - Accent2 4 2 3 2 3 4 2" xfId="21685"/>
    <cellStyle name="40% - Accent2 4 2 3 2 3 5" xfId="21686"/>
    <cellStyle name="40% - Accent2 4 2 3 2 3 6" xfId="21687"/>
    <cellStyle name="40% - Accent2 4 2 3 2 4" xfId="21688"/>
    <cellStyle name="40% - Accent2 4 2 3 2 4 2" xfId="21689"/>
    <cellStyle name="40% - Accent2 4 2 3 2 4 2 2" xfId="21690"/>
    <cellStyle name="40% - Accent2 4 2 3 2 4 2 3" xfId="21691"/>
    <cellStyle name="40% - Accent2 4 2 3 2 4 3" xfId="21692"/>
    <cellStyle name="40% - Accent2 4 2 3 2 4 3 2" xfId="21693"/>
    <cellStyle name="40% - Accent2 4 2 3 2 4 3 3" xfId="21694"/>
    <cellStyle name="40% - Accent2 4 2 3 2 4 4" xfId="21695"/>
    <cellStyle name="40% - Accent2 4 2 3 2 4 4 2" xfId="21696"/>
    <cellStyle name="40% - Accent2 4 2 3 2 4 5" xfId="21697"/>
    <cellStyle name="40% - Accent2 4 2 3 2 4 6" xfId="21698"/>
    <cellStyle name="40% - Accent2 4 2 3 2 5" xfId="21699"/>
    <cellStyle name="40% - Accent2 4 2 3 2 5 2" xfId="21700"/>
    <cellStyle name="40% - Accent2 4 2 3 2 5 2 2" xfId="21701"/>
    <cellStyle name="40% - Accent2 4 2 3 2 5 2 3" xfId="21702"/>
    <cellStyle name="40% - Accent2 4 2 3 2 5 3" xfId="21703"/>
    <cellStyle name="40% - Accent2 4 2 3 2 5 3 2" xfId="21704"/>
    <cellStyle name="40% - Accent2 4 2 3 2 5 4" xfId="21705"/>
    <cellStyle name="40% - Accent2 4 2 3 2 5 5" xfId="21706"/>
    <cellStyle name="40% - Accent2 4 2 3 2 6" xfId="21707"/>
    <cellStyle name="40% - Accent2 4 2 3 2 6 2" xfId="21708"/>
    <cellStyle name="40% - Accent2 4 2 3 2 6 3" xfId="21709"/>
    <cellStyle name="40% - Accent2 4 2 3 2 7" xfId="21710"/>
    <cellStyle name="40% - Accent2 4 2 3 2 7 2" xfId="21711"/>
    <cellStyle name="40% - Accent2 4 2 3 2 7 3" xfId="21712"/>
    <cellStyle name="40% - Accent2 4 2 3 2 8" xfId="21713"/>
    <cellStyle name="40% - Accent2 4 2 3 2 8 2" xfId="21714"/>
    <cellStyle name="40% - Accent2 4 2 3 2 9" xfId="21715"/>
    <cellStyle name="40% - Accent2 4 2 3 3" xfId="1792"/>
    <cellStyle name="40% - Accent2 4 2 3 3 2" xfId="21716"/>
    <cellStyle name="40% - Accent2 4 2 3 3 2 2" xfId="21717"/>
    <cellStyle name="40% - Accent2 4 2 3 3 2 2 2" xfId="21718"/>
    <cellStyle name="40% - Accent2 4 2 3 3 2 2 3" xfId="21719"/>
    <cellStyle name="40% - Accent2 4 2 3 3 2 3" xfId="21720"/>
    <cellStyle name="40% - Accent2 4 2 3 3 2 3 2" xfId="21721"/>
    <cellStyle name="40% - Accent2 4 2 3 3 2 3 3" xfId="21722"/>
    <cellStyle name="40% - Accent2 4 2 3 3 2 4" xfId="21723"/>
    <cellStyle name="40% - Accent2 4 2 3 3 2 4 2" xfId="21724"/>
    <cellStyle name="40% - Accent2 4 2 3 3 2 5" xfId="21725"/>
    <cellStyle name="40% - Accent2 4 2 3 3 2 6" xfId="21726"/>
    <cellStyle name="40% - Accent2 4 2 3 3 3" xfId="21727"/>
    <cellStyle name="40% - Accent2 4 2 3 3 3 2" xfId="21728"/>
    <cellStyle name="40% - Accent2 4 2 3 3 3 2 2" xfId="21729"/>
    <cellStyle name="40% - Accent2 4 2 3 3 3 2 3" xfId="21730"/>
    <cellStyle name="40% - Accent2 4 2 3 3 3 3" xfId="21731"/>
    <cellStyle name="40% - Accent2 4 2 3 3 3 3 2" xfId="21732"/>
    <cellStyle name="40% - Accent2 4 2 3 3 3 3 3" xfId="21733"/>
    <cellStyle name="40% - Accent2 4 2 3 3 3 4" xfId="21734"/>
    <cellStyle name="40% - Accent2 4 2 3 3 3 4 2" xfId="21735"/>
    <cellStyle name="40% - Accent2 4 2 3 3 3 5" xfId="21736"/>
    <cellStyle name="40% - Accent2 4 2 3 3 3 6" xfId="21737"/>
    <cellStyle name="40% - Accent2 4 2 3 3 4" xfId="21738"/>
    <cellStyle name="40% - Accent2 4 2 3 3 4 2" xfId="21739"/>
    <cellStyle name="40% - Accent2 4 2 3 3 4 2 2" xfId="21740"/>
    <cellStyle name="40% - Accent2 4 2 3 3 4 2 3" xfId="21741"/>
    <cellStyle name="40% - Accent2 4 2 3 3 4 3" xfId="21742"/>
    <cellStyle name="40% - Accent2 4 2 3 3 4 3 2" xfId="21743"/>
    <cellStyle name="40% - Accent2 4 2 3 3 4 4" xfId="21744"/>
    <cellStyle name="40% - Accent2 4 2 3 3 4 5" xfId="21745"/>
    <cellStyle name="40% - Accent2 4 2 3 3 5" xfId="21746"/>
    <cellStyle name="40% - Accent2 4 2 3 3 5 2" xfId="21747"/>
    <cellStyle name="40% - Accent2 4 2 3 3 5 3" xfId="21748"/>
    <cellStyle name="40% - Accent2 4 2 3 3 6" xfId="21749"/>
    <cellStyle name="40% - Accent2 4 2 3 3 6 2" xfId="21750"/>
    <cellStyle name="40% - Accent2 4 2 3 3 6 3" xfId="21751"/>
    <cellStyle name="40% - Accent2 4 2 3 3 7" xfId="21752"/>
    <cellStyle name="40% - Accent2 4 2 3 3 7 2" xfId="21753"/>
    <cellStyle name="40% - Accent2 4 2 3 3 8" xfId="21754"/>
    <cellStyle name="40% - Accent2 4 2 3 3 9" xfId="21755"/>
    <cellStyle name="40% - Accent2 4 2 3 4" xfId="21756"/>
    <cellStyle name="40% - Accent2 4 2 3 4 2" xfId="21757"/>
    <cellStyle name="40% - Accent2 4 2 3 4 2 2" xfId="21758"/>
    <cellStyle name="40% - Accent2 4 2 3 4 2 2 2" xfId="21759"/>
    <cellStyle name="40% - Accent2 4 2 3 4 2 2 3" xfId="21760"/>
    <cellStyle name="40% - Accent2 4 2 3 4 2 3" xfId="21761"/>
    <cellStyle name="40% - Accent2 4 2 3 4 2 3 2" xfId="21762"/>
    <cellStyle name="40% - Accent2 4 2 3 4 2 3 3" xfId="21763"/>
    <cellStyle name="40% - Accent2 4 2 3 4 2 4" xfId="21764"/>
    <cellStyle name="40% - Accent2 4 2 3 4 2 4 2" xfId="21765"/>
    <cellStyle name="40% - Accent2 4 2 3 4 2 5" xfId="21766"/>
    <cellStyle name="40% - Accent2 4 2 3 4 2 6" xfId="21767"/>
    <cellStyle name="40% - Accent2 4 2 3 4 3" xfId="21768"/>
    <cellStyle name="40% - Accent2 4 2 3 4 3 2" xfId="21769"/>
    <cellStyle name="40% - Accent2 4 2 3 4 3 2 2" xfId="21770"/>
    <cellStyle name="40% - Accent2 4 2 3 4 3 2 3" xfId="21771"/>
    <cellStyle name="40% - Accent2 4 2 3 4 3 3" xfId="21772"/>
    <cellStyle name="40% - Accent2 4 2 3 4 3 3 2" xfId="21773"/>
    <cellStyle name="40% - Accent2 4 2 3 4 3 3 3" xfId="21774"/>
    <cellStyle name="40% - Accent2 4 2 3 4 3 4" xfId="21775"/>
    <cellStyle name="40% - Accent2 4 2 3 4 3 4 2" xfId="21776"/>
    <cellStyle name="40% - Accent2 4 2 3 4 3 5" xfId="21777"/>
    <cellStyle name="40% - Accent2 4 2 3 4 3 6" xfId="21778"/>
    <cellStyle name="40% - Accent2 4 2 3 4 4" xfId="21779"/>
    <cellStyle name="40% - Accent2 4 2 3 4 4 2" xfId="21780"/>
    <cellStyle name="40% - Accent2 4 2 3 4 4 2 2" xfId="21781"/>
    <cellStyle name="40% - Accent2 4 2 3 4 4 2 3" xfId="21782"/>
    <cellStyle name="40% - Accent2 4 2 3 4 4 3" xfId="21783"/>
    <cellStyle name="40% - Accent2 4 2 3 4 4 3 2" xfId="21784"/>
    <cellStyle name="40% - Accent2 4 2 3 4 4 4" xfId="21785"/>
    <cellStyle name="40% - Accent2 4 2 3 4 4 5" xfId="21786"/>
    <cellStyle name="40% - Accent2 4 2 3 4 5" xfId="21787"/>
    <cellStyle name="40% - Accent2 4 2 3 4 5 2" xfId="21788"/>
    <cellStyle name="40% - Accent2 4 2 3 4 5 3" xfId="21789"/>
    <cellStyle name="40% - Accent2 4 2 3 4 6" xfId="21790"/>
    <cellStyle name="40% - Accent2 4 2 3 4 6 2" xfId="21791"/>
    <cellStyle name="40% - Accent2 4 2 3 4 6 3" xfId="21792"/>
    <cellStyle name="40% - Accent2 4 2 3 4 7" xfId="21793"/>
    <cellStyle name="40% - Accent2 4 2 3 4 7 2" xfId="21794"/>
    <cellStyle name="40% - Accent2 4 2 3 4 8" xfId="21795"/>
    <cellStyle name="40% - Accent2 4 2 3 4 9" xfId="21796"/>
    <cellStyle name="40% - Accent2 4 2 3 5" xfId="21797"/>
    <cellStyle name="40% - Accent2 4 2 3 5 2" xfId="21798"/>
    <cellStyle name="40% - Accent2 4 2 3 5 2 2" xfId="21799"/>
    <cellStyle name="40% - Accent2 4 2 3 5 2 3" xfId="21800"/>
    <cellStyle name="40% - Accent2 4 2 3 5 3" xfId="21801"/>
    <cellStyle name="40% - Accent2 4 2 3 5 3 2" xfId="21802"/>
    <cellStyle name="40% - Accent2 4 2 3 5 3 3" xfId="21803"/>
    <cellStyle name="40% - Accent2 4 2 3 5 4" xfId="21804"/>
    <cellStyle name="40% - Accent2 4 2 3 5 4 2" xfId="21805"/>
    <cellStyle name="40% - Accent2 4 2 3 5 5" xfId="21806"/>
    <cellStyle name="40% - Accent2 4 2 3 5 6" xfId="21807"/>
    <cellStyle name="40% - Accent2 4 2 3 6" xfId="21808"/>
    <cellStyle name="40% - Accent2 4 2 3 6 2" xfId="21809"/>
    <cellStyle name="40% - Accent2 4 2 3 6 2 2" xfId="21810"/>
    <cellStyle name="40% - Accent2 4 2 3 6 2 3" xfId="21811"/>
    <cellStyle name="40% - Accent2 4 2 3 6 3" xfId="21812"/>
    <cellStyle name="40% - Accent2 4 2 3 6 3 2" xfId="21813"/>
    <cellStyle name="40% - Accent2 4 2 3 6 3 3" xfId="21814"/>
    <cellStyle name="40% - Accent2 4 2 3 6 4" xfId="21815"/>
    <cellStyle name="40% - Accent2 4 2 3 6 4 2" xfId="21816"/>
    <cellStyle name="40% - Accent2 4 2 3 6 5" xfId="21817"/>
    <cellStyle name="40% - Accent2 4 2 3 6 6" xfId="21818"/>
    <cellStyle name="40% - Accent2 4 2 3 7" xfId="21819"/>
    <cellStyle name="40% - Accent2 4 2 3 7 2" xfId="21820"/>
    <cellStyle name="40% - Accent2 4 2 3 7 2 2" xfId="21821"/>
    <cellStyle name="40% - Accent2 4 2 3 7 2 3" xfId="21822"/>
    <cellStyle name="40% - Accent2 4 2 3 7 3" xfId="21823"/>
    <cellStyle name="40% - Accent2 4 2 3 7 3 2" xfId="21824"/>
    <cellStyle name="40% - Accent2 4 2 3 7 4" xfId="21825"/>
    <cellStyle name="40% - Accent2 4 2 3 7 5" xfId="21826"/>
    <cellStyle name="40% - Accent2 4 2 3 8" xfId="21827"/>
    <cellStyle name="40% - Accent2 4 2 3 8 2" xfId="21828"/>
    <cellStyle name="40% - Accent2 4 2 3 8 3" xfId="21829"/>
    <cellStyle name="40% - Accent2 4 2 3 9" xfId="21830"/>
    <cellStyle name="40% - Accent2 4 2 3 9 2" xfId="21831"/>
    <cellStyle name="40% - Accent2 4 2 3 9 3" xfId="21832"/>
    <cellStyle name="40% - Accent2 4 2 4" xfId="1793"/>
    <cellStyle name="40% - Accent2 4 2 4 10" xfId="21833"/>
    <cellStyle name="40% - Accent2 4 2 4 2" xfId="1794"/>
    <cellStyle name="40% - Accent2 4 2 4 2 2" xfId="21834"/>
    <cellStyle name="40% - Accent2 4 2 4 2 2 2" xfId="21835"/>
    <cellStyle name="40% - Accent2 4 2 4 2 2 2 2" xfId="21836"/>
    <cellStyle name="40% - Accent2 4 2 4 2 2 2 3" xfId="21837"/>
    <cellStyle name="40% - Accent2 4 2 4 2 2 3" xfId="21838"/>
    <cellStyle name="40% - Accent2 4 2 4 2 2 3 2" xfId="21839"/>
    <cellStyle name="40% - Accent2 4 2 4 2 2 3 3" xfId="21840"/>
    <cellStyle name="40% - Accent2 4 2 4 2 2 4" xfId="21841"/>
    <cellStyle name="40% - Accent2 4 2 4 2 2 4 2" xfId="21842"/>
    <cellStyle name="40% - Accent2 4 2 4 2 2 5" xfId="21843"/>
    <cellStyle name="40% - Accent2 4 2 4 2 2 6" xfId="21844"/>
    <cellStyle name="40% - Accent2 4 2 4 2 3" xfId="21845"/>
    <cellStyle name="40% - Accent2 4 2 4 2 3 2" xfId="21846"/>
    <cellStyle name="40% - Accent2 4 2 4 2 3 2 2" xfId="21847"/>
    <cellStyle name="40% - Accent2 4 2 4 2 3 2 3" xfId="21848"/>
    <cellStyle name="40% - Accent2 4 2 4 2 3 3" xfId="21849"/>
    <cellStyle name="40% - Accent2 4 2 4 2 3 3 2" xfId="21850"/>
    <cellStyle name="40% - Accent2 4 2 4 2 3 3 3" xfId="21851"/>
    <cellStyle name="40% - Accent2 4 2 4 2 3 4" xfId="21852"/>
    <cellStyle name="40% - Accent2 4 2 4 2 3 4 2" xfId="21853"/>
    <cellStyle name="40% - Accent2 4 2 4 2 3 5" xfId="21854"/>
    <cellStyle name="40% - Accent2 4 2 4 2 3 6" xfId="21855"/>
    <cellStyle name="40% - Accent2 4 2 4 2 4" xfId="21856"/>
    <cellStyle name="40% - Accent2 4 2 4 2 4 2" xfId="21857"/>
    <cellStyle name="40% - Accent2 4 2 4 2 4 2 2" xfId="21858"/>
    <cellStyle name="40% - Accent2 4 2 4 2 4 2 3" xfId="21859"/>
    <cellStyle name="40% - Accent2 4 2 4 2 4 3" xfId="21860"/>
    <cellStyle name="40% - Accent2 4 2 4 2 4 3 2" xfId="21861"/>
    <cellStyle name="40% - Accent2 4 2 4 2 4 4" xfId="21862"/>
    <cellStyle name="40% - Accent2 4 2 4 2 4 5" xfId="21863"/>
    <cellStyle name="40% - Accent2 4 2 4 2 5" xfId="21864"/>
    <cellStyle name="40% - Accent2 4 2 4 2 5 2" xfId="21865"/>
    <cellStyle name="40% - Accent2 4 2 4 2 5 3" xfId="21866"/>
    <cellStyle name="40% - Accent2 4 2 4 2 6" xfId="21867"/>
    <cellStyle name="40% - Accent2 4 2 4 2 6 2" xfId="21868"/>
    <cellStyle name="40% - Accent2 4 2 4 2 6 3" xfId="21869"/>
    <cellStyle name="40% - Accent2 4 2 4 2 7" xfId="21870"/>
    <cellStyle name="40% - Accent2 4 2 4 2 7 2" xfId="21871"/>
    <cellStyle name="40% - Accent2 4 2 4 2 8" xfId="21872"/>
    <cellStyle name="40% - Accent2 4 2 4 2 9" xfId="21873"/>
    <cellStyle name="40% - Accent2 4 2 4 3" xfId="21874"/>
    <cellStyle name="40% - Accent2 4 2 4 3 2" xfId="21875"/>
    <cellStyle name="40% - Accent2 4 2 4 3 2 2" xfId="21876"/>
    <cellStyle name="40% - Accent2 4 2 4 3 2 3" xfId="21877"/>
    <cellStyle name="40% - Accent2 4 2 4 3 3" xfId="21878"/>
    <cellStyle name="40% - Accent2 4 2 4 3 3 2" xfId="21879"/>
    <cellStyle name="40% - Accent2 4 2 4 3 3 3" xfId="21880"/>
    <cellStyle name="40% - Accent2 4 2 4 3 4" xfId="21881"/>
    <cellStyle name="40% - Accent2 4 2 4 3 4 2" xfId="21882"/>
    <cellStyle name="40% - Accent2 4 2 4 3 5" xfId="21883"/>
    <cellStyle name="40% - Accent2 4 2 4 3 6" xfId="21884"/>
    <cellStyle name="40% - Accent2 4 2 4 4" xfId="21885"/>
    <cellStyle name="40% - Accent2 4 2 4 4 2" xfId="21886"/>
    <cellStyle name="40% - Accent2 4 2 4 4 2 2" xfId="21887"/>
    <cellStyle name="40% - Accent2 4 2 4 4 2 3" xfId="21888"/>
    <cellStyle name="40% - Accent2 4 2 4 4 3" xfId="21889"/>
    <cellStyle name="40% - Accent2 4 2 4 4 3 2" xfId="21890"/>
    <cellStyle name="40% - Accent2 4 2 4 4 3 3" xfId="21891"/>
    <cellStyle name="40% - Accent2 4 2 4 4 4" xfId="21892"/>
    <cellStyle name="40% - Accent2 4 2 4 4 4 2" xfId="21893"/>
    <cellStyle name="40% - Accent2 4 2 4 4 5" xfId="21894"/>
    <cellStyle name="40% - Accent2 4 2 4 4 6" xfId="21895"/>
    <cellStyle name="40% - Accent2 4 2 4 5" xfId="21896"/>
    <cellStyle name="40% - Accent2 4 2 4 5 2" xfId="21897"/>
    <cellStyle name="40% - Accent2 4 2 4 5 2 2" xfId="21898"/>
    <cellStyle name="40% - Accent2 4 2 4 5 2 3" xfId="21899"/>
    <cellStyle name="40% - Accent2 4 2 4 5 3" xfId="21900"/>
    <cellStyle name="40% - Accent2 4 2 4 5 3 2" xfId="21901"/>
    <cellStyle name="40% - Accent2 4 2 4 5 4" xfId="21902"/>
    <cellStyle name="40% - Accent2 4 2 4 5 5" xfId="21903"/>
    <cellStyle name="40% - Accent2 4 2 4 6" xfId="21904"/>
    <cellStyle name="40% - Accent2 4 2 4 6 2" xfId="21905"/>
    <cellStyle name="40% - Accent2 4 2 4 6 3" xfId="21906"/>
    <cellStyle name="40% - Accent2 4 2 4 7" xfId="21907"/>
    <cellStyle name="40% - Accent2 4 2 4 7 2" xfId="21908"/>
    <cellStyle name="40% - Accent2 4 2 4 7 3" xfId="21909"/>
    <cellStyle name="40% - Accent2 4 2 4 8" xfId="21910"/>
    <cellStyle name="40% - Accent2 4 2 4 8 2" xfId="21911"/>
    <cellStyle name="40% - Accent2 4 2 4 9" xfId="21912"/>
    <cellStyle name="40% - Accent2 4 2 5" xfId="1795"/>
    <cellStyle name="40% - Accent2 4 2 5 2" xfId="21913"/>
    <cellStyle name="40% - Accent2 4 2 5 2 2" xfId="21914"/>
    <cellStyle name="40% - Accent2 4 2 5 2 2 2" xfId="21915"/>
    <cellStyle name="40% - Accent2 4 2 5 2 2 3" xfId="21916"/>
    <cellStyle name="40% - Accent2 4 2 5 2 3" xfId="21917"/>
    <cellStyle name="40% - Accent2 4 2 5 2 3 2" xfId="21918"/>
    <cellStyle name="40% - Accent2 4 2 5 2 3 3" xfId="21919"/>
    <cellStyle name="40% - Accent2 4 2 5 2 4" xfId="21920"/>
    <cellStyle name="40% - Accent2 4 2 5 2 4 2" xfId="21921"/>
    <cellStyle name="40% - Accent2 4 2 5 2 5" xfId="21922"/>
    <cellStyle name="40% - Accent2 4 2 5 2 6" xfId="21923"/>
    <cellStyle name="40% - Accent2 4 2 5 3" xfId="21924"/>
    <cellStyle name="40% - Accent2 4 2 5 3 2" xfId="21925"/>
    <cellStyle name="40% - Accent2 4 2 5 3 2 2" xfId="21926"/>
    <cellStyle name="40% - Accent2 4 2 5 3 2 3" xfId="21927"/>
    <cellStyle name="40% - Accent2 4 2 5 3 3" xfId="21928"/>
    <cellStyle name="40% - Accent2 4 2 5 3 3 2" xfId="21929"/>
    <cellStyle name="40% - Accent2 4 2 5 3 3 3" xfId="21930"/>
    <cellStyle name="40% - Accent2 4 2 5 3 4" xfId="21931"/>
    <cellStyle name="40% - Accent2 4 2 5 3 4 2" xfId="21932"/>
    <cellStyle name="40% - Accent2 4 2 5 3 5" xfId="21933"/>
    <cellStyle name="40% - Accent2 4 2 5 3 6" xfId="21934"/>
    <cellStyle name="40% - Accent2 4 2 5 4" xfId="21935"/>
    <cellStyle name="40% - Accent2 4 2 5 4 2" xfId="21936"/>
    <cellStyle name="40% - Accent2 4 2 5 4 2 2" xfId="21937"/>
    <cellStyle name="40% - Accent2 4 2 5 4 2 3" xfId="21938"/>
    <cellStyle name="40% - Accent2 4 2 5 4 3" xfId="21939"/>
    <cellStyle name="40% - Accent2 4 2 5 4 3 2" xfId="21940"/>
    <cellStyle name="40% - Accent2 4 2 5 4 4" xfId="21941"/>
    <cellStyle name="40% - Accent2 4 2 5 4 5" xfId="21942"/>
    <cellStyle name="40% - Accent2 4 2 5 5" xfId="21943"/>
    <cellStyle name="40% - Accent2 4 2 5 5 2" xfId="21944"/>
    <cellStyle name="40% - Accent2 4 2 5 5 3" xfId="21945"/>
    <cellStyle name="40% - Accent2 4 2 5 6" xfId="21946"/>
    <cellStyle name="40% - Accent2 4 2 5 6 2" xfId="21947"/>
    <cellStyle name="40% - Accent2 4 2 5 6 3" xfId="21948"/>
    <cellStyle name="40% - Accent2 4 2 5 7" xfId="21949"/>
    <cellStyle name="40% - Accent2 4 2 5 7 2" xfId="21950"/>
    <cellStyle name="40% - Accent2 4 2 5 8" xfId="21951"/>
    <cellStyle name="40% - Accent2 4 2 5 9" xfId="21952"/>
    <cellStyle name="40% - Accent2 4 2 6" xfId="21953"/>
    <cellStyle name="40% - Accent2 4 2 6 2" xfId="21954"/>
    <cellStyle name="40% - Accent2 4 2 6 2 2" xfId="21955"/>
    <cellStyle name="40% - Accent2 4 2 6 2 2 2" xfId="21956"/>
    <cellStyle name="40% - Accent2 4 2 6 2 2 3" xfId="21957"/>
    <cellStyle name="40% - Accent2 4 2 6 2 3" xfId="21958"/>
    <cellStyle name="40% - Accent2 4 2 6 2 3 2" xfId="21959"/>
    <cellStyle name="40% - Accent2 4 2 6 2 3 3" xfId="21960"/>
    <cellStyle name="40% - Accent2 4 2 6 2 4" xfId="21961"/>
    <cellStyle name="40% - Accent2 4 2 6 2 4 2" xfId="21962"/>
    <cellStyle name="40% - Accent2 4 2 6 2 5" xfId="21963"/>
    <cellStyle name="40% - Accent2 4 2 6 2 6" xfId="21964"/>
    <cellStyle name="40% - Accent2 4 2 6 3" xfId="21965"/>
    <cellStyle name="40% - Accent2 4 2 6 3 2" xfId="21966"/>
    <cellStyle name="40% - Accent2 4 2 6 3 2 2" xfId="21967"/>
    <cellStyle name="40% - Accent2 4 2 6 3 2 3" xfId="21968"/>
    <cellStyle name="40% - Accent2 4 2 6 3 3" xfId="21969"/>
    <cellStyle name="40% - Accent2 4 2 6 3 3 2" xfId="21970"/>
    <cellStyle name="40% - Accent2 4 2 6 3 3 3" xfId="21971"/>
    <cellStyle name="40% - Accent2 4 2 6 3 4" xfId="21972"/>
    <cellStyle name="40% - Accent2 4 2 6 3 4 2" xfId="21973"/>
    <cellStyle name="40% - Accent2 4 2 6 3 5" xfId="21974"/>
    <cellStyle name="40% - Accent2 4 2 6 3 6" xfId="21975"/>
    <cellStyle name="40% - Accent2 4 2 6 4" xfId="21976"/>
    <cellStyle name="40% - Accent2 4 2 6 4 2" xfId="21977"/>
    <cellStyle name="40% - Accent2 4 2 6 4 2 2" xfId="21978"/>
    <cellStyle name="40% - Accent2 4 2 6 4 2 3" xfId="21979"/>
    <cellStyle name="40% - Accent2 4 2 6 4 3" xfId="21980"/>
    <cellStyle name="40% - Accent2 4 2 6 4 3 2" xfId="21981"/>
    <cellStyle name="40% - Accent2 4 2 6 4 4" xfId="21982"/>
    <cellStyle name="40% - Accent2 4 2 6 4 5" xfId="21983"/>
    <cellStyle name="40% - Accent2 4 2 6 5" xfId="21984"/>
    <cellStyle name="40% - Accent2 4 2 6 5 2" xfId="21985"/>
    <cellStyle name="40% - Accent2 4 2 6 5 3" xfId="21986"/>
    <cellStyle name="40% - Accent2 4 2 6 6" xfId="21987"/>
    <cellStyle name="40% - Accent2 4 2 6 6 2" xfId="21988"/>
    <cellStyle name="40% - Accent2 4 2 6 6 3" xfId="21989"/>
    <cellStyle name="40% - Accent2 4 2 6 7" xfId="21990"/>
    <cellStyle name="40% - Accent2 4 2 6 7 2" xfId="21991"/>
    <cellStyle name="40% - Accent2 4 2 6 8" xfId="21992"/>
    <cellStyle name="40% - Accent2 4 2 6 9" xfId="21993"/>
    <cellStyle name="40% - Accent2 4 2 7" xfId="21994"/>
    <cellStyle name="40% - Accent2 4 2 7 2" xfId="21995"/>
    <cellStyle name="40% - Accent2 4 2 7 2 2" xfId="21996"/>
    <cellStyle name="40% - Accent2 4 2 7 2 3" xfId="21997"/>
    <cellStyle name="40% - Accent2 4 2 7 3" xfId="21998"/>
    <cellStyle name="40% - Accent2 4 2 7 3 2" xfId="21999"/>
    <cellStyle name="40% - Accent2 4 2 7 3 3" xfId="22000"/>
    <cellStyle name="40% - Accent2 4 2 7 4" xfId="22001"/>
    <cellStyle name="40% - Accent2 4 2 7 4 2" xfId="22002"/>
    <cellStyle name="40% - Accent2 4 2 7 5" xfId="22003"/>
    <cellStyle name="40% - Accent2 4 2 7 6" xfId="22004"/>
    <cellStyle name="40% - Accent2 4 2 8" xfId="22005"/>
    <cellStyle name="40% - Accent2 4 2 8 2" xfId="22006"/>
    <cellStyle name="40% - Accent2 4 2 8 2 2" xfId="22007"/>
    <cellStyle name="40% - Accent2 4 2 8 2 3" xfId="22008"/>
    <cellStyle name="40% - Accent2 4 2 8 3" xfId="22009"/>
    <cellStyle name="40% - Accent2 4 2 8 3 2" xfId="22010"/>
    <cellStyle name="40% - Accent2 4 2 8 3 3" xfId="22011"/>
    <cellStyle name="40% - Accent2 4 2 8 4" xfId="22012"/>
    <cellStyle name="40% - Accent2 4 2 8 4 2" xfId="22013"/>
    <cellStyle name="40% - Accent2 4 2 8 5" xfId="22014"/>
    <cellStyle name="40% - Accent2 4 2 8 6" xfId="22015"/>
    <cellStyle name="40% - Accent2 4 2 9" xfId="22016"/>
    <cellStyle name="40% - Accent2 4 2 9 2" xfId="22017"/>
    <cellStyle name="40% - Accent2 4 2 9 2 2" xfId="22018"/>
    <cellStyle name="40% - Accent2 4 2 9 2 3" xfId="22019"/>
    <cellStyle name="40% - Accent2 4 2 9 3" xfId="22020"/>
    <cellStyle name="40% - Accent2 4 2 9 3 2" xfId="22021"/>
    <cellStyle name="40% - Accent2 4 2 9 4" xfId="22022"/>
    <cellStyle name="40% - Accent2 4 2 9 5" xfId="22023"/>
    <cellStyle name="40% - Accent2 4 3" xfId="1796"/>
    <cellStyle name="40% - Accent2 4 3 10" xfId="22024"/>
    <cellStyle name="40% - Accent2 4 3 10 2" xfId="22025"/>
    <cellStyle name="40% - Accent2 4 3 10 3" xfId="22026"/>
    <cellStyle name="40% - Accent2 4 3 11" xfId="22027"/>
    <cellStyle name="40% - Accent2 4 3 11 2" xfId="22028"/>
    <cellStyle name="40% - Accent2 4 3 12" xfId="22029"/>
    <cellStyle name="40% - Accent2 4 3 13" xfId="22030"/>
    <cellStyle name="40% - Accent2 4 3 14" xfId="22031"/>
    <cellStyle name="40% - Accent2 4 3 2" xfId="1797"/>
    <cellStyle name="40% - Accent2 4 3 2 10" xfId="22032"/>
    <cellStyle name="40% - Accent2 4 3 2 10 2" xfId="22033"/>
    <cellStyle name="40% - Accent2 4 3 2 11" xfId="22034"/>
    <cellStyle name="40% - Accent2 4 3 2 12" xfId="22035"/>
    <cellStyle name="40% - Accent2 4 3 2 2" xfId="1798"/>
    <cellStyle name="40% - Accent2 4 3 2 2 10" xfId="22036"/>
    <cellStyle name="40% - Accent2 4 3 2 2 2" xfId="1799"/>
    <cellStyle name="40% - Accent2 4 3 2 2 2 2" xfId="22037"/>
    <cellStyle name="40% - Accent2 4 3 2 2 2 2 2" xfId="22038"/>
    <cellStyle name="40% - Accent2 4 3 2 2 2 2 2 2" xfId="22039"/>
    <cellStyle name="40% - Accent2 4 3 2 2 2 2 2 3" xfId="22040"/>
    <cellStyle name="40% - Accent2 4 3 2 2 2 2 3" xfId="22041"/>
    <cellStyle name="40% - Accent2 4 3 2 2 2 2 3 2" xfId="22042"/>
    <cellStyle name="40% - Accent2 4 3 2 2 2 2 3 3" xfId="22043"/>
    <cellStyle name="40% - Accent2 4 3 2 2 2 2 4" xfId="22044"/>
    <cellStyle name="40% - Accent2 4 3 2 2 2 2 4 2" xfId="22045"/>
    <cellStyle name="40% - Accent2 4 3 2 2 2 2 5" xfId="22046"/>
    <cellStyle name="40% - Accent2 4 3 2 2 2 2 6" xfId="22047"/>
    <cellStyle name="40% - Accent2 4 3 2 2 2 3" xfId="22048"/>
    <cellStyle name="40% - Accent2 4 3 2 2 2 3 2" xfId="22049"/>
    <cellStyle name="40% - Accent2 4 3 2 2 2 3 2 2" xfId="22050"/>
    <cellStyle name="40% - Accent2 4 3 2 2 2 3 2 3" xfId="22051"/>
    <cellStyle name="40% - Accent2 4 3 2 2 2 3 3" xfId="22052"/>
    <cellStyle name="40% - Accent2 4 3 2 2 2 3 3 2" xfId="22053"/>
    <cellStyle name="40% - Accent2 4 3 2 2 2 3 3 3" xfId="22054"/>
    <cellStyle name="40% - Accent2 4 3 2 2 2 3 4" xfId="22055"/>
    <cellStyle name="40% - Accent2 4 3 2 2 2 3 4 2" xfId="22056"/>
    <cellStyle name="40% - Accent2 4 3 2 2 2 3 5" xfId="22057"/>
    <cellStyle name="40% - Accent2 4 3 2 2 2 3 6" xfId="22058"/>
    <cellStyle name="40% - Accent2 4 3 2 2 2 4" xfId="22059"/>
    <cellStyle name="40% - Accent2 4 3 2 2 2 4 2" xfId="22060"/>
    <cellStyle name="40% - Accent2 4 3 2 2 2 4 2 2" xfId="22061"/>
    <cellStyle name="40% - Accent2 4 3 2 2 2 4 2 3" xfId="22062"/>
    <cellStyle name="40% - Accent2 4 3 2 2 2 4 3" xfId="22063"/>
    <cellStyle name="40% - Accent2 4 3 2 2 2 4 3 2" xfId="22064"/>
    <cellStyle name="40% - Accent2 4 3 2 2 2 4 4" xfId="22065"/>
    <cellStyle name="40% - Accent2 4 3 2 2 2 4 5" xfId="22066"/>
    <cellStyle name="40% - Accent2 4 3 2 2 2 5" xfId="22067"/>
    <cellStyle name="40% - Accent2 4 3 2 2 2 5 2" xfId="22068"/>
    <cellStyle name="40% - Accent2 4 3 2 2 2 5 3" xfId="22069"/>
    <cellStyle name="40% - Accent2 4 3 2 2 2 6" xfId="22070"/>
    <cellStyle name="40% - Accent2 4 3 2 2 2 6 2" xfId="22071"/>
    <cellStyle name="40% - Accent2 4 3 2 2 2 6 3" xfId="22072"/>
    <cellStyle name="40% - Accent2 4 3 2 2 2 7" xfId="22073"/>
    <cellStyle name="40% - Accent2 4 3 2 2 2 7 2" xfId="22074"/>
    <cellStyle name="40% - Accent2 4 3 2 2 2 8" xfId="22075"/>
    <cellStyle name="40% - Accent2 4 3 2 2 2 9" xfId="22076"/>
    <cellStyle name="40% - Accent2 4 3 2 2 3" xfId="22077"/>
    <cellStyle name="40% - Accent2 4 3 2 2 3 2" xfId="22078"/>
    <cellStyle name="40% - Accent2 4 3 2 2 3 2 2" xfId="22079"/>
    <cellStyle name="40% - Accent2 4 3 2 2 3 2 3" xfId="22080"/>
    <cellStyle name="40% - Accent2 4 3 2 2 3 3" xfId="22081"/>
    <cellStyle name="40% - Accent2 4 3 2 2 3 3 2" xfId="22082"/>
    <cellStyle name="40% - Accent2 4 3 2 2 3 3 3" xfId="22083"/>
    <cellStyle name="40% - Accent2 4 3 2 2 3 4" xfId="22084"/>
    <cellStyle name="40% - Accent2 4 3 2 2 3 4 2" xfId="22085"/>
    <cellStyle name="40% - Accent2 4 3 2 2 3 5" xfId="22086"/>
    <cellStyle name="40% - Accent2 4 3 2 2 3 6" xfId="22087"/>
    <cellStyle name="40% - Accent2 4 3 2 2 4" xfId="22088"/>
    <cellStyle name="40% - Accent2 4 3 2 2 4 2" xfId="22089"/>
    <cellStyle name="40% - Accent2 4 3 2 2 4 2 2" xfId="22090"/>
    <cellStyle name="40% - Accent2 4 3 2 2 4 2 3" xfId="22091"/>
    <cellStyle name="40% - Accent2 4 3 2 2 4 3" xfId="22092"/>
    <cellStyle name="40% - Accent2 4 3 2 2 4 3 2" xfId="22093"/>
    <cellStyle name="40% - Accent2 4 3 2 2 4 3 3" xfId="22094"/>
    <cellStyle name="40% - Accent2 4 3 2 2 4 4" xfId="22095"/>
    <cellStyle name="40% - Accent2 4 3 2 2 4 4 2" xfId="22096"/>
    <cellStyle name="40% - Accent2 4 3 2 2 4 5" xfId="22097"/>
    <cellStyle name="40% - Accent2 4 3 2 2 4 6" xfId="22098"/>
    <cellStyle name="40% - Accent2 4 3 2 2 5" xfId="22099"/>
    <cellStyle name="40% - Accent2 4 3 2 2 5 2" xfId="22100"/>
    <cellStyle name="40% - Accent2 4 3 2 2 5 2 2" xfId="22101"/>
    <cellStyle name="40% - Accent2 4 3 2 2 5 2 3" xfId="22102"/>
    <cellStyle name="40% - Accent2 4 3 2 2 5 3" xfId="22103"/>
    <cellStyle name="40% - Accent2 4 3 2 2 5 3 2" xfId="22104"/>
    <cellStyle name="40% - Accent2 4 3 2 2 5 4" xfId="22105"/>
    <cellStyle name="40% - Accent2 4 3 2 2 5 5" xfId="22106"/>
    <cellStyle name="40% - Accent2 4 3 2 2 6" xfId="22107"/>
    <cellStyle name="40% - Accent2 4 3 2 2 6 2" xfId="22108"/>
    <cellStyle name="40% - Accent2 4 3 2 2 6 3" xfId="22109"/>
    <cellStyle name="40% - Accent2 4 3 2 2 7" xfId="22110"/>
    <cellStyle name="40% - Accent2 4 3 2 2 7 2" xfId="22111"/>
    <cellStyle name="40% - Accent2 4 3 2 2 7 3" xfId="22112"/>
    <cellStyle name="40% - Accent2 4 3 2 2 8" xfId="22113"/>
    <cellStyle name="40% - Accent2 4 3 2 2 8 2" xfId="22114"/>
    <cellStyle name="40% - Accent2 4 3 2 2 9" xfId="22115"/>
    <cellStyle name="40% - Accent2 4 3 2 3" xfId="1800"/>
    <cellStyle name="40% - Accent2 4 3 2 3 2" xfId="22116"/>
    <cellStyle name="40% - Accent2 4 3 2 3 2 2" xfId="22117"/>
    <cellStyle name="40% - Accent2 4 3 2 3 2 2 2" xfId="22118"/>
    <cellStyle name="40% - Accent2 4 3 2 3 2 2 3" xfId="22119"/>
    <cellStyle name="40% - Accent2 4 3 2 3 2 3" xfId="22120"/>
    <cellStyle name="40% - Accent2 4 3 2 3 2 3 2" xfId="22121"/>
    <cellStyle name="40% - Accent2 4 3 2 3 2 3 3" xfId="22122"/>
    <cellStyle name="40% - Accent2 4 3 2 3 2 4" xfId="22123"/>
    <cellStyle name="40% - Accent2 4 3 2 3 2 4 2" xfId="22124"/>
    <cellStyle name="40% - Accent2 4 3 2 3 2 5" xfId="22125"/>
    <cellStyle name="40% - Accent2 4 3 2 3 2 6" xfId="22126"/>
    <cellStyle name="40% - Accent2 4 3 2 3 3" xfId="22127"/>
    <cellStyle name="40% - Accent2 4 3 2 3 3 2" xfId="22128"/>
    <cellStyle name="40% - Accent2 4 3 2 3 3 2 2" xfId="22129"/>
    <cellStyle name="40% - Accent2 4 3 2 3 3 2 3" xfId="22130"/>
    <cellStyle name="40% - Accent2 4 3 2 3 3 3" xfId="22131"/>
    <cellStyle name="40% - Accent2 4 3 2 3 3 3 2" xfId="22132"/>
    <cellStyle name="40% - Accent2 4 3 2 3 3 3 3" xfId="22133"/>
    <cellStyle name="40% - Accent2 4 3 2 3 3 4" xfId="22134"/>
    <cellStyle name="40% - Accent2 4 3 2 3 3 4 2" xfId="22135"/>
    <cellStyle name="40% - Accent2 4 3 2 3 3 5" xfId="22136"/>
    <cellStyle name="40% - Accent2 4 3 2 3 3 6" xfId="22137"/>
    <cellStyle name="40% - Accent2 4 3 2 3 4" xfId="22138"/>
    <cellStyle name="40% - Accent2 4 3 2 3 4 2" xfId="22139"/>
    <cellStyle name="40% - Accent2 4 3 2 3 4 2 2" xfId="22140"/>
    <cellStyle name="40% - Accent2 4 3 2 3 4 2 3" xfId="22141"/>
    <cellStyle name="40% - Accent2 4 3 2 3 4 3" xfId="22142"/>
    <cellStyle name="40% - Accent2 4 3 2 3 4 3 2" xfId="22143"/>
    <cellStyle name="40% - Accent2 4 3 2 3 4 4" xfId="22144"/>
    <cellStyle name="40% - Accent2 4 3 2 3 4 5" xfId="22145"/>
    <cellStyle name="40% - Accent2 4 3 2 3 5" xfId="22146"/>
    <cellStyle name="40% - Accent2 4 3 2 3 5 2" xfId="22147"/>
    <cellStyle name="40% - Accent2 4 3 2 3 5 3" xfId="22148"/>
    <cellStyle name="40% - Accent2 4 3 2 3 6" xfId="22149"/>
    <cellStyle name="40% - Accent2 4 3 2 3 6 2" xfId="22150"/>
    <cellStyle name="40% - Accent2 4 3 2 3 6 3" xfId="22151"/>
    <cellStyle name="40% - Accent2 4 3 2 3 7" xfId="22152"/>
    <cellStyle name="40% - Accent2 4 3 2 3 7 2" xfId="22153"/>
    <cellStyle name="40% - Accent2 4 3 2 3 8" xfId="22154"/>
    <cellStyle name="40% - Accent2 4 3 2 3 9" xfId="22155"/>
    <cellStyle name="40% - Accent2 4 3 2 4" xfId="22156"/>
    <cellStyle name="40% - Accent2 4 3 2 4 2" xfId="22157"/>
    <cellStyle name="40% - Accent2 4 3 2 4 2 2" xfId="22158"/>
    <cellStyle name="40% - Accent2 4 3 2 4 2 2 2" xfId="22159"/>
    <cellStyle name="40% - Accent2 4 3 2 4 2 2 3" xfId="22160"/>
    <cellStyle name="40% - Accent2 4 3 2 4 2 3" xfId="22161"/>
    <cellStyle name="40% - Accent2 4 3 2 4 2 3 2" xfId="22162"/>
    <cellStyle name="40% - Accent2 4 3 2 4 2 3 3" xfId="22163"/>
    <cellStyle name="40% - Accent2 4 3 2 4 2 4" xfId="22164"/>
    <cellStyle name="40% - Accent2 4 3 2 4 2 4 2" xfId="22165"/>
    <cellStyle name="40% - Accent2 4 3 2 4 2 5" xfId="22166"/>
    <cellStyle name="40% - Accent2 4 3 2 4 2 6" xfId="22167"/>
    <cellStyle name="40% - Accent2 4 3 2 4 3" xfId="22168"/>
    <cellStyle name="40% - Accent2 4 3 2 4 3 2" xfId="22169"/>
    <cellStyle name="40% - Accent2 4 3 2 4 3 2 2" xfId="22170"/>
    <cellStyle name="40% - Accent2 4 3 2 4 3 2 3" xfId="22171"/>
    <cellStyle name="40% - Accent2 4 3 2 4 3 3" xfId="22172"/>
    <cellStyle name="40% - Accent2 4 3 2 4 3 3 2" xfId="22173"/>
    <cellStyle name="40% - Accent2 4 3 2 4 3 3 3" xfId="22174"/>
    <cellStyle name="40% - Accent2 4 3 2 4 3 4" xfId="22175"/>
    <cellStyle name="40% - Accent2 4 3 2 4 3 4 2" xfId="22176"/>
    <cellStyle name="40% - Accent2 4 3 2 4 3 5" xfId="22177"/>
    <cellStyle name="40% - Accent2 4 3 2 4 3 6" xfId="22178"/>
    <cellStyle name="40% - Accent2 4 3 2 4 4" xfId="22179"/>
    <cellStyle name="40% - Accent2 4 3 2 4 4 2" xfId="22180"/>
    <cellStyle name="40% - Accent2 4 3 2 4 4 2 2" xfId="22181"/>
    <cellStyle name="40% - Accent2 4 3 2 4 4 2 3" xfId="22182"/>
    <cellStyle name="40% - Accent2 4 3 2 4 4 3" xfId="22183"/>
    <cellStyle name="40% - Accent2 4 3 2 4 4 3 2" xfId="22184"/>
    <cellStyle name="40% - Accent2 4 3 2 4 4 4" xfId="22185"/>
    <cellStyle name="40% - Accent2 4 3 2 4 4 5" xfId="22186"/>
    <cellStyle name="40% - Accent2 4 3 2 4 5" xfId="22187"/>
    <cellStyle name="40% - Accent2 4 3 2 4 5 2" xfId="22188"/>
    <cellStyle name="40% - Accent2 4 3 2 4 5 3" xfId="22189"/>
    <cellStyle name="40% - Accent2 4 3 2 4 6" xfId="22190"/>
    <cellStyle name="40% - Accent2 4 3 2 4 6 2" xfId="22191"/>
    <cellStyle name="40% - Accent2 4 3 2 4 6 3" xfId="22192"/>
    <cellStyle name="40% - Accent2 4 3 2 4 7" xfId="22193"/>
    <cellStyle name="40% - Accent2 4 3 2 4 7 2" xfId="22194"/>
    <cellStyle name="40% - Accent2 4 3 2 4 8" xfId="22195"/>
    <cellStyle name="40% - Accent2 4 3 2 4 9" xfId="22196"/>
    <cellStyle name="40% - Accent2 4 3 2 5" xfId="22197"/>
    <cellStyle name="40% - Accent2 4 3 2 5 2" xfId="22198"/>
    <cellStyle name="40% - Accent2 4 3 2 5 2 2" xfId="22199"/>
    <cellStyle name="40% - Accent2 4 3 2 5 2 3" xfId="22200"/>
    <cellStyle name="40% - Accent2 4 3 2 5 3" xfId="22201"/>
    <cellStyle name="40% - Accent2 4 3 2 5 3 2" xfId="22202"/>
    <cellStyle name="40% - Accent2 4 3 2 5 3 3" xfId="22203"/>
    <cellStyle name="40% - Accent2 4 3 2 5 4" xfId="22204"/>
    <cellStyle name="40% - Accent2 4 3 2 5 4 2" xfId="22205"/>
    <cellStyle name="40% - Accent2 4 3 2 5 5" xfId="22206"/>
    <cellStyle name="40% - Accent2 4 3 2 5 6" xfId="22207"/>
    <cellStyle name="40% - Accent2 4 3 2 6" xfId="22208"/>
    <cellStyle name="40% - Accent2 4 3 2 6 2" xfId="22209"/>
    <cellStyle name="40% - Accent2 4 3 2 6 2 2" xfId="22210"/>
    <cellStyle name="40% - Accent2 4 3 2 6 2 3" xfId="22211"/>
    <cellStyle name="40% - Accent2 4 3 2 6 3" xfId="22212"/>
    <cellStyle name="40% - Accent2 4 3 2 6 3 2" xfId="22213"/>
    <cellStyle name="40% - Accent2 4 3 2 6 3 3" xfId="22214"/>
    <cellStyle name="40% - Accent2 4 3 2 6 4" xfId="22215"/>
    <cellStyle name="40% - Accent2 4 3 2 6 4 2" xfId="22216"/>
    <cellStyle name="40% - Accent2 4 3 2 6 5" xfId="22217"/>
    <cellStyle name="40% - Accent2 4 3 2 6 6" xfId="22218"/>
    <cellStyle name="40% - Accent2 4 3 2 7" xfId="22219"/>
    <cellStyle name="40% - Accent2 4 3 2 7 2" xfId="22220"/>
    <cellStyle name="40% - Accent2 4 3 2 7 2 2" xfId="22221"/>
    <cellStyle name="40% - Accent2 4 3 2 7 2 3" xfId="22222"/>
    <cellStyle name="40% - Accent2 4 3 2 7 3" xfId="22223"/>
    <cellStyle name="40% - Accent2 4 3 2 7 3 2" xfId="22224"/>
    <cellStyle name="40% - Accent2 4 3 2 7 4" xfId="22225"/>
    <cellStyle name="40% - Accent2 4 3 2 7 5" xfId="22226"/>
    <cellStyle name="40% - Accent2 4 3 2 8" xfId="22227"/>
    <cellStyle name="40% - Accent2 4 3 2 8 2" xfId="22228"/>
    <cellStyle name="40% - Accent2 4 3 2 8 3" xfId="22229"/>
    <cellStyle name="40% - Accent2 4 3 2 9" xfId="22230"/>
    <cellStyle name="40% - Accent2 4 3 2 9 2" xfId="22231"/>
    <cellStyle name="40% - Accent2 4 3 2 9 3" xfId="22232"/>
    <cellStyle name="40% - Accent2 4 3 3" xfId="1801"/>
    <cellStyle name="40% - Accent2 4 3 3 10" xfId="22233"/>
    <cellStyle name="40% - Accent2 4 3 3 2" xfId="1802"/>
    <cellStyle name="40% - Accent2 4 3 3 2 2" xfId="22234"/>
    <cellStyle name="40% - Accent2 4 3 3 2 2 2" xfId="22235"/>
    <cellStyle name="40% - Accent2 4 3 3 2 2 2 2" xfId="22236"/>
    <cellStyle name="40% - Accent2 4 3 3 2 2 2 3" xfId="22237"/>
    <cellStyle name="40% - Accent2 4 3 3 2 2 3" xfId="22238"/>
    <cellStyle name="40% - Accent2 4 3 3 2 2 3 2" xfId="22239"/>
    <cellStyle name="40% - Accent2 4 3 3 2 2 3 3" xfId="22240"/>
    <cellStyle name="40% - Accent2 4 3 3 2 2 4" xfId="22241"/>
    <cellStyle name="40% - Accent2 4 3 3 2 2 4 2" xfId="22242"/>
    <cellStyle name="40% - Accent2 4 3 3 2 2 5" xfId="22243"/>
    <cellStyle name="40% - Accent2 4 3 3 2 2 6" xfId="22244"/>
    <cellStyle name="40% - Accent2 4 3 3 2 3" xfId="22245"/>
    <cellStyle name="40% - Accent2 4 3 3 2 3 2" xfId="22246"/>
    <cellStyle name="40% - Accent2 4 3 3 2 3 2 2" xfId="22247"/>
    <cellStyle name="40% - Accent2 4 3 3 2 3 2 3" xfId="22248"/>
    <cellStyle name="40% - Accent2 4 3 3 2 3 3" xfId="22249"/>
    <cellStyle name="40% - Accent2 4 3 3 2 3 3 2" xfId="22250"/>
    <cellStyle name="40% - Accent2 4 3 3 2 3 3 3" xfId="22251"/>
    <cellStyle name="40% - Accent2 4 3 3 2 3 4" xfId="22252"/>
    <cellStyle name="40% - Accent2 4 3 3 2 3 4 2" xfId="22253"/>
    <cellStyle name="40% - Accent2 4 3 3 2 3 5" xfId="22254"/>
    <cellStyle name="40% - Accent2 4 3 3 2 3 6" xfId="22255"/>
    <cellStyle name="40% - Accent2 4 3 3 2 4" xfId="22256"/>
    <cellStyle name="40% - Accent2 4 3 3 2 4 2" xfId="22257"/>
    <cellStyle name="40% - Accent2 4 3 3 2 4 2 2" xfId="22258"/>
    <cellStyle name="40% - Accent2 4 3 3 2 4 2 3" xfId="22259"/>
    <cellStyle name="40% - Accent2 4 3 3 2 4 3" xfId="22260"/>
    <cellStyle name="40% - Accent2 4 3 3 2 4 3 2" xfId="22261"/>
    <cellStyle name="40% - Accent2 4 3 3 2 4 4" xfId="22262"/>
    <cellStyle name="40% - Accent2 4 3 3 2 4 5" xfId="22263"/>
    <cellStyle name="40% - Accent2 4 3 3 2 5" xfId="22264"/>
    <cellStyle name="40% - Accent2 4 3 3 2 5 2" xfId="22265"/>
    <cellStyle name="40% - Accent2 4 3 3 2 5 3" xfId="22266"/>
    <cellStyle name="40% - Accent2 4 3 3 2 6" xfId="22267"/>
    <cellStyle name="40% - Accent2 4 3 3 2 6 2" xfId="22268"/>
    <cellStyle name="40% - Accent2 4 3 3 2 6 3" xfId="22269"/>
    <cellStyle name="40% - Accent2 4 3 3 2 7" xfId="22270"/>
    <cellStyle name="40% - Accent2 4 3 3 2 7 2" xfId="22271"/>
    <cellStyle name="40% - Accent2 4 3 3 2 8" xfId="22272"/>
    <cellStyle name="40% - Accent2 4 3 3 2 9" xfId="22273"/>
    <cellStyle name="40% - Accent2 4 3 3 3" xfId="22274"/>
    <cellStyle name="40% - Accent2 4 3 3 3 2" xfId="22275"/>
    <cellStyle name="40% - Accent2 4 3 3 3 2 2" xfId="22276"/>
    <cellStyle name="40% - Accent2 4 3 3 3 2 3" xfId="22277"/>
    <cellStyle name="40% - Accent2 4 3 3 3 3" xfId="22278"/>
    <cellStyle name="40% - Accent2 4 3 3 3 3 2" xfId="22279"/>
    <cellStyle name="40% - Accent2 4 3 3 3 3 3" xfId="22280"/>
    <cellStyle name="40% - Accent2 4 3 3 3 4" xfId="22281"/>
    <cellStyle name="40% - Accent2 4 3 3 3 4 2" xfId="22282"/>
    <cellStyle name="40% - Accent2 4 3 3 3 5" xfId="22283"/>
    <cellStyle name="40% - Accent2 4 3 3 3 6" xfId="22284"/>
    <cellStyle name="40% - Accent2 4 3 3 4" xfId="22285"/>
    <cellStyle name="40% - Accent2 4 3 3 4 2" xfId="22286"/>
    <cellStyle name="40% - Accent2 4 3 3 4 2 2" xfId="22287"/>
    <cellStyle name="40% - Accent2 4 3 3 4 2 3" xfId="22288"/>
    <cellStyle name="40% - Accent2 4 3 3 4 3" xfId="22289"/>
    <cellStyle name="40% - Accent2 4 3 3 4 3 2" xfId="22290"/>
    <cellStyle name="40% - Accent2 4 3 3 4 3 3" xfId="22291"/>
    <cellStyle name="40% - Accent2 4 3 3 4 4" xfId="22292"/>
    <cellStyle name="40% - Accent2 4 3 3 4 4 2" xfId="22293"/>
    <cellStyle name="40% - Accent2 4 3 3 4 5" xfId="22294"/>
    <cellStyle name="40% - Accent2 4 3 3 4 6" xfId="22295"/>
    <cellStyle name="40% - Accent2 4 3 3 5" xfId="22296"/>
    <cellStyle name="40% - Accent2 4 3 3 5 2" xfId="22297"/>
    <cellStyle name="40% - Accent2 4 3 3 5 2 2" xfId="22298"/>
    <cellStyle name="40% - Accent2 4 3 3 5 2 3" xfId="22299"/>
    <cellStyle name="40% - Accent2 4 3 3 5 3" xfId="22300"/>
    <cellStyle name="40% - Accent2 4 3 3 5 3 2" xfId="22301"/>
    <cellStyle name="40% - Accent2 4 3 3 5 4" xfId="22302"/>
    <cellStyle name="40% - Accent2 4 3 3 5 5" xfId="22303"/>
    <cellStyle name="40% - Accent2 4 3 3 6" xfId="22304"/>
    <cellStyle name="40% - Accent2 4 3 3 6 2" xfId="22305"/>
    <cellStyle name="40% - Accent2 4 3 3 6 3" xfId="22306"/>
    <cellStyle name="40% - Accent2 4 3 3 7" xfId="22307"/>
    <cellStyle name="40% - Accent2 4 3 3 7 2" xfId="22308"/>
    <cellStyle name="40% - Accent2 4 3 3 7 3" xfId="22309"/>
    <cellStyle name="40% - Accent2 4 3 3 8" xfId="22310"/>
    <cellStyle name="40% - Accent2 4 3 3 8 2" xfId="22311"/>
    <cellStyle name="40% - Accent2 4 3 3 9" xfId="22312"/>
    <cellStyle name="40% - Accent2 4 3 4" xfId="1803"/>
    <cellStyle name="40% - Accent2 4 3 4 2" xfId="22313"/>
    <cellStyle name="40% - Accent2 4 3 4 2 2" xfId="22314"/>
    <cellStyle name="40% - Accent2 4 3 4 2 2 2" xfId="22315"/>
    <cellStyle name="40% - Accent2 4 3 4 2 2 3" xfId="22316"/>
    <cellStyle name="40% - Accent2 4 3 4 2 3" xfId="22317"/>
    <cellStyle name="40% - Accent2 4 3 4 2 3 2" xfId="22318"/>
    <cellStyle name="40% - Accent2 4 3 4 2 3 3" xfId="22319"/>
    <cellStyle name="40% - Accent2 4 3 4 2 4" xfId="22320"/>
    <cellStyle name="40% - Accent2 4 3 4 2 4 2" xfId="22321"/>
    <cellStyle name="40% - Accent2 4 3 4 2 5" xfId="22322"/>
    <cellStyle name="40% - Accent2 4 3 4 2 6" xfId="22323"/>
    <cellStyle name="40% - Accent2 4 3 4 3" xfId="22324"/>
    <cellStyle name="40% - Accent2 4 3 4 3 2" xfId="22325"/>
    <cellStyle name="40% - Accent2 4 3 4 3 2 2" xfId="22326"/>
    <cellStyle name="40% - Accent2 4 3 4 3 2 3" xfId="22327"/>
    <cellStyle name="40% - Accent2 4 3 4 3 3" xfId="22328"/>
    <cellStyle name="40% - Accent2 4 3 4 3 3 2" xfId="22329"/>
    <cellStyle name="40% - Accent2 4 3 4 3 3 3" xfId="22330"/>
    <cellStyle name="40% - Accent2 4 3 4 3 4" xfId="22331"/>
    <cellStyle name="40% - Accent2 4 3 4 3 4 2" xfId="22332"/>
    <cellStyle name="40% - Accent2 4 3 4 3 5" xfId="22333"/>
    <cellStyle name="40% - Accent2 4 3 4 3 6" xfId="22334"/>
    <cellStyle name="40% - Accent2 4 3 4 4" xfId="22335"/>
    <cellStyle name="40% - Accent2 4 3 4 4 2" xfId="22336"/>
    <cellStyle name="40% - Accent2 4 3 4 4 2 2" xfId="22337"/>
    <cellStyle name="40% - Accent2 4 3 4 4 2 3" xfId="22338"/>
    <cellStyle name="40% - Accent2 4 3 4 4 3" xfId="22339"/>
    <cellStyle name="40% - Accent2 4 3 4 4 3 2" xfId="22340"/>
    <cellStyle name="40% - Accent2 4 3 4 4 4" xfId="22341"/>
    <cellStyle name="40% - Accent2 4 3 4 4 5" xfId="22342"/>
    <cellStyle name="40% - Accent2 4 3 4 5" xfId="22343"/>
    <cellStyle name="40% - Accent2 4 3 4 5 2" xfId="22344"/>
    <cellStyle name="40% - Accent2 4 3 4 5 3" xfId="22345"/>
    <cellStyle name="40% - Accent2 4 3 4 6" xfId="22346"/>
    <cellStyle name="40% - Accent2 4 3 4 6 2" xfId="22347"/>
    <cellStyle name="40% - Accent2 4 3 4 6 3" xfId="22348"/>
    <cellStyle name="40% - Accent2 4 3 4 7" xfId="22349"/>
    <cellStyle name="40% - Accent2 4 3 4 7 2" xfId="22350"/>
    <cellStyle name="40% - Accent2 4 3 4 8" xfId="22351"/>
    <cellStyle name="40% - Accent2 4 3 4 9" xfId="22352"/>
    <cellStyle name="40% - Accent2 4 3 5" xfId="22353"/>
    <cellStyle name="40% - Accent2 4 3 5 2" xfId="22354"/>
    <cellStyle name="40% - Accent2 4 3 5 2 2" xfId="22355"/>
    <cellStyle name="40% - Accent2 4 3 5 2 2 2" xfId="22356"/>
    <cellStyle name="40% - Accent2 4 3 5 2 2 3" xfId="22357"/>
    <cellStyle name="40% - Accent2 4 3 5 2 3" xfId="22358"/>
    <cellStyle name="40% - Accent2 4 3 5 2 3 2" xfId="22359"/>
    <cellStyle name="40% - Accent2 4 3 5 2 3 3" xfId="22360"/>
    <cellStyle name="40% - Accent2 4 3 5 2 4" xfId="22361"/>
    <cellStyle name="40% - Accent2 4 3 5 2 4 2" xfId="22362"/>
    <cellStyle name="40% - Accent2 4 3 5 2 5" xfId="22363"/>
    <cellStyle name="40% - Accent2 4 3 5 2 6" xfId="22364"/>
    <cellStyle name="40% - Accent2 4 3 5 3" xfId="22365"/>
    <cellStyle name="40% - Accent2 4 3 5 3 2" xfId="22366"/>
    <cellStyle name="40% - Accent2 4 3 5 3 2 2" xfId="22367"/>
    <cellStyle name="40% - Accent2 4 3 5 3 2 3" xfId="22368"/>
    <cellStyle name="40% - Accent2 4 3 5 3 3" xfId="22369"/>
    <cellStyle name="40% - Accent2 4 3 5 3 3 2" xfId="22370"/>
    <cellStyle name="40% - Accent2 4 3 5 3 3 3" xfId="22371"/>
    <cellStyle name="40% - Accent2 4 3 5 3 4" xfId="22372"/>
    <cellStyle name="40% - Accent2 4 3 5 3 4 2" xfId="22373"/>
    <cellStyle name="40% - Accent2 4 3 5 3 5" xfId="22374"/>
    <cellStyle name="40% - Accent2 4 3 5 3 6" xfId="22375"/>
    <cellStyle name="40% - Accent2 4 3 5 4" xfId="22376"/>
    <cellStyle name="40% - Accent2 4 3 5 4 2" xfId="22377"/>
    <cellStyle name="40% - Accent2 4 3 5 4 2 2" xfId="22378"/>
    <cellStyle name="40% - Accent2 4 3 5 4 2 3" xfId="22379"/>
    <cellStyle name="40% - Accent2 4 3 5 4 3" xfId="22380"/>
    <cellStyle name="40% - Accent2 4 3 5 4 3 2" xfId="22381"/>
    <cellStyle name="40% - Accent2 4 3 5 4 4" xfId="22382"/>
    <cellStyle name="40% - Accent2 4 3 5 4 5" xfId="22383"/>
    <cellStyle name="40% - Accent2 4 3 5 5" xfId="22384"/>
    <cellStyle name="40% - Accent2 4 3 5 5 2" xfId="22385"/>
    <cellStyle name="40% - Accent2 4 3 5 5 3" xfId="22386"/>
    <cellStyle name="40% - Accent2 4 3 5 6" xfId="22387"/>
    <cellStyle name="40% - Accent2 4 3 5 6 2" xfId="22388"/>
    <cellStyle name="40% - Accent2 4 3 5 6 3" xfId="22389"/>
    <cellStyle name="40% - Accent2 4 3 5 7" xfId="22390"/>
    <cellStyle name="40% - Accent2 4 3 5 7 2" xfId="22391"/>
    <cellStyle name="40% - Accent2 4 3 5 8" xfId="22392"/>
    <cellStyle name="40% - Accent2 4 3 5 9" xfId="22393"/>
    <cellStyle name="40% - Accent2 4 3 6" xfId="22394"/>
    <cellStyle name="40% - Accent2 4 3 6 2" xfId="22395"/>
    <cellStyle name="40% - Accent2 4 3 6 2 2" xfId="22396"/>
    <cellStyle name="40% - Accent2 4 3 6 2 3" xfId="22397"/>
    <cellStyle name="40% - Accent2 4 3 6 3" xfId="22398"/>
    <cellStyle name="40% - Accent2 4 3 6 3 2" xfId="22399"/>
    <cellStyle name="40% - Accent2 4 3 6 3 3" xfId="22400"/>
    <cellStyle name="40% - Accent2 4 3 6 4" xfId="22401"/>
    <cellStyle name="40% - Accent2 4 3 6 4 2" xfId="22402"/>
    <cellStyle name="40% - Accent2 4 3 6 5" xfId="22403"/>
    <cellStyle name="40% - Accent2 4 3 6 6" xfId="22404"/>
    <cellStyle name="40% - Accent2 4 3 7" xfId="22405"/>
    <cellStyle name="40% - Accent2 4 3 7 2" xfId="22406"/>
    <cellStyle name="40% - Accent2 4 3 7 2 2" xfId="22407"/>
    <cellStyle name="40% - Accent2 4 3 7 2 3" xfId="22408"/>
    <cellStyle name="40% - Accent2 4 3 7 3" xfId="22409"/>
    <cellStyle name="40% - Accent2 4 3 7 3 2" xfId="22410"/>
    <cellStyle name="40% - Accent2 4 3 7 3 3" xfId="22411"/>
    <cellStyle name="40% - Accent2 4 3 7 4" xfId="22412"/>
    <cellStyle name="40% - Accent2 4 3 7 4 2" xfId="22413"/>
    <cellStyle name="40% - Accent2 4 3 7 5" xfId="22414"/>
    <cellStyle name="40% - Accent2 4 3 7 6" xfId="22415"/>
    <cellStyle name="40% - Accent2 4 3 8" xfId="22416"/>
    <cellStyle name="40% - Accent2 4 3 8 2" xfId="22417"/>
    <cellStyle name="40% - Accent2 4 3 8 2 2" xfId="22418"/>
    <cellStyle name="40% - Accent2 4 3 8 2 3" xfId="22419"/>
    <cellStyle name="40% - Accent2 4 3 8 3" xfId="22420"/>
    <cellStyle name="40% - Accent2 4 3 8 3 2" xfId="22421"/>
    <cellStyle name="40% - Accent2 4 3 8 4" xfId="22422"/>
    <cellStyle name="40% - Accent2 4 3 8 5" xfId="22423"/>
    <cellStyle name="40% - Accent2 4 3 9" xfId="22424"/>
    <cellStyle name="40% - Accent2 4 3 9 2" xfId="22425"/>
    <cellStyle name="40% - Accent2 4 3 9 3" xfId="22426"/>
    <cellStyle name="40% - Accent2 4 4" xfId="1804"/>
    <cellStyle name="40% - Accent2 4 4 10" xfId="22427"/>
    <cellStyle name="40% - Accent2 4 4 10 2" xfId="22428"/>
    <cellStyle name="40% - Accent2 4 4 11" xfId="22429"/>
    <cellStyle name="40% - Accent2 4 4 12" xfId="22430"/>
    <cellStyle name="40% - Accent2 4 4 2" xfId="1805"/>
    <cellStyle name="40% - Accent2 4 4 2 10" xfId="22431"/>
    <cellStyle name="40% - Accent2 4 4 2 2" xfId="1806"/>
    <cellStyle name="40% - Accent2 4 4 2 2 2" xfId="22432"/>
    <cellStyle name="40% - Accent2 4 4 2 2 2 2" xfId="22433"/>
    <cellStyle name="40% - Accent2 4 4 2 2 2 2 2" xfId="22434"/>
    <cellStyle name="40% - Accent2 4 4 2 2 2 2 3" xfId="22435"/>
    <cellStyle name="40% - Accent2 4 4 2 2 2 3" xfId="22436"/>
    <cellStyle name="40% - Accent2 4 4 2 2 2 3 2" xfId="22437"/>
    <cellStyle name="40% - Accent2 4 4 2 2 2 3 3" xfId="22438"/>
    <cellStyle name="40% - Accent2 4 4 2 2 2 4" xfId="22439"/>
    <cellStyle name="40% - Accent2 4 4 2 2 2 4 2" xfId="22440"/>
    <cellStyle name="40% - Accent2 4 4 2 2 2 5" xfId="22441"/>
    <cellStyle name="40% - Accent2 4 4 2 2 2 6" xfId="22442"/>
    <cellStyle name="40% - Accent2 4 4 2 2 3" xfId="22443"/>
    <cellStyle name="40% - Accent2 4 4 2 2 3 2" xfId="22444"/>
    <cellStyle name="40% - Accent2 4 4 2 2 3 2 2" xfId="22445"/>
    <cellStyle name="40% - Accent2 4 4 2 2 3 2 3" xfId="22446"/>
    <cellStyle name="40% - Accent2 4 4 2 2 3 3" xfId="22447"/>
    <cellStyle name="40% - Accent2 4 4 2 2 3 3 2" xfId="22448"/>
    <cellStyle name="40% - Accent2 4 4 2 2 3 3 3" xfId="22449"/>
    <cellStyle name="40% - Accent2 4 4 2 2 3 4" xfId="22450"/>
    <cellStyle name="40% - Accent2 4 4 2 2 3 4 2" xfId="22451"/>
    <cellStyle name="40% - Accent2 4 4 2 2 3 5" xfId="22452"/>
    <cellStyle name="40% - Accent2 4 4 2 2 3 6" xfId="22453"/>
    <cellStyle name="40% - Accent2 4 4 2 2 4" xfId="22454"/>
    <cellStyle name="40% - Accent2 4 4 2 2 4 2" xfId="22455"/>
    <cellStyle name="40% - Accent2 4 4 2 2 4 2 2" xfId="22456"/>
    <cellStyle name="40% - Accent2 4 4 2 2 4 2 3" xfId="22457"/>
    <cellStyle name="40% - Accent2 4 4 2 2 4 3" xfId="22458"/>
    <cellStyle name="40% - Accent2 4 4 2 2 4 3 2" xfId="22459"/>
    <cellStyle name="40% - Accent2 4 4 2 2 4 4" xfId="22460"/>
    <cellStyle name="40% - Accent2 4 4 2 2 4 5" xfId="22461"/>
    <cellStyle name="40% - Accent2 4 4 2 2 5" xfId="22462"/>
    <cellStyle name="40% - Accent2 4 4 2 2 5 2" xfId="22463"/>
    <cellStyle name="40% - Accent2 4 4 2 2 5 3" xfId="22464"/>
    <cellStyle name="40% - Accent2 4 4 2 2 6" xfId="22465"/>
    <cellStyle name="40% - Accent2 4 4 2 2 6 2" xfId="22466"/>
    <cellStyle name="40% - Accent2 4 4 2 2 6 3" xfId="22467"/>
    <cellStyle name="40% - Accent2 4 4 2 2 7" xfId="22468"/>
    <cellStyle name="40% - Accent2 4 4 2 2 7 2" xfId="22469"/>
    <cellStyle name="40% - Accent2 4 4 2 2 8" xfId="22470"/>
    <cellStyle name="40% - Accent2 4 4 2 2 9" xfId="22471"/>
    <cellStyle name="40% - Accent2 4 4 2 3" xfId="22472"/>
    <cellStyle name="40% - Accent2 4 4 2 3 2" xfId="22473"/>
    <cellStyle name="40% - Accent2 4 4 2 3 2 2" xfId="22474"/>
    <cellStyle name="40% - Accent2 4 4 2 3 2 3" xfId="22475"/>
    <cellStyle name="40% - Accent2 4 4 2 3 3" xfId="22476"/>
    <cellStyle name="40% - Accent2 4 4 2 3 3 2" xfId="22477"/>
    <cellStyle name="40% - Accent2 4 4 2 3 3 3" xfId="22478"/>
    <cellStyle name="40% - Accent2 4 4 2 3 4" xfId="22479"/>
    <cellStyle name="40% - Accent2 4 4 2 3 4 2" xfId="22480"/>
    <cellStyle name="40% - Accent2 4 4 2 3 5" xfId="22481"/>
    <cellStyle name="40% - Accent2 4 4 2 3 6" xfId="22482"/>
    <cellStyle name="40% - Accent2 4 4 2 4" xfId="22483"/>
    <cellStyle name="40% - Accent2 4 4 2 4 2" xfId="22484"/>
    <cellStyle name="40% - Accent2 4 4 2 4 2 2" xfId="22485"/>
    <cellStyle name="40% - Accent2 4 4 2 4 2 3" xfId="22486"/>
    <cellStyle name="40% - Accent2 4 4 2 4 3" xfId="22487"/>
    <cellStyle name="40% - Accent2 4 4 2 4 3 2" xfId="22488"/>
    <cellStyle name="40% - Accent2 4 4 2 4 3 3" xfId="22489"/>
    <cellStyle name="40% - Accent2 4 4 2 4 4" xfId="22490"/>
    <cellStyle name="40% - Accent2 4 4 2 4 4 2" xfId="22491"/>
    <cellStyle name="40% - Accent2 4 4 2 4 5" xfId="22492"/>
    <cellStyle name="40% - Accent2 4 4 2 4 6" xfId="22493"/>
    <cellStyle name="40% - Accent2 4 4 2 5" xfId="22494"/>
    <cellStyle name="40% - Accent2 4 4 2 5 2" xfId="22495"/>
    <cellStyle name="40% - Accent2 4 4 2 5 2 2" xfId="22496"/>
    <cellStyle name="40% - Accent2 4 4 2 5 2 3" xfId="22497"/>
    <cellStyle name="40% - Accent2 4 4 2 5 3" xfId="22498"/>
    <cellStyle name="40% - Accent2 4 4 2 5 3 2" xfId="22499"/>
    <cellStyle name="40% - Accent2 4 4 2 5 4" xfId="22500"/>
    <cellStyle name="40% - Accent2 4 4 2 5 5" xfId="22501"/>
    <cellStyle name="40% - Accent2 4 4 2 6" xfId="22502"/>
    <cellStyle name="40% - Accent2 4 4 2 6 2" xfId="22503"/>
    <cellStyle name="40% - Accent2 4 4 2 6 3" xfId="22504"/>
    <cellStyle name="40% - Accent2 4 4 2 7" xfId="22505"/>
    <cellStyle name="40% - Accent2 4 4 2 7 2" xfId="22506"/>
    <cellStyle name="40% - Accent2 4 4 2 7 3" xfId="22507"/>
    <cellStyle name="40% - Accent2 4 4 2 8" xfId="22508"/>
    <cellStyle name="40% - Accent2 4 4 2 8 2" xfId="22509"/>
    <cellStyle name="40% - Accent2 4 4 2 9" xfId="22510"/>
    <cellStyle name="40% - Accent2 4 4 3" xfId="1807"/>
    <cellStyle name="40% - Accent2 4 4 3 2" xfId="22511"/>
    <cellStyle name="40% - Accent2 4 4 3 2 2" xfId="22512"/>
    <cellStyle name="40% - Accent2 4 4 3 2 2 2" xfId="22513"/>
    <cellStyle name="40% - Accent2 4 4 3 2 2 3" xfId="22514"/>
    <cellStyle name="40% - Accent2 4 4 3 2 3" xfId="22515"/>
    <cellStyle name="40% - Accent2 4 4 3 2 3 2" xfId="22516"/>
    <cellStyle name="40% - Accent2 4 4 3 2 3 3" xfId="22517"/>
    <cellStyle name="40% - Accent2 4 4 3 2 4" xfId="22518"/>
    <cellStyle name="40% - Accent2 4 4 3 2 4 2" xfId="22519"/>
    <cellStyle name="40% - Accent2 4 4 3 2 5" xfId="22520"/>
    <cellStyle name="40% - Accent2 4 4 3 2 6" xfId="22521"/>
    <cellStyle name="40% - Accent2 4 4 3 3" xfId="22522"/>
    <cellStyle name="40% - Accent2 4 4 3 3 2" xfId="22523"/>
    <cellStyle name="40% - Accent2 4 4 3 3 2 2" xfId="22524"/>
    <cellStyle name="40% - Accent2 4 4 3 3 2 3" xfId="22525"/>
    <cellStyle name="40% - Accent2 4 4 3 3 3" xfId="22526"/>
    <cellStyle name="40% - Accent2 4 4 3 3 3 2" xfId="22527"/>
    <cellStyle name="40% - Accent2 4 4 3 3 3 3" xfId="22528"/>
    <cellStyle name="40% - Accent2 4 4 3 3 4" xfId="22529"/>
    <cellStyle name="40% - Accent2 4 4 3 3 4 2" xfId="22530"/>
    <cellStyle name="40% - Accent2 4 4 3 3 5" xfId="22531"/>
    <cellStyle name="40% - Accent2 4 4 3 3 6" xfId="22532"/>
    <cellStyle name="40% - Accent2 4 4 3 4" xfId="22533"/>
    <cellStyle name="40% - Accent2 4 4 3 4 2" xfId="22534"/>
    <cellStyle name="40% - Accent2 4 4 3 4 2 2" xfId="22535"/>
    <cellStyle name="40% - Accent2 4 4 3 4 2 3" xfId="22536"/>
    <cellStyle name="40% - Accent2 4 4 3 4 3" xfId="22537"/>
    <cellStyle name="40% - Accent2 4 4 3 4 3 2" xfId="22538"/>
    <cellStyle name="40% - Accent2 4 4 3 4 4" xfId="22539"/>
    <cellStyle name="40% - Accent2 4 4 3 4 5" xfId="22540"/>
    <cellStyle name="40% - Accent2 4 4 3 5" xfId="22541"/>
    <cellStyle name="40% - Accent2 4 4 3 5 2" xfId="22542"/>
    <cellStyle name="40% - Accent2 4 4 3 5 3" xfId="22543"/>
    <cellStyle name="40% - Accent2 4 4 3 6" xfId="22544"/>
    <cellStyle name="40% - Accent2 4 4 3 6 2" xfId="22545"/>
    <cellStyle name="40% - Accent2 4 4 3 6 3" xfId="22546"/>
    <cellStyle name="40% - Accent2 4 4 3 7" xfId="22547"/>
    <cellStyle name="40% - Accent2 4 4 3 7 2" xfId="22548"/>
    <cellStyle name="40% - Accent2 4 4 3 8" xfId="22549"/>
    <cellStyle name="40% - Accent2 4 4 3 9" xfId="22550"/>
    <cellStyle name="40% - Accent2 4 4 4" xfId="22551"/>
    <cellStyle name="40% - Accent2 4 4 4 2" xfId="22552"/>
    <cellStyle name="40% - Accent2 4 4 4 2 2" xfId="22553"/>
    <cellStyle name="40% - Accent2 4 4 4 2 2 2" xfId="22554"/>
    <cellStyle name="40% - Accent2 4 4 4 2 2 3" xfId="22555"/>
    <cellStyle name="40% - Accent2 4 4 4 2 3" xfId="22556"/>
    <cellStyle name="40% - Accent2 4 4 4 2 3 2" xfId="22557"/>
    <cellStyle name="40% - Accent2 4 4 4 2 3 3" xfId="22558"/>
    <cellStyle name="40% - Accent2 4 4 4 2 4" xfId="22559"/>
    <cellStyle name="40% - Accent2 4 4 4 2 4 2" xfId="22560"/>
    <cellStyle name="40% - Accent2 4 4 4 2 5" xfId="22561"/>
    <cellStyle name="40% - Accent2 4 4 4 2 6" xfId="22562"/>
    <cellStyle name="40% - Accent2 4 4 4 3" xfId="22563"/>
    <cellStyle name="40% - Accent2 4 4 4 3 2" xfId="22564"/>
    <cellStyle name="40% - Accent2 4 4 4 3 2 2" xfId="22565"/>
    <cellStyle name="40% - Accent2 4 4 4 3 2 3" xfId="22566"/>
    <cellStyle name="40% - Accent2 4 4 4 3 3" xfId="22567"/>
    <cellStyle name="40% - Accent2 4 4 4 3 3 2" xfId="22568"/>
    <cellStyle name="40% - Accent2 4 4 4 3 3 3" xfId="22569"/>
    <cellStyle name="40% - Accent2 4 4 4 3 4" xfId="22570"/>
    <cellStyle name="40% - Accent2 4 4 4 3 4 2" xfId="22571"/>
    <cellStyle name="40% - Accent2 4 4 4 3 5" xfId="22572"/>
    <cellStyle name="40% - Accent2 4 4 4 3 6" xfId="22573"/>
    <cellStyle name="40% - Accent2 4 4 4 4" xfId="22574"/>
    <cellStyle name="40% - Accent2 4 4 4 4 2" xfId="22575"/>
    <cellStyle name="40% - Accent2 4 4 4 4 2 2" xfId="22576"/>
    <cellStyle name="40% - Accent2 4 4 4 4 2 3" xfId="22577"/>
    <cellStyle name="40% - Accent2 4 4 4 4 3" xfId="22578"/>
    <cellStyle name="40% - Accent2 4 4 4 4 3 2" xfId="22579"/>
    <cellStyle name="40% - Accent2 4 4 4 4 4" xfId="22580"/>
    <cellStyle name="40% - Accent2 4 4 4 4 5" xfId="22581"/>
    <cellStyle name="40% - Accent2 4 4 4 5" xfId="22582"/>
    <cellStyle name="40% - Accent2 4 4 4 5 2" xfId="22583"/>
    <cellStyle name="40% - Accent2 4 4 4 5 3" xfId="22584"/>
    <cellStyle name="40% - Accent2 4 4 4 6" xfId="22585"/>
    <cellStyle name="40% - Accent2 4 4 4 6 2" xfId="22586"/>
    <cellStyle name="40% - Accent2 4 4 4 6 3" xfId="22587"/>
    <cellStyle name="40% - Accent2 4 4 4 7" xfId="22588"/>
    <cellStyle name="40% - Accent2 4 4 4 7 2" xfId="22589"/>
    <cellStyle name="40% - Accent2 4 4 4 8" xfId="22590"/>
    <cellStyle name="40% - Accent2 4 4 4 9" xfId="22591"/>
    <cellStyle name="40% - Accent2 4 4 5" xfId="22592"/>
    <cellStyle name="40% - Accent2 4 4 5 2" xfId="22593"/>
    <cellStyle name="40% - Accent2 4 4 5 2 2" xfId="22594"/>
    <cellStyle name="40% - Accent2 4 4 5 2 3" xfId="22595"/>
    <cellStyle name="40% - Accent2 4 4 5 3" xfId="22596"/>
    <cellStyle name="40% - Accent2 4 4 5 3 2" xfId="22597"/>
    <cellStyle name="40% - Accent2 4 4 5 3 3" xfId="22598"/>
    <cellStyle name="40% - Accent2 4 4 5 4" xfId="22599"/>
    <cellStyle name="40% - Accent2 4 4 5 4 2" xfId="22600"/>
    <cellStyle name="40% - Accent2 4 4 5 5" xfId="22601"/>
    <cellStyle name="40% - Accent2 4 4 5 6" xfId="22602"/>
    <cellStyle name="40% - Accent2 4 4 6" xfId="22603"/>
    <cellStyle name="40% - Accent2 4 4 6 2" xfId="22604"/>
    <cellStyle name="40% - Accent2 4 4 6 2 2" xfId="22605"/>
    <cellStyle name="40% - Accent2 4 4 6 2 3" xfId="22606"/>
    <cellStyle name="40% - Accent2 4 4 6 3" xfId="22607"/>
    <cellStyle name="40% - Accent2 4 4 6 3 2" xfId="22608"/>
    <cellStyle name="40% - Accent2 4 4 6 3 3" xfId="22609"/>
    <cellStyle name="40% - Accent2 4 4 6 4" xfId="22610"/>
    <cellStyle name="40% - Accent2 4 4 6 4 2" xfId="22611"/>
    <cellStyle name="40% - Accent2 4 4 6 5" xfId="22612"/>
    <cellStyle name="40% - Accent2 4 4 6 6" xfId="22613"/>
    <cellStyle name="40% - Accent2 4 4 7" xfId="22614"/>
    <cellStyle name="40% - Accent2 4 4 7 2" xfId="22615"/>
    <cellStyle name="40% - Accent2 4 4 7 2 2" xfId="22616"/>
    <cellStyle name="40% - Accent2 4 4 7 2 3" xfId="22617"/>
    <cellStyle name="40% - Accent2 4 4 7 3" xfId="22618"/>
    <cellStyle name="40% - Accent2 4 4 7 3 2" xfId="22619"/>
    <cellStyle name="40% - Accent2 4 4 7 4" xfId="22620"/>
    <cellStyle name="40% - Accent2 4 4 7 5" xfId="22621"/>
    <cellStyle name="40% - Accent2 4 4 8" xfId="22622"/>
    <cellStyle name="40% - Accent2 4 4 8 2" xfId="22623"/>
    <cellStyle name="40% - Accent2 4 4 8 3" xfId="22624"/>
    <cellStyle name="40% - Accent2 4 4 9" xfId="22625"/>
    <cellStyle name="40% - Accent2 4 4 9 2" xfId="22626"/>
    <cellStyle name="40% - Accent2 4 4 9 3" xfId="22627"/>
    <cellStyle name="40% - Accent2 4 5" xfId="1808"/>
    <cellStyle name="40% - Accent2 4 5 10" xfId="22628"/>
    <cellStyle name="40% - Accent2 4 5 2" xfId="1809"/>
    <cellStyle name="40% - Accent2 4 5 2 2" xfId="22629"/>
    <cellStyle name="40% - Accent2 4 5 2 2 2" xfId="22630"/>
    <cellStyle name="40% - Accent2 4 5 2 2 2 2" xfId="22631"/>
    <cellStyle name="40% - Accent2 4 5 2 2 2 3" xfId="22632"/>
    <cellStyle name="40% - Accent2 4 5 2 2 3" xfId="22633"/>
    <cellStyle name="40% - Accent2 4 5 2 2 3 2" xfId="22634"/>
    <cellStyle name="40% - Accent2 4 5 2 2 3 3" xfId="22635"/>
    <cellStyle name="40% - Accent2 4 5 2 2 4" xfId="22636"/>
    <cellStyle name="40% - Accent2 4 5 2 2 4 2" xfId="22637"/>
    <cellStyle name="40% - Accent2 4 5 2 2 5" xfId="22638"/>
    <cellStyle name="40% - Accent2 4 5 2 2 6" xfId="22639"/>
    <cellStyle name="40% - Accent2 4 5 2 3" xfId="22640"/>
    <cellStyle name="40% - Accent2 4 5 2 3 2" xfId="22641"/>
    <cellStyle name="40% - Accent2 4 5 2 3 2 2" xfId="22642"/>
    <cellStyle name="40% - Accent2 4 5 2 3 2 3" xfId="22643"/>
    <cellStyle name="40% - Accent2 4 5 2 3 3" xfId="22644"/>
    <cellStyle name="40% - Accent2 4 5 2 3 3 2" xfId="22645"/>
    <cellStyle name="40% - Accent2 4 5 2 3 3 3" xfId="22646"/>
    <cellStyle name="40% - Accent2 4 5 2 3 4" xfId="22647"/>
    <cellStyle name="40% - Accent2 4 5 2 3 4 2" xfId="22648"/>
    <cellStyle name="40% - Accent2 4 5 2 3 5" xfId="22649"/>
    <cellStyle name="40% - Accent2 4 5 2 3 6" xfId="22650"/>
    <cellStyle name="40% - Accent2 4 5 2 4" xfId="22651"/>
    <cellStyle name="40% - Accent2 4 5 2 4 2" xfId="22652"/>
    <cellStyle name="40% - Accent2 4 5 2 4 2 2" xfId="22653"/>
    <cellStyle name="40% - Accent2 4 5 2 4 2 3" xfId="22654"/>
    <cellStyle name="40% - Accent2 4 5 2 4 3" xfId="22655"/>
    <cellStyle name="40% - Accent2 4 5 2 4 3 2" xfId="22656"/>
    <cellStyle name="40% - Accent2 4 5 2 4 4" xfId="22657"/>
    <cellStyle name="40% - Accent2 4 5 2 4 5" xfId="22658"/>
    <cellStyle name="40% - Accent2 4 5 2 5" xfId="22659"/>
    <cellStyle name="40% - Accent2 4 5 2 5 2" xfId="22660"/>
    <cellStyle name="40% - Accent2 4 5 2 5 3" xfId="22661"/>
    <cellStyle name="40% - Accent2 4 5 2 6" xfId="22662"/>
    <cellStyle name="40% - Accent2 4 5 2 6 2" xfId="22663"/>
    <cellStyle name="40% - Accent2 4 5 2 6 3" xfId="22664"/>
    <cellStyle name="40% - Accent2 4 5 2 7" xfId="22665"/>
    <cellStyle name="40% - Accent2 4 5 2 7 2" xfId="22666"/>
    <cellStyle name="40% - Accent2 4 5 2 8" xfId="22667"/>
    <cellStyle name="40% - Accent2 4 5 2 9" xfId="22668"/>
    <cellStyle name="40% - Accent2 4 5 3" xfId="22669"/>
    <cellStyle name="40% - Accent2 4 5 3 2" xfId="22670"/>
    <cellStyle name="40% - Accent2 4 5 3 2 2" xfId="22671"/>
    <cellStyle name="40% - Accent2 4 5 3 2 3" xfId="22672"/>
    <cellStyle name="40% - Accent2 4 5 3 3" xfId="22673"/>
    <cellStyle name="40% - Accent2 4 5 3 3 2" xfId="22674"/>
    <cellStyle name="40% - Accent2 4 5 3 3 3" xfId="22675"/>
    <cellStyle name="40% - Accent2 4 5 3 4" xfId="22676"/>
    <cellStyle name="40% - Accent2 4 5 3 4 2" xfId="22677"/>
    <cellStyle name="40% - Accent2 4 5 3 5" xfId="22678"/>
    <cellStyle name="40% - Accent2 4 5 3 6" xfId="22679"/>
    <cellStyle name="40% - Accent2 4 5 4" xfId="22680"/>
    <cellStyle name="40% - Accent2 4 5 4 2" xfId="22681"/>
    <cellStyle name="40% - Accent2 4 5 4 2 2" xfId="22682"/>
    <cellStyle name="40% - Accent2 4 5 4 2 3" xfId="22683"/>
    <cellStyle name="40% - Accent2 4 5 4 3" xfId="22684"/>
    <cellStyle name="40% - Accent2 4 5 4 3 2" xfId="22685"/>
    <cellStyle name="40% - Accent2 4 5 4 3 3" xfId="22686"/>
    <cellStyle name="40% - Accent2 4 5 4 4" xfId="22687"/>
    <cellStyle name="40% - Accent2 4 5 4 4 2" xfId="22688"/>
    <cellStyle name="40% - Accent2 4 5 4 5" xfId="22689"/>
    <cellStyle name="40% - Accent2 4 5 4 6" xfId="22690"/>
    <cellStyle name="40% - Accent2 4 5 5" xfId="22691"/>
    <cellStyle name="40% - Accent2 4 5 5 2" xfId="22692"/>
    <cellStyle name="40% - Accent2 4 5 5 2 2" xfId="22693"/>
    <cellStyle name="40% - Accent2 4 5 5 2 3" xfId="22694"/>
    <cellStyle name="40% - Accent2 4 5 5 3" xfId="22695"/>
    <cellStyle name="40% - Accent2 4 5 5 3 2" xfId="22696"/>
    <cellStyle name="40% - Accent2 4 5 5 4" xfId="22697"/>
    <cellStyle name="40% - Accent2 4 5 5 5" xfId="22698"/>
    <cellStyle name="40% - Accent2 4 5 6" xfId="22699"/>
    <cellStyle name="40% - Accent2 4 5 6 2" xfId="22700"/>
    <cellStyle name="40% - Accent2 4 5 6 3" xfId="22701"/>
    <cellStyle name="40% - Accent2 4 5 7" xfId="22702"/>
    <cellStyle name="40% - Accent2 4 5 7 2" xfId="22703"/>
    <cellStyle name="40% - Accent2 4 5 7 3" xfId="22704"/>
    <cellStyle name="40% - Accent2 4 5 8" xfId="22705"/>
    <cellStyle name="40% - Accent2 4 5 8 2" xfId="22706"/>
    <cellStyle name="40% - Accent2 4 5 9" xfId="22707"/>
    <cellStyle name="40% - Accent2 4 6" xfId="1810"/>
    <cellStyle name="40% - Accent2 4 6 2" xfId="22708"/>
    <cellStyle name="40% - Accent2 4 6 2 2" xfId="22709"/>
    <cellStyle name="40% - Accent2 4 6 2 2 2" xfId="22710"/>
    <cellStyle name="40% - Accent2 4 6 2 2 3" xfId="22711"/>
    <cellStyle name="40% - Accent2 4 6 2 3" xfId="22712"/>
    <cellStyle name="40% - Accent2 4 6 2 3 2" xfId="22713"/>
    <cellStyle name="40% - Accent2 4 6 2 3 3" xfId="22714"/>
    <cellStyle name="40% - Accent2 4 6 2 4" xfId="22715"/>
    <cellStyle name="40% - Accent2 4 6 2 4 2" xfId="22716"/>
    <cellStyle name="40% - Accent2 4 6 2 5" xfId="22717"/>
    <cellStyle name="40% - Accent2 4 6 2 6" xfId="22718"/>
    <cellStyle name="40% - Accent2 4 6 3" xfId="22719"/>
    <cellStyle name="40% - Accent2 4 6 3 2" xfId="22720"/>
    <cellStyle name="40% - Accent2 4 6 3 2 2" xfId="22721"/>
    <cellStyle name="40% - Accent2 4 6 3 2 3" xfId="22722"/>
    <cellStyle name="40% - Accent2 4 6 3 3" xfId="22723"/>
    <cellStyle name="40% - Accent2 4 6 3 3 2" xfId="22724"/>
    <cellStyle name="40% - Accent2 4 6 3 3 3" xfId="22725"/>
    <cellStyle name="40% - Accent2 4 6 3 4" xfId="22726"/>
    <cellStyle name="40% - Accent2 4 6 3 4 2" xfId="22727"/>
    <cellStyle name="40% - Accent2 4 6 3 5" xfId="22728"/>
    <cellStyle name="40% - Accent2 4 6 3 6" xfId="22729"/>
    <cellStyle name="40% - Accent2 4 6 4" xfId="22730"/>
    <cellStyle name="40% - Accent2 4 6 4 2" xfId="22731"/>
    <cellStyle name="40% - Accent2 4 6 4 2 2" xfId="22732"/>
    <cellStyle name="40% - Accent2 4 6 4 2 3" xfId="22733"/>
    <cellStyle name="40% - Accent2 4 6 4 3" xfId="22734"/>
    <cellStyle name="40% - Accent2 4 6 4 3 2" xfId="22735"/>
    <cellStyle name="40% - Accent2 4 6 4 4" xfId="22736"/>
    <cellStyle name="40% - Accent2 4 6 4 5" xfId="22737"/>
    <cellStyle name="40% - Accent2 4 6 5" xfId="22738"/>
    <cellStyle name="40% - Accent2 4 6 5 2" xfId="22739"/>
    <cellStyle name="40% - Accent2 4 6 5 3" xfId="22740"/>
    <cellStyle name="40% - Accent2 4 6 6" xfId="22741"/>
    <cellStyle name="40% - Accent2 4 6 6 2" xfId="22742"/>
    <cellStyle name="40% - Accent2 4 6 6 3" xfId="22743"/>
    <cellStyle name="40% - Accent2 4 6 7" xfId="22744"/>
    <cellStyle name="40% - Accent2 4 6 7 2" xfId="22745"/>
    <cellStyle name="40% - Accent2 4 6 8" xfId="22746"/>
    <cellStyle name="40% - Accent2 4 6 9" xfId="22747"/>
    <cellStyle name="40% - Accent2 4 7" xfId="8965"/>
    <cellStyle name="40% - Accent2 4 7 2" xfId="22748"/>
    <cellStyle name="40% - Accent2 4 7 2 2" xfId="22749"/>
    <cellStyle name="40% - Accent2 4 7 2 2 2" xfId="22750"/>
    <cellStyle name="40% - Accent2 4 7 2 2 3" xfId="22751"/>
    <cellStyle name="40% - Accent2 4 7 2 3" xfId="22752"/>
    <cellStyle name="40% - Accent2 4 7 2 3 2" xfId="22753"/>
    <cellStyle name="40% - Accent2 4 7 2 3 3" xfId="22754"/>
    <cellStyle name="40% - Accent2 4 7 2 4" xfId="22755"/>
    <cellStyle name="40% - Accent2 4 7 2 4 2" xfId="22756"/>
    <cellStyle name="40% - Accent2 4 7 2 5" xfId="22757"/>
    <cellStyle name="40% - Accent2 4 7 2 6" xfId="22758"/>
    <cellStyle name="40% - Accent2 4 7 3" xfId="22759"/>
    <cellStyle name="40% - Accent2 4 7 3 2" xfId="22760"/>
    <cellStyle name="40% - Accent2 4 7 3 2 2" xfId="22761"/>
    <cellStyle name="40% - Accent2 4 7 3 2 3" xfId="22762"/>
    <cellStyle name="40% - Accent2 4 7 3 3" xfId="22763"/>
    <cellStyle name="40% - Accent2 4 7 3 3 2" xfId="22764"/>
    <cellStyle name="40% - Accent2 4 7 3 3 3" xfId="22765"/>
    <cellStyle name="40% - Accent2 4 7 3 4" xfId="22766"/>
    <cellStyle name="40% - Accent2 4 7 3 4 2" xfId="22767"/>
    <cellStyle name="40% - Accent2 4 7 3 5" xfId="22768"/>
    <cellStyle name="40% - Accent2 4 7 3 6" xfId="22769"/>
    <cellStyle name="40% - Accent2 4 7 4" xfId="22770"/>
    <cellStyle name="40% - Accent2 4 7 4 2" xfId="22771"/>
    <cellStyle name="40% - Accent2 4 7 4 2 2" xfId="22772"/>
    <cellStyle name="40% - Accent2 4 7 4 2 3" xfId="22773"/>
    <cellStyle name="40% - Accent2 4 7 4 3" xfId="22774"/>
    <cellStyle name="40% - Accent2 4 7 4 3 2" xfId="22775"/>
    <cellStyle name="40% - Accent2 4 7 4 4" xfId="22776"/>
    <cellStyle name="40% - Accent2 4 7 4 5" xfId="22777"/>
    <cellStyle name="40% - Accent2 4 7 5" xfId="22778"/>
    <cellStyle name="40% - Accent2 4 7 5 2" xfId="22779"/>
    <cellStyle name="40% - Accent2 4 7 5 3" xfId="22780"/>
    <cellStyle name="40% - Accent2 4 7 6" xfId="22781"/>
    <cellStyle name="40% - Accent2 4 7 6 2" xfId="22782"/>
    <cellStyle name="40% - Accent2 4 7 6 3" xfId="22783"/>
    <cellStyle name="40% - Accent2 4 7 7" xfId="22784"/>
    <cellStyle name="40% - Accent2 4 7 7 2" xfId="22785"/>
    <cellStyle name="40% - Accent2 4 7 8" xfId="22786"/>
    <cellStyle name="40% - Accent2 4 7 9" xfId="22787"/>
    <cellStyle name="40% - Accent2 4 8" xfId="22788"/>
    <cellStyle name="40% - Accent2 4 8 2" xfId="22789"/>
    <cellStyle name="40% - Accent2 4 8 2 2" xfId="22790"/>
    <cellStyle name="40% - Accent2 4 8 2 3" xfId="22791"/>
    <cellStyle name="40% - Accent2 4 8 3" xfId="22792"/>
    <cellStyle name="40% - Accent2 4 8 3 2" xfId="22793"/>
    <cellStyle name="40% - Accent2 4 8 3 3" xfId="22794"/>
    <cellStyle name="40% - Accent2 4 8 4" xfId="22795"/>
    <cellStyle name="40% - Accent2 4 8 4 2" xfId="22796"/>
    <cellStyle name="40% - Accent2 4 8 5" xfId="22797"/>
    <cellStyle name="40% - Accent2 4 8 6" xfId="22798"/>
    <cellStyle name="40% - Accent2 4 9" xfId="22799"/>
    <cellStyle name="40% - Accent2 4 9 2" xfId="22800"/>
    <cellStyle name="40% - Accent2 4 9 2 2" xfId="22801"/>
    <cellStyle name="40% - Accent2 4 9 2 3" xfId="22802"/>
    <cellStyle name="40% - Accent2 4 9 3" xfId="22803"/>
    <cellStyle name="40% - Accent2 4 9 3 2" xfId="22804"/>
    <cellStyle name="40% - Accent2 4 9 3 3" xfId="22805"/>
    <cellStyle name="40% - Accent2 4 9 4" xfId="22806"/>
    <cellStyle name="40% - Accent2 4 9 4 2" xfId="22807"/>
    <cellStyle name="40% - Accent2 4 9 5" xfId="22808"/>
    <cellStyle name="40% - Accent2 4 9 6" xfId="22809"/>
    <cellStyle name="40% - Accent2 5" xfId="1811"/>
    <cellStyle name="40% - Accent2 5 2" xfId="1812"/>
    <cellStyle name="40% - Accent2 5 2 2" xfId="1813"/>
    <cellStyle name="40% - Accent2 5 2 2 2" xfId="1814"/>
    <cellStyle name="40% - Accent2 5 2 2 2 2" xfId="1815"/>
    <cellStyle name="40% - Accent2 5 2 2 3" xfId="1816"/>
    <cellStyle name="40% - Accent2 5 2 3" xfId="1817"/>
    <cellStyle name="40% - Accent2 5 2 3 2" xfId="1818"/>
    <cellStyle name="40% - Accent2 5 2 4" xfId="1819"/>
    <cellStyle name="40% - Accent2 5 2 5" xfId="58026"/>
    <cellStyle name="40% - Accent2 5 3" xfId="1820"/>
    <cellStyle name="40% - Accent2 5 3 2" xfId="1821"/>
    <cellStyle name="40% - Accent2 5 3 2 2" xfId="1822"/>
    <cellStyle name="40% - Accent2 5 3 3" xfId="1823"/>
    <cellStyle name="40% - Accent2 5 4" xfId="1824"/>
    <cellStyle name="40% - Accent2 5 4 2" xfId="1825"/>
    <cellStyle name="40% - Accent2 5 5" xfId="1826"/>
    <cellStyle name="40% - Accent2 5 6" xfId="8966"/>
    <cellStyle name="40% - Accent2 6" xfId="1827"/>
    <cellStyle name="40% - Accent2 6 2" xfId="1828"/>
    <cellStyle name="40% - Accent2 6 2 2" xfId="1829"/>
    <cellStyle name="40% - Accent2 6 2 2 2" xfId="1830"/>
    <cellStyle name="40% - Accent2 6 2 3" xfId="1831"/>
    <cellStyle name="40% - Accent2 6 2 4" xfId="58027"/>
    <cellStyle name="40% - Accent2 6 2 5" xfId="58028"/>
    <cellStyle name="40% - Accent2 6 3" xfId="1832"/>
    <cellStyle name="40% - Accent2 6 3 2" xfId="1833"/>
    <cellStyle name="40% - Accent2 6 4" xfId="1834"/>
    <cellStyle name="40% - Accent2 6 5" xfId="58029"/>
    <cellStyle name="40% - Accent2 7" xfId="1835"/>
    <cellStyle name="40% - Accent2 7 2" xfId="1836"/>
    <cellStyle name="40% - Accent2 7 2 2" xfId="1837"/>
    <cellStyle name="40% - Accent2 7 2 2 2" xfId="1838"/>
    <cellStyle name="40% - Accent2 7 2 3" xfId="1839"/>
    <cellStyle name="40% - Accent2 7 3" xfId="1840"/>
    <cellStyle name="40% - Accent2 7 3 2" xfId="1841"/>
    <cellStyle name="40% - Accent2 7 4" xfId="1842"/>
    <cellStyle name="40% - Accent2 7 5" xfId="58030"/>
    <cellStyle name="40% - Accent2 8" xfId="1843"/>
    <cellStyle name="40% - Accent2 8 2" xfId="1844"/>
    <cellStyle name="40% - Accent2 8 2 2" xfId="1845"/>
    <cellStyle name="40% - Accent2 8 2 2 2" xfId="1846"/>
    <cellStyle name="40% - Accent2 8 2 3" xfId="1847"/>
    <cellStyle name="40% - Accent2 8 3" xfId="1848"/>
    <cellStyle name="40% - Accent2 8 3 2" xfId="1849"/>
    <cellStyle name="40% - Accent2 8 4" xfId="1850"/>
    <cellStyle name="40% - Accent2 8 5" xfId="58031"/>
    <cellStyle name="40% - Accent2 9" xfId="1851"/>
    <cellStyle name="40% - Accent2 9 2" xfId="1852"/>
    <cellStyle name="40% - Accent2 9 2 2" xfId="1853"/>
    <cellStyle name="40% - Accent2 9 3" xfId="1854"/>
    <cellStyle name="40% - Accent2 9 4" xfId="58032"/>
    <cellStyle name="40% - Accent3 10" xfId="1855"/>
    <cellStyle name="40% - Accent3 10 2" xfId="1856"/>
    <cellStyle name="40% - Accent3 10 2 2" xfId="1857"/>
    <cellStyle name="40% - Accent3 10 3" xfId="1858"/>
    <cellStyle name="40% - Accent3 10 4" xfId="58033"/>
    <cellStyle name="40% - Accent3 11" xfId="1859"/>
    <cellStyle name="40% - Accent3 11 2" xfId="1860"/>
    <cellStyle name="40% - Accent3 11 2 2" xfId="1861"/>
    <cellStyle name="40% - Accent3 11 3" xfId="1862"/>
    <cellStyle name="40% - Accent3 11 4" xfId="58034"/>
    <cellStyle name="40% - Accent3 12" xfId="1863"/>
    <cellStyle name="40% - Accent3 12 2" xfId="1864"/>
    <cellStyle name="40% - Accent3 12 3" xfId="58035"/>
    <cellStyle name="40% - Accent3 13" xfId="1865"/>
    <cellStyle name="40% - Accent3 13 2" xfId="58036"/>
    <cellStyle name="40% - Accent3 14" xfId="8967"/>
    <cellStyle name="40% - Accent3 15" xfId="9402"/>
    <cellStyle name="40% - Accent3 16" xfId="9403"/>
    <cellStyle name="40% - Accent3 17" xfId="9404"/>
    <cellStyle name="40% - Accent3 17 2" xfId="58037"/>
    <cellStyle name="40% - Accent3 18" xfId="58038"/>
    <cellStyle name="40% - Accent3 19" xfId="58039"/>
    <cellStyle name="40% - Accent3 2" xfId="1866"/>
    <cellStyle name="40% - Accent3 2 2" xfId="1867"/>
    <cellStyle name="40% - Accent3 2 2 2" xfId="1868"/>
    <cellStyle name="40% - Accent3 2 2 2 2" xfId="1869"/>
    <cellStyle name="40% - Accent3 2 2 2 2 2" xfId="1870"/>
    <cellStyle name="40% - Accent3 2 2 2 2 2 2" xfId="1871"/>
    <cellStyle name="40% - Accent3 2 2 2 2 2 2 2" xfId="1872"/>
    <cellStyle name="40% - Accent3 2 2 2 2 2 3" xfId="1873"/>
    <cellStyle name="40% - Accent3 2 2 2 2 3" xfId="1874"/>
    <cellStyle name="40% - Accent3 2 2 2 2 3 2" xfId="1875"/>
    <cellStyle name="40% - Accent3 2 2 2 2 4" xfId="1876"/>
    <cellStyle name="40% - Accent3 2 2 2 2 5" xfId="58040"/>
    <cellStyle name="40% - Accent3 2 2 2 3" xfId="1877"/>
    <cellStyle name="40% - Accent3 2 2 2 3 2" xfId="1878"/>
    <cellStyle name="40% - Accent3 2 2 2 3 2 2" xfId="1879"/>
    <cellStyle name="40% - Accent3 2 2 2 3 3" xfId="1880"/>
    <cellStyle name="40% - Accent3 2 2 2 4" xfId="1881"/>
    <cellStyle name="40% - Accent3 2 2 2 4 2" xfId="1882"/>
    <cellStyle name="40% - Accent3 2 2 2 5" xfId="1883"/>
    <cellStyle name="40% - Accent3 2 2 2 6" xfId="58041"/>
    <cellStyle name="40% - Accent3 2 2 3" xfId="1884"/>
    <cellStyle name="40% - Accent3 2 2 3 2" xfId="1885"/>
    <cellStyle name="40% - Accent3 2 2 3 2 2" xfId="1886"/>
    <cellStyle name="40% - Accent3 2 2 3 2 2 2" xfId="1887"/>
    <cellStyle name="40% - Accent3 2 2 3 2 3" xfId="1888"/>
    <cellStyle name="40% - Accent3 2 2 3 3" xfId="1889"/>
    <cellStyle name="40% - Accent3 2 2 3 3 2" xfId="1890"/>
    <cellStyle name="40% - Accent3 2 2 3 4" xfId="1891"/>
    <cellStyle name="40% - Accent3 2 2 3 5" xfId="58042"/>
    <cellStyle name="40% - Accent3 2 2 4" xfId="1892"/>
    <cellStyle name="40% - Accent3 2 2 4 2" xfId="1893"/>
    <cellStyle name="40% - Accent3 2 2 4 2 2" xfId="1894"/>
    <cellStyle name="40% - Accent3 2 2 4 3" xfId="1895"/>
    <cellStyle name="40% - Accent3 2 2 5" xfId="1896"/>
    <cellStyle name="40% - Accent3 2 2 5 2" xfId="1897"/>
    <cellStyle name="40% - Accent3 2 2 6" xfId="1898"/>
    <cellStyle name="40% - Accent3 2 2 7" xfId="58043"/>
    <cellStyle name="40% - Accent3 2 3" xfId="1899"/>
    <cellStyle name="40% - Accent3 2 3 2" xfId="1900"/>
    <cellStyle name="40% - Accent3 2 3 2 2" xfId="1901"/>
    <cellStyle name="40% - Accent3 2 3 2 2 2" xfId="1902"/>
    <cellStyle name="40% - Accent3 2 3 2 2 2 2" xfId="1903"/>
    <cellStyle name="40% - Accent3 2 3 2 2 3" xfId="1904"/>
    <cellStyle name="40% - Accent3 2 3 2 3" xfId="1905"/>
    <cellStyle name="40% - Accent3 2 3 2 3 2" xfId="1906"/>
    <cellStyle name="40% - Accent3 2 3 2 4" xfId="1907"/>
    <cellStyle name="40% - Accent3 2 3 3" xfId="1908"/>
    <cellStyle name="40% - Accent3 2 3 3 2" xfId="1909"/>
    <cellStyle name="40% - Accent3 2 3 3 2 2" xfId="1910"/>
    <cellStyle name="40% - Accent3 2 3 3 3" xfId="1911"/>
    <cellStyle name="40% - Accent3 2 3 4" xfId="1912"/>
    <cellStyle name="40% - Accent3 2 3 4 2" xfId="1913"/>
    <cellStyle name="40% - Accent3 2 3 5" xfId="1914"/>
    <cellStyle name="40% - Accent3 2 3 6" xfId="58044"/>
    <cellStyle name="40% - Accent3 2 4" xfId="1915"/>
    <cellStyle name="40% - Accent3 2 4 2" xfId="1916"/>
    <cellStyle name="40% - Accent3 2 4 2 2" xfId="1917"/>
    <cellStyle name="40% - Accent3 2 4 2 2 2" xfId="1918"/>
    <cellStyle name="40% - Accent3 2 4 2 3" xfId="1919"/>
    <cellStyle name="40% - Accent3 2 4 3" xfId="1920"/>
    <cellStyle name="40% - Accent3 2 4 3 2" xfId="1921"/>
    <cellStyle name="40% - Accent3 2 4 4" xfId="1922"/>
    <cellStyle name="40% - Accent3 2 4 5" xfId="58045"/>
    <cellStyle name="40% - Accent3 2 5" xfId="1923"/>
    <cellStyle name="40% - Accent3 2 5 2" xfId="1924"/>
    <cellStyle name="40% - Accent3 2 5 2 2" xfId="1925"/>
    <cellStyle name="40% - Accent3 2 5 3" xfId="1926"/>
    <cellStyle name="40% - Accent3 2 5 4" xfId="58046"/>
    <cellStyle name="40% - Accent3 2 6" xfId="1927"/>
    <cellStyle name="40% - Accent3 2 6 2" xfId="1928"/>
    <cellStyle name="40% - Accent3 2 6 3" xfId="58047"/>
    <cellStyle name="40% - Accent3 2 7" xfId="1929"/>
    <cellStyle name="40% - Accent3 2 8" xfId="1930"/>
    <cellStyle name="40% - Accent3 2 9" xfId="58048"/>
    <cellStyle name="40% - Accent3 20" xfId="58049"/>
    <cellStyle name="40% - Accent3 21" xfId="58050"/>
    <cellStyle name="40% - Accent3 3" xfId="1931"/>
    <cellStyle name="40% - Accent3 3 2" xfId="1932"/>
    <cellStyle name="40% - Accent3 3 2 2" xfId="1933"/>
    <cellStyle name="40% - Accent3 3 2 2 2" xfId="1934"/>
    <cellStyle name="40% - Accent3 3 2 2 2 2" xfId="1935"/>
    <cellStyle name="40% - Accent3 3 2 2 2 2 2" xfId="1936"/>
    <cellStyle name="40% - Accent3 3 2 2 2 2 2 2" xfId="1937"/>
    <cellStyle name="40% - Accent3 3 2 2 2 2 3" xfId="1938"/>
    <cellStyle name="40% - Accent3 3 2 2 2 3" xfId="1939"/>
    <cellStyle name="40% - Accent3 3 2 2 2 3 2" xfId="1940"/>
    <cellStyle name="40% - Accent3 3 2 2 2 4" xfId="1941"/>
    <cellStyle name="40% - Accent3 3 2 2 2 5" xfId="8968"/>
    <cellStyle name="40% - Accent3 3 2 2 3" xfId="1942"/>
    <cellStyle name="40% - Accent3 3 2 2 3 2" xfId="1943"/>
    <cellStyle name="40% - Accent3 3 2 2 3 2 2" xfId="1944"/>
    <cellStyle name="40% - Accent3 3 2 2 3 3" xfId="1945"/>
    <cellStyle name="40% - Accent3 3 2 2 4" xfId="1946"/>
    <cellStyle name="40% - Accent3 3 2 2 4 2" xfId="1947"/>
    <cellStyle name="40% - Accent3 3 2 2 5" xfId="1948"/>
    <cellStyle name="40% - Accent3 3 2 2 6" xfId="8969"/>
    <cellStyle name="40% - Accent3 3 2 3" xfId="1949"/>
    <cellStyle name="40% - Accent3 3 2 3 2" xfId="1950"/>
    <cellStyle name="40% - Accent3 3 2 3 2 2" xfId="1951"/>
    <cellStyle name="40% - Accent3 3 2 3 2 2 2" xfId="1952"/>
    <cellStyle name="40% - Accent3 3 2 3 2 3" xfId="1953"/>
    <cellStyle name="40% - Accent3 3 2 3 3" xfId="1954"/>
    <cellStyle name="40% - Accent3 3 2 3 3 2" xfId="1955"/>
    <cellStyle name="40% - Accent3 3 2 3 4" xfId="1956"/>
    <cellStyle name="40% - Accent3 3 2 3 5" xfId="8970"/>
    <cellStyle name="40% - Accent3 3 2 4" xfId="1957"/>
    <cellStyle name="40% - Accent3 3 2 4 2" xfId="1958"/>
    <cellStyle name="40% - Accent3 3 2 4 2 2" xfId="1959"/>
    <cellStyle name="40% - Accent3 3 2 4 3" xfId="1960"/>
    <cellStyle name="40% - Accent3 3 2 5" xfId="1961"/>
    <cellStyle name="40% - Accent3 3 2 5 2" xfId="1962"/>
    <cellStyle name="40% - Accent3 3 2 6" xfId="1963"/>
    <cellStyle name="40% - Accent3 3 2 7" xfId="8971"/>
    <cellStyle name="40% - Accent3 3 3" xfId="1964"/>
    <cellStyle name="40% - Accent3 3 3 2" xfId="1965"/>
    <cellStyle name="40% - Accent3 3 3 2 2" xfId="1966"/>
    <cellStyle name="40% - Accent3 3 3 2 2 2" xfId="1967"/>
    <cellStyle name="40% - Accent3 3 3 2 2 2 2" xfId="1968"/>
    <cellStyle name="40% - Accent3 3 3 2 2 3" xfId="1969"/>
    <cellStyle name="40% - Accent3 3 3 2 3" xfId="1970"/>
    <cellStyle name="40% - Accent3 3 3 2 3 2" xfId="1971"/>
    <cellStyle name="40% - Accent3 3 3 2 4" xfId="1972"/>
    <cellStyle name="40% - Accent3 3 3 2 5" xfId="8972"/>
    <cellStyle name="40% - Accent3 3 3 3" xfId="1973"/>
    <cellStyle name="40% - Accent3 3 3 3 2" xfId="1974"/>
    <cellStyle name="40% - Accent3 3 3 3 2 2" xfId="1975"/>
    <cellStyle name="40% - Accent3 3 3 3 3" xfId="1976"/>
    <cellStyle name="40% - Accent3 3 3 4" xfId="1977"/>
    <cellStyle name="40% - Accent3 3 3 4 2" xfId="1978"/>
    <cellStyle name="40% - Accent3 3 3 5" xfId="1979"/>
    <cellStyle name="40% - Accent3 3 3 6" xfId="8973"/>
    <cellStyle name="40% - Accent3 3 4" xfId="1980"/>
    <cellStyle name="40% - Accent3 3 4 2" xfId="1981"/>
    <cellStyle name="40% - Accent3 3 4 2 2" xfId="1982"/>
    <cellStyle name="40% - Accent3 3 4 2 2 2" xfId="1983"/>
    <cellStyle name="40% - Accent3 3 4 2 3" xfId="1984"/>
    <cellStyle name="40% - Accent3 3 4 3" xfId="1985"/>
    <cellStyle name="40% - Accent3 3 4 3 2" xfId="1986"/>
    <cellStyle name="40% - Accent3 3 4 4" xfId="1987"/>
    <cellStyle name="40% - Accent3 3 4 5" xfId="8974"/>
    <cellStyle name="40% - Accent3 3 5" xfId="1988"/>
    <cellStyle name="40% - Accent3 3 5 2" xfId="1989"/>
    <cellStyle name="40% - Accent3 3 5 2 2" xfId="1990"/>
    <cellStyle name="40% - Accent3 3 5 3" xfId="1991"/>
    <cellStyle name="40% - Accent3 3 6" xfId="1992"/>
    <cellStyle name="40% - Accent3 3 6 2" xfId="1993"/>
    <cellStyle name="40% - Accent3 3 7" xfId="1994"/>
    <cellStyle name="40% - Accent3 3 8" xfId="1995"/>
    <cellStyle name="40% - Accent3 3 9" xfId="8975"/>
    <cellStyle name="40% - Accent3 4" xfId="1996"/>
    <cellStyle name="40% - Accent3 4 10" xfId="22810"/>
    <cellStyle name="40% - Accent3 4 10 2" xfId="22811"/>
    <cellStyle name="40% - Accent3 4 10 2 2" xfId="22812"/>
    <cellStyle name="40% - Accent3 4 10 2 3" xfId="22813"/>
    <cellStyle name="40% - Accent3 4 10 3" xfId="22814"/>
    <cellStyle name="40% - Accent3 4 10 3 2" xfId="22815"/>
    <cellStyle name="40% - Accent3 4 10 4" xfId="22816"/>
    <cellStyle name="40% - Accent3 4 10 5" xfId="22817"/>
    <cellStyle name="40% - Accent3 4 11" xfId="22818"/>
    <cellStyle name="40% - Accent3 4 11 2" xfId="22819"/>
    <cellStyle name="40% - Accent3 4 11 3" xfId="22820"/>
    <cellStyle name="40% - Accent3 4 12" xfId="22821"/>
    <cellStyle name="40% - Accent3 4 12 2" xfId="22822"/>
    <cellStyle name="40% - Accent3 4 12 3" xfId="22823"/>
    <cellStyle name="40% - Accent3 4 13" xfId="22824"/>
    <cellStyle name="40% - Accent3 4 13 2" xfId="22825"/>
    <cellStyle name="40% - Accent3 4 14" xfId="22826"/>
    <cellStyle name="40% - Accent3 4 15" xfId="22827"/>
    <cellStyle name="40% - Accent3 4 16" xfId="22828"/>
    <cellStyle name="40% - Accent3 4 2" xfId="1997"/>
    <cellStyle name="40% - Accent3 4 2 10" xfId="22829"/>
    <cellStyle name="40% - Accent3 4 2 10 2" xfId="22830"/>
    <cellStyle name="40% - Accent3 4 2 10 3" xfId="22831"/>
    <cellStyle name="40% - Accent3 4 2 11" xfId="22832"/>
    <cellStyle name="40% - Accent3 4 2 11 2" xfId="22833"/>
    <cellStyle name="40% - Accent3 4 2 11 3" xfId="22834"/>
    <cellStyle name="40% - Accent3 4 2 12" xfId="22835"/>
    <cellStyle name="40% - Accent3 4 2 12 2" xfId="22836"/>
    <cellStyle name="40% - Accent3 4 2 13" xfId="22837"/>
    <cellStyle name="40% - Accent3 4 2 14" xfId="22838"/>
    <cellStyle name="40% - Accent3 4 2 15" xfId="22839"/>
    <cellStyle name="40% - Accent3 4 2 2" xfId="1998"/>
    <cellStyle name="40% - Accent3 4 2 2 10" xfId="22840"/>
    <cellStyle name="40% - Accent3 4 2 2 10 2" xfId="22841"/>
    <cellStyle name="40% - Accent3 4 2 2 10 3" xfId="22842"/>
    <cellStyle name="40% - Accent3 4 2 2 11" xfId="22843"/>
    <cellStyle name="40% - Accent3 4 2 2 11 2" xfId="22844"/>
    <cellStyle name="40% - Accent3 4 2 2 12" xfId="22845"/>
    <cellStyle name="40% - Accent3 4 2 2 13" xfId="22846"/>
    <cellStyle name="40% - Accent3 4 2 2 2" xfId="1999"/>
    <cellStyle name="40% - Accent3 4 2 2 2 10" xfId="22847"/>
    <cellStyle name="40% - Accent3 4 2 2 2 10 2" xfId="22848"/>
    <cellStyle name="40% - Accent3 4 2 2 2 11" xfId="22849"/>
    <cellStyle name="40% - Accent3 4 2 2 2 12" xfId="22850"/>
    <cellStyle name="40% - Accent3 4 2 2 2 2" xfId="2000"/>
    <cellStyle name="40% - Accent3 4 2 2 2 2 10" xfId="22851"/>
    <cellStyle name="40% - Accent3 4 2 2 2 2 2" xfId="2001"/>
    <cellStyle name="40% - Accent3 4 2 2 2 2 2 2" xfId="22852"/>
    <cellStyle name="40% - Accent3 4 2 2 2 2 2 2 2" xfId="22853"/>
    <cellStyle name="40% - Accent3 4 2 2 2 2 2 2 2 2" xfId="22854"/>
    <cellStyle name="40% - Accent3 4 2 2 2 2 2 2 2 3" xfId="22855"/>
    <cellStyle name="40% - Accent3 4 2 2 2 2 2 2 3" xfId="22856"/>
    <cellStyle name="40% - Accent3 4 2 2 2 2 2 2 3 2" xfId="22857"/>
    <cellStyle name="40% - Accent3 4 2 2 2 2 2 2 3 3" xfId="22858"/>
    <cellStyle name="40% - Accent3 4 2 2 2 2 2 2 4" xfId="22859"/>
    <cellStyle name="40% - Accent3 4 2 2 2 2 2 2 4 2" xfId="22860"/>
    <cellStyle name="40% - Accent3 4 2 2 2 2 2 2 5" xfId="22861"/>
    <cellStyle name="40% - Accent3 4 2 2 2 2 2 2 6" xfId="22862"/>
    <cellStyle name="40% - Accent3 4 2 2 2 2 2 3" xfId="22863"/>
    <cellStyle name="40% - Accent3 4 2 2 2 2 2 3 2" xfId="22864"/>
    <cellStyle name="40% - Accent3 4 2 2 2 2 2 3 2 2" xfId="22865"/>
    <cellStyle name="40% - Accent3 4 2 2 2 2 2 3 2 3" xfId="22866"/>
    <cellStyle name="40% - Accent3 4 2 2 2 2 2 3 3" xfId="22867"/>
    <cellStyle name="40% - Accent3 4 2 2 2 2 2 3 3 2" xfId="22868"/>
    <cellStyle name="40% - Accent3 4 2 2 2 2 2 3 3 3" xfId="22869"/>
    <cellStyle name="40% - Accent3 4 2 2 2 2 2 3 4" xfId="22870"/>
    <cellStyle name="40% - Accent3 4 2 2 2 2 2 3 4 2" xfId="22871"/>
    <cellStyle name="40% - Accent3 4 2 2 2 2 2 3 5" xfId="22872"/>
    <cellStyle name="40% - Accent3 4 2 2 2 2 2 3 6" xfId="22873"/>
    <cellStyle name="40% - Accent3 4 2 2 2 2 2 4" xfId="22874"/>
    <cellStyle name="40% - Accent3 4 2 2 2 2 2 4 2" xfId="22875"/>
    <cellStyle name="40% - Accent3 4 2 2 2 2 2 4 2 2" xfId="22876"/>
    <cellStyle name="40% - Accent3 4 2 2 2 2 2 4 2 3" xfId="22877"/>
    <cellStyle name="40% - Accent3 4 2 2 2 2 2 4 3" xfId="22878"/>
    <cellStyle name="40% - Accent3 4 2 2 2 2 2 4 3 2" xfId="22879"/>
    <cellStyle name="40% - Accent3 4 2 2 2 2 2 4 4" xfId="22880"/>
    <cellStyle name="40% - Accent3 4 2 2 2 2 2 4 5" xfId="22881"/>
    <cellStyle name="40% - Accent3 4 2 2 2 2 2 5" xfId="22882"/>
    <cellStyle name="40% - Accent3 4 2 2 2 2 2 5 2" xfId="22883"/>
    <cellStyle name="40% - Accent3 4 2 2 2 2 2 5 3" xfId="22884"/>
    <cellStyle name="40% - Accent3 4 2 2 2 2 2 6" xfId="22885"/>
    <cellStyle name="40% - Accent3 4 2 2 2 2 2 6 2" xfId="22886"/>
    <cellStyle name="40% - Accent3 4 2 2 2 2 2 6 3" xfId="22887"/>
    <cellStyle name="40% - Accent3 4 2 2 2 2 2 7" xfId="22888"/>
    <cellStyle name="40% - Accent3 4 2 2 2 2 2 7 2" xfId="22889"/>
    <cellStyle name="40% - Accent3 4 2 2 2 2 2 8" xfId="22890"/>
    <cellStyle name="40% - Accent3 4 2 2 2 2 2 9" xfId="22891"/>
    <cellStyle name="40% - Accent3 4 2 2 2 2 3" xfId="22892"/>
    <cellStyle name="40% - Accent3 4 2 2 2 2 3 2" xfId="22893"/>
    <cellStyle name="40% - Accent3 4 2 2 2 2 3 2 2" xfId="22894"/>
    <cellStyle name="40% - Accent3 4 2 2 2 2 3 2 3" xfId="22895"/>
    <cellStyle name="40% - Accent3 4 2 2 2 2 3 3" xfId="22896"/>
    <cellStyle name="40% - Accent3 4 2 2 2 2 3 3 2" xfId="22897"/>
    <cellStyle name="40% - Accent3 4 2 2 2 2 3 3 3" xfId="22898"/>
    <cellStyle name="40% - Accent3 4 2 2 2 2 3 4" xfId="22899"/>
    <cellStyle name="40% - Accent3 4 2 2 2 2 3 4 2" xfId="22900"/>
    <cellStyle name="40% - Accent3 4 2 2 2 2 3 5" xfId="22901"/>
    <cellStyle name="40% - Accent3 4 2 2 2 2 3 6" xfId="22902"/>
    <cellStyle name="40% - Accent3 4 2 2 2 2 4" xfId="22903"/>
    <cellStyle name="40% - Accent3 4 2 2 2 2 4 2" xfId="22904"/>
    <cellStyle name="40% - Accent3 4 2 2 2 2 4 2 2" xfId="22905"/>
    <cellStyle name="40% - Accent3 4 2 2 2 2 4 2 3" xfId="22906"/>
    <cellStyle name="40% - Accent3 4 2 2 2 2 4 3" xfId="22907"/>
    <cellStyle name="40% - Accent3 4 2 2 2 2 4 3 2" xfId="22908"/>
    <cellStyle name="40% - Accent3 4 2 2 2 2 4 3 3" xfId="22909"/>
    <cellStyle name="40% - Accent3 4 2 2 2 2 4 4" xfId="22910"/>
    <cellStyle name="40% - Accent3 4 2 2 2 2 4 4 2" xfId="22911"/>
    <cellStyle name="40% - Accent3 4 2 2 2 2 4 5" xfId="22912"/>
    <cellStyle name="40% - Accent3 4 2 2 2 2 4 6" xfId="22913"/>
    <cellStyle name="40% - Accent3 4 2 2 2 2 5" xfId="22914"/>
    <cellStyle name="40% - Accent3 4 2 2 2 2 5 2" xfId="22915"/>
    <cellStyle name="40% - Accent3 4 2 2 2 2 5 2 2" xfId="22916"/>
    <cellStyle name="40% - Accent3 4 2 2 2 2 5 2 3" xfId="22917"/>
    <cellStyle name="40% - Accent3 4 2 2 2 2 5 3" xfId="22918"/>
    <cellStyle name="40% - Accent3 4 2 2 2 2 5 3 2" xfId="22919"/>
    <cellStyle name="40% - Accent3 4 2 2 2 2 5 4" xfId="22920"/>
    <cellStyle name="40% - Accent3 4 2 2 2 2 5 5" xfId="22921"/>
    <cellStyle name="40% - Accent3 4 2 2 2 2 6" xfId="22922"/>
    <cellStyle name="40% - Accent3 4 2 2 2 2 6 2" xfId="22923"/>
    <cellStyle name="40% - Accent3 4 2 2 2 2 6 3" xfId="22924"/>
    <cellStyle name="40% - Accent3 4 2 2 2 2 7" xfId="22925"/>
    <cellStyle name="40% - Accent3 4 2 2 2 2 7 2" xfId="22926"/>
    <cellStyle name="40% - Accent3 4 2 2 2 2 7 3" xfId="22927"/>
    <cellStyle name="40% - Accent3 4 2 2 2 2 8" xfId="22928"/>
    <cellStyle name="40% - Accent3 4 2 2 2 2 8 2" xfId="22929"/>
    <cellStyle name="40% - Accent3 4 2 2 2 2 9" xfId="22930"/>
    <cellStyle name="40% - Accent3 4 2 2 2 3" xfId="2002"/>
    <cellStyle name="40% - Accent3 4 2 2 2 3 2" xfId="22931"/>
    <cellStyle name="40% - Accent3 4 2 2 2 3 2 2" xfId="22932"/>
    <cellStyle name="40% - Accent3 4 2 2 2 3 2 2 2" xfId="22933"/>
    <cellStyle name="40% - Accent3 4 2 2 2 3 2 2 3" xfId="22934"/>
    <cellStyle name="40% - Accent3 4 2 2 2 3 2 3" xfId="22935"/>
    <cellStyle name="40% - Accent3 4 2 2 2 3 2 3 2" xfId="22936"/>
    <cellStyle name="40% - Accent3 4 2 2 2 3 2 3 3" xfId="22937"/>
    <cellStyle name="40% - Accent3 4 2 2 2 3 2 4" xfId="22938"/>
    <cellStyle name="40% - Accent3 4 2 2 2 3 2 4 2" xfId="22939"/>
    <cellStyle name="40% - Accent3 4 2 2 2 3 2 5" xfId="22940"/>
    <cellStyle name="40% - Accent3 4 2 2 2 3 2 6" xfId="22941"/>
    <cellStyle name="40% - Accent3 4 2 2 2 3 3" xfId="22942"/>
    <cellStyle name="40% - Accent3 4 2 2 2 3 3 2" xfId="22943"/>
    <cellStyle name="40% - Accent3 4 2 2 2 3 3 2 2" xfId="22944"/>
    <cellStyle name="40% - Accent3 4 2 2 2 3 3 2 3" xfId="22945"/>
    <cellStyle name="40% - Accent3 4 2 2 2 3 3 3" xfId="22946"/>
    <cellStyle name="40% - Accent3 4 2 2 2 3 3 3 2" xfId="22947"/>
    <cellStyle name="40% - Accent3 4 2 2 2 3 3 3 3" xfId="22948"/>
    <cellStyle name="40% - Accent3 4 2 2 2 3 3 4" xfId="22949"/>
    <cellStyle name="40% - Accent3 4 2 2 2 3 3 4 2" xfId="22950"/>
    <cellStyle name="40% - Accent3 4 2 2 2 3 3 5" xfId="22951"/>
    <cellStyle name="40% - Accent3 4 2 2 2 3 3 6" xfId="22952"/>
    <cellStyle name="40% - Accent3 4 2 2 2 3 4" xfId="22953"/>
    <cellStyle name="40% - Accent3 4 2 2 2 3 4 2" xfId="22954"/>
    <cellStyle name="40% - Accent3 4 2 2 2 3 4 2 2" xfId="22955"/>
    <cellStyle name="40% - Accent3 4 2 2 2 3 4 2 3" xfId="22956"/>
    <cellStyle name="40% - Accent3 4 2 2 2 3 4 3" xfId="22957"/>
    <cellStyle name="40% - Accent3 4 2 2 2 3 4 3 2" xfId="22958"/>
    <cellStyle name="40% - Accent3 4 2 2 2 3 4 4" xfId="22959"/>
    <cellStyle name="40% - Accent3 4 2 2 2 3 4 5" xfId="22960"/>
    <cellStyle name="40% - Accent3 4 2 2 2 3 5" xfId="22961"/>
    <cellStyle name="40% - Accent3 4 2 2 2 3 5 2" xfId="22962"/>
    <cellStyle name="40% - Accent3 4 2 2 2 3 5 3" xfId="22963"/>
    <cellStyle name="40% - Accent3 4 2 2 2 3 6" xfId="22964"/>
    <cellStyle name="40% - Accent3 4 2 2 2 3 6 2" xfId="22965"/>
    <cellStyle name="40% - Accent3 4 2 2 2 3 6 3" xfId="22966"/>
    <cellStyle name="40% - Accent3 4 2 2 2 3 7" xfId="22967"/>
    <cellStyle name="40% - Accent3 4 2 2 2 3 7 2" xfId="22968"/>
    <cellStyle name="40% - Accent3 4 2 2 2 3 8" xfId="22969"/>
    <cellStyle name="40% - Accent3 4 2 2 2 3 9" xfId="22970"/>
    <cellStyle name="40% - Accent3 4 2 2 2 4" xfId="22971"/>
    <cellStyle name="40% - Accent3 4 2 2 2 4 2" xfId="22972"/>
    <cellStyle name="40% - Accent3 4 2 2 2 4 2 2" xfId="22973"/>
    <cellStyle name="40% - Accent3 4 2 2 2 4 2 2 2" xfId="22974"/>
    <cellStyle name="40% - Accent3 4 2 2 2 4 2 2 3" xfId="22975"/>
    <cellStyle name="40% - Accent3 4 2 2 2 4 2 3" xfId="22976"/>
    <cellStyle name="40% - Accent3 4 2 2 2 4 2 3 2" xfId="22977"/>
    <cellStyle name="40% - Accent3 4 2 2 2 4 2 3 3" xfId="22978"/>
    <cellStyle name="40% - Accent3 4 2 2 2 4 2 4" xfId="22979"/>
    <cellStyle name="40% - Accent3 4 2 2 2 4 2 4 2" xfId="22980"/>
    <cellStyle name="40% - Accent3 4 2 2 2 4 2 5" xfId="22981"/>
    <cellStyle name="40% - Accent3 4 2 2 2 4 2 6" xfId="22982"/>
    <cellStyle name="40% - Accent3 4 2 2 2 4 3" xfId="22983"/>
    <cellStyle name="40% - Accent3 4 2 2 2 4 3 2" xfId="22984"/>
    <cellStyle name="40% - Accent3 4 2 2 2 4 3 2 2" xfId="22985"/>
    <cellStyle name="40% - Accent3 4 2 2 2 4 3 2 3" xfId="22986"/>
    <cellStyle name="40% - Accent3 4 2 2 2 4 3 3" xfId="22987"/>
    <cellStyle name="40% - Accent3 4 2 2 2 4 3 3 2" xfId="22988"/>
    <cellStyle name="40% - Accent3 4 2 2 2 4 3 3 3" xfId="22989"/>
    <cellStyle name="40% - Accent3 4 2 2 2 4 3 4" xfId="22990"/>
    <cellStyle name="40% - Accent3 4 2 2 2 4 3 4 2" xfId="22991"/>
    <cellStyle name="40% - Accent3 4 2 2 2 4 3 5" xfId="22992"/>
    <cellStyle name="40% - Accent3 4 2 2 2 4 3 6" xfId="22993"/>
    <cellStyle name="40% - Accent3 4 2 2 2 4 4" xfId="22994"/>
    <cellStyle name="40% - Accent3 4 2 2 2 4 4 2" xfId="22995"/>
    <cellStyle name="40% - Accent3 4 2 2 2 4 4 2 2" xfId="22996"/>
    <cellStyle name="40% - Accent3 4 2 2 2 4 4 2 3" xfId="22997"/>
    <cellStyle name="40% - Accent3 4 2 2 2 4 4 3" xfId="22998"/>
    <cellStyle name="40% - Accent3 4 2 2 2 4 4 3 2" xfId="22999"/>
    <cellStyle name="40% - Accent3 4 2 2 2 4 4 4" xfId="23000"/>
    <cellStyle name="40% - Accent3 4 2 2 2 4 4 5" xfId="23001"/>
    <cellStyle name="40% - Accent3 4 2 2 2 4 5" xfId="23002"/>
    <cellStyle name="40% - Accent3 4 2 2 2 4 5 2" xfId="23003"/>
    <cellStyle name="40% - Accent3 4 2 2 2 4 5 3" xfId="23004"/>
    <cellStyle name="40% - Accent3 4 2 2 2 4 6" xfId="23005"/>
    <cellStyle name="40% - Accent3 4 2 2 2 4 6 2" xfId="23006"/>
    <cellStyle name="40% - Accent3 4 2 2 2 4 6 3" xfId="23007"/>
    <cellStyle name="40% - Accent3 4 2 2 2 4 7" xfId="23008"/>
    <cellStyle name="40% - Accent3 4 2 2 2 4 7 2" xfId="23009"/>
    <cellStyle name="40% - Accent3 4 2 2 2 4 8" xfId="23010"/>
    <cellStyle name="40% - Accent3 4 2 2 2 4 9" xfId="23011"/>
    <cellStyle name="40% - Accent3 4 2 2 2 5" xfId="23012"/>
    <cellStyle name="40% - Accent3 4 2 2 2 5 2" xfId="23013"/>
    <cellStyle name="40% - Accent3 4 2 2 2 5 2 2" xfId="23014"/>
    <cellStyle name="40% - Accent3 4 2 2 2 5 2 3" xfId="23015"/>
    <cellStyle name="40% - Accent3 4 2 2 2 5 3" xfId="23016"/>
    <cellStyle name="40% - Accent3 4 2 2 2 5 3 2" xfId="23017"/>
    <cellStyle name="40% - Accent3 4 2 2 2 5 3 3" xfId="23018"/>
    <cellStyle name="40% - Accent3 4 2 2 2 5 4" xfId="23019"/>
    <cellStyle name="40% - Accent3 4 2 2 2 5 4 2" xfId="23020"/>
    <cellStyle name="40% - Accent3 4 2 2 2 5 5" xfId="23021"/>
    <cellStyle name="40% - Accent3 4 2 2 2 5 6" xfId="23022"/>
    <cellStyle name="40% - Accent3 4 2 2 2 6" xfId="23023"/>
    <cellStyle name="40% - Accent3 4 2 2 2 6 2" xfId="23024"/>
    <cellStyle name="40% - Accent3 4 2 2 2 6 2 2" xfId="23025"/>
    <cellStyle name="40% - Accent3 4 2 2 2 6 2 3" xfId="23026"/>
    <cellStyle name="40% - Accent3 4 2 2 2 6 3" xfId="23027"/>
    <cellStyle name="40% - Accent3 4 2 2 2 6 3 2" xfId="23028"/>
    <cellStyle name="40% - Accent3 4 2 2 2 6 3 3" xfId="23029"/>
    <cellStyle name="40% - Accent3 4 2 2 2 6 4" xfId="23030"/>
    <cellStyle name="40% - Accent3 4 2 2 2 6 4 2" xfId="23031"/>
    <cellStyle name="40% - Accent3 4 2 2 2 6 5" xfId="23032"/>
    <cellStyle name="40% - Accent3 4 2 2 2 6 6" xfId="23033"/>
    <cellStyle name="40% - Accent3 4 2 2 2 7" xfId="23034"/>
    <cellStyle name="40% - Accent3 4 2 2 2 7 2" xfId="23035"/>
    <cellStyle name="40% - Accent3 4 2 2 2 7 2 2" xfId="23036"/>
    <cellStyle name="40% - Accent3 4 2 2 2 7 2 3" xfId="23037"/>
    <cellStyle name="40% - Accent3 4 2 2 2 7 3" xfId="23038"/>
    <cellStyle name="40% - Accent3 4 2 2 2 7 3 2" xfId="23039"/>
    <cellStyle name="40% - Accent3 4 2 2 2 7 4" xfId="23040"/>
    <cellStyle name="40% - Accent3 4 2 2 2 7 5" xfId="23041"/>
    <cellStyle name="40% - Accent3 4 2 2 2 8" xfId="23042"/>
    <cellStyle name="40% - Accent3 4 2 2 2 8 2" xfId="23043"/>
    <cellStyle name="40% - Accent3 4 2 2 2 8 3" xfId="23044"/>
    <cellStyle name="40% - Accent3 4 2 2 2 9" xfId="23045"/>
    <cellStyle name="40% - Accent3 4 2 2 2 9 2" xfId="23046"/>
    <cellStyle name="40% - Accent3 4 2 2 2 9 3" xfId="23047"/>
    <cellStyle name="40% - Accent3 4 2 2 3" xfId="2003"/>
    <cellStyle name="40% - Accent3 4 2 2 3 10" xfId="23048"/>
    <cellStyle name="40% - Accent3 4 2 2 3 2" xfId="2004"/>
    <cellStyle name="40% - Accent3 4 2 2 3 2 2" xfId="23049"/>
    <cellStyle name="40% - Accent3 4 2 2 3 2 2 2" xfId="23050"/>
    <cellStyle name="40% - Accent3 4 2 2 3 2 2 2 2" xfId="23051"/>
    <cellStyle name="40% - Accent3 4 2 2 3 2 2 2 3" xfId="23052"/>
    <cellStyle name="40% - Accent3 4 2 2 3 2 2 3" xfId="23053"/>
    <cellStyle name="40% - Accent3 4 2 2 3 2 2 3 2" xfId="23054"/>
    <cellStyle name="40% - Accent3 4 2 2 3 2 2 3 3" xfId="23055"/>
    <cellStyle name="40% - Accent3 4 2 2 3 2 2 4" xfId="23056"/>
    <cellStyle name="40% - Accent3 4 2 2 3 2 2 4 2" xfId="23057"/>
    <cellStyle name="40% - Accent3 4 2 2 3 2 2 5" xfId="23058"/>
    <cellStyle name="40% - Accent3 4 2 2 3 2 2 6" xfId="23059"/>
    <cellStyle name="40% - Accent3 4 2 2 3 2 3" xfId="23060"/>
    <cellStyle name="40% - Accent3 4 2 2 3 2 3 2" xfId="23061"/>
    <cellStyle name="40% - Accent3 4 2 2 3 2 3 2 2" xfId="23062"/>
    <cellStyle name="40% - Accent3 4 2 2 3 2 3 2 3" xfId="23063"/>
    <cellStyle name="40% - Accent3 4 2 2 3 2 3 3" xfId="23064"/>
    <cellStyle name="40% - Accent3 4 2 2 3 2 3 3 2" xfId="23065"/>
    <cellStyle name="40% - Accent3 4 2 2 3 2 3 3 3" xfId="23066"/>
    <cellStyle name="40% - Accent3 4 2 2 3 2 3 4" xfId="23067"/>
    <cellStyle name="40% - Accent3 4 2 2 3 2 3 4 2" xfId="23068"/>
    <cellStyle name="40% - Accent3 4 2 2 3 2 3 5" xfId="23069"/>
    <cellStyle name="40% - Accent3 4 2 2 3 2 3 6" xfId="23070"/>
    <cellStyle name="40% - Accent3 4 2 2 3 2 4" xfId="23071"/>
    <cellStyle name="40% - Accent3 4 2 2 3 2 4 2" xfId="23072"/>
    <cellStyle name="40% - Accent3 4 2 2 3 2 4 2 2" xfId="23073"/>
    <cellStyle name="40% - Accent3 4 2 2 3 2 4 2 3" xfId="23074"/>
    <cellStyle name="40% - Accent3 4 2 2 3 2 4 3" xfId="23075"/>
    <cellStyle name="40% - Accent3 4 2 2 3 2 4 3 2" xfId="23076"/>
    <cellStyle name="40% - Accent3 4 2 2 3 2 4 4" xfId="23077"/>
    <cellStyle name="40% - Accent3 4 2 2 3 2 4 5" xfId="23078"/>
    <cellStyle name="40% - Accent3 4 2 2 3 2 5" xfId="23079"/>
    <cellStyle name="40% - Accent3 4 2 2 3 2 5 2" xfId="23080"/>
    <cellStyle name="40% - Accent3 4 2 2 3 2 5 3" xfId="23081"/>
    <cellStyle name="40% - Accent3 4 2 2 3 2 6" xfId="23082"/>
    <cellStyle name="40% - Accent3 4 2 2 3 2 6 2" xfId="23083"/>
    <cellStyle name="40% - Accent3 4 2 2 3 2 6 3" xfId="23084"/>
    <cellStyle name="40% - Accent3 4 2 2 3 2 7" xfId="23085"/>
    <cellStyle name="40% - Accent3 4 2 2 3 2 7 2" xfId="23086"/>
    <cellStyle name="40% - Accent3 4 2 2 3 2 8" xfId="23087"/>
    <cellStyle name="40% - Accent3 4 2 2 3 2 9" xfId="23088"/>
    <cellStyle name="40% - Accent3 4 2 2 3 3" xfId="23089"/>
    <cellStyle name="40% - Accent3 4 2 2 3 3 2" xfId="23090"/>
    <cellStyle name="40% - Accent3 4 2 2 3 3 2 2" xfId="23091"/>
    <cellStyle name="40% - Accent3 4 2 2 3 3 2 3" xfId="23092"/>
    <cellStyle name="40% - Accent3 4 2 2 3 3 3" xfId="23093"/>
    <cellStyle name="40% - Accent3 4 2 2 3 3 3 2" xfId="23094"/>
    <cellStyle name="40% - Accent3 4 2 2 3 3 3 3" xfId="23095"/>
    <cellStyle name="40% - Accent3 4 2 2 3 3 4" xfId="23096"/>
    <cellStyle name="40% - Accent3 4 2 2 3 3 4 2" xfId="23097"/>
    <cellStyle name="40% - Accent3 4 2 2 3 3 5" xfId="23098"/>
    <cellStyle name="40% - Accent3 4 2 2 3 3 6" xfId="23099"/>
    <cellStyle name="40% - Accent3 4 2 2 3 4" xfId="23100"/>
    <cellStyle name="40% - Accent3 4 2 2 3 4 2" xfId="23101"/>
    <cellStyle name="40% - Accent3 4 2 2 3 4 2 2" xfId="23102"/>
    <cellStyle name="40% - Accent3 4 2 2 3 4 2 3" xfId="23103"/>
    <cellStyle name="40% - Accent3 4 2 2 3 4 3" xfId="23104"/>
    <cellStyle name="40% - Accent3 4 2 2 3 4 3 2" xfId="23105"/>
    <cellStyle name="40% - Accent3 4 2 2 3 4 3 3" xfId="23106"/>
    <cellStyle name="40% - Accent3 4 2 2 3 4 4" xfId="23107"/>
    <cellStyle name="40% - Accent3 4 2 2 3 4 4 2" xfId="23108"/>
    <cellStyle name="40% - Accent3 4 2 2 3 4 5" xfId="23109"/>
    <cellStyle name="40% - Accent3 4 2 2 3 4 6" xfId="23110"/>
    <cellStyle name="40% - Accent3 4 2 2 3 5" xfId="23111"/>
    <cellStyle name="40% - Accent3 4 2 2 3 5 2" xfId="23112"/>
    <cellStyle name="40% - Accent3 4 2 2 3 5 2 2" xfId="23113"/>
    <cellStyle name="40% - Accent3 4 2 2 3 5 2 3" xfId="23114"/>
    <cellStyle name="40% - Accent3 4 2 2 3 5 3" xfId="23115"/>
    <cellStyle name="40% - Accent3 4 2 2 3 5 3 2" xfId="23116"/>
    <cellStyle name="40% - Accent3 4 2 2 3 5 4" xfId="23117"/>
    <cellStyle name="40% - Accent3 4 2 2 3 5 5" xfId="23118"/>
    <cellStyle name="40% - Accent3 4 2 2 3 6" xfId="23119"/>
    <cellStyle name="40% - Accent3 4 2 2 3 6 2" xfId="23120"/>
    <cellStyle name="40% - Accent3 4 2 2 3 6 3" xfId="23121"/>
    <cellStyle name="40% - Accent3 4 2 2 3 7" xfId="23122"/>
    <cellStyle name="40% - Accent3 4 2 2 3 7 2" xfId="23123"/>
    <cellStyle name="40% - Accent3 4 2 2 3 7 3" xfId="23124"/>
    <cellStyle name="40% - Accent3 4 2 2 3 8" xfId="23125"/>
    <cellStyle name="40% - Accent3 4 2 2 3 8 2" xfId="23126"/>
    <cellStyle name="40% - Accent3 4 2 2 3 9" xfId="23127"/>
    <cellStyle name="40% - Accent3 4 2 2 4" xfId="2005"/>
    <cellStyle name="40% - Accent3 4 2 2 4 2" xfId="23128"/>
    <cellStyle name="40% - Accent3 4 2 2 4 2 2" xfId="23129"/>
    <cellStyle name="40% - Accent3 4 2 2 4 2 2 2" xfId="23130"/>
    <cellStyle name="40% - Accent3 4 2 2 4 2 2 3" xfId="23131"/>
    <cellStyle name="40% - Accent3 4 2 2 4 2 3" xfId="23132"/>
    <cellStyle name="40% - Accent3 4 2 2 4 2 3 2" xfId="23133"/>
    <cellStyle name="40% - Accent3 4 2 2 4 2 3 3" xfId="23134"/>
    <cellStyle name="40% - Accent3 4 2 2 4 2 4" xfId="23135"/>
    <cellStyle name="40% - Accent3 4 2 2 4 2 4 2" xfId="23136"/>
    <cellStyle name="40% - Accent3 4 2 2 4 2 5" xfId="23137"/>
    <cellStyle name="40% - Accent3 4 2 2 4 2 6" xfId="23138"/>
    <cellStyle name="40% - Accent3 4 2 2 4 3" xfId="23139"/>
    <cellStyle name="40% - Accent3 4 2 2 4 3 2" xfId="23140"/>
    <cellStyle name="40% - Accent3 4 2 2 4 3 2 2" xfId="23141"/>
    <cellStyle name="40% - Accent3 4 2 2 4 3 2 3" xfId="23142"/>
    <cellStyle name="40% - Accent3 4 2 2 4 3 3" xfId="23143"/>
    <cellStyle name="40% - Accent3 4 2 2 4 3 3 2" xfId="23144"/>
    <cellStyle name="40% - Accent3 4 2 2 4 3 3 3" xfId="23145"/>
    <cellStyle name="40% - Accent3 4 2 2 4 3 4" xfId="23146"/>
    <cellStyle name="40% - Accent3 4 2 2 4 3 4 2" xfId="23147"/>
    <cellStyle name="40% - Accent3 4 2 2 4 3 5" xfId="23148"/>
    <cellStyle name="40% - Accent3 4 2 2 4 3 6" xfId="23149"/>
    <cellStyle name="40% - Accent3 4 2 2 4 4" xfId="23150"/>
    <cellStyle name="40% - Accent3 4 2 2 4 4 2" xfId="23151"/>
    <cellStyle name="40% - Accent3 4 2 2 4 4 2 2" xfId="23152"/>
    <cellStyle name="40% - Accent3 4 2 2 4 4 2 3" xfId="23153"/>
    <cellStyle name="40% - Accent3 4 2 2 4 4 3" xfId="23154"/>
    <cellStyle name="40% - Accent3 4 2 2 4 4 3 2" xfId="23155"/>
    <cellStyle name="40% - Accent3 4 2 2 4 4 4" xfId="23156"/>
    <cellStyle name="40% - Accent3 4 2 2 4 4 5" xfId="23157"/>
    <cellStyle name="40% - Accent3 4 2 2 4 5" xfId="23158"/>
    <cellStyle name="40% - Accent3 4 2 2 4 5 2" xfId="23159"/>
    <cellStyle name="40% - Accent3 4 2 2 4 5 3" xfId="23160"/>
    <cellStyle name="40% - Accent3 4 2 2 4 6" xfId="23161"/>
    <cellStyle name="40% - Accent3 4 2 2 4 6 2" xfId="23162"/>
    <cellStyle name="40% - Accent3 4 2 2 4 6 3" xfId="23163"/>
    <cellStyle name="40% - Accent3 4 2 2 4 7" xfId="23164"/>
    <cellStyle name="40% - Accent3 4 2 2 4 7 2" xfId="23165"/>
    <cellStyle name="40% - Accent3 4 2 2 4 8" xfId="23166"/>
    <cellStyle name="40% - Accent3 4 2 2 4 9" xfId="23167"/>
    <cellStyle name="40% - Accent3 4 2 2 5" xfId="23168"/>
    <cellStyle name="40% - Accent3 4 2 2 5 2" xfId="23169"/>
    <cellStyle name="40% - Accent3 4 2 2 5 2 2" xfId="23170"/>
    <cellStyle name="40% - Accent3 4 2 2 5 2 2 2" xfId="23171"/>
    <cellStyle name="40% - Accent3 4 2 2 5 2 2 3" xfId="23172"/>
    <cellStyle name="40% - Accent3 4 2 2 5 2 3" xfId="23173"/>
    <cellStyle name="40% - Accent3 4 2 2 5 2 3 2" xfId="23174"/>
    <cellStyle name="40% - Accent3 4 2 2 5 2 3 3" xfId="23175"/>
    <cellStyle name="40% - Accent3 4 2 2 5 2 4" xfId="23176"/>
    <cellStyle name="40% - Accent3 4 2 2 5 2 4 2" xfId="23177"/>
    <cellStyle name="40% - Accent3 4 2 2 5 2 5" xfId="23178"/>
    <cellStyle name="40% - Accent3 4 2 2 5 2 6" xfId="23179"/>
    <cellStyle name="40% - Accent3 4 2 2 5 3" xfId="23180"/>
    <cellStyle name="40% - Accent3 4 2 2 5 3 2" xfId="23181"/>
    <cellStyle name="40% - Accent3 4 2 2 5 3 2 2" xfId="23182"/>
    <cellStyle name="40% - Accent3 4 2 2 5 3 2 3" xfId="23183"/>
    <cellStyle name="40% - Accent3 4 2 2 5 3 3" xfId="23184"/>
    <cellStyle name="40% - Accent3 4 2 2 5 3 3 2" xfId="23185"/>
    <cellStyle name="40% - Accent3 4 2 2 5 3 3 3" xfId="23186"/>
    <cellStyle name="40% - Accent3 4 2 2 5 3 4" xfId="23187"/>
    <cellStyle name="40% - Accent3 4 2 2 5 3 4 2" xfId="23188"/>
    <cellStyle name="40% - Accent3 4 2 2 5 3 5" xfId="23189"/>
    <cellStyle name="40% - Accent3 4 2 2 5 3 6" xfId="23190"/>
    <cellStyle name="40% - Accent3 4 2 2 5 4" xfId="23191"/>
    <cellStyle name="40% - Accent3 4 2 2 5 4 2" xfId="23192"/>
    <cellStyle name="40% - Accent3 4 2 2 5 4 2 2" xfId="23193"/>
    <cellStyle name="40% - Accent3 4 2 2 5 4 2 3" xfId="23194"/>
    <cellStyle name="40% - Accent3 4 2 2 5 4 3" xfId="23195"/>
    <cellStyle name="40% - Accent3 4 2 2 5 4 3 2" xfId="23196"/>
    <cellStyle name="40% - Accent3 4 2 2 5 4 4" xfId="23197"/>
    <cellStyle name="40% - Accent3 4 2 2 5 4 5" xfId="23198"/>
    <cellStyle name="40% - Accent3 4 2 2 5 5" xfId="23199"/>
    <cellStyle name="40% - Accent3 4 2 2 5 5 2" xfId="23200"/>
    <cellStyle name="40% - Accent3 4 2 2 5 5 3" xfId="23201"/>
    <cellStyle name="40% - Accent3 4 2 2 5 6" xfId="23202"/>
    <cellStyle name="40% - Accent3 4 2 2 5 6 2" xfId="23203"/>
    <cellStyle name="40% - Accent3 4 2 2 5 6 3" xfId="23204"/>
    <cellStyle name="40% - Accent3 4 2 2 5 7" xfId="23205"/>
    <cellStyle name="40% - Accent3 4 2 2 5 7 2" xfId="23206"/>
    <cellStyle name="40% - Accent3 4 2 2 5 8" xfId="23207"/>
    <cellStyle name="40% - Accent3 4 2 2 5 9" xfId="23208"/>
    <cellStyle name="40% - Accent3 4 2 2 6" xfId="23209"/>
    <cellStyle name="40% - Accent3 4 2 2 6 2" xfId="23210"/>
    <cellStyle name="40% - Accent3 4 2 2 6 2 2" xfId="23211"/>
    <cellStyle name="40% - Accent3 4 2 2 6 2 3" xfId="23212"/>
    <cellStyle name="40% - Accent3 4 2 2 6 3" xfId="23213"/>
    <cellStyle name="40% - Accent3 4 2 2 6 3 2" xfId="23214"/>
    <cellStyle name="40% - Accent3 4 2 2 6 3 3" xfId="23215"/>
    <cellStyle name="40% - Accent3 4 2 2 6 4" xfId="23216"/>
    <cellStyle name="40% - Accent3 4 2 2 6 4 2" xfId="23217"/>
    <cellStyle name="40% - Accent3 4 2 2 6 5" xfId="23218"/>
    <cellStyle name="40% - Accent3 4 2 2 6 6" xfId="23219"/>
    <cellStyle name="40% - Accent3 4 2 2 7" xfId="23220"/>
    <cellStyle name="40% - Accent3 4 2 2 7 2" xfId="23221"/>
    <cellStyle name="40% - Accent3 4 2 2 7 2 2" xfId="23222"/>
    <cellStyle name="40% - Accent3 4 2 2 7 2 3" xfId="23223"/>
    <cellStyle name="40% - Accent3 4 2 2 7 3" xfId="23224"/>
    <cellStyle name="40% - Accent3 4 2 2 7 3 2" xfId="23225"/>
    <cellStyle name="40% - Accent3 4 2 2 7 3 3" xfId="23226"/>
    <cellStyle name="40% - Accent3 4 2 2 7 4" xfId="23227"/>
    <cellStyle name="40% - Accent3 4 2 2 7 4 2" xfId="23228"/>
    <cellStyle name="40% - Accent3 4 2 2 7 5" xfId="23229"/>
    <cellStyle name="40% - Accent3 4 2 2 7 6" xfId="23230"/>
    <cellStyle name="40% - Accent3 4 2 2 8" xfId="23231"/>
    <cellStyle name="40% - Accent3 4 2 2 8 2" xfId="23232"/>
    <cellStyle name="40% - Accent3 4 2 2 8 2 2" xfId="23233"/>
    <cellStyle name="40% - Accent3 4 2 2 8 2 3" xfId="23234"/>
    <cellStyle name="40% - Accent3 4 2 2 8 3" xfId="23235"/>
    <cellStyle name="40% - Accent3 4 2 2 8 3 2" xfId="23236"/>
    <cellStyle name="40% - Accent3 4 2 2 8 4" xfId="23237"/>
    <cellStyle name="40% - Accent3 4 2 2 8 5" xfId="23238"/>
    <cellStyle name="40% - Accent3 4 2 2 9" xfId="23239"/>
    <cellStyle name="40% - Accent3 4 2 2 9 2" xfId="23240"/>
    <cellStyle name="40% - Accent3 4 2 2 9 3" xfId="23241"/>
    <cellStyle name="40% - Accent3 4 2 3" xfId="2006"/>
    <cellStyle name="40% - Accent3 4 2 3 10" xfId="23242"/>
    <cellStyle name="40% - Accent3 4 2 3 10 2" xfId="23243"/>
    <cellStyle name="40% - Accent3 4 2 3 11" xfId="23244"/>
    <cellStyle name="40% - Accent3 4 2 3 12" xfId="23245"/>
    <cellStyle name="40% - Accent3 4 2 3 2" xfId="2007"/>
    <cellStyle name="40% - Accent3 4 2 3 2 10" xfId="23246"/>
    <cellStyle name="40% - Accent3 4 2 3 2 2" xfId="2008"/>
    <cellStyle name="40% - Accent3 4 2 3 2 2 2" xfId="23247"/>
    <cellStyle name="40% - Accent3 4 2 3 2 2 2 2" xfId="23248"/>
    <cellStyle name="40% - Accent3 4 2 3 2 2 2 2 2" xfId="23249"/>
    <cellStyle name="40% - Accent3 4 2 3 2 2 2 2 3" xfId="23250"/>
    <cellStyle name="40% - Accent3 4 2 3 2 2 2 3" xfId="23251"/>
    <cellStyle name="40% - Accent3 4 2 3 2 2 2 3 2" xfId="23252"/>
    <cellStyle name="40% - Accent3 4 2 3 2 2 2 3 3" xfId="23253"/>
    <cellStyle name="40% - Accent3 4 2 3 2 2 2 4" xfId="23254"/>
    <cellStyle name="40% - Accent3 4 2 3 2 2 2 4 2" xfId="23255"/>
    <cellStyle name="40% - Accent3 4 2 3 2 2 2 5" xfId="23256"/>
    <cellStyle name="40% - Accent3 4 2 3 2 2 2 6" xfId="23257"/>
    <cellStyle name="40% - Accent3 4 2 3 2 2 3" xfId="23258"/>
    <cellStyle name="40% - Accent3 4 2 3 2 2 3 2" xfId="23259"/>
    <cellStyle name="40% - Accent3 4 2 3 2 2 3 2 2" xfId="23260"/>
    <cellStyle name="40% - Accent3 4 2 3 2 2 3 2 3" xfId="23261"/>
    <cellStyle name="40% - Accent3 4 2 3 2 2 3 3" xfId="23262"/>
    <cellStyle name="40% - Accent3 4 2 3 2 2 3 3 2" xfId="23263"/>
    <cellStyle name="40% - Accent3 4 2 3 2 2 3 3 3" xfId="23264"/>
    <cellStyle name="40% - Accent3 4 2 3 2 2 3 4" xfId="23265"/>
    <cellStyle name="40% - Accent3 4 2 3 2 2 3 4 2" xfId="23266"/>
    <cellStyle name="40% - Accent3 4 2 3 2 2 3 5" xfId="23267"/>
    <cellStyle name="40% - Accent3 4 2 3 2 2 3 6" xfId="23268"/>
    <cellStyle name="40% - Accent3 4 2 3 2 2 4" xfId="23269"/>
    <cellStyle name="40% - Accent3 4 2 3 2 2 4 2" xfId="23270"/>
    <cellStyle name="40% - Accent3 4 2 3 2 2 4 2 2" xfId="23271"/>
    <cellStyle name="40% - Accent3 4 2 3 2 2 4 2 3" xfId="23272"/>
    <cellStyle name="40% - Accent3 4 2 3 2 2 4 3" xfId="23273"/>
    <cellStyle name="40% - Accent3 4 2 3 2 2 4 3 2" xfId="23274"/>
    <cellStyle name="40% - Accent3 4 2 3 2 2 4 4" xfId="23275"/>
    <cellStyle name="40% - Accent3 4 2 3 2 2 4 5" xfId="23276"/>
    <cellStyle name="40% - Accent3 4 2 3 2 2 5" xfId="23277"/>
    <cellStyle name="40% - Accent3 4 2 3 2 2 5 2" xfId="23278"/>
    <cellStyle name="40% - Accent3 4 2 3 2 2 5 3" xfId="23279"/>
    <cellStyle name="40% - Accent3 4 2 3 2 2 6" xfId="23280"/>
    <cellStyle name="40% - Accent3 4 2 3 2 2 6 2" xfId="23281"/>
    <cellStyle name="40% - Accent3 4 2 3 2 2 6 3" xfId="23282"/>
    <cellStyle name="40% - Accent3 4 2 3 2 2 7" xfId="23283"/>
    <cellStyle name="40% - Accent3 4 2 3 2 2 7 2" xfId="23284"/>
    <cellStyle name="40% - Accent3 4 2 3 2 2 8" xfId="23285"/>
    <cellStyle name="40% - Accent3 4 2 3 2 2 9" xfId="23286"/>
    <cellStyle name="40% - Accent3 4 2 3 2 3" xfId="23287"/>
    <cellStyle name="40% - Accent3 4 2 3 2 3 2" xfId="23288"/>
    <cellStyle name="40% - Accent3 4 2 3 2 3 2 2" xfId="23289"/>
    <cellStyle name="40% - Accent3 4 2 3 2 3 2 3" xfId="23290"/>
    <cellStyle name="40% - Accent3 4 2 3 2 3 3" xfId="23291"/>
    <cellStyle name="40% - Accent3 4 2 3 2 3 3 2" xfId="23292"/>
    <cellStyle name="40% - Accent3 4 2 3 2 3 3 3" xfId="23293"/>
    <cellStyle name="40% - Accent3 4 2 3 2 3 4" xfId="23294"/>
    <cellStyle name="40% - Accent3 4 2 3 2 3 4 2" xfId="23295"/>
    <cellStyle name="40% - Accent3 4 2 3 2 3 5" xfId="23296"/>
    <cellStyle name="40% - Accent3 4 2 3 2 3 6" xfId="23297"/>
    <cellStyle name="40% - Accent3 4 2 3 2 4" xfId="23298"/>
    <cellStyle name="40% - Accent3 4 2 3 2 4 2" xfId="23299"/>
    <cellStyle name="40% - Accent3 4 2 3 2 4 2 2" xfId="23300"/>
    <cellStyle name="40% - Accent3 4 2 3 2 4 2 3" xfId="23301"/>
    <cellStyle name="40% - Accent3 4 2 3 2 4 3" xfId="23302"/>
    <cellStyle name="40% - Accent3 4 2 3 2 4 3 2" xfId="23303"/>
    <cellStyle name="40% - Accent3 4 2 3 2 4 3 3" xfId="23304"/>
    <cellStyle name="40% - Accent3 4 2 3 2 4 4" xfId="23305"/>
    <cellStyle name="40% - Accent3 4 2 3 2 4 4 2" xfId="23306"/>
    <cellStyle name="40% - Accent3 4 2 3 2 4 5" xfId="23307"/>
    <cellStyle name="40% - Accent3 4 2 3 2 4 6" xfId="23308"/>
    <cellStyle name="40% - Accent3 4 2 3 2 5" xfId="23309"/>
    <cellStyle name="40% - Accent3 4 2 3 2 5 2" xfId="23310"/>
    <cellStyle name="40% - Accent3 4 2 3 2 5 2 2" xfId="23311"/>
    <cellStyle name="40% - Accent3 4 2 3 2 5 2 3" xfId="23312"/>
    <cellStyle name="40% - Accent3 4 2 3 2 5 3" xfId="23313"/>
    <cellStyle name="40% - Accent3 4 2 3 2 5 3 2" xfId="23314"/>
    <cellStyle name="40% - Accent3 4 2 3 2 5 4" xfId="23315"/>
    <cellStyle name="40% - Accent3 4 2 3 2 5 5" xfId="23316"/>
    <cellStyle name="40% - Accent3 4 2 3 2 6" xfId="23317"/>
    <cellStyle name="40% - Accent3 4 2 3 2 6 2" xfId="23318"/>
    <cellStyle name="40% - Accent3 4 2 3 2 6 3" xfId="23319"/>
    <cellStyle name="40% - Accent3 4 2 3 2 7" xfId="23320"/>
    <cellStyle name="40% - Accent3 4 2 3 2 7 2" xfId="23321"/>
    <cellStyle name="40% - Accent3 4 2 3 2 7 3" xfId="23322"/>
    <cellStyle name="40% - Accent3 4 2 3 2 8" xfId="23323"/>
    <cellStyle name="40% - Accent3 4 2 3 2 8 2" xfId="23324"/>
    <cellStyle name="40% - Accent3 4 2 3 2 9" xfId="23325"/>
    <cellStyle name="40% - Accent3 4 2 3 3" xfId="2009"/>
    <cellStyle name="40% - Accent3 4 2 3 3 2" xfId="23326"/>
    <cellStyle name="40% - Accent3 4 2 3 3 2 2" xfId="23327"/>
    <cellStyle name="40% - Accent3 4 2 3 3 2 2 2" xfId="23328"/>
    <cellStyle name="40% - Accent3 4 2 3 3 2 2 3" xfId="23329"/>
    <cellStyle name="40% - Accent3 4 2 3 3 2 3" xfId="23330"/>
    <cellStyle name="40% - Accent3 4 2 3 3 2 3 2" xfId="23331"/>
    <cellStyle name="40% - Accent3 4 2 3 3 2 3 3" xfId="23332"/>
    <cellStyle name="40% - Accent3 4 2 3 3 2 4" xfId="23333"/>
    <cellStyle name="40% - Accent3 4 2 3 3 2 4 2" xfId="23334"/>
    <cellStyle name="40% - Accent3 4 2 3 3 2 5" xfId="23335"/>
    <cellStyle name="40% - Accent3 4 2 3 3 2 6" xfId="23336"/>
    <cellStyle name="40% - Accent3 4 2 3 3 3" xfId="23337"/>
    <cellStyle name="40% - Accent3 4 2 3 3 3 2" xfId="23338"/>
    <cellStyle name="40% - Accent3 4 2 3 3 3 2 2" xfId="23339"/>
    <cellStyle name="40% - Accent3 4 2 3 3 3 2 3" xfId="23340"/>
    <cellStyle name="40% - Accent3 4 2 3 3 3 3" xfId="23341"/>
    <cellStyle name="40% - Accent3 4 2 3 3 3 3 2" xfId="23342"/>
    <cellStyle name="40% - Accent3 4 2 3 3 3 3 3" xfId="23343"/>
    <cellStyle name="40% - Accent3 4 2 3 3 3 4" xfId="23344"/>
    <cellStyle name="40% - Accent3 4 2 3 3 3 4 2" xfId="23345"/>
    <cellStyle name="40% - Accent3 4 2 3 3 3 5" xfId="23346"/>
    <cellStyle name="40% - Accent3 4 2 3 3 3 6" xfId="23347"/>
    <cellStyle name="40% - Accent3 4 2 3 3 4" xfId="23348"/>
    <cellStyle name="40% - Accent3 4 2 3 3 4 2" xfId="23349"/>
    <cellStyle name="40% - Accent3 4 2 3 3 4 2 2" xfId="23350"/>
    <cellStyle name="40% - Accent3 4 2 3 3 4 2 3" xfId="23351"/>
    <cellStyle name="40% - Accent3 4 2 3 3 4 3" xfId="23352"/>
    <cellStyle name="40% - Accent3 4 2 3 3 4 3 2" xfId="23353"/>
    <cellStyle name="40% - Accent3 4 2 3 3 4 4" xfId="23354"/>
    <cellStyle name="40% - Accent3 4 2 3 3 4 5" xfId="23355"/>
    <cellStyle name="40% - Accent3 4 2 3 3 5" xfId="23356"/>
    <cellStyle name="40% - Accent3 4 2 3 3 5 2" xfId="23357"/>
    <cellStyle name="40% - Accent3 4 2 3 3 5 3" xfId="23358"/>
    <cellStyle name="40% - Accent3 4 2 3 3 6" xfId="23359"/>
    <cellStyle name="40% - Accent3 4 2 3 3 6 2" xfId="23360"/>
    <cellStyle name="40% - Accent3 4 2 3 3 6 3" xfId="23361"/>
    <cellStyle name="40% - Accent3 4 2 3 3 7" xfId="23362"/>
    <cellStyle name="40% - Accent3 4 2 3 3 7 2" xfId="23363"/>
    <cellStyle name="40% - Accent3 4 2 3 3 8" xfId="23364"/>
    <cellStyle name="40% - Accent3 4 2 3 3 9" xfId="23365"/>
    <cellStyle name="40% - Accent3 4 2 3 4" xfId="23366"/>
    <cellStyle name="40% - Accent3 4 2 3 4 2" xfId="23367"/>
    <cellStyle name="40% - Accent3 4 2 3 4 2 2" xfId="23368"/>
    <cellStyle name="40% - Accent3 4 2 3 4 2 2 2" xfId="23369"/>
    <cellStyle name="40% - Accent3 4 2 3 4 2 2 3" xfId="23370"/>
    <cellStyle name="40% - Accent3 4 2 3 4 2 3" xfId="23371"/>
    <cellStyle name="40% - Accent3 4 2 3 4 2 3 2" xfId="23372"/>
    <cellStyle name="40% - Accent3 4 2 3 4 2 3 3" xfId="23373"/>
    <cellStyle name="40% - Accent3 4 2 3 4 2 4" xfId="23374"/>
    <cellStyle name="40% - Accent3 4 2 3 4 2 4 2" xfId="23375"/>
    <cellStyle name="40% - Accent3 4 2 3 4 2 5" xfId="23376"/>
    <cellStyle name="40% - Accent3 4 2 3 4 2 6" xfId="23377"/>
    <cellStyle name="40% - Accent3 4 2 3 4 3" xfId="23378"/>
    <cellStyle name="40% - Accent3 4 2 3 4 3 2" xfId="23379"/>
    <cellStyle name="40% - Accent3 4 2 3 4 3 2 2" xfId="23380"/>
    <cellStyle name="40% - Accent3 4 2 3 4 3 2 3" xfId="23381"/>
    <cellStyle name="40% - Accent3 4 2 3 4 3 3" xfId="23382"/>
    <cellStyle name="40% - Accent3 4 2 3 4 3 3 2" xfId="23383"/>
    <cellStyle name="40% - Accent3 4 2 3 4 3 3 3" xfId="23384"/>
    <cellStyle name="40% - Accent3 4 2 3 4 3 4" xfId="23385"/>
    <cellStyle name="40% - Accent3 4 2 3 4 3 4 2" xfId="23386"/>
    <cellStyle name="40% - Accent3 4 2 3 4 3 5" xfId="23387"/>
    <cellStyle name="40% - Accent3 4 2 3 4 3 6" xfId="23388"/>
    <cellStyle name="40% - Accent3 4 2 3 4 4" xfId="23389"/>
    <cellStyle name="40% - Accent3 4 2 3 4 4 2" xfId="23390"/>
    <cellStyle name="40% - Accent3 4 2 3 4 4 2 2" xfId="23391"/>
    <cellStyle name="40% - Accent3 4 2 3 4 4 2 3" xfId="23392"/>
    <cellStyle name="40% - Accent3 4 2 3 4 4 3" xfId="23393"/>
    <cellStyle name="40% - Accent3 4 2 3 4 4 3 2" xfId="23394"/>
    <cellStyle name="40% - Accent3 4 2 3 4 4 4" xfId="23395"/>
    <cellStyle name="40% - Accent3 4 2 3 4 4 5" xfId="23396"/>
    <cellStyle name="40% - Accent3 4 2 3 4 5" xfId="23397"/>
    <cellStyle name="40% - Accent3 4 2 3 4 5 2" xfId="23398"/>
    <cellStyle name="40% - Accent3 4 2 3 4 5 3" xfId="23399"/>
    <cellStyle name="40% - Accent3 4 2 3 4 6" xfId="23400"/>
    <cellStyle name="40% - Accent3 4 2 3 4 6 2" xfId="23401"/>
    <cellStyle name="40% - Accent3 4 2 3 4 6 3" xfId="23402"/>
    <cellStyle name="40% - Accent3 4 2 3 4 7" xfId="23403"/>
    <cellStyle name="40% - Accent3 4 2 3 4 7 2" xfId="23404"/>
    <cellStyle name="40% - Accent3 4 2 3 4 8" xfId="23405"/>
    <cellStyle name="40% - Accent3 4 2 3 4 9" xfId="23406"/>
    <cellStyle name="40% - Accent3 4 2 3 5" xfId="23407"/>
    <cellStyle name="40% - Accent3 4 2 3 5 2" xfId="23408"/>
    <cellStyle name="40% - Accent3 4 2 3 5 2 2" xfId="23409"/>
    <cellStyle name="40% - Accent3 4 2 3 5 2 3" xfId="23410"/>
    <cellStyle name="40% - Accent3 4 2 3 5 3" xfId="23411"/>
    <cellStyle name="40% - Accent3 4 2 3 5 3 2" xfId="23412"/>
    <cellStyle name="40% - Accent3 4 2 3 5 3 3" xfId="23413"/>
    <cellStyle name="40% - Accent3 4 2 3 5 4" xfId="23414"/>
    <cellStyle name="40% - Accent3 4 2 3 5 4 2" xfId="23415"/>
    <cellStyle name="40% - Accent3 4 2 3 5 5" xfId="23416"/>
    <cellStyle name="40% - Accent3 4 2 3 5 6" xfId="23417"/>
    <cellStyle name="40% - Accent3 4 2 3 6" xfId="23418"/>
    <cellStyle name="40% - Accent3 4 2 3 6 2" xfId="23419"/>
    <cellStyle name="40% - Accent3 4 2 3 6 2 2" xfId="23420"/>
    <cellStyle name="40% - Accent3 4 2 3 6 2 3" xfId="23421"/>
    <cellStyle name="40% - Accent3 4 2 3 6 3" xfId="23422"/>
    <cellStyle name="40% - Accent3 4 2 3 6 3 2" xfId="23423"/>
    <cellStyle name="40% - Accent3 4 2 3 6 3 3" xfId="23424"/>
    <cellStyle name="40% - Accent3 4 2 3 6 4" xfId="23425"/>
    <cellStyle name="40% - Accent3 4 2 3 6 4 2" xfId="23426"/>
    <cellStyle name="40% - Accent3 4 2 3 6 5" xfId="23427"/>
    <cellStyle name="40% - Accent3 4 2 3 6 6" xfId="23428"/>
    <cellStyle name="40% - Accent3 4 2 3 7" xfId="23429"/>
    <cellStyle name="40% - Accent3 4 2 3 7 2" xfId="23430"/>
    <cellStyle name="40% - Accent3 4 2 3 7 2 2" xfId="23431"/>
    <cellStyle name="40% - Accent3 4 2 3 7 2 3" xfId="23432"/>
    <cellStyle name="40% - Accent3 4 2 3 7 3" xfId="23433"/>
    <cellStyle name="40% - Accent3 4 2 3 7 3 2" xfId="23434"/>
    <cellStyle name="40% - Accent3 4 2 3 7 4" xfId="23435"/>
    <cellStyle name="40% - Accent3 4 2 3 7 5" xfId="23436"/>
    <cellStyle name="40% - Accent3 4 2 3 8" xfId="23437"/>
    <cellStyle name="40% - Accent3 4 2 3 8 2" xfId="23438"/>
    <cellStyle name="40% - Accent3 4 2 3 8 3" xfId="23439"/>
    <cellStyle name="40% - Accent3 4 2 3 9" xfId="23440"/>
    <cellStyle name="40% - Accent3 4 2 3 9 2" xfId="23441"/>
    <cellStyle name="40% - Accent3 4 2 3 9 3" xfId="23442"/>
    <cellStyle name="40% - Accent3 4 2 4" xfId="2010"/>
    <cellStyle name="40% - Accent3 4 2 4 10" xfId="23443"/>
    <cellStyle name="40% - Accent3 4 2 4 2" xfId="2011"/>
    <cellStyle name="40% - Accent3 4 2 4 2 2" xfId="23444"/>
    <cellStyle name="40% - Accent3 4 2 4 2 2 2" xfId="23445"/>
    <cellStyle name="40% - Accent3 4 2 4 2 2 2 2" xfId="23446"/>
    <cellStyle name="40% - Accent3 4 2 4 2 2 2 3" xfId="23447"/>
    <cellStyle name="40% - Accent3 4 2 4 2 2 3" xfId="23448"/>
    <cellStyle name="40% - Accent3 4 2 4 2 2 3 2" xfId="23449"/>
    <cellStyle name="40% - Accent3 4 2 4 2 2 3 3" xfId="23450"/>
    <cellStyle name="40% - Accent3 4 2 4 2 2 4" xfId="23451"/>
    <cellStyle name="40% - Accent3 4 2 4 2 2 4 2" xfId="23452"/>
    <cellStyle name="40% - Accent3 4 2 4 2 2 5" xfId="23453"/>
    <cellStyle name="40% - Accent3 4 2 4 2 2 6" xfId="23454"/>
    <cellStyle name="40% - Accent3 4 2 4 2 3" xfId="23455"/>
    <cellStyle name="40% - Accent3 4 2 4 2 3 2" xfId="23456"/>
    <cellStyle name="40% - Accent3 4 2 4 2 3 2 2" xfId="23457"/>
    <cellStyle name="40% - Accent3 4 2 4 2 3 2 3" xfId="23458"/>
    <cellStyle name="40% - Accent3 4 2 4 2 3 3" xfId="23459"/>
    <cellStyle name="40% - Accent3 4 2 4 2 3 3 2" xfId="23460"/>
    <cellStyle name="40% - Accent3 4 2 4 2 3 3 3" xfId="23461"/>
    <cellStyle name="40% - Accent3 4 2 4 2 3 4" xfId="23462"/>
    <cellStyle name="40% - Accent3 4 2 4 2 3 4 2" xfId="23463"/>
    <cellStyle name="40% - Accent3 4 2 4 2 3 5" xfId="23464"/>
    <cellStyle name="40% - Accent3 4 2 4 2 3 6" xfId="23465"/>
    <cellStyle name="40% - Accent3 4 2 4 2 4" xfId="23466"/>
    <cellStyle name="40% - Accent3 4 2 4 2 4 2" xfId="23467"/>
    <cellStyle name="40% - Accent3 4 2 4 2 4 2 2" xfId="23468"/>
    <cellStyle name="40% - Accent3 4 2 4 2 4 2 3" xfId="23469"/>
    <cellStyle name="40% - Accent3 4 2 4 2 4 3" xfId="23470"/>
    <cellStyle name="40% - Accent3 4 2 4 2 4 3 2" xfId="23471"/>
    <cellStyle name="40% - Accent3 4 2 4 2 4 4" xfId="23472"/>
    <cellStyle name="40% - Accent3 4 2 4 2 4 5" xfId="23473"/>
    <cellStyle name="40% - Accent3 4 2 4 2 5" xfId="23474"/>
    <cellStyle name="40% - Accent3 4 2 4 2 5 2" xfId="23475"/>
    <cellStyle name="40% - Accent3 4 2 4 2 5 3" xfId="23476"/>
    <cellStyle name="40% - Accent3 4 2 4 2 6" xfId="23477"/>
    <cellStyle name="40% - Accent3 4 2 4 2 6 2" xfId="23478"/>
    <cellStyle name="40% - Accent3 4 2 4 2 6 3" xfId="23479"/>
    <cellStyle name="40% - Accent3 4 2 4 2 7" xfId="23480"/>
    <cellStyle name="40% - Accent3 4 2 4 2 7 2" xfId="23481"/>
    <cellStyle name="40% - Accent3 4 2 4 2 8" xfId="23482"/>
    <cellStyle name="40% - Accent3 4 2 4 2 9" xfId="23483"/>
    <cellStyle name="40% - Accent3 4 2 4 3" xfId="23484"/>
    <cellStyle name="40% - Accent3 4 2 4 3 2" xfId="23485"/>
    <cellStyle name="40% - Accent3 4 2 4 3 2 2" xfId="23486"/>
    <cellStyle name="40% - Accent3 4 2 4 3 2 3" xfId="23487"/>
    <cellStyle name="40% - Accent3 4 2 4 3 3" xfId="23488"/>
    <cellStyle name="40% - Accent3 4 2 4 3 3 2" xfId="23489"/>
    <cellStyle name="40% - Accent3 4 2 4 3 3 3" xfId="23490"/>
    <cellStyle name="40% - Accent3 4 2 4 3 4" xfId="23491"/>
    <cellStyle name="40% - Accent3 4 2 4 3 4 2" xfId="23492"/>
    <cellStyle name="40% - Accent3 4 2 4 3 5" xfId="23493"/>
    <cellStyle name="40% - Accent3 4 2 4 3 6" xfId="23494"/>
    <cellStyle name="40% - Accent3 4 2 4 4" xfId="23495"/>
    <cellStyle name="40% - Accent3 4 2 4 4 2" xfId="23496"/>
    <cellStyle name="40% - Accent3 4 2 4 4 2 2" xfId="23497"/>
    <cellStyle name="40% - Accent3 4 2 4 4 2 3" xfId="23498"/>
    <cellStyle name="40% - Accent3 4 2 4 4 3" xfId="23499"/>
    <cellStyle name="40% - Accent3 4 2 4 4 3 2" xfId="23500"/>
    <cellStyle name="40% - Accent3 4 2 4 4 3 3" xfId="23501"/>
    <cellStyle name="40% - Accent3 4 2 4 4 4" xfId="23502"/>
    <cellStyle name="40% - Accent3 4 2 4 4 4 2" xfId="23503"/>
    <cellStyle name="40% - Accent3 4 2 4 4 5" xfId="23504"/>
    <cellStyle name="40% - Accent3 4 2 4 4 6" xfId="23505"/>
    <cellStyle name="40% - Accent3 4 2 4 5" xfId="23506"/>
    <cellStyle name="40% - Accent3 4 2 4 5 2" xfId="23507"/>
    <cellStyle name="40% - Accent3 4 2 4 5 2 2" xfId="23508"/>
    <cellStyle name="40% - Accent3 4 2 4 5 2 3" xfId="23509"/>
    <cellStyle name="40% - Accent3 4 2 4 5 3" xfId="23510"/>
    <cellStyle name="40% - Accent3 4 2 4 5 3 2" xfId="23511"/>
    <cellStyle name="40% - Accent3 4 2 4 5 4" xfId="23512"/>
    <cellStyle name="40% - Accent3 4 2 4 5 5" xfId="23513"/>
    <cellStyle name="40% - Accent3 4 2 4 6" xfId="23514"/>
    <cellStyle name="40% - Accent3 4 2 4 6 2" xfId="23515"/>
    <cellStyle name="40% - Accent3 4 2 4 6 3" xfId="23516"/>
    <cellStyle name="40% - Accent3 4 2 4 7" xfId="23517"/>
    <cellStyle name="40% - Accent3 4 2 4 7 2" xfId="23518"/>
    <cellStyle name="40% - Accent3 4 2 4 7 3" xfId="23519"/>
    <cellStyle name="40% - Accent3 4 2 4 8" xfId="23520"/>
    <cellStyle name="40% - Accent3 4 2 4 8 2" xfId="23521"/>
    <cellStyle name="40% - Accent3 4 2 4 9" xfId="23522"/>
    <cellStyle name="40% - Accent3 4 2 5" xfId="2012"/>
    <cellStyle name="40% - Accent3 4 2 5 2" xfId="23523"/>
    <cellStyle name="40% - Accent3 4 2 5 2 2" xfId="23524"/>
    <cellStyle name="40% - Accent3 4 2 5 2 2 2" xfId="23525"/>
    <cellStyle name="40% - Accent3 4 2 5 2 2 3" xfId="23526"/>
    <cellStyle name="40% - Accent3 4 2 5 2 3" xfId="23527"/>
    <cellStyle name="40% - Accent3 4 2 5 2 3 2" xfId="23528"/>
    <cellStyle name="40% - Accent3 4 2 5 2 3 3" xfId="23529"/>
    <cellStyle name="40% - Accent3 4 2 5 2 4" xfId="23530"/>
    <cellStyle name="40% - Accent3 4 2 5 2 4 2" xfId="23531"/>
    <cellStyle name="40% - Accent3 4 2 5 2 5" xfId="23532"/>
    <cellStyle name="40% - Accent3 4 2 5 2 6" xfId="23533"/>
    <cellStyle name="40% - Accent3 4 2 5 3" xfId="23534"/>
    <cellStyle name="40% - Accent3 4 2 5 3 2" xfId="23535"/>
    <cellStyle name="40% - Accent3 4 2 5 3 2 2" xfId="23536"/>
    <cellStyle name="40% - Accent3 4 2 5 3 2 3" xfId="23537"/>
    <cellStyle name="40% - Accent3 4 2 5 3 3" xfId="23538"/>
    <cellStyle name="40% - Accent3 4 2 5 3 3 2" xfId="23539"/>
    <cellStyle name="40% - Accent3 4 2 5 3 3 3" xfId="23540"/>
    <cellStyle name="40% - Accent3 4 2 5 3 4" xfId="23541"/>
    <cellStyle name="40% - Accent3 4 2 5 3 4 2" xfId="23542"/>
    <cellStyle name="40% - Accent3 4 2 5 3 5" xfId="23543"/>
    <cellStyle name="40% - Accent3 4 2 5 3 6" xfId="23544"/>
    <cellStyle name="40% - Accent3 4 2 5 4" xfId="23545"/>
    <cellStyle name="40% - Accent3 4 2 5 4 2" xfId="23546"/>
    <cellStyle name="40% - Accent3 4 2 5 4 2 2" xfId="23547"/>
    <cellStyle name="40% - Accent3 4 2 5 4 2 3" xfId="23548"/>
    <cellStyle name="40% - Accent3 4 2 5 4 3" xfId="23549"/>
    <cellStyle name="40% - Accent3 4 2 5 4 3 2" xfId="23550"/>
    <cellStyle name="40% - Accent3 4 2 5 4 4" xfId="23551"/>
    <cellStyle name="40% - Accent3 4 2 5 4 5" xfId="23552"/>
    <cellStyle name="40% - Accent3 4 2 5 5" xfId="23553"/>
    <cellStyle name="40% - Accent3 4 2 5 5 2" xfId="23554"/>
    <cellStyle name="40% - Accent3 4 2 5 5 3" xfId="23555"/>
    <cellStyle name="40% - Accent3 4 2 5 6" xfId="23556"/>
    <cellStyle name="40% - Accent3 4 2 5 6 2" xfId="23557"/>
    <cellStyle name="40% - Accent3 4 2 5 6 3" xfId="23558"/>
    <cellStyle name="40% - Accent3 4 2 5 7" xfId="23559"/>
    <cellStyle name="40% - Accent3 4 2 5 7 2" xfId="23560"/>
    <cellStyle name="40% - Accent3 4 2 5 8" xfId="23561"/>
    <cellStyle name="40% - Accent3 4 2 5 9" xfId="23562"/>
    <cellStyle name="40% - Accent3 4 2 6" xfId="23563"/>
    <cellStyle name="40% - Accent3 4 2 6 2" xfId="23564"/>
    <cellStyle name="40% - Accent3 4 2 6 2 2" xfId="23565"/>
    <cellStyle name="40% - Accent3 4 2 6 2 2 2" xfId="23566"/>
    <cellStyle name="40% - Accent3 4 2 6 2 2 3" xfId="23567"/>
    <cellStyle name="40% - Accent3 4 2 6 2 3" xfId="23568"/>
    <cellStyle name="40% - Accent3 4 2 6 2 3 2" xfId="23569"/>
    <cellStyle name="40% - Accent3 4 2 6 2 3 3" xfId="23570"/>
    <cellStyle name="40% - Accent3 4 2 6 2 4" xfId="23571"/>
    <cellStyle name="40% - Accent3 4 2 6 2 4 2" xfId="23572"/>
    <cellStyle name="40% - Accent3 4 2 6 2 5" xfId="23573"/>
    <cellStyle name="40% - Accent3 4 2 6 2 6" xfId="23574"/>
    <cellStyle name="40% - Accent3 4 2 6 3" xfId="23575"/>
    <cellStyle name="40% - Accent3 4 2 6 3 2" xfId="23576"/>
    <cellStyle name="40% - Accent3 4 2 6 3 2 2" xfId="23577"/>
    <cellStyle name="40% - Accent3 4 2 6 3 2 3" xfId="23578"/>
    <cellStyle name="40% - Accent3 4 2 6 3 3" xfId="23579"/>
    <cellStyle name="40% - Accent3 4 2 6 3 3 2" xfId="23580"/>
    <cellStyle name="40% - Accent3 4 2 6 3 3 3" xfId="23581"/>
    <cellStyle name="40% - Accent3 4 2 6 3 4" xfId="23582"/>
    <cellStyle name="40% - Accent3 4 2 6 3 4 2" xfId="23583"/>
    <cellStyle name="40% - Accent3 4 2 6 3 5" xfId="23584"/>
    <cellStyle name="40% - Accent3 4 2 6 3 6" xfId="23585"/>
    <cellStyle name="40% - Accent3 4 2 6 4" xfId="23586"/>
    <cellStyle name="40% - Accent3 4 2 6 4 2" xfId="23587"/>
    <cellStyle name="40% - Accent3 4 2 6 4 2 2" xfId="23588"/>
    <cellStyle name="40% - Accent3 4 2 6 4 2 3" xfId="23589"/>
    <cellStyle name="40% - Accent3 4 2 6 4 3" xfId="23590"/>
    <cellStyle name="40% - Accent3 4 2 6 4 3 2" xfId="23591"/>
    <cellStyle name="40% - Accent3 4 2 6 4 4" xfId="23592"/>
    <cellStyle name="40% - Accent3 4 2 6 4 5" xfId="23593"/>
    <cellStyle name="40% - Accent3 4 2 6 5" xfId="23594"/>
    <cellStyle name="40% - Accent3 4 2 6 5 2" xfId="23595"/>
    <cellStyle name="40% - Accent3 4 2 6 5 3" xfId="23596"/>
    <cellStyle name="40% - Accent3 4 2 6 6" xfId="23597"/>
    <cellStyle name="40% - Accent3 4 2 6 6 2" xfId="23598"/>
    <cellStyle name="40% - Accent3 4 2 6 6 3" xfId="23599"/>
    <cellStyle name="40% - Accent3 4 2 6 7" xfId="23600"/>
    <cellStyle name="40% - Accent3 4 2 6 7 2" xfId="23601"/>
    <cellStyle name="40% - Accent3 4 2 6 8" xfId="23602"/>
    <cellStyle name="40% - Accent3 4 2 6 9" xfId="23603"/>
    <cellStyle name="40% - Accent3 4 2 7" xfId="23604"/>
    <cellStyle name="40% - Accent3 4 2 7 2" xfId="23605"/>
    <cellStyle name="40% - Accent3 4 2 7 2 2" xfId="23606"/>
    <cellStyle name="40% - Accent3 4 2 7 2 3" xfId="23607"/>
    <cellStyle name="40% - Accent3 4 2 7 3" xfId="23608"/>
    <cellStyle name="40% - Accent3 4 2 7 3 2" xfId="23609"/>
    <cellStyle name="40% - Accent3 4 2 7 3 3" xfId="23610"/>
    <cellStyle name="40% - Accent3 4 2 7 4" xfId="23611"/>
    <cellStyle name="40% - Accent3 4 2 7 4 2" xfId="23612"/>
    <cellStyle name="40% - Accent3 4 2 7 5" xfId="23613"/>
    <cellStyle name="40% - Accent3 4 2 7 6" xfId="23614"/>
    <cellStyle name="40% - Accent3 4 2 8" xfId="23615"/>
    <cellStyle name="40% - Accent3 4 2 8 2" xfId="23616"/>
    <cellStyle name="40% - Accent3 4 2 8 2 2" xfId="23617"/>
    <cellStyle name="40% - Accent3 4 2 8 2 3" xfId="23618"/>
    <cellStyle name="40% - Accent3 4 2 8 3" xfId="23619"/>
    <cellStyle name="40% - Accent3 4 2 8 3 2" xfId="23620"/>
    <cellStyle name="40% - Accent3 4 2 8 3 3" xfId="23621"/>
    <cellStyle name="40% - Accent3 4 2 8 4" xfId="23622"/>
    <cellStyle name="40% - Accent3 4 2 8 4 2" xfId="23623"/>
    <cellStyle name="40% - Accent3 4 2 8 5" xfId="23624"/>
    <cellStyle name="40% - Accent3 4 2 8 6" xfId="23625"/>
    <cellStyle name="40% - Accent3 4 2 9" xfId="23626"/>
    <cellStyle name="40% - Accent3 4 2 9 2" xfId="23627"/>
    <cellStyle name="40% - Accent3 4 2 9 2 2" xfId="23628"/>
    <cellStyle name="40% - Accent3 4 2 9 2 3" xfId="23629"/>
    <cellStyle name="40% - Accent3 4 2 9 3" xfId="23630"/>
    <cellStyle name="40% - Accent3 4 2 9 3 2" xfId="23631"/>
    <cellStyle name="40% - Accent3 4 2 9 4" xfId="23632"/>
    <cellStyle name="40% - Accent3 4 2 9 5" xfId="23633"/>
    <cellStyle name="40% - Accent3 4 3" xfId="2013"/>
    <cellStyle name="40% - Accent3 4 3 10" xfId="23634"/>
    <cellStyle name="40% - Accent3 4 3 10 2" xfId="23635"/>
    <cellStyle name="40% - Accent3 4 3 10 3" xfId="23636"/>
    <cellStyle name="40% - Accent3 4 3 11" xfId="23637"/>
    <cellStyle name="40% - Accent3 4 3 11 2" xfId="23638"/>
    <cellStyle name="40% - Accent3 4 3 12" xfId="23639"/>
    <cellStyle name="40% - Accent3 4 3 13" xfId="23640"/>
    <cellStyle name="40% - Accent3 4 3 14" xfId="23641"/>
    <cellStyle name="40% - Accent3 4 3 2" xfId="2014"/>
    <cellStyle name="40% - Accent3 4 3 2 10" xfId="23642"/>
    <cellStyle name="40% - Accent3 4 3 2 10 2" xfId="23643"/>
    <cellStyle name="40% - Accent3 4 3 2 11" xfId="23644"/>
    <cellStyle name="40% - Accent3 4 3 2 12" xfId="23645"/>
    <cellStyle name="40% - Accent3 4 3 2 2" xfId="2015"/>
    <cellStyle name="40% - Accent3 4 3 2 2 10" xfId="23646"/>
    <cellStyle name="40% - Accent3 4 3 2 2 2" xfId="2016"/>
    <cellStyle name="40% - Accent3 4 3 2 2 2 2" xfId="23647"/>
    <cellStyle name="40% - Accent3 4 3 2 2 2 2 2" xfId="23648"/>
    <cellStyle name="40% - Accent3 4 3 2 2 2 2 2 2" xfId="23649"/>
    <cellStyle name="40% - Accent3 4 3 2 2 2 2 2 3" xfId="23650"/>
    <cellStyle name="40% - Accent3 4 3 2 2 2 2 3" xfId="23651"/>
    <cellStyle name="40% - Accent3 4 3 2 2 2 2 3 2" xfId="23652"/>
    <cellStyle name="40% - Accent3 4 3 2 2 2 2 3 3" xfId="23653"/>
    <cellStyle name="40% - Accent3 4 3 2 2 2 2 4" xfId="23654"/>
    <cellStyle name="40% - Accent3 4 3 2 2 2 2 4 2" xfId="23655"/>
    <cellStyle name="40% - Accent3 4 3 2 2 2 2 5" xfId="23656"/>
    <cellStyle name="40% - Accent3 4 3 2 2 2 2 6" xfId="23657"/>
    <cellStyle name="40% - Accent3 4 3 2 2 2 3" xfId="23658"/>
    <cellStyle name="40% - Accent3 4 3 2 2 2 3 2" xfId="23659"/>
    <cellStyle name="40% - Accent3 4 3 2 2 2 3 2 2" xfId="23660"/>
    <cellStyle name="40% - Accent3 4 3 2 2 2 3 2 3" xfId="23661"/>
    <cellStyle name="40% - Accent3 4 3 2 2 2 3 3" xfId="23662"/>
    <cellStyle name="40% - Accent3 4 3 2 2 2 3 3 2" xfId="23663"/>
    <cellStyle name="40% - Accent3 4 3 2 2 2 3 3 3" xfId="23664"/>
    <cellStyle name="40% - Accent3 4 3 2 2 2 3 4" xfId="23665"/>
    <cellStyle name="40% - Accent3 4 3 2 2 2 3 4 2" xfId="23666"/>
    <cellStyle name="40% - Accent3 4 3 2 2 2 3 5" xfId="23667"/>
    <cellStyle name="40% - Accent3 4 3 2 2 2 3 6" xfId="23668"/>
    <cellStyle name="40% - Accent3 4 3 2 2 2 4" xfId="23669"/>
    <cellStyle name="40% - Accent3 4 3 2 2 2 4 2" xfId="23670"/>
    <cellStyle name="40% - Accent3 4 3 2 2 2 4 2 2" xfId="23671"/>
    <cellStyle name="40% - Accent3 4 3 2 2 2 4 2 3" xfId="23672"/>
    <cellStyle name="40% - Accent3 4 3 2 2 2 4 3" xfId="23673"/>
    <cellStyle name="40% - Accent3 4 3 2 2 2 4 3 2" xfId="23674"/>
    <cellStyle name="40% - Accent3 4 3 2 2 2 4 4" xfId="23675"/>
    <cellStyle name="40% - Accent3 4 3 2 2 2 4 5" xfId="23676"/>
    <cellStyle name="40% - Accent3 4 3 2 2 2 5" xfId="23677"/>
    <cellStyle name="40% - Accent3 4 3 2 2 2 5 2" xfId="23678"/>
    <cellStyle name="40% - Accent3 4 3 2 2 2 5 3" xfId="23679"/>
    <cellStyle name="40% - Accent3 4 3 2 2 2 6" xfId="23680"/>
    <cellStyle name="40% - Accent3 4 3 2 2 2 6 2" xfId="23681"/>
    <cellStyle name="40% - Accent3 4 3 2 2 2 6 3" xfId="23682"/>
    <cellStyle name="40% - Accent3 4 3 2 2 2 7" xfId="23683"/>
    <cellStyle name="40% - Accent3 4 3 2 2 2 7 2" xfId="23684"/>
    <cellStyle name="40% - Accent3 4 3 2 2 2 8" xfId="23685"/>
    <cellStyle name="40% - Accent3 4 3 2 2 2 9" xfId="23686"/>
    <cellStyle name="40% - Accent3 4 3 2 2 3" xfId="23687"/>
    <cellStyle name="40% - Accent3 4 3 2 2 3 2" xfId="23688"/>
    <cellStyle name="40% - Accent3 4 3 2 2 3 2 2" xfId="23689"/>
    <cellStyle name="40% - Accent3 4 3 2 2 3 2 3" xfId="23690"/>
    <cellStyle name="40% - Accent3 4 3 2 2 3 3" xfId="23691"/>
    <cellStyle name="40% - Accent3 4 3 2 2 3 3 2" xfId="23692"/>
    <cellStyle name="40% - Accent3 4 3 2 2 3 3 3" xfId="23693"/>
    <cellStyle name="40% - Accent3 4 3 2 2 3 4" xfId="23694"/>
    <cellStyle name="40% - Accent3 4 3 2 2 3 4 2" xfId="23695"/>
    <cellStyle name="40% - Accent3 4 3 2 2 3 5" xfId="23696"/>
    <cellStyle name="40% - Accent3 4 3 2 2 3 6" xfId="23697"/>
    <cellStyle name="40% - Accent3 4 3 2 2 4" xfId="23698"/>
    <cellStyle name="40% - Accent3 4 3 2 2 4 2" xfId="23699"/>
    <cellStyle name="40% - Accent3 4 3 2 2 4 2 2" xfId="23700"/>
    <cellStyle name="40% - Accent3 4 3 2 2 4 2 3" xfId="23701"/>
    <cellStyle name="40% - Accent3 4 3 2 2 4 3" xfId="23702"/>
    <cellStyle name="40% - Accent3 4 3 2 2 4 3 2" xfId="23703"/>
    <cellStyle name="40% - Accent3 4 3 2 2 4 3 3" xfId="23704"/>
    <cellStyle name="40% - Accent3 4 3 2 2 4 4" xfId="23705"/>
    <cellStyle name="40% - Accent3 4 3 2 2 4 4 2" xfId="23706"/>
    <cellStyle name="40% - Accent3 4 3 2 2 4 5" xfId="23707"/>
    <cellStyle name="40% - Accent3 4 3 2 2 4 6" xfId="23708"/>
    <cellStyle name="40% - Accent3 4 3 2 2 5" xfId="23709"/>
    <cellStyle name="40% - Accent3 4 3 2 2 5 2" xfId="23710"/>
    <cellStyle name="40% - Accent3 4 3 2 2 5 2 2" xfId="23711"/>
    <cellStyle name="40% - Accent3 4 3 2 2 5 2 3" xfId="23712"/>
    <cellStyle name="40% - Accent3 4 3 2 2 5 3" xfId="23713"/>
    <cellStyle name="40% - Accent3 4 3 2 2 5 3 2" xfId="23714"/>
    <cellStyle name="40% - Accent3 4 3 2 2 5 4" xfId="23715"/>
    <cellStyle name="40% - Accent3 4 3 2 2 5 5" xfId="23716"/>
    <cellStyle name="40% - Accent3 4 3 2 2 6" xfId="23717"/>
    <cellStyle name="40% - Accent3 4 3 2 2 6 2" xfId="23718"/>
    <cellStyle name="40% - Accent3 4 3 2 2 6 3" xfId="23719"/>
    <cellStyle name="40% - Accent3 4 3 2 2 7" xfId="23720"/>
    <cellStyle name="40% - Accent3 4 3 2 2 7 2" xfId="23721"/>
    <cellStyle name="40% - Accent3 4 3 2 2 7 3" xfId="23722"/>
    <cellStyle name="40% - Accent3 4 3 2 2 8" xfId="23723"/>
    <cellStyle name="40% - Accent3 4 3 2 2 8 2" xfId="23724"/>
    <cellStyle name="40% - Accent3 4 3 2 2 9" xfId="23725"/>
    <cellStyle name="40% - Accent3 4 3 2 3" xfId="2017"/>
    <cellStyle name="40% - Accent3 4 3 2 3 2" xfId="23726"/>
    <cellStyle name="40% - Accent3 4 3 2 3 2 2" xfId="23727"/>
    <cellStyle name="40% - Accent3 4 3 2 3 2 2 2" xfId="23728"/>
    <cellStyle name="40% - Accent3 4 3 2 3 2 2 3" xfId="23729"/>
    <cellStyle name="40% - Accent3 4 3 2 3 2 3" xfId="23730"/>
    <cellStyle name="40% - Accent3 4 3 2 3 2 3 2" xfId="23731"/>
    <cellStyle name="40% - Accent3 4 3 2 3 2 3 3" xfId="23732"/>
    <cellStyle name="40% - Accent3 4 3 2 3 2 4" xfId="23733"/>
    <cellStyle name="40% - Accent3 4 3 2 3 2 4 2" xfId="23734"/>
    <cellStyle name="40% - Accent3 4 3 2 3 2 5" xfId="23735"/>
    <cellStyle name="40% - Accent3 4 3 2 3 2 6" xfId="23736"/>
    <cellStyle name="40% - Accent3 4 3 2 3 3" xfId="23737"/>
    <cellStyle name="40% - Accent3 4 3 2 3 3 2" xfId="23738"/>
    <cellStyle name="40% - Accent3 4 3 2 3 3 2 2" xfId="23739"/>
    <cellStyle name="40% - Accent3 4 3 2 3 3 2 3" xfId="23740"/>
    <cellStyle name="40% - Accent3 4 3 2 3 3 3" xfId="23741"/>
    <cellStyle name="40% - Accent3 4 3 2 3 3 3 2" xfId="23742"/>
    <cellStyle name="40% - Accent3 4 3 2 3 3 3 3" xfId="23743"/>
    <cellStyle name="40% - Accent3 4 3 2 3 3 4" xfId="23744"/>
    <cellStyle name="40% - Accent3 4 3 2 3 3 4 2" xfId="23745"/>
    <cellStyle name="40% - Accent3 4 3 2 3 3 5" xfId="23746"/>
    <cellStyle name="40% - Accent3 4 3 2 3 3 6" xfId="23747"/>
    <cellStyle name="40% - Accent3 4 3 2 3 4" xfId="23748"/>
    <cellStyle name="40% - Accent3 4 3 2 3 4 2" xfId="23749"/>
    <cellStyle name="40% - Accent3 4 3 2 3 4 2 2" xfId="23750"/>
    <cellStyle name="40% - Accent3 4 3 2 3 4 2 3" xfId="23751"/>
    <cellStyle name="40% - Accent3 4 3 2 3 4 3" xfId="23752"/>
    <cellStyle name="40% - Accent3 4 3 2 3 4 3 2" xfId="23753"/>
    <cellStyle name="40% - Accent3 4 3 2 3 4 4" xfId="23754"/>
    <cellStyle name="40% - Accent3 4 3 2 3 4 5" xfId="23755"/>
    <cellStyle name="40% - Accent3 4 3 2 3 5" xfId="23756"/>
    <cellStyle name="40% - Accent3 4 3 2 3 5 2" xfId="23757"/>
    <cellStyle name="40% - Accent3 4 3 2 3 5 3" xfId="23758"/>
    <cellStyle name="40% - Accent3 4 3 2 3 6" xfId="23759"/>
    <cellStyle name="40% - Accent3 4 3 2 3 6 2" xfId="23760"/>
    <cellStyle name="40% - Accent3 4 3 2 3 6 3" xfId="23761"/>
    <cellStyle name="40% - Accent3 4 3 2 3 7" xfId="23762"/>
    <cellStyle name="40% - Accent3 4 3 2 3 7 2" xfId="23763"/>
    <cellStyle name="40% - Accent3 4 3 2 3 8" xfId="23764"/>
    <cellStyle name="40% - Accent3 4 3 2 3 9" xfId="23765"/>
    <cellStyle name="40% - Accent3 4 3 2 4" xfId="23766"/>
    <cellStyle name="40% - Accent3 4 3 2 4 2" xfId="23767"/>
    <cellStyle name="40% - Accent3 4 3 2 4 2 2" xfId="23768"/>
    <cellStyle name="40% - Accent3 4 3 2 4 2 2 2" xfId="23769"/>
    <cellStyle name="40% - Accent3 4 3 2 4 2 2 3" xfId="23770"/>
    <cellStyle name="40% - Accent3 4 3 2 4 2 3" xfId="23771"/>
    <cellStyle name="40% - Accent3 4 3 2 4 2 3 2" xfId="23772"/>
    <cellStyle name="40% - Accent3 4 3 2 4 2 3 3" xfId="23773"/>
    <cellStyle name="40% - Accent3 4 3 2 4 2 4" xfId="23774"/>
    <cellStyle name="40% - Accent3 4 3 2 4 2 4 2" xfId="23775"/>
    <cellStyle name="40% - Accent3 4 3 2 4 2 5" xfId="23776"/>
    <cellStyle name="40% - Accent3 4 3 2 4 2 6" xfId="23777"/>
    <cellStyle name="40% - Accent3 4 3 2 4 3" xfId="23778"/>
    <cellStyle name="40% - Accent3 4 3 2 4 3 2" xfId="23779"/>
    <cellStyle name="40% - Accent3 4 3 2 4 3 2 2" xfId="23780"/>
    <cellStyle name="40% - Accent3 4 3 2 4 3 2 3" xfId="23781"/>
    <cellStyle name="40% - Accent3 4 3 2 4 3 3" xfId="23782"/>
    <cellStyle name="40% - Accent3 4 3 2 4 3 3 2" xfId="23783"/>
    <cellStyle name="40% - Accent3 4 3 2 4 3 3 3" xfId="23784"/>
    <cellStyle name="40% - Accent3 4 3 2 4 3 4" xfId="23785"/>
    <cellStyle name="40% - Accent3 4 3 2 4 3 4 2" xfId="23786"/>
    <cellStyle name="40% - Accent3 4 3 2 4 3 5" xfId="23787"/>
    <cellStyle name="40% - Accent3 4 3 2 4 3 6" xfId="23788"/>
    <cellStyle name="40% - Accent3 4 3 2 4 4" xfId="23789"/>
    <cellStyle name="40% - Accent3 4 3 2 4 4 2" xfId="23790"/>
    <cellStyle name="40% - Accent3 4 3 2 4 4 2 2" xfId="23791"/>
    <cellStyle name="40% - Accent3 4 3 2 4 4 2 3" xfId="23792"/>
    <cellStyle name="40% - Accent3 4 3 2 4 4 3" xfId="23793"/>
    <cellStyle name="40% - Accent3 4 3 2 4 4 3 2" xfId="23794"/>
    <cellStyle name="40% - Accent3 4 3 2 4 4 4" xfId="23795"/>
    <cellStyle name="40% - Accent3 4 3 2 4 4 5" xfId="23796"/>
    <cellStyle name="40% - Accent3 4 3 2 4 5" xfId="23797"/>
    <cellStyle name="40% - Accent3 4 3 2 4 5 2" xfId="23798"/>
    <cellStyle name="40% - Accent3 4 3 2 4 5 3" xfId="23799"/>
    <cellStyle name="40% - Accent3 4 3 2 4 6" xfId="23800"/>
    <cellStyle name="40% - Accent3 4 3 2 4 6 2" xfId="23801"/>
    <cellStyle name="40% - Accent3 4 3 2 4 6 3" xfId="23802"/>
    <cellStyle name="40% - Accent3 4 3 2 4 7" xfId="23803"/>
    <cellStyle name="40% - Accent3 4 3 2 4 7 2" xfId="23804"/>
    <cellStyle name="40% - Accent3 4 3 2 4 8" xfId="23805"/>
    <cellStyle name="40% - Accent3 4 3 2 4 9" xfId="23806"/>
    <cellStyle name="40% - Accent3 4 3 2 5" xfId="23807"/>
    <cellStyle name="40% - Accent3 4 3 2 5 2" xfId="23808"/>
    <cellStyle name="40% - Accent3 4 3 2 5 2 2" xfId="23809"/>
    <cellStyle name="40% - Accent3 4 3 2 5 2 3" xfId="23810"/>
    <cellStyle name="40% - Accent3 4 3 2 5 3" xfId="23811"/>
    <cellStyle name="40% - Accent3 4 3 2 5 3 2" xfId="23812"/>
    <cellStyle name="40% - Accent3 4 3 2 5 3 3" xfId="23813"/>
    <cellStyle name="40% - Accent3 4 3 2 5 4" xfId="23814"/>
    <cellStyle name="40% - Accent3 4 3 2 5 4 2" xfId="23815"/>
    <cellStyle name="40% - Accent3 4 3 2 5 5" xfId="23816"/>
    <cellStyle name="40% - Accent3 4 3 2 5 6" xfId="23817"/>
    <cellStyle name="40% - Accent3 4 3 2 6" xfId="23818"/>
    <cellStyle name="40% - Accent3 4 3 2 6 2" xfId="23819"/>
    <cellStyle name="40% - Accent3 4 3 2 6 2 2" xfId="23820"/>
    <cellStyle name="40% - Accent3 4 3 2 6 2 3" xfId="23821"/>
    <cellStyle name="40% - Accent3 4 3 2 6 3" xfId="23822"/>
    <cellStyle name="40% - Accent3 4 3 2 6 3 2" xfId="23823"/>
    <cellStyle name="40% - Accent3 4 3 2 6 3 3" xfId="23824"/>
    <cellStyle name="40% - Accent3 4 3 2 6 4" xfId="23825"/>
    <cellStyle name="40% - Accent3 4 3 2 6 4 2" xfId="23826"/>
    <cellStyle name="40% - Accent3 4 3 2 6 5" xfId="23827"/>
    <cellStyle name="40% - Accent3 4 3 2 6 6" xfId="23828"/>
    <cellStyle name="40% - Accent3 4 3 2 7" xfId="23829"/>
    <cellStyle name="40% - Accent3 4 3 2 7 2" xfId="23830"/>
    <cellStyle name="40% - Accent3 4 3 2 7 2 2" xfId="23831"/>
    <cellStyle name="40% - Accent3 4 3 2 7 2 3" xfId="23832"/>
    <cellStyle name="40% - Accent3 4 3 2 7 3" xfId="23833"/>
    <cellStyle name="40% - Accent3 4 3 2 7 3 2" xfId="23834"/>
    <cellStyle name="40% - Accent3 4 3 2 7 4" xfId="23835"/>
    <cellStyle name="40% - Accent3 4 3 2 7 5" xfId="23836"/>
    <cellStyle name="40% - Accent3 4 3 2 8" xfId="23837"/>
    <cellStyle name="40% - Accent3 4 3 2 8 2" xfId="23838"/>
    <cellStyle name="40% - Accent3 4 3 2 8 3" xfId="23839"/>
    <cellStyle name="40% - Accent3 4 3 2 9" xfId="23840"/>
    <cellStyle name="40% - Accent3 4 3 2 9 2" xfId="23841"/>
    <cellStyle name="40% - Accent3 4 3 2 9 3" xfId="23842"/>
    <cellStyle name="40% - Accent3 4 3 3" xfId="2018"/>
    <cellStyle name="40% - Accent3 4 3 3 10" xfId="23843"/>
    <cellStyle name="40% - Accent3 4 3 3 2" xfId="2019"/>
    <cellStyle name="40% - Accent3 4 3 3 2 2" xfId="23844"/>
    <cellStyle name="40% - Accent3 4 3 3 2 2 2" xfId="23845"/>
    <cellStyle name="40% - Accent3 4 3 3 2 2 2 2" xfId="23846"/>
    <cellStyle name="40% - Accent3 4 3 3 2 2 2 3" xfId="23847"/>
    <cellStyle name="40% - Accent3 4 3 3 2 2 3" xfId="23848"/>
    <cellStyle name="40% - Accent3 4 3 3 2 2 3 2" xfId="23849"/>
    <cellStyle name="40% - Accent3 4 3 3 2 2 3 3" xfId="23850"/>
    <cellStyle name="40% - Accent3 4 3 3 2 2 4" xfId="23851"/>
    <cellStyle name="40% - Accent3 4 3 3 2 2 4 2" xfId="23852"/>
    <cellStyle name="40% - Accent3 4 3 3 2 2 5" xfId="23853"/>
    <cellStyle name="40% - Accent3 4 3 3 2 2 6" xfId="23854"/>
    <cellStyle name="40% - Accent3 4 3 3 2 3" xfId="23855"/>
    <cellStyle name="40% - Accent3 4 3 3 2 3 2" xfId="23856"/>
    <cellStyle name="40% - Accent3 4 3 3 2 3 2 2" xfId="23857"/>
    <cellStyle name="40% - Accent3 4 3 3 2 3 2 3" xfId="23858"/>
    <cellStyle name="40% - Accent3 4 3 3 2 3 3" xfId="23859"/>
    <cellStyle name="40% - Accent3 4 3 3 2 3 3 2" xfId="23860"/>
    <cellStyle name="40% - Accent3 4 3 3 2 3 3 3" xfId="23861"/>
    <cellStyle name="40% - Accent3 4 3 3 2 3 4" xfId="23862"/>
    <cellStyle name="40% - Accent3 4 3 3 2 3 4 2" xfId="23863"/>
    <cellStyle name="40% - Accent3 4 3 3 2 3 5" xfId="23864"/>
    <cellStyle name="40% - Accent3 4 3 3 2 3 6" xfId="23865"/>
    <cellStyle name="40% - Accent3 4 3 3 2 4" xfId="23866"/>
    <cellStyle name="40% - Accent3 4 3 3 2 4 2" xfId="23867"/>
    <cellStyle name="40% - Accent3 4 3 3 2 4 2 2" xfId="23868"/>
    <cellStyle name="40% - Accent3 4 3 3 2 4 2 3" xfId="23869"/>
    <cellStyle name="40% - Accent3 4 3 3 2 4 3" xfId="23870"/>
    <cellStyle name="40% - Accent3 4 3 3 2 4 3 2" xfId="23871"/>
    <cellStyle name="40% - Accent3 4 3 3 2 4 4" xfId="23872"/>
    <cellStyle name="40% - Accent3 4 3 3 2 4 5" xfId="23873"/>
    <cellStyle name="40% - Accent3 4 3 3 2 5" xfId="23874"/>
    <cellStyle name="40% - Accent3 4 3 3 2 5 2" xfId="23875"/>
    <cellStyle name="40% - Accent3 4 3 3 2 5 3" xfId="23876"/>
    <cellStyle name="40% - Accent3 4 3 3 2 6" xfId="23877"/>
    <cellStyle name="40% - Accent3 4 3 3 2 6 2" xfId="23878"/>
    <cellStyle name="40% - Accent3 4 3 3 2 6 3" xfId="23879"/>
    <cellStyle name="40% - Accent3 4 3 3 2 7" xfId="23880"/>
    <cellStyle name="40% - Accent3 4 3 3 2 7 2" xfId="23881"/>
    <cellStyle name="40% - Accent3 4 3 3 2 8" xfId="23882"/>
    <cellStyle name="40% - Accent3 4 3 3 2 9" xfId="23883"/>
    <cellStyle name="40% - Accent3 4 3 3 3" xfId="23884"/>
    <cellStyle name="40% - Accent3 4 3 3 3 2" xfId="23885"/>
    <cellStyle name="40% - Accent3 4 3 3 3 2 2" xfId="23886"/>
    <cellStyle name="40% - Accent3 4 3 3 3 2 3" xfId="23887"/>
    <cellStyle name="40% - Accent3 4 3 3 3 3" xfId="23888"/>
    <cellStyle name="40% - Accent3 4 3 3 3 3 2" xfId="23889"/>
    <cellStyle name="40% - Accent3 4 3 3 3 3 3" xfId="23890"/>
    <cellStyle name="40% - Accent3 4 3 3 3 4" xfId="23891"/>
    <cellStyle name="40% - Accent3 4 3 3 3 4 2" xfId="23892"/>
    <cellStyle name="40% - Accent3 4 3 3 3 5" xfId="23893"/>
    <cellStyle name="40% - Accent3 4 3 3 3 6" xfId="23894"/>
    <cellStyle name="40% - Accent3 4 3 3 4" xfId="23895"/>
    <cellStyle name="40% - Accent3 4 3 3 4 2" xfId="23896"/>
    <cellStyle name="40% - Accent3 4 3 3 4 2 2" xfId="23897"/>
    <cellStyle name="40% - Accent3 4 3 3 4 2 3" xfId="23898"/>
    <cellStyle name="40% - Accent3 4 3 3 4 3" xfId="23899"/>
    <cellStyle name="40% - Accent3 4 3 3 4 3 2" xfId="23900"/>
    <cellStyle name="40% - Accent3 4 3 3 4 3 3" xfId="23901"/>
    <cellStyle name="40% - Accent3 4 3 3 4 4" xfId="23902"/>
    <cellStyle name="40% - Accent3 4 3 3 4 4 2" xfId="23903"/>
    <cellStyle name="40% - Accent3 4 3 3 4 5" xfId="23904"/>
    <cellStyle name="40% - Accent3 4 3 3 4 6" xfId="23905"/>
    <cellStyle name="40% - Accent3 4 3 3 5" xfId="23906"/>
    <cellStyle name="40% - Accent3 4 3 3 5 2" xfId="23907"/>
    <cellStyle name="40% - Accent3 4 3 3 5 2 2" xfId="23908"/>
    <cellStyle name="40% - Accent3 4 3 3 5 2 3" xfId="23909"/>
    <cellStyle name="40% - Accent3 4 3 3 5 3" xfId="23910"/>
    <cellStyle name="40% - Accent3 4 3 3 5 3 2" xfId="23911"/>
    <cellStyle name="40% - Accent3 4 3 3 5 4" xfId="23912"/>
    <cellStyle name="40% - Accent3 4 3 3 5 5" xfId="23913"/>
    <cellStyle name="40% - Accent3 4 3 3 6" xfId="23914"/>
    <cellStyle name="40% - Accent3 4 3 3 6 2" xfId="23915"/>
    <cellStyle name="40% - Accent3 4 3 3 6 3" xfId="23916"/>
    <cellStyle name="40% - Accent3 4 3 3 7" xfId="23917"/>
    <cellStyle name="40% - Accent3 4 3 3 7 2" xfId="23918"/>
    <cellStyle name="40% - Accent3 4 3 3 7 3" xfId="23919"/>
    <cellStyle name="40% - Accent3 4 3 3 8" xfId="23920"/>
    <cellStyle name="40% - Accent3 4 3 3 8 2" xfId="23921"/>
    <cellStyle name="40% - Accent3 4 3 3 9" xfId="23922"/>
    <cellStyle name="40% - Accent3 4 3 4" xfId="2020"/>
    <cellStyle name="40% - Accent3 4 3 4 2" xfId="23923"/>
    <cellStyle name="40% - Accent3 4 3 4 2 2" xfId="23924"/>
    <cellStyle name="40% - Accent3 4 3 4 2 2 2" xfId="23925"/>
    <cellStyle name="40% - Accent3 4 3 4 2 2 3" xfId="23926"/>
    <cellStyle name="40% - Accent3 4 3 4 2 3" xfId="23927"/>
    <cellStyle name="40% - Accent3 4 3 4 2 3 2" xfId="23928"/>
    <cellStyle name="40% - Accent3 4 3 4 2 3 3" xfId="23929"/>
    <cellStyle name="40% - Accent3 4 3 4 2 4" xfId="23930"/>
    <cellStyle name="40% - Accent3 4 3 4 2 4 2" xfId="23931"/>
    <cellStyle name="40% - Accent3 4 3 4 2 5" xfId="23932"/>
    <cellStyle name="40% - Accent3 4 3 4 2 6" xfId="23933"/>
    <cellStyle name="40% - Accent3 4 3 4 3" xfId="23934"/>
    <cellStyle name="40% - Accent3 4 3 4 3 2" xfId="23935"/>
    <cellStyle name="40% - Accent3 4 3 4 3 2 2" xfId="23936"/>
    <cellStyle name="40% - Accent3 4 3 4 3 2 3" xfId="23937"/>
    <cellStyle name="40% - Accent3 4 3 4 3 3" xfId="23938"/>
    <cellStyle name="40% - Accent3 4 3 4 3 3 2" xfId="23939"/>
    <cellStyle name="40% - Accent3 4 3 4 3 3 3" xfId="23940"/>
    <cellStyle name="40% - Accent3 4 3 4 3 4" xfId="23941"/>
    <cellStyle name="40% - Accent3 4 3 4 3 4 2" xfId="23942"/>
    <cellStyle name="40% - Accent3 4 3 4 3 5" xfId="23943"/>
    <cellStyle name="40% - Accent3 4 3 4 3 6" xfId="23944"/>
    <cellStyle name="40% - Accent3 4 3 4 4" xfId="23945"/>
    <cellStyle name="40% - Accent3 4 3 4 4 2" xfId="23946"/>
    <cellStyle name="40% - Accent3 4 3 4 4 2 2" xfId="23947"/>
    <cellStyle name="40% - Accent3 4 3 4 4 2 3" xfId="23948"/>
    <cellStyle name="40% - Accent3 4 3 4 4 3" xfId="23949"/>
    <cellStyle name="40% - Accent3 4 3 4 4 3 2" xfId="23950"/>
    <cellStyle name="40% - Accent3 4 3 4 4 4" xfId="23951"/>
    <cellStyle name="40% - Accent3 4 3 4 4 5" xfId="23952"/>
    <cellStyle name="40% - Accent3 4 3 4 5" xfId="23953"/>
    <cellStyle name="40% - Accent3 4 3 4 5 2" xfId="23954"/>
    <cellStyle name="40% - Accent3 4 3 4 5 3" xfId="23955"/>
    <cellStyle name="40% - Accent3 4 3 4 6" xfId="23956"/>
    <cellStyle name="40% - Accent3 4 3 4 6 2" xfId="23957"/>
    <cellStyle name="40% - Accent3 4 3 4 6 3" xfId="23958"/>
    <cellStyle name="40% - Accent3 4 3 4 7" xfId="23959"/>
    <cellStyle name="40% - Accent3 4 3 4 7 2" xfId="23960"/>
    <cellStyle name="40% - Accent3 4 3 4 8" xfId="23961"/>
    <cellStyle name="40% - Accent3 4 3 4 9" xfId="23962"/>
    <cellStyle name="40% - Accent3 4 3 5" xfId="23963"/>
    <cellStyle name="40% - Accent3 4 3 5 2" xfId="23964"/>
    <cellStyle name="40% - Accent3 4 3 5 2 2" xfId="23965"/>
    <cellStyle name="40% - Accent3 4 3 5 2 2 2" xfId="23966"/>
    <cellStyle name="40% - Accent3 4 3 5 2 2 3" xfId="23967"/>
    <cellStyle name="40% - Accent3 4 3 5 2 3" xfId="23968"/>
    <cellStyle name="40% - Accent3 4 3 5 2 3 2" xfId="23969"/>
    <cellStyle name="40% - Accent3 4 3 5 2 3 3" xfId="23970"/>
    <cellStyle name="40% - Accent3 4 3 5 2 4" xfId="23971"/>
    <cellStyle name="40% - Accent3 4 3 5 2 4 2" xfId="23972"/>
    <cellStyle name="40% - Accent3 4 3 5 2 5" xfId="23973"/>
    <cellStyle name="40% - Accent3 4 3 5 2 6" xfId="23974"/>
    <cellStyle name="40% - Accent3 4 3 5 3" xfId="23975"/>
    <cellStyle name="40% - Accent3 4 3 5 3 2" xfId="23976"/>
    <cellStyle name="40% - Accent3 4 3 5 3 2 2" xfId="23977"/>
    <cellStyle name="40% - Accent3 4 3 5 3 2 3" xfId="23978"/>
    <cellStyle name="40% - Accent3 4 3 5 3 3" xfId="23979"/>
    <cellStyle name="40% - Accent3 4 3 5 3 3 2" xfId="23980"/>
    <cellStyle name="40% - Accent3 4 3 5 3 3 3" xfId="23981"/>
    <cellStyle name="40% - Accent3 4 3 5 3 4" xfId="23982"/>
    <cellStyle name="40% - Accent3 4 3 5 3 4 2" xfId="23983"/>
    <cellStyle name="40% - Accent3 4 3 5 3 5" xfId="23984"/>
    <cellStyle name="40% - Accent3 4 3 5 3 6" xfId="23985"/>
    <cellStyle name="40% - Accent3 4 3 5 4" xfId="23986"/>
    <cellStyle name="40% - Accent3 4 3 5 4 2" xfId="23987"/>
    <cellStyle name="40% - Accent3 4 3 5 4 2 2" xfId="23988"/>
    <cellStyle name="40% - Accent3 4 3 5 4 2 3" xfId="23989"/>
    <cellStyle name="40% - Accent3 4 3 5 4 3" xfId="23990"/>
    <cellStyle name="40% - Accent3 4 3 5 4 3 2" xfId="23991"/>
    <cellStyle name="40% - Accent3 4 3 5 4 4" xfId="23992"/>
    <cellStyle name="40% - Accent3 4 3 5 4 5" xfId="23993"/>
    <cellStyle name="40% - Accent3 4 3 5 5" xfId="23994"/>
    <cellStyle name="40% - Accent3 4 3 5 5 2" xfId="23995"/>
    <cellStyle name="40% - Accent3 4 3 5 5 3" xfId="23996"/>
    <cellStyle name="40% - Accent3 4 3 5 6" xfId="23997"/>
    <cellStyle name="40% - Accent3 4 3 5 6 2" xfId="23998"/>
    <cellStyle name="40% - Accent3 4 3 5 6 3" xfId="23999"/>
    <cellStyle name="40% - Accent3 4 3 5 7" xfId="24000"/>
    <cellStyle name="40% - Accent3 4 3 5 7 2" xfId="24001"/>
    <cellStyle name="40% - Accent3 4 3 5 8" xfId="24002"/>
    <cellStyle name="40% - Accent3 4 3 5 9" xfId="24003"/>
    <cellStyle name="40% - Accent3 4 3 6" xfId="24004"/>
    <cellStyle name="40% - Accent3 4 3 6 2" xfId="24005"/>
    <cellStyle name="40% - Accent3 4 3 6 2 2" xfId="24006"/>
    <cellStyle name="40% - Accent3 4 3 6 2 3" xfId="24007"/>
    <cellStyle name="40% - Accent3 4 3 6 3" xfId="24008"/>
    <cellStyle name="40% - Accent3 4 3 6 3 2" xfId="24009"/>
    <cellStyle name="40% - Accent3 4 3 6 3 3" xfId="24010"/>
    <cellStyle name="40% - Accent3 4 3 6 4" xfId="24011"/>
    <cellStyle name="40% - Accent3 4 3 6 4 2" xfId="24012"/>
    <cellStyle name="40% - Accent3 4 3 6 5" xfId="24013"/>
    <cellStyle name="40% - Accent3 4 3 6 6" xfId="24014"/>
    <cellStyle name="40% - Accent3 4 3 7" xfId="24015"/>
    <cellStyle name="40% - Accent3 4 3 7 2" xfId="24016"/>
    <cellStyle name="40% - Accent3 4 3 7 2 2" xfId="24017"/>
    <cellStyle name="40% - Accent3 4 3 7 2 3" xfId="24018"/>
    <cellStyle name="40% - Accent3 4 3 7 3" xfId="24019"/>
    <cellStyle name="40% - Accent3 4 3 7 3 2" xfId="24020"/>
    <cellStyle name="40% - Accent3 4 3 7 3 3" xfId="24021"/>
    <cellStyle name="40% - Accent3 4 3 7 4" xfId="24022"/>
    <cellStyle name="40% - Accent3 4 3 7 4 2" xfId="24023"/>
    <cellStyle name="40% - Accent3 4 3 7 5" xfId="24024"/>
    <cellStyle name="40% - Accent3 4 3 7 6" xfId="24025"/>
    <cellStyle name="40% - Accent3 4 3 8" xfId="24026"/>
    <cellStyle name="40% - Accent3 4 3 8 2" xfId="24027"/>
    <cellStyle name="40% - Accent3 4 3 8 2 2" xfId="24028"/>
    <cellStyle name="40% - Accent3 4 3 8 2 3" xfId="24029"/>
    <cellStyle name="40% - Accent3 4 3 8 3" xfId="24030"/>
    <cellStyle name="40% - Accent3 4 3 8 3 2" xfId="24031"/>
    <cellStyle name="40% - Accent3 4 3 8 4" xfId="24032"/>
    <cellStyle name="40% - Accent3 4 3 8 5" xfId="24033"/>
    <cellStyle name="40% - Accent3 4 3 9" xfId="24034"/>
    <cellStyle name="40% - Accent3 4 3 9 2" xfId="24035"/>
    <cellStyle name="40% - Accent3 4 3 9 3" xfId="24036"/>
    <cellStyle name="40% - Accent3 4 4" xfId="2021"/>
    <cellStyle name="40% - Accent3 4 4 10" xfId="24037"/>
    <cellStyle name="40% - Accent3 4 4 10 2" xfId="24038"/>
    <cellStyle name="40% - Accent3 4 4 11" xfId="24039"/>
    <cellStyle name="40% - Accent3 4 4 12" xfId="24040"/>
    <cellStyle name="40% - Accent3 4 4 2" xfId="2022"/>
    <cellStyle name="40% - Accent3 4 4 2 10" xfId="24041"/>
    <cellStyle name="40% - Accent3 4 4 2 2" xfId="2023"/>
    <cellStyle name="40% - Accent3 4 4 2 2 2" xfId="24042"/>
    <cellStyle name="40% - Accent3 4 4 2 2 2 2" xfId="24043"/>
    <cellStyle name="40% - Accent3 4 4 2 2 2 2 2" xfId="24044"/>
    <cellStyle name="40% - Accent3 4 4 2 2 2 2 3" xfId="24045"/>
    <cellStyle name="40% - Accent3 4 4 2 2 2 3" xfId="24046"/>
    <cellStyle name="40% - Accent3 4 4 2 2 2 3 2" xfId="24047"/>
    <cellStyle name="40% - Accent3 4 4 2 2 2 3 3" xfId="24048"/>
    <cellStyle name="40% - Accent3 4 4 2 2 2 4" xfId="24049"/>
    <cellStyle name="40% - Accent3 4 4 2 2 2 4 2" xfId="24050"/>
    <cellStyle name="40% - Accent3 4 4 2 2 2 5" xfId="24051"/>
    <cellStyle name="40% - Accent3 4 4 2 2 2 6" xfId="24052"/>
    <cellStyle name="40% - Accent3 4 4 2 2 3" xfId="24053"/>
    <cellStyle name="40% - Accent3 4 4 2 2 3 2" xfId="24054"/>
    <cellStyle name="40% - Accent3 4 4 2 2 3 2 2" xfId="24055"/>
    <cellStyle name="40% - Accent3 4 4 2 2 3 2 3" xfId="24056"/>
    <cellStyle name="40% - Accent3 4 4 2 2 3 3" xfId="24057"/>
    <cellStyle name="40% - Accent3 4 4 2 2 3 3 2" xfId="24058"/>
    <cellStyle name="40% - Accent3 4 4 2 2 3 3 3" xfId="24059"/>
    <cellStyle name="40% - Accent3 4 4 2 2 3 4" xfId="24060"/>
    <cellStyle name="40% - Accent3 4 4 2 2 3 4 2" xfId="24061"/>
    <cellStyle name="40% - Accent3 4 4 2 2 3 5" xfId="24062"/>
    <cellStyle name="40% - Accent3 4 4 2 2 3 6" xfId="24063"/>
    <cellStyle name="40% - Accent3 4 4 2 2 4" xfId="24064"/>
    <cellStyle name="40% - Accent3 4 4 2 2 4 2" xfId="24065"/>
    <cellStyle name="40% - Accent3 4 4 2 2 4 2 2" xfId="24066"/>
    <cellStyle name="40% - Accent3 4 4 2 2 4 2 3" xfId="24067"/>
    <cellStyle name="40% - Accent3 4 4 2 2 4 3" xfId="24068"/>
    <cellStyle name="40% - Accent3 4 4 2 2 4 3 2" xfId="24069"/>
    <cellStyle name="40% - Accent3 4 4 2 2 4 4" xfId="24070"/>
    <cellStyle name="40% - Accent3 4 4 2 2 4 5" xfId="24071"/>
    <cellStyle name="40% - Accent3 4 4 2 2 5" xfId="24072"/>
    <cellStyle name="40% - Accent3 4 4 2 2 5 2" xfId="24073"/>
    <cellStyle name="40% - Accent3 4 4 2 2 5 3" xfId="24074"/>
    <cellStyle name="40% - Accent3 4 4 2 2 6" xfId="24075"/>
    <cellStyle name="40% - Accent3 4 4 2 2 6 2" xfId="24076"/>
    <cellStyle name="40% - Accent3 4 4 2 2 6 3" xfId="24077"/>
    <cellStyle name="40% - Accent3 4 4 2 2 7" xfId="24078"/>
    <cellStyle name="40% - Accent3 4 4 2 2 7 2" xfId="24079"/>
    <cellStyle name="40% - Accent3 4 4 2 2 8" xfId="24080"/>
    <cellStyle name="40% - Accent3 4 4 2 2 9" xfId="24081"/>
    <cellStyle name="40% - Accent3 4 4 2 3" xfId="24082"/>
    <cellStyle name="40% - Accent3 4 4 2 3 2" xfId="24083"/>
    <cellStyle name="40% - Accent3 4 4 2 3 2 2" xfId="24084"/>
    <cellStyle name="40% - Accent3 4 4 2 3 2 3" xfId="24085"/>
    <cellStyle name="40% - Accent3 4 4 2 3 3" xfId="24086"/>
    <cellStyle name="40% - Accent3 4 4 2 3 3 2" xfId="24087"/>
    <cellStyle name="40% - Accent3 4 4 2 3 3 3" xfId="24088"/>
    <cellStyle name="40% - Accent3 4 4 2 3 4" xfId="24089"/>
    <cellStyle name="40% - Accent3 4 4 2 3 4 2" xfId="24090"/>
    <cellStyle name="40% - Accent3 4 4 2 3 5" xfId="24091"/>
    <cellStyle name="40% - Accent3 4 4 2 3 6" xfId="24092"/>
    <cellStyle name="40% - Accent3 4 4 2 4" xfId="24093"/>
    <cellStyle name="40% - Accent3 4 4 2 4 2" xfId="24094"/>
    <cellStyle name="40% - Accent3 4 4 2 4 2 2" xfId="24095"/>
    <cellStyle name="40% - Accent3 4 4 2 4 2 3" xfId="24096"/>
    <cellStyle name="40% - Accent3 4 4 2 4 3" xfId="24097"/>
    <cellStyle name="40% - Accent3 4 4 2 4 3 2" xfId="24098"/>
    <cellStyle name="40% - Accent3 4 4 2 4 3 3" xfId="24099"/>
    <cellStyle name="40% - Accent3 4 4 2 4 4" xfId="24100"/>
    <cellStyle name="40% - Accent3 4 4 2 4 4 2" xfId="24101"/>
    <cellStyle name="40% - Accent3 4 4 2 4 5" xfId="24102"/>
    <cellStyle name="40% - Accent3 4 4 2 4 6" xfId="24103"/>
    <cellStyle name="40% - Accent3 4 4 2 5" xfId="24104"/>
    <cellStyle name="40% - Accent3 4 4 2 5 2" xfId="24105"/>
    <cellStyle name="40% - Accent3 4 4 2 5 2 2" xfId="24106"/>
    <cellStyle name="40% - Accent3 4 4 2 5 2 3" xfId="24107"/>
    <cellStyle name="40% - Accent3 4 4 2 5 3" xfId="24108"/>
    <cellStyle name="40% - Accent3 4 4 2 5 3 2" xfId="24109"/>
    <cellStyle name="40% - Accent3 4 4 2 5 4" xfId="24110"/>
    <cellStyle name="40% - Accent3 4 4 2 5 5" xfId="24111"/>
    <cellStyle name="40% - Accent3 4 4 2 6" xfId="24112"/>
    <cellStyle name="40% - Accent3 4 4 2 6 2" xfId="24113"/>
    <cellStyle name="40% - Accent3 4 4 2 6 3" xfId="24114"/>
    <cellStyle name="40% - Accent3 4 4 2 7" xfId="24115"/>
    <cellStyle name="40% - Accent3 4 4 2 7 2" xfId="24116"/>
    <cellStyle name="40% - Accent3 4 4 2 7 3" xfId="24117"/>
    <cellStyle name="40% - Accent3 4 4 2 8" xfId="24118"/>
    <cellStyle name="40% - Accent3 4 4 2 8 2" xfId="24119"/>
    <cellStyle name="40% - Accent3 4 4 2 9" xfId="24120"/>
    <cellStyle name="40% - Accent3 4 4 3" xfId="2024"/>
    <cellStyle name="40% - Accent3 4 4 3 2" xfId="24121"/>
    <cellStyle name="40% - Accent3 4 4 3 2 2" xfId="24122"/>
    <cellStyle name="40% - Accent3 4 4 3 2 2 2" xfId="24123"/>
    <cellStyle name="40% - Accent3 4 4 3 2 2 3" xfId="24124"/>
    <cellStyle name="40% - Accent3 4 4 3 2 3" xfId="24125"/>
    <cellStyle name="40% - Accent3 4 4 3 2 3 2" xfId="24126"/>
    <cellStyle name="40% - Accent3 4 4 3 2 3 3" xfId="24127"/>
    <cellStyle name="40% - Accent3 4 4 3 2 4" xfId="24128"/>
    <cellStyle name="40% - Accent3 4 4 3 2 4 2" xfId="24129"/>
    <cellStyle name="40% - Accent3 4 4 3 2 5" xfId="24130"/>
    <cellStyle name="40% - Accent3 4 4 3 2 6" xfId="24131"/>
    <cellStyle name="40% - Accent3 4 4 3 3" xfId="24132"/>
    <cellStyle name="40% - Accent3 4 4 3 3 2" xfId="24133"/>
    <cellStyle name="40% - Accent3 4 4 3 3 2 2" xfId="24134"/>
    <cellStyle name="40% - Accent3 4 4 3 3 2 3" xfId="24135"/>
    <cellStyle name="40% - Accent3 4 4 3 3 3" xfId="24136"/>
    <cellStyle name="40% - Accent3 4 4 3 3 3 2" xfId="24137"/>
    <cellStyle name="40% - Accent3 4 4 3 3 3 3" xfId="24138"/>
    <cellStyle name="40% - Accent3 4 4 3 3 4" xfId="24139"/>
    <cellStyle name="40% - Accent3 4 4 3 3 4 2" xfId="24140"/>
    <cellStyle name="40% - Accent3 4 4 3 3 5" xfId="24141"/>
    <cellStyle name="40% - Accent3 4 4 3 3 6" xfId="24142"/>
    <cellStyle name="40% - Accent3 4 4 3 4" xfId="24143"/>
    <cellStyle name="40% - Accent3 4 4 3 4 2" xfId="24144"/>
    <cellStyle name="40% - Accent3 4 4 3 4 2 2" xfId="24145"/>
    <cellStyle name="40% - Accent3 4 4 3 4 2 3" xfId="24146"/>
    <cellStyle name="40% - Accent3 4 4 3 4 3" xfId="24147"/>
    <cellStyle name="40% - Accent3 4 4 3 4 3 2" xfId="24148"/>
    <cellStyle name="40% - Accent3 4 4 3 4 4" xfId="24149"/>
    <cellStyle name="40% - Accent3 4 4 3 4 5" xfId="24150"/>
    <cellStyle name="40% - Accent3 4 4 3 5" xfId="24151"/>
    <cellStyle name="40% - Accent3 4 4 3 5 2" xfId="24152"/>
    <cellStyle name="40% - Accent3 4 4 3 5 3" xfId="24153"/>
    <cellStyle name="40% - Accent3 4 4 3 6" xfId="24154"/>
    <cellStyle name="40% - Accent3 4 4 3 6 2" xfId="24155"/>
    <cellStyle name="40% - Accent3 4 4 3 6 3" xfId="24156"/>
    <cellStyle name="40% - Accent3 4 4 3 7" xfId="24157"/>
    <cellStyle name="40% - Accent3 4 4 3 7 2" xfId="24158"/>
    <cellStyle name="40% - Accent3 4 4 3 8" xfId="24159"/>
    <cellStyle name="40% - Accent3 4 4 3 9" xfId="24160"/>
    <cellStyle name="40% - Accent3 4 4 4" xfId="24161"/>
    <cellStyle name="40% - Accent3 4 4 4 2" xfId="24162"/>
    <cellStyle name="40% - Accent3 4 4 4 2 2" xfId="24163"/>
    <cellStyle name="40% - Accent3 4 4 4 2 2 2" xfId="24164"/>
    <cellStyle name="40% - Accent3 4 4 4 2 2 3" xfId="24165"/>
    <cellStyle name="40% - Accent3 4 4 4 2 3" xfId="24166"/>
    <cellStyle name="40% - Accent3 4 4 4 2 3 2" xfId="24167"/>
    <cellStyle name="40% - Accent3 4 4 4 2 3 3" xfId="24168"/>
    <cellStyle name="40% - Accent3 4 4 4 2 4" xfId="24169"/>
    <cellStyle name="40% - Accent3 4 4 4 2 4 2" xfId="24170"/>
    <cellStyle name="40% - Accent3 4 4 4 2 5" xfId="24171"/>
    <cellStyle name="40% - Accent3 4 4 4 2 6" xfId="24172"/>
    <cellStyle name="40% - Accent3 4 4 4 3" xfId="24173"/>
    <cellStyle name="40% - Accent3 4 4 4 3 2" xfId="24174"/>
    <cellStyle name="40% - Accent3 4 4 4 3 2 2" xfId="24175"/>
    <cellStyle name="40% - Accent3 4 4 4 3 2 3" xfId="24176"/>
    <cellStyle name="40% - Accent3 4 4 4 3 3" xfId="24177"/>
    <cellStyle name="40% - Accent3 4 4 4 3 3 2" xfId="24178"/>
    <cellStyle name="40% - Accent3 4 4 4 3 3 3" xfId="24179"/>
    <cellStyle name="40% - Accent3 4 4 4 3 4" xfId="24180"/>
    <cellStyle name="40% - Accent3 4 4 4 3 4 2" xfId="24181"/>
    <cellStyle name="40% - Accent3 4 4 4 3 5" xfId="24182"/>
    <cellStyle name="40% - Accent3 4 4 4 3 6" xfId="24183"/>
    <cellStyle name="40% - Accent3 4 4 4 4" xfId="24184"/>
    <cellStyle name="40% - Accent3 4 4 4 4 2" xfId="24185"/>
    <cellStyle name="40% - Accent3 4 4 4 4 2 2" xfId="24186"/>
    <cellStyle name="40% - Accent3 4 4 4 4 2 3" xfId="24187"/>
    <cellStyle name="40% - Accent3 4 4 4 4 3" xfId="24188"/>
    <cellStyle name="40% - Accent3 4 4 4 4 3 2" xfId="24189"/>
    <cellStyle name="40% - Accent3 4 4 4 4 4" xfId="24190"/>
    <cellStyle name="40% - Accent3 4 4 4 4 5" xfId="24191"/>
    <cellStyle name="40% - Accent3 4 4 4 5" xfId="24192"/>
    <cellStyle name="40% - Accent3 4 4 4 5 2" xfId="24193"/>
    <cellStyle name="40% - Accent3 4 4 4 5 3" xfId="24194"/>
    <cellStyle name="40% - Accent3 4 4 4 6" xfId="24195"/>
    <cellStyle name="40% - Accent3 4 4 4 6 2" xfId="24196"/>
    <cellStyle name="40% - Accent3 4 4 4 6 3" xfId="24197"/>
    <cellStyle name="40% - Accent3 4 4 4 7" xfId="24198"/>
    <cellStyle name="40% - Accent3 4 4 4 7 2" xfId="24199"/>
    <cellStyle name="40% - Accent3 4 4 4 8" xfId="24200"/>
    <cellStyle name="40% - Accent3 4 4 4 9" xfId="24201"/>
    <cellStyle name="40% - Accent3 4 4 5" xfId="24202"/>
    <cellStyle name="40% - Accent3 4 4 5 2" xfId="24203"/>
    <cellStyle name="40% - Accent3 4 4 5 2 2" xfId="24204"/>
    <cellStyle name="40% - Accent3 4 4 5 2 3" xfId="24205"/>
    <cellStyle name="40% - Accent3 4 4 5 3" xfId="24206"/>
    <cellStyle name="40% - Accent3 4 4 5 3 2" xfId="24207"/>
    <cellStyle name="40% - Accent3 4 4 5 3 3" xfId="24208"/>
    <cellStyle name="40% - Accent3 4 4 5 4" xfId="24209"/>
    <cellStyle name="40% - Accent3 4 4 5 4 2" xfId="24210"/>
    <cellStyle name="40% - Accent3 4 4 5 5" xfId="24211"/>
    <cellStyle name="40% - Accent3 4 4 5 6" xfId="24212"/>
    <cellStyle name="40% - Accent3 4 4 6" xfId="24213"/>
    <cellStyle name="40% - Accent3 4 4 6 2" xfId="24214"/>
    <cellStyle name="40% - Accent3 4 4 6 2 2" xfId="24215"/>
    <cellStyle name="40% - Accent3 4 4 6 2 3" xfId="24216"/>
    <cellStyle name="40% - Accent3 4 4 6 3" xfId="24217"/>
    <cellStyle name="40% - Accent3 4 4 6 3 2" xfId="24218"/>
    <cellStyle name="40% - Accent3 4 4 6 3 3" xfId="24219"/>
    <cellStyle name="40% - Accent3 4 4 6 4" xfId="24220"/>
    <cellStyle name="40% - Accent3 4 4 6 4 2" xfId="24221"/>
    <cellStyle name="40% - Accent3 4 4 6 5" xfId="24222"/>
    <cellStyle name="40% - Accent3 4 4 6 6" xfId="24223"/>
    <cellStyle name="40% - Accent3 4 4 7" xfId="24224"/>
    <cellStyle name="40% - Accent3 4 4 7 2" xfId="24225"/>
    <cellStyle name="40% - Accent3 4 4 7 2 2" xfId="24226"/>
    <cellStyle name="40% - Accent3 4 4 7 2 3" xfId="24227"/>
    <cellStyle name="40% - Accent3 4 4 7 3" xfId="24228"/>
    <cellStyle name="40% - Accent3 4 4 7 3 2" xfId="24229"/>
    <cellStyle name="40% - Accent3 4 4 7 4" xfId="24230"/>
    <cellStyle name="40% - Accent3 4 4 7 5" xfId="24231"/>
    <cellStyle name="40% - Accent3 4 4 8" xfId="24232"/>
    <cellStyle name="40% - Accent3 4 4 8 2" xfId="24233"/>
    <cellStyle name="40% - Accent3 4 4 8 3" xfId="24234"/>
    <cellStyle name="40% - Accent3 4 4 9" xfId="24235"/>
    <cellStyle name="40% - Accent3 4 4 9 2" xfId="24236"/>
    <cellStyle name="40% - Accent3 4 4 9 3" xfId="24237"/>
    <cellStyle name="40% - Accent3 4 5" xfId="2025"/>
    <cellStyle name="40% - Accent3 4 5 10" xfId="24238"/>
    <cellStyle name="40% - Accent3 4 5 2" xfId="2026"/>
    <cellStyle name="40% - Accent3 4 5 2 2" xfId="24239"/>
    <cellStyle name="40% - Accent3 4 5 2 2 2" xfId="24240"/>
    <cellStyle name="40% - Accent3 4 5 2 2 2 2" xfId="24241"/>
    <cellStyle name="40% - Accent3 4 5 2 2 2 3" xfId="24242"/>
    <cellStyle name="40% - Accent3 4 5 2 2 3" xfId="24243"/>
    <cellStyle name="40% - Accent3 4 5 2 2 3 2" xfId="24244"/>
    <cellStyle name="40% - Accent3 4 5 2 2 3 3" xfId="24245"/>
    <cellStyle name="40% - Accent3 4 5 2 2 4" xfId="24246"/>
    <cellStyle name="40% - Accent3 4 5 2 2 4 2" xfId="24247"/>
    <cellStyle name="40% - Accent3 4 5 2 2 5" xfId="24248"/>
    <cellStyle name="40% - Accent3 4 5 2 2 6" xfId="24249"/>
    <cellStyle name="40% - Accent3 4 5 2 3" xfId="24250"/>
    <cellStyle name="40% - Accent3 4 5 2 3 2" xfId="24251"/>
    <cellStyle name="40% - Accent3 4 5 2 3 2 2" xfId="24252"/>
    <cellStyle name="40% - Accent3 4 5 2 3 2 3" xfId="24253"/>
    <cellStyle name="40% - Accent3 4 5 2 3 3" xfId="24254"/>
    <cellStyle name="40% - Accent3 4 5 2 3 3 2" xfId="24255"/>
    <cellStyle name="40% - Accent3 4 5 2 3 3 3" xfId="24256"/>
    <cellStyle name="40% - Accent3 4 5 2 3 4" xfId="24257"/>
    <cellStyle name="40% - Accent3 4 5 2 3 4 2" xfId="24258"/>
    <cellStyle name="40% - Accent3 4 5 2 3 5" xfId="24259"/>
    <cellStyle name="40% - Accent3 4 5 2 3 6" xfId="24260"/>
    <cellStyle name="40% - Accent3 4 5 2 4" xfId="24261"/>
    <cellStyle name="40% - Accent3 4 5 2 4 2" xfId="24262"/>
    <cellStyle name="40% - Accent3 4 5 2 4 2 2" xfId="24263"/>
    <cellStyle name="40% - Accent3 4 5 2 4 2 3" xfId="24264"/>
    <cellStyle name="40% - Accent3 4 5 2 4 3" xfId="24265"/>
    <cellStyle name="40% - Accent3 4 5 2 4 3 2" xfId="24266"/>
    <cellStyle name="40% - Accent3 4 5 2 4 4" xfId="24267"/>
    <cellStyle name="40% - Accent3 4 5 2 4 5" xfId="24268"/>
    <cellStyle name="40% - Accent3 4 5 2 5" xfId="24269"/>
    <cellStyle name="40% - Accent3 4 5 2 5 2" xfId="24270"/>
    <cellStyle name="40% - Accent3 4 5 2 5 3" xfId="24271"/>
    <cellStyle name="40% - Accent3 4 5 2 6" xfId="24272"/>
    <cellStyle name="40% - Accent3 4 5 2 6 2" xfId="24273"/>
    <cellStyle name="40% - Accent3 4 5 2 6 3" xfId="24274"/>
    <cellStyle name="40% - Accent3 4 5 2 7" xfId="24275"/>
    <cellStyle name="40% - Accent3 4 5 2 7 2" xfId="24276"/>
    <cellStyle name="40% - Accent3 4 5 2 8" xfId="24277"/>
    <cellStyle name="40% - Accent3 4 5 2 9" xfId="24278"/>
    <cellStyle name="40% - Accent3 4 5 3" xfId="24279"/>
    <cellStyle name="40% - Accent3 4 5 3 2" xfId="24280"/>
    <cellStyle name="40% - Accent3 4 5 3 2 2" xfId="24281"/>
    <cellStyle name="40% - Accent3 4 5 3 2 3" xfId="24282"/>
    <cellStyle name="40% - Accent3 4 5 3 3" xfId="24283"/>
    <cellStyle name="40% - Accent3 4 5 3 3 2" xfId="24284"/>
    <cellStyle name="40% - Accent3 4 5 3 3 3" xfId="24285"/>
    <cellStyle name="40% - Accent3 4 5 3 4" xfId="24286"/>
    <cellStyle name="40% - Accent3 4 5 3 4 2" xfId="24287"/>
    <cellStyle name="40% - Accent3 4 5 3 5" xfId="24288"/>
    <cellStyle name="40% - Accent3 4 5 3 6" xfId="24289"/>
    <cellStyle name="40% - Accent3 4 5 4" xfId="24290"/>
    <cellStyle name="40% - Accent3 4 5 4 2" xfId="24291"/>
    <cellStyle name="40% - Accent3 4 5 4 2 2" xfId="24292"/>
    <cellStyle name="40% - Accent3 4 5 4 2 3" xfId="24293"/>
    <cellStyle name="40% - Accent3 4 5 4 3" xfId="24294"/>
    <cellStyle name="40% - Accent3 4 5 4 3 2" xfId="24295"/>
    <cellStyle name="40% - Accent3 4 5 4 3 3" xfId="24296"/>
    <cellStyle name="40% - Accent3 4 5 4 4" xfId="24297"/>
    <cellStyle name="40% - Accent3 4 5 4 4 2" xfId="24298"/>
    <cellStyle name="40% - Accent3 4 5 4 5" xfId="24299"/>
    <cellStyle name="40% - Accent3 4 5 4 6" xfId="24300"/>
    <cellStyle name="40% - Accent3 4 5 5" xfId="24301"/>
    <cellStyle name="40% - Accent3 4 5 5 2" xfId="24302"/>
    <cellStyle name="40% - Accent3 4 5 5 2 2" xfId="24303"/>
    <cellStyle name="40% - Accent3 4 5 5 2 3" xfId="24304"/>
    <cellStyle name="40% - Accent3 4 5 5 3" xfId="24305"/>
    <cellStyle name="40% - Accent3 4 5 5 3 2" xfId="24306"/>
    <cellStyle name="40% - Accent3 4 5 5 4" xfId="24307"/>
    <cellStyle name="40% - Accent3 4 5 5 5" xfId="24308"/>
    <cellStyle name="40% - Accent3 4 5 6" xfId="24309"/>
    <cellStyle name="40% - Accent3 4 5 6 2" xfId="24310"/>
    <cellStyle name="40% - Accent3 4 5 6 3" xfId="24311"/>
    <cellStyle name="40% - Accent3 4 5 7" xfId="24312"/>
    <cellStyle name="40% - Accent3 4 5 7 2" xfId="24313"/>
    <cellStyle name="40% - Accent3 4 5 7 3" xfId="24314"/>
    <cellStyle name="40% - Accent3 4 5 8" xfId="24315"/>
    <cellStyle name="40% - Accent3 4 5 8 2" xfId="24316"/>
    <cellStyle name="40% - Accent3 4 5 9" xfId="24317"/>
    <cellStyle name="40% - Accent3 4 6" xfId="2027"/>
    <cellStyle name="40% - Accent3 4 6 2" xfId="24318"/>
    <cellStyle name="40% - Accent3 4 6 2 2" xfId="24319"/>
    <cellStyle name="40% - Accent3 4 6 2 2 2" xfId="24320"/>
    <cellStyle name="40% - Accent3 4 6 2 2 3" xfId="24321"/>
    <cellStyle name="40% - Accent3 4 6 2 3" xfId="24322"/>
    <cellStyle name="40% - Accent3 4 6 2 3 2" xfId="24323"/>
    <cellStyle name="40% - Accent3 4 6 2 3 3" xfId="24324"/>
    <cellStyle name="40% - Accent3 4 6 2 4" xfId="24325"/>
    <cellStyle name="40% - Accent3 4 6 2 4 2" xfId="24326"/>
    <cellStyle name="40% - Accent3 4 6 2 5" xfId="24327"/>
    <cellStyle name="40% - Accent3 4 6 2 6" xfId="24328"/>
    <cellStyle name="40% - Accent3 4 6 3" xfId="24329"/>
    <cellStyle name="40% - Accent3 4 6 3 2" xfId="24330"/>
    <cellStyle name="40% - Accent3 4 6 3 2 2" xfId="24331"/>
    <cellStyle name="40% - Accent3 4 6 3 2 3" xfId="24332"/>
    <cellStyle name="40% - Accent3 4 6 3 3" xfId="24333"/>
    <cellStyle name="40% - Accent3 4 6 3 3 2" xfId="24334"/>
    <cellStyle name="40% - Accent3 4 6 3 3 3" xfId="24335"/>
    <cellStyle name="40% - Accent3 4 6 3 4" xfId="24336"/>
    <cellStyle name="40% - Accent3 4 6 3 4 2" xfId="24337"/>
    <cellStyle name="40% - Accent3 4 6 3 5" xfId="24338"/>
    <cellStyle name="40% - Accent3 4 6 3 6" xfId="24339"/>
    <cellStyle name="40% - Accent3 4 6 4" xfId="24340"/>
    <cellStyle name="40% - Accent3 4 6 4 2" xfId="24341"/>
    <cellStyle name="40% - Accent3 4 6 4 2 2" xfId="24342"/>
    <cellStyle name="40% - Accent3 4 6 4 2 3" xfId="24343"/>
    <cellStyle name="40% - Accent3 4 6 4 3" xfId="24344"/>
    <cellStyle name="40% - Accent3 4 6 4 3 2" xfId="24345"/>
    <cellStyle name="40% - Accent3 4 6 4 4" xfId="24346"/>
    <cellStyle name="40% - Accent3 4 6 4 5" xfId="24347"/>
    <cellStyle name="40% - Accent3 4 6 5" xfId="24348"/>
    <cellStyle name="40% - Accent3 4 6 5 2" xfId="24349"/>
    <cellStyle name="40% - Accent3 4 6 5 3" xfId="24350"/>
    <cellStyle name="40% - Accent3 4 6 6" xfId="24351"/>
    <cellStyle name="40% - Accent3 4 6 6 2" xfId="24352"/>
    <cellStyle name="40% - Accent3 4 6 6 3" xfId="24353"/>
    <cellStyle name="40% - Accent3 4 6 7" xfId="24354"/>
    <cellStyle name="40% - Accent3 4 6 7 2" xfId="24355"/>
    <cellStyle name="40% - Accent3 4 6 8" xfId="24356"/>
    <cellStyle name="40% - Accent3 4 6 9" xfId="24357"/>
    <cellStyle name="40% - Accent3 4 7" xfId="8976"/>
    <cellStyle name="40% - Accent3 4 7 2" xfId="24358"/>
    <cellStyle name="40% - Accent3 4 7 2 2" xfId="24359"/>
    <cellStyle name="40% - Accent3 4 7 2 2 2" xfId="24360"/>
    <cellStyle name="40% - Accent3 4 7 2 2 3" xfId="24361"/>
    <cellStyle name="40% - Accent3 4 7 2 3" xfId="24362"/>
    <cellStyle name="40% - Accent3 4 7 2 3 2" xfId="24363"/>
    <cellStyle name="40% - Accent3 4 7 2 3 3" xfId="24364"/>
    <cellStyle name="40% - Accent3 4 7 2 4" xfId="24365"/>
    <cellStyle name="40% - Accent3 4 7 2 4 2" xfId="24366"/>
    <cellStyle name="40% - Accent3 4 7 2 5" xfId="24367"/>
    <cellStyle name="40% - Accent3 4 7 2 6" xfId="24368"/>
    <cellStyle name="40% - Accent3 4 7 3" xfId="24369"/>
    <cellStyle name="40% - Accent3 4 7 3 2" xfId="24370"/>
    <cellStyle name="40% - Accent3 4 7 3 2 2" xfId="24371"/>
    <cellStyle name="40% - Accent3 4 7 3 2 3" xfId="24372"/>
    <cellStyle name="40% - Accent3 4 7 3 3" xfId="24373"/>
    <cellStyle name="40% - Accent3 4 7 3 3 2" xfId="24374"/>
    <cellStyle name="40% - Accent3 4 7 3 3 3" xfId="24375"/>
    <cellStyle name="40% - Accent3 4 7 3 4" xfId="24376"/>
    <cellStyle name="40% - Accent3 4 7 3 4 2" xfId="24377"/>
    <cellStyle name="40% - Accent3 4 7 3 5" xfId="24378"/>
    <cellStyle name="40% - Accent3 4 7 3 6" xfId="24379"/>
    <cellStyle name="40% - Accent3 4 7 4" xfId="24380"/>
    <cellStyle name="40% - Accent3 4 7 4 2" xfId="24381"/>
    <cellStyle name="40% - Accent3 4 7 4 2 2" xfId="24382"/>
    <cellStyle name="40% - Accent3 4 7 4 2 3" xfId="24383"/>
    <cellStyle name="40% - Accent3 4 7 4 3" xfId="24384"/>
    <cellStyle name="40% - Accent3 4 7 4 3 2" xfId="24385"/>
    <cellStyle name="40% - Accent3 4 7 4 4" xfId="24386"/>
    <cellStyle name="40% - Accent3 4 7 4 5" xfId="24387"/>
    <cellStyle name="40% - Accent3 4 7 5" xfId="24388"/>
    <cellStyle name="40% - Accent3 4 7 5 2" xfId="24389"/>
    <cellStyle name="40% - Accent3 4 7 5 3" xfId="24390"/>
    <cellStyle name="40% - Accent3 4 7 6" xfId="24391"/>
    <cellStyle name="40% - Accent3 4 7 6 2" xfId="24392"/>
    <cellStyle name="40% - Accent3 4 7 6 3" xfId="24393"/>
    <cellStyle name="40% - Accent3 4 7 7" xfId="24394"/>
    <cellStyle name="40% - Accent3 4 7 7 2" xfId="24395"/>
    <cellStyle name="40% - Accent3 4 7 8" xfId="24396"/>
    <cellStyle name="40% - Accent3 4 7 9" xfId="24397"/>
    <cellStyle name="40% - Accent3 4 8" xfId="24398"/>
    <cellStyle name="40% - Accent3 4 8 2" xfId="24399"/>
    <cellStyle name="40% - Accent3 4 8 2 2" xfId="24400"/>
    <cellStyle name="40% - Accent3 4 8 2 3" xfId="24401"/>
    <cellStyle name="40% - Accent3 4 8 3" xfId="24402"/>
    <cellStyle name="40% - Accent3 4 8 3 2" xfId="24403"/>
    <cellStyle name="40% - Accent3 4 8 3 3" xfId="24404"/>
    <cellStyle name="40% - Accent3 4 8 4" xfId="24405"/>
    <cellStyle name="40% - Accent3 4 8 4 2" xfId="24406"/>
    <cellStyle name="40% - Accent3 4 8 5" xfId="24407"/>
    <cellStyle name="40% - Accent3 4 8 6" xfId="24408"/>
    <cellStyle name="40% - Accent3 4 9" xfId="24409"/>
    <cellStyle name="40% - Accent3 4 9 2" xfId="24410"/>
    <cellStyle name="40% - Accent3 4 9 2 2" xfId="24411"/>
    <cellStyle name="40% - Accent3 4 9 2 3" xfId="24412"/>
    <cellStyle name="40% - Accent3 4 9 3" xfId="24413"/>
    <cellStyle name="40% - Accent3 4 9 3 2" xfId="24414"/>
    <cellStyle name="40% - Accent3 4 9 3 3" xfId="24415"/>
    <cellStyle name="40% - Accent3 4 9 4" xfId="24416"/>
    <cellStyle name="40% - Accent3 4 9 4 2" xfId="24417"/>
    <cellStyle name="40% - Accent3 4 9 5" xfId="24418"/>
    <cellStyle name="40% - Accent3 4 9 6" xfId="24419"/>
    <cellStyle name="40% - Accent3 5" xfId="2028"/>
    <cellStyle name="40% - Accent3 5 2" xfId="2029"/>
    <cellStyle name="40% - Accent3 5 2 2" xfId="2030"/>
    <cellStyle name="40% - Accent3 5 2 2 2" xfId="2031"/>
    <cellStyle name="40% - Accent3 5 2 2 2 2" xfId="2032"/>
    <cellStyle name="40% - Accent3 5 2 2 3" xfId="2033"/>
    <cellStyle name="40% - Accent3 5 2 3" xfId="2034"/>
    <cellStyle name="40% - Accent3 5 2 3 2" xfId="2035"/>
    <cellStyle name="40% - Accent3 5 2 4" xfId="2036"/>
    <cellStyle name="40% - Accent3 5 2 5" xfId="58051"/>
    <cellStyle name="40% - Accent3 5 3" xfId="2037"/>
    <cellStyle name="40% - Accent3 5 3 2" xfId="2038"/>
    <cellStyle name="40% - Accent3 5 3 2 2" xfId="2039"/>
    <cellStyle name="40% - Accent3 5 3 3" xfId="2040"/>
    <cellStyle name="40% - Accent3 5 4" xfId="2041"/>
    <cellStyle name="40% - Accent3 5 4 2" xfId="2042"/>
    <cellStyle name="40% - Accent3 5 5" xfId="2043"/>
    <cellStyle name="40% - Accent3 5 6" xfId="8977"/>
    <cellStyle name="40% - Accent3 6" xfId="2044"/>
    <cellStyle name="40% - Accent3 6 2" xfId="2045"/>
    <cellStyle name="40% - Accent3 6 2 2" xfId="2046"/>
    <cellStyle name="40% - Accent3 6 2 2 2" xfId="2047"/>
    <cellStyle name="40% - Accent3 6 2 3" xfId="2048"/>
    <cellStyle name="40% - Accent3 6 2 4" xfId="58052"/>
    <cellStyle name="40% - Accent3 6 2 5" xfId="58053"/>
    <cellStyle name="40% - Accent3 6 3" xfId="2049"/>
    <cellStyle name="40% - Accent3 6 3 2" xfId="2050"/>
    <cellStyle name="40% - Accent3 6 4" xfId="2051"/>
    <cellStyle name="40% - Accent3 6 5" xfId="58054"/>
    <cellStyle name="40% - Accent3 7" xfId="2052"/>
    <cellStyle name="40% - Accent3 7 2" xfId="2053"/>
    <cellStyle name="40% - Accent3 7 2 2" xfId="2054"/>
    <cellStyle name="40% - Accent3 7 2 2 2" xfId="2055"/>
    <cellStyle name="40% - Accent3 7 2 3" xfId="2056"/>
    <cellStyle name="40% - Accent3 7 3" xfId="2057"/>
    <cellStyle name="40% - Accent3 7 3 2" xfId="2058"/>
    <cellStyle name="40% - Accent3 7 4" xfId="2059"/>
    <cellStyle name="40% - Accent3 7 5" xfId="58055"/>
    <cellStyle name="40% - Accent3 8" xfId="2060"/>
    <cellStyle name="40% - Accent3 8 2" xfId="2061"/>
    <cellStyle name="40% - Accent3 8 2 2" xfId="2062"/>
    <cellStyle name="40% - Accent3 8 2 2 2" xfId="2063"/>
    <cellStyle name="40% - Accent3 8 2 3" xfId="2064"/>
    <cellStyle name="40% - Accent3 8 3" xfId="2065"/>
    <cellStyle name="40% - Accent3 8 3 2" xfId="2066"/>
    <cellStyle name="40% - Accent3 8 4" xfId="2067"/>
    <cellStyle name="40% - Accent3 8 5" xfId="58056"/>
    <cellStyle name="40% - Accent3 9" xfId="2068"/>
    <cellStyle name="40% - Accent3 9 2" xfId="2069"/>
    <cellStyle name="40% - Accent3 9 2 2" xfId="2070"/>
    <cellStyle name="40% - Accent3 9 3" xfId="2071"/>
    <cellStyle name="40% - Accent3 9 4" xfId="58057"/>
    <cellStyle name="40% - Accent4 10" xfId="2072"/>
    <cellStyle name="40% - Accent4 10 2" xfId="2073"/>
    <cellStyle name="40% - Accent4 10 2 2" xfId="2074"/>
    <cellStyle name="40% - Accent4 10 3" xfId="2075"/>
    <cellStyle name="40% - Accent4 10 4" xfId="58058"/>
    <cellStyle name="40% - Accent4 11" xfId="2076"/>
    <cellStyle name="40% - Accent4 11 2" xfId="2077"/>
    <cellStyle name="40% - Accent4 11 2 2" xfId="2078"/>
    <cellStyle name="40% - Accent4 11 3" xfId="2079"/>
    <cellStyle name="40% - Accent4 11 4" xfId="58059"/>
    <cellStyle name="40% - Accent4 12" xfId="2080"/>
    <cellStyle name="40% - Accent4 12 2" xfId="2081"/>
    <cellStyle name="40% - Accent4 12 3" xfId="58060"/>
    <cellStyle name="40% - Accent4 13" xfId="2082"/>
    <cellStyle name="40% - Accent4 13 2" xfId="58061"/>
    <cellStyle name="40% - Accent4 14" xfId="8978"/>
    <cellStyle name="40% - Accent4 15" xfId="9405"/>
    <cellStyle name="40% - Accent4 16" xfId="9406"/>
    <cellStyle name="40% - Accent4 17" xfId="9407"/>
    <cellStyle name="40% - Accent4 17 2" xfId="58062"/>
    <cellStyle name="40% - Accent4 18" xfId="58063"/>
    <cellStyle name="40% - Accent4 19" xfId="58064"/>
    <cellStyle name="40% - Accent4 2" xfId="2083"/>
    <cellStyle name="40% - Accent4 2 2" xfId="2084"/>
    <cellStyle name="40% - Accent4 2 2 2" xfId="2085"/>
    <cellStyle name="40% - Accent4 2 2 2 2" xfId="2086"/>
    <cellStyle name="40% - Accent4 2 2 2 2 2" xfId="2087"/>
    <cellStyle name="40% - Accent4 2 2 2 2 2 2" xfId="2088"/>
    <cellStyle name="40% - Accent4 2 2 2 2 2 2 2" xfId="2089"/>
    <cellStyle name="40% - Accent4 2 2 2 2 2 3" xfId="2090"/>
    <cellStyle name="40% - Accent4 2 2 2 2 3" xfId="2091"/>
    <cellStyle name="40% - Accent4 2 2 2 2 3 2" xfId="2092"/>
    <cellStyle name="40% - Accent4 2 2 2 2 4" xfId="2093"/>
    <cellStyle name="40% - Accent4 2 2 2 2 5" xfId="58065"/>
    <cellStyle name="40% - Accent4 2 2 2 3" xfId="2094"/>
    <cellStyle name="40% - Accent4 2 2 2 3 2" xfId="2095"/>
    <cellStyle name="40% - Accent4 2 2 2 3 2 2" xfId="2096"/>
    <cellStyle name="40% - Accent4 2 2 2 3 3" xfId="2097"/>
    <cellStyle name="40% - Accent4 2 2 2 4" xfId="2098"/>
    <cellStyle name="40% - Accent4 2 2 2 4 2" xfId="2099"/>
    <cellStyle name="40% - Accent4 2 2 2 5" xfId="2100"/>
    <cellStyle name="40% - Accent4 2 2 2 6" xfId="58066"/>
    <cellStyle name="40% - Accent4 2 2 3" xfId="2101"/>
    <cellStyle name="40% - Accent4 2 2 3 2" xfId="2102"/>
    <cellStyle name="40% - Accent4 2 2 3 2 2" xfId="2103"/>
    <cellStyle name="40% - Accent4 2 2 3 2 2 2" xfId="2104"/>
    <cellStyle name="40% - Accent4 2 2 3 2 3" xfId="2105"/>
    <cellStyle name="40% - Accent4 2 2 3 3" xfId="2106"/>
    <cellStyle name="40% - Accent4 2 2 3 3 2" xfId="2107"/>
    <cellStyle name="40% - Accent4 2 2 3 4" xfId="2108"/>
    <cellStyle name="40% - Accent4 2 2 3 5" xfId="58067"/>
    <cellStyle name="40% - Accent4 2 2 4" xfId="2109"/>
    <cellStyle name="40% - Accent4 2 2 4 2" xfId="2110"/>
    <cellStyle name="40% - Accent4 2 2 4 2 2" xfId="2111"/>
    <cellStyle name="40% - Accent4 2 2 4 3" xfId="2112"/>
    <cellStyle name="40% - Accent4 2 2 5" xfId="2113"/>
    <cellStyle name="40% - Accent4 2 2 5 2" xfId="2114"/>
    <cellStyle name="40% - Accent4 2 2 6" xfId="2115"/>
    <cellStyle name="40% - Accent4 2 2 7" xfId="58068"/>
    <cellStyle name="40% - Accent4 2 3" xfId="2116"/>
    <cellStyle name="40% - Accent4 2 3 2" xfId="2117"/>
    <cellStyle name="40% - Accent4 2 3 2 2" xfId="2118"/>
    <cellStyle name="40% - Accent4 2 3 2 2 2" xfId="2119"/>
    <cellStyle name="40% - Accent4 2 3 2 2 2 2" xfId="2120"/>
    <cellStyle name="40% - Accent4 2 3 2 2 3" xfId="2121"/>
    <cellStyle name="40% - Accent4 2 3 2 3" xfId="2122"/>
    <cellStyle name="40% - Accent4 2 3 2 3 2" xfId="2123"/>
    <cellStyle name="40% - Accent4 2 3 2 4" xfId="2124"/>
    <cellStyle name="40% - Accent4 2 3 3" xfId="2125"/>
    <cellStyle name="40% - Accent4 2 3 3 2" xfId="2126"/>
    <cellStyle name="40% - Accent4 2 3 3 2 2" xfId="2127"/>
    <cellStyle name="40% - Accent4 2 3 3 3" xfId="2128"/>
    <cellStyle name="40% - Accent4 2 3 4" xfId="2129"/>
    <cellStyle name="40% - Accent4 2 3 4 2" xfId="2130"/>
    <cellStyle name="40% - Accent4 2 3 5" xfId="2131"/>
    <cellStyle name="40% - Accent4 2 3 6" xfId="58069"/>
    <cellStyle name="40% - Accent4 2 4" xfId="2132"/>
    <cellStyle name="40% - Accent4 2 4 2" xfId="2133"/>
    <cellStyle name="40% - Accent4 2 4 2 2" xfId="2134"/>
    <cellStyle name="40% - Accent4 2 4 2 2 2" xfId="2135"/>
    <cellStyle name="40% - Accent4 2 4 2 3" xfId="2136"/>
    <cellStyle name="40% - Accent4 2 4 3" xfId="2137"/>
    <cellStyle name="40% - Accent4 2 4 3 2" xfId="2138"/>
    <cellStyle name="40% - Accent4 2 4 4" xfId="2139"/>
    <cellStyle name="40% - Accent4 2 4 5" xfId="58070"/>
    <cellStyle name="40% - Accent4 2 5" xfId="2140"/>
    <cellStyle name="40% - Accent4 2 5 2" xfId="2141"/>
    <cellStyle name="40% - Accent4 2 5 2 2" xfId="2142"/>
    <cellStyle name="40% - Accent4 2 5 3" xfId="2143"/>
    <cellStyle name="40% - Accent4 2 5 4" xfId="58071"/>
    <cellStyle name="40% - Accent4 2 6" xfId="2144"/>
    <cellStyle name="40% - Accent4 2 6 2" xfId="2145"/>
    <cellStyle name="40% - Accent4 2 6 3" xfId="58072"/>
    <cellStyle name="40% - Accent4 2 7" xfId="2146"/>
    <cellStyle name="40% - Accent4 2 8" xfId="2147"/>
    <cellStyle name="40% - Accent4 2 9" xfId="58073"/>
    <cellStyle name="40% - Accent4 20" xfId="58074"/>
    <cellStyle name="40% - Accent4 21" xfId="58075"/>
    <cellStyle name="40% - Accent4 3" xfId="2148"/>
    <cellStyle name="40% - Accent4 3 2" xfId="2149"/>
    <cellStyle name="40% - Accent4 3 2 2" xfId="2150"/>
    <cellStyle name="40% - Accent4 3 2 2 2" xfId="2151"/>
    <cellStyle name="40% - Accent4 3 2 2 2 2" xfId="2152"/>
    <cellStyle name="40% - Accent4 3 2 2 2 2 2" xfId="2153"/>
    <cellStyle name="40% - Accent4 3 2 2 2 2 2 2" xfId="2154"/>
    <cellStyle name="40% - Accent4 3 2 2 2 2 3" xfId="2155"/>
    <cellStyle name="40% - Accent4 3 2 2 2 3" xfId="2156"/>
    <cellStyle name="40% - Accent4 3 2 2 2 3 2" xfId="2157"/>
    <cellStyle name="40% - Accent4 3 2 2 2 4" xfId="2158"/>
    <cellStyle name="40% - Accent4 3 2 2 2 5" xfId="8979"/>
    <cellStyle name="40% - Accent4 3 2 2 3" xfId="2159"/>
    <cellStyle name="40% - Accent4 3 2 2 3 2" xfId="2160"/>
    <cellStyle name="40% - Accent4 3 2 2 3 2 2" xfId="2161"/>
    <cellStyle name="40% - Accent4 3 2 2 3 3" xfId="2162"/>
    <cellStyle name="40% - Accent4 3 2 2 4" xfId="2163"/>
    <cellStyle name="40% - Accent4 3 2 2 4 2" xfId="2164"/>
    <cellStyle name="40% - Accent4 3 2 2 5" xfId="2165"/>
    <cellStyle name="40% - Accent4 3 2 2 6" xfId="8980"/>
    <cellStyle name="40% - Accent4 3 2 3" xfId="2166"/>
    <cellStyle name="40% - Accent4 3 2 3 2" xfId="2167"/>
    <cellStyle name="40% - Accent4 3 2 3 2 2" xfId="2168"/>
    <cellStyle name="40% - Accent4 3 2 3 2 2 2" xfId="2169"/>
    <cellStyle name="40% - Accent4 3 2 3 2 3" xfId="2170"/>
    <cellStyle name="40% - Accent4 3 2 3 3" xfId="2171"/>
    <cellStyle name="40% - Accent4 3 2 3 3 2" xfId="2172"/>
    <cellStyle name="40% - Accent4 3 2 3 4" xfId="2173"/>
    <cellStyle name="40% - Accent4 3 2 3 5" xfId="8981"/>
    <cellStyle name="40% - Accent4 3 2 4" xfId="2174"/>
    <cellStyle name="40% - Accent4 3 2 4 2" xfId="2175"/>
    <cellStyle name="40% - Accent4 3 2 4 2 2" xfId="2176"/>
    <cellStyle name="40% - Accent4 3 2 4 3" xfId="2177"/>
    <cellStyle name="40% - Accent4 3 2 5" xfId="2178"/>
    <cellStyle name="40% - Accent4 3 2 5 2" xfId="2179"/>
    <cellStyle name="40% - Accent4 3 2 6" xfId="2180"/>
    <cellStyle name="40% - Accent4 3 2 7" xfId="8982"/>
    <cellStyle name="40% - Accent4 3 3" xfId="2181"/>
    <cellStyle name="40% - Accent4 3 3 2" xfId="2182"/>
    <cellStyle name="40% - Accent4 3 3 2 2" xfId="2183"/>
    <cellStyle name="40% - Accent4 3 3 2 2 2" xfId="2184"/>
    <cellStyle name="40% - Accent4 3 3 2 2 2 2" xfId="2185"/>
    <cellStyle name="40% - Accent4 3 3 2 2 3" xfId="2186"/>
    <cellStyle name="40% - Accent4 3 3 2 3" xfId="2187"/>
    <cellStyle name="40% - Accent4 3 3 2 3 2" xfId="2188"/>
    <cellStyle name="40% - Accent4 3 3 2 4" xfId="2189"/>
    <cellStyle name="40% - Accent4 3 3 2 5" xfId="8983"/>
    <cellStyle name="40% - Accent4 3 3 3" xfId="2190"/>
    <cellStyle name="40% - Accent4 3 3 3 2" xfId="2191"/>
    <cellStyle name="40% - Accent4 3 3 3 2 2" xfId="2192"/>
    <cellStyle name="40% - Accent4 3 3 3 3" xfId="2193"/>
    <cellStyle name="40% - Accent4 3 3 4" xfId="2194"/>
    <cellStyle name="40% - Accent4 3 3 4 2" xfId="2195"/>
    <cellStyle name="40% - Accent4 3 3 5" xfId="2196"/>
    <cellStyle name="40% - Accent4 3 3 6" xfId="8984"/>
    <cellStyle name="40% - Accent4 3 4" xfId="2197"/>
    <cellStyle name="40% - Accent4 3 4 2" xfId="2198"/>
    <cellStyle name="40% - Accent4 3 4 2 2" xfId="2199"/>
    <cellStyle name="40% - Accent4 3 4 2 2 2" xfId="2200"/>
    <cellStyle name="40% - Accent4 3 4 2 3" xfId="2201"/>
    <cellStyle name="40% - Accent4 3 4 3" xfId="2202"/>
    <cellStyle name="40% - Accent4 3 4 3 2" xfId="2203"/>
    <cellStyle name="40% - Accent4 3 4 4" xfId="2204"/>
    <cellStyle name="40% - Accent4 3 4 5" xfId="8985"/>
    <cellStyle name="40% - Accent4 3 5" xfId="2205"/>
    <cellStyle name="40% - Accent4 3 5 2" xfId="2206"/>
    <cellStyle name="40% - Accent4 3 5 2 2" xfId="2207"/>
    <cellStyle name="40% - Accent4 3 5 3" xfId="2208"/>
    <cellStyle name="40% - Accent4 3 6" xfId="2209"/>
    <cellStyle name="40% - Accent4 3 6 2" xfId="2210"/>
    <cellStyle name="40% - Accent4 3 7" xfId="2211"/>
    <cellStyle name="40% - Accent4 3 8" xfId="2212"/>
    <cellStyle name="40% - Accent4 3 9" xfId="8986"/>
    <cellStyle name="40% - Accent4 4" xfId="2213"/>
    <cellStyle name="40% - Accent4 4 10" xfId="24420"/>
    <cellStyle name="40% - Accent4 4 10 2" xfId="24421"/>
    <cellStyle name="40% - Accent4 4 10 2 2" xfId="24422"/>
    <cellStyle name="40% - Accent4 4 10 2 3" xfId="24423"/>
    <cellStyle name="40% - Accent4 4 10 3" xfId="24424"/>
    <cellStyle name="40% - Accent4 4 10 3 2" xfId="24425"/>
    <cellStyle name="40% - Accent4 4 10 4" xfId="24426"/>
    <cellStyle name="40% - Accent4 4 10 5" xfId="24427"/>
    <cellStyle name="40% - Accent4 4 11" xfId="24428"/>
    <cellStyle name="40% - Accent4 4 11 2" xfId="24429"/>
    <cellStyle name="40% - Accent4 4 11 3" xfId="24430"/>
    <cellStyle name="40% - Accent4 4 12" xfId="24431"/>
    <cellStyle name="40% - Accent4 4 12 2" xfId="24432"/>
    <cellStyle name="40% - Accent4 4 12 3" xfId="24433"/>
    <cellStyle name="40% - Accent4 4 13" xfId="24434"/>
    <cellStyle name="40% - Accent4 4 13 2" xfId="24435"/>
    <cellStyle name="40% - Accent4 4 14" xfId="24436"/>
    <cellStyle name="40% - Accent4 4 15" xfId="24437"/>
    <cellStyle name="40% - Accent4 4 16" xfId="24438"/>
    <cellStyle name="40% - Accent4 4 2" xfId="2214"/>
    <cellStyle name="40% - Accent4 4 2 10" xfId="24439"/>
    <cellStyle name="40% - Accent4 4 2 10 2" xfId="24440"/>
    <cellStyle name="40% - Accent4 4 2 10 3" xfId="24441"/>
    <cellStyle name="40% - Accent4 4 2 11" xfId="24442"/>
    <cellStyle name="40% - Accent4 4 2 11 2" xfId="24443"/>
    <cellStyle name="40% - Accent4 4 2 11 3" xfId="24444"/>
    <cellStyle name="40% - Accent4 4 2 12" xfId="24445"/>
    <cellStyle name="40% - Accent4 4 2 12 2" xfId="24446"/>
    <cellStyle name="40% - Accent4 4 2 13" xfId="24447"/>
    <cellStyle name="40% - Accent4 4 2 14" xfId="24448"/>
    <cellStyle name="40% - Accent4 4 2 15" xfId="24449"/>
    <cellStyle name="40% - Accent4 4 2 2" xfId="2215"/>
    <cellStyle name="40% - Accent4 4 2 2 10" xfId="24450"/>
    <cellStyle name="40% - Accent4 4 2 2 10 2" xfId="24451"/>
    <cellStyle name="40% - Accent4 4 2 2 10 3" xfId="24452"/>
    <cellStyle name="40% - Accent4 4 2 2 11" xfId="24453"/>
    <cellStyle name="40% - Accent4 4 2 2 11 2" xfId="24454"/>
    <cellStyle name="40% - Accent4 4 2 2 12" xfId="24455"/>
    <cellStyle name="40% - Accent4 4 2 2 13" xfId="24456"/>
    <cellStyle name="40% - Accent4 4 2 2 2" xfId="2216"/>
    <cellStyle name="40% - Accent4 4 2 2 2 10" xfId="24457"/>
    <cellStyle name="40% - Accent4 4 2 2 2 10 2" xfId="24458"/>
    <cellStyle name="40% - Accent4 4 2 2 2 11" xfId="24459"/>
    <cellStyle name="40% - Accent4 4 2 2 2 12" xfId="24460"/>
    <cellStyle name="40% - Accent4 4 2 2 2 2" xfId="2217"/>
    <cellStyle name="40% - Accent4 4 2 2 2 2 10" xfId="24461"/>
    <cellStyle name="40% - Accent4 4 2 2 2 2 2" xfId="2218"/>
    <cellStyle name="40% - Accent4 4 2 2 2 2 2 2" xfId="24462"/>
    <cellStyle name="40% - Accent4 4 2 2 2 2 2 2 2" xfId="24463"/>
    <cellStyle name="40% - Accent4 4 2 2 2 2 2 2 2 2" xfId="24464"/>
    <cellStyle name="40% - Accent4 4 2 2 2 2 2 2 2 3" xfId="24465"/>
    <cellStyle name="40% - Accent4 4 2 2 2 2 2 2 3" xfId="24466"/>
    <cellStyle name="40% - Accent4 4 2 2 2 2 2 2 3 2" xfId="24467"/>
    <cellStyle name="40% - Accent4 4 2 2 2 2 2 2 3 3" xfId="24468"/>
    <cellStyle name="40% - Accent4 4 2 2 2 2 2 2 4" xfId="24469"/>
    <cellStyle name="40% - Accent4 4 2 2 2 2 2 2 4 2" xfId="24470"/>
    <cellStyle name="40% - Accent4 4 2 2 2 2 2 2 5" xfId="24471"/>
    <cellStyle name="40% - Accent4 4 2 2 2 2 2 2 6" xfId="24472"/>
    <cellStyle name="40% - Accent4 4 2 2 2 2 2 3" xfId="24473"/>
    <cellStyle name="40% - Accent4 4 2 2 2 2 2 3 2" xfId="24474"/>
    <cellStyle name="40% - Accent4 4 2 2 2 2 2 3 2 2" xfId="24475"/>
    <cellStyle name="40% - Accent4 4 2 2 2 2 2 3 2 3" xfId="24476"/>
    <cellStyle name="40% - Accent4 4 2 2 2 2 2 3 3" xfId="24477"/>
    <cellStyle name="40% - Accent4 4 2 2 2 2 2 3 3 2" xfId="24478"/>
    <cellStyle name="40% - Accent4 4 2 2 2 2 2 3 3 3" xfId="24479"/>
    <cellStyle name="40% - Accent4 4 2 2 2 2 2 3 4" xfId="24480"/>
    <cellStyle name="40% - Accent4 4 2 2 2 2 2 3 4 2" xfId="24481"/>
    <cellStyle name="40% - Accent4 4 2 2 2 2 2 3 5" xfId="24482"/>
    <cellStyle name="40% - Accent4 4 2 2 2 2 2 3 6" xfId="24483"/>
    <cellStyle name="40% - Accent4 4 2 2 2 2 2 4" xfId="24484"/>
    <cellStyle name="40% - Accent4 4 2 2 2 2 2 4 2" xfId="24485"/>
    <cellStyle name="40% - Accent4 4 2 2 2 2 2 4 2 2" xfId="24486"/>
    <cellStyle name="40% - Accent4 4 2 2 2 2 2 4 2 3" xfId="24487"/>
    <cellStyle name="40% - Accent4 4 2 2 2 2 2 4 3" xfId="24488"/>
    <cellStyle name="40% - Accent4 4 2 2 2 2 2 4 3 2" xfId="24489"/>
    <cellStyle name="40% - Accent4 4 2 2 2 2 2 4 4" xfId="24490"/>
    <cellStyle name="40% - Accent4 4 2 2 2 2 2 4 5" xfId="24491"/>
    <cellStyle name="40% - Accent4 4 2 2 2 2 2 5" xfId="24492"/>
    <cellStyle name="40% - Accent4 4 2 2 2 2 2 5 2" xfId="24493"/>
    <cellStyle name="40% - Accent4 4 2 2 2 2 2 5 3" xfId="24494"/>
    <cellStyle name="40% - Accent4 4 2 2 2 2 2 6" xfId="24495"/>
    <cellStyle name="40% - Accent4 4 2 2 2 2 2 6 2" xfId="24496"/>
    <cellStyle name="40% - Accent4 4 2 2 2 2 2 6 3" xfId="24497"/>
    <cellStyle name="40% - Accent4 4 2 2 2 2 2 7" xfId="24498"/>
    <cellStyle name="40% - Accent4 4 2 2 2 2 2 7 2" xfId="24499"/>
    <cellStyle name="40% - Accent4 4 2 2 2 2 2 8" xfId="24500"/>
    <cellStyle name="40% - Accent4 4 2 2 2 2 2 9" xfId="24501"/>
    <cellStyle name="40% - Accent4 4 2 2 2 2 3" xfId="24502"/>
    <cellStyle name="40% - Accent4 4 2 2 2 2 3 2" xfId="24503"/>
    <cellStyle name="40% - Accent4 4 2 2 2 2 3 2 2" xfId="24504"/>
    <cellStyle name="40% - Accent4 4 2 2 2 2 3 2 3" xfId="24505"/>
    <cellStyle name="40% - Accent4 4 2 2 2 2 3 3" xfId="24506"/>
    <cellStyle name="40% - Accent4 4 2 2 2 2 3 3 2" xfId="24507"/>
    <cellStyle name="40% - Accent4 4 2 2 2 2 3 3 3" xfId="24508"/>
    <cellStyle name="40% - Accent4 4 2 2 2 2 3 4" xfId="24509"/>
    <cellStyle name="40% - Accent4 4 2 2 2 2 3 4 2" xfId="24510"/>
    <cellStyle name="40% - Accent4 4 2 2 2 2 3 5" xfId="24511"/>
    <cellStyle name="40% - Accent4 4 2 2 2 2 3 6" xfId="24512"/>
    <cellStyle name="40% - Accent4 4 2 2 2 2 4" xfId="24513"/>
    <cellStyle name="40% - Accent4 4 2 2 2 2 4 2" xfId="24514"/>
    <cellStyle name="40% - Accent4 4 2 2 2 2 4 2 2" xfId="24515"/>
    <cellStyle name="40% - Accent4 4 2 2 2 2 4 2 3" xfId="24516"/>
    <cellStyle name="40% - Accent4 4 2 2 2 2 4 3" xfId="24517"/>
    <cellStyle name="40% - Accent4 4 2 2 2 2 4 3 2" xfId="24518"/>
    <cellStyle name="40% - Accent4 4 2 2 2 2 4 3 3" xfId="24519"/>
    <cellStyle name="40% - Accent4 4 2 2 2 2 4 4" xfId="24520"/>
    <cellStyle name="40% - Accent4 4 2 2 2 2 4 4 2" xfId="24521"/>
    <cellStyle name="40% - Accent4 4 2 2 2 2 4 5" xfId="24522"/>
    <cellStyle name="40% - Accent4 4 2 2 2 2 4 6" xfId="24523"/>
    <cellStyle name="40% - Accent4 4 2 2 2 2 5" xfId="24524"/>
    <cellStyle name="40% - Accent4 4 2 2 2 2 5 2" xfId="24525"/>
    <cellStyle name="40% - Accent4 4 2 2 2 2 5 2 2" xfId="24526"/>
    <cellStyle name="40% - Accent4 4 2 2 2 2 5 2 3" xfId="24527"/>
    <cellStyle name="40% - Accent4 4 2 2 2 2 5 3" xfId="24528"/>
    <cellStyle name="40% - Accent4 4 2 2 2 2 5 3 2" xfId="24529"/>
    <cellStyle name="40% - Accent4 4 2 2 2 2 5 4" xfId="24530"/>
    <cellStyle name="40% - Accent4 4 2 2 2 2 5 5" xfId="24531"/>
    <cellStyle name="40% - Accent4 4 2 2 2 2 6" xfId="24532"/>
    <cellStyle name="40% - Accent4 4 2 2 2 2 6 2" xfId="24533"/>
    <cellStyle name="40% - Accent4 4 2 2 2 2 6 3" xfId="24534"/>
    <cellStyle name="40% - Accent4 4 2 2 2 2 7" xfId="24535"/>
    <cellStyle name="40% - Accent4 4 2 2 2 2 7 2" xfId="24536"/>
    <cellStyle name="40% - Accent4 4 2 2 2 2 7 3" xfId="24537"/>
    <cellStyle name="40% - Accent4 4 2 2 2 2 8" xfId="24538"/>
    <cellStyle name="40% - Accent4 4 2 2 2 2 8 2" xfId="24539"/>
    <cellStyle name="40% - Accent4 4 2 2 2 2 9" xfId="24540"/>
    <cellStyle name="40% - Accent4 4 2 2 2 3" xfId="2219"/>
    <cellStyle name="40% - Accent4 4 2 2 2 3 2" xfId="24541"/>
    <cellStyle name="40% - Accent4 4 2 2 2 3 2 2" xfId="24542"/>
    <cellStyle name="40% - Accent4 4 2 2 2 3 2 2 2" xfId="24543"/>
    <cellStyle name="40% - Accent4 4 2 2 2 3 2 2 3" xfId="24544"/>
    <cellStyle name="40% - Accent4 4 2 2 2 3 2 3" xfId="24545"/>
    <cellStyle name="40% - Accent4 4 2 2 2 3 2 3 2" xfId="24546"/>
    <cellStyle name="40% - Accent4 4 2 2 2 3 2 3 3" xfId="24547"/>
    <cellStyle name="40% - Accent4 4 2 2 2 3 2 4" xfId="24548"/>
    <cellStyle name="40% - Accent4 4 2 2 2 3 2 4 2" xfId="24549"/>
    <cellStyle name="40% - Accent4 4 2 2 2 3 2 5" xfId="24550"/>
    <cellStyle name="40% - Accent4 4 2 2 2 3 2 6" xfId="24551"/>
    <cellStyle name="40% - Accent4 4 2 2 2 3 3" xfId="24552"/>
    <cellStyle name="40% - Accent4 4 2 2 2 3 3 2" xfId="24553"/>
    <cellStyle name="40% - Accent4 4 2 2 2 3 3 2 2" xfId="24554"/>
    <cellStyle name="40% - Accent4 4 2 2 2 3 3 2 3" xfId="24555"/>
    <cellStyle name="40% - Accent4 4 2 2 2 3 3 3" xfId="24556"/>
    <cellStyle name="40% - Accent4 4 2 2 2 3 3 3 2" xfId="24557"/>
    <cellStyle name="40% - Accent4 4 2 2 2 3 3 3 3" xfId="24558"/>
    <cellStyle name="40% - Accent4 4 2 2 2 3 3 4" xfId="24559"/>
    <cellStyle name="40% - Accent4 4 2 2 2 3 3 4 2" xfId="24560"/>
    <cellStyle name="40% - Accent4 4 2 2 2 3 3 5" xfId="24561"/>
    <cellStyle name="40% - Accent4 4 2 2 2 3 3 6" xfId="24562"/>
    <cellStyle name="40% - Accent4 4 2 2 2 3 4" xfId="24563"/>
    <cellStyle name="40% - Accent4 4 2 2 2 3 4 2" xfId="24564"/>
    <cellStyle name="40% - Accent4 4 2 2 2 3 4 2 2" xfId="24565"/>
    <cellStyle name="40% - Accent4 4 2 2 2 3 4 2 3" xfId="24566"/>
    <cellStyle name="40% - Accent4 4 2 2 2 3 4 3" xfId="24567"/>
    <cellStyle name="40% - Accent4 4 2 2 2 3 4 3 2" xfId="24568"/>
    <cellStyle name="40% - Accent4 4 2 2 2 3 4 4" xfId="24569"/>
    <cellStyle name="40% - Accent4 4 2 2 2 3 4 5" xfId="24570"/>
    <cellStyle name="40% - Accent4 4 2 2 2 3 5" xfId="24571"/>
    <cellStyle name="40% - Accent4 4 2 2 2 3 5 2" xfId="24572"/>
    <cellStyle name="40% - Accent4 4 2 2 2 3 5 3" xfId="24573"/>
    <cellStyle name="40% - Accent4 4 2 2 2 3 6" xfId="24574"/>
    <cellStyle name="40% - Accent4 4 2 2 2 3 6 2" xfId="24575"/>
    <cellStyle name="40% - Accent4 4 2 2 2 3 6 3" xfId="24576"/>
    <cellStyle name="40% - Accent4 4 2 2 2 3 7" xfId="24577"/>
    <cellStyle name="40% - Accent4 4 2 2 2 3 7 2" xfId="24578"/>
    <cellStyle name="40% - Accent4 4 2 2 2 3 8" xfId="24579"/>
    <cellStyle name="40% - Accent4 4 2 2 2 3 9" xfId="24580"/>
    <cellStyle name="40% - Accent4 4 2 2 2 4" xfId="24581"/>
    <cellStyle name="40% - Accent4 4 2 2 2 4 2" xfId="24582"/>
    <cellStyle name="40% - Accent4 4 2 2 2 4 2 2" xfId="24583"/>
    <cellStyle name="40% - Accent4 4 2 2 2 4 2 2 2" xfId="24584"/>
    <cellStyle name="40% - Accent4 4 2 2 2 4 2 2 3" xfId="24585"/>
    <cellStyle name="40% - Accent4 4 2 2 2 4 2 3" xfId="24586"/>
    <cellStyle name="40% - Accent4 4 2 2 2 4 2 3 2" xfId="24587"/>
    <cellStyle name="40% - Accent4 4 2 2 2 4 2 3 3" xfId="24588"/>
    <cellStyle name="40% - Accent4 4 2 2 2 4 2 4" xfId="24589"/>
    <cellStyle name="40% - Accent4 4 2 2 2 4 2 4 2" xfId="24590"/>
    <cellStyle name="40% - Accent4 4 2 2 2 4 2 5" xfId="24591"/>
    <cellStyle name="40% - Accent4 4 2 2 2 4 2 6" xfId="24592"/>
    <cellStyle name="40% - Accent4 4 2 2 2 4 3" xfId="24593"/>
    <cellStyle name="40% - Accent4 4 2 2 2 4 3 2" xfId="24594"/>
    <cellStyle name="40% - Accent4 4 2 2 2 4 3 2 2" xfId="24595"/>
    <cellStyle name="40% - Accent4 4 2 2 2 4 3 2 3" xfId="24596"/>
    <cellStyle name="40% - Accent4 4 2 2 2 4 3 3" xfId="24597"/>
    <cellStyle name="40% - Accent4 4 2 2 2 4 3 3 2" xfId="24598"/>
    <cellStyle name="40% - Accent4 4 2 2 2 4 3 3 3" xfId="24599"/>
    <cellStyle name="40% - Accent4 4 2 2 2 4 3 4" xfId="24600"/>
    <cellStyle name="40% - Accent4 4 2 2 2 4 3 4 2" xfId="24601"/>
    <cellStyle name="40% - Accent4 4 2 2 2 4 3 5" xfId="24602"/>
    <cellStyle name="40% - Accent4 4 2 2 2 4 3 6" xfId="24603"/>
    <cellStyle name="40% - Accent4 4 2 2 2 4 4" xfId="24604"/>
    <cellStyle name="40% - Accent4 4 2 2 2 4 4 2" xfId="24605"/>
    <cellStyle name="40% - Accent4 4 2 2 2 4 4 2 2" xfId="24606"/>
    <cellStyle name="40% - Accent4 4 2 2 2 4 4 2 3" xfId="24607"/>
    <cellStyle name="40% - Accent4 4 2 2 2 4 4 3" xfId="24608"/>
    <cellStyle name="40% - Accent4 4 2 2 2 4 4 3 2" xfId="24609"/>
    <cellStyle name="40% - Accent4 4 2 2 2 4 4 4" xfId="24610"/>
    <cellStyle name="40% - Accent4 4 2 2 2 4 4 5" xfId="24611"/>
    <cellStyle name="40% - Accent4 4 2 2 2 4 5" xfId="24612"/>
    <cellStyle name="40% - Accent4 4 2 2 2 4 5 2" xfId="24613"/>
    <cellStyle name="40% - Accent4 4 2 2 2 4 5 3" xfId="24614"/>
    <cellStyle name="40% - Accent4 4 2 2 2 4 6" xfId="24615"/>
    <cellStyle name="40% - Accent4 4 2 2 2 4 6 2" xfId="24616"/>
    <cellStyle name="40% - Accent4 4 2 2 2 4 6 3" xfId="24617"/>
    <cellStyle name="40% - Accent4 4 2 2 2 4 7" xfId="24618"/>
    <cellStyle name="40% - Accent4 4 2 2 2 4 7 2" xfId="24619"/>
    <cellStyle name="40% - Accent4 4 2 2 2 4 8" xfId="24620"/>
    <cellStyle name="40% - Accent4 4 2 2 2 4 9" xfId="24621"/>
    <cellStyle name="40% - Accent4 4 2 2 2 5" xfId="24622"/>
    <cellStyle name="40% - Accent4 4 2 2 2 5 2" xfId="24623"/>
    <cellStyle name="40% - Accent4 4 2 2 2 5 2 2" xfId="24624"/>
    <cellStyle name="40% - Accent4 4 2 2 2 5 2 3" xfId="24625"/>
    <cellStyle name="40% - Accent4 4 2 2 2 5 3" xfId="24626"/>
    <cellStyle name="40% - Accent4 4 2 2 2 5 3 2" xfId="24627"/>
    <cellStyle name="40% - Accent4 4 2 2 2 5 3 3" xfId="24628"/>
    <cellStyle name="40% - Accent4 4 2 2 2 5 4" xfId="24629"/>
    <cellStyle name="40% - Accent4 4 2 2 2 5 4 2" xfId="24630"/>
    <cellStyle name="40% - Accent4 4 2 2 2 5 5" xfId="24631"/>
    <cellStyle name="40% - Accent4 4 2 2 2 5 6" xfId="24632"/>
    <cellStyle name="40% - Accent4 4 2 2 2 6" xfId="24633"/>
    <cellStyle name="40% - Accent4 4 2 2 2 6 2" xfId="24634"/>
    <cellStyle name="40% - Accent4 4 2 2 2 6 2 2" xfId="24635"/>
    <cellStyle name="40% - Accent4 4 2 2 2 6 2 3" xfId="24636"/>
    <cellStyle name="40% - Accent4 4 2 2 2 6 3" xfId="24637"/>
    <cellStyle name="40% - Accent4 4 2 2 2 6 3 2" xfId="24638"/>
    <cellStyle name="40% - Accent4 4 2 2 2 6 3 3" xfId="24639"/>
    <cellStyle name="40% - Accent4 4 2 2 2 6 4" xfId="24640"/>
    <cellStyle name="40% - Accent4 4 2 2 2 6 4 2" xfId="24641"/>
    <cellStyle name="40% - Accent4 4 2 2 2 6 5" xfId="24642"/>
    <cellStyle name="40% - Accent4 4 2 2 2 6 6" xfId="24643"/>
    <cellStyle name="40% - Accent4 4 2 2 2 7" xfId="24644"/>
    <cellStyle name="40% - Accent4 4 2 2 2 7 2" xfId="24645"/>
    <cellStyle name="40% - Accent4 4 2 2 2 7 2 2" xfId="24646"/>
    <cellStyle name="40% - Accent4 4 2 2 2 7 2 3" xfId="24647"/>
    <cellStyle name="40% - Accent4 4 2 2 2 7 3" xfId="24648"/>
    <cellStyle name="40% - Accent4 4 2 2 2 7 3 2" xfId="24649"/>
    <cellStyle name="40% - Accent4 4 2 2 2 7 4" xfId="24650"/>
    <cellStyle name="40% - Accent4 4 2 2 2 7 5" xfId="24651"/>
    <cellStyle name="40% - Accent4 4 2 2 2 8" xfId="24652"/>
    <cellStyle name="40% - Accent4 4 2 2 2 8 2" xfId="24653"/>
    <cellStyle name="40% - Accent4 4 2 2 2 8 3" xfId="24654"/>
    <cellStyle name="40% - Accent4 4 2 2 2 9" xfId="24655"/>
    <cellStyle name="40% - Accent4 4 2 2 2 9 2" xfId="24656"/>
    <cellStyle name="40% - Accent4 4 2 2 2 9 3" xfId="24657"/>
    <cellStyle name="40% - Accent4 4 2 2 3" xfId="2220"/>
    <cellStyle name="40% - Accent4 4 2 2 3 10" xfId="24658"/>
    <cellStyle name="40% - Accent4 4 2 2 3 2" xfId="2221"/>
    <cellStyle name="40% - Accent4 4 2 2 3 2 2" xfId="24659"/>
    <cellStyle name="40% - Accent4 4 2 2 3 2 2 2" xfId="24660"/>
    <cellStyle name="40% - Accent4 4 2 2 3 2 2 2 2" xfId="24661"/>
    <cellStyle name="40% - Accent4 4 2 2 3 2 2 2 3" xfId="24662"/>
    <cellStyle name="40% - Accent4 4 2 2 3 2 2 3" xfId="24663"/>
    <cellStyle name="40% - Accent4 4 2 2 3 2 2 3 2" xfId="24664"/>
    <cellStyle name="40% - Accent4 4 2 2 3 2 2 3 3" xfId="24665"/>
    <cellStyle name="40% - Accent4 4 2 2 3 2 2 4" xfId="24666"/>
    <cellStyle name="40% - Accent4 4 2 2 3 2 2 4 2" xfId="24667"/>
    <cellStyle name="40% - Accent4 4 2 2 3 2 2 5" xfId="24668"/>
    <cellStyle name="40% - Accent4 4 2 2 3 2 2 6" xfId="24669"/>
    <cellStyle name="40% - Accent4 4 2 2 3 2 3" xfId="24670"/>
    <cellStyle name="40% - Accent4 4 2 2 3 2 3 2" xfId="24671"/>
    <cellStyle name="40% - Accent4 4 2 2 3 2 3 2 2" xfId="24672"/>
    <cellStyle name="40% - Accent4 4 2 2 3 2 3 2 3" xfId="24673"/>
    <cellStyle name="40% - Accent4 4 2 2 3 2 3 3" xfId="24674"/>
    <cellStyle name="40% - Accent4 4 2 2 3 2 3 3 2" xfId="24675"/>
    <cellStyle name="40% - Accent4 4 2 2 3 2 3 3 3" xfId="24676"/>
    <cellStyle name="40% - Accent4 4 2 2 3 2 3 4" xfId="24677"/>
    <cellStyle name="40% - Accent4 4 2 2 3 2 3 4 2" xfId="24678"/>
    <cellStyle name="40% - Accent4 4 2 2 3 2 3 5" xfId="24679"/>
    <cellStyle name="40% - Accent4 4 2 2 3 2 3 6" xfId="24680"/>
    <cellStyle name="40% - Accent4 4 2 2 3 2 4" xfId="24681"/>
    <cellStyle name="40% - Accent4 4 2 2 3 2 4 2" xfId="24682"/>
    <cellStyle name="40% - Accent4 4 2 2 3 2 4 2 2" xfId="24683"/>
    <cellStyle name="40% - Accent4 4 2 2 3 2 4 2 3" xfId="24684"/>
    <cellStyle name="40% - Accent4 4 2 2 3 2 4 3" xfId="24685"/>
    <cellStyle name="40% - Accent4 4 2 2 3 2 4 3 2" xfId="24686"/>
    <cellStyle name="40% - Accent4 4 2 2 3 2 4 4" xfId="24687"/>
    <cellStyle name="40% - Accent4 4 2 2 3 2 4 5" xfId="24688"/>
    <cellStyle name="40% - Accent4 4 2 2 3 2 5" xfId="24689"/>
    <cellStyle name="40% - Accent4 4 2 2 3 2 5 2" xfId="24690"/>
    <cellStyle name="40% - Accent4 4 2 2 3 2 5 3" xfId="24691"/>
    <cellStyle name="40% - Accent4 4 2 2 3 2 6" xfId="24692"/>
    <cellStyle name="40% - Accent4 4 2 2 3 2 6 2" xfId="24693"/>
    <cellStyle name="40% - Accent4 4 2 2 3 2 6 3" xfId="24694"/>
    <cellStyle name="40% - Accent4 4 2 2 3 2 7" xfId="24695"/>
    <cellStyle name="40% - Accent4 4 2 2 3 2 7 2" xfId="24696"/>
    <cellStyle name="40% - Accent4 4 2 2 3 2 8" xfId="24697"/>
    <cellStyle name="40% - Accent4 4 2 2 3 2 9" xfId="24698"/>
    <cellStyle name="40% - Accent4 4 2 2 3 3" xfId="24699"/>
    <cellStyle name="40% - Accent4 4 2 2 3 3 2" xfId="24700"/>
    <cellStyle name="40% - Accent4 4 2 2 3 3 2 2" xfId="24701"/>
    <cellStyle name="40% - Accent4 4 2 2 3 3 2 3" xfId="24702"/>
    <cellStyle name="40% - Accent4 4 2 2 3 3 3" xfId="24703"/>
    <cellStyle name="40% - Accent4 4 2 2 3 3 3 2" xfId="24704"/>
    <cellStyle name="40% - Accent4 4 2 2 3 3 3 3" xfId="24705"/>
    <cellStyle name="40% - Accent4 4 2 2 3 3 4" xfId="24706"/>
    <cellStyle name="40% - Accent4 4 2 2 3 3 4 2" xfId="24707"/>
    <cellStyle name="40% - Accent4 4 2 2 3 3 5" xfId="24708"/>
    <cellStyle name="40% - Accent4 4 2 2 3 3 6" xfId="24709"/>
    <cellStyle name="40% - Accent4 4 2 2 3 4" xfId="24710"/>
    <cellStyle name="40% - Accent4 4 2 2 3 4 2" xfId="24711"/>
    <cellStyle name="40% - Accent4 4 2 2 3 4 2 2" xfId="24712"/>
    <cellStyle name="40% - Accent4 4 2 2 3 4 2 3" xfId="24713"/>
    <cellStyle name="40% - Accent4 4 2 2 3 4 3" xfId="24714"/>
    <cellStyle name="40% - Accent4 4 2 2 3 4 3 2" xfId="24715"/>
    <cellStyle name="40% - Accent4 4 2 2 3 4 3 3" xfId="24716"/>
    <cellStyle name="40% - Accent4 4 2 2 3 4 4" xfId="24717"/>
    <cellStyle name="40% - Accent4 4 2 2 3 4 4 2" xfId="24718"/>
    <cellStyle name="40% - Accent4 4 2 2 3 4 5" xfId="24719"/>
    <cellStyle name="40% - Accent4 4 2 2 3 4 6" xfId="24720"/>
    <cellStyle name="40% - Accent4 4 2 2 3 5" xfId="24721"/>
    <cellStyle name="40% - Accent4 4 2 2 3 5 2" xfId="24722"/>
    <cellStyle name="40% - Accent4 4 2 2 3 5 2 2" xfId="24723"/>
    <cellStyle name="40% - Accent4 4 2 2 3 5 2 3" xfId="24724"/>
    <cellStyle name="40% - Accent4 4 2 2 3 5 3" xfId="24725"/>
    <cellStyle name="40% - Accent4 4 2 2 3 5 3 2" xfId="24726"/>
    <cellStyle name="40% - Accent4 4 2 2 3 5 4" xfId="24727"/>
    <cellStyle name="40% - Accent4 4 2 2 3 5 5" xfId="24728"/>
    <cellStyle name="40% - Accent4 4 2 2 3 6" xfId="24729"/>
    <cellStyle name="40% - Accent4 4 2 2 3 6 2" xfId="24730"/>
    <cellStyle name="40% - Accent4 4 2 2 3 6 3" xfId="24731"/>
    <cellStyle name="40% - Accent4 4 2 2 3 7" xfId="24732"/>
    <cellStyle name="40% - Accent4 4 2 2 3 7 2" xfId="24733"/>
    <cellStyle name="40% - Accent4 4 2 2 3 7 3" xfId="24734"/>
    <cellStyle name="40% - Accent4 4 2 2 3 8" xfId="24735"/>
    <cellStyle name="40% - Accent4 4 2 2 3 8 2" xfId="24736"/>
    <cellStyle name="40% - Accent4 4 2 2 3 9" xfId="24737"/>
    <cellStyle name="40% - Accent4 4 2 2 4" xfId="2222"/>
    <cellStyle name="40% - Accent4 4 2 2 4 2" xfId="24738"/>
    <cellStyle name="40% - Accent4 4 2 2 4 2 2" xfId="24739"/>
    <cellStyle name="40% - Accent4 4 2 2 4 2 2 2" xfId="24740"/>
    <cellStyle name="40% - Accent4 4 2 2 4 2 2 3" xfId="24741"/>
    <cellStyle name="40% - Accent4 4 2 2 4 2 3" xfId="24742"/>
    <cellStyle name="40% - Accent4 4 2 2 4 2 3 2" xfId="24743"/>
    <cellStyle name="40% - Accent4 4 2 2 4 2 3 3" xfId="24744"/>
    <cellStyle name="40% - Accent4 4 2 2 4 2 4" xfId="24745"/>
    <cellStyle name="40% - Accent4 4 2 2 4 2 4 2" xfId="24746"/>
    <cellStyle name="40% - Accent4 4 2 2 4 2 5" xfId="24747"/>
    <cellStyle name="40% - Accent4 4 2 2 4 2 6" xfId="24748"/>
    <cellStyle name="40% - Accent4 4 2 2 4 3" xfId="24749"/>
    <cellStyle name="40% - Accent4 4 2 2 4 3 2" xfId="24750"/>
    <cellStyle name="40% - Accent4 4 2 2 4 3 2 2" xfId="24751"/>
    <cellStyle name="40% - Accent4 4 2 2 4 3 2 3" xfId="24752"/>
    <cellStyle name="40% - Accent4 4 2 2 4 3 3" xfId="24753"/>
    <cellStyle name="40% - Accent4 4 2 2 4 3 3 2" xfId="24754"/>
    <cellStyle name="40% - Accent4 4 2 2 4 3 3 3" xfId="24755"/>
    <cellStyle name="40% - Accent4 4 2 2 4 3 4" xfId="24756"/>
    <cellStyle name="40% - Accent4 4 2 2 4 3 4 2" xfId="24757"/>
    <cellStyle name="40% - Accent4 4 2 2 4 3 5" xfId="24758"/>
    <cellStyle name="40% - Accent4 4 2 2 4 3 6" xfId="24759"/>
    <cellStyle name="40% - Accent4 4 2 2 4 4" xfId="24760"/>
    <cellStyle name="40% - Accent4 4 2 2 4 4 2" xfId="24761"/>
    <cellStyle name="40% - Accent4 4 2 2 4 4 2 2" xfId="24762"/>
    <cellStyle name="40% - Accent4 4 2 2 4 4 2 3" xfId="24763"/>
    <cellStyle name="40% - Accent4 4 2 2 4 4 3" xfId="24764"/>
    <cellStyle name="40% - Accent4 4 2 2 4 4 3 2" xfId="24765"/>
    <cellStyle name="40% - Accent4 4 2 2 4 4 4" xfId="24766"/>
    <cellStyle name="40% - Accent4 4 2 2 4 4 5" xfId="24767"/>
    <cellStyle name="40% - Accent4 4 2 2 4 5" xfId="24768"/>
    <cellStyle name="40% - Accent4 4 2 2 4 5 2" xfId="24769"/>
    <cellStyle name="40% - Accent4 4 2 2 4 5 3" xfId="24770"/>
    <cellStyle name="40% - Accent4 4 2 2 4 6" xfId="24771"/>
    <cellStyle name="40% - Accent4 4 2 2 4 6 2" xfId="24772"/>
    <cellStyle name="40% - Accent4 4 2 2 4 6 3" xfId="24773"/>
    <cellStyle name="40% - Accent4 4 2 2 4 7" xfId="24774"/>
    <cellStyle name="40% - Accent4 4 2 2 4 7 2" xfId="24775"/>
    <cellStyle name="40% - Accent4 4 2 2 4 8" xfId="24776"/>
    <cellStyle name="40% - Accent4 4 2 2 4 9" xfId="24777"/>
    <cellStyle name="40% - Accent4 4 2 2 5" xfId="24778"/>
    <cellStyle name="40% - Accent4 4 2 2 5 2" xfId="24779"/>
    <cellStyle name="40% - Accent4 4 2 2 5 2 2" xfId="24780"/>
    <cellStyle name="40% - Accent4 4 2 2 5 2 2 2" xfId="24781"/>
    <cellStyle name="40% - Accent4 4 2 2 5 2 2 3" xfId="24782"/>
    <cellStyle name="40% - Accent4 4 2 2 5 2 3" xfId="24783"/>
    <cellStyle name="40% - Accent4 4 2 2 5 2 3 2" xfId="24784"/>
    <cellStyle name="40% - Accent4 4 2 2 5 2 3 3" xfId="24785"/>
    <cellStyle name="40% - Accent4 4 2 2 5 2 4" xfId="24786"/>
    <cellStyle name="40% - Accent4 4 2 2 5 2 4 2" xfId="24787"/>
    <cellStyle name="40% - Accent4 4 2 2 5 2 5" xfId="24788"/>
    <cellStyle name="40% - Accent4 4 2 2 5 2 6" xfId="24789"/>
    <cellStyle name="40% - Accent4 4 2 2 5 3" xfId="24790"/>
    <cellStyle name="40% - Accent4 4 2 2 5 3 2" xfId="24791"/>
    <cellStyle name="40% - Accent4 4 2 2 5 3 2 2" xfId="24792"/>
    <cellStyle name="40% - Accent4 4 2 2 5 3 2 3" xfId="24793"/>
    <cellStyle name="40% - Accent4 4 2 2 5 3 3" xfId="24794"/>
    <cellStyle name="40% - Accent4 4 2 2 5 3 3 2" xfId="24795"/>
    <cellStyle name="40% - Accent4 4 2 2 5 3 3 3" xfId="24796"/>
    <cellStyle name="40% - Accent4 4 2 2 5 3 4" xfId="24797"/>
    <cellStyle name="40% - Accent4 4 2 2 5 3 4 2" xfId="24798"/>
    <cellStyle name="40% - Accent4 4 2 2 5 3 5" xfId="24799"/>
    <cellStyle name="40% - Accent4 4 2 2 5 3 6" xfId="24800"/>
    <cellStyle name="40% - Accent4 4 2 2 5 4" xfId="24801"/>
    <cellStyle name="40% - Accent4 4 2 2 5 4 2" xfId="24802"/>
    <cellStyle name="40% - Accent4 4 2 2 5 4 2 2" xfId="24803"/>
    <cellStyle name="40% - Accent4 4 2 2 5 4 2 3" xfId="24804"/>
    <cellStyle name="40% - Accent4 4 2 2 5 4 3" xfId="24805"/>
    <cellStyle name="40% - Accent4 4 2 2 5 4 3 2" xfId="24806"/>
    <cellStyle name="40% - Accent4 4 2 2 5 4 4" xfId="24807"/>
    <cellStyle name="40% - Accent4 4 2 2 5 4 5" xfId="24808"/>
    <cellStyle name="40% - Accent4 4 2 2 5 5" xfId="24809"/>
    <cellStyle name="40% - Accent4 4 2 2 5 5 2" xfId="24810"/>
    <cellStyle name="40% - Accent4 4 2 2 5 5 3" xfId="24811"/>
    <cellStyle name="40% - Accent4 4 2 2 5 6" xfId="24812"/>
    <cellStyle name="40% - Accent4 4 2 2 5 6 2" xfId="24813"/>
    <cellStyle name="40% - Accent4 4 2 2 5 6 3" xfId="24814"/>
    <cellStyle name="40% - Accent4 4 2 2 5 7" xfId="24815"/>
    <cellStyle name="40% - Accent4 4 2 2 5 7 2" xfId="24816"/>
    <cellStyle name="40% - Accent4 4 2 2 5 8" xfId="24817"/>
    <cellStyle name="40% - Accent4 4 2 2 5 9" xfId="24818"/>
    <cellStyle name="40% - Accent4 4 2 2 6" xfId="24819"/>
    <cellStyle name="40% - Accent4 4 2 2 6 2" xfId="24820"/>
    <cellStyle name="40% - Accent4 4 2 2 6 2 2" xfId="24821"/>
    <cellStyle name="40% - Accent4 4 2 2 6 2 3" xfId="24822"/>
    <cellStyle name="40% - Accent4 4 2 2 6 3" xfId="24823"/>
    <cellStyle name="40% - Accent4 4 2 2 6 3 2" xfId="24824"/>
    <cellStyle name="40% - Accent4 4 2 2 6 3 3" xfId="24825"/>
    <cellStyle name="40% - Accent4 4 2 2 6 4" xfId="24826"/>
    <cellStyle name="40% - Accent4 4 2 2 6 4 2" xfId="24827"/>
    <cellStyle name="40% - Accent4 4 2 2 6 5" xfId="24828"/>
    <cellStyle name="40% - Accent4 4 2 2 6 6" xfId="24829"/>
    <cellStyle name="40% - Accent4 4 2 2 7" xfId="24830"/>
    <cellStyle name="40% - Accent4 4 2 2 7 2" xfId="24831"/>
    <cellStyle name="40% - Accent4 4 2 2 7 2 2" xfId="24832"/>
    <cellStyle name="40% - Accent4 4 2 2 7 2 3" xfId="24833"/>
    <cellStyle name="40% - Accent4 4 2 2 7 3" xfId="24834"/>
    <cellStyle name="40% - Accent4 4 2 2 7 3 2" xfId="24835"/>
    <cellStyle name="40% - Accent4 4 2 2 7 3 3" xfId="24836"/>
    <cellStyle name="40% - Accent4 4 2 2 7 4" xfId="24837"/>
    <cellStyle name="40% - Accent4 4 2 2 7 4 2" xfId="24838"/>
    <cellStyle name="40% - Accent4 4 2 2 7 5" xfId="24839"/>
    <cellStyle name="40% - Accent4 4 2 2 7 6" xfId="24840"/>
    <cellStyle name="40% - Accent4 4 2 2 8" xfId="24841"/>
    <cellStyle name="40% - Accent4 4 2 2 8 2" xfId="24842"/>
    <cellStyle name="40% - Accent4 4 2 2 8 2 2" xfId="24843"/>
    <cellStyle name="40% - Accent4 4 2 2 8 2 3" xfId="24844"/>
    <cellStyle name="40% - Accent4 4 2 2 8 3" xfId="24845"/>
    <cellStyle name="40% - Accent4 4 2 2 8 3 2" xfId="24846"/>
    <cellStyle name="40% - Accent4 4 2 2 8 4" xfId="24847"/>
    <cellStyle name="40% - Accent4 4 2 2 8 5" xfId="24848"/>
    <cellStyle name="40% - Accent4 4 2 2 9" xfId="24849"/>
    <cellStyle name="40% - Accent4 4 2 2 9 2" xfId="24850"/>
    <cellStyle name="40% - Accent4 4 2 2 9 3" xfId="24851"/>
    <cellStyle name="40% - Accent4 4 2 3" xfId="2223"/>
    <cellStyle name="40% - Accent4 4 2 3 10" xfId="24852"/>
    <cellStyle name="40% - Accent4 4 2 3 10 2" xfId="24853"/>
    <cellStyle name="40% - Accent4 4 2 3 11" xfId="24854"/>
    <cellStyle name="40% - Accent4 4 2 3 12" xfId="24855"/>
    <cellStyle name="40% - Accent4 4 2 3 2" xfId="2224"/>
    <cellStyle name="40% - Accent4 4 2 3 2 10" xfId="24856"/>
    <cellStyle name="40% - Accent4 4 2 3 2 2" xfId="2225"/>
    <cellStyle name="40% - Accent4 4 2 3 2 2 2" xfId="24857"/>
    <cellStyle name="40% - Accent4 4 2 3 2 2 2 2" xfId="24858"/>
    <cellStyle name="40% - Accent4 4 2 3 2 2 2 2 2" xfId="24859"/>
    <cellStyle name="40% - Accent4 4 2 3 2 2 2 2 3" xfId="24860"/>
    <cellStyle name="40% - Accent4 4 2 3 2 2 2 3" xfId="24861"/>
    <cellStyle name="40% - Accent4 4 2 3 2 2 2 3 2" xfId="24862"/>
    <cellStyle name="40% - Accent4 4 2 3 2 2 2 3 3" xfId="24863"/>
    <cellStyle name="40% - Accent4 4 2 3 2 2 2 4" xfId="24864"/>
    <cellStyle name="40% - Accent4 4 2 3 2 2 2 4 2" xfId="24865"/>
    <cellStyle name="40% - Accent4 4 2 3 2 2 2 5" xfId="24866"/>
    <cellStyle name="40% - Accent4 4 2 3 2 2 2 6" xfId="24867"/>
    <cellStyle name="40% - Accent4 4 2 3 2 2 3" xfId="24868"/>
    <cellStyle name="40% - Accent4 4 2 3 2 2 3 2" xfId="24869"/>
    <cellStyle name="40% - Accent4 4 2 3 2 2 3 2 2" xfId="24870"/>
    <cellStyle name="40% - Accent4 4 2 3 2 2 3 2 3" xfId="24871"/>
    <cellStyle name="40% - Accent4 4 2 3 2 2 3 3" xfId="24872"/>
    <cellStyle name="40% - Accent4 4 2 3 2 2 3 3 2" xfId="24873"/>
    <cellStyle name="40% - Accent4 4 2 3 2 2 3 3 3" xfId="24874"/>
    <cellStyle name="40% - Accent4 4 2 3 2 2 3 4" xfId="24875"/>
    <cellStyle name="40% - Accent4 4 2 3 2 2 3 4 2" xfId="24876"/>
    <cellStyle name="40% - Accent4 4 2 3 2 2 3 5" xfId="24877"/>
    <cellStyle name="40% - Accent4 4 2 3 2 2 3 6" xfId="24878"/>
    <cellStyle name="40% - Accent4 4 2 3 2 2 4" xfId="24879"/>
    <cellStyle name="40% - Accent4 4 2 3 2 2 4 2" xfId="24880"/>
    <cellStyle name="40% - Accent4 4 2 3 2 2 4 2 2" xfId="24881"/>
    <cellStyle name="40% - Accent4 4 2 3 2 2 4 2 3" xfId="24882"/>
    <cellStyle name="40% - Accent4 4 2 3 2 2 4 3" xfId="24883"/>
    <cellStyle name="40% - Accent4 4 2 3 2 2 4 3 2" xfId="24884"/>
    <cellStyle name="40% - Accent4 4 2 3 2 2 4 4" xfId="24885"/>
    <cellStyle name="40% - Accent4 4 2 3 2 2 4 5" xfId="24886"/>
    <cellStyle name="40% - Accent4 4 2 3 2 2 5" xfId="24887"/>
    <cellStyle name="40% - Accent4 4 2 3 2 2 5 2" xfId="24888"/>
    <cellStyle name="40% - Accent4 4 2 3 2 2 5 3" xfId="24889"/>
    <cellStyle name="40% - Accent4 4 2 3 2 2 6" xfId="24890"/>
    <cellStyle name="40% - Accent4 4 2 3 2 2 6 2" xfId="24891"/>
    <cellStyle name="40% - Accent4 4 2 3 2 2 6 3" xfId="24892"/>
    <cellStyle name="40% - Accent4 4 2 3 2 2 7" xfId="24893"/>
    <cellStyle name="40% - Accent4 4 2 3 2 2 7 2" xfId="24894"/>
    <cellStyle name="40% - Accent4 4 2 3 2 2 8" xfId="24895"/>
    <cellStyle name="40% - Accent4 4 2 3 2 2 9" xfId="24896"/>
    <cellStyle name="40% - Accent4 4 2 3 2 3" xfId="24897"/>
    <cellStyle name="40% - Accent4 4 2 3 2 3 2" xfId="24898"/>
    <cellStyle name="40% - Accent4 4 2 3 2 3 2 2" xfId="24899"/>
    <cellStyle name="40% - Accent4 4 2 3 2 3 2 3" xfId="24900"/>
    <cellStyle name="40% - Accent4 4 2 3 2 3 3" xfId="24901"/>
    <cellStyle name="40% - Accent4 4 2 3 2 3 3 2" xfId="24902"/>
    <cellStyle name="40% - Accent4 4 2 3 2 3 3 3" xfId="24903"/>
    <cellStyle name="40% - Accent4 4 2 3 2 3 4" xfId="24904"/>
    <cellStyle name="40% - Accent4 4 2 3 2 3 4 2" xfId="24905"/>
    <cellStyle name="40% - Accent4 4 2 3 2 3 5" xfId="24906"/>
    <cellStyle name="40% - Accent4 4 2 3 2 3 6" xfId="24907"/>
    <cellStyle name="40% - Accent4 4 2 3 2 4" xfId="24908"/>
    <cellStyle name="40% - Accent4 4 2 3 2 4 2" xfId="24909"/>
    <cellStyle name="40% - Accent4 4 2 3 2 4 2 2" xfId="24910"/>
    <cellStyle name="40% - Accent4 4 2 3 2 4 2 3" xfId="24911"/>
    <cellStyle name="40% - Accent4 4 2 3 2 4 3" xfId="24912"/>
    <cellStyle name="40% - Accent4 4 2 3 2 4 3 2" xfId="24913"/>
    <cellStyle name="40% - Accent4 4 2 3 2 4 3 3" xfId="24914"/>
    <cellStyle name="40% - Accent4 4 2 3 2 4 4" xfId="24915"/>
    <cellStyle name="40% - Accent4 4 2 3 2 4 4 2" xfId="24916"/>
    <cellStyle name="40% - Accent4 4 2 3 2 4 5" xfId="24917"/>
    <cellStyle name="40% - Accent4 4 2 3 2 4 6" xfId="24918"/>
    <cellStyle name="40% - Accent4 4 2 3 2 5" xfId="24919"/>
    <cellStyle name="40% - Accent4 4 2 3 2 5 2" xfId="24920"/>
    <cellStyle name="40% - Accent4 4 2 3 2 5 2 2" xfId="24921"/>
    <cellStyle name="40% - Accent4 4 2 3 2 5 2 3" xfId="24922"/>
    <cellStyle name="40% - Accent4 4 2 3 2 5 3" xfId="24923"/>
    <cellStyle name="40% - Accent4 4 2 3 2 5 3 2" xfId="24924"/>
    <cellStyle name="40% - Accent4 4 2 3 2 5 4" xfId="24925"/>
    <cellStyle name="40% - Accent4 4 2 3 2 5 5" xfId="24926"/>
    <cellStyle name="40% - Accent4 4 2 3 2 6" xfId="24927"/>
    <cellStyle name="40% - Accent4 4 2 3 2 6 2" xfId="24928"/>
    <cellStyle name="40% - Accent4 4 2 3 2 6 3" xfId="24929"/>
    <cellStyle name="40% - Accent4 4 2 3 2 7" xfId="24930"/>
    <cellStyle name="40% - Accent4 4 2 3 2 7 2" xfId="24931"/>
    <cellStyle name="40% - Accent4 4 2 3 2 7 3" xfId="24932"/>
    <cellStyle name="40% - Accent4 4 2 3 2 8" xfId="24933"/>
    <cellStyle name="40% - Accent4 4 2 3 2 8 2" xfId="24934"/>
    <cellStyle name="40% - Accent4 4 2 3 2 9" xfId="24935"/>
    <cellStyle name="40% - Accent4 4 2 3 3" xfId="2226"/>
    <cellStyle name="40% - Accent4 4 2 3 3 2" xfId="24936"/>
    <cellStyle name="40% - Accent4 4 2 3 3 2 2" xfId="24937"/>
    <cellStyle name="40% - Accent4 4 2 3 3 2 2 2" xfId="24938"/>
    <cellStyle name="40% - Accent4 4 2 3 3 2 2 3" xfId="24939"/>
    <cellStyle name="40% - Accent4 4 2 3 3 2 3" xfId="24940"/>
    <cellStyle name="40% - Accent4 4 2 3 3 2 3 2" xfId="24941"/>
    <cellStyle name="40% - Accent4 4 2 3 3 2 3 3" xfId="24942"/>
    <cellStyle name="40% - Accent4 4 2 3 3 2 4" xfId="24943"/>
    <cellStyle name="40% - Accent4 4 2 3 3 2 4 2" xfId="24944"/>
    <cellStyle name="40% - Accent4 4 2 3 3 2 5" xfId="24945"/>
    <cellStyle name="40% - Accent4 4 2 3 3 2 6" xfId="24946"/>
    <cellStyle name="40% - Accent4 4 2 3 3 3" xfId="24947"/>
    <cellStyle name="40% - Accent4 4 2 3 3 3 2" xfId="24948"/>
    <cellStyle name="40% - Accent4 4 2 3 3 3 2 2" xfId="24949"/>
    <cellStyle name="40% - Accent4 4 2 3 3 3 2 3" xfId="24950"/>
    <cellStyle name="40% - Accent4 4 2 3 3 3 3" xfId="24951"/>
    <cellStyle name="40% - Accent4 4 2 3 3 3 3 2" xfId="24952"/>
    <cellStyle name="40% - Accent4 4 2 3 3 3 3 3" xfId="24953"/>
    <cellStyle name="40% - Accent4 4 2 3 3 3 4" xfId="24954"/>
    <cellStyle name="40% - Accent4 4 2 3 3 3 4 2" xfId="24955"/>
    <cellStyle name="40% - Accent4 4 2 3 3 3 5" xfId="24956"/>
    <cellStyle name="40% - Accent4 4 2 3 3 3 6" xfId="24957"/>
    <cellStyle name="40% - Accent4 4 2 3 3 4" xfId="24958"/>
    <cellStyle name="40% - Accent4 4 2 3 3 4 2" xfId="24959"/>
    <cellStyle name="40% - Accent4 4 2 3 3 4 2 2" xfId="24960"/>
    <cellStyle name="40% - Accent4 4 2 3 3 4 2 3" xfId="24961"/>
    <cellStyle name="40% - Accent4 4 2 3 3 4 3" xfId="24962"/>
    <cellStyle name="40% - Accent4 4 2 3 3 4 3 2" xfId="24963"/>
    <cellStyle name="40% - Accent4 4 2 3 3 4 4" xfId="24964"/>
    <cellStyle name="40% - Accent4 4 2 3 3 4 5" xfId="24965"/>
    <cellStyle name="40% - Accent4 4 2 3 3 5" xfId="24966"/>
    <cellStyle name="40% - Accent4 4 2 3 3 5 2" xfId="24967"/>
    <cellStyle name="40% - Accent4 4 2 3 3 5 3" xfId="24968"/>
    <cellStyle name="40% - Accent4 4 2 3 3 6" xfId="24969"/>
    <cellStyle name="40% - Accent4 4 2 3 3 6 2" xfId="24970"/>
    <cellStyle name="40% - Accent4 4 2 3 3 6 3" xfId="24971"/>
    <cellStyle name="40% - Accent4 4 2 3 3 7" xfId="24972"/>
    <cellStyle name="40% - Accent4 4 2 3 3 7 2" xfId="24973"/>
    <cellStyle name="40% - Accent4 4 2 3 3 8" xfId="24974"/>
    <cellStyle name="40% - Accent4 4 2 3 3 9" xfId="24975"/>
    <cellStyle name="40% - Accent4 4 2 3 4" xfId="24976"/>
    <cellStyle name="40% - Accent4 4 2 3 4 2" xfId="24977"/>
    <cellStyle name="40% - Accent4 4 2 3 4 2 2" xfId="24978"/>
    <cellStyle name="40% - Accent4 4 2 3 4 2 2 2" xfId="24979"/>
    <cellStyle name="40% - Accent4 4 2 3 4 2 2 3" xfId="24980"/>
    <cellStyle name="40% - Accent4 4 2 3 4 2 3" xfId="24981"/>
    <cellStyle name="40% - Accent4 4 2 3 4 2 3 2" xfId="24982"/>
    <cellStyle name="40% - Accent4 4 2 3 4 2 3 3" xfId="24983"/>
    <cellStyle name="40% - Accent4 4 2 3 4 2 4" xfId="24984"/>
    <cellStyle name="40% - Accent4 4 2 3 4 2 4 2" xfId="24985"/>
    <cellStyle name="40% - Accent4 4 2 3 4 2 5" xfId="24986"/>
    <cellStyle name="40% - Accent4 4 2 3 4 2 6" xfId="24987"/>
    <cellStyle name="40% - Accent4 4 2 3 4 3" xfId="24988"/>
    <cellStyle name="40% - Accent4 4 2 3 4 3 2" xfId="24989"/>
    <cellStyle name="40% - Accent4 4 2 3 4 3 2 2" xfId="24990"/>
    <cellStyle name="40% - Accent4 4 2 3 4 3 2 3" xfId="24991"/>
    <cellStyle name="40% - Accent4 4 2 3 4 3 3" xfId="24992"/>
    <cellStyle name="40% - Accent4 4 2 3 4 3 3 2" xfId="24993"/>
    <cellStyle name="40% - Accent4 4 2 3 4 3 3 3" xfId="24994"/>
    <cellStyle name="40% - Accent4 4 2 3 4 3 4" xfId="24995"/>
    <cellStyle name="40% - Accent4 4 2 3 4 3 4 2" xfId="24996"/>
    <cellStyle name="40% - Accent4 4 2 3 4 3 5" xfId="24997"/>
    <cellStyle name="40% - Accent4 4 2 3 4 3 6" xfId="24998"/>
    <cellStyle name="40% - Accent4 4 2 3 4 4" xfId="24999"/>
    <cellStyle name="40% - Accent4 4 2 3 4 4 2" xfId="25000"/>
    <cellStyle name="40% - Accent4 4 2 3 4 4 2 2" xfId="25001"/>
    <cellStyle name="40% - Accent4 4 2 3 4 4 2 3" xfId="25002"/>
    <cellStyle name="40% - Accent4 4 2 3 4 4 3" xfId="25003"/>
    <cellStyle name="40% - Accent4 4 2 3 4 4 3 2" xfId="25004"/>
    <cellStyle name="40% - Accent4 4 2 3 4 4 4" xfId="25005"/>
    <cellStyle name="40% - Accent4 4 2 3 4 4 5" xfId="25006"/>
    <cellStyle name="40% - Accent4 4 2 3 4 5" xfId="25007"/>
    <cellStyle name="40% - Accent4 4 2 3 4 5 2" xfId="25008"/>
    <cellStyle name="40% - Accent4 4 2 3 4 5 3" xfId="25009"/>
    <cellStyle name="40% - Accent4 4 2 3 4 6" xfId="25010"/>
    <cellStyle name="40% - Accent4 4 2 3 4 6 2" xfId="25011"/>
    <cellStyle name="40% - Accent4 4 2 3 4 6 3" xfId="25012"/>
    <cellStyle name="40% - Accent4 4 2 3 4 7" xfId="25013"/>
    <cellStyle name="40% - Accent4 4 2 3 4 7 2" xfId="25014"/>
    <cellStyle name="40% - Accent4 4 2 3 4 8" xfId="25015"/>
    <cellStyle name="40% - Accent4 4 2 3 4 9" xfId="25016"/>
    <cellStyle name="40% - Accent4 4 2 3 5" xfId="25017"/>
    <cellStyle name="40% - Accent4 4 2 3 5 2" xfId="25018"/>
    <cellStyle name="40% - Accent4 4 2 3 5 2 2" xfId="25019"/>
    <cellStyle name="40% - Accent4 4 2 3 5 2 3" xfId="25020"/>
    <cellStyle name="40% - Accent4 4 2 3 5 3" xfId="25021"/>
    <cellStyle name="40% - Accent4 4 2 3 5 3 2" xfId="25022"/>
    <cellStyle name="40% - Accent4 4 2 3 5 3 3" xfId="25023"/>
    <cellStyle name="40% - Accent4 4 2 3 5 4" xfId="25024"/>
    <cellStyle name="40% - Accent4 4 2 3 5 4 2" xfId="25025"/>
    <cellStyle name="40% - Accent4 4 2 3 5 5" xfId="25026"/>
    <cellStyle name="40% - Accent4 4 2 3 5 6" xfId="25027"/>
    <cellStyle name="40% - Accent4 4 2 3 6" xfId="25028"/>
    <cellStyle name="40% - Accent4 4 2 3 6 2" xfId="25029"/>
    <cellStyle name="40% - Accent4 4 2 3 6 2 2" xfId="25030"/>
    <cellStyle name="40% - Accent4 4 2 3 6 2 3" xfId="25031"/>
    <cellStyle name="40% - Accent4 4 2 3 6 3" xfId="25032"/>
    <cellStyle name="40% - Accent4 4 2 3 6 3 2" xfId="25033"/>
    <cellStyle name="40% - Accent4 4 2 3 6 3 3" xfId="25034"/>
    <cellStyle name="40% - Accent4 4 2 3 6 4" xfId="25035"/>
    <cellStyle name="40% - Accent4 4 2 3 6 4 2" xfId="25036"/>
    <cellStyle name="40% - Accent4 4 2 3 6 5" xfId="25037"/>
    <cellStyle name="40% - Accent4 4 2 3 6 6" xfId="25038"/>
    <cellStyle name="40% - Accent4 4 2 3 7" xfId="25039"/>
    <cellStyle name="40% - Accent4 4 2 3 7 2" xfId="25040"/>
    <cellStyle name="40% - Accent4 4 2 3 7 2 2" xfId="25041"/>
    <cellStyle name="40% - Accent4 4 2 3 7 2 3" xfId="25042"/>
    <cellStyle name="40% - Accent4 4 2 3 7 3" xfId="25043"/>
    <cellStyle name="40% - Accent4 4 2 3 7 3 2" xfId="25044"/>
    <cellStyle name="40% - Accent4 4 2 3 7 4" xfId="25045"/>
    <cellStyle name="40% - Accent4 4 2 3 7 5" xfId="25046"/>
    <cellStyle name="40% - Accent4 4 2 3 8" xfId="25047"/>
    <cellStyle name="40% - Accent4 4 2 3 8 2" xfId="25048"/>
    <cellStyle name="40% - Accent4 4 2 3 8 3" xfId="25049"/>
    <cellStyle name="40% - Accent4 4 2 3 9" xfId="25050"/>
    <cellStyle name="40% - Accent4 4 2 3 9 2" xfId="25051"/>
    <cellStyle name="40% - Accent4 4 2 3 9 3" xfId="25052"/>
    <cellStyle name="40% - Accent4 4 2 4" xfId="2227"/>
    <cellStyle name="40% - Accent4 4 2 4 10" xfId="25053"/>
    <cellStyle name="40% - Accent4 4 2 4 2" xfId="2228"/>
    <cellStyle name="40% - Accent4 4 2 4 2 2" xfId="25054"/>
    <cellStyle name="40% - Accent4 4 2 4 2 2 2" xfId="25055"/>
    <cellStyle name="40% - Accent4 4 2 4 2 2 2 2" xfId="25056"/>
    <cellStyle name="40% - Accent4 4 2 4 2 2 2 3" xfId="25057"/>
    <cellStyle name="40% - Accent4 4 2 4 2 2 3" xfId="25058"/>
    <cellStyle name="40% - Accent4 4 2 4 2 2 3 2" xfId="25059"/>
    <cellStyle name="40% - Accent4 4 2 4 2 2 3 3" xfId="25060"/>
    <cellStyle name="40% - Accent4 4 2 4 2 2 4" xfId="25061"/>
    <cellStyle name="40% - Accent4 4 2 4 2 2 4 2" xfId="25062"/>
    <cellStyle name="40% - Accent4 4 2 4 2 2 5" xfId="25063"/>
    <cellStyle name="40% - Accent4 4 2 4 2 2 6" xfId="25064"/>
    <cellStyle name="40% - Accent4 4 2 4 2 3" xfId="25065"/>
    <cellStyle name="40% - Accent4 4 2 4 2 3 2" xfId="25066"/>
    <cellStyle name="40% - Accent4 4 2 4 2 3 2 2" xfId="25067"/>
    <cellStyle name="40% - Accent4 4 2 4 2 3 2 3" xfId="25068"/>
    <cellStyle name="40% - Accent4 4 2 4 2 3 3" xfId="25069"/>
    <cellStyle name="40% - Accent4 4 2 4 2 3 3 2" xfId="25070"/>
    <cellStyle name="40% - Accent4 4 2 4 2 3 3 3" xfId="25071"/>
    <cellStyle name="40% - Accent4 4 2 4 2 3 4" xfId="25072"/>
    <cellStyle name="40% - Accent4 4 2 4 2 3 4 2" xfId="25073"/>
    <cellStyle name="40% - Accent4 4 2 4 2 3 5" xfId="25074"/>
    <cellStyle name="40% - Accent4 4 2 4 2 3 6" xfId="25075"/>
    <cellStyle name="40% - Accent4 4 2 4 2 4" xfId="25076"/>
    <cellStyle name="40% - Accent4 4 2 4 2 4 2" xfId="25077"/>
    <cellStyle name="40% - Accent4 4 2 4 2 4 2 2" xfId="25078"/>
    <cellStyle name="40% - Accent4 4 2 4 2 4 2 3" xfId="25079"/>
    <cellStyle name="40% - Accent4 4 2 4 2 4 3" xfId="25080"/>
    <cellStyle name="40% - Accent4 4 2 4 2 4 3 2" xfId="25081"/>
    <cellStyle name="40% - Accent4 4 2 4 2 4 4" xfId="25082"/>
    <cellStyle name="40% - Accent4 4 2 4 2 4 5" xfId="25083"/>
    <cellStyle name="40% - Accent4 4 2 4 2 5" xfId="25084"/>
    <cellStyle name="40% - Accent4 4 2 4 2 5 2" xfId="25085"/>
    <cellStyle name="40% - Accent4 4 2 4 2 5 3" xfId="25086"/>
    <cellStyle name="40% - Accent4 4 2 4 2 6" xfId="25087"/>
    <cellStyle name="40% - Accent4 4 2 4 2 6 2" xfId="25088"/>
    <cellStyle name="40% - Accent4 4 2 4 2 6 3" xfId="25089"/>
    <cellStyle name="40% - Accent4 4 2 4 2 7" xfId="25090"/>
    <cellStyle name="40% - Accent4 4 2 4 2 7 2" xfId="25091"/>
    <cellStyle name="40% - Accent4 4 2 4 2 8" xfId="25092"/>
    <cellStyle name="40% - Accent4 4 2 4 2 9" xfId="25093"/>
    <cellStyle name="40% - Accent4 4 2 4 3" xfId="25094"/>
    <cellStyle name="40% - Accent4 4 2 4 3 2" xfId="25095"/>
    <cellStyle name="40% - Accent4 4 2 4 3 2 2" xfId="25096"/>
    <cellStyle name="40% - Accent4 4 2 4 3 2 3" xfId="25097"/>
    <cellStyle name="40% - Accent4 4 2 4 3 3" xfId="25098"/>
    <cellStyle name="40% - Accent4 4 2 4 3 3 2" xfId="25099"/>
    <cellStyle name="40% - Accent4 4 2 4 3 3 3" xfId="25100"/>
    <cellStyle name="40% - Accent4 4 2 4 3 4" xfId="25101"/>
    <cellStyle name="40% - Accent4 4 2 4 3 4 2" xfId="25102"/>
    <cellStyle name="40% - Accent4 4 2 4 3 5" xfId="25103"/>
    <cellStyle name="40% - Accent4 4 2 4 3 6" xfId="25104"/>
    <cellStyle name="40% - Accent4 4 2 4 4" xfId="25105"/>
    <cellStyle name="40% - Accent4 4 2 4 4 2" xfId="25106"/>
    <cellStyle name="40% - Accent4 4 2 4 4 2 2" xfId="25107"/>
    <cellStyle name="40% - Accent4 4 2 4 4 2 3" xfId="25108"/>
    <cellStyle name="40% - Accent4 4 2 4 4 3" xfId="25109"/>
    <cellStyle name="40% - Accent4 4 2 4 4 3 2" xfId="25110"/>
    <cellStyle name="40% - Accent4 4 2 4 4 3 3" xfId="25111"/>
    <cellStyle name="40% - Accent4 4 2 4 4 4" xfId="25112"/>
    <cellStyle name="40% - Accent4 4 2 4 4 4 2" xfId="25113"/>
    <cellStyle name="40% - Accent4 4 2 4 4 5" xfId="25114"/>
    <cellStyle name="40% - Accent4 4 2 4 4 6" xfId="25115"/>
    <cellStyle name="40% - Accent4 4 2 4 5" xfId="25116"/>
    <cellStyle name="40% - Accent4 4 2 4 5 2" xfId="25117"/>
    <cellStyle name="40% - Accent4 4 2 4 5 2 2" xfId="25118"/>
    <cellStyle name="40% - Accent4 4 2 4 5 2 3" xfId="25119"/>
    <cellStyle name="40% - Accent4 4 2 4 5 3" xfId="25120"/>
    <cellStyle name="40% - Accent4 4 2 4 5 3 2" xfId="25121"/>
    <cellStyle name="40% - Accent4 4 2 4 5 4" xfId="25122"/>
    <cellStyle name="40% - Accent4 4 2 4 5 5" xfId="25123"/>
    <cellStyle name="40% - Accent4 4 2 4 6" xfId="25124"/>
    <cellStyle name="40% - Accent4 4 2 4 6 2" xfId="25125"/>
    <cellStyle name="40% - Accent4 4 2 4 6 3" xfId="25126"/>
    <cellStyle name="40% - Accent4 4 2 4 7" xfId="25127"/>
    <cellStyle name="40% - Accent4 4 2 4 7 2" xfId="25128"/>
    <cellStyle name="40% - Accent4 4 2 4 7 3" xfId="25129"/>
    <cellStyle name="40% - Accent4 4 2 4 8" xfId="25130"/>
    <cellStyle name="40% - Accent4 4 2 4 8 2" xfId="25131"/>
    <cellStyle name="40% - Accent4 4 2 4 9" xfId="25132"/>
    <cellStyle name="40% - Accent4 4 2 5" xfId="2229"/>
    <cellStyle name="40% - Accent4 4 2 5 2" xfId="25133"/>
    <cellStyle name="40% - Accent4 4 2 5 2 2" xfId="25134"/>
    <cellStyle name="40% - Accent4 4 2 5 2 2 2" xfId="25135"/>
    <cellStyle name="40% - Accent4 4 2 5 2 2 3" xfId="25136"/>
    <cellStyle name="40% - Accent4 4 2 5 2 3" xfId="25137"/>
    <cellStyle name="40% - Accent4 4 2 5 2 3 2" xfId="25138"/>
    <cellStyle name="40% - Accent4 4 2 5 2 3 3" xfId="25139"/>
    <cellStyle name="40% - Accent4 4 2 5 2 4" xfId="25140"/>
    <cellStyle name="40% - Accent4 4 2 5 2 4 2" xfId="25141"/>
    <cellStyle name="40% - Accent4 4 2 5 2 5" xfId="25142"/>
    <cellStyle name="40% - Accent4 4 2 5 2 6" xfId="25143"/>
    <cellStyle name="40% - Accent4 4 2 5 3" xfId="25144"/>
    <cellStyle name="40% - Accent4 4 2 5 3 2" xfId="25145"/>
    <cellStyle name="40% - Accent4 4 2 5 3 2 2" xfId="25146"/>
    <cellStyle name="40% - Accent4 4 2 5 3 2 3" xfId="25147"/>
    <cellStyle name="40% - Accent4 4 2 5 3 3" xfId="25148"/>
    <cellStyle name="40% - Accent4 4 2 5 3 3 2" xfId="25149"/>
    <cellStyle name="40% - Accent4 4 2 5 3 3 3" xfId="25150"/>
    <cellStyle name="40% - Accent4 4 2 5 3 4" xfId="25151"/>
    <cellStyle name="40% - Accent4 4 2 5 3 4 2" xfId="25152"/>
    <cellStyle name="40% - Accent4 4 2 5 3 5" xfId="25153"/>
    <cellStyle name="40% - Accent4 4 2 5 3 6" xfId="25154"/>
    <cellStyle name="40% - Accent4 4 2 5 4" xfId="25155"/>
    <cellStyle name="40% - Accent4 4 2 5 4 2" xfId="25156"/>
    <cellStyle name="40% - Accent4 4 2 5 4 2 2" xfId="25157"/>
    <cellStyle name="40% - Accent4 4 2 5 4 2 3" xfId="25158"/>
    <cellStyle name="40% - Accent4 4 2 5 4 3" xfId="25159"/>
    <cellStyle name="40% - Accent4 4 2 5 4 3 2" xfId="25160"/>
    <cellStyle name="40% - Accent4 4 2 5 4 4" xfId="25161"/>
    <cellStyle name="40% - Accent4 4 2 5 4 5" xfId="25162"/>
    <cellStyle name="40% - Accent4 4 2 5 5" xfId="25163"/>
    <cellStyle name="40% - Accent4 4 2 5 5 2" xfId="25164"/>
    <cellStyle name="40% - Accent4 4 2 5 5 3" xfId="25165"/>
    <cellStyle name="40% - Accent4 4 2 5 6" xfId="25166"/>
    <cellStyle name="40% - Accent4 4 2 5 6 2" xfId="25167"/>
    <cellStyle name="40% - Accent4 4 2 5 6 3" xfId="25168"/>
    <cellStyle name="40% - Accent4 4 2 5 7" xfId="25169"/>
    <cellStyle name="40% - Accent4 4 2 5 7 2" xfId="25170"/>
    <cellStyle name="40% - Accent4 4 2 5 8" xfId="25171"/>
    <cellStyle name="40% - Accent4 4 2 5 9" xfId="25172"/>
    <cellStyle name="40% - Accent4 4 2 6" xfId="25173"/>
    <cellStyle name="40% - Accent4 4 2 6 2" xfId="25174"/>
    <cellStyle name="40% - Accent4 4 2 6 2 2" xfId="25175"/>
    <cellStyle name="40% - Accent4 4 2 6 2 2 2" xfId="25176"/>
    <cellStyle name="40% - Accent4 4 2 6 2 2 3" xfId="25177"/>
    <cellStyle name="40% - Accent4 4 2 6 2 3" xfId="25178"/>
    <cellStyle name="40% - Accent4 4 2 6 2 3 2" xfId="25179"/>
    <cellStyle name="40% - Accent4 4 2 6 2 3 3" xfId="25180"/>
    <cellStyle name="40% - Accent4 4 2 6 2 4" xfId="25181"/>
    <cellStyle name="40% - Accent4 4 2 6 2 4 2" xfId="25182"/>
    <cellStyle name="40% - Accent4 4 2 6 2 5" xfId="25183"/>
    <cellStyle name="40% - Accent4 4 2 6 2 6" xfId="25184"/>
    <cellStyle name="40% - Accent4 4 2 6 3" xfId="25185"/>
    <cellStyle name="40% - Accent4 4 2 6 3 2" xfId="25186"/>
    <cellStyle name="40% - Accent4 4 2 6 3 2 2" xfId="25187"/>
    <cellStyle name="40% - Accent4 4 2 6 3 2 3" xfId="25188"/>
    <cellStyle name="40% - Accent4 4 2 6 3 3" xfId="25189"/>
    <cellStyle name="40% - Accent4 4 2 6 3 3 2" xfId="25190"/>
    <cellStyle name="40% - Accent4 4 2 6 3 3 3" xfId="25191"/>
    <cellStyle name="40% - Accent4 4 2 6 3 4" xfId="25192"/>
    <cellStyle name="40% - Accent4 4 2 6 3 4 2" xfId="25193"/>
    <cellStyle name="40% - Accent4 4 2 6 3 5" xfId="25194"/>
    <cellStyle name="40% - Accent4 4 2 6 3 6" xfId="25195"/>
    <cellStyle name="40% - Accent4 4 2 6 4" xfId="25196"/>
    <cellStyle name="40% - Accent4 4 2 6 4 2" xfId="25197"/>
    <cellStyle name="40% - Accent4 4 2 6 4 2 2" xfId="25198"/>
    <cellStyle name="40% - Accent4 4 2 6 4 2 3" xfId="25199"/>
    <cellStyle name="40% - Accent4 4 2 6 4 3" xfId="25200"/>
    <cellStyle name="40% - Accent4 4 2 6 4 3 2" xfId="25201"/>
    <cellStyle name="40% - Accent4 4 2 6 4 4" xfId="25202"/>
    <cellStyle name="40% - Accent4 4 2 6 4 5" xfId="25203"/>
    <cellStyle name="40% - Accent4 4 2 6 5" xfId="25204"/>
    <cellStyle name="40% - Accent4 4 2 6 5 2" xfId="25205"/>
    <cellStyle name="40% - Accent4 4 2 6 5 3" xfId="25206"/>
    <cellStyle name="40% - Accent4 4 2 6 6" xfId="25207"/>
    <cellStyle name="40% - Accent4 4 2 6 6 2" xfId="25208"/>
    <cellStyle name="40% - Accent4 4 2 6 6 3" xfId="25209"/>
    <cellStyle name="40% - Accent4 4 2 6 7" xfId="25210"/>
    <cellStyle name="40% - Accent4 4 2 6 7 2" xfId="25211"/>
    <cellStyle name="40% - Accent4 4 2 6 8" xfId="25212"/>
    <cellStyle name="40% - Accent4 4 2 6 9" xfId="25213"/>
    <cellStyle name="40% - Accent4 4 2 7" xfId="25214"/>
    <cellStyle name="40% - Accent4 4 2 7 2" xfId="25215"/>
    <cellStyle name="40% - Accent4 4 2 7 2 2" xfId="25216"/>
    <cellStyle name="40% - Accent4 4 2 7 2 3" xfId="25217"/>
    <cellStyle name="40% - Accent4 4 2 7 3" xfId="25218"/>
    <cellStyle name="40% - Accent4 4 2 7 3 2" xfId="25219"/>
    <cellStyle name="40% - Accent4 4 2 7 3 3" xfId="25220"/>
    <cellStyle name="40% - Accent4 4 2 7 4" xfId="25221"/>
    <cellStyle name="40% - Accent4 4 2 7 4 2" xfId="25222"/>
    <cellStyle name="40% - Accent4 4 2 7 5" xfId="25223"/>
    <cellStyle name="40% - Accent4 4 2 7 6" xfId="25224"/>
    <cellStyle name="40% - Accent4 4 2 8" xfId="25225"/>
    <cellStyle name="40% - Accent4 4 2 8 2" xfId="25226"/>
    <cellStyle name="40% - Accent4 4 2 8 2 2" xfId="25227"/>
    <cellStyle name="40% - Accent4 4 2 8 2 3" xfId="25228"/>
    <cellStyle name="40% - Accent4 4 2 8 3" xfId="25229"/>
    <cellStyle name="40% - Accent4 4 2 8 3 2" xfId="25230"/>
    <cellStyle name="40% - Accent4 4 2 8 3 3" xfId="25231"/>
    <cellStyle name="40% - Accent4 4 2 8 4" xfId="25232"/>
    <cellStyle name="40% - Accent4 4 2 8 4 2" xfId="25233"/>
    <cellStyle name="40% - Accent4 4 2 8 5" xfId="25234"/>
    <cellStyle name="40% - Accent4 4 2 8 6" xfId="25235"/>
    <cellStyle name="40% - Accent4 4 2 9" xfId="25236"/>
    <cellStyle name="40% - Accent4 4 2 9 2" xfId="25237"/>
    <cellStyle name="40% - Accent4 4 2 9 2 2" xfId="25238"/>
    <cellStyle name="40% - Accent4 4 2 9 2 3" xfId="25239"/>
    <cellStyle name="40% - Accent4 4 2 9 3" xfId="25240"/>
    <cellStyle name="40% - Accent4 4 2 9 3 2" xfId="25241"/>
    <cellStyle name="40% - Accent4 4 2 9 4" xfId="25242"/>
    <cellStyle name="40% - Accent4 4 2 9 5" xfId="25243"/>
    <cellStyle name="40% - Accent4 4 3" xfId="2230"/>
    <cellStyle name="40% - Accent4 4 3 10" xfId="25244"/>
    <cellStyle name="40% - Accent4 4 3 10 2" xfId="25245"/>
    <cellStyle name="40% - Accent4 4 3 10 3" xfId="25246"/>
    <cellStyle name="40% - Accent4 4 3 11" xfId="25247"/>
    <cellStyle name="40% - Accent4 4 3 11 2" xfId="25248"/>
    <cellStyle name="40% - Accent4 4 3 12" xfId="25249"/>
    <cellStyle name="40% - Accent4 4 3 13" xfId="25250"/>
    <cellStyle name="40% - Accent4 4 3 14" xfId="25251"/>
    <cellStyle name="40% - Accent4 4 3 2" xfId="2231"/>
    <cellStyle name="40% - Accent4 4 3 2 10" xfId="25252"/>
    <cellStyle name="40% - Accent4 4 3 2 10 2" xfId="25253"/>
    <cellStyle name="40% - Accent4 4 3 2 11" xfId="25254"/>
    <cellStyle name="40% - Accent4 4 3 2 12" xfId="25255"/>
    <cellStyle name="40% - Accent4 4 3 2 2" xfId="2232"/>
    <cellStyle name="40% - Accent4 4 3 2 2 10" xfId="25256"/>
    <cellStyle name="40% - Accent4 4 3 2 2 2" xfId="2233"/>
    <cellStyle name="40% - Accent4 4 3 2 2 2 2" xfId="25257"/>
    <cellStyle name="40% - Accent4 4 3 2 2 2 2 2" xfId="25258"/>
    <cellStyle name="40% - Accent4 4 3 2 2 2 2 2 2" xfId="25259"/>
    <cellStyle name="40% - Accent4 4 3 2 2 2 2 2 3" xfId="25260"/>
    <cellStyle name="40% - Accent4 4 3 2 2 2 2 3" xfId="25261"/>
    <cellStyle name="40% - Accent4 4 3 2 2 2 2 3 2" xfId="25262"/>
    <cellStyle name="40% - Accent4 4 3 2 2 2 2 3 3" xfId="25263"/>
    <cellStyle name="40% - Accent4 4 3 2 2 2 2 4" xfId="25264"/>
    <cellStyle name="40% - Accent4 4 3 2 2 2 2 4 2" xfId="25265"/>
    <cellStyle name="40% - Accent4 4 3 2 2 2 2 5" xfId="25266"/>
    <cellStyle name="40% - Accent4 4 3 2 2 2 2 6" xfId="25267"/>
    <cellStyle name="40% - Accent4 4 3 2 2 2 3" xfId="25268"/>
    <cellStyle name="40% - Accent4 4 3 2 2 2 3 2" xfId="25269"/>
    <cellStyle name="40% - Accent4 4 3 2 2 2 3 2 2" xfId="25270"/>
    <cellStyle name="40% - Accent4 4 3 2 2 2 3 2 3" xfId="25271"/>
    <cellStyle name="40% - Accent4 4 3 2 2 2 3 3" xfId="25272"/>
    <cellStyle name="40% - Accent4 4 3 2 2 2 3 3 2" xfId="25273"/>
    <cellStyle name="40% - Accent4 4 3 2 2 2 3 3 3" xfId="25274"/>
    <cellStyle name="40% - Accent4 4 3 2 2 2 3 4" xfId="25275"/>
    <cellStyle name="40% - Accent4 4 3 2 2 2 3 4 2" xfId="25276"/>
    <cellStyle name="40% - Accent4 4 3 2 2 2 3 5" xfId="25277"/>
    <cellStyle name="40% - Accent4 4 3 2 2 2 3 6" xfId="25278"/>
    <cellStyle name="40% - Accent4 4 3 2 2 2 4" xfId="25279"/>
    <cellStyle name="40% - Accent4 4 3 2 2 2 4 2" xfId="25280"/>
    <cellStyle name="40% - Accent4 4 3 2 2 2 4 2 2" xfId="25281"/>
    <cellStyle name="40% - Accent4 4 3 2 2 2 4 2 3" xfId="25282"/>
    <cellStyle name="40% - Accent4 4 3 2 2 2 4 3" xfId="25283"/>
    <cellStyle name="40% - Accent4 4 3 2 2 2 4 3 2" xfId="25284"/>
    <cellStyle name="40% - Accent4 4 3 2 2 2 4 4" xfId="25285"/>
    <cellStyle name="40% - Accent4 4 3 2 2 2 4 5" xfId="25286"/>
    <cellStyle name="40% - Accent4 4 3 2 2 2 5" xfId="25287"/>
    <cellStyle name="40% - Accent4 4 3 2 2 2 5 2" xfId="25288"/>
    <cellStyle name="40% - Accent4 4 3 2 2 2 5 3" xfId="25289"/>
    <cellStyle name="40% - Accent4 4 3 2 2 2 6" xfId="25290"/>
    <cellStyle name="40% - Accent4 4 3 2 2 2 6 2" xfId="25291"/>
    <cellStyle name="40% - Accent4 4 3 2 2 2 6 3" xfId="25292"/>
    <cellStyle name="40% - Accent4 4 3 2 2 2 7" xfId="25293"/>
    <cellStyle name="40% - Accent4 4 3 2 2 2 7 2" xfId="25294"/>
    <cellStyle name="40% - Accent4 4 3 2 2 2 8" xfId="25295"/>
    <cellStyle name="40% - Accent4 4 3 2 2 2 9" xfId="25296"/>
    <cellStyle name="40% - Accent4 4 3 2 2 3" xfId="25297"/>
    <cellStyle name="40% - Accent4 4 3 2 2 3 2" xfId="25298"/>
    <cellStyle name="40% - Accent4 4 3 2 2 3 2 2" xfId="25299"/>
    <cellStyle name="40% - Accent4 4 3 2 2 3 2 3" xfId="25300"/>
    <cellStyle name="40% - Accent4 4 3 2 2 3 3" xfId="25301"/>
    <cellStyle name="40% - Accent4 4 3 2 2 3 3 2" xfId="25302"/>
    <cellStyle name="40% - Accent4 4 3 2 2 3 3 3" xfId="25303"/>
    <cellStyle name="40% - Accent4 4 3 2 2 3 4" xfId="25304"/>
    <cellStyle name="40% - Accent4 4 3 2 2 3 4 2" xfId="25305"/>
    <cellStyle name="40% - Accent4 4 3 2 2 3 5" xfId="25306"/>
    <cellStyle name="40% - Accent4 4 3 2 2 3 6" xfId="25307"/>
    <cellStyle name="40% - Accent4 4 3 2 2 4" xfId="25308"/>
    <cellStyle name="40% - Accent4 4 3 2 2 4 2" xfId="25309"/>
    <cellStyle name="40% - Accent4 4 3 2 2 4 2 2" xfId="25310"/>
    <cellStyle name="40% - Accent4 4 3 2 2 4 2 3" xfId="25311"/>
    <cellStyle name="40% - Accent4 4 3 2 2 4 3" xfId="25312"/>
    <cellStyle name="40% - Accent4 4 3 2 2 4 3 2" xfId="25313"/>
    <cellStyle name="40% - Accent4 4 3 2 2 4 3 3" xfId="25314"/>
    <cellStyle name="40% - Accent4 4 3 2 2 4 4" xfId="25315"/>
    <cellStyle name="40% - Accent4 4 3 2 2 4 4 2" xfId="25316"/>
    <cellStyle name="40% - Accent4 4 3 2 2 4 5" xfId="25317"/>
    <cellStyle name="40% - Accent4 4 3 2 2 4 6" xfId="25318"/>
    <cellStyle name="40% - Accent4 4 3 2 2 5" xfId="25319"/>
    <cellStyle name="40% - Accent4 4 3 2 2 5 2" xfId="25320"/>
    <cellStyle name="40% - Accent4 4 3 2 2 5 2 2" xfId="25321"/>
    <cellStyle name="40% - Accent4 4 3 2 2 5 2 3" xfId="25322"/>
    <cellStyle name="40% - Accent4 4 3 2 2 5 3" xfId="25323"/>
    <cellStyle name="40% - Accent4 4 3 2 2 5 3 2" xfId="25324"/>
    <cellStyle name="40% - Accent4 4 3 2 2 5 4" xfId="25325"/>
    <cellStyle name="40% - Accent4 4 3 2 2 5 5" xfId="25326"/>
    <cellStyle name="40% - Accent4 4 3 2 2 6" xfId="25327"/>
    <cellStyle name="40% - Accent4 4 3 2 2 6 2" xfId="25328"/>
    <cellStyle name="40% - Accent4 4 3 2 2 6 3" xfId="25329"/>
    <cellStyle name="40% - Accent4 4 3 2 2 7" xfId="25330"/>
    <cellStyle name="40% - Accent4 4 3 2 2 7 2" xfId="25331"/>
    <cellStyle name="40% - Accent4 4 3 2 2 7 3" xfId="25332"/>
    <cellStyle name="40% - Accent4 4 3 2 2 8" xfId="25333"/>
    <cellStyle name="40% - Accent4 4 3 2 2 8 2" xfId="25334"/>
    <cellStyle name="40% - Accent4 4 3 2 2 9" xfId="25335"/>
    <cellStyle name="40% - Accent4 4 3 2 3" xfId="2234"/>
    <cellStyle name="40% - Accent4 4 3 2 3 2" xfId="25336"/>
    <cellStyle name="40% - Accent4 4 3 2 3 2 2" xfId="25337"/>
    <cellStyle name="40% - Accent4 4 3 2 3 2 2 2" xfId="25338"/>
    <cellStyle name="40% - Accent4 4 3 2 3 2 2 3" xfId="25339"/>
    <cellStyle name="40% - Accent4 4 3 2 3 2 3" xfId="25340"/>
    <cellStyle name="40% - Accent4 4 3 2 3 2 3 2" xfId="25341"/>
    <cellStyle name="40% - Accent4 4 3 2 3 2 3 3" xfId="25342"/>
    <cellStyle name="40% - Accent4 4 3 2 3 2 4" xfId="25343"/>
    <cellStyle name="40% - Accent4 4 3 2 3 2 4 2" xfId="25344"/>
    <cellStyle name="40% - Accent4 4 3 2 3 2 5" xfId="25345"/>
    <cellStyle name="40% - Accent4 4 3 2 3 2 6" xfId="25346"/>
    <cellStyle name="40% - Accent4 4 3 2 3 3" xfId="25347"/>
    <cellStyle name="40% - Accent4 4 3 2 3 3 2" xfId="25348"/>
    <cellStyle name="40% - Accent4 4 3 2 3 3 2 2" xfId="25349"/>
    <cellStyle name="40% - Accent4 4 3 2 3 3 2 3" xfId="25350"/>
    <cellStyle name="40% - Accent4 4 3 2 3 3 3" xfId="25351"/>
    <cellStyle name="40% - Accent4 4 3 2 3 3 3 2" xfId="25352"/>
    <cellStyle name="40% - Accent4 4 3 2 3 3 3 3" xfId="25353"/>
    <cellStyle name="40% - Accent4 4 3 2 3 3 4" xfId="25354"/>
    <cellStyle name="40% - Accent4 4 3 2 3 3 4 2" xfId="25355"/>
    <cellStyle name="40% - Accent4 4 3 2 3 3 5" xfId="25356"/>
    <cellStyle name="40% - Accent4 4 3 2 3 3 6" xfId="25357"/>
    <cellStyle name="40% - Accent4 4 3 2 3 4" xfId="25358"/>
    <cellStyle name="40% - Accent4 4 3 2 3 4 2" xfId="25359"/>
    <cellStyle name="40% - Accent4 4 3 2 3 4 2 2" xfId="25360"/>
    <cellStyle name="40% - Accent4 4 3 2 3 4 2 3" xfId="25361"/>
    <cellStyle name="40% - Accent4 4 3 2 3 4 3" xfId="25362"/>
    <cellStyle name="40% - Accent4 4 3 2 3 4 3 2" xfId="25363"/>
    <cellStyle name="40% - Accent4 4 3 2 3 4 4" xfId="25364"/>
    <cellStyle name="40% - Accent4 4 3 2 3 4 5" xfId="25365"/>
    <cellStyle name="40% - Accent4 4 3 2 3 5" xfId="25366"/>
    <cellStyle name="40% - Accent4 4 3 2 3 5 2" xfId="25367"/>
    <cellStyle name="40% - Accent4 4 3 2 3 5 3" xfId="25368"/>
    <cellStyle name="40% - Accent4 4 3 2 3 6" xfId="25369"/>
    <cellStyle name="40% - Accent4 4 3 2 3 6 2" xfId="25370"/>
    <cellStyle name="40% - Accent4 4 3 2 3 6 3" xfId="25371"/>
    <cellStyle name="40% - Accent4 4 3 2 3 7" xfId="25372"/>
    <cellStyle name="40% - Accent4 4 3 2 3 7 2" xfId="25373"/>
    <cellStyle name="40% - Accent4 4 3 2 3 8" xfId="25374"/>
    <cellStyle name="40% - Accent4 4 3 2 3 9" xfId="25375"/>
    <cellStyle name="40% - Accent4 4 3 2 4" xfId="25376"/>
    <cellStyle name="40% - Accent4 4 3 2 4 2" xfId="25377"/>
    <cellStyle name="40% - Accent4 4 3 2 4 2 2" xfId="25378"/>
    <cellStyle name="40% - Accent4 4 3 2 4 2 2 2" xfId="25379"/>
    <cellStyle name="40% - Accent4 4 3 2 4 2 2 3" xfId="25380"/>
    <cellStyle name="40% - Accent4 4 3 2 4 2 3" xfId="25381"/>
    <cellStyle name="40% - Accent4 4 3 2 4 2 3 2" xfId="25382"/>
    <cellStyle name="40% - Accent4 4 3 2 4 2 3 3" xfId="25383"/>
    <cellStyle name="40% - Accent4 4 3 2 4 2 4" xfId="25384"/>
    <cellStyle name="40% - Accent4 4 3 2 4 2 4 2" xfId="25385"/>
    <cellStyle name="40% - Accent4 4 3 2 4 2 5" xfId="25386"/>
    <cellStyle name="40% - Accent4 4 3 2 4 2 6" xfId="25387"/>
    <cellStyle name="40% - Accent4 4 3 2 4 3" xfId="25388"/>
    <cellStyle name="40% - Accent4 4 3 2 4 3 2" xfId="25389"/>
    <cellStyle name="40% - Accent4 4 3 2 4 3 2 2" xfId="25390"/>
    <cellStyle name="40% - Accent4 4 3 2 4 3 2 3" xfId="25391"/>
    <cellStyle name="40% - Accent4 4 3 2 4 3 3" xfId="25392"/>
    <cellStyle name="40% - Accent4 4 3 2 4 3 3 2" xfId="25393"/>
    <cellStyle name="40% - Accent4 4 3 2 4 3 3 3" xfId="25394"/>
    <cellStyle name="40% - Accent4 4 3 2 4 3 4" xfId="25395"/>
    <cellStyle name="40% - Accent4 4 3 2 4 3 4 2" xfId="25396"/>
    <cellStyle name="40% - Accent4 4 3 2 4 3 5" xfId="25397"/>
    <cellStyle name="40% - Accent4 4 3 2 4 3 6" xfId="25398"/>
    <cellStyle name="40% - Accent4 4 3 2 4 4" xfId="25399"/>
    <cellStyle name="40% - Accent4 4 3 2 4 4 2" xfId="25400"/>
    <cellStyle name="40% - Accent4 4 3 2 4 4 2 2" xfId="25401"/>
    <cellStyle name="40% - Accent4 4 3 2 4 4 2 3" xfId="25402"/>
    <cellStyle name="40% - Accent4 4 3 2 4 4 3" xfId="25403"/>
    <cellStyle name="40% - Accent4 4 3 2 4 4 3 2" xfId="25404"/>
    <cellStyle name="40% - Accent4 4 3 2 4 4 4" xfId="25405"/>
    <cellStyle name="40% - Accent4 4 3 2 4 4 5" xfId="25406"/>
    <cellStyle name="40% - Accent4 4 3 2 4 5" xfId="25407"/>
    <cellStyle name="40% - Accent4 4 3 2 4 5 2" xfId="25408"/>
    <cellStyle name="40% - Accent4 4 3 2 4 5 3" xfId="25409"/>
    <cellStyle name="40% - Accent4 4 3 2 4 6" xfId="25410"/>
    <cellStyle name="40% - Accent4 4 3 2 4 6 2" xfId="25411"/>
    <cellStyle name="40% - Accent4 4 3 2 4 6 3" xfId="25412"/>
    <cellStyle name="40% - Accent4 4 3 2 4 7" xfId="25413"/>
    <cellStyle name="40% - Accent4 4 3 2 4 7 2" xfId="25414"/>
    <cellStyle name="40% - Accent4 4 3 2 4 8" xfId="25415"/>
    <cellStyle name="40% - Accent4 4 3 2 4 9" xfId="25416"/>
    <cellStyle name="40% - Accent4 4 3 2 5" xfId="25417"/>
    <cellStyle name="40% - Accent4 4 3 2 5 2" xfId="25418"/>
    <cellStyle name="40% - Accent4 4 3 2 5 2 2" xfId="25419"/>
    <cellStyle name="40% - Accent4 4 3 2 5 2 3" xfId="25420"/>
    <cellStyle name="40% - Accent4 4 3 2 5 3" xfId="25421"/>
    <cellStyle name="40% - Accent4 4 3 2 5 3 2" xfId="25422"/>
    <cellStyle name="40% - Accent4 4 3 2 5 3 3" xfId="25423"/>
    <cellStyle name="40% - Accent4 4 3 2 5 4" xfId="25424"/>
    <cellStyle name="40% - Accent4 4 3 2 5 4 2" xfId="25425"/>
    <cellStyle name="40% - Accent4 4 3 2 5 5" xfId="25426"/>
    <cellStyle name="40% - Accent4 4 3 2 5 6" xfId="25427"/>
    <cellStyle name="40% - Accent4 4 3 2 6" xfId="25428"/>
    <cellStyle name="40% - Accent4 4 3 2 6 2" xfId="25429"/>
    <cellStyle name="40% - Accent4 4 3 2 6 2 2" xfId="25430"/>
    <cellStyle name="40% - Accent4 4 3 2 6 2 3" xfId="25431"/>
    <cellStyle name="40% - Accent4 4 3 2 6 3" xfId="25432"/>
    <cellStyle name="40% - Accent4 4 3 2 6 3 2" xfId="25433"/>
    <cellStyle name="40% - Accent4 4 3 2 6 3 3" xfId="25434"/>
    <cellStyle name="40% - Accent4 4 3 2 6 4" xfId="25435"/>
    <cellStyle name="40% - Accent4 4 3 2 6 4 2" xfId="25436"/>
    <cellStyle name="40% - Accent4 4 3 2 6 5" xfId="25437"/>
    <cellStyle name="40% - Accent4 4 3 2 6 6" xfId="25438"/>
    <cellStyle name="40% - Accent4 4 3 2 7" xfId="25439"/>
    <cellStyle name="40% - Accent4 4 3 2 7 2" xfId="25440"/>
    <cellStyle name="40% - Accent4 4 3 2 7 2 2" xfId="25441"/>
    <cellStyle name="40% - Accent4 4 3 2 7 2 3" xfId="25442"/>
    <cellStyle name="40% - Accent4 4 3 2 7 3" xfId="25443"/>
    <cellStyle name="40% - Accent4 4 3 2 7 3 2" xfId="25444"/>
    <cellStyle name="40% - Accent4 4 3 2 7 4" xfId="25445"/>
    <cellStyle name="40% - Accent4 4 3 2 7 5" xfId="25446"/>
    <cellStyle name="40% - Accent4 4 3 2 8" xfId="25447"/>
    <cellStyle name="40% - Accent4 4 3 2 8 2" xfId="25448"/>
    <cellStyle name="40% - Accent4 4 3 2 8 3" xfId="25449"/>
    <cellStyle name="40% - Accent4 4 3 2 9" xfId="25450"/>
    <cellStyle name="40% - Accent4 4 3 2 9 2" xfId="25451"/>
    <cellStyle name="40% - Accent4 4 3 2 9 3" xfId="25452"/>
    <cellStyle name="40% - Accent4 4 3 3" xfId="2235"/>
    <cellStyle name="40% - Accent4 4 3 3 10" xfId="25453"/>
    <cellStyle name="40% - Accent4 4 3 3 2" xfId="2236"/>
    <cellStyle name="40% - Accent4 4 3 3 2 2" xfId="25454"/>
    <cellStyle name="40% - Accent4 4 3 3 2 2 2" xfId="25455"/>
    <cellStyle name="40% - Accent4 4 3 3 2 2 2 2" xfId="25456"/>
    <cellStyle name="40% - Accent4 4 3 3 2 2 2 3" xfId="25457"/>
    <cellStyle name="40% - Accent4 4 3 3 2 2 3" xfId="25458"/>
    <cellStyle name="40% - Accent4 4 3 3 2 2 3 2" xfId="25459"/>
    <cellStyle name="40% - Accent4 4 3 3 2 2 3 3" xfId="25460"/>
    <cellStyle name="40% - Accent4 4 3 3 2 2 4" xfId="25461"/>
    <cellStyle name="40% - Accent4 4 3 3 2 2 4 2" xfId="25462"/>
    <cellStyle name="40% - Accent4 4 3 3 2 2 5" xfId="25463"/>
    <cellStyle name="40% - Accent4 4 3 3 2 2 6" xfId="25464"/>
    <cellStyle name="40% - Accent4 4 3 3 2 3" xfId="25465"/>
    <cellStyle name="40% - Accent4 4 3 3 2 3 2" xfId="25466"/>
    <cellStyle name="40% - Accent4 4 3 3 2 3 2 2" xfId="25467"/>
    <cellStyle name="40% - Accent4 4 3 3 2 3 2 3" xfId="25468"/>
    <cellStyle name="40% - Accent4 4 3 3 2 3 3" xfId="25469"/>
    <cellStyle name="40% - Accent4 4 3 3 2 3 3 2" xfId="25470"/>
    <cellStyle name="40% - Accent4 4 3 3 2 3 3 3" xfId="25471"/>
    <cellStyle name="40% - Accent4 4 3 3 2 3 4" xfId="25472"/>
    <cellStyle name="40% - Accent4 4 3 3 2 3 4 2" xfId="25473"/>
    <cellStyle name="40% - Accent4 4 3 3 2 3 5" xfId="25474"/>
    <cellStyle name="40% - Accent4 4 3 3 2 3 6" xfId="25475"/>
    <cellStyle name="40% - Accent4 4 3 3 2 4" xfId="25476"/>
    <cellStyle name="40% - Accent4 4 3 3 2 4 2" xfId="25477"/>
    <cellStyle name="40% - Accent4 4 3 3 2 4 2 2" xfId="25478"/>
    <cellStyle name="40% - Accent4 4 3 3 2 4 2 3" xfId="25479"/>
    <cellStyle name="40% - Accent4 4 3 3 2 4 3" xfId="25480"/>
    <cellStyle name="40% - Accent4 4 3 3 2 4 3 2" xfId="25481"/>
    <cellStyle name="40% - Accent4 4 3 3 2 4 4" xfId="25482"/>
    <cellStyle name="40% - Accent4 4 3 3 2 4 5" xfId="25483"/>
    <cellStyle name="40% - Accent4 4 3 3 2 5" xfId="25484"/>
    <cellStyle name="40% - Accent4 4 3 3 2 5 2" xfId="25485"/>
    <cellStyle name="40% - Accent4 4 3 3 2 5 3" xfId="25486"/>
    <cellStyle name="40% - Accent4 4 3 3 2 6" xfId="25487"/>
    <cellStyle name="40% - Accent4 4 3 3 2 6 2" xfId="25488"/>
    <cellStyle name="40% - Accent4 4 3 3 2 6 3" xfId="25489"/>
    <cellStyle name="40% - Accent4 4 3 3 2 7" xfId="25490"/>
    <cellStyle name="40% - Accent4 4 3 3 2 7 2" xfId="25491"/>
    <cellStyle name="40% - Accent4 4 3 3 2 8" xfId="25492"/>
    <cellStyle name="40% - Accent4 4 3 3 2 9" xfId="25493"/>
    <cellStyle name="40% - Accent4 4 3 3 3" xfId="25494"/>
    <cellStyle name="40% - Accent4 4 3 3 3 2" xfId="25495"/>
    <cellStyle name="40% - Accent4 4 3 3 3 2 2" xfId="25496"/>
    <cellStyle name="40% - Accent4 4 3 3 3 2 3" xfId="25497"/>
    <cellStyle name="40% - Accent4 4 3 3 3 3" xfId="25498"/>
    <cellStyle name="40% - Accent4 4 3 3 3 3 2" xfId="25499"/>
    <cellStyle name="40% - Accent4 4 3 3 3 3 3" xfId="25500"/>
    <cellStyle name="40% - Accent4 4 3 3 3 4" xfId="25501"/>
    <cellStyle name="40% - Accent4 4 3 3 3 4 2" xfId="25502"/>
    <cellStyle name="40% - Accent4 4 3 3 3 5" xfId="25503"/>
    <cellStyle name="40% - Accent4 4 3 3 3 6" xfId="25504"/>
    <cellStyle name="40% - Accent4 4 3 3 4" xfId="25505"/>
    <cellStyle name="40% - Accent4 4 3 3 4 2" xfId="25506"/>
    <cellStyle name="40% - Accent4 4 3 3 4 2 2" xfId="25507"/>
    <cellStyle name="40% - Accent4 4 3 3 4 2 3" xfId="25508"/>
    <cellStyle name="40% - Accent4 4 3 3 4 3" xfId="25509"/>
    <cellStyle name="40% - Accent4 4 3 3 4 3 2" xfId="25510"/>
    <cellStyle name="40% - Accent4 4 3 3 4 3 3" xfId="25511"/>
    <cellStyle name="40% - Accent4 4 3 3 4 4" xfId="25512"/>
    <cellStyle name="40% - Accent4 4 3 3 4 4 2" xfId="25513"/>
    <cellStyle name="40% - Accent4 4 3 3 4 5" xfId="25514"/>
    <cellStyle name="40% - Accent4 4 3 3 4 6" xfId="25515"/>
    <cellStyle name="40% - Accent4 4 3 3 5" xfId="25516"/>
    <cellStyle name="40% - Accent4 4 3 3 5 2" xfId="25517"/>
    <cellStyle name="40% - Accent4 4 3 3 5 2 2" xfId="25518"/>
    <cellStyle name="40% - Accent4 4 3 3 5 2 3" xfId="25519"/>
    <cellStyle name="40% - Accent4 4 3 3 5 3" xfId="25520"/>
    <cellStyle name="40% - Accent4 4 3 3 5 3 2" xfId="25521"/>
    <cellStyle name="40% - Accent4 4 3 3 5 4" xfId="25522"/>
    <cellStyle name="40% - Accent4 4 3 3 5 5" xfId="25523"/>
    <cellStyle name="40% - Accent4 4 3 3 6" xfId="25524"/>
    <cellStyle name="40% - Accent4 4 3 3 6 2" xfId="25525"/>
    <cellStyle name="40% - Accent4 4 3 3 6 3" xfId="25526"/>
    <cellStyle name="40% - Accent4 4 3 3 7" xfId="25527"/>
    <cellStyle name="40% - Accent4 4 3 3 7 2" xfId="25528"/>
    <cellStyle name="40% - Accent4 4 3 3 7 3" xfId="25529"/>
    <cellStyle name="40% - Accent4 4 3 3 8" xfId="25530"/>
    <cellStyle name="40% - Accent4 4 3 3 8 2" xfId="25531"/>
    <cellStyle name="40% - Accent4 4 3 3 9" xfId="25532"/>
    <cellStyle name="40% - Accent4 4 3 4" xfId="2237"/>
    <cellStyle name="40% - Accent4 4 3 4 2" xfId="25533"/>
    <cellStyle name="40% - Accent4 4 3 4 2 2" xfId="25534"/>
    <cellStyle name="40% - Accent4 4 3 4 2 2 2" xfId="25535"/>
    <cellStyle name="40% - Accent4 4 3 4 2 2 3" xfId="25536"/>
    <cellStyle name="40% - Accent4 4 3 4 2 3" xfId="25537"/>
    <cellStyle name="40% - Accent4 4 3 4 2 3 2" xfId="25538"/>
    <cellStyle name="40% - Accent4 4 3 4 2 3 3" xfId="25539"/>
    <cellStyle name="40% - Accent4 4 3 4 2 4" xfId="25540"/>
    <cellStyle name="40% - Accent4 4 3 4 2 4 2" xfId="25541"/>
    <cellStyle name="40% - Accent4 4 3 4 2 5" xfId="25542"/>
    <cellStyle name="40% - Accent4 4 3 4 2 6" xfId="25543"/>
    <cellStyle name="40% - Accent4 4 3 4 3" xfId="25544"/>
    <cellStyle name="40% - Accent4 4 3 4 3 2" xfId="25545"/>
    <cellStyle name="40% - Accent4 4 3 4 3 2 2" xfId="25546"/>
    <cellStyle name="40% - Accent4 4 3 4 3 2 3" xfId="25547"/>
    <cellStyle name="40% - Accent4 4 3 4 3 3" xfId="25548"/>
    <cellStyle name="40% - Accent4 4 3 4 3 3 2" xfId="25549"/>
    <cellStyle name="40% - Accent4 4 3 4 3 3 3" xfId="25550"/>
    <cellStyle name="40% - Accent4 4 3 4 3 4" xfId="25551"/>
    <cellStyle name="40% - Accent4 4 3 4 3 4 2" xfId="25552"/>
    <cellStyle name="40% - Accent4 4 3 4 3 5" xfId="25553"/>
    <cellStyle name="40% - Accent4 4 3 4 3 6" xfId="25554"/>
    <cellStyle name="40% - Accent4 4 3 4 4" xfId="25555"/>
    <cellStyle name="40% - Accent4 4 3 4 4 2" xfId="25556"/>
    <cellStyle name="40% - Accent4 4 3 4 4 2 2" xfId="25557"/>
    <cellStyle name="40% - Accent4 4 3 4 4 2 3" xfId="25558"/>
    <cellStyle name="40% - Accent4 4 3 4 4 3" xfId="25559"/>
    <cellStyle name="40% - Accent4 4 3 4 4 3 2" xfId="25560"/>
    <cellStyle name="40% - Accent4 4 3 4 4 4" xfId="25561"/>
    <cellStyle name="40% - Accent4 4 3 4 4 5" xfId="25562"/>
    <cellStyle name="40% - Accent4 4 3 4 5" xfId="25563"/>
    <cellStyle name="40% - Accent4 4 3 4 5 2" xfId="25564"/>
    <cellStyle name="40% - Accent4 4 3 4 5 3" xfId="25565"/>
    <cellStyle name="40% - Accent4 4 3 4 6" xfId="25566"/>
    <cellStyle name="40% - Accent4 4 3 4 6 2" xfId="25567"/>
    <cellStyle name="40% - Accent4 4 3 4 6 3" xfId="25568"/>
    <cellStyle name="40% - Accent4 4 3 4 7" xfId="25569"/>
    <cellStyle name="40% - Accent4 4 3 4 7 2" xfId="25570"/>
    <cellStyle name="40% - Accent4 4 3 4 8" xfId="25571"/>
    <cellStyle name="40% - Accent4 4 3 4 9" xfId="25572"/>
    <cellStyle name="40% - Accent4 4 3 5" xfId="25573"/>
    <cellStyle name="40% - Accent4 4 3 5 2" xfId="25574"/>
    <cellStyle name="40% - Accent4 4 3 5 2 2" xfId="25575"/>
    <cellStyle name="40% - Accent4 4 3 5 2 2 2" xfId="25576"/>
    <cellStyle name="40% - Accent4 4 3 5 2 2 3" xfId="25577"/>
    <cellStyle name="40% - Accent4 4 3 5 2 3" xfId="25578"/>
    <cellStyle name="40% - Accent4 4 3 5 2 3 2" xfId="25579"/>
    <cellStyle name="40% - Accent4 4 3 5 2 3 3" xfId="25580"/>
    <cellStyle name="40% - Accent4 4 3 5 2 4" xfId="25581"/>
    <cellStyle name="40% - Accent4 4 3 5 2 4 2" xfId="25582"/>
    <cellStyle name="40% - Accent4 4 3 5 2 5" xfId="25583"/>
    <cellStyle name="40% - Accent4 4 3 5 2 6" xfId="25584"/>
    <cellStyle name="40% - Accent4 4 3 5 3" xfId="25585"/>
    <cellStyle name="40% - Accent4 4 3 5 3 2" xfId="25586"/>
    <cellStyle name="40% - Accent4 4 3 5 3 2 2" xfId="25587"/>
    <cellStyle name="40% - Accent4 4 3 5 3 2 3" xfId="25588"/>
    <cellStyle name="40% - Accent4 4 3 5 3 3" xfId="25589"/>
    <cellStyle name="40% - Accent4 4 3 5 3 3 2" xfId="25590"/>
    <cellStyle name="40% - Accent4 4 3 5 3 3 3" xfId="25591"/>
    <cellStyle name="40% - Accent4 4 3 5 3 4" xfId="25592"/>
    <cellStyle name="40% - Accent4 4 3 5 3 4 2" xfId="25593"/>
    <cellStyle name="40% - Accent4 4 3 5 3 5" xfId="25594"/>
    <cellStyle name="40% - Accent4 4 3 5 3 6" xfId="25595"/>
    <cellStyle name="40% - Accent4 4 3 5 4" xfId="25596"/>
    <cellStyle name="40% - Accent4 4 3 5 4 2" xfId="25597"/>
    <cellStyle name="40% - Accent4 4 3 5 4 2 2" xfId="25598"/>
    <cellStyle name="40% - Accent4 4 3 5 4 2 3" xfId="25599"/>
    <cellStyle name="40% - Accent4 4 3 5 4 3" xfId="25600"/>
    <cellStyle name="40% - Accent4 4 3 5 4 3 2" xfId="25601"/>
    <cellStyle name="40% - Accent4 4 3 5 4 4" xfId="25602"/>
    <cellStyle name="40% - Accent4 4 3 5 4 5" xfId="25603"/>
    <cellStyle name="40% - Accent4 4 3 5 5" xfId="25604"/>
    <cellStyle name="40% - Accent4 4 3 5 5 2" xfId="25605"/>
    <cellStyle name="40% - Accent4 4 3 5 5 3" xfId="25606"/>
    <cellStyle name="40% - Accent4 4 3 5 6" xfId="25607"/>
    <cellStyle name="40% - Accent4 4 3 5 6 2" xfId="25608"/>
    <cellStyle name="40% - Accent4 4 3 5 6 3" xfId="25609"/>
    <cellStyle name="40% - Accent4 4 3 5 7" xfId="25610"/>
    <cellStyle name="40% - Accent4 4 3 5 7 2" xfId="25611"/>
    <cellStyle name="40% - Accent4 4 3 5 8" xfId="25612"/>
    <cellStyle name="40% - Accent4 4 3 5 9" xfId="25613"/>
    <cellStyle name="40% - Accent4 4 3 6" xfId="25614"/>
    <cellStyle name="40% - Accent4 4 3 6 2" xfId="25615"/>
    <cellStyle name="40% - Accent4 4 3 6 2 2" xfId="25616"/>
    <cellStyle name="40% - Accent4 4 3 6 2 3" xfId="25617"/>
    <cellStyle name="40% - Accent4 4 3 6 3" xfId="25618"/>
    <cellStyle name="40% - Accent4 4 3 6 3 2" xfId="25619"/>
    <cellStyle name="40% - Accent4 4 3 6 3 3" xfId="25620"/>
    <cellStyle name="40% - Accent4 4 3 6 4" xfId="25621"/>
    <cellStyle name="40% - Accent4 4 3 6 4 2" xfId="25622"/>
    <cellStyle name="40% - Accent4 4 3 6 5" xfId="25623"/>
    <cellStyle name="40% - Accent4 4 3 6 6" xfId="25624"/>
    <cellStyle name="40% - Accent4 4 3 7" xfId="25625"/>
    <cellStyle name="40% - Accent4 4 3 7 2" xfId="25626"/>
    <cellStyle name="40% - Accent4 4 3 7 2 2" xfId="25627"/>
    <cellStyle name="40% - Accent4 4 3 7 2 3" xfId="25628"/>
    <cellStyle name="40% - Accent4 4 3 7 3" xfId="25629"/>
    <cellStyle name="40% - Accent4 4 3 7 3 2" xfId="25630"/>
    <cellStyle name="40% - Accent4 4 3 7 3 3" xfId="25631"/>
    <cellStyle name="40% - Accent4 4 3 7 4" xfId="25632"/>
    <cellStyle name="40% - Accent4 4 3 7 4 2" xfId="25633"/>
    <cellStyle name="40% - Accent4 4 3 7 5" xfId="25634"/>
    <cellStyle name="40% - Accent4 4 3 7 6" xfId="25635"/>
    <cellStyle name="40% - Accent4 4 3 8" xfId="25636"/>
    <cellStyle name="40% - Accent4 4 3 8 2" xfId="25637"/>
    <cellStyle name="40% - Accent4 4 3 8 2 2" xfId="25638"/>
    <cellStyle name="40% - Accent4 4 3 8 2 3" xfId="25639"/>
    <cellStyle name="40% - Accent4 4 3 8 3" xfId="25640"/>
    <cellStyle name="40% - Accent4 4 3 8 3 2" xfId="25641"/>
    <cellStyle name="40% - Accent4 4 3 8 4" xfId="25642"/>
    <cellStyle name="40% - Accent4 4 3 8 5" xfId="25643"/>
    <cellStyle name="40% - Accent4 4 3 9" xfId="25644"/>
    <cellStyle name="40% - Accent4 4 3 9 2" xfId="25645"/>
    <cellStyle name="40% - Accent4 4 3 9 3" xfId="25646"/>
    <cellStyle name="40% - Accent4 4 4" xfId="2238"/>
    <cellStyle name="40% - Accent4 4 4 10" xfId="25647"/>
    <cellStyle name="40% - Accent4 4 4 10 2" xfId="25648"/>
    <cellStyle name="40% - Accent4 4 4 11" xfId="25649"/>
    <cellStyle name="40% - Accent4 4 4 12" xfId="25650"/>
    <cellStyle name="40% - Accent4 4 4 2" xfId="2239"/>
    <cellStyle name="40% - Accent4 4 4 2 10" xfId="25651"/>
    <cellStyle name="40% - Accent4 4 4 2 2" xfId="2240"/>
    <cellStyle name="40% - Accent4 4 4 2 2 2" xfId="25652"/>
    <cellStyle name="40% - Accent4 4 4 2 2 2 2" xfId="25653"/>
    <cellStyle name="40% - Accent4 4 4 2 2 2 2 2" xfId="25654"/>
    <cellStyle name="40% - Accent4 4 4 2 2 2 2 3" xfId="25655"/>
    <cellStyle name="40% - Accent4 4 4 2 2 2 3" xfId="25656"/>
    <cellStyle name="40% - Accent4 4 4 2 2 2 3 2" xfId="25657"/>
    <cellStyle name="40% - Accent4 4 4 2 2 2 3 3" xfId="25658"/>
    <cellStyle name="40% - Accent4 4 4 2 2 2 4" xfId="25659"/>
    <cellStyle name="40% - Accent4 4 4 2 2 2 4 2" xfId="25660"/>
    <cellStyle name="40% - Accent4 4 4 2 2 2 5" xfId="25661"/>
    <cellStyle name="40% - Accent4 4 4 2 2 2 6" xfId="25662"/>
    <cellStyle name="40% - Accent4 4 4 2 2 3" xfId="25663"/>
    <cellStyle name="40% - Accent4 4 4 2 2 3 2" xfId="25664"/>
    <cellStyle name="40% - Accent4 4 4 2 2 3 2 2" xfId="25665"/>
    <cellStyle name="40% - Accent4 4 4 2 2 3 2 3" xfId="25666"/>
    <cellStyle name="40% - Accent4 4 4 2 2 3 3" xfId="25667"/>
    <cellStyle name="40% - Accent4 4 4 2 2 3 3 2" xfId="25668"/>
    <cellStyle name="40% - Accent4 4 4 2 2 3 3 3" xfId="25669"/>
    <cellStyle name="40% - Accent4 4 4 2 2 3 4" xfId="25670"/>
    <cellStyle name="40% - Accent4 4 4 2 2 3 4 2" xfId="25671"/>
    <cellStyle name="40% - Accent4 4 4 2 2 3 5" xfId="25672"/>
    <cellStyle name="40% - Accent4 4 4 2 2 3 6" xfId="25673"/>
    <cellStyle name="40% - Accent4 4 4 2 2 4" xfId="25674"/>
    <cellStyle name="40% - Accent4 4 4 2 2 4 2" xfId="25675"/>
    <cellStyle name="40% - Accent4 4 4 2 2 4 2 2" xfId="25676"/>
    <cellStyle name="40% - Accent4 4 4 2 2 4 2 3" xfId="25677"/>
    <cellStyle name="40% - Accent4 4 4 2 2 4 3" xfId="25678"/>
    <cellStyle name="40% - Accent4 4 4 2 2 4 3 2" xfId="25679"/>
    <cellStyle name="40% - Accent4 4 4 2 2 4 4" xfId="25680"/>
    <cellStyle name="40% - Accent4 4 4 2 2 4 5" xfId="25681"/>
    <cellStyle name="40% - Accent4 4 4 2 2 5" xfId="25682"/>
    <cellStyle name="40% - Accent4 4 4 2 2 5 2" xfId="25683"/>
    <cellStyle name="40% - Accent4 4 4 2 2 5 3" xfId="25684"/>
    <cellStyle name="40% - Accent4 4 4 2 2 6" xfId="25685"/>
    <cellStyle name="40% - Accent4 4 4 2 2 6 2" xfId="25686"/>
    <cellStyle name="40% - Accent4 4 4 2 2 6 3" xfId="25687"/>
    <cellStyle name="40% - Accent4 4 4 2 2 7" xfId="25688"/>
    <cellStyle name="40% - Accent4 4 4 2 2 7 2" xfId="25689"/>
    <cellStyle name="40% - Accent4 4 4 2 2 8" xfId="25690"/>
    <cellStyle name="40% - Accent4 4 4 2 2 9" xfId="25691"/>
    <cellStyle name="40% - Accent4 4 4 2 3" xfId="25692"/>
    <cellStyle name="40% - Accent4 4 4 2 3 2" xfId="25693"/>
    <cellStyle name="40% - Accent4 4 4 2 3 2 2" xfId="25694"/>
    <cellStyle name="40% - Accent4 4 4 2 3 2 3" xfId="25695"/>
    <cellStyle name="40% - Accent4 4 4 2 3 3" xfId="25696"/>
    <cellStyle name="40% - Accent4 4 4 2 3 3 2" xfId="25697"/>
    <cellStyle name="40% - Accent4 4 4 2 3 3 3" xfId="25698"/>
    <cellStyle name="40% - Accent4 4 4 2 3 4" xfId="25699"/>
    <cellStyle name="40% - Accent4 4 4 2 3 4 2" xfId="25700"/>
    <cellStyle name="40% - Accent4 4 4 2 3 5" xfId="25701"/>
    <cellStyle name="40% - Accent4 4 4 2 3 6" xfId="25702"/>
    <cellStyle name="40% - Accent4 4 4 2 4" xfId="25703"/>
    <cellStyle name="40% - Accent4 4 4 2 4 2" xfId="25704"/>
    <cellStyle name="40% - Accent4 4 4 2 4 2 2" xfId="25705"/>
    <cellStyle name="40% - Accent4 4 4 2 4 2 3" xfId="25706"/>
    <cellStyle name="40% - Accent4 4 4 2 4 3" xfId="25707"/>
    <cellStyle name="40% - Accent4 4 4 2 4 3 2" xfId="25708"/>
    <cellStyle name="40% - Accent4 4 4 2 4 3 3" xfId="25709"/>
    <cellStyle name="40% - Accent4 4 4 2 4 4" xfId="25710"/>
    <cellStyle name="40% - Accent4 4 4 2 4 4 2" xfId="25711"/>
    <cellStyle name="40% - Accent4 4 4 2 4 5" xfId="25712"/>
    <cellStyle name="40% - Accent4 4 4 2 4 6" xfId="25713"/>
    <cellStyle name="40% - Accent4 4 4 2 5" xfId="25714"/>
    <cellStyle name="40% - Accent4 4 4 2 5 2" xfId="25715"/>
    <cellStyle name="40% - Accent4 4 4 2 5 2 2" xfId="25716"/>
    <cellStyle name="40% - Accent4 4 4 2 5 2 3" xfId="25717"/>
    <cellStyle name="40% - Accent4 4 4 2 5 3" xfId="25718"/>
    <cellStyle name="40% - Accent4 4 4 2 5 3 2" xfId="25719"/>
    <cellStyle name="40% - Accent4 4 4 2 5 4" xfId="25720"/>
    <cellStyle name="40% - Accent4 4 4 2 5 5" xfId="25721"/>
    <cellStyle name="40% - Accent4 4 4 2 6" xfId="25722"/>
    <cellStyle name="40% - Accent4 4 4 2 6 2" xfId="25723"/>
    <cellStyle name="40% - Accent4 4 4 2 6 3" xfId="25724"/>
    <cellStyle name="40% - Accent4 4 4 2 7" xfId="25725"/>
    <cellStyle name="40% - Accent4 4 4 2 7 2" xfId="25726"/>
    <cellStyle name="40% - Accent4 4 4 2 7 3" xfId="25727"/>
    <cellStyle name="40% - Accent4 4 4 2 8" xfId="25728"/>
    <cellStyle name="40% - Accent4 4 4 2 8 2" xfId="25729"/>
    <cellStyle name="40% - Accent4 4 4 2 9" xfId="25730"/>
    <cellStyle name="40% - Accent4 4 4 3" xfId="2241"/>
    <cellStyle name="40% - Accent4 4 4 3 2" xfId="25731"/>
    <cellStyle name="40% - Accent4 4 4 3 2 2" xfId="25732"/>
    <cellStyle name="40% - Accent4 4 4 3 2 2 2" xfId="25733"/>
    <cellStyle name="40% - Accent4 4 4 3 2 2 3" xfId="25734"/>
    <cellStyle name="40% - Accent4 4 4 3 2 3" xfId="25735"/>
    <cellStyle name="40% - Accent4 4 4 3 2 3 2" xfId="25736"/>
    <cellStyle name="40% - Accent4 4 4 3 2 3 3" xfId="25737"/>
    <cellStyle name="40% - Accent4 4 4 3 2 4" xfId="25738"/>
    <cellStyle name="40% - Accent4 4 4 3 2 4 2" xfId="25739"/>
    <cellStyle name="40% - Accent4 4 4 3 2 5" xfId="25740"/>
    <cellStyle name="40% - Accent4 4 4 3 2 6" xfId="25741"/>
    <cellStyle name="40% - Accent4 4 4 3 3" xfId="25742"/>
    <cellStyle name="40% - Accent4 4 4 3 3 2" xfId="25743"/>
    <cellStyle name="40% - Accent4 4 4 3 3 2 2" xfId="25744"/>
    <cellStyle name="40% - Accent4 4 4 3 3 2 3" xfId="25745"/>
    <cellStyle name="40% - Accent4 4 4 3 3 3" xfId="25746"/>
    <cellStyle name="40% - Accent4 4 4 3 3 3 2" xfId="25747"/>
    <cellStyle name="40% - Accent4 4 4 3 3 3 3" xfId="25748"/>
    <cellStyle name="40% - Accent4 4 4 3 3 4" xfId="25749"/>
    <cellStyle name="40% - Accent4 4 4 3 3 4 2" xfId="25750"/>
    <cellStyle name="40% - Accent4 4 4 3 3 5" xfId="25751"/>
    <cellStyle name="40% - Accent4 4 4 3 3 6" xfId="25752"/>
    <cellStyle name="40% - Accent4 4 4 3 4" xfId="25753"/>
    <cellStyle name="40% - Accent4 4 4 3 4 2" xfId="25754"/>
    <cellStyle name="40% - Accent4 4 4 3 4 2 2" xfId="25755"/>
    <cellStyle name="40% - Accent4 4 4 3 4 2 3" xfId="25756"/>
    <cellStyle name="40% - Accent4 4 4 3 4 3" xfId="25757"/>
    <cellStyle name="40% - Accent4 4 4 3 4 3 2" xfId="25758"/>
    <cellStyle name="40% - Accent4 4 4 3 4 4" xfId="25759"/>
    <cellStyle name="40% - Accent4 4 4 3 4 5" xfId="25760"/>
    <cellStyle name="40% - Accent4 4 4 3 5" xfId="25761"/>
    <cellStyle name="40% - Accent4 4 4 3 5 2" xfId="25762"/>
    <cellStyle name="40% - Accent4 4 4 3 5 3" xfId="25763"/>
    <cellStyle name="40% - Accent4 4 4 3 6" xfId="25764"/>
    <cellStyle name="40% - Accent4 4 4 3 6 2" xfId="25765"/>
    <cellStyle name="40% - Accent4 4 4 3 6 3" xfId="25766"/>
    <cellStyle name="40% - Accent4 4 4 3 7" xfId="25767"/>
    <cellStyle name="40% - Accent4 4 4 3 7 2" xfId="25768"/>
    <cellStyle name="40% - Accent4 4 4 3 8" xfId="25769"/>
    <cellStyle name="40% - Accent4 4 4 3 9" xfId="25770"/>
    <cellStyle name="40% - Accent4 4 4 4" xfId="25771"/>
    <cellStyle name="40% - Accent4 4 4 4 2" xfId="25772"/>
    <cellStyle name="40% - Accent4 4 4 4 2 2" xfId="25773"/>
    <cellStyle name="40% - Accent4 4 4 4 2 2 2" xfId="25774"/>
    <cellStyle name="40% - Accent4 4 4 4 2 2 3" xfId="25775"/>
    <cellStyle name="40% - Accent4 4 4 4 2 3" xfId="25776"/>
    <cellStyle name="40% - Accent4 4 4 4 2 3 2" xfId="25777"/>
    <cellStyle name="40% - Accent4 4 4 4 2 3 3" xfId="25778"/>
    <cellStyle name="40% - Accent4 4 4 4 2 4" xfId="25779"/>
    <cellStyle name="40% - Accent4 4 4 4 2 4 2" xfId="25780"/>
    <cellStyle name="40% - Accent4 4 4 4 2 5" xfId="25781"/>
    <cellStyle name="40% - Accent4 4 4 4 2 6" xfId="25782"/>
    <cellStyle name="40% - Accent4 4 4 4 3" xfId="25783"/>
    <cellStyle name="40% - Accent4 4 4 4 3 2" xfId="25784"/>
    <cellStyle name="40% - Accent4 4 4 4 3 2 2" xfId="25785"/>
    <cellStyle name="40% - Accent4 4 4 4 3 2 3" xfId="25786"/>
    <cellStyle name="40% - Accent4 4 4 4 3 3" xfId="25787"/>
    <cellStyle name="40% - Accent4 4 4 4 3 3 2" xfId="25788"/>
    <cellStyle name="40% - Accent4 4 4 4 3 3 3" xfId="25789"/>
    <cellStyle name="40% - Accent4 4 4 4 3 4" xfId="25790"/>
    <cellStyle name="40% - Accent4 4 4 4 3 4 2" xfId="25791"/>
    <cellStyle name="40% - Accent4 4 4 4 3 5" xfId="25792"/>
    <cellStyle name="40% - Accent4 4 4 4 3 6" xfId="25793"/>
    <cellStyle name="40% - Accent4 4 4 4 4" xfId="25794"/>
    <cellStyle name="40% - Accent4 4 4 4 4 2" xfId="25795"/>
    <cellStyle name="40% - Accent4 4 4 4 4 2 2" xfId="25796"/>
    <cellStyle name="40% - Accent4 4 4 4 4 2 3" xfId="25797"/>
    <cellStyle name="40% - Accent4 4 4 4 4 3" xfId="25798"/>
    <cellStyle name="40% - Accent4 4 4 4 4 3 2" xfId="25799"/>
    <cellStyle name="40% - Accent4 4 4 4 4 4" xfId="25800"/>
    <cellStyle name="40% - Accent4 4 4 4 4 5" xfId="25801"/>
    <cellStyle name="40% - Accent4 4 4 4 5" xfId="25802"/>
    <cellStyle name="40% - Accent4 4 4 4 5 2" xfId="25803"/>
    <cellStyle name="40% - Accent4 4 4 4 5 3" xfId="25804"/>
    <cellStyle name="40% - Accent4 4 4 4 6" xfId="25805"/>
    <cellStyle name="40% - Accent4 4 4 4 6 2" xfId="25806"/>
    <cellStyle name="40% - Accent4 4 4 4 6 3" xfId="25807"/>
    <cellStyle name="40% - Accent4 4 4 4 7" xfId="25808"/>
    <cellStyle name="40% - Accent4 4 4 4 7 2" xfId="25809"/>
    <cellStyle name="40% - Accent4 4 4 4 8" xfId="25810"/>
    <cellStyle name="40% - Accent4 4 4 4 9" xfId="25811"/>
    <cellStyle name="40% - Accent4 4 4 5" xfId="25812"/>
    <cellStyle name="40% - Accent4 4 4 5 2" xfId="25813"/>
    <cellStyle name="40% - Accent4 4 4 5 2 2" xfId="25814"/>
    <cellStyle name="40% - Accent4 4 4 5 2 3" xfId="25815"/>
    <cellStyle name="40% - Accent4 4 4 5 3" xfId="25816"/>
    <cellStyle name="40% - Accent4 4 4 5 3 2" xfId="25817"/>
    <cellStyle name="40% - Accent4 4 4 5 3 3" xfId="25818"/>
    <cellStyle name="40% - Accent4 4 4 5 4" xfId="25819"/>
    <cellStyle name="40% - Accent4 4 4 5 4 2" xfId="25820"/>
    <cellStyle name="40% - Accent4 4 4 5 5" xfId="25821"/>
    <cellStyle name="40% - Accent4 4 4 5 6" xfId="25822"/>
    <cellStyle name="40% - Accent4 4 4 6" xfId="25823"/>
    <cellStyle name="40% - Accent4 4 4 6 2" xfId="25824"/>
    <cellStyle name="40% - Accent4 4 4 6 2 2" xfId="25825"/>
    <cellStyle name="40% - Accent4 4 4 6 2 3" xfId="25826"/>
    <cellStyle name="40% - Accent4 4 4 6 3" xfId="25827"/>
    <cellStyle name="40% - Accent4 4 4 6 3 2" xfId="25828"/>
    <cellStyle name="40% - Accent4 4 4 6 3 3" xfId="25829"/>
    <cellStyle name="40% - Accent4 4 4 6 4" xfId="25830"/>
    <cellStyle name="40% - Accent4 4 4 6 4 2" xfId="25831"/>
    <cellStyle name="40% - Accent4 4 4 6 5" xfId="25832"/>
    <cellStyle name="40% - Accent4 4 4 6 6" xfId="25833"/>
    <cellStyle name="40% - Accent4 4 4 7" xfId="25834"/>
    <cellStyle name="40% - Accent4 4 4 7 2" xfId="25835"/>
    <cellStyle name="40% - Accent4 4 4 7 2 2" xfId="25836"/>
    <cellStyle name="40% - Accent4 4 4 7 2 3" xfId="25837"/>
    <cellStyle name="40% - Accent4 4 4 7 3" xfId="25838"/>
    <cellStyle name="40% - Accent4 4 4 7 3 2" xfId="25839"/>
    <cellStyle name="40% - Accent4 4 4 7 4" xfId="25840"/>
    <cellStyle name="40% - Accent4 4 4 7 5" xfId="25841"/>
    <cellStyle name="40% - Accent4 4 4 8" xfId="25842"/>
    <cellStyle name="40% - Accent4 4 4 8 2" xfId="25843"/>
    <cellStyle name="40% - Accent4 4 4 8 3" xfId="25844"/>
    <cellStyle name="40% - Accent4 4 4 9" xfId="25845"/>
    <cellStyle name="40% - Accent4 4 4 9 2" xfId="25846"/>
    <cellStyle name="40% - Accent4 4 4 9 3" xfId="25847"/>
    <cellStyle name="40% - Accent4 4 5" xfId="2242"/>
    <cellStyle name="40% - Accent4 4 5 10" xfId="25848"/>
    <cellStyle name="40% - Accent4 4 5 2" xfId="2243"/>
    <cellStyle name="40% - Accent4 4 5 2 2" xfId="25849"/>
    <cellStyle name="40% - Accent4 4 5 2 2 2" xfId="25850"/>
    <cellStyle name="40% - Accent4 4 5 2 2 2 2" xfId="25851"/>
    <cellStyle name="40% - Accent4 4 5 2 2 2 3" xfId="25852"/>
    <cellStyle name="40% - Accent4 4 5 2 2 3" xfId="25853"/>
    <cellStyle name="40% - Accent4 4 5 2 2 3 2" xfId="25854"/>
    <cellStyle name="40% - Accent4 4 5 2 2 3 3" xfId="25855"/>
    <cellStyle name="40% - Accent4 4 5 2 2 4" xfId="25856"/>
    <cellStyle name="40% - Accent4 4 5 2 2 4 2" xfId="25857"/>
    <cellStyle name="40% - Accent4 4 5 2 2 5" xfId="25858"/>
    <cellStyle name="40% - Accent4 4 5 2 2 6" xfId="25859"/>
    <cellStyle name="40% - Accent4 4 5 2 3" xfId="25860"/>
    <cellStyle name="40% - Accent4 4 5 2 3 2" xfId="25861"/>
    <cellStyle name="40% - Accent4 4 5 2 3 2 2" xfId="25862"/>
    <cellStyle name="40% - Accent4 4 5 2 3 2 3" xfId="25863"/>
    <cellStyle name="40% - Accent4 4 5 2 3 3" xfId="25864"/>
    <cellStyle name="40% - Accent4 4 5 2 3 3 2" xfId="25865"/>
    <cellStyle name="40% - Accent4 4 5 2 3 3 3" xfId="25866"/>
    <cellStyle name="40% - Accent4 4 5 2 3 4" xfId="25867"/>
    <cellStyle name="40% - Accent4 4 5 2 3 4 2" xfId="25868"/>
    <cellStyle name="40% - Accent4 4 5 2 3 5" xfId="25869"/>
    <cellStyle name="40% - Accent4 4 5 2 3 6" xfId="25870"/>
    <cellStyle name="40% - Accent4 4 5 2 4" xfId="25871"/>
    <cellStyle name="40% - Accent4 4 5 2 4 2" xfId="25872"/>
    <cellStyle name="40% - Accent4 4 5 2 4 2 2" xfId="25873"/>
    <cellStyle name="40% - Accent4 4 5 2 4 2 3" xfId="25874"/>
    <cellStyle name="40% - Accent4 4 5 2 4 3" xfId="25875"/>
    <cellStyle name="40% - Accent4 4 5 2 4 3 2" xfId="25876"/>
    <cellStyle name="40% - Accent4 4 5 2 4 4" xfId="25877"/>
    <cellStyle name="40% - Accent4 4 5 2 4 5" xfId="25878"/>
    <cellStyle name="40% - Accent4 4 5 2 5" xfId="25879"/>
    <cellStyle name="40% - Accent4 4 5 2 5 2" xfId="25880"/>
    <cellStyle name="40% - Accent4 4 5 2 5 3" xfId="25881"/>
    <cellStyle name="40% - Accent4 4 5 2 6" xfId="25882"/>
    <cellStyle name="40% - Accent4 4 5 2 6 2" xfId="25883"/>
    <cellStyle name="40% - Accent4 4 5 2 6 3" xfId="25884"/>
    <cellStyle name="40% - Accent4 4 5 2 7" xfId="25885"/>
    <cellStyle name="40% - Accent4 4 5 2 7 2" xfId="25886"/>
    <cellStyle name="40% - Accent4 4 5 2 8" xfId="25887"/>
    <cellStyle name="40% - Accent4 4 5 2 9" xfId="25888"/>
    <cellStyle name="40% - Accent4 4 5 3" xfId="25889"/>
    <cellStyle name="40% - Accent4 4 5 3 2" xfId="25890"/>
    <cellStyle name="40% - Accent4 4 5 3 2 2" xfId="25891"/>
    <cellStyle name="40% - Accent4 4 5 3 2 3" xfId="25892"/>
    <cellStyle name="40% - Accent4 4 5 3 3" xfId="25893"/>
    <cellStyle name="40% - Accent4 4 5 3 3 2" xfId="25894"/>
    <cellStyle name="40% - Accent4 4 5 3 3 3" xfId="25895"/>
    <cellStyle name="40% - Accent4 4 5 3 4" xfId="25896"/>
    <cellStyle name="40% - Accent4 4 5 3 4 2" xfId="25897"/>
    <cellStyle name="40% - Accent4 4 5 3 5" xfId="25898"/>
    <cellStyle name="40% - Accent4 4 5 3 6" xfId="25899"/>
    <cellStyle name="40% - Accent4 4 5 4" xfId="25900"/>
    <cellStyle name="40% - Accent4 4 5 4 2" xfId="25901"/>
    <cellStyle name="40% - Accent4 4 5 4 2 2" xfId="25902"/>
    <cellStyle name="40% - Accent4 4 5 4 2 3" xfId="25903"/>
    <cellStyle name="40% - Accent4 4 5 4 3" xfId="25904"/>
    <cellStyle name="40% - Accent4 4 5 4 3 2" xfId="25905"/>
    <cellStyle name="40% - Accent4 4 5 4 3 3" xfId="25906"/>
    <cellStyle name="40% - Accent4 4 5 4 4" xfId="25907"/>
    <cellStyle name="40% - Accent4 4 5 4 4 2" xfId="25908"/>
    <cellStyle name="40% - Accent4 4 5 4 5" xfId="25909"/>
    <cellStyle name="40% - Accent4 4 5 4 6" xfId="25910"/>
    <cellStyle name="40% - Accent4 4 5 5" xfId="25911"/>
    <cellStyle name="40% - Accent4 4 5 5 2" xfId="25912"/>
    <cellStyle name="40% - Accent4 4 5 5 2 2" xfId="25913"/>
    <cellStyle name="40% - Accent4 4 5 5 2 3" xfId="25914"/>
    <cellStyle name="40% - Accent4 4 5 5 3" xfId="25915"/>
    <cellStyle name="40% - Accent4 4 5 5 3 2" xfId="25916"/>
    <cellStyle name="40% - Accent4 4 5 5 4" xfId="25917"/>
    <cellStyle name="40% - Accent4 4 5 5 5" xfId="25918"/>
    <cellStyle name="40% - Accent4 4 5 6" xfId="25919"/>
    <cellStyle name="40% - Accent4 4 5 6 2" xfId="25920"/>
    <cellStyle name="40% - Accent4 4 5 6 3" xfId="25921"/>
    <cellStyle name="40% - Accent4 4 5 7" xfId="25922"/>
    <cellStyle name="40% - Accent4 4 5 7 2" xfId="25923"/>
    <cellStyle name="40% - Accent4 4 5 7 3" xfId="25924"/>
    <cellStyle name="40% - Accent4 4 5 8" xfId="25925"/>
    <cellStyle name="40% - Accent4 4 5 8 2" xfId="25926"/>
    <cellStyle name="40% - Accent4 4 5 9" xfId="25927"/>
    <cellStyle name="40% - Accent4 4 6" xfId="2244"/>
    <cellStyle name="40% - Accent4 4 6 2" xfId="25928"/>
    <cellStyle name="40% - Accent4 4 6 2 2" xfId="25929"/>
    <cellStyle name="40% - Accent4 4 6 2 2 2" xfId="25930"/>
    <cellStyle name="40% - Accent4 4 6 2 2 3" xfId="25931"/>
    <cellStyle name="40% - Accent4 4 6 2 3" xfId="25932"/>
    <cellStyle name="40% - Accent4 4 6 2 3 2" xfId="25933"/>
    <cellStyle name="40% - Accent4 4 6 2 3 3" xfId="25934"/>
    <cellStyle name="40% - Accent4 4 6 2 4" xfId="25935"/>
    <cellStyle name="40% - Accent4 4 6 2 4 2" xfId="25936"/>
    <cellStyle name="40% - Accent4 4 6 2 5" xfId="25937"/>
    <cellStyle name="40% - Accent4 4 6 2 6" xfId="25938"/>
    <cellStyle name="40% - Accent4 4 6 3" xfId="25939"/>
    <cellStyle name="40% - Accent4 4 6 3 2" xfId="25940"/>
    <cellStyle name="40% - Accent4 4 6 3 2 2" xfId="25941"/>
    <cellStyle name="40% - Accent4 4 6 3 2 3" xfId="25942"/>
    <cellStyle name="40% - Accent4 4 6 3 3" xfId="25943"/>
    <cellStyle name="40% - Accent4 4 6 3 3 2" xfId="25944"/>
    <cellStyle name="40% - Accent4 4 6 3 3 3" xfId="25945"/>
    <cellStyle name="40% - Accent4 4 6 3 4" xfId="25946"/>
    <cellStyle name="40% - Accent4 4 6 3 4 2" xfId="25947"/>
    <cellStyle name="40% - Accent4 4 6 3 5" xfId="25948"/>
    <cellStyle name="40% - Accent4 4 6 3 6" xfId="25949"/>
    <cellStyle name="40% - Accent4 4 6 4" xfId="25950"/>
    <cellStyle name="40% - Accent4 4 6 4 2" xfId="25951"/>
    <cellStyle name="40% - Accent4 4 6 4 2 2" xfId="25952"/>
    <cellStyle name="40% - Accent4 4 6 4 2 3" xfId="25953"/>
    <cellStyle name="40% - Accent4 4 6 4 3" xfId="25954"/>
    <cellStyle name="40% - Accent4 4 6 4 3 2" xfId="25955"/>
    <cellStyle name="40% - Accent4 4 6 4 4" xfId="25956"/>
    <cellStyle name="40% - Accent4 4 6 4 5" xfId="25957"/>
    <cellStyle name="40% - Accent4 4 6 5" xfId="25958"/>
    <cellStyle name="40% - Accent4 4 6 5 2" xfId="25959"/>
    <cellStyle name="40% - Accent4 4 6 5 3" xfId="25960"/>
    <cellStyle name="40% - Accent4 4 6 6" xfId="25961"/>
    <cellStyle name="40% - Accent4 4 6 6 2" xfId="25962"/>
    <cellStyle name="40% - Accent4 4 6 6 3" xfId="25963"/>
    <cellStyle name="40% - Accent4 4 6 7" xfId="25964"/>
    <cellStyle name="40% - Accent4 4 6 7 2" xfId="25965"/>
    <cellStyle name="40% - Accent4 4 6 8" xfId="25966"/>
    <cellStyle name="40% - Accent4 4 6 9" xfId="25967"/>
    <cellStyle name="40% - Accent4 4 7" xfId="8987"/>
    <cellStyle name="40% - Accent4 4 7 2" xfId="25968"/>
    <cellStyle name="40% - Accent4 4 7 2 2" xfId="25969"/>
    <cellStyle name="40% - Accent4 4 7 2 2 2" xfId="25970"/>
    <cellStyle name="40% - Accent4 4 7 2 2 3" xfId="25971"/>
    <cellStyle name="40% - Accent4 4 7 2 3" xfId="25972"/>
    <cellStyle name="40% - Accent4 4 7 2 3 2" xfId="25973"/>
    <cellStyle name="40% - Accent4 4 7 2 3 3" xfId="25974"/>
    <cellStyle name="40% - Accent4 4 7 2 4" xfId="25975"/>
    <cellStyle name="40% - Accent4 4 7 2 4 2" xfId="25976"/>
    <cellStyle name="40% - Accent4 4 7 2 5" xfId="25977"/>
    <cellStyle name="40% - Accent4 4 7 2 6" xfId="25978"/>
    <cellStyle name="40% - Accent4 4 7 3" xfId="25979"/>
    <cellStyle name="40% - Accent4 4 7 3 2" xfId="25980"/>
    <cellStyle name="40% - Accent4 4 7 3 2 2" xfId="25981"/>
    <cellStyle name="40% - Accent4 4 7 3 2 3" xfId="25982"/>
    <cellStyle name="40% - Accent4 4 7 3 3" xfId="25983"/>
    <cellStyle name="40% - Accent4 4 7 3 3 2" xfId="25984"/>
    <cellStyle name="40% - Accent4 4 7 3 3 3" xfId="25985"/>
    <cellStyle name="40% - Accent4 4 7 3 4" xfId="25986"/>
    <cellStyle name="40% - Accent4 4 7 3 4 2" xfId="25987"/>
    <cellStyle name="40% - Accent4 4 7 3 5" xfId="25988"/>
    <cellStyle name="40% - Accent4 4 7 3 6" xfId="25989"/>
    <cellStyle name="40% - Accent4 4 7 4" xfId="25990"/>
    <cellStyle name="40% - Accent4 4 7 4 2" xfId="25991"/>
    <cellStyle name="40% - Accent4 4 7 4 2 2" xfId="25992"/>
    <cellStyle name="40% - Accent4 4 7 4 2 3" xfId="25993"/>
    <cellStyle name="40% - Accent4 4 7 4 3" xfId="25994"/>
    <cellStyle name="40% - Accent4 4 7 4 3 2" xfId="25995"/>
    <cellStyle name="40% - Accent4 4 7 4 4" xfId="25996"/>
    <cellStyle name="40% - Accent4 4 7 4 5" xfId="25997"/>
    <cellStyle name="40% - Accent4 4 7 5" xfId="25998"/>
    <cellStyle name="40% - Accent4 4 7 5 2" xfId="25999"/>
    <cellStyle name="40% - Accent4 4 7 5 3" xfId="26000"/>
    <cellStyle name="40% - Accent4 4 7 6" xfId="26001"/>
    <cellStyle name="40% - Accent4 4 7 6 2" xfId="26002"/>
    <cellStyle name="40% - Accent4 4 7 6 3" xfId="26003"/>
    <cellStyle name="40% - Accent4 4 7 7" xfId="26004"/>
    <cellStyle name="40% - Accent4 4 7 7 2" xfId="26005"/>
    <cellStyle name="40% - Accent4 4 7 8" xfId="26006"/>
    <cellStyle name="40% - Accent4 4 7 9" xfId="26007"/>
    <cellStyle name="40% - Accent4 4 8" xfId="26008"/>
    <cellStyle name="40% - Accent4 4 8 2" xfId="26009"/>
    <cellStyle name="40% - Accent4 4 8 2 2" xfId="26010"/>
    <cellStyle name="40% - Accent4 4 8 2 3" xfId="26011"/>
    <cellStyle name="40% - Accent4 4 8 3" xfId="26012"/>
    <cellStyle name="40% - Accent4 4 8 3 2" xfId="26013"/>
    <cellStyle name="40% - Accent4 4 8 3 3" xfId="26014"/>
    <cellStyle name="40% - Accent4 4 8 4" xfId="26015"/>
    <cellStyle name="40% - Accent4 4 8 4 2" xfId="26016"/>
    <cellStyle name="40% - Accent4 4 8 5" xfId="26017"/>
    <cellStyle name="40% - Accent4 4 8 6" xfId="26018"/>
    <cellStyle name="40% - Accent4 4 9" xfId="26019"/>
    <cellStyle name="40% - Accent4 4 9 2" xfId="26020"/>
    <cellStyle name="40% - Accent4 4 9 2 2" xfId="26021"/>
    <cellStyle name="40% - Accent4 4 9 2 3" xfId="26022"/>
    <cellStyle name="40% - Accent4 4 9 3" xfId="26023"/>
    <cellStyle name="40% - Accent4 4 9 3 2" xfId="26024"/>
    <cellStyle name="40% - Accent4 4 9 3 3" xfId="26025"/>
    <cellStyle name="40% - Accent4 4 9 4" xfId="26026"/>
    <cellStyle name="40% - Accent4 4 9 4 2" xfId="26027"/>
    <cellStyle name="40% - Accent4 4 9 5" xfId="26028"/>
    <cellStyle name="40% - Accent4 4 9 6" xfId="26029"/>
    <cellStyle name="40% - Accent4 5" xfId="2245"/>
    <cellStyle name="40% - Accent4 5 2" xfId="2246"/>
    <cellStyle name="40% - Accent4 5 2 2" xfId="2247"/>
    <cellStyle name="40% - Accent4 5 2 2 2" xfId="2248"/>
    <cellStyle name="40% - Accent4 5 2 2 2 2" xfId="2249"/>
    <cellStyle name="40% - Accent4 5 2 2 3" xfId="2250"/>
    <cellStyle name="40% - Accent4 5 2 3" xfId="2251"/>
    <cellStyle name="40% - Accent4 5 2 3 2" xfId="2252"/>
    <cellStyle name="40% - Accent4 5 2 4" xfId="2253"/>
    <cellStyle name="40% - Accent4 5 2 5" xfId="58076"/>
    <cellStyle name="40% - Accent4 5 3" xfId="2254"/>
    <cellStyle name="40% - Accent4 5 3 2" xfId="2255"/>
    <cellStyle name="40% - Accent4 5 3 2 2" xfId="2256"/>
    <cellStyle name="40% - Accent4 5 3 3" xfId="2257"/>
    <cellStyle name="40% - Accent4 5 4" xfId="2258"/>
    <cellStyle name="40% - Accent4 5 4 2" xfId="2259"/>
    <cellStyle name="40% - Accent4 5 5" xfId="2260"/>
    <cellStyle name="40% - Accent4 5 6" xfId="8988"/>
    <cellStyle name="40% - Accent4 6" xfId="2261"/>
    <cellStyle name="40% - Accent4 6 2" xfId="2262"/>
    <cellStyle name="40% - Accent4 6 2 2" xfId="2263"/>
    <cellStyle name="40% - Accent4 6 2 2 2" xfId="2264"/>
    <cellStyle name="40% - Accent4 6 2 3" xfId="2265"/>
    <cellStyle name="40% - Accent4 6 2 4" xfId="58077"/>
    <cellStyle name="40% - Accent4 6 2 5" xfId="58078"/>
    <cellStyle name="40% - Accent4 6 3" xfId="2266"/>
    <cellStyle name="40% - Accent4 6 3 2" xfId="2267"/>
    <cellStyle name="40% - Accent4 6 4" xfId="2268"/>
    <cellStyle name="40% - Accent4 6 5" xfId="58079"/>
    <cellStyle name="40% - Accent4 7" xfId="2269"/>
    <cellStyle name="40% - Accent4 7 2" xfId="2270"/>
    <cellStyle name="40% - Accent4 7 2 2" xfId="2271"/>
    <cellStyle name="40% - Accent4 7 2 2 2" xfId="2272"/>
    <cellStyle name="40% - Accent4 7 2 3" xfId="2273"/>
    <cellStyle name="40% - Accent4 7 3" xfId="2274"/>
    <cellStyle name="40% - Accent4 7 3 2" xfId="2275"/>
    <cellStyle name="40% - Accent4 7 4" xfId="2276"/>
    <cellStyle name="40% - Accent4 7 5" xfId="58080"/>
    <cellStyle name="40% - Accent4 8" xfId="2277"/>
    <cellStyle name="40% - Accent4 8 2" xfId="2278"/>
    <cellStyle name="40% - Accent4 8 2 2" xfId="2279"/>
    <cellStyle name="40% - Accent4 8 2 2 2" xfId="2280"/>
    <cellStyle name="40% - Accent4 8 2 3" xfId="2281"/>
    <cellStyle name="40% - Accent4 8 3" xfId="2282"/>
    <cellStyle name="40% - Accent4 8 3 2" xfId="2283"/>
    <cellStyle name="40% - Accent4 8 4" xfId="2284"/>
    <cellStyle name="40% - Accent4 8 5" xfId="58081"/>
    <cellStyle name="40% - Accent4 9" xfId="2285"/>
    <cellStyle name="40% - Accent4 9 2" xfId="2286"/>
    <cellStyle name="40% - Accent4 9 2 2" xfId="2287"/>
    <cellStyle name="40% - Accent4 9 3" xfId="2288"/>
    <cellStyle name="40% - Accent4 9 4" xfId="58082"/>
    <cellStyle name="40% - Accent5 10" xfId="2289"/>
    <cellStyle name="40% - Accent5 10 2" xfId="2290"/>
    <cellStyle name="40% - Accent5 10 2 2" xfId="2291"/>
    <cellStyle name="40% - Accent5 10 3" xfId="2292"/>
    <cellStyle name="40% - Accent5 10 4" xfId="58083"/>
    <cellStyle name="40% - Accent5 11" xfId="2293"/>
    <cellStyle name="40% - Accent5 11 2" xfId="2294"/>
    <cellStyle name="40% - Accent5 11 2 2" xfId="2295"/>
    <cellStyle name="40% - Accent5 11 3" xfId="2296"/>
    <cellStyle name="40% - Accent5 11 4" xfId="58084"/>
    <cellStyle name="40% - Accent5 12" xfId="2297"/>
    <cellStyle name="40% - Accent5 12 2" xfId="2298"/>
    <cellStyle name="40% - Accent5 12 3" xfId="58085"/>
    <cellStyle name="40% - Accent5 13" xfId="2299"/>
    <cellStyle name="40% - Accent5 13 2" xfId="58086"/>
    <cellStyle name="40% - Accent5 14" xfId="8989"/>
    <cellStyle name="40% - Accent5 15" xfId="9408"/>
    <cellStyle name="40% - Accent5 16" xfId="9409"/>
    <cellStyle name="40% - Accent5 17" xfId="9410"/>
    <cellStyle name="40% - Accent5 17 2" xfId="58087"/>
    <cellStyle name="40% - Accent5 18" xfId="58088"/>
    <cellStyle name="40% - Accent5 19" xfId="58089"/>
    <cellStyle name="40% - Accent5 2" xfId="2300"/>
    <cellStyle name="40% - Accent5 2 2" xfId="2301"/>
    <cellStyle name="40% - Accent5 2 2 2" xfId="2302"/>
    <cellStyle name="40% - Accent5 2 2 2 2" xfId="2303"/>
    <cellStyle name="40% - Accent5 2 2 2 2 2" xfId="2304"/>
    <cellStyle name="40% - Accent5 2 2 2 2 2 2" xfId="2305"/>
    <cellStyle name="40% - Accent5 2 2 2 2 2 2 2" xfId="2306"/>
    <cellStyle name="40% - Accent5 2 2 2 2 2 3" xfId="2307"/>
    <cellStyle name="40% - Accent5 2 2 2 2 3" xfId="2308"/>
    <cellStyle name="40% - Accent5 2 2 2 2 3 2" xfId="2309"/>
    <cellStyle name="40% - Accent5 2 2 2 2 4" xfId="2310"/>
    <cellStyle name="40% - Accent5 2 2 2 2 5" xfId="58090"/>
    <cellStyle name="40% - Accent5 2 2 2 3" xfId="2311"/>
    <cellStyle name="40% - Accent5 2 2 2 3 2" xfId="2312"/>
    <cellStyle name="40% - Accent5 2 2 2 3 2 2" xfId="2313"/>
    <cellStyle name="40% - Accent5 2 2 2 3 3" xfId="2314"/>
    <cellStyle name="40% - Accent5 2 2 2 4" xfId="2315"/>
    <cellStyle name="40% - Accent5 2 2 2 4 2" xfId="2316"/>
    <cellStyle name="40% - Accent5 2 2 2 5" xfId="2317"/>
    <cellStyle name="40% - Accent5 2 2 2 6" xfId="58091"/>
    <cellStyle name="40% - Accent5 2 2 3" xfId="2318"/>
    <cellStyle name="40% - Accent5 2 2 3 2" xfId="2319"/>
    <cellStyle name="40% - Accent5 2 2 3 2 2" xfId="2320"/>
    <cellStyle name="40% - Accent5 2 2 3 2 2 2" xfId="2321"/>
    <cellStyle name="40% - Accent5 2 2 3 2 3" xfId="2322"/>
    <cellStyle name="40% - Accent5 2 2 3 3" xfId="2323"/>
    <cellStyle name="40% - Accent5 2 2 3 3 2" xfId="2324"/>
    <cellStyle name="40% - Accent5 2 2 3 4" xfId="2325"/>
    <cellStyle name="40% - Accent5 2 2 3 5" xfId="58092"/>
    <cellStyle name="40% - Accent5 2 2 4" xfId="2326"/>
    <cellStyle name="40% - Accent5 2 2 4 2" xfId="2327"/>
    <cellStyle name="40% - Accent5 2 2 4 2 2" xfId="2328"/>
    <cellStyle name="40% - Accent5 2 2 4 3" xfId="2329"/>
    <cellStyle name="40% - Accent5 2 2 5" xfId="2330"/>
    <cellStyle name="40% - Accent5 2 2 5 2" xfId="2331"/>
    <cellStyle name="40% - Accent5 2 2 6" xfId="2332"/>
    <cellStyle name="40% - Accent5 2 2 7" xfId="58093"/>
    <cellStyle name="40% - Accent5 2 3" xfId="2333"/>
    <cellStyle name="40% - Accent5 2 3 2" xfId="2334"/>
    <cellStyle name="40% - Accent5 2 3 2 2" xfId="2335"/>
    <cellStyle name="40% - Accent5 2 3 2 2 2" xfId="2336"/>
    <cellStyle name="40% - Accent5 2 3 2 2 2 2" xfId="2337"/>
    <cellStyle name="40% - Accent5 2 3 2 2 3" xfId="2338"/>
    <cellStyle name="40% - Accent5 2 3 2 3" xfId="2339"/>
    <cellStyle name="40% - Accent5 2 3 2 3 2" xfId="2340"/>
    <cellStyle name="40% - Accent5 2 3 2 4" xfId="2341"/>
    <cellStyle name="40% - Accent5 2 3 3" xfId="2342"/>
    <cellStyle name="40% - Accent5 2 3 3 2" xfId="2343"/>
    <cellStyle name="40% - Accent5 2 3 3 2 2" xfId="2344"/>
    <cellStyle name="40% - Accent5 2 3 3 3" xfId="2345"/>
    <cellStyle name="40% - Accent5 2 3 4" xfId="2346"/>
    <cellStyle name="40% - Accent5 2 3 4 2" xfId="2347"/>
    <cellStyle name="40% - Accent5 2 3 5" xfId="2348"/>
    <cellStyle name="40% - Accent5 2 3 6" xfId="58094"/>
    <cellStyle name="40% - Accent5 2 4" xfId="2349"/>
    <cellStyle name="40% - Accent5 2 4 2" xfId="2350"/>
    <cellStyle name="40% - Accent5 2 4 2 2" xfId="2351"/>
    <cellStyle name="40% - Accent5 2 4 2 2 2" xfId="2352"/>
    <cellStyle name="40% - Accent5 2 4 2 3" xfId="2353"/>
    <cellStyle name="40% - Accent5 2 4 3" xfId="2354"/>
    <cellStyle name="40% - Accent5 2 4 3 2" xfId="2355"/>
    <cellStyle name="40% - Accent5 2 4 4" xfId="2356"/>
    <cellStyle name="40% - Accent5 2 4 5" xfId="58095"/>
    <cellStyle name="40% - Accent5 2 5" xfId="2357"/>
    <cellStyle name="40% - Accent5 2 5 2" xfId="2358"/>
    <cellStyle name="40% - Accent5 2 5 2 2" xfId="2359"/>
    <cellStyle name="40% - Accent5 2 5 3" xfId="2360"/>
    <cellStyle name="40% - Accent5 2 5 4" xfId="58096"/>
    <cellStyle name="40% - Accent5 2 6" xfId="2361"/>
    <cellStyle name="40% - Accent5 2 6 2" xfId="2362"/>
    <cellStyle name="40% - Accent5 2 6 3" xfId="58097"/>
    <cellStyle name="40% - Accent5 2 7" xfId="2363"/>
    <cellStyle name="40% - Accent5 2 8" xfId="2364"/>
    <cellStyle name="40% - Accent5 2 9" xfId="58098"/>
    <cellStyle name="40% - Accent5 20" xfId="58099"/>
    <cellStyle name="40% - Accent5 21" xfId="58100"/>
    <cellStyle name="40% - Accent5 3" xfId="2365"/>
    <cellStyle name="40% - Accent5 3 2" xfId="2366"/>
    <cellStyle name="40% - Accent5 3 2 2" xfId="2367"/>
    <cellStyle name="40% - Accent5 3 2 2 2" xfId="2368"/>
    <cellStyle name="40% - Accent5 3 2 2 2 2" xfId="2369"/>
    <cellStyle name="40% - Accent5 3 2 2 2 2 2" xfId="2370"/>
    <cellStyle name="40% - Accent5 3 2 2 2 2 2 2" xfId="2371"/>
    <cellStyle name="40% - Accent5 3 2 2 2 2 3" xfId="2372"/>
    <cellStyle name="40% - Accent5 3 2 2 2 3" xfId="2373"/>
    <cellStyle name="40% - Accent5 3 2 2 2 3 2" xfId="2374"/>
    <cellStyle name="40% - Accent5 3 2 2 2 4" xfId="2375"/>
    <cellStyle name="40% - Accent5 3 2 2 2 5" xfId="8990"/>
    <cellStyle name="40% - Accent5 3 2 2 3" xfId="2376"/>
    <cellStyle name="40% - Accent5 3 2 2 3 2" xfId="2377"/>
    <cellStyle name="40% - Accent5 3 2 2 3 2 2" xfId="2378"/>
    <cellStyle name="40% - Accent5 3 2 2 3 3" xfId="2379"/>
    <cellStyle name="40% - Accent5 3 2 2 4" xfId="2380"/>
    <cellStyle name="40% - Accent5 3 2 2 4 2" xfId="2381"/>
    <cellStyle name="40% - Accent5 3 2 2 5" xfId="2382"/>
    <cellStyle name="40% - Accent5 3 2 2 6" xfId="8991"/>
    <cellStyle name="40% - Accent5 3 2 3" xfId="2383"/>
    <cellStyle name="40% - Accent5 3 2 3 2" xfId="2384"/>
    <cellStyle name="40% - Accent5 3 2 3 2 2" xfId="2385"/>
    <cellStyle name="40% - Accent5 3 2 3 2 2 2" xfId="2386"/>
    <cellStyle name="40% - Accent5 3 2 3 2 3" xfId="2387"/>
    <cellStyle name="40% - Accent5 3 2 3 3" xfId="2388"/>
    <cellStyle name="40% - Accent5 3 2 3 3 2" xfId="2389"/>
    <cellStyle name="40% - Accent5 3 2 3 4" xfId="2390"/>
    <cellStyle name="40% - Accent5 3 2 3 5" xfId="8992"/>
    <cellStyle name="40% - Accent5 3 2 4" xfId="2391"/>
    <cellStyle name="40% - Accent5 3 2 4 2" xfId="2392"/>
    <cellStyle name="40% - Accent5 3 2 4 2 2" xfId="2393"/>
    <cellStyle name="40% - Accent5 3 2 4 3" xfId="2394"/>
    <cellStyle name="40% - Accent5 3 2 5" xfId="2395"/>
    <cellStyle name="40% - Accent5 3 2 5 2" xfId="2396"/>
    <cellStyle name="40% - Accent5 3 2 6" xfId="2397"/>
    <cellStyle name="40% - Accent5 3 2 7" xfId="8993"/>
    <cellStyle name="40% - Accent5 3 3" xfId="2398"/>
    <cellStyle name="40% - Accent5 3 3 2" xfId="2399"/>
    <cellStyle name="40% - Accent5 3 3 2 2" xfId="2400"/>
    <cellStyle name="40% - Accent5 3 3 2 2 2" xfId="2401"/>
    <cellStyle name="40% - Accent5 3 3 2 2 2 2" xfId="2402"/>
    <cellStyle name="40% - Accent5 3 3 2 2 3" xfId="2403"/>
    <cellStyle name="40% - Accent5 3 3 2 3" xfId="2404"/>
    <cellStyle name="40% - Accent5 3 3 2 3 2" xfId="2405"/>
    <cellStyle name="40% - Accent5 3 3 2 4" xfId="2406"/>
    <cellStyle name="40% - Accent5 3 3 2 5" xfId="8994"/>
    <cellStyle name="40% - Accent5 3 3 3" xfId="2407"/>
    <cellStyle name="40% - Accent5 3 3 3 2" xfId="2408"/>
    <cellStyle name="40% - Accent5 3 3 3 2 2" xfId="2409"/>
    <cellStyle name="40% - Accent5 3 3 3 3" xfId="2410"/>
    <cellStyle name="40% - Accent5 3 3 4" xfId="2411"/>
    <cellStyle name="40% - Accent5 3 3 4 2" xfId="2412"/>
    <cellStyle name="40% - Accent5 3 3 5" xfId="2413"/>
    <cellStyle name="40% - Accent5 3 3 6" xfId="8995"/>
    <cellStyle name="40% - Accent5 3 4" xfId="2414"/>
    <cellStyle name="40% - Accent5 3 4 2" xfId="2415"/>
    <cellStyle name="40% - Accent5 3 4 2 2" xfId="2416"/>
    <cellStyle name="40% - Accent5 3 4 2 2 2" xfId="2417"/>
    <cellStyle name="40% - Accent5 3 4 2 3" xfId="2418"/>
    <cellStyle name="40% - Accent5 3 4 3" xfId="2419"/>
    <cellStyle name="40% - Accent5 3 4 3 2" xfId="2420"/>
    <cellStyle name="40% - Accent5 3 4 4" xfId="2421"/>
    <cellStyle name="40% - Accent5 3 4 5" xfId="8996"/>
    <cellStyle name="40% - Accent5 3 5" xfId="2422"/>
    <cellStyle name="40% - Accent5 3 5 2" xfId="2423"/>
    <cellStyle name="40% - Accent5 3 5 2 2" xfId="2424"/>
    <cellStyle name="40% - Accent5 3 5 3" xfId="2425"/>
    <cellStyle name="40% - Accent5 3 6" xfId="2426"/>
    <cellStyle name="40% - Accent5 3 6 2" xfId="2427"/>
    <cellStyle name="40% - Accent5 3 7" xfId="2428"/>
    <cellStyle name="40% - Accent5 3 8" xfId="2429"/>
    <cellStyle name="40% - Accent5 3 9" xfId="8997"/>
    <cellStyle name="40% - Accent5 4" xfId="2430"/>
    <cellStyle name="40% - Accent5 4 10" xfId="26030"/>
    <cellStyle name="40% - Accent5 4 10 2" xfId="26031"/>
    <cellStyle name="40% - Accent5 4 10 2 2" xfId="26032"/>
    <cellStyle name="40% - Accent5 4 10 2 3" xfId="26033"/>
    <cellStyle name="40% - Accent5 4 10 3" xfId="26034"/>
    <cellStyle name="40% - Accent5 4 10 3 2" xfId="26035"/>
    <cellStyle name="40% - Accent5 4 10 4" xfId="26036"/>
    <cellStyle name="40% - Accent5 4 10 5" xfId="26037"/>
    <cellStyle name="40% - Accent5 4 11" xfId="26038"/>
    <cellStyle name="40% - Accent5 4 11 2" xfId="26039"/>
    <cellStyle name="40% - Accent5 4 11 3" xfId="26040"/>
    <cellStyle name="40% - Accent5 4 12" xfId="26041"/>
    <cellStyle name="40% - Accent5 4 12 2" xfId="26042"/>
    <cellStyle name="40% - Accent5 4 12 3" xfId="26043"/>
    <cellStyle name="40% - Accent5 4 13" xfId="26044"/>
    <cellStyle name="40% - Accent5 4 13 2" xfId="26045"/>
    <cellStyle name="40% - Accent5 4 14" xfId="26046"/>
    <cellStyle name="40% - Accent5 4 15" xfId="26047"/>
    <cellStyle name="40% - Accent5 4 16" xfId="26048"/>
    <cellStyle name="40% - Accent5 4 2" xfId="2431"/>
    <cellStyle name="40% - Accent5 4 2 10" xfId="26049"/>
    <cellStyle name="40% - Accent5 4 2 10 2" xfId="26050"/>
    <cellStyle name="40% - Accent5 4 2 10 3" xfId="26051"/>
    <cellStyle name="40% - Accent5 4 2 11" xfId="26052"/>
    <cellStyle name="40% - Accent5 4 2 11 2" xfId="26053"/>
    <cellStyle name="40% - Accent5 4 2 11 3" xfId="26054"/>
    <cellStyle name="40% - Accent5 4 2 12" xfId="26055"/>
    <cellStyle name="40% - Accent5 4 2 12 2" xfId="26056"/>
    <cellStyle name="40% - Accent5 4 2 13" xfId="26057"/>
    <cellStyle name="40% - Accent5 4 2 14" xfId="26058"/>
    <cellStyle name="40% - Accent5 4 2 15" xfId="26059"/>
    <cellStyle name="40% - Accent5 4 2 2" xfId="2432"/>
    <cellStyle name="40% - Accent5 4 2 2 10" xfId="26060"/>
    <cellStyle name="40% - Accent5 4 2 2 10 2" xfId="26061"/>
    <cellStyle name="40% - Accent5 4 2 2 10 3" xfId="26062"/>
    <cellStyle name="40% - Accent5 4 2 2 11" xfId="26063"/>
    <cellStyle name="40% - Accent5 4 2 2 11 2" xfId="26064"/>
    <cellStyle name="40% - Accent5 4 2 2 12" xfId="26065"/>
    <cellStyle name="40% - Accent5 4 2 2 13" xfId="26066"/>
    <cellStyle name="40% - Accent5 4 2 2 2" xfId="2433"/>
    <cellStyle name="40% - Accent5 4 2 2 2 10" xfId="26067"/>
    <cellStyle name="40% - Accent5 4 2 2 2 10 2" xfId="26068"/>
    <cellStyle name="40% - Accent5 4 2 2 2 11" xfId="26069"/>
    <cellStyle name="40% - Accent5 4 2 2 2 12" xfId="26070"/>
    <cellStyle name="40% - Accent5 4 2 2 2 2" xfId="2434"/>
    <cellStyle name="40% - Accent5 4 2 2 2 2 10" xfId="26071"/>
    <cellStyle name="40% - Accent5 4 2 2 2 2 2" xfId="2435"/>
    <cellStyle name="40% - Accent5 4 2 2 2 2 2 2" xfId="26072"/>
    <cellStyle name="40% - Accent5 4 2 2 2 2 2 2 2" xfId="26073"/>
    <cellStyle name="40% - Accent5 4 2 2 2 2 2 2 2 2" xfId="26074"/>
    <cellStyle name="40% - Accent5 4 2 2 2 2 2 2 2 3" xfId="26075"/>
    <cellStyle name="40% - Accent5 4 2 2 2 2 2 2 3" xfId="26076"/>
    <cellStyle name="40% - Accent5 4 2 2 2 2 2 2 3 2" xfId="26077"/>
    <cellStyle name="40% - Accent5 4 2 2 2 2 2 2 3 3" xfId="26078"/>
    <cellStyle name="40% - Accent5 4 2 2 2 2 2 2 4" xfId="26079"/>
    <cellStyle name="40% - Accent5 4 2 2 2 2 2 2 4 2" xfId="26080"/>
    <cellStyle name="40% - Accent5 4 2 2 2 2 2 2 5" xfId="26081"/>
    <cellStyle name="40% - Accent5 4 2 2 2 2 2 2 6" xfId="26082"/>
    <cellStyle name="40% - Accent5 4 2 2 2 2 2 3" xfId="26083"/>
    <cellStyle name="40% - Accent5 4 2 2 2 2 2 3 2" xfId="26084"/>
    <cellStyle name="40% - Accent5 4 2 2 2 2 2 3 2 2" xfId="26085"/>
    <cellStyle name="40% - Accent5 4 2 2 2 2 2 3 2 3" xfId="26086"/>
    <cellStyle name="40% - Accent5 4 2 2 2 2 2 3 3" xfId="26087"/>
    <cellStyle name="40% - Accent5 4 2 2 2 2 2 3 3 2" xfId="26088"/>
    <cellStyle name="40% - Accent5 4 2 2 2 2 2 3 3 3" xfId="26089"/>
    <cellStyle name="40% - Accent5 4 2 2 2 2 2 3 4" xfId="26090"/>
    <cellStyle name="40% - Accent5 4 2 2 2 2 2 3 4 2" xfId="26091"/>
    <cellStyle name="40% - Accent5 4 2 2 2 2 2 3 5" xfId="26092"/>
    <cellStyle name="40% - Accent5 4 2 2 2 2 2 3 6" xfId="26093"/>
    <cellStyle name="40% - Accent5 4 2 2 2 2 2 4" xfId="26094"/>
    <cellStyle name="40% - Accent5 4 2 2 2 2 2 4 2" xfId="26095"/>
    <cellStyle name="40% - Accent5 4 2 2 2 2 2 4 2 2" xfId="26096"/>
    <cellStyle name="40% - Accent5 4 2 2 2 2 2 4 2 3" xfId="26097"/>
    <cellStyle name="40% - Accent5 4 2 2 2 2 2 4 3" xfId="26098"/>
    <cellStyle name="40% - Accent5 4 2 2 2 2 2 4 3 2" xfId="26099"/>
    <cellStyle name="40% - Accent5 4 2 2 2 2 2 4 4" xfId="26100"/>
    <cellStyle name="40% - Accent5 4 2 2 2 2 2 4 5" xfId="26101"/>
    <cellStyle name="40% - Accent5 4 2 2 2 2 2 5" xfId="26102"/>
    <cellStyle name="40% - Accent5 4 2 2 2 2 2 5 2" xfId="26103"/>
    <cellStyle name="40% - Accent5 4 2 2 2 2 2 5 3" xfId="26104"/>
    <cellStyle name="40% - Accent5 4 2 2 2 2 2 6" xfId="26105"/>
    <cellStyle name="40% - Accent5 4 2 2 2 2 2 6 2" xfId="26106"/>
    <cellStyle name="40% - Accent5 4 2 2 2 2 2 6 3" xfId="26107"/>
    <cellStyle name="40% - Accent5 4 2 2 2 2 2 7" xfId="26108"/>
    <cellStyle name="40% - Accent5 4 2 2 2 2 2 7 2" xfId="26109"/>
    <cellStyle name="40% - Accent5 4 2 2 2 2 2 8" xfId="26110"/>
    <cellStyle name="40% - Accent5 4 2 2 2 2 2 9" xfId="26111"/>
    <cellStyle name="40% - Accent5 4 2 2 2 2 3" xfId="26112"/>
    <cellStyle name="40% - Accent5 4 2 2 2 2 3 2" xfId="26113"/>
    <cellStyle name="40% - Accent5 4 2 2 2 2 3 2 2" xfId="26114"/>
    <cellStyle name="40% - Accent5 4 2 2 2 2 3 2 3" xfId="26115"/>
    <cellStyle name="40% - Accent5 4 2 2 2 2 3 3" xfId="26116"/>
    <cellStyle name="40% - Accent5 4 2 2 2 2 3 3 2" xfId="26117"/>
    <cellStyle name="40% - Accent5 4 2 2 2 2 3 3 3" xfId="26118"/>
    <cellStyle name="40% - Accent5 4 2 2 2 2 3 4" xfId="26119"/>
    <cellStyle name="40% - Accent5 4 2 2 2 2 3 4 2" xfId="26120"/>
    <cellStyle name="40% - Accent5 4 2 2 2 2 3 5" xfId="26121"/>
    <cellStyle name="40% - Accent5 4 2 2 2 2 3 6" xfId="26122"/>
    <cellStyle name="40% - Accent5 4 2 2 2 2 4" xfId="26123"/>
    <cellStyle name="40% - Accent5 4 2 2 2 2 4 2" xfId="26124"/>
    <cellStyle name="40% - Accent5 4 2 2 2 2 4 2 2" xfId="26125"/>
    <cellStyle name="40% - Accent5 4 2 2 2 2 4 2 3" xfId="26126"/>
    <cellStyle name="40% - Accent5 4 2 2 2 2 4 3" xfId="26127"/>
    <cellStyle name="40% - Accent5 4 2 2 2 2 4 3 2" xfId="26128"/>
    <cellStyle name="40% - Accent5 4 2 2 2 2 4 3 3" xfId="26129"/>
    <cellStyle name="40% - Accent5 4 2 2 2 2 4 4" xfId="26130"/>
    <cellStyle name="40% - Accent5 4 2 2 2 2 4 4 2" xfId="26131"/>
    <cellStyle name="40% - Accent5 4 2 2 2 2 4 5" xfId="26132"/>
    <cellStyle name="40% - Accent5 4 2 2 2 2 4 6" xfId="26133"/>
    <cellStyle name="40% - Accent5 4 2 2 2 2 5" xfId="26134"/>
    <cellStyle name="40% - Accent5 4 2 2 2 2 5 2" xfId="26135"/>
    <cellStyle name="40% - Accent5 4 2 2 2 2 5 2 2" xfId="26136"/>
    <cellStyle name="40% - Accent5 4 2 2 2 2 5 2 3" xfId="26137"/>
    <cellStyle name="40% - Accent5 4 2 2 2 2 5 3" xfId="26138"/>
    <cellStyle name="40% - Accent5 4 2 2 2 2 5 3 2" xfId="26139"/>
    <cellStyle name="40% - Accent5 4 2 2 2 2 5 4" xfId="26140"/>
    <cellStyle name="40% - Accent5 4 2 2 2 2 5 5" xfId="26141"/>
    <cellStyle name="40% - Accent5 4 2 2 2 2 6" xfId="26142"/>
    <cellStyle name="40% - Accent5 4 2 2 2 2 6 2" xfId="26143"/>
    <cellStyle name="40% - Accent5 4 2 2 2 2 6 3" xfId="26144"/>
    <cellStyle name="40% - Accent5 4 2 2 2 2 7" xfId="26145"/>
    <cellStyle name="40% - Accent5 4 2 2 2 2 7 2" xfId="26146"/>
    <cellStyle name="40% - Accent5 4 2 2 2 2 7 3" xfId="26147"/>
    <cellStyle name="40% - Accent5 4 2 2 2 2 8" xfId="26148"/>
    <cellStyle name="40% - Accent5 4 2 2 2 2 8 2" xfId="26149"/>
    <cellStyle name="40% - Accent5 4 2 2 2 2 9" xfId="26150"/>
    <cellStyle name="40% - Accent5 4 2 2 2 3" xfId="2436"/>
    <cellStyle name="40% - Accent5 4 2 2 2 3 2" xfId="26151"/>
    <cellStyle name="40% - Accent5 4 2 2 2 3 2 2" xfId="26152"/>
    <cellStyle name="40% - Accent5 4 2 2 2 3 2 2 2" xfId="26153"/>
    <cellStyle name="40% - Accent5 4 2 2 2 3 2 2 3" xfId="26154"/>
    <cellStyle name="40% - Accent5 4 2 2 2 3 2 3" xfId="26155"/>
    <cellStyle name="40% - Accent5 4 2 2 2 3 2 3 2" xfId="26156"/>
    <cellStyle name="40% - Accent5 4 2 2 2 3 2 3 3" xfId="26157"/>
    <cellStyle name="40% - Accent5 4 2 2 2 3 2 4" xfId="26158"/>
    <cellStyle name="40% - Accent5 4 2 2 2 3 2 4 2" xfId="26159"/>
    <cellStyle name="40% - Accent5 4 2 2 2 3 2 5" xfId="26160"/>
    <cellStyle name="40% - Accent5 4 2 2 2 3 2 6" xfId="26161"/>
    <cellStyle name="40% - Accent5 4 2 2 2 3 3" xfId="26162"/>
    <cellStyle name="40% - Accent5 4 2 2 2 3 3 2" xfId="26163"/>
    <cellStyle name="40% - Accent5 4 2 2 2 3 3 2 2" xfId="26164"/>
    <cellStyle name="40% - Accent5 4 2 2 2 3 3 2 3" xfId="26165"/>
    <cellStyle name="40% - Accent5 4 2 2 2 3 3 3" xfId="26166"/>
    <cellStyle name="40% - Accent5 4 2 2 2 3 3 3 2" xfId="26167"/>
    <cellStyle name="40% - Accent5 4 2 2 2 3 3 3 3" xfId="26168"/>
    <cellStyle name="40% - Accent5 4 2 2 2 3 3 4" xfId="26169"/>
    <cellStyle name="40% - Accent5 4 2 2 2 3 3 4 2" xfId="26170"/>
    <cellStyle name="40% - Accent5 4 2 2 2 3 3 5" xfId="26171"/>
    <cellStyle name="40% - Accent5 4 2 2 2 3 3 6" xfId="26172"/>
    <cellStyle name="40% - Accent5 4 2 2 2 3 4" xfId="26173"/>
    <cellStyle name="40% - Accent5 4 2 2 2 3 4 2" xfId="26174"/>
    <cellStyle name="40% - Accent5 4 2 2 2 3 4 2 2" xfId="26175"/>
    <cellStyle name="40% - Accent5 4 2 2 2 3 4 2 3" xfId="26176"/>
    <cellStyle name="40% - Accent5 4 2 2 2 3 4 3" xfId="26177"/>
    <cellStyle name="40% - Accent5 4 2 2 2 3 4 3 2" xfId="26178"/>
    <cellStyle name="40% - Accent5 4 2 2 2 3 4 4" xfId="26179"/>
    <cellStyle name="40% - Accent5 4 2 2 2 3 4 5" xfId="26180"/>
    <cellStyle name="40% - Accent5 4 2 2 2 3 5" xfId="26181"/>
    <cellStyle name="40% - Accent5 4 2 2 2 3 5 2" xfId="26182"/>
    <cellStyle name="40% - Accent5 4 2 2 2 3 5 3" xfId="26183"/>
    <cellStyle name="40% - Accent5 4 2 2 2 3 6" xfId="26184"/>
    <cellStyle name="40% - Accent5 4 2 2 2 3 6 2" xfId="26185"/>
    <cellStyle name="40% - Accent5 4 2 2 2 3 6 3" xfId="26186"/>
    <cellStyle name="40% - Accent5 4 2 2 2 3 7" xfId="26187"/>
    <cellStyle name="40% - Accent5 4 2 2 2 3 7 2" xfId="26188"/>
    <cellStyle name="40% - Accent5 4 2 2 2 3 8" xfId="26189"/>
    <cellStyle name="40% - Accent5 4 2 2 2 3 9" xfId="26190"/>
    <cellStyle name="40% - Accent5 4 2 2 2 4" xfId="26191"/>
    <cellStyle name="40% - Accent5 4 2 2 2 4 2" xfId="26192"/>
    <cellStyle name="40% - Accent5 4 2 2 2 4 2 2" xfId="26193"/>
    <cellStyle name="40% - Accent5 4 2 2 2 4 2 2 2" xfId="26194"/>
    <cellStyle name="40% - Accent5 4 2 2 2 4 2 2 3" xfId="26195"/>
    <cellStyle name="40% - Accent5 4 2 2 2 4 2 3" xfId="26196"/>
    <cellStyle name="40% - Accent5 4 2 2 2 4 2 3 2" xfId="26197"/>
    <cellStyle name="40% - Accent5 4 2 2 2 4 2 3 3" xfId="26198"/>
    <cellStyle name="40% - Accent5 4 2 2 2 4 2 4" xfId="26199"/>
    <cellStyle name="40% - Accent5 4 2 2 2 4 2 4 2" xfId="26200"/>
    <cellStyle name="40% - Accent5 4 2 2 2 4 2 5" xfId="26201"/>
    <cellStyle name="40% - Accent5 4 2 2 2 4 2 6" xfId="26202"/>
    <cellStyle name="40% - Accent5 4 2 2 2 4 3" xfId="26203"/>
    <cellStyle name="40% - Accent5 4 2 2 2 4 3 2" xfId="26204"/>
    <cellStyle name="40% - Accent5 4 2 2 2 4 3 2 2" xfId="26205"/>
    <cellStyle name="40% - Accent5 4 2 2 2 4 3 2 3" xfId="26206"/>
    <cellStyle name="40% - Accent5 4 2 2 2 4 3 3" xfId="26207"/>
    <cellStyle name="40% - Accent5 4 2 2 2 4 3 3 2" xfId="26208"/>
    <cellStyle name="40% - Accent5 4 2 2 2 4 3 3 3" xfId="26209"/>
    <cellStyle name="40% - Accent5 4 2 2 2 4 3 4" xfId="26210"/>
    <cellStyle name="40% - Accent5 4 2 2 2 4 3 4 2" xfId="26211"/>
    <cellStyle name="40% - Accent5 4 2 2 2 4 3 5" xfId="26212"/>
    <cellStyle name="40% - Accent5 4 2 2 2 4 3 6" xfId="26213"/>
    <cellStyle name="40% - Accent5 4 2 2 2 4 4" xfId="26214"/>
    <cellStyle name="40% - Accent5 4 2 2 2 4 4 2" xfId="26215"/>
    <cellStyle name="40% - Accent5 4 2 2 2 4 4 2 2" xfId="26216"/>
    <cellStyle name="40% - Accent5 4 2 2 2 4 4 2 3" xfId="26217"/>
    <cellStyle name="40% - Accent5 4 2 2 2 4 4 3" xfId="26218"/>
    <cellStyle name="40% - Accent5 4 2 2 2 4 4 3 2" xfId="26219"/>
    <cellStyle name="40% - Accent5 4 2 2 2 4 4 4" xfId="26220"/>
    <cellStyle name="40% - Accent5 4 2 2 2 4 4 5" xfId="26221"/>
    <cellStyle name="40% - Accent5 4 2 2 2 4 5" xfId="26222"/>
    <cellStyle name="40% - Accent5 4 2 2 2 4 5 2" xfId="26223"/>
    <cellStyle name="40% - Accent5 4 2 2 2 4 5 3" xfId="26224"/>
    <cellStyle name="40% - Accent5 4 2 2 2 4 6" xfId="26225"/>
    <cellStyle name="40% - Accent5 4 2 2 2 4 6 2" xfId="26226"/>
    <cellStyle name="40% - Accent5 4 2 2 2 4 6 3" xfId="26227"/>
    <cellStyle name="40% - Accent5 4 2 2 2 4 7" xfId="26228"/>
    <cellStyle name="40% - Accent5 4 2 2 2 4 7 2" xfId="26229"/>
    <cellStyle name="40% - Accent5 4 2 2 2 4 8" xfId="26230"/>
    <cellStyle name="40% - Accent5 4 2 2 2 4 9" xfId="26231"/>
    <cellStyle name="40% - Accent5 4 2 2 2 5" xfId="26232"/>
    <cellStyle name="40% - Accent5 4 2 2 2 5 2" xfId="26233"/>
    <cellStyle name="40% - Accent5 4 2 2 2 5 2 2" xfId="26234"/>
    <cellStyle name="40% - Accent5 4 2 2 2 5 2 3" xfId="26235"/>
    <cellStyle name="40% - Accent5 4 2 2 2 5 3" xfId="26236"/>
    <cellStyle name="40% - Accent5 4 2 2 2 5 3 2" xfId="26237"/>
    <cellStyle name="40% - Accent5 4 2 2 2 5 3 3" xfId="26238"/>
    <cellStyle name="40% - Accent5 4 2 2 2 5 4" xfId="26239"/>
    <cellStyle name="40% - Accent5 4 2 2 2 5 4 2" xfId="26240"/>
    <cellStyle name="40% - Accent5 4 2 2 2 5 5" xfId="26241"/>
    <cellStyle name="40% - Accent5 4 2 2 2 5 6" xfId="26242"/>
    <cellStyle name="40% - Accent5 4 2 2 2 6" xfId="26243"/>
    <cellStyle name="40% - Accent5 4 2 2 2 6 2" xfId="26244"/>
    <cellStyle name="40% - Accent5 4 2 2 2 6 2 2" xfId="26245"/>
    <cellStyle name="40% - Accent5 4 2 2 2 6 2 3" xfId="26246"/>
    <cellStyle name="40% - Accent5 4 2 2 2 6 3" xfId="26247"/>
    <cellStyle name="40% - Accent5 4 2 2 2 6 3 2" xfId="26248"/>
    <cellStyle name="40% - Accent5 4 2 2 2 6 3 3" xfId="26249"/>
    <cellStyle name="40% - Accent5 4 2 2 2 6 4" xfId="26250"/>
    <cellStyle name="40% - Accent5 4 2 2 2 6 4 2" xfId="26251"/>
    <cellStyle name="40% - Accent5 4 2 2 2 6 5" xfId="26252"/>
    <cellStyle name="40% - Accent5 4 2 2 2 6 6" xfId="26253"/>
    <cellStyle name="40% - Accent5 4 2 2 2 7" xfId="26254"/>
    <cellStyle name="40% - Accent5 4 2 2 2 7 2" xfId="26255"/>
    <cellStyle name="40% - Accent5 4 2 2 2 7 2 2" xfId="26256"/>
    <cellStyle name="40% - Accent5 4 2 2 2 7 2 3" xfId="26257"/>
    <cellStyle name="40% - Accent5 4 2 2 2 7 3" xfId="26258"/>
    <cellStyle name="40% - Accent5 4 2 2 2 7 3 2" xfId="26259"/>
    <cellStyle name="40% - Accent5 4 2 2 2 7 4" xfId="26260"/>
    <cellStyle name="40% - Accent5 4 2 2 2 7 5" xfId="26261"/>
    <cellStyle name="40% - Accent5 4 2 2 2 8" xfId="26262"/>
    <cellStyle name="40% - Accent5 4 2 2 2 8 2" xfId="26263"/>
    <cellStyle name="40% - Accent5 4 2 2 2 8 3" xfId="26264"/>
    <cellStyle name="40% - Accent5 4 2 2 2 9" xfId="26265"/>
    <cellStyle name="40% - Accent5 4 2 2 2 9 2" xfId="26266"/>
    <cellStyle name="40% - Accent5 4 2 2 2 9 3" xfId="26267"/>
    <cellStyle name="40% - Accent5 4 2 2 3" xfId="2437"/>
    <cellStyle name="40% - Accent5 4 2 2 3 10" xfId="26268"/>
    <cellStyle name="40% - Accent5 4 2 2 3 2" xfId="2438"/>
    <cellStyle name="40% - Accent5 4 2 2 3 2 2" xfId="26269"/>
    <cellStyle name="40% - Accent5 4 2 2 3 2 2 2" xfId="26270"/>
    <cellStyle name="40% - Accent5 4 2 2 3 2 2 2 2" xfId="26271"/>
    <cellStyle name="40% - Accent5 4 2 2 3 2 2 2 3" xfId="26272"/>
    <cellStyle name="40% - Accent5 4 2 2 3 2 2 3" xfId="26273"/>
    <cellStyle name="40% - Accent5 4 2 2 3 2 2 3 2" xfId="26274"/>
    <cellStyle name="40% - Accent5 4 2 2 3 2 2 3 3" xfId="26275"/>
    <cellStyle name="40% - Accent5 4 2 2 3 2 2 4" xfId="26276"/>
    <cellStyle name="40% - Accent5 4 2 2 3 2 2 4 2" xfId="26277"/>
    <cellStyle name="40% - Accent5 4 2 2 3 2 2 5" xfId="26278"/>
    <cellStyle name="40% - Accent5 4 2 2 3 2 2 6" xfId="26279"/>
    <cellStyle name="40% - Accent5 4 2 2 3 2 3" xfId="26280"/>
    <cellStyle name="40% - Accent5 4 2 2 3 2 3 2" xfId="26281"/>
    <cellStyle name="40% - Accent5 4 2 2 3 2 3 2 2" xfId="26282"/>
    <cellStyle name="40% - Accent5 4 2 2 3 2 3 2 3" xfId="26283"/>
    <cellStyle name="40% - Accent5 4 2 2 3 2 3 3" xfId="26284"/>
    <cellStyle name="40% - Accent5 4 2 2 3 2 3 3 2" xfId="26285"/>
    <cellStyle name="40% - Accent5 4 2 2 3 2 3 3 3" xfId="26286"/>
    <cellStyle name="40% - Accent5 4 2 2 3 2 3 4" xfId="26287"/>
    <cellStyle name="40% - Accent5 4 2 2 3 2 3 4 2" xfId="26288"/>
    <cellStyle name="40% - Accent5 4 2 2 3 2 3 5" xfId="26289"/>
    <cellStyle name="40% - Accent5 4 2 2 3 2 3 6" xfId="26290"/>
    <cellStyle name="40% - Accent5 4 2 2 3 2 4" xfId="26291"/>
    <cellStyle name="40% - Accent5 4 2 2 3 2 4 2" xfId="26292"/>
    <cellStyle name="40% - Accent5 4 2 2 3 2 4 2 2" xfId="26293"/>
    <cellStyle name="40% - Accent5 4 2 2 3 2 4 2 3" xfId="26294"/>
    <cellStyle name="40% - Accent5 4 2 2 3 2 4 3" xfId="26295"/>
    <cellStyle name="40% - Accent5 4 2 2 3 2 4 3 2" xfId="26296"/>
    <cellStyle name="40% - Accent5 4 2 2 3 2 4 4" xfId="26297"/>
    <cellStyle name="40% - Accent5 4 2 2 3 2 4 5" xfId="26298"/>
    <cellStyle name="40% - Accent5 4 2 2 3 2 5" xfId="26299"/>
    <cellStyle name="40% - Accent5 4 2 2 3 2 5 2" xfId="26300"/>
    <cellStyle name="40% - Accent5 4 2 2 3 2 5 3" xfId="26301"/>
    <cellStyle name="40% - Accent5 4 2 2 3 2 6" xfId="26302"/>
    <cellStyle name="40% - Accent5 4 2 2 3 2 6 2" xfId="26303"/>
    <cellStyle name="40% - Accent5 4 2 2 3 2 6 3" xfId="26304"/>
    <cellStyle name="40% - Accent5 4 2 2 3 2 7" xfId="26305"/>
    <cellStyle name="40% - Accent5 4 2 2 3 2 7 2" xfId="26306"/>
    <cellStyle name="40% - Accent5 4 2 2 3 2 8" xfId="26307"/>
    <cellStyle name="40% - Accent5 4 2 2 3 2 9" xfId="26308"/>
    <cellStyle name="40% - Accent5 4 2 2 3 3" xfId="26309"/>
    <cellStyle name="40% - Accent5 4 2 2 3 3 2" xfId="26310"/>
    <cellStyle name="40% - Accent5 4 2 2 3 3 2 2" xfId="26311"/>
    <cellStyle name="40% - Accent5 4 2 2 3 3 2 3" xfId="26312"/>
    <cellStyle name="40% - Accent5 4 2 2 3 3 3" xfId="26313"/>
    <cellStyle name="40% - Accent5 4 2 2 3 3 3 2" xfId="26314"/>
    <cellStyle name="40% - Accent5 4 2 2 3 3 3 3" xfId="26315"/>
    <cellStyle name="40% - Accent5 4 2 2 3 3 4" xfId="26316"/>
    <cellStyle name="40% - Accent5 4 2 2 3 3 4 2" xfId="26317"/>
    <cellStyle name="40% - Accent5 4 2 2 3 3 5" xfId="26318"/>
    <cellStyle name="40% - Accent5 4 2 2 3 3 6" xfId="26319"/>
    <cellStyle name="40% - Accent5 4 2 2 3 4" xfId="26320"/>
    <cellStyle name="40% - Accent5 4 2 2 3 4 2" xfId="26321"/>
    <cellStyle name="40% - Accent5 4 2 2 3 4 2 2" xfId="26322"/>
    <cellStyle name="40% - Accent5 4 2 2 3 4 2 3" xfId="26323"/>
    <cellStyle name="40% - Accent5 4 2 2 3 4 3" xfId="26324"/>
    <cellStyle name="40% - Accent5 4 2 2 3 4 3 2" xfId="26325"/>
    <cellStyle name="40% - Accent5 4 2 2 3 4 3 3" xfId="26326"/>
    <cellStyle name="40% - Accent5 4 2 2 3 4 4" xfId="26327"/>
    <cellStyle name="40% - Accent5 4 2 2 3 4 4 2" xfId="26328"/>
    <cellStyle name="40% - Accent5 4 2 2 3 4 5" xfId="26329"/>
    <cellStyle name="40% - Accent5 4 2 2 3 4 6" xfId="26330"/>
    <cellStyle name="40% - Accent5 4 2 2 3 5" xfId="26331"/>
    <cellStyle name="40% - Accent5 4 2 2 3 5 2" xfId="26332"/>
    <cellStyle name="40% - Accent5 4 2 2 3 5 2 2" xfId="26333"/>
    <cellStyle name="40% - Accent5 4 2 2 3 5 2 3" xfId="26334"/>
    <cellStyle name="40% - Accent5 4 2 2 3 5 3" xfId="26335"/>
    <cellStyle name="40% - Accent5 4 2 2 3 5 3 2" xfId="26336"/>
    <cellStyle name="40% - Accent5 4 2 2 3 5 4" xfId="26337"/>
    <cellStyle name="40% - Accent5 4 2 2 3 5 5" xfId="26338"/>
    <cellStyle name="40% - Accent5 4 2 2 3 6" xfId="26339"/>
    <cellStyle name="40% - Accent5 4 2 2 3 6 2" xfId="26340"/>
    <cellStyle name="40% - Accent5 4 2 2 3 6 3" xfId="26341"/>
    <cellStyle name="40% - Accent5 4 2 2 3 7" xfId="26342"/>
    <cellStyle name="40% - Accent5 4 2 2 3 7 2" xfId="26343"/>
    <cellStyle name="40% - Accent5 4 2 2 3 7 3" xfId="26344"/>
    <cellStyle name="40% - Accent5 4 2 2 3 8" xfId="26345"/>
    <cellStyle name="40% - Accent5 4 2 2 3 8 2" xfId="26346"/>
    <cellStyle name="40% - Accent5 4 2 2 3 9" xfId="26347"/>
    <cellStyle name="40% - Accent5 4 2 2 4" xfId="2439"/>
    <cellStyle name="40% - Accent5 4 2 2 4 2" xfId="26348"/>
    <cellStyle name="40% - Accent5 4 2 2 4 2 2" xfId="26349"/>
    <cellStyle name="40% - Accent5 4 2 2 4 2 2 2" xfId="26350"/>
    <cellStyle name="40% - Accent5 4 2 2 4 2 2 3" xfId="26351"/>
    <cellStyle name="40% - Accent5 4 2 2 4 2 3" xfId="26352"/>
    <cellStyle name="40% - Accent5 4 2 2 4 2 3 2" xfId="26353"/>
    <cellStyle name="40% - Accent5 4 2 2 4 2 3 3" xfId="26354"/>
    <cellStyle name="40% - Accent5 4 2 2 4 2 4" xfId="26355"/>
    <cellStyle name="40% - Accent5 4 2 2 4 2 4 2" xfId="26356"/>
    <cellStyle name="40% - Accent5 4 2 2 4 2 5" xfId="26357"/>
    <cellStyle name="40% - Accent5 4 2 2 4 2 6" xfId="26358"/>
    <cellStyle name="40% - Accent5 4 2 2 4 3" xfId="26359"/>
    <cellStyle name="40% - Accent5 4 2 2 4 3 2" xfId="26360"/>
    <cellStyle name="40% - Accent5 4 2 2 4 3 2 2" xfId="26361"/>
    <cellStyle name="40% - Accent5 4 2 2 4 3 2 3" xfId="26362"/>
    <cellStyle name="40% - Accent5 4 2 2 4 3 3" xfId="26363"/>
    <cellStyle name="40% - Accent5 4 2 2 4 3 3 2" xfId="26364"/>
    <cellStyle name="40% - Accent5 4 2 2 4 3 3 3" xfId="26365"/>
    <cellStyle name="40% - Accent5 4 2 2 4 3 4" xfId="26366"/>
    <cellStyle name="40% - Accent5 4 2 2 4 3 4 2" xfId="26367"/>
    <cellStyle name="40% - Accent5 4 2 2 4 3 5" xfId="26368"/>
    <cellStyle name="40% - Accent5 4 2 2 4 3 6" xfId="26369"/>
    <cellStyle name="40% - Accent5 4 2 2 4 4" xfId="26370"/>
    <cellStyle name="40% - Accent5 4 2 2 4 4 2" xfId="26371"/>
    <cellStyle name="40% - Accent5 4 2 2 4 4 2 2" xfId="26372"/>
    <cellStyle name="40% - Accent5 4 2 2 4 4 2 3" xfId="26373"/>
    <cellStyle name="40% - Accent5 4 2 2 4 4 3" xfId="26374"/>
    <cellStyle name="40% - Accent5 4 2 2 4 4 3 2" xfId="26375"/>
    <cellStyle name="40% - Accent5 4 2 2 4 4 4" xfId="26376"/>
    <cellStyle name="40% - Accent5 4 2 2 4 4 5" xfId="26377"/>
    <cellStyle name="40% - Accent5 4 2 2 4 5" xfId="26378"/>
    <cellStyle name="40% - Accent5 4 2 2 4 5 2" xfId="26379"/>
    <cellStyle name="40% - Accent5 4 2 2 4 5 3" xfId="26380"/>
    <cellStyle name="40% - Accent5 4 2 2 4 6" xfId="26381"/>
    <cellStyle name="40% - Accent5 4 2 2 4 6 2" xfId="26382"/>
    <cellStyle name="40% - Accent5 4 2 2 4 6 3" xfId="26383"/>
    <cellStyle name="40% - Accent5 4 2 2 4 7" xfId="26384"/>
    <cellStyle name="40% - Accent5 4 2 2 4 7 2" xfId="26385"/>
    <cellStyle name="40% - Accent5 4 2 2 4 8" xfId="26386"/>
    <cellStyle name="40% - Accent5 4 2 2 4 9" xfId="26387"/>
    <cellStyle name="40% - Accent5 4 2 2 5" xfId="26388"/>
    <cellStyle name="40% - Accent5 4 2 2 5 2" xfId="26389"/>
    <cellStyle name="40% - Accent5 4 2 2 5 2 2" xfId="26390"/>
    <cellStyle name="40% - Accent5 4 2 2 5 2 2 2" xfId="26391"/>
    <cellStyle name="40% - Accent5 4 2 2 5 2 2 3" xfId="26392"/>
    <cellStyle name="40% - Accent5 4 2 2 5 2 3" xfId="26393"/>
    <cellStyle name="40% - Accent5 4 2 2 5 2 3 2" xfId="26394"/>
    <cellStyle name="40% - Accent5 4 2 2 5 2 3 3" xfId="26395"/>
    <cellStyle name="40% - Accent5 4 2 2 5 2 4" xfId="26396"/>
    <cellStyle name="40% - Accent5 4 2 2 5 2 4 2" xfId="26397"/>
    <cellStyle name="40% - Accent5 4 2 2 5 2 5" xfId="26398"/>
    <cellStyle name="40% - Accent5 4 2 2 5 2 6" xfId="26399"/>
    <cellStyle name="40% - Accent5 4 2 2 5 3" xfId="26400"/>
    <cellStyle name="40% - Accent5 4 2 2 5 3 2" xfId="26401"/>
    <cellStyle name="40% - Accent5 4 2 2 5 3 2 2" xfId="26402"/>
    <cellStyle name="40% - Accent5 4 2 2 5 3 2 3" xfId="26403"/>
    <cellStyle name="40% - Accent5 4 2 2 5 3 3" xfId="26404"/>
    <cellStyle name="40% - Accent5 4 2 2 5 3 3 2" xfId="26405"/>
    <cellStyle name="40% - Accent5 4 2 2 5 3 3 3" xfId="26406"/>
    <cellStyle name="40% - Accent5 4 2 2 5 3 4" xfId="26407"/>
    <cellStyle name="40% - Accent5 4 2 2 5 3 4 2" xfId="26408"/>
    <cellStyle name="40% - Accent5 4 2 2 5 3 5" xfId="26409"/>
    <cellStyle name="40% - Accent5 4 2 2 5 3 6" xfId="26410"/>
    <cellStyle name="40% - Accent5 4 2 2 5 4" xfId="26411"/>
    <cellStyle name="40% - Accent5 4 2 2 5 4 2" xfId="26412"/>
    <cellStyle name="40% - Accent5 4 2 2 5 4 2 2" xfId="26413"/>
    <cellStyle name="40% - Accent5 4 2 2 5 4 2 3" xfId="26414"/>
    <cellStyle name="40% - Accent5 4 2 2 5 4 3" xfId="26415"/>
    <cellStyle name="40% - Accent5 4 2 2 5 4 3 2" xfId="26416"/>
    <cellStyle name="40% - Accent5 4 2 2 5 4 4" xfId="26417"/>
    <cellStyle name="40% - Accent5 4 2 2 5 4 5" xfId="26418"/>
    <cellStyle name="40% - Accent5 4 2 2 5 5" xfId="26419"/>
    <cellStyle name="40% - Accent5 4 2 2 5 5 2" xfId="26420"/>
    <cellStyle name="40% - Accent5 4 2 2 5 5 3" xfId="26421"/>
    <cellStyle name="40% - Accent5 4 2 2 5 6" xfId="26422"/>
    <cellStyle name="40% - Accent5 4 2 2 5 6 2" xfId="26423"/>
    <cellStyle name="40% - Accent5 4 2 2 5 6 3" xfId="26424"/>
    <cellStyle name="40% - Accent5 4 2 2 5 7" xfId="26425"/>
    <cellStyle name="40% - Accent5 4 2 2 5 7 2" xfId="26426"/>
    <cellStyle name="40% - Accent5 4 2 2 5 8" xfId="26427"/>
    <cellStyle name="40% - Accent5 4 2 2 5 9" xfId="26428"/>
    <cellStyle name="40% - Accent5 4 2 2 6" xfId="26429"/>
    <cellStyle name="40% - Accent5 4 2 2 6 2" xfId="26430"/>
    <cellStyle name="40% - Accent5 4 2 2 6 2 2" xfId="26431"/>
    <cellStyle name="40% - Accent5 4 2 2 6 2 3" xfId="26432"/>
    <cellStyle name="40% - Accent5 4 2 2 6 3" xfId="26433"/>
    <cellStyle name="40% - Accent5 4 2 2 6 3 2" xfId="26434"/>
    <cellStyle name="40% - Accent5 4 2 2 6 3 3" xfId="26435"/>
    <cellStyle name="40% - Accent5 4 2 2 6 4" xfId="26436"/>
    <cellStyle name="40% - Accent5 4 2 2 6 4 2" xfId="26437"/>
    <cellStyle name="40% - Accent5 4 2 2 6 5" xfId="26438"/>
    <cellStyle name="40% - Accent5 4 2 2 6 6" xfId="26439"/>
    <cellStyle name="40% - Accent5 4 2 2 7" xfId="26440"/>
    <cellStyle name="40% - Accent5 4 2 2 7 2" xfId="26441"/>
    <cellStyle name="40% - Accent5 4 2 2 7 2 2" xfId="26442"/>
    <cellStyle name="40% - Accent5 4 2 2 7 2 3" xfId="26443"/>
    <cellStyle name="40% - Accent5 4 2 2 7 3" xfId="26444"/>
    <cellStyle name="40% - Accent5 4 2 2 7 3 2" xfId="26445"/>
    <cellStyle name="40% - Accent5 4 2 2 7 3 3" xfId="26446"/>
    <cellStyle name="40% - Accent5 4 2 2 7 4" xfId="26447"/>
    <cellStyle name="40% - Accent5 4 2 2 7 4 2" xfId="26448"/>
    <cellStyle name="40% - Accent5 4 2 2 7 5" xfId="26449"/>
    <cellStyle name="40% - Accent5 4 2 2 7 6" xfId="26450"/>
    <cellStyle name="40% - Accent5 4 2 2 8" xfId="26451"/>
    <cellStyle name="40% - Accent5 4 2 2 8 2" xfId="26452"/>
    <cellStyle name="40% - Accent5 4 2 2 8 2 2" xfId="26453"/>
    <cellStyle name="40% - Accent5 4 2 2 8 2 3" xfId="26454"/>
    <cellStyle name="40% - Accent5 4 2 2 8 3" xfId="26455"/>
    <cellStyle name="40% - Accent5 4 2 2 8 3 2" xfId="26456"/>
    <cellStyle name="40% - Accent5 4 2 2 8 4" xfId="26457"/>
    <cellStyle name="40% - Accent5 4 2 2 8 5" xfId="26458"/>
    <cellStyle name="40% - Accent5 4 2 2 9" xfId="26459"/>
    <cellStyle name="40% - Accent5 4 2 2 9 2" xfId="26460"/>
    <cellStyle name="40% - Accent5 4 2 2 9 3" xfId="26461"/>
    <cellStyle name="40% - Accent5 4 2 3" xfId="2440"/>
    <cellStyle name="40% - Accent5 4 2 3 10" xfId="26462"/>
    <cellStyle name="40% - Accent5 4 2 3 10 2" xfId="26463"/>
    <cellStyle name="40% - Accent5 4 2 3 11" xfId="26464"/>
    <cellStyle name="40% - Accent5 4 2 3 12" xfId="26465"/>
    <cellStyle name="40% - Accent5 4 2 3 2" xfId="2441"/>
    <cellStyle name="40% - Accent5 4 2 3 2 10" xfId="26466"/>
    <cellStyle name="40% - Accent5 4 2 3 2 2" xfId="2442"/>
    <cellStyle name="40% - Accent5 4 2 3 2 2 2" xfId="26467"/>
    <cellStyle name="40% - Accent5 4 2 3 2 2 2 2" xfId="26468"/>
    <cellStyle name="40% - Accent5 4 2 3 2 2 2 2 2" xfId="26469"/>
    <cellStyle name="40% - Accent5 4 2 3 2 2 2 2 3" xfId="26470"/>
    <cellStyle name="40% - Accent5 4 2 3 2 2 2 3" xfId="26471"/>
    <cellStyle name="40% - Accent5 4 2 3 2 2 2 3 2" xfId="26472"/>
    <cellStyle name="40% - Accent5 4 2 3 2 2 2 3 3" xfId="26473"/>
    <cellStyle name="40% - Accent5 4 2 3 2 2 2 4" xfId="26474"/>
    <cellStyle name="40% - Accent5 4 2 3 2 2 2 4 2" xfId="26475"/>
    <cellStyle name="40% - Accent5 4 2 3 2 2 2 5" xfId="26476"/>
    <cellStyle name="40% - Accent5 4 2 3 2 2 2 6" xfId="26477"/>
    <cellStyle name="40% - Accent5 4 2 3 2 2 3" xfId="26478"/>
    <cellStyle name="40% - Accent5 4 2 3 2 2 3 2" xfId="26479"/>
    <cellStyle name="40% - Accent5 4 2 3 2 2 3 2 2" xfId="26480"/>
    <cellStyle name="40% - Accent5 4 2 3 2 2 3 2 3" xfId="26481"/>
    <cellStyle name="40% - Accent5 4 2 3 2 2 3 3" xfId="26482"/>
    <cellStyle name="40% - Accent5 4 2 3 2 2 3 3 2" xfId="26483"/>
    <cellStyle name="40% - Accent5 4 2 3 2 2 3 3 3" xfId="26484"/>
    <cellStyle name="40% - Accent5 4 2 3 2 2 3 4" xfId="26485"/>
    <cellStyle name="40% - Accent5 4 2 3 2 2 3 4 2" xfId="26486"/>
    <cellStyle name="40% - Accent5 4 2 3 2 2 3 5" xfId="26487"/>
    <cellStyle name="40% - Accent5 4 2 3 2 2 3 6" xfId="26488"/>
    <cellStyle name="40% - Accent5 4 2 3 2 2 4" xfId="26489"/>
    <cellStyle name="40% - Accent5 4 2 3 2 2 4 2" xfId="26490"/>
    <cellStyle name="40% - Accent5 4 2 3 2 2 4 2 2" xfId="26491"/>
    <cellStyle name="40% - Accent5 4 2 3 2 2 4 2 3" xfId="26492"/>
    <cellStyle name="40% - Accent5 4 2 3 2 2 4 3" xfId="26493"/>
    <cellStyle name="40% - Accent5 4 2 3 2 2 4 3 2" xfId="26494"/>
    <cellStyle name="40% - Accent5 4 2 3 2 2 4 4" xfId="26495"/>
    <cellStyle name="40% - Accent5 4 2 3 2 2 4 5" xfId="26496"/>
    <cellStyle name="40% - Accent5 4 2 3 2 2 5" xfId="26497"/>
    <cellStyle name="40% - Accent5 4 2 3 2 2 5 2" xfId="26498"/>
    <cellStyle name="40% - Accent5 4 2 3 2 2 5 3" xfId="26499"/>
    <cellStyle name="40% - Accent5 4 2 3 2 2 6" xfId="26500"/>
    <cellStyle name="40% - Accent5 4 2 3 2 2 6 2" xfId="26501"/>
    <cellStyle name="40% - Accent5 4 2 3 2 2 6 3" xfId="26502"/>
    <cellStyle name="40% - Accent5 4 2 3 2 2 7" xfId="26503"/>
    <cellStyle name="40% - Accent5 4 2 3 2 2 7 2" xfId="26504"/>
    <cellStyle name="40% - Accent5 4 2 3 2 2 8" xfId="26505"/>
    <cellStyle name="40% - Accent5 4 2 3 2 2 9" xfId="26506"/>
    <cellStyle name="40% - Accent5 4 2 3 2 3" xfId="26507"/>
    <cellStyle name="40% - Accent5 4 2 3 2 3 2" xfId="26508"/>
    <cellStyle name="40% - Accent5 4 2 3 2 3 2 2" xfId="26509"/>
    <cellStyle name="40% - Accent5 4 2 3 2 3 2 3" xfId="26510"/>
    <cellStyle name="40% - Accent5 4 2 3 2 3 3" xfId="26511"/>
    <cellStyle name="40% - Accent5 4 2 3 2 3 3 2" xfId="26512"/>
    <cellStyle name="40% - Accent5 4 2 3 2 3 3 3" xfId="26513"/>
    <cellStyle name="40% - Accent5 4 2 3 2 3 4" xfId="26514"/>
    <cellStyle name="40% - Accent5 4 2 3 2 3 4 2" xfId="26515"/>
    <cellStyle name="40% - Accent5 4 2 3 2 3 5" xfId="26516"/>
    <cellStyle name="40% - Accent5 4 2 3 2 3 6" xfId="26517"/>
    <cellStyle name="40% - Accent5 4 2 3 2 4" xfId="26518"/>
    <cellStyle name="40% - Accent5 4 2 3 2 4 2" xfId="26519"/>
    <cellStyle name="40% - Accent5 4 2 3 2 4 2 2" xfId="26520"/>
    <cellStyle name="40% - Accent5 4 2 3 2 4 2 3" xfId="26521"/>
    <cellStyle name="40% - Accent5 4 2 3 2 4 3" xfId="26522"/>
    <cellStyle name="40% - Accent5 4 2 3 2 4 3 2" xfId="26523"/>
    <cellStyle name="40% - Accent5 4 2 3 2 4 3 3" xfId="26524"/>
    <cellStyle name="40% - Accent5 4 2 3 2 4 4" xfId="26525"/>
    <cellStyle name="40% - Accent5 4 2 3 2 4 4 2" xfId="26526"/>
    <cellStyle name="40% - Accent5 4 2 3 2 4 5" xfId="26527"/>
    <cellStyle name="40% - Accent5 4 2 3 2 4 6" xfId="26528"/>
    <cellStyle name="40% - Accent5 4 2 3 2 5" xfId="26529"/>
    <cellStyle name="40% - Accent5 4 2 3 2 5 2" xfId="26530"/>
    <cellStyle name="40% - Accent5 4 2 3 2 5 2 2" xfId="26531"/>
    <cellStyle name="40% - Accent5 4 2 3 2 5 2 3" xfId="26532"/>
    <cellStyle name="40% - Accent5 4 2 3 2 5 3" xfId="26533"/>
    <cellStyle name="40% - Accent5 4 2 3 2 5 3 2" xfId="26534"/>
    <cellStyle name="40% - Accent5 4 2 3 2 5 4" xfId="26535"/>
    <cellStyle name="40% - Accent5 4 2 3 2 5 5" xfId="26536"/>
    <cellStyle name="40% - Accent5 4 2 3 2 6" xfId="26537"/>
    <cellStyle name="40% - Accent5 4 2 3 2 6 2" xfId="26538"/>
    <cellStyle name="40% - Accent5 4 2 3 2 6 3" xfId="26539"/>
    <cellStyle name="40% - Accent5 4 2 3 2 7" xfId="26540"/>
    <cellStyle name="40% - Accent5 4 2 3 2 7 2" xfId="26541"/>
    <cellStyle name="40% - Accent5 4 2 3 2 7 3" xfId="26542"/>
    <cellStyle name="40% - Accent5 4 2 3 2 8" xfId="26543"/>
    <cellStyle name="40% - Accent5 4 2 3 2 8 2" xfId="26544"/>
    <cellStyle name="40% - Accent5 4 2 3 2 9" xfId="26545"/>
    <cellStyle name="40% - Accent5 4 2 3 3" xfId="2443"/>
    <cellStyle name="40% - Accent5 4 2 3 3 2" xfId="26546"/>
    <cellStyle name="40% - Accent5 4 2 3 3 2 2" xfId="26547"/>
    <cellStyle name="40% - Accent5 4 2 3 3 2 2 2" xfId="26548"/>
    <cellStyle name="40% - Accent5 4 2 3 3 2 2 3" xfId="26549"/>
    <cellStyle name="40% - Accent5 4 2 3 3 2 3" xfId="26550"/>
    <cellStyle name="40% - Accent5 4 2 3 3 2 3 2" xfId="26551"/>
    <cellStyle name="40% - Accent5 4 2 3 3 2 3 3" xfId="26552"/>
    <cellStyle name="40% - Accent5 4 2 3 3 2 4" xfId="26553"/>
    <cellStyle name="40% - Accent5 4 2 3 3 2 4 2" xfId="26554"/>
    <cellStyle name="40% - Accent5 4 2 3 3 2 5" xfId="26555"/>
    <cellStyle name="40% - Accent5 4 2 3 3 2 6" xfId="26556"/>
    <cellStyle name="40% - Accent5 4 2 3 3 3" xfId="26557"/>
    <cellStyle name="40% - Accent5 4 2 3 3 3 2" xfId="26558"/>
    <cellStyle name="40% - Accent5 4 2 3 3 3 2 2" xfId="26559"/>
    <cellStyle name="40% - Accent5 4 2 3 3 3 2 3" xfId="26560"/>
    <cellStyle name="40% - Accent5 4 2 3 3 3 3" xfId="26561"/>
    <cellStyle name="40% - Accent5 4 2 3 3 3 3 2" xfId="26562"/>
    <cellStyle name="40% - Accent5 4 2 3 3 3 3 3" xfId="26563"/>
    <cellStyle name="40% - Accent5 4 2 3 3 3 4" xfId="26564"/>
    <cellStyle name="40% - Accent5 4 2 3 3 3 4 2" xfId="26565"/>
    <cellStyle name="40% - Accent5 4 2 3 3 3 5" xfId="26566"/>
    <cellStyle name="40% - Accent5 4 2 3 3 3 6" xfId="26567"/>
    <cellStyle name="40% - Accent5 4 2 3 3 4" xfId="26568"/>
    <cellStyle name="40% - Accent5 4 2 3 3 4 2" xfId="26569"/>
    <cellStyle name="40% - Accent5 4 2 3 3 4 2 2" xfId="26570"/>
    <cellStyle name="40% - Accent5 4 2 3 3 4 2 3" xfId="26571"/>
    <cellStyle name="40% - Accent5 4 2 3 3 4 3" xfId="26572"/>
    <cellStyle name="40% - Accent5 4 2 3 3 4 3 2" xfId="26573"/>
    <cellStyle name="40% - Accent5 4 2 3 3 4 4" xfId="26574"/>
    <cellStyle name="40% - Accent5 4 2 3 3 4 5" xfId="26575"/>
    <cellStyle name="40% - Accent5 4 2 3 3 5" xfId="26576"/>
    <cellStyle name="40% - Accent5 4 2 3 3 5 2" xfId="26577"/>
    <cellStyle name="40% - Accent5 4 2 3 3 5 3" xfId="26578"/>
    <cellStyle name="40% - Accent5 4 2 3 3 6" xfId="26579"/>
    <cellStyle name="40% - Accent5 4 2 3 3 6 2" xfId="26580"/>
    <cellStyle name="40% - Accent5 4 2 3 3 6 3" xfId="26581"/>
    <cellStyle name="40% - Accent5 4 2 3 3 7" xfId="26582"/>
    <cellStyle name="40% - Accent5 4 2 3 3 7 2" xfId="26583"/>
    <cellStyle name="40% - Accent5 4 2 3 3 8" xfId="26584"/>
    <cellStyle name="40% - Accent5 4 2 3 3 9" xfId="26585"/>
    <cellStyle name="40% - Accent5 4 2 3 4" xfId="26586"/>
    <cellStyle name="40% - Accent5 4 2 3 4 2" xfId="26587"/>
    <cellStyle name="40% - Accent5 4 2 3 4 2 2" xfId="26588"/>
    <cellStyle name="40% - Accent5 4 2 3 4 2 2 2" xfId="26589"/>
    <cellStyle name="40% - Accent5 4 2 3 4 2 2 3" xfId="26590"/>
    <cellStyle name="40% - Accent5 4 2 3 4 2 3" xfId="26591"/>
    <cellStyle name="40% - Accent5 4 2 3 4 2 3 2" xfId="26592"/>
    <cellStyle name="40% - Accent5 4 2 3 4 2 3 3" xfId="26593"/>
    <cellStyle name="40% - Accent5 4 2 3 4 2 4" xfId="26594"/>
    <cellStyle name="40% - Accent5 4 2 3 4 2 4 2" xfId="26595"/>
    <cellStyle name="40% - Accent5 4 2 3 4 2 5" xfId="26596"/>
    <cellStyle name="40% - Accent5 4 2 3 4 2 6" xfId="26597"/>
    <cellStyle name="40% - Accent5 4 2 3 4 3" xfId="26598"/>
    <cellStyle name="40% - Accent5 4 2 3 4 3 2" xfId="26599"/>
    <cellStyle name="40% - Accent5 4 2 3 4 3 2 2" xfId="26600"/>
    <cellStyle name="40% - Accent5 4 2 3 4 3 2 3" xfId="26601"/>
    <cellStyle name="40% - Accent5 4 2 3 4 3 3" xfId="26602"/>
    <cellStyle name="40% - Accent5 4 2 3 4 3 3 2" xfId="26603"/>
    <cellStyle name="40% - Accent5 4 2 3 4 3 3 3" xfId="26604"/>
    <cellStyle name="40% - Accent5 4 2 3 4 3 4" xfId="26605"/>
    <cellStyle name="40% - Accent5 4 2 3 4 3 4 2" xfId="26606"/>
    <cellStyle name="40% - Accent5 4 2 3 4 3 5" xfId="26607"/>
    <cellStyle name="40% - Accent5 4 2 3 4 3 6" xfId="26608"/>
    <cellStyle name="40% - Accent5 4 2 3 4 4" xfId="26609"/>
    <cellStyle name="40% - Accent5 4 2 3 4 4 2" xfId="26610"/>
    <cellStyle name="40% - Accent5 4 2 3 4 4 2 2" xfId="26611"/>
    <cellStyle name="40% - Accent5 4 2 3 4 4 2 3" xfId="26612"/>
    <cellStyle name="40% - Accent5 4 2 3 4 4 3" xfId="26613"/>
    <cellStyle name="40% - Accent5 4 2 3 4 4 3 2" xfId="26614"/>
    <cellStyle name="40% - Accent5 4 2 3 4 4 4" xfId="26615"/>
    <cellStyle name="40% - Accent5 4 2 3 4 4 5" xfId="26616"/>
    <cellStyle name="40% - Accent5 4 2 3 4 5" xfId="26617"/>
    <cellStyle name="40% - Accent5 4 2 3 4 5 2" xfId="26618"/>
    <cellStyle name="40% - Accent5 4 2 3 4 5 3" xfId="26619"/>
    <cellStyle name="40% - Accent5 4 2 3 4 6" xfId="26620"/>
    <cellStyle name="40% - Accent5 4 2 3 4 6 2" xfId="26621"/>
    <cellStyle name="40% - Accent5 4 2 3 4 6 3" xfId="26622"/>
    <cellStyle name="40% - Accent5 4 2 3 4 7" xfId="26623"/>
    <cellStyle name="40% - Accent5 4 2 3 4 7 2" xfId="26624"/>
    <cellStyle name="40% - Accent5 4 2 3 4 8" xfId="26625"/>
    <cellStyle name="40% - Accent5 4 2 3 4 9" xfId="26626"/>
    <cellStyle name="40% - Accent5 4 2 3 5" xfId="26627"/>
    <cellStyle name="40% - Accent5 4 2 3 5 2" xfId="26628"/>
    <cellStyle name="40% - Accent5 4 2 3 5 2 2" xfId="26629"/>
    <cellStyle name="40% - Accent5 4 2 3 5 2 3" xfId="26630"/>
    <cellStyle name="40% - Accent5 4 2 3 5 3" xfId="26631"/>
    <cellStyle name="40% - Accent5 4 2 3 5 3 2" xfId="26632"/>
    <cellStyle name="40% - Accent5 4 2 3 5 3 3" xfId="26633"/>
    <cellStyle name="40% - Accent5 4 2 3 5 4" xfId="26634"/>
    <cellStyle name="40% - Accent5 4 2 3 5 4 2" xfId="26635"/>
    <cellStyle name="40% - Accent5 4 2 3 5 5" xfId="26636"/>
    <cellStyle name="40% - Accent5 4 2 3 5 6" xfId="26637"/>
    <cellStyle name="40% - Accent5 4 2 3 6" xfId="26638"/>
    <cellStyle name="40% - Accent5 4 2 3 6 2" xfId="26639"/>
    <cellStyle name="40% - Accent5 4 2 3 6 2 2" xfId="26640"/>
    <cellStyle name="40% - Accent5 4 2 3 6 2 3" xfId="26641"/>
    <cellStyle name="40% - Accent5 4 2 3 6 3" xfId="26642"/>
    <cellStyle name="40% - Accent5 4 2 3 6 3 2" xfId="26643"/>
    <cellStyle name="40% - Accent5 4 2 3 6 3 3" xfId="26644"/>
    <cellStyle name="40% - Accent5 4 2 3 6 4" xfId="26645"/>
    <cellStyle name="40% - Accent5 4 2 3 6 4 2" xfId="26646"/>
    <cellStyle name="40% - Accent5 4 2 3 6 5" xfId="26647"/>
    <cellStyle name="40% - Accent5 4 2 3 6 6" xfId="26648"/>
    <cellStyle name="40% - Accent5 4 2 3 7" xfId="26649"/>
    <cellStyle name="40% - Accent5 4 2 3 7 2" xfId="26650"/>
    <cellStyle name="40% - Accent5 4 2 3 7 2 2" xfId="26651"/>
    <cellStyle name="40% - Accent5 4 2 3 7 2 3" xfId="26652"/>
    <cellStyle name="40% - Accent5 4 2 3 7 3" xfId="26653"/>
    <cellStyle name="40% - Accent5 4 2 3 7 3 2" xfId="26654"/>
    <cellStyle name="40% - Accent5 4 2 3 7 4" xfId="26655"/>
    <cellStyle name="40% - Accent5 4 2 3 7 5" xfId="26656"/>
    <cellStyle name="40% - Accent5 4 2 3 8" xfId="26657"/>
    <cellStyle name="40% - Accent5 4 2 3 8 2" xfId="26658"/>
    <cellStyle name="40% - Accent5 4 2 3 8 3" xfId="26659"/>
    <cellStyle name="40% - Accent5 4 2 3 9" xfId="26660"/>
    <cellStyle name="40% - Accent5 4 2 3 9 2" xfId="26661"/>
    <cellStyle name="40% - Accent5 4 2 3 9 3" xfId="26662"/>
    <cellStyle name="40% - Accent5 4 2 4" xfId="2444"/>
    <cellStyle name="40% - Accent5 4 2 4 10" xfId="26663"/>
    <cellStyle name="40% - Accent5 4 2 4 2" xfId="2445"/>
    <cellStyle name="40% - Accent5 4 2 4 2 2" xfId="26664"/>
    <cellStyle name="40% - Accent5 4 2 4 2 2 2" xfId="26665"/>
    <cellStyle name="40% - Accent5 4 2 4 2 2 2 2" xfId="26666"/>
    <cellStyle name="40% - Accent5 4 2 4 2 2 2 3" xfId="26667"/>
    <cellStyle name="40% - Accent5 4 2 4 2 2 3" xfId="26668"/>
    <cellStyle name="40% - Accent5 4 2 4 2 2 3 2" xfId="26669"/>
    <cellStyle name="40% - Accent5 4 2 4 2 2 3 3" xfId="26670"/>
    <cellStyle name="40% - Accent5 4 2 4 2 2 4" xfId="26671"/>
    <cellStyle name="40% - Accent5 4 2 4 2 2 4 2" xfId="26672"/>
    <cellStyle name="40% - Accent5 4 2 4 2 2 5" xfId="26673"/>
    <cellStyle name="40% - Accent5 4 2 4 2 2 6" xfId="26674"/>
    <cellStyle name="40% - Accent5 4 2 4 2 3" xfId="26675"/>
    <cellStyle name="40% - Accent5 4 2 4 2 3 2" xfId="26676"/>
    <cellStyle name="40% - Accent5 4 2 4 2 3 2 2" xfId="26677"/>
    <cellStyle name="40% - Accent5 4 2 4 2 3 2 3" xfId="26678"/>
    <cellStyle name="40% - Accent5 4 2 4 2 3 3" xfId="26679"/>
    <cellStyle name="40% - Accent5 4 2 4 2 3 3 2" xfId="26680"/>
    <cellStyle name="40% - Accent5 4 2 4 2 3 3 3" xfId="26681"/>
    <cellStyle name="40% - Accent5 4 2 4 2 3 4" xfId="26682"/>
    <cellStyle name="40% - Accent5 4 2 4 2 3 4 2" xfId="26683"/>
    <cellStyle name="40% - Accent5 4 2 4 2 3 5" xfId="26684"/>
    <cellStyle name="40% - Accent5 4 2 4 2 3 6" xfId="26685"/>
    <cellStyle name="40% - Accent5 4 2 4 2 4" xfId="26686"/>
    <cellStyle name="40% - Accent5 4 2 4 2 4 2" xfId="26687"/>
    <cellStyle name="40% - Accent5 4 2 4 2 4 2 2" xfId="26688"/>
    <cellStyle name="40% - Accent5 4 2 4 2 4 2 3" xfId="26689"/>
    <cellStyle name="40% - Accent5 4 2 4 2 4 3" xfId="26690"/>
    <cellStyle name="40% - Accent5 4 2 4 2 4 3 2" xfId="26691"/>
    <cellStyle name="40% - Accent5 4 2 4 2 4 4" xfId="26692"/>
    <cellStyle name="40% - Accent5 4 2 4 2 4 5" xfId="26693"/>
    <cellStyle name="40% - Accent5 4 2 4 2 5" xfId="26694"/>
    <cellStyle name="40% - Accent5 4 2 4 2 5 2" xfId="26695"/>
    <cellStyle name="40% - Accent5 4 2 4 2 5 3" xfId="26696"/>
    <cellStyle name="40% - Accent5 4 2 4 2 6" xfId="26697"/>
    <cellStyle name="40% - Accent5 4 2 4 2 6 2" xfId="26698"/>
    <cellStyle name="40% - Accent5 4 2 4 2 6 3" xfId="26699"/>
    <cellStyle name="40% - Accent5 4 2 4 2 7" xfId="26700"/>
    <cellStyle name="40% - Accent5 4 2 4 2 7 2" xfId="26701"/>
    <cellStyle name="40% - Accent5 4 2 4 2 8" xfId="26702"/>
    <cellStyle name="40% - Accent5 4 2 4 2 9" xfId="26703"/>
    <cellStyle name="40% - Accent5 4 2 4 3" xfId="26704"/>
    <cellStyle name="40% - Accent5 4 2 4 3 2" xfId="26705"/>
    <cellStyle name="40% - Accent5 4 2 4 3 2 2" xfId="26706"/>
    <cellStyle name="40% - Accent5 4 2 4 3 2 3" xfId="26707"/>
    <cellStyle name="40% - Accent5 4 2 4 3 3" xfId="26708"/>
    <cellStyle name="40% - Accent5 4 2 4 3 3 2" xfId="26709"/>
    <cellStyle name="40% - Accent5 4 2 4 3 3 3" xfId="26710"/>
    <cellStyle name="40% - Accent5 4 2 4 3 4" xfId="26711"/>
    <cellStyle name="40% - Accent5 4 2 4 3 4 2" xfId="26712"/>
    <cellStyle name="40% - Accent5 4 2 4 3 5" xfId="26713"/>
    <cellStyle name="40% - Accent5 4 2 4 3 6" xfId="26714"/>
    <cellStyle name="40% - Accent5 4 2 4 4" xfId="26715"/>
    <cellStyle name="40% - Accent5 4 2 4 4 2" xfId="26716"/>
    <cellStyle name="40% - Accent5 4 2 4 4 2 2" xfId="26717"/>
    <cellStyle name="40% - Accent5 4 2 4 4 2 3" xfId="26718"/>
    <cellStyle name="40% - Accent5 4 2 4 4 3" xfId="26719"/>
    <cellStyle name="40% - Accent5 4 2 4 4 3 2" xfId="26720"/>
    <cellStyle name="40% - Accent5 4 2 4 4 3 3" xfId="26721"/>
    <cellStyle name="40% - Accent5 4 2 4 4 4" xfId="26722"/>
    <cellStyle name="40% - Accent5 4 2 4 4 4 2" xfId="26723"/>
    <cellStyle name="40% - Accent5 4 2 4 4 5" xfId="26724"/>
    <cellStyle name="40% - Accent5 4 2 4 4 6" xfId="26725"/>
    <cellStyle name="40% - Accent5 4 2 4 5" xfId="26726"/>
    <cellStyle name="40% - Accent5 4 2 4 5 2" xfId="26727"/>
    <cellStyle name="40% - Accent5 4 2 4 5 2 2" xfId="26728"/>
    <cellStyle name="40% - Accent5 4 2 4 5 2 3" xfId="26729"/>
    <cellStyle name="40% - Accent5 4 2 4 5 3" xfId="26730"/>
    <cellStyle name="40% - Accent5 4 2 4 5 3 2" xfId="26731"/>
    <cellStyle name="40% - Accent5 4 2 4 5 4" xfId="26732"/>
    <cellStyle name="40% - Accent5 4 2 4 5 5" xfId="26733"/>
    <cellStyle name="40% - Accent5 4 2 4 6" xfId="26734"/>
    <cellStyle name="40% - Accent5 4 2 4 6 2" xfId="26735"/>
    <cellStyle name="40% - Accent5 4 2 4 6 3" xfId="26736"/>
    <cellStyle name="40% - Accent5 4 2 4 7" xfId="26737"/>
    <cellStyle name="40% - Accent5 4 2 4 7 2" xfId="26738"/>
    <cellStyle name="40% - Accent5 4 2 4 7 3" xfId="26739"/>
    <cellStyle name="40% - Accent5 4 2 4 8" xfId="26740"/>
    <cellStyle name="40% - Accent5 4 2 4 8 2" xfId="26741"/>
    <cellStyle name="40% - Accent5 4 2 4 9" xfId="26742"/>
    <cellStyle name="40% - Accent5 4 2 5" xfId="2446"/>
    <cellStyle name="40% - Accent5 4 2 5 2" xfId="26743"/>
    <cellStyle name="40% - Accent5 4 2 5 2 2" xfId="26744"/>
    <cellStyle name="40% - Accent5 4 2 5 2 2 2" xfId="26745"/>
    <cellStyle name="40% - Accent5 4 2 5 2 2 3" xfId="26746"/>
    <cellStyle name="40% - Accent5 4 2 5 2 3" xfId="26747"/>
    <cellStyle name="40% - Accent5 4 2 5 2 3 2" xfId="26748"/>
    <cellStyle name="40% - Accent5 4 2 5 2 3 3" xfId="26749"/>
    <cellStyle name="40% - Accent5 4 2 5 2 4" xfId="26750"/>
    <cellStyle name="40% - Accent5 4 2 5 2 4 2" xfId="26751"/>
    <cellStyle name="40% - Accent5 4 2 5 2 5" xfId="26752"/>
    <cellStyle name="40% - Accent5 4 2 5 2 6" xfId="26753"/>
    <cellStyle name="40% - Accent5 4 2 5 3" xfId="26754"/>
    <cellStyle name="40% - Accent5 4 2 5 3 2" xfId="26755"/>
    <cellStyle name="40% - Accent5 4 2 5 3 2 2" xfId="26756"/>
    <cellStyle name="40% - Accent5 4 2 5 3 2 3" xfId="26757"/>
    <cellStyle name="40% - Accent5 4 2 5 3 3" xfId="26758"/>
    <cellStyle name="40% - Accent5 4 2 5 3 3 2" xfId="26759"/>
    <cellStyle name="40% - Accent5 4 2 5 3 3 3" xfId="26760"/>
    <cellStyle name="40% - Accent5 4 2 5 3 4" xfId="26761"/>
    <cellStyle name="40% - Accent5 4 2 5 3 4 2" xfId="26762"/>
    <cellStyle name="40% - Accent5 4 2 5 3 5" xfId="26763"/>
    <cellStyle name="40% - Accent5 4 2 5 3 6" xfId="26764"/>
    <cellStyle name="40% - Accent5 4 2 5 4" xfId="26765"/>
    <cellStyle name="40% - Accent5 4 2 5 4 2" xfId="26766"/>
    <cellStyle name="40% - Accent5 4 2 5 4 2 2" xfId="26767"/>
    <cellStyle name="40% - Accent5 4 2 5 4 2 3" xfId="26768"/>
    <cellStyle name="40% - Accent5 4 2 5 4 3" xfId="26769"/>
    <cellStyle name="40% - Accent5 4 2 5 4 3 2" xfId="26770"/>
    <cellStyle name="40% - Accent5 4 2 5 4 4" xfId="26771"/>
    <cellStyle name="40% - Accent5 4 2 5 4 5" xfId="26772"/>
    <cellStyle name="40% - Accent5 4 2 5 5" xfId="26773"/>
    <cellStyle name="40% - Accent5 4 2 5 5 2" xfId="26774"/>
    <cellStyle name="40% - Accent5 4 2 5 5 3" xfId="26775"/>
    <cellStyle name="40% - Accent5 4 2 5 6" xfId="26776"/>
    <cellStyle name="40% - Accent5 4 2 5 6 2" xfId="26777"/>
    <cellStyle name="40% - Accent5 4 2 5 6 3" xfId="26778"/>
    <cellStyle name="40% - Accent5 4 2 5 7" xfId="26779"/>
    <cellStyle name="40% - Accent5 4 2 5 7 2" xfId="26780"/>
    <cellStyle name="40% - Accent5 4 2 5 8" xfId="26781"/>
    <cellStyle name="40% - Accent5 4 2 5 9" xfId="26782"/>
    <cellStyle name="40% - Accent5 4 2 6" xfId="26783"/>
    <cellStyle name="40% - Accent5 4 2 6 2" xfId="26784"/>
    <cellStyle name="40% - Accent5 4 2 6 2 2" xfId="26785"/>
    <cellStyle name="40% - Accent5 4 2 6 2 2 2" xfId="26786"/>
    <cellStyle name="40% - Accent5 4 2 6 2 2 3" xfId="26787"/>
    <cellStyle name="40% - Accent5 4 2 6 2 3" xfId="26788"/>
    <cellStyle name="40% - Accent5 4 2 6 2 3 2" xfId="26789"/>
    <cellStyle name="40% - Accent5 4 2 6 2 3 3" xfId="26790"/>
    <cellStyle name="40% - Accent5 4 2 6 2 4" xfId="26791"/>
    <cellStyle name="40% - Accent5 4 2 6 2 4 2" xfId="26792"/>
    <cellStyle name="40% - Accent5 4 2 6 2 5" xfId="26793"/>
    <cellStyle name="40% - Accent5 4 2 6 2 6" xfId="26794"/>
    <cellStyle name="40% - Accent5 4 2 6 3" xfId="26795"/>
    <cellStyle name="40% - Accent5 4 2 6 3 2" xfId="26796"/>
    <cellStyle name="40% - Accent5 4 2 6 3 2 2" xfId="26797"/>
    <cellStyle name="40% - Accent5 4 2 6 3 2 3" xfId="26798"/>
    <cellStyle name="40% - Accent5 4 2 6 3 3" xfId="26799"/>
    <cellStyle name="40% - Accent5 4 2 6 3 3 2" xfId="26800"/>
    <cellStyle name="40% - Accent5 4 2 6 3 3 3" xfId="26801"/>
    <cellStyle name="40% - Accent5 4 2 6 3 4" xfId="26802"/>
    <cellStyle name="40% - Accent5 4 2 6 3 4 2" xfId="26803"/>
    <cellStyle name="40% - Accent5 4 2 6 3 5" xfId="26804"/>
    <cellStyle name="40% - Accent5 4 2 6 3 6" xfId="26805"/>
    <cellStyle name="40% - Accent5 4 2 6 4" xfId="26806"/>
    <cellStyle name="40% - Accent5 4 2 6 4 2" xfId="26807"/>
    <cellStyle name="40% - Accent5 4 2 6 4 2 2" xfId="26808"/>
    <cellStyle name="40% - Accent5 4 2 6 4 2 3" xfId="26809"/>
    <cellStyle name="40% - Accent5 4 2 6 4 3" xfId="26810"/>
    <cellStyle name="40% - Accent5 4 2 6 4 3 2" xfId="26811"/>
    <cellStyle name="40% - Accent5 4 2 6 4 4" xfId="26812"/>
    <cellStyle name="40% - Accent5 4 2 6 4 5" xfId="26813"/>
    <cellStyle name="40% - Accent5 4 2 6 5" xfId="26814"/>
    <cellStyle name="40% - Accent5 4 2 6 5 2" xfId="26815"/>
    <cellStyle name="40% - Accent5 4 2 6 5 3" xfId="26816"/>
    <cellStyle name="40% - Accent5 4 2 6 6" xfId="26817"/>
    <cellStyle name="40% - Accent5 4 2 6 6 2" xfId="26818"/>
    <cellStyle name="40% - Accent5 4 2 6 6 3" xfId="26819"/>
    <cellStyle name="40% - Accent5 4 2 6 7" xfId="26820"/>
    <cellStyle name="40% - Accent5 4 2 6 7 2" xfId="26821"/>
    <cellStyle name="40% - Accent5 4 2 6 8" xfId="26822"/>
    <cellStyle name="40% - Accent5 4 2 6 9" xfId="26823"/>
    <cellStyle name="40% - Accent5 4 2 7" xfId="26824"/>
    <cellStyle name="40% - Accent5 4 2 7 2" xfId="26825"/>
    <cellStyle name="40% - Accent5 4 2 7 2 2" xfId="26826"/>
    <cellStyle name="40% - Accent5 4 2 7 2 3" xfId="26827"/>
    <cellStyle name="40% - Accent5 4 2 7 3" xfId="26828"/>
    <cellStyle name="40% - Accent5 4 2 7 3 2" xfId="26829"/>
    <cellStyle name="40% - Accent5 4 2 7 3 3" xfId="26830"/>
    <cellStyle name="40% - Accent5 4 2 7 4" xfId="26831"/>
    <cellStyle name="40% - Accent5 4 2 7 4 2" xfId="26832"/>
    <cellStyle name="40% - Accent5 4 2 7 5" xfId="26833"/>
    <cellStyle name="40% - Accent5 4 2 7 6" xfId="26834"/>
    <cellStyle name="40% - Accent5 4 2 8" xfId="26835"/>
    <cellStyle name="40% - Accent5 4 2 8 2" xfId="26836"/>
    <cellStyle name="40% - Accent5 4 2 8 2 2" xfId="26837"/>
    <cellStyle name="40% - Accent5 4 2 8 2 3" xfId="26838"/>
    <cellStyle name="40% - Accent5 4 2 8 3" xfId="26839"/>
    <cellStyle name="40% - Accent5 4 2 8 3 2" xfId="26840"/>
    <cellStyle name="40% - Accent5 4 2 8 3 3" xfId="26841"/>
    <cellStyle name="40% - Accent5 4 2 8 4" xfId="26842"/>
    <cellStyle name="40% - Accent5 4 2 8 4 2" xfId="26843"/>
    <cellStyle name="40% - Accent5 4 2 8 5" xfId="26844"/>
    <cellStyle name="40% - Accent5 4 2 8 6" xfId="26845"/>
    <cellStyle name="40% - Accent5 4 2 9" xfId="26846"/>
    <cellStyle name="40% - Accent5 4 2 9 2" xfId="26847"/>
    <cellStyle name="40% - Accent5 4 2 9 2 2" xfId="26848"/>
    <cellStyle name="40% - Accent5 4 2 9 2 3" xfId="26849"/>
    <cellStyle name="40% - Accent5 4 2 9 3" xfId="26850"/>
    <cellStyle name="40% - Accent5 4 2 9 3 2" xfId="26851"/>
    <cellStyle name="40% - Accent5 4 2 9 4" xfId="26852"/>
    <cellStyle name="40% - Accent5 4 2 9 5" xfId="26853"/>
    <cellStyle name="40% - Accent5 4 3" xfId="2447"/>
    <cellStyle name="40% - Accent5 4 3 10" xfId="26854"/>
    <cellStyle name="40% - Accent5 4 3 10 2" xfId="26855"/>
    <cellStyle name="40% - Accent5 4 3 10 3" xfId="26856"/>
    <cellStyle name="40% - Accent5 4 3 11" xfId="26857"/>
    <cellStyle name="40% - Accent5 4 3 11 2" xfId="26858"/>
    <cellStyle name="40% - Accent5 4 3 12" xfId="26859"/>
    <cellStyle name="40% - Accent5 4 3 13" xfId="26860"/>
    <cellStyle name="40% - Accent5 4 3 14" xfId="26861"/>
    <cellStyle name="40% - Accent5 4 3 2" xfId="2448"/>
    <cellStyle name="40% - Accent5 4 3 2 10" xfId="26862"/>
    <cellStyle name="40% - Accent5 4 3 2 10 2" xfId="26863"/>
    <cellStyle name="40% - Accent5 4 3 2 11" xfId="26864"/>
    <cellStyle name="40% - Accent5 4 3 2 12" xfId="26865"/>
    <cellStyle name="40% - Accent5 4 3 2 2" xfId="2449"/>
    <cellStyle name="40% - Accent5 4 3 2 2 10" xfId="26866"/>
    <cellStyle name="40% - Accent5 4 3 2 2 2" xfId="2450"/>
    <cellStyle name="40% - Accent5 4 3 2 2 2 2" xfId="26867"/>
    <cellStyle name="40% - Accent5 4 3 2 2 2 2 2" xfId="26868"/>
    <cellStyle name="40% - Accent5 4 3 2 2 2 2 2 2" xfId="26869"/>
    <cellStyle name="40% - Accent5 4 3 2 2 2 2 2 3" xfId="26870"/>
    <cellStyle name="40% - Accent5 4 3 2 2 2 2 3" xfId="26871"/>
    <cellStyle name="40% - Accent5 4 3 2 2 2 2 3 2" xfId="26872"/>
    <cellStyle name="40% - Accent5 4 3 2 2 2 2 3 3" xfId="26873"/>
    <cellStyle name="40% - Accent5 4 3 2 2 2 2 4" xfId="26874"/>
    <cellStyle name="40% - Accent5 4 3 2 2 2 2 4 2" xfId="26875"/>
    <cellStyle name="40% - Accent5 4 3 2 2 2 2 5" xfId="26876"/>
    <cellStyle name="40% - Accent5 4 3 2 2 2 2 6" xfId="26877"/>
    <cellStyle name="40% - Accent5 4 3 2 2 2 3" xfId="26878"/>
    <cellStyle name="40% - Accent5 4 3 2 2 2 3 2" xfId="26879"/>
    <cellStyle name="40% - Accent5 4 3 2 2 2 3 2 2" xfId="26880"/>
    <cellStyle name="40% - Accent5 4 3 2 2 2 3 2 3" xfId="26881"/>
    <cellStyle name="40% - Accent5 4 3 2 2 2 3 3" xfId="26882"/>
    <cellStyle name="40% - Accent5 4 3 2 2 2 3 3 2" xfId="26883"/>
    <cellStyle name="40% - Accent5 4 3 2 2 2 3 3 3" xfId="26884"/>
    <cellStyle name="40% - Accent5 4 3 2 2 2 3 4" xfId="26885"/>
    <cellStyle name="40% - Accent5 4 3 2 2 2 3 4 2" xfId="26886"/>
    <cellStyle name="40% - Accent5 4 3 2 2 2 3 5" xfId="26887"/>
    <cellStyle name="40% - Accent5 4 3 2 2 2 3 6" xfId="26888"/>
    <cellStyle name="40% - Accent5 4 3 2 2 2 4" xfId="26889"/>
    <cellStyle name="40% - Accent5 4 3 2 2 2 4 2" xfId="26890"/>
    <cellStyle name="40% - Accent5 4 3 2 2 2 4 2 2" xfId="26891"/>
    <cellStyle name="40% - Accent5 4 3 2 2 2 4 2 3" xfId="26892"/>
    <cellStyle name="40% - Accent5 4 3 2 2 2 4 3" xfId="26893"/>
    <cellStyle name="40% - Accent5 4 3 2 2 2 4 3 2" xfId="26894"/>
    <cellStyle name="40% - Accent5 4 3 2 2 2 4 4" xfId="26895"/>
    <cellStyle name="40% - Accent5 4 3 2 2 2 4 5" xfId="26896"/>
    <cellStyle name="40% - Accent5 4 3 2 2 2 5" xfId="26897"/>
    <cellStyle name="40% - Accent5 4 3 2 2 2 5 2" xfId="26898"/>
    <cellStyle name="40% - Accent5 4 3 2 2 2 5 3" xfId="26899"/>
    <cellStyle name="40% - Accent5 4 3 2 2 2 6" xfId="26900"/>
    <cellStyle name="40% - Accent5 4 3 2 2 2 6 2" xfId="26901"/>
    <cellStyle name="40% - Accent5 4 3 2 2 2 6 3" xfId="26902"/>
    <cellStyle name="40% - Accent5 4 3 2 2 2 7" xfId="26903"/>
    <cellStyle name="40% - Accent5 4 3 2 2 2 7 2" xfId="26904"/>
    <cellStyle name="40% - Accent5 4 3 2 2 2 8" xfId="26905"/>
    <cellStyle name="40% - Accent5 4 3 2 2 2 9" xfId="26906"/>
    <cellStyle name="40% - Accent5 4 3 2 2 3" xfId="26907"/>
    <cellStyle name="40% - Accent5 4 3 2 2 3 2" xfId="26908"/>
    <cellStyle name="40% - Accent5 4 3 2 2 3 2 2" xfId="26909"/>
    <cellStyle name="40% - Accent5 4 3 2 2 3 2 3" xfId="26910"/>
    <cellStyle name="40% - Accent5 4 3 2 2 3 3" xfId="26911"/>
    <cellStyle name="40% - Accent5 4 3 2 2 3 3 2" xfId="26912"/>
    <cellStyle name="40% - Accent5 4 3 2 2 3 3 3" xfId="26913"/>
    <cellStyle name="40% - Accent5 4 3 2 2 3 4" xfId="26914"/>
    <cellStyle name="40% - Accent5 4 3 2 2 3 4 2" xfId="26915"/>
    <cellStyle name="40% - Accent5 4 3 2 2 3 5" xfId="26916"/>
    <cellStyle name="40% - Accent5 4 3 2 2 3 6" xfId="26917"/>
    <cellStyle name="40% - Accent5 4 3 2 2 4" xfId="26918"/>
    <cellStyle name="40% - Accent5 4 3 2 2 4 2" xfId="26919"/>
    <cellStyle name="40% - Accent5 4 3 2 2 4 2 2" xfId="26920"/>
    <cellStyle name="40% - Accent5 4 3 2 2 4 2 3" xfId="26921"/>
    <cellStyle name="40% - Accent5 4 3 2 2 4 3" xfId="26922"/>
    <cellStyle name="40% - Accent5 4 3 2 2 4 3 2" xfId="26923"/>
    <cellStyle name="40% - Accent5 4 3 2 2 4 3 3" xfId="26924"/>
    <cellStyle name="40% - Accent5 4 3 2 2 4 4" xfId="26925"/>
    <cellStyle name="40% - Accent5 4 3 2 2 4 4 2" xfId="26926"/>
    <cellStyle name="40% - Accent5 4 3 2 2 4 5" xfId="26927"/>
    <cellStyle name="40% - Accent5 4 3 2 2 4 6" xfId="26928"/>
    <cellStyle name="40% - Accent5 4 3 2 2 5" xfId="26929"/>
    <cellStyle name="40% - Accent5 4 3 2 2 5 2" xfId="26930"/>
    <cellStyle name="40% - Accent5 4 3 2 2 5 2 2" xfId="26931"/>
    <cellStyle name="40% - Accent5 4 3 2 2 5 2 3" xfId="26932"/>
    <cellStyle name="40% - Accent5 4 3 2 2 5 3" xfId="26933"/>
    <cellStyle name="40% - Accent5 4 3 2 2 5 3 2" xfId="26934"/>
    <cellStyle name="40% - Accent5 4 3 2 2 5 4" xfId="26935"/>
    <cellStyle name="40% - Accent5 4 3 2 2 5 5" xfId="26936"/>
    <cellStyle name="40% - Accent5 4 3 2 2 6" xfId="26937"/>
    <cellStyle name="40% - Accent5 4 3 2 2 6 2" xfId="26938"/>
    <cellStyle name="40% - Accent5 4 3 2 2 6 3" xfId="26939"/>
    <cellStyle name="40% - Accent5 4 3 2 2 7" xfId="26940"/>
    <cellStyle name="40% - Accent5 4 3 2 2 7 2" xfId="26941"/>
    <cellStyle name="40% - Accent5 4 3 2 2 7 3" xfId="26942"/>
    <cellStyle name="40% - Accent5 4 3 2 2 8" xfId="26943"/>
    <cellStyle name="40% - Accent5 4 3 2 2 8 2" xfId="26944"/>
    <cellStyle name="40% - Accent5 4 3 2 2 9" xfId="26945"/>
    <cellStyle name="40% - Accent5 4 3 2 3" xfId="2451"/>
    <cellStyle name="40% - Accent5 4 3 2 3 2" xfId="26946"/>
    <cellStyle name="40% - Accent5 4 3 2 3 2 2" xfId="26947"/>
    <cellStyle name="40% - Accent5 4 3 2 3 2 2 2" xfId="26948"/>
    <cellStyle name="40% - Accent5 4 3 2 3 2 2 3" xfId="26949"/>
    <cellStyle name="40% - Accent5 4 3 2 3 2 3" xfId="26950"/>
    <cellStyle name="40% - Accent5 4 3 2 3 2 3 2" xfId="26951"/>
    <cellStyle name="40% - Accent5 4 3 2 3 2 3 3" xfId="26952"/>
    <cellStyle name="40% - Accent5 4 3 2 3 2 4" xfId="26953"/>
    <cellStyle name="40% - Accent5 4 3 2 3 2 4 2" xfId="26954"/>
    <cellStyle name="40% - Accent5 4 3 2 3 2 5" xfId="26955"/>
    <cellStyle name="40% - Accent5 4 3 2 3 2 6" xfId="26956"/>
    <cellStyle name="40% - Accent5 4 3 2 3 3" xfId="26957"/>
    <cellStyle name="40% - Accent5 4 3 2 3 3 2" xfId="26958"/>
    <cellStyle name="40% - Accent5 4 3 2 3 3 2 2" xfId="26959"/>
    <cellStyle name="40% - Accent5 4 3 2 3 3 2 3" xfId="26960"/>
    <cellStyle name="40% - Accent5 4 3 2 3 3 3" xfId="26961"/>
    <cellStyle name="40% - Accent5 4 3 2 3 3 3 2" xfId="26962"/>
    <cellStyle name="40% - Accent5 4 3 2 3 3 3 3" xfId="26963"/>
    <cellStyle name="40% - Accent5 4 3 2 3 3 4" xfId="26964"/>
    <cellStyle name="40% - Accent5 4 3 2 3 3 4 2" xfId="26965"/>
    <cellStyle name="40% - Accent5 4 3 2 3 3 5" xfId="26966"/>
    <cellStyle name="40% - Accent5 4 3 2 3 3 6" xfId="26967"/>
    <cellStyle name="40% - Accent5 4 3 2 3 4" xfId="26968"/>
    <cellStyle name="40% - Accent5 4 3 2 3 4 2" xfId="26969"/>
    <cellStyle name="40% - Accent5 4 3 2 3 4 2 2" xfId="26970"/>
    <cellStyle name="40% - Accent5 4 3 2 3 4 2 3" xfId="26971"/>
    <cellStyle name="40% - Accent5 4 3 2 3 4 3" xfId="26972"/>
    <cellStyle name="40% - Accent5 4 3 2 3 4 3 2" xfId="26973"/>
    <cellStyle name="40% - Accent5 4 3 2 3 4 4" xfId="26974"/>
    <cellStyle name="40% - Accent5 4 3 2 3 4 5" xfId="26975"/>
    <cellStyle name="40% - Accent5 4 3 2 3 5" xfId="26976"/>
    <cellStyle name="40% - Accent5 4 3 2 3 5 2" xfId="26977"/>
    <cellStyle name="40% - Accent5 4 3 2 3 5 3" xfId="26978"/>
    <cellStyle name="40% - Accent5 4 3 2 3 6" xfId="26979"/>
    <cellStyle name="40% - Accent5 4 3 2 3 6 2" xfId="26980"/>
    <cellStyle name="40% - Accent5 4 3 2 3 6 3" xfId="26981"/>
    <cellStyle name="40% - Accent5 4 3 2 3 7" xfId="26982"/>
    <cellStyle name="40% - Accent5 4 3 2 3 7 2" xfId="26983"/>
    <cellStyle name="40% - Accent5 4 3 2 3 8" xfId="26984"/>
    <cellStyle name="40% - Accent5 4 3 2 3 9" xfId="26985"/>
    <cellStyle name="40% - Accent5 4 3 2 4" xfId="26986"/>
    <cellStyle name="40% - Accent5 4 3 2 4 2" xfId="26987"/>
    <cellStyle name="40% - Accent5 4 3 2 4 2 2" xfId="26988"/>
    <cellStyle name="40% - Accent5 4 3 2 4 2 2 2" xfId="26989"/>
    <cellStyle name="40% - Accent5 4 3 2 4 2 2 3" xfId="26990"/>
    <cellStyle name="40% - Accent5 4 3 2 4 2 3" xfId="26991"/>
    <cellStyle name="40% - Accent5 4 3 2 4 2 3 2" xfId="26992"/>
    <cellStyle name="40% - Accent5 4 3 2 4 2 3 3" xfId="26993"/>
    <cellStyle name="40% - Accent5 4 3 2 4 2 4" xfId="26994"/>
    <cellStyle name="40% - Accent5 4 3 2 4 2 4 2" xfId="26995"/>
    <cellStyle name="40% - Accent5 4 3 2 4 2 5" xfId="26996"/>
    <cellStyle name="40% - Accent5 4 3 2 4 2 6" xfId="26997"/>
    <cellStyle name="40% - Accent5 4 3 2 4 3" xfId="26998"/>
    <cellStyle name="40% - Accent5 4 3 2 4 3 2" xfId="26999"/>
    <cellStyle name="40% - Accent5 4 3 2 4 3 2 2" xfId="27000"/>
    <cellStyle name="40% - Accent5 4 3 2 4 3 2 3" xfId="27001"/>
    <cellStyle name="40% - Accent5 4 3 2 4 3 3" xfId="27002"/>
    <cellStyle name="40% - Accent5 4 3 2 4 3 3 2" xfId="27003"/>
    <cellStyle name="40% - Accent5 4 3 2 4 3 3 3" xfId="27004"/>
    <cellStyle name="40% - Accent5 4 3 2 4 3 4" xfId="27005"/>
    <cellStyle name="40% - Accent5 4 3 2 4 3 4 2" xfId="27006"/>
    <cellStyle name="40% - Accent5 4 3 2 4 3 5" xfId="27007"/>
    <cellStyle name="40% - Accent5 4 3 2 4 3 6" xfId="27008"/>
    <cellStyle name="40% - Accent5 4 3 2 4 4" xfId="27009"/>
    <cellStyle name="40% - Accent5 4 3 2 4 4 2" xfId="27010"/>
    <cellStyle name="40% - Accent5 4 3 2 4 4 2 2" xfId="27011"/>
    <cellStyle name="40% - Accent5 4 3 2 4 4 2 3" xfId="27012"/>
    <cellStyle name="40% - Accent5 4 3 2 4 4 3" xfId="27013"/>
    <cellStyle name="40% - Accent5 4 3 2 4 4 3 2" xfId="27014"/>
    <cellStyle name="40% - Accent5 4 3 2 4 4 4" xfId="27015"/>
    <cellStyle name="40% - Accent5 4 3 2 4 4 5" xfId="27016"/>
    <cellStyle name="40% - Accent5 4 3 2 4 5" xfId="27017"/>
    <cellStyle name="40% - Accent5 4 3 2 4 5 2" xfId="27018"/>
    <cellStyle name="40% - Accent5 4 3 2 4 5 3" xfId="27019"/>
    <cellStyle name="40% - Accent5 4 3 2 4 6" xfId="27020"/>
    <cellStyle name="40% - Accent5 4 3 2 4 6 2" xfId="27021"/>
    <cellStyle name="40% - Accent5 4 3 2 4 6 3" xfId="27022"/>
    <cellStyle name="40% - Accent5 4 3 2 4 7" xfId="27023"/>
    <cellStyle name="40% - Accent5 4 3 2 4 7 2" xfId="27024"/>
    <cellStyle name="40% - Accent5 4 3 2 4 8" xfId="27025"/>
    <cellStyle name="40% - Accent5 4 3 2 4 9" xfId="27026"/>
    <cellStyle name="40% - Accent5 4 3 2 5" xfId="27027"/>
    <cellStyle name="40% - Accent5 4 3 2 5 2" xfId="27028"/>
    <cellStyle name="40% - Accent5 4 3 2 5 2 2" xfId="27029"/>
    <cellStyle name="40% - Accent5 4 3 2 5 2 3" xfId="27030"/>
    <cellStyle name="40% - Accent5 4 3 2 5 3" xfId="27031"/>
    <cellStyle name="40% - Accent5 4 3 2 5 3 2" xfId="27032"/>
    <cellStyle name="40% - Accent5 4 3 2 5 3 3" xfId="27033"/>
    <cellStyle name="40% - Accent5 4 3 2 5 4" xfId="27034"/>
    <cellStyle name="40% - Accent5 4 3 2 5 4 2" xfId="27035"/>
    <cellStyle name="40% - Accent5 4 3 2 5 5" xfId="27036"/>
    <cellStyle name="40% - Accent5 4 3 2 5 6" xfId="27037"/>
    <cellStyle name="40% - Accent5 4 3 2 6" xfId="27038"/>
    <cellStyle name="40% - Accent5 4 3 2 6 2" xfId="27039"/>
    <cellStyle name="40% - Accent5 4 3 2 6 2 2" xfId="27040"/>
    <cellStyle name="40% - Accent5 4 3 2 6 2 3" xfId="27041"/>
    <cellStyle name="40% - Accent5 4 3 2 6 3" xfId="27042"/>
    <cellStyle name="40% - Accent5 4 3 2 6 3 2" xfId="27043"/>
    <cellStyle name="40% - Accent5 4 3 2 6 3 3" xfId="27044"/>
    <cellStyle name="40% - Accent5 4 3 2 6 4" xfId="27045"/>
    <cellStyle name="40% - Accent5 4 3 2 6 4 2" xfId="27046"/>
    <cellStyle name="40% - Accent5 4 3 2 6 5" xfId="27047"/>
    <cellStyle name="40% - Accent5 4 3 2 6 6" xfId="27048"/>
    <cellStyle name="40% - Accent5 4 3 2 7" xfId="27049"/>
    <cellStyle name="40% - Accent5 4 3 2 7 2" xfId="27050"/>
    <cellStyle name="40% - Accent5 4 3 2 7 2 2" xfId="27051"/>
    <cellStyle name="40% - Accent5 4 3 2 7 2 3" xfId="27052"/>
    <cellStyle name="40% - Accent5 4 3 2 7 3" xfId="27053"/>
    <cellStyle name="40% - Accent5 4 3 2 7 3 2" xfId="27054"/>
    <cellStyle name="40% - Accent5 4 3 2 7 4" xfId="27055"/>
    <cellStyle name="40% - Accent5 4 3 2 7 5" xfId="27056"/>
    <cellStyle name="40% - Accent5 4 3 2 8" xfId="27057"/>
    <cellStyle name="40% - Accent5 4 3 2 8 2" xfId="27058"/>
    <cellStyle name="40% - Accent5 4 3 2 8 3" xfId="27059"/>
    <cellStyle name="40% - Accent5 4 3 2 9" xfId="27060"/>
    <cellStyle name="40% - Accent5 4 3 2 9 2" xfId="27061"/>
    <cellStyle name="40% - Accent5 4 3 2 9 3" xfId="27062"/>
    <cellStyle name="40% - Accent5 4 3 3" xfId="2452"/>
    <cellStyle name="40% - Accent5 4 3 3 10" xfId="27063"/>
    <cellStyle name="40% - Accent5 4 3 3 2" xfId="2453"/>
    <cellStyle name="40% - Accent5 4 3 3 2 2" xfId="27064"/>
    <cellStyle name="40% - Accent5 4 3 3 2 2 2" xfId="27065"/>
    <cellStyle name="40% - Accent5 4 3 3 2 2 2 2" xfId="27066"/>
    <cellStyle name="40% - Accent5 4 3 3 2 2 2 3" xfId="27067"/>
    <cellStyle name="40% - Accent5 4 3 3 2 2 3" xfId="27068"/>
    <cellStyle name="40% - Accent5 4 3 3 2 2 3 2" xfId="27069"/>
    <cellStyle name="40% - Accent5 4 3 3 2 2 3 3" xfId="27070"/>
    <cellStyle name="40% - Accent5 4 3 3 2 2 4" xfId="27071"/>
    <cellStyle name="40% - Accent5 4 3 3 2 2 4 2" xfId="27072"/>
    <cellStyle name="40% - Accent5 4 3 3 2 2 5" xfId="27073"/>
    <cellStyle name="40% - Accent5 4 3 3 2 2 6" xfId="27074"/>
    <cellStyle name="40% - Accent5 4 3 3 2 3" xfId="27075"/>
    <cellStyle name="40% - Accent5 4 3 3 2 3 2" xfId="27076"/>
    <cellStyle name="40% - Accent5 4 3 3 2 3 2 2" xfId="27077"/>
    <cellStyle name="40% - Accent5 4 3 3 2 3 2 3" xfId="27078"/>
    <cellStyle name="40% - Accent5 4 3 3 2 3 3" xfId="27079"/>
    <cellStyle name="40% - Accent5 4 3 3 2 3 3 2" xfId="27080"/>
    <cellStyle name="40% - Accent5 4 3 3 2 3 3 3" xfId="27081"/>
    <cellStyle name="40% - Accent5 4 3 3 2 3 4" xfId="27082"/>
    <cellStyle name="40% - Accent5 4 3 3 2 3 4 2" xfId="27083"/>
    <cellStyle name="40% - Accent5 4 3 3 2 3 5" xfId="27084"/>
    <cellStyle name="40% - Accent5 4 3 3 2 3 6" xfId="27085"/>
    <cellStyle name="40% - Accent5 4 3 3 2 4" xfId="27086"/>
    <cellStyle name="40% - Accent5 4 3 3 2 4 2" xfId="27087"/>
    <cellStyle name="40% - Accent5 4 3 3 2 4 2 2" xfId="27088"/>
    <cellStyle name="40% - Accent5 4 3 3 2 4 2 3" xfId="27089"/>
    <cellStyle name="40% - Accent5 4 3 3 2 4 3" xfId="27090"/>
    <cellStyle name="40% - Accent5 4 3 3 2 4 3 2" xfId="27091"/>
    <cellStyle name="40% - Accent5 4 3 3 2 4 4" xfId="27092"/>
    <cellStyle name="40% - Accent5 4 3 3 2 4 5" xfId="27093"/>
    <cellStyle name="40% - Accent5 4 3 3 2 5" xfId="27094"/>
    <cellStyle name="40% - Accent5 4 3 3 2 5 2" xfId="27095"/>
    <cellStyle name="40% - Accent5 4 3 3 2 5 3" xfId="27096"/>
    <cellStyle name="40% - Accent5 4 3 3 2 6" xfId="27097"/>
    <cellStyle name="40% - Accent5 4 3 3 2 6 2" xfId="27098"/>
    <cellStyle name="40% - Accent5 4 3 3 2 6 3" xfId="27099"/>
    <cellStyle name="40% - Accent5 4 3 3 2 7" xfId="27100"/>
    <cellStyle name="40% - Accent5 4 3 3 2 7 2" xfId="27101"/>
    <cellStyle name="40% - Accent5 4 3 3 2 8" xfId="27102"/>
    <cellStyle name="40% - Accent5 4 3 3 2 9" xfId="27103"/>
    <cellStyle name="40% - Accent5 4 3 3 3" xfId="27104"/>
    <cellStyle name="40% - Accent5 4 3 3 3 2" xfId="27105"/>
    <cellStyle name="40% - Accent5 4 3 3 3 2 2" xfId="27106"/>
    <cellStyle name="40% - Accent5 4 3 3 3 2 3" xfId="27107"/>
    <cellStyle name="40% - Accent5 4 3 3 3 3" xfId="27108"/>
    <cellStyle name="40% - Accent5 4 3 3 3 3 2" xfId="27109"/>
    <cellStyle name="40% - Accent5 4 3 3 3 3 3" xfId="27110"/>
    <cellStyle name="40% - Accent5 4 3 3 3 4" xfId="27111"/>
    <cellStyle name="40% - Accent5 4 3 3 3 4 2" xfId="27112"/>
    <cellStyle name="40% - Accent5 4 3 3 3 5" xfId="27113"/>
    <cellStyle name="40% - Accent5 4 3 3 3 6" xfId="27114"/>
    <cellStyle name="40% - Accent5 4 3 3 4" xfId="27115"/>
    <cellStyle name="40% - Accent5 4 3 3 4 2" xfId="27116"/>
    <cellStyle name="40% - Accent5 4 3 3 4 2 2" xfId="27117"/>
    <cellStyle name="40% - Accent5 4 3 3 4 2 3" xfId="27118"/>
    <cellStyle name="40% - Accent5 4 3 3 4 3" xfId="27119"/>
    <cellStyle name="40% - Accent5 4 3 3 4 3 2" xfId="27120"/>
    <cellStyle name="40% - Accent5 4 3 3 4 3 3" xfId="27121"/>
    <cellStyle name="40% - Accent5 4 3 3 4 4" xfId="27122"/>
    <cellStyle name="40% - Accent5 4 3 3 4 4 2" xfId="27123"/>
    <cellStyle name="40% - Accent5 4 3 3 4 5" xfId="27124"/>
    <cellStyle name="40% - Accent5 4 3 3 4 6" xfId="27125"/>
    <cellStyle name="40% - Accent5 4 3 3 5" xfId="27126"/>
    <cellStyle name="40% - Accent5 4 3 3 5 2" xfId="27127"/>
    <cellStyle name="40% - Accent5 4 3 3 5 2 2" xfId="27128"/>
    <cellStyle name="40% - Accent5 4 3 3 5 2 3" xfId="27129"/>
    <cellStyle name="40% - Accent5 4 3 3 5 3" xfId="27130"/>
    <cellStyle name="40% - Accent5 4 3 3 5 3 2" xfId="27131"/>
    <cellStyle name="40% - Accent5 4 3 3 5 4" xfId="27132"/>
    <cellStyle name="40% - Accent5 4 3 3 5 5" xfId="27133"/>
    <cellStyle name="40% - Accent5 4 3 3 6" xfId="27134"/>
    <cellStyle name="40% - Accent5 4 3 3 6 2" xfId="27135"/>
    <cellStyle name="40% - Accent5 4 3 3 6 3" xfId="27136"/>
    <cellStyle name="40% - Accent5 4 3 3 7" xfId="27137"/>
    <cellStyle name="40% - Accent5 4 3 3 7 2" xfId="27138"/>
    <cellStyle name="40% - Accent5 4 3 3 7 3" xfId="27139"/>
    <cellStyle name="40% - Accent5 4 3 3 8" xfId="27140"/>
    <cellStyle name="40% - Accent5 4 3 3 8 2" xfId="27141"/>
    <cellStyle name="40% - Accent5 4 3 3 9" xfId="27142"/>
    <cellStyle name="40% - Accent5 4 3 4" xfId="2454"/>
    <cellStyle name="40% - Accent5 4 3 4 2" xfId="27143"/>
    <cellStyle name="40% - Accent5 4 3 4 2 2" xfId="27144"/>
    <cellStyle name="40% - Accent5 4 3 4 2 2 2" xfId="27145"/>
    <cellStyle name="40% - Accent5 4 3 4 2 2 3" xfId="27146"/>
    <cellStyle name="40% - Accent5 4 3 4 2 3" xfId="27147"/>
    <cellStyle name="40% - Accent5 4 3 4 2 3 2" xfId="27148"/>
    <cellStyle name="40% - Accent5 4 3 4 2 3 3" xfId="27149"/>
    <cellStyle name="40% - Accent5 4 3 4 2 4" xfId="27150"/>
    <cellStyle name="40% - Accent5 4 3 4 2 4 2" xfId="27151"/>
    <cellStyle name="40% - Accent5 4 3 4 2 5" xfId="27152"/>
    <cellStyle name="40% - Accent5 4 3 4 2 6" xfId="27153"/>
    <cellStyle name="40% - Accent5 4 3 4 3" xfId="27154"/>
    <cellStyle name="40% - Accent5 4 3 4 3 2" xfId="27155"/>
    <cellStyle name="40% - Accent5 4 3 4 3 2 2" xfId="27156"/>
    <cellStyle name="40% - Accent5 4 3 4 3 2 3" xfId="27157"/>
    <cellStyle name="40% - Accent5 4 3 4 3 3" xfId="27158"/>
    <cellStyle name="40% - Accent5 4 3 4 3 3 2" xfId="27159"/>
    <cellStyle name="40% - Accent5 4 3 4 3 3 3" xfId="27160"/>
    <cellStyle name="40% - Accent5 4 3 4 3 4" xfId="27161"/>
    <cellStyle name="40% - Accent5 4 3 4 3 4 2" xfId="27162"/>
    <cellStyle name="40% - Accent5 4 3 4 3 5" xfId="27163"/>
    <cellStyle name="40% - Accent5 4 3 4 3 6" xfId="27164"/>
    <cellStyle name="40% - Accent5 4 3 4 4" xfId="27165"/>
    <cellStyle name="40% - Accent5 4 3 4 4 2" xfId="27166"/>
    <cellStyle name="40% - Accent5 4 3 4 4 2 2" xfId="27167"/>
    <cellStyle name="40% - Accent5 4 3 4 4 2 3" xfId="27168"/>
    <cellStyle name="40% - Accent5 4 3 4 4 3" xfId="27169"/>
    <cellStyle name="40% - Accent5 4 3 4 4 3 2" xfId="27170"/>
    <cellStyle name="40% - Accent5 4 3 4 4 4" xfId="27171"/>
    <cellStyle name="40% - Accent5 4 3 4 4 5" xfId="27172"/>
    <cellStyle name="40% - Accent5 4 3 4 5" xfId="27173"/>
    <cellStyle name="40% - Accent5 4 3 4 5 2" xfId="27174"/>
    <cellStyle name="40% - Accent5 4 3 4 5 3" xfId="27175"/>
    <cellStyle name="40% - Accent5 4 3 4 6" xfId="27176"/>
    <cellStyle name="40% - Accent5 4 3 4 6 2" xfId="27177"/>
    <cellStyle name="40% - Accent5 4 3 4 6 3" xfId="27178"/>
    <cellStyle name="40% - Accent5 4 3 4 7" xfId="27179"/>
    <cellStyle name="40% - Accent5 4 3 4 7 2" xfId="27180"/>
    <cellStyle name="40% - Accent5 4 3 4 8" xfId="27181"/>
    <cellStyle name="40% - Accent5 4 3 4 9" xfId="27182"/>
    <cellStyle name="40% - Accent5 4 3 5" xfId="27183"/>
    <cellStyle name="40% - Accent5 4 3 5 2" xfId="27184"/>
    <cellStyle name="40% - Accent5 4 3 5 2 2" xfId="27185"/>
    <cellStyle name="40% - Accent5 4 3 5 2 2 2" xfId="27186"/>
    <cellStyle name="40% - Accent5 4 3 5 2 2 3" xfId="27187"/>
    <cellStyle name="40% - Accent5 4 3 5 2 3" xfId="27188"/>
    <cellStyle name="40% - Accent5 4 3 5 2 3 2" xfId="27189"/>
    <cellStyle name="40% - Accent5 4 3 5 2 3 3" xfId="27190"/>
    <cellStyle name="40% - Accent5 4 3 5 2 4" xfId="27191"/>
    <cellStyle name="40% - Accent5 4 3 5 2 4 2" xfId="27192"/>
    <cellStyle name="40% - Accent5 4 3 5 2 5" xfId="27193"/>
    <cellStyle name="40% - Accent5 4 3 5 2 6" xfId="27194"/>
    <cellStyle name="40% - Accent5 4 3 5 3" xfId="27195"/>
    <cellStyle name="40% - Accent5 4 3 5 3 2" xfId="27196"/>
    <cellStyle name="40% - Accent5 4 3 5 3 2 2" xfId="27197"/>
    <cellStyle name="40% - Accent5 4 3 5 3 2 3" xfId="27198"/>
    <cellStyle name="40% - Accent5 4 3 5 3 3" xfId="27199"/>
    <cellStyle name="40% - Accent5 4 3 5 3 3 2" xfId="27200"/>
    <cellStyle name="40% - Accent5 4 3 5 3 3 3" xfId="27201"/>
    <cellStyle name="40% - Accent5 4 3 5 3 4" xfId="27202"/>
    <cellStyle name="40% - Accent5 4 3 5 3 4 2" xfId="27203"/>
    <cellStyle name="40% - Accent5 4 3 5 3 5" xfId="27204"/>
    <cellStyle name="40% - Accent5 4 3 5 3 6" xfId="27205"/>
    <cellStyle name="40% - Accent5 4 3 5 4" xfId="27206"/>
    <cellStyle name="40% - Accent5 4 3 5 4 2" xfId="27207"/>
    <cellStyle name="40% - Accent5 4 3 5 4 2 2" xfId="27208"/>
    <cellStyle name="40% - Accent5 4 3 5 4 2 3" xfId="27209"/>
    <cellStyle name="40% - Accent5 4 3 5 4 3" xfId="27210"/>
    <cellStyle name="40% - Accent5 4 3 5 4 3 2" xfId="27211"/>
    <cellStyle name="40% - Accent5 4 3 5 4 4" xfId="27212"/>
    <cellStyle name="40% - Accent5 4 3 5 4 5" xfId="27213"/>
    <cellStyle name="40% - Accent5 4 3 5 5" xfId="27214"/>
    <cellStyle name="40% - Accent5 4 3 5 5 2" xfId="27215"/>
    <cellStyle name="40% - Accent5 4 3 5 5 3" xfId="27216"/>
    <cellStyle name="40% - Accent5 4 3 5 6" xfId="27217"/>
    <cellStyle name="40% - Accent5 4 3 5 6 2" xfId="27218"/>
    <cellStyle name="40% - Accent5 4 3 5 6 3" xfId="27219"/>
    <cellStyle name="40% - Accent5 4 3 5 7" xfId="27220"/>
    <cellStyle name="40% - Accent5 4 3 5 7 2" xfId="27221"/>
    <cellStyle name="40% - Accent5 4 3 5 8" xfId="27222"/>
    <cellStyle name="40% - Accent5 4 3 5 9" xfId="27223"/>
    <cellStyle name="40% - Accent5 4 3 6" xfId="27224"/>
    <cellStyle name="40% - Accent5 4 3 6 2" xfId="27225"/>
    <cellStyle name="40% - Accent5 4 3 6 2 2" xfId="27226"/>
    <cellStyle name="40% - Accent5 4 3 6 2 3" xfId="27227"/>
    <cellStyle name="40% - Accent5 4 3 6 3" xfId="27228"/>
    <cellStyle name="40% - Accent5 4 3 6 3 2" xfId="27229"/>
    <cellStyle name="40% - Accent5 4 3 6 3 3" xfId="27230"/>
    <cellStyle name="40% - Accent5 4 3 6 4" xfId="27231"/>
    <cellStyle name="40% - Accent5 4 3 6 4 2" xfId="27232"/>
    <cellStyle name="40% - Accent5 4 3 6 5" xfId="27233"/>
    <cellStyle name="40% - Accent5 4 3 6 6" xfId="27234"/>
    <cellStyle name="40% - Accent5 4 3 7" xfId="27235"/>
    <cellStyle name="40% - Accent5 4 3 7 2" xfId="27236"/>
    <cellStyle name="40% - Accent5 4 3 7 2 2" xfId="27237"/>
    <cellStyle name="40% - Accent5 4 3 7 2 3" xfId="27238"/>
    <cellStyle name="40% - Accent5 4 3 7 3" xfId="27239"/>
    <cellStyle name="40% - Accent5 4 3 7 3 2" xfId="27240"/>
    <cellStyle name="40% - Accent5 4 3 7 3 3" xfId="27241"/>
    <cellStyle name="40% - Accent5 4 3 7 4" xfId="27242"/>
    <cellStyle name="40% - Accent5 4 3 7 4 2" xfId="27243"/>
    <cellStyle name="40% - Accent5 4 3 7 5" xfId="27244"/>
    <cellStyle name="40% - Accent5 4 3 7 6" xfId="27245"/>
    <cellStyle name="40% - Accent5 4 3 8" xfId="27246"/>
    <cellStyle name="40% - Accent5 4 3 8 2" xfId="27247"/>
    <cellStyle name="40% - Accent5 4 3 8 2 2" xfId="27248"/>
    <cellStyle name="40% - Accent5 4 3 8 2 3" xfId="27249"/>
    <cellStyle name="40% - Accent5 4 3 8 3" xfId="27250"/>
    <cellStyle name="40% - Accent5 4 3 8 3 2" xfId="27251"/>
    <cellStyle name="40% - Accent5 4 3 8 4" xfId="27252"/>
    <cellStyle name="40% - Accent5 4 3 8 5" xfId="27253"/>
    <cellStyle name="40% - Accent5 4 3 9" xfId="27254"/>
    <cellStyle name="40% - Accent5 4 3 9 2" xfId="27255"/>
    <cellStyle name="40% - Accent5 4 3 9 3" xfId="27256"/>
    <cellStyle name="40% - Accent5 4 4" xfId="2455"/>
    <cellStyle name="40% - Accent5 4 4 10" xfId="27257"/>
    <cellStyle name="40% - Accent5 4 4 10 2" xfId="27258"/>
    <cellStyle name="40% - Accent5 4 4 11" xfId="27259"/>
    <cellStyle name="40% - Accent5 4 4 12" xfId="27260"/>
    <cellStyle name="40% - Accent5 4 4 2" xfId="2456"/>
    <cellStyle name="40% - Accent5 4 4 2 10" xfId="27261"/>
    <cellStyle name="40% - Accent5 4 4 2 2" xfId="2457"/>
    <cellStyle name="40% - Accent5 4 4 2 2 2" xfId="27262"/>
    <cellStyle name="40% - Accent5 4 4 2 2 2 2" xfId="27263"/>
    <cellStyle name="40% - Accent5 4 4 2 2 2 2 2" xfId="27264"/>
    <cellStyle name="40% - Accent5 4 4 2 2 2 2 3" xfId="27265"/>
    <cellStyle name="40% - Accent5 4 4 2 2 2 3" xfId="27266"/>
    <cellStyle name="40% - Accent5 4 4 2 2 2 3 2" xfId="27267"/>
    <cellStyle name="40% - Accent5 4 4 2 2 2 3 3" xfId="27268"/>
    <cellStyle name="40% - Accent5 4 4 2 2 2 4" xfId="27269"/>
    <cellStyle name="40% - Accent5 4 4 2 2 2 4 2" xfId="27270"/>
    <cellStyle name="40% - Accent5 4 4 2 2 2 5" xfId="27271"/>
    <cellStyle name="40% - Accent5 4 4 2 2 2 6" xfId="27272"/>
    <cellStyle name="40% - Accent5 4 4 2 2 3" xfId="27273"/>
    <cellStyle name="40% - Accent5 4 4 2 2 3 2" xfId="27274"/>
    <cellStyle name="40% - Accent5 4 4 2 2 3 2 2" xfId="27275"/>
    <cellStyle name="40% - Accent5 4 4 2 2 3 2 3" xfId="27276"/>
    <cellStyle name="40% - Accent5 4 4 2 2 3 3" xfId="27277"/>
    <cellStyle name="40% - Accent5 4 4 2 2 3 3 2" xfId="27278"/>
    <cellStyle name="40% - Accent5 4 4 2 2 3 3 3" xfId="27279"/>
    <cellStyle name="40% - Accent5 4 4 2 2 3 4" xfId="27280"/>
    <cellStyle name="40% - Accent5 4 4 2 2 3 4 2" xfId="27281"/>
    <cellStyle name="40% - Accent5 4 4 2 2 3 5" xfId="27282"/>
    <cellStyle name="40% - Accent5 4 4 2 2 3 6" xfId="27283"/>
    <cellStyle name="40% - Accent5 4 4 2 2 4" xfId="27284"/>
    <cellStyle name="40% - Accent5 4 4 2 2 4 2" xfId="27285"/>
    <cellStyle name="40% - Accent5 4 4 2 2 4 2 2" xfId="27286"/>
    <cellStyle name="40% - Accent5 4 4 2 2 4 2 3" xfId="27287"/>
    <cellStyle name="40% - Accent5 4 4 2 2 4 3" xfId="27288"/>
    <cellStyle name="40% - Accent5 4 4 2 2 4 3 2" xfId="27289"/>
    <cellStyle name="40% - Accent5 4 4 2 2 4 4" xfId="27290"/>
    <cellStyle name="40% - Accent5 4 4 2 2 4 5" xfId="27291"/>
    <cellStyle name="40% - Accent5 4 4 2 2 5" xfId="27292"/>
    <cellStyle name="40% - Accent5 4 4 2 2 5 2" xfId="27293"/>
    <cellStyle name="40% - Accent5 4 4 2 2 5 3" xfId="27294"/>
    <cellStyle name="40% - Accent5 4 4 2 2 6" xfId="27295"/>
    <cellStyle name="40% - Accent5 4 4 2 2 6 2" xfId="27296"/>
    <cellStyle name="40% - Accent5 4 4 2 2 6 3" xfId="27297"/>
    <cellStyle name="40% - Accent5 4 4 2 2 7" xfId="27298"/>
    <cellStyle name="40% - Accent5 4 4 2 2 7 2" xfId="27299"/>
    <cellStyle name="40% - Accent5 4 4 2 2 8" xfId="27300"/>
    <cellStyle name="40% - Accent5 4 4 2 2 9" xfId="27301"/>
    <cellStyle name="40% - Accent5 4 4 2 3" xfId="27302"/>
    <cellStyle name="40% - Accent5 4 4 2 3 2" xfId="27303"/>
    <cellStyle name="40% - Accent5 4 4 2 3 2 2" xfId="27304"/>
    <cellStyle name="40% - Accent5 4 4 2 3 2 3" xfId="27305"/>
    <cellStyle name="40% - Accent5 4 4 2 3 3" xfId="27306"/>
    <cellStyle name="40% - Accent5 4 4 2 3 3 2" xfId="27307"/>
    <cellStyle name="40% - Accent5 4 4 2 3 3 3" xfId="27308"/>
    <cellStyle name="40% - Accent5 4 4 2 3 4" xfId="27309"/>
    <cellStyle name="40% - Accent5 4 4 2 3 4 2" xfId="27310"/>
    <cellStyle name="40% - Accent5 4 4 2 3 5" xfId="27311"/>
    <cellStyle name="40% - Accent5 4 4 2 3 6" xfId="27312"/>
    <cellStyle name="40% - Accent5 4 4 2 4" xfId="27313"/>
    <cellStyle name="40% - Accent5 4 4 2 4 2" xfId="27314"/>
    <cellStyle name="40% - Accent5 4 4 2 4 2 2" xfId="27315"/>
    <cellStyle name="40% - Accent5 4 4 2 4 2 3" xfId="27316"/>
    <cellStyle name="40% - Accent5 4 4 2 4 3" xfId="27317"/>
    <cellStyle name="40% - Accent5 4 4 2 4 3 2" xfId="27318"/>
    <cellStyle name="40% - Accent5 4 4 2 4 3 3" xfId="27319"/>
    <cellStyle name="40% - Accent5 4 4 2 4 4" xfId="27320"/>
    <cellStyle name="40% - Accent5 4 4 2 4 4 2" xfId="27321"/>
    <cellStyle name="40% - Accent5 4 4 2 4 5" xfId="27322"/>
    <cellStyle name="40% - Accent5 4 4 2 4 6" xfId="27323"/>
    <cellStyle name="40% - Accent5 4 4 2 5" xfId="27324"/>
    <cellStyle name="40% - Accent5 4 4 2 5 2" xfId="27325"/>
    <cellStyle name="40% - Accent5 4 4 2 5 2 2" xfId="27326"/>
    <cellStyle name="40% - Accent5 4 4 2 5 2 3" xfId="27327"/>
    <cellStyle name="40% - Accent5 4 4 2 5 3" xfId="27328"/>
    <cellStyle name="40% - Accent5 4 4 2 5 3 2" xfId="27329"/>
    <cellStyle name="40% - Accent5 4 4 2 5 4" xfId="27330"/>
    <cellStyle name="40% - Accent5 4 4 2 5 5" xfId="27331"/>
    <cellStyle name="40% - Accent5 4 4 2 6" xfId="27332"/>
    <cellStyle name="40% - Accent5 4 4 2 6 2" xfId="27333"/>
    <cellStyle name="40% - Accent5 4 4 2 6 3" xfId="27334"/>
    <cellStyle name="40% - Accent5 4 4 2 7" xfId="27335"/>
    <cellStyle name="40% - Accent5 4 4 2 7 2" xfId="27336"/>
    <cellStyle name="40% - Accent5 4 4 2 7 3" xfId="27337"/>
    <cellStyle name="40% - Accent5 4 4 2 8" xfId="27338"/>
    <cellStyle name="40% - Accent5 4 4 2 8 2" xfId="27339"/>
    <cellStyle name="40% - Accent5 4 4 2 9" xfId="27340"/>
    <cellStyle name="40% - Accent5 4 4 3" xfId="2458"/>
    <cellStyle name="40% - Accent5 4 4 3 2" xfId="27341"/>
    <cellStyle name="40% - Accent5 4 4 3 2 2" xfId="27342"/>
    <cellStyle name="40% - Accent5 4 4 3 2 2 2" xfId="27343"/>
    <cellStyle name="40% - Accent5 4 4 3 2 2 3" xfId="27344"/>
    <cellStyle name="40% - Accent5 4 4 3 2 3" xfId="27345"/>
    <cellStyle name="40% - Accent5 4 4 3 2 3 2" xfId="27346"/>
    <cellStyle name="40% - Accent5 4 4 3 2 3 3" xfId="27347"/>
    <cellStyle name="40% - Accent5 4 4 3 2 4" xfId="27348"/>
    <cellStyle name="40% - Accent5 4 4 3 2 4 2" xfId="27349"/>
    <cellStyle name="40% - Accent5 4 4 3 2 5" xfId="27350"/>
    <cellStyle name="40% - Accent5 4 4 3 2 6" xfId="27351"/>
    <cellStyle name="40% - Accent5 4 4 3 3" xfId="27352"/>
    <cellStyle name="40% - Accent5 4 4 3 3 2" xfId="27353"/>
    <cellStyle name="40% - Accent5 4 4 3 3 2 2" xfId="27354"/>
    <cellStyle name="40% - Accent5 4 4 3 3 2 3" xfId="27355"/>
    <cellStyle name="40% - Accent5 4 4 3 3 3" xfId="27356"/>
    <cellStyle name="40% - Accent5 4 4 3 3 3 2" xfId="27357"/>
    <cellStyle name="40% - Accent5 4 4 3 3 3 3" xfId="27358"/>
    <cellStyle name="40% - Accent5 4 4 3 3 4" xfId="27359"/>
    <cellStyle name="40% - Accent5 4 4 3 3 4 2" xfId="27360"/>
    <cellStyle name="40% - Accent5 4 4 3 3 5" xfId="27361"/>
    <cellStyle name="40% - Accent5 4 4 3 3 6" xfId="27362"/>
    <cellStyle name="40% - Accent5 4 4 3 4" xfId="27363"/>
    <cellStyle name="40% - Accent5 4 4 3 4 2" xfId="27364"/>
    <cellStyle name="40% - Accent5 4 4 3 4 2 2" xfId="27365"/>
    <cellStyle name="40% - Accent5 4 4 3 4 2 3" xfId="27366"/>
    <cellStyle name="40% - Accent5 4 4 3 4 3" xfId="27367"/>
    <cellStyle name="40% - Accent5 4 4 3 4 3 2" xfId="27368"/>
    <cellStyle name="40% - Accent5 4 4 3 4 4" xfId="27369"/>
    <cellStyle name="40% - Accent5 4 4 3 4 5" xfId="27370"/>
    <cellStyle name="40% - Accent5 4 4 3 5" xfId="27371"/>
    <cellStyle name="40% - Accent5 4 4 3 5 2" xfId="27372"/>
    <cellStyle name="40% - Accent5 4 4 3 5 3" xfId="27373"/>
    <cellStyle name="40% - Accent5 4 4 3 6" xfId="27374"/>
    <cellStyle name="40% - Accent5 4 4 3 6 2" xfId="27375"/>
    <cellStyle name="40% - Accent5 4 4 3 6 3" xfId="27376"/>
    <cellStyle name="40% - Accent5 4 4 3 7" xfId="27377"/>
    <cellStyle name="40% - Accent5 4 4 3 7 2" xfId="27378"/>
    <cellStyle name="40% - Accent5 4 4 3 8" xfId="27379"/>
    <cellStyle name="40% - Accent5 4 4 3 9" xfId="27380"/>
    <cellStyle name="40% - Accent5 4 4 4" xfId="27381"/>
    <cellStyle name="40% - Accent5 4 4 4 2" xfId="27382"/>
    <cellStyle name="40% - Accent5 4 4 4 2 2" xfId="27383"/>
    <cellStyle name="40% - Accent5 4 4 4 2 2 2" xfId="27384"/>
    <cellStyle name="40% - Accent5 4 4 4 2 2 3" xfId="27385"/>
    <cellStyle name="40% - Accent5 4 4 4 2 3" xfId="27386"/>
    <cellStyle name="40% - Accent5 4 4 4 2 3 2" xfId="27387"/>
    <cellStyle name="40% - Accent5 4 4 4 2 3 3" xfId="27388"/>
    <cellStyle name="40% - Accent5 4 4 4 2 4" xfId="27389"/>
    <cellStyle name="40% - Accent5 4 4 4 2 4 2" xfId="27390"/>
    <cellStyle name="40% - Accent5 4 4 4 2 5" xfId="27391"/>
    <cellStyle name="40% - Accent5 4 4 4 2 6" xfId="27392"/>
    <cellStyle name="40% - Accent5 4 4 4 3" xfId="27393"/>
    <cellStyle name="40% - Accent5 4 4 4 3 2" xfId="27394"/>
    <cellStyle name="40% - Accent5 4 4 4 3 2 2" xfId="27395"/>
    <cellStyle name="40% - Accent5 4 4 4 3 2 3" xfId="27396"/>
    <cellStyle name="40% - Accent5 4 4 4 3 3" xfId="27397"/>
    <cellStyle name="40% - Accent5 4 4 4 3 3 2" xfId="27398"/>
    <cellStyle name="40% - Accent5 4 4 4 3 3 3" xfId="27399"/>
    <cellStyle name="40% - Accent5 4 4 4 3 4" xfId="27400"/>
    <cellStyle name="40% - Accent5 4 4 4 3 4 2" xfId="27401"/>
    <cellStyle name="40% - Accent5 4 4 4 3 5" xfId="27402"/>
    <cellStyle name="40% - Accent5 4 4 4 3 6" xfId="27403"/>
    <cellStyle name="40% - Accent5 4 4 4 4" xfId="27404"/>
    <cellStyle name="40% - Accent5 4 4 4 4 2" xfId="27405"/>
    <cellStyle name="40% - Accent5 4 4 4 4 2 2" xfId="27406"/>
    <cellStyle name="40% - Accent5 4 4 4 4 2 3" xfId="27407"/>
    <cellStyle name="40% - Accent5 4 4 4 4 3" xfId="27408"/>
    <cellStyle name="40% - Accent5 4 4 4 4 3 2" xfId="27409"/>
    <cellStyle name="40% - Accent5 4 4 4 4 4" xfId="27410"/>
    <cellStyle name="40% - Accent5 4 4 4 4 5" xfId="27411"/>
    <cellStyle name="40% - Accent5 4 4 4 5" xfId="27412"/>
    <cellStyle name="40% - Accent5 4 4 4 5 2" xfId="27413"/>
    <cellStyle name="40% - Accent5 4 4 4 5 3" xfId="27414"/>
    <cellStyle name="40% - Accent5 4 4 4 6" xfId="27415"/>
    <cellStyle name="40% - Accent5 4 4 4 6 2" xfId="27416"/>
    <cellStyle name="40% - Accent5 4 4 4 6 3" xfId="27417"/>
    <cellStyle name="40% - Accent5 4 4 4 7" xfId="27418"/>
    <cellStyle name="40% - Accent5 4 4 4 7 2" xfId="27419"/>
    <cellStyle name="40% - Accent5 4 4 4 8" xfId="27420"/>
    <cellStyle name="40% - Accent5 4 4 4 9" xfId="27421"/>
    <cellStyle name="40% - Accent5 4 4 5" xfId="27422"/>
    <cellStyle name="40% - Accent5 4 4 5 2" xfId="27423"/>
    <cellStyle name="40% - Accent5 4 4 5 2 2" xfId="27424"/>
    <cellStyle name="40% - Accent5 4 4 5 2 3" xfId="27425"/>
    <cellStyle name="40% - Accent5 4 4 5 3" xfId="27426"/>
    <cellStyle name="40% - Accent5 4 4 5 3 2" xfId="27427"/>
    <cellStyle name="40% - Accent5 4 4 5 3 3" xfId="27428"/>
    <cellStyle name="40% - Accent5 4 4 5 4" xfId="27429"/>
    <cellStyle name="40% - Accent5 4 4 5 4 2" xfId="27430"/>
    <cellStyle name="40% - Accent5 4 4 5 5" xfId="27431"/>
    <cellStyle name="40% - Accent5 4 4 5 6" xfId="27432"/>
    <cellStyle name="40% - Accent5 4 4 6" xfId="27433"/>
    <cellStyle name="40% - Accent5 4 4 6 2" xfId="27434"/>
    <cellStyle name="40% - Accent5 4 4 6 2 2" xfId="27435"/>
    <cellStyle name="40% - Accent5 4 4 6 2 3" xfId="27436"/>
    <cellStyle name="40% - Accent5 4 4 6 3" xfId="27437"/>
    <cellStyle name="40% - Accent5 4 4 6 3 2" xfId="27438"/>
    <cellStyle name="40% - Accent5 4 4 6 3 3" xfId="27439"/>
    <cellStyle name="40% - Accent5 4 4 6 4" xfId="27440"/>
    <cellStyle name="40% - Accent5 4 4 6 4 2" xfId="27441"/>
    <cellStyle name="40% - Accent5 4 4 6 5" xfId="27442"/>
    <cellStyle name="40% - Accent5 4 4 6 6" xfId="27443"/>
    <cellStyle name="40% - Accent5 4 4 7" xfId="27444"/>
    <cellStyle name="40% - Accent5 4 4 7 2" xfId="27445"/>
    <cellStyle name="40% - Accent5 4 4 7 2 2" xfId="27446"/>
    <cellStyle name="40% - Accent5 4 4 7 2 3" xfId="27447"/>
    <cellStyle name="40% - Accent5 4 4 7 3" xfId="27448"/>
    <cellStyle name="40% - Accent5 4 4 7 3 2" xfId="27449"/>
    <cellStyle name="40% - Accent5 4 4 7 4" xfId="27450"/>
    <cellStyle name="40% - Accent5 4 4 7 5" xfId="27451"/>
    <cellStyle name="40% - Accent5 4 4 8" xfId="27452"/>
    <cellStyle name="40% - Accent5 4 4 8 2" xfId="27453"/>
    <cellStyle name="40% - Accent5 4 4 8 3" xfId="27454"/>
    <cellStyle name="40% - Accent5 4 4 9" xfId="27455"/>
    <cellStyle name="40% - Accent5 4 4 9 2" xfId="27456"/>
    <cellStyle name="40% - Accent5 4 4 9 3" xfId="27457"/>
    <cellStyle name="40% - Accent5 4 5" xfId="2459"/>
    <cellStyle name="40% - Accent5 4 5 10" xfId="27458"/>
    <cellStyle name="40% - Accent5 4 5 2" xfId="2460"/>
    <cellStyle name="40% - Accent5 4 5 2 2" xfId="27459"/>
    <cellStyle name="40% - Accent5 4 5 2 2 2" xfId="27460"/>
    <cellStyle name="40% - Accent5 4 5 2 2 2 2" xfId="27461"/>
    <cellStyle name="40% - Accent5 4 5 2 2 2 3" xfId="27462"/>
    <cellStyle name="40% - Accent5 4 5 2 2 3" xfId="27463"/>
    <cellStyle name="40% - Accent5 4 5 2 2 3 2" xfId="27464"/>
    <cellStyle name="40% - Accent5 4 5 2 2 3 3" xfId="27465"/>
    <cellStyle name="40% - Accent5 4 5 2 2 4" xfId="27466"/>
    <cellStyle name="40% - Accent5 4 5 2 2 4 2" xfId="27467"/>
    <cellStyle name="40% - Accent5 4 5 2 2 5" xfId="27468"/>
    <cellStyle name="40% - Accent5 4 5 2 2 6" xfId="27469"/>
    <cellStyle name="40% - Accent5 4 5 2 3" xfId="27470"/>
    <cellStyle name="40% - Accent5 4 5 2 3 2" xfId="27471"/>
    <cellStyle name="40% - Accent5 4 5 2 3 2 2" xfId="27472"/>
    <cellStyle name="40% - Accent5 4 5 2 3 2 3" xfId="27473"/>
    <cellStyle name="40% - Accent5 4 5 2 3 3" xfId="27474"/>
    <cellStyle name="40% - Accent5 4 5 2 3 3 2" xfId="27475"/>
    <cellStyle name="40% - Accent5 4 5 2 3 3 3" xfId="27476"/>
    <cellStyle name="40% - Accent5 4 5 2 3 4" xfId="27477"/>
    <cellStyle name="40% - Accent5 4 5 2 3 4 2" xfId="27478"/>
    <cellStyle name="40% - Accent5 4 5 2 3 5" xfId="27479"/>
    <cellStyle name="40% - Accent5 4 5 2 3 6" xfId="27480"/>
    <cellStyle name="40% - Accent5 4 5 2 4" xfId="27481"/>
    <cellStyle name="40% - Accent5 4 5 2 4 2" xfId="27482"/>
    <cellStyle name="40% - Accent5 4 5 2 4 2 2" xfId="27483"/>
    <cellStyle name="40% - Accent5 4 5 2 4 2 3" xfId="27484"/>
    <cellStyle name="40% - Accent5 4 5 2 4 3" xfId="27485"/>
    <cellStyle name="40% - Accent5 4 5 2 4 3 2" xfId="27486"/>
    <cellStyle name="40% - Accent5 4 5 2 4 4" xfId="27487"/>
    <cellStyle name="40% - Accent5 4 5 2 4 5" xfId="27488"/>
    <cellStyle name="40% - Accent5 4 5 2 5" xfId="27489"/>
    <cellStyle name="40% - Accent5 4 5 2 5 2" xfId="27490"/>
    <cellStyle name="40% - Accent5 4 5 2 5 3" xfId="27491"/>
    <cellStyle name="40% - Accent5 4 5 2 6" xfId="27492"/>
    <cellStyle name="40% - Accent5 4 5 2 6 2" xfId="27493"/>
    <cellStyle name="40% - Accent5 4 5 2 6 3" xfId="27494"/>
    <cellStyle name="40% - Accent5 4 5 2 7" xfId="27495"/>
    <cellStyle name="40% - Accent5 4 5 2 7 2" xfId="27496"/>
    <cellStyle name="40% - Accent5 4 5 2 8" xfId="27497"/>
    <cellStyle name="40% - Accent5 4 5 2 9" xfId="27498"/>
    <cellStyle name="40% - Accent5 4 5 3" xfId="27499"/>
    <cellStyle name="40% - Accent5 4 5 3 2" xfId="27500"/>
    <cellStyle name="40% - Accent5 4 5 3 2 2" xfId="27501"/>
    <cellStyle name="40% - Accent5 4 5 3 2 3" xfId="27502"/>
    <cellStyle name="40% - Accent5 4 5 3 3" xfId="27503"/>
    <cellStyle name="40% - Accent5 4 5 3 3 2" xfId="27504"/>
    <cellStyle name="40% - Accent5 4 5 3 3 3" xfId="27505"/>
    <cellStyle name="40% - Accent5 4 5 3 4" xfId="27506"/>
    <cellStyle name="40% - Accent5 4 5 3 4 2" xfId="27507"/>
    <cellStyle name="40% - Accent5 4 5 3 5" xfId="27508"/>
    <cellStyle name="40% - Accent5 4 5 3 6" xfId="27509"/>
    <cellStyle name="40% - Accent5 4 5 4" xfId="27510"/>
    <cellStyle name="40% - Accent5 4 5 4 2" xfId="27511"/>
    <cellStyle name="40% - Accent5 4 5 4 2 2" xfId="27512"/>
    <cellStyle name="40% - Accent5 4 5 4 2 3" xfId="27513"/>
    <cellStyle name="40% - Accent5 4 5 4 3" xfId="27514"/>
    <cellStyle name="40% - Accent5 4 5 4 3 2" xfId="27515"/>
    <cellStyle name="40% - Accent5 4 5 4 3 3" xfId="27516"/>
    <cellStyle name="40% - Accent5 4 5 4 4" xfId="27517"/>
    <cellStyle name="40% - Accent5 4 5 4 4 2" xfId="27518"/>
    <cellStyle name="40% - Accent5 4 5 4 5" xfId="27519"/>
    <cellStyle name="40% - Accent5 4 5 4 6" xfId="27520"/>
    <cellStyle name="40% - Accent5 4 5 5" xfId="27521"/>
    <cellStyle name="40% - Accent5 4 5 5 2" xfId="27522"/>
    <cellStyle name="40% - Accent5 4 5 5 2 2" xfId="27523"/>
    <cellStyle name="40% - Accent5 4 5 5 2 3" xfId="27524"/>
    <cellStyle name="40% - Accent5 4 5 5 3" xfId="27525"/>
    <cellStyle name="40% - Accent5 4 5 5 3 2" xfId="27526"/>
    <cellStyle name="40% - Accent5 4 5 5 4" xfId="27527"/>
    <cellStyle name="40% - Accent5 4 5 5 5" xfId="27528"/>
    <cellStyle name="40% - Accent5 4 5 6" xfId="27529"/>
    <cellStyle name="40% - Accent5 4 5 6 2" xfId="27530"/>
    <cellStyle name="40% - Accent5 4 5 6 3" xfId="27531"/>
    <cellStyle name="40% - Accent5 4 5 7" xfId="27532"/>
    <cellStyle name="40% - Accent5 4 5 7 2" xfId="27533"/>
    <cellStyle name="40% - Accent5 4 5 7 3" xfId="27534"/>
    <cellStyle name="40% - Accent5 4 5 8" xfId="27535"/>
    <cellStyle name="40% - Accent5 4 5 8 2" xfId="27536"/>
    <cellStyle name="40% - Accent5 4 5 9" xfId="27537"/>
    <cellStyle name="40% - Accent5 4 6" xfId="2461"/>
    <cellStyle name="40% - Accent5 4 6 2" xfId="27538"/>
    <cellStyle name="40% - Accent5 4 6 2 2" xfId="27539"/>
    <cellStyle name="40% - Accent5 4 6 2 2 2" xfId="27540"/>
    <cellStyle name="40% - Accent5 4 6 2 2 3" xfId="27541"/>
    <cellStyle name="40% - Accent5 4 6 2 3" xfId="27542"/>
    <cellStyle name="40% - Accent5 4 6 2 3 2" xfId="27543"/>
    <cellStyle name="40% - Accent5 4 6 2 3 3" xfId="27544"/>
    <cellStyle name="40% - Accent5 4 6 2 4" xfId="27545"/>
    <cellStyle name="40% - Accent5 4 6 2 4 2" xfId="27546"/>
    <cellStyle name="40% - Accent5 4 6 2 5" xfId="27547"/>
    <cellStyle name="40% - Accent5 4 6 2 6" xfId="27548"/>
    <cellStyle name="40% - Accent5 4 6 3" xfId="27549"/>
    <cellStyle name="40% - Accent5 4 6 3 2" xfId="27550"/>
    <cellStyle name="40% - Accent5 4 6 3 2 2" xfId="27551"/>
    <cellStyle name="40% - Accent5 4 6 3 2 3" xfId="27552"/>
    <cellStyle name="40% - Accent5 4 6 3 3" xfId="27553"/>
    <cellStyle name="40% - Accent5 4 6 3 3 2" xfId="27554"/>
    <cellStyle name="40% - Accent5 4 6 3 3 3" xfId="27555"/>
    <cellStyle name="40% - Accent5 4 6 3 4" xfId="27556"/>
    <cellStyle name="40% - Accent5 4 6 3 4 2" xfId="27557"/>
    <cellStyle name="40% - Accent5 4 6 3 5" xfId="27558"/>
    <cellStyle name="40% - Accent5 4 6 3 6" xfId="27559"/>
    <cellStyle name="40% - Accent5 4 6 4" xfId="27560"/>
    <cellStyle name="40% - Accent5 4 6 4 2" xfId="27561"/>
    <cellStyle name="40% - Accent5 4 6 4 2 2" xfId="27562"/>
    <cellStyle name="40% - Accent5 4 6 4 2 3" xfId="27563"/>
    <cellStyle name="40% - Accent5 4 6 4 3" xfId="27564"/>
    <cellStyle name="40% - Accent5 4 6 4 3 2" xfId="27565"/>
    <cellStyle name="40% - Accent5 4 6 4 4" xfId="27566"/>
    <cellStyle name="40% - Accent5 4 6 4 5" xfId="27567"/>
    <cellStyle name="40% - Accent5 4 6 5" xfId="27568"/>
    <cellStyle name="40% - Accent5 4 6 5 2" xfId="27569"/>
    <cellStyle name="40% - Accent5 4 6 5 3" xfId="27570"/>
    <cellStyle name="40% - Accent5 4 6 6" xfId="27571"/>
    <cellStyle name="40% - Accent5 4 6 6 2" xfId="27572"/>
    <cellStyle name="40% - Accent5 4 6 6 3" xfId="27573"/>
    <cellStyle name="40% - Accent5 4 6 7" xfId="27574"/>
    <cellStyle name="40% - Accent5 4 6 7 2" xfId="27575"/>
    <cellStyle name="40% - Accent5 4 6 8" xfId="27576"/>
    <cellStyle name="40% - Accent5 4 6 9" xfId="27577"/>
    <cellStyle name="40% - Accent5 4 7" xfId="8998"/>
    <cellStyle name="40% - Accent5 4 7 2" xfId="27578"/>
    <cellStyle name="40% - Accent5 4 7 2 2" xfId="27579"/>
    <cellStyle name="40% - Accent5 4 7 2 2 2" xfId="27580"/>
    <cellStyle name="40% - Accent5 4 7 2 2 3" xfId="27581"/>
    <cellStyle name="40% - Accent5 4 7 2 3" xfId="27582"/>
    <cellStyle name="40% - Accent5 4 7 2 3 2" xfId="27583"/>
    <cellStyle name="40% - Accent5 4 7 2 3 3" xfId="27584"/>
    <cellStyle name="40% - Accent5 4 7 2 4" xfId="27585"/>
    <cellStyle name="40% - Accent5 4 7 2 4 2" xfId="27586"/>
    <cellStyle name="40% - Accent5 4 7 2 5" xfId="27587"/>
    <cellStyle name="40% - Accent5 4 7 2 6" xfId="27588"/>
    <cellStyle name="40% - Accent5 4 7 3" xfId="27589"/>
    <cellStyle name="40% - Accent5 4 7 3 2" xfId="27590"/>
    <cellStyle name="40% - Accent5 4 7 3 2 2" xfId="27591"/>
    <cellStyle name="40% - Accent5 4 7 3 2 3" xfId="27592"/>
    <cellStyle name="40% - Accent5 4 7 3 3" xfId="27593"/>
    <cellStyle name="40% - Accent5 4 7 3 3 2" xfId="27594"/>
    <cellStyle name="40% - Accent5 4 7 3 3 3" xfId="27595"/>
    <cellStyle name="40% - Accent5 4 7 3 4" xfId="27596"/>
    <cellStyle name="40% - Accent5 4 7 3 4 2" xfId="27597"/>
    <cellStyle name="40% - Accent5 4 7 3 5" xfId="27598"/>
    <cellStyle name="40% - Accent5 4 7 3 6" xfId="27599"/>
    <cellStyle name="40% - Accent5 4 7 4" xfId="27600"/>
    <cellStyle name="40% - Accent5 4 7 4 2" xfId="27601"/>
    <cellStyle name="40% - Accent5 4 7 4 2 2" xfId="27602"/>
    <cellStyle name="40% - Accent5 4 7 4 2 3" xfId="27603"/>
    <cellStyle name="40% - Accent5 4 7 4 3" xfId="27604"/>
    <cellStyle name="40% - Accent5 4 7 4 3 2" xfId="27605"/>
    <cellStyle name="40% - Accent5 4 7 4 4" xfId="27606"/>
    <cellStyle name="40% - Accent5 4 7 4 5" xfId="27607"/>
    <cellStyle name="40% - Accent5 4 7 5" xfId="27608"/>
    <cellStyle name="40% - Accent5 4 7 5 2" xfId="27609"/>
    <cellStyle name="40% - Accent5 4 7 5 3" xfId="27610"/>
    <cellStyle name="40% - Accent5 4 7 6" xfId="27611"/>
    <cellStyle name="40% - Accent5 4 7 6 2" xfId="27612"/>
    <cellStyle name="40% - Accent5 4 7 6 3" xfId="27613"/>
    <cellStyle name="40% - Accent5 4 7 7" xfId="27614"/>
    <cellStyle name="40% - Accent5 4 7 7 2" xfId="27615"/>
    <cellStyle name="40% - Accent5 4 7 8" xfId="27616"/>
    <cellStyle name="40% - Accent5 4 7 9" xfId="27617"/>
    <cellStyle name="40% - Accent5 4 8" xfId="27618"/>
    <cellStyle name="40% - Accent5 4 8 2" xfId="27619"/>
    <cellStyle name="40% - Accent5 4 8 2 2" xfId="27620"/>
    <cellStyle name="40% - Accent5 4 8 2 3" xfId="27621"/>
    <cellStyle name="40% - Accent5 4 8 3" xfId="27622"/>
    <cellStyle name="40% - Accent5 4 8 3 2" xfId="27623"/>
    <cellStyle name="40% - Accent5 4 8 3 3" xfId="27624"/>
    <cellStyle name="40% - Accent5 4 8 4" xfId="27625"/>
    <cellStyle name="40% - Accent5 4 8 4 2" xfId="27626"/>
    <cellStyle name="40% - Accent5 4 8 5" xfId="27627"/>
    <cellStyle name="40% - Accent5 4 8 6" xfId="27628"/>
    <cellStyle name="40% - Accent5 4 9" xfId="27629"/>
    <cellStyle name="40% - Accent5 4 9 2" xfId="27630"/>
    <cellStyle name="40% - Accent5 4 9 2 2" xfId="27631"/>
    <cellStyle name="40% - Accent5 4 9 2 3" xfId="27632"/>
    <cellStyle name="40% - Accent5 4 9 3" xfId="27633"/>
    <cellStyle name="40% - Accent5 4 9 3 2" xfId="27634"/>
    <cellStyle name="40% - Accent5 4 9 3 3" xfId="27635"/>
    <cellStyle name="40% - Accent5 4 9 4" xfId="27636"/>
    <cellStyle name="40% - Accent5 4 9 4 2" xfId="27637"/>
    <cellStyle name="40% - Accent5 4 9 5" xfId="27638"/>
    <cellStyle name="40% - Accent5 4 9 6" xfId="27639"/>
    <cellStyle name="40% - Accent5 5" xfId="2462"/>
    <cellStyle name="40% - Accent5 5 2" xfId="2463"/>
    <cellStyle name="40% - Accent5 5 2 2" xfId="2464"/>
    <cellStyle name="40% - Accent5 5 2 2 2" xfId="2465"/>
    <cellStyle name="40% - Accent5 5 2 2 2 2" xfId="2466"/>
    <cellStyle name="40% - Accent5 5 2 2 3" xfId="2467"/>
    <cellStyle name="40% - Accent5 5 2 3" xfId="2468"/>
    <cellStyle name="40% - Accent5 5 2 3 2" xfId="2469"/>
    <cellStyle name="40% - Accent5 5 2 4" xfId="2470"/>
    <cellStyle name="40% - Accent5 5 2 5" xfId="58101"/>
    <cellStyle name="40% - Accent5 5 3" xfId="2471"/>
    <cellStyle name="40% - Accent5 5 3 2" xfId="2472"/>
    <cellStyle name="40% - Accent5 5 3 2 2" xfId="2473"/>
    <cellStyle name="40% - Accent5 5 3 3" xfId="2474"/>
    <cellStyle name="40% - Accent5 5 4" xfId="2475"/>
    <cellStyle name="40% - Accent5 5 4 2" xfId="2476"/>
    <cellStyle name="40% - Accent5 5 5" xfId="2477"/>
    <cellStyle name="40% - Accent5 5 6" xfId="8999"/>
    <cellStyle name="40% - Accent5 6" xfId="2478"/>
    <cellStyle name="40% - Accent5 6 2" xfId="2479"/>
    <cellStyle name="40% - Accent5 6 2 2" xfId="2480"/>
    <cellStyle name="40% - Accent5 6 2 2 2" xfId="2481"/>
    <cellStyle name="40% - Accent5 6 2 3" xfId="2482"/>
    <cellStyle name="40% - Accent5 6 2 4" xfId="58102"/>
    <cellStyle name="40% - Accent5 6 2 5" xfId="58103"/>
    <cellStyle name="40% - Accent5 6 3" xfId="2483"/>
    <cellStyle name="40% - Accent5 6 3 2" xfId="2484"/>
    <cellStyle name="40% - Accent5 6 4" xfId="2485"/>
    <cellStyle name="40% - Accent5 6 5" xfId="58104"/>
    <cellStyle name="40% - Accent5 7" xfId="2486"/>
    <cellStyle name="40% - Accent5 7 2" xfId="2487"/>
    <cellStyle name="40% - Accent5 7 2 2" xfId="2488"/>
    <cellStyle name="40% - Accent5 7 2 2 2" xfId="2489"/>
    <cellStyle name="40% - Accent5 7 2 3" xfId="2490"/>
    <cellStyle name="40% - Accent5 7 3" xfId="2491"/>
    <cellStyle name="40% - Accent5 7 3 2" xfId="2492"/>
    <cellStyle name="40% - Accent5 7 4" xfId="2493"/>
    <cellStyle name="40% - Accent5 7 5" xfId="58105"/>
    <cellStyle name="40% - Accent5 8" xfId="2494"/>
    <cellStyle name="40% - Accent5 8 2" xfId="2495"/>
    <cellStyle name="40% - Accent5 8 2 2" xfId="2496"/>
    <cellStyle name="40% - Accent5 8 2 2 2" xfId="2497"/>
    <cellStyle name="40% - Accent5 8 2 3" xfId="2498"/>
    <cellStyle name="40% - Accent5 8 3" xfId="2499"/>
    <cellStyle name="40% - Accent5 8 3 2" xfId="2500"/>
    <cellStyle name="40% - Accent5 8 4" xfId="2501"/>
    <cellStyle name="40% - Accent5 8 5" xfId="58106"/>
    <cellStyle name="40% - Accent5 9" xfId="2502"/>
    <cellStyle name="40% - Accent5 9 2" xfId="2503"/>
    <cellStyle name="40% - Accent5 9 2 2" xfId="2504"/>
    <cellStyle name="40% - Accent5 9 3" xfId="2505"/>
    <cellStyle name="40% - Accent5 9 4" xfId="58107"/>
    <cellStyle name="40% - Accent6 10" xfId="2506"/>
    <cellStyle name="40% - Accent6 10 2" xfId="2507"/>
    <cellStyle name="40% - Accent6 10 2 2" xfId="2508"/>
    <cellStyle name="40% - Accent6 10 3" xfId="2509"/>
    <cellStyle name="40% - Accent6 10 4" xfId="58108"/>
    <cellStyle name="40% - Accent6 11" xfId="2510"/>
    <cellStyle name="40% - Accent6 11 2" xfId="2511"/>
    <cellStyle name="40% - Accent6 11 2 2" xfId="2512"/>
    <cellStyle name="40% - Accent6 11 3" xfId="2513"/>
    <cellStyle name="40% - Accent6 11 4" xfId="58109"/>
    <cellStyle name="40% - Accent6 12" xfId="2514"/>
    <cellStyle name="40% - Accent6 12 2" xfId="2515"/>
    <cellStyle name="40% - Accent6 12 3" xfId="58110"/>
    <cellStyle name="40% - Accent6 13" xfId="2516"/>
    <cellStyle name="40% - Accent6 13 2" xfId="58111"/>
    <cellStyle name="40% - Accent6 14" xfId="9000"/>
    <cellStyle name="40% - Accent6 15" xfId="9411"/>
    <cellStyle name="40% - Accent6 16" xfId="9412"/>
    <cellStyle name="40% - Accent6 17" xfId="9413"/>
    <cellStyle name="40% - Accent6 17 2" xfId="58112"/>
    <cellStyle name="40% - Accent6 18" xfId="58113"/>
    <cellStyle name="40% - Accent6 19" xfId="58114"/>
    <cellStyle name="40% - Accent6 2" xfId="2517"/>
    <cellStyle name="40% - Accent6 2 2" xfId="2518"/>
    <cellStyle name="40% - Accent6 2 2 2" xfId="2519"/>
    <cellStyle name="40% - Accent6 2 2 2 2" xfId="2520"/>
    <cellStyle name="40% - Accent6 2 2 2 2 2" xfId="2521"/>
    <cellStyle name="40% - Accent6 2 2 2 2 2 2" xfId="2522"/>
    <cellStyle name="40% - Accent6 2 2 2 2 2 2 2" xfId="2523"/>
    <cellStyle name="40% - Accent6 2 2 2 2 2 3" xfId="2524"/>
    <cellStyle name="40% - Accent6 2 2 2 2 3" xfId="2525"/>
    <cellStyle name="40% - Accent6 2 2 2 2 3 2" xfId="2526"/>
    <cellStyle name="40% - Accent6 2 2 2 2 4" xfId="2527"/>
    <cellStyle name="40% - Accent6 2 2 2 2 5" xfId="58115"/>
    <cellStyle name="40% - Accent6 2 2 2 3" xfId="2528"/>
    <cellStyle name="40% - Accent6 2 2 2 3 2" xfId="2529"/>
    <cellStyle name="40% - Accent6 2 2 2 3 2 2" xfId="2530"/>
    <cellStyle name="40% - Accent6 2 2 2 3 3" xfId="2531"/>
    <cellStyle name="40% - Accent6 2 2 2 4" xfId="2532"/>
    <cellStyle name="40% - Accent6 2 2 2 4 2" xfId="2533"/>
    <cellStyle name="40% - Accent6 2 2 2 5" xfId="2534"/>
    <cellStyle name="40% - Accent6 2 2 2 6" xfId="58116"/>
    <cellStyle name="40% - Accent6 2 2 3" xfId="2535"/>
    <cellStyle name="40% - Accent6 2 2 3 2" xfId="2536"/>
    <cellStyle name="40% - Accent6 2 2 3 2 2" xfId="2537"/>
    <cellStyle name="40% - Accent6 2 2 3 2 2 2" xfId="2538"/>
    <cellStyle name="40% - Accent6 2 2 3 2 3" xfId="2539"/>
    <cellStyle name="40% - Accent6 2 2 3 3" xfId="2540"/>
    <cellStyle name="40% - Accent6 2 2 3 3 2" xfId="2541"/>
    <cellStyle name="40% - Accent6 2 2 3 4" xfId="2542"/>
    <cellStyle name="40% - Accent6 2 2 3 5" xfId="58117"/>
    <cellStyle name="40% - Accent6 2 2 4" xfId="2543"/>
    <cellStyle name="40% - Accent6 2 2 4 2" xfId="2544"/>
    <cellStyle name="40% - Accent6 2 2 4 2 2" xfId="2545"/>
    <cellStyle name="40% - Accent6 2 2 4 3" xfId="2546"/>
    <cellStyle name="40% - Accent6 2 2 5" xfId="2547"/>
    <cellStyle name="40% - Accent6 2 2 5 2" xfId="2548"/>
    <cellStyle name="40% - Accent6 2 2 6" xfId="2549"/>
    <cellStyle name="40% - Accent6 2 2 7" xfId="58118"/>
    <cellStyle name="40% - Accent6 2 3" xfId="2550"/>
    <cellStyle name="40% - Accent6 2 3 2" xfId="2551"/>
    <cellStyle name="40% - Accent6 2 3 2 2" xfId="2552"/>
    <cellStyle name="40% - Accent6 2 3 2 2 2" xfId="2553"/>
    <cellStyle name="40% - Accent6 2 3 2 2 2 2" xfId="2554"/>
    <cellStyle name="40% - Accent6 2 3 2 2 3" xfId="2555"/>
    <cellStyle name="40% - Accent6 2 3 2 3" xfId="2556"/>
    <cellStyle name="40% - Accent6 2 3 2 3 2" xfId="2557"/>
    <cellStyle name="40% - Accent6 2 3 2 4" xfId="2558"/>
    <cellStyle name="40% - Accent6 2 3 3" xfId="2559"/>
    <cellStyle name="40% - Accent6 2 3 3 2" xfId="2560"/>
    <cellStyle name="40% - Accent6 2 3 3 2 2" xfId="2561"/>
    <cellStyle name="40% - Accent6 2 3 3 3" xfId="2562"/>
    <cellStyle name="40% - Accent6 2 3 4" xfId="2563"/>
    <cellStyle name="40% - Accent6 2 3 4 2" xfId="2564"/>
    <cellStyle name="40% - Accent6 2 3 5" xfId="2565"/>
    <cellStyle name="40% - Accent6 2 3 6" xfId="58119"/>
    <cellStyle name="40% - Accent6 2 4" xfId="2566"/>
    <cellStyle name="40% - Accent6 2 4 2" xfId="2567"/>
    <cellStyle name="40% - Accent6 2 4 2 2" xfId="2568"/>
    <cellStyle name="40% - Accent6 2 4 2 2 2" xfId="2569"/>
    <cellStyle name="40% - Accent6 2 4 2 3" xfId="2570"/>
    <cellStyle name="40% - Accent6 2 4 3" xfId="2571"/>
    <cellStyle name="40% - Accent6 2 4 3 2" xfId="2572"/>
    <cellStyle name="40% - Accent6 2 4 4" xfId="2573"/>
    <cellStyle name="40% - Accent6 2 4 5" xfId="58120"/>
    <cellStyle name="40% - Accent6 2 5" xfId="2574"/>
    <cellStyle name="40% - Accent6 2 5 2" xfId="2575"/>
    <cellStyle name="40% - Accent6 2 5 2 2" xfId="2576"/>
    <cellStyle name="40% - Accent6 2 5 3" xfId="2577"/>
    <cellStyle name="40% - Accent6 2 5 4" xfId="58121"/>
    <cellStyle name="40% - Accent6 2 6" xfId="2578"/>
    <cellStyle name="40% - Accent6 2 6 2" xfId="2579"/>
    <cellStyle name="40% - Accent6 2 6 3" xfId="58122"/>
    <cellStyle name="40% - Accent6 2 7" xfId="2580"/>
    <cellStyle name="40% - Accent6 2 8" xfId="2581"/>
    <cellStyle name="40% - Accent6 2 9" xfId="58123"/>
    <cellStyle name="40% - Accent6 20" xfId="58124"/>
    <cellStyle name="40% - Accent6 21" xfId="58125"/>
    <cellStyle name="40% - Accent6 3" xfId="2582"/>
    <cellStyle name="40% - Accent6 3 2" xfId="2583"/>
    <cellStyle name="40% - Accent6 3 2 2" xfId="2584"/>
    <cellStyle name="40% - Accent6 3 2 2 2" xfId="2585"/>
    <cellStyle name="40% - Accent6 3 2 2 2 2" xfId="2586"/>
    <cellStyle name="40% - Accent6 3 2 2 2 2 2" xfId="2587"/>
    <cellStyle name="40% - Accent6 3 2 2 2 2 2 2" xfId="2588"/>
    <cellStyle name="40% - Accent6 3 2 2 2 2 3" xfId="2589"/>
    <cellStyle name="40% - Accent6 3 2 2 2 3" xfId="2590"/>
    <cellStyle name="40% - Accent6 3 2 2 2 3 2" xfId="2591"/>
    <cellStyle name="40% - Accent6 3 2 2 2 4" xfId="2592"/>
    <cellStyle name="40% - Accent6 3 2 2 2 5" xfId="9001"/>
    <cellStyle name="40% - Accent6 3 2 2 3" xfId="2593"/>
    <cellStyle name="40% - Accent6 3 2 2 3 2" xfId="2594"/>
    <cellStyle name="40% - Accent6 3 2 2 3 2 2" xfId="2595"/>
    <cellStyle name="40% - Accent6 3 2 2 3 3" xfId="2596"/>
    <cellStyle name="40% - Accent6 3 2 2 4" xfId="2597"/>
    <cellStyle name="40% - Accent6 3 2 2 4 2" xfId="2598"/>
    <cellStyle name="40% - Accent6 3 2 2 5" xfId="2599"/>
    <cellStyle name="40% - Accent6 3 2 2 6" xfId="9002"/>
    <cellStyle name="40% - Accent6 3 2 3" xfId="2600"/>
    <cellStyle name="40% - Accent6 3 2 3 2" xfId="2601"/>
    <cellStyle name="40% - Accent6 3 2 3 2 2" xfId="2602"/>
    <cellStyle name="40% - Accent6 3 2 3 2 2 2" xfId="2603"/>
    <cellStyle name="40% - Accent6 3 2 3 2 3" xfId="2604"/>
    <cellStyle name="40% - Accent6 3 2 3 3" xfId="2605"/>
    <cellStyle name="40% - Accent6 3 2 3 3 2" xfId="2606"/>
    <cellStyle name="40% - Accent6 3 2 3 4" xfId="2607"/>
    <cellStyle name="40% - Accent6 3 2 3 5" xfId="9003"/>
    <cellStyle name="40% - Accent6 3 2 4" xfId="2608"/>
    <cellStyle name="40% - Accent6 3 2 4 2" xfId="2609"/>
    <cellStyle name="40% - Accent6 3 2 4 2 2" xfId="2610"/>
    <cellStyle name="40% - Accent6 3 2 4 3" xfId="2611"/>
    <cellStyle name="40% - Accent6 3 2 5" xfId="2612"/>
    <cellStyle name="40% - Accent6 3 2 5 2" xfId="2613"/>
    <cellStyle name="40% - Accent6 3 2 6" xfId="2614"/>
    <cellStyle name="40% - Accent6 3 2 7" xfId="9004"/>
    <cellStyle name="40% - Accent6 3 3" xfId="2615"/>
    <cellStyle name="40% - Accent6 3 3 2" xfId="2616"/>
    <cellStyle name="40% - Accent6 3 3 2 2" xfId="2617"/>
    <cellStyle name="40% - Accent6 3 3 2 2 2" xfId="2618"/>
    <cellStyle name="40% - Accent6 3 3 2 2 2 2" xfId="2619"/>
    <cellStyle name="40% - Accent6 3 3 2 2 3" xfId="2620"/>
    <cellStyle name="40% - Accent6 3 3 2 3" xfId="2621"/>
    <cellStyle name="40% - Accent6 3 3 2 3 2" xfId="2622"/>
    <cellStyle name="40% - Accent6 3 3 2 4" xfId="2623"/>
    <cellStyle name="40% - Accent6 3 3 2 5" xfId="9005"/>
    <cellStyle name="40% - Accent6 3 3 3" xfId="2624"/>
    <cellStyle name="40% - Accent6 3 3 3 2" xfId="2625"/>
    <cellStyle name="40% - Accent6 3 3 3 2 2" xfId="2626"/>
    <cellStyle name="40% - Accent6 3 3 3 3" xfId="2627"/>
    <cellStyle name="40% - Accent6 3 3 4" xfId="2628"/>
    <cellStyle name="40% - Accent6 3 3 4 2" xfId="2629"/>
    <cellStyle name="40% - Accent6 3 3 5" xfId="2630"/>
    <cellStyle name="40% - Accent6 3 3 6" xfId="9006"/>
    <cellStyle name="40% - Accent6 3 4" xfId="2631"/>
    <cellStyle name="40% - Accent6 3 4 2" xfId="2632"/>
    <cellStyle name="40% - Accent6 3 4 2 2" xfId="2633"/>
    <cellStyle name="40% - Accent6 3 4 2 2 2" xfId="2634"/>
    <cellStyle name="40% - Accent6 3 4 2 3" xfId="2635"/>
    <cellStyle name="40% - Accent6 3 4 3" xfId="2636"/>
    <cellStyle name="40% - Accent6 3 4 3 2" xfId="2637"/>
    <cellStyle name="40% - Accent6 3 4 4" xfId="2638"/>
    <cellStyle name="40% - Accent6 3 4 5" xfId="9007"/>
    <cellStyle name="40% - Accent6 3 5" xfId="2639"/>
    <cellStyle name="40% - Accent6 3 5 2" xfId="2640"/>
    <cellStyle name="40% - Accent6 3 5 2 2" xfId="2641"/>
    <cellStyle name="40% - Accent6 3 5 3" xfId="2642"/>
    <cellStyle name="40% - Accent6 3 6" xfId="2643"/>
    <cellStyle name="40% - Accent6 3 6 2" xfId="2644"/>
    <cellStyle name="40% - Accent6 3 7" xfId="2645"/>
    <cellStyle name="40% - Accent6 3 8" xfId="2646"/>
    <cellStyle name="40% - Accent6 3 9" xfId="9008"/>
    <cellStyle name="40% - Accent6 4" xfId="2647"/>
    <cellStyle name="40% - Accent6 4 10" xfId="27640"/>
    <cellStyle name="40% - Accent6 4 10 2" xfId="27641"/>
    <cellStyle name="40% - Accent6 4 10 2 2" xfId="27642"/>
    <cellStyle name="40% - Accent6 4 10 2 3" xfId="27643"/>
    <cellStyle name="40% - Accent6 4 10 3" xfId="27644"/>
    <cellStyle name="40% - Accent6 4 10 3 2" xfId="27645"/>
    <cellStyle name="40% - Accent6 4 10 4" xfId="27646"/>
    <cellStyle name="40% - Accent6 4 10 5" xfId="27647"/>
    <cellStyle name="40% - Accent6 4 11" xfId="27648"/>
    <cellStyle name="40% - Accent6 4 11 2" xfId="27649"/>
    <cellStyle name="40% - Accent6 4 11 3" xfId="27650"/>
    <cellStyle name="40% - Accent6 4 12" xfId="27651"/>
    <cellStyle name="40% - Accent6 4 12 2" xfId="27652"/>
    <cellStyle name="40% - Accent6 4 12 3" xfId="27653"/>
    <cellStyle name="40% - Accent6 4 13" xfId="27654"/>
    <cellStyle name="40% - Accent6 4 13 2" xfId="27655"/>
    <cellStyle name="40% - Accent6 4 14" xfId="27656"/>
    <cellStyle name="40% - Accent6 4 15" xfId="27657"/>
    <cellStyle name="40% - Accent6 4 16" xfId="27658"/>
    <cellStyle name="40% - Accent6 4 2" xfId="2648"/>
    <cellStyle name="40% - Accent6 4 2 10" xfId="27659"/>
    <cellStyle name="40% - Accent6 4 2 10 2" xfId="27660"/>
    <cellStyle name="40% - Accent6 4 2 10 3" xfId="27661"/>
    <cellStyle name="40% - Accent6 4 2 11" xfId="27662"/>
    <cellStyle name="40% - Accent6 4 2 11 2" xfId="27663"/>
    <cellStyle name="40% - Accent6 4 2 11 3" xfId="27664"/>
    <cellStyle name="40% - Accent6 4 2 12" xfId="27665"/>
    <cellStyle name="40% - Accent6 4 2 12 2" xfId="27666"/>
    <cellStyle name="40% - Accent6 4 2 13" xfId="27667"/>
    <cellStyle name="40% - Accent6 4 2 14" xfId="27668"/>
    <cellStyle name="40% - Accent6 4 2 15" xfId="27669"/>
    <cellStyle name="40% - Accent6 4 2 2" xfId="2649"/>
    <cellStyle name="40% - Accent6 4 2 2 10" xfId="27670"/>
    <cellStyle name="40% - Accent6 4 2 2 10 2" xfId="27671"/>
    <cellStyle name="40% - Accent6 4 2 2 10 3" xfId="27672"/>
    <cellStyle name="40% - Accent6 4 2 2 11" xfId="27673"/>
    <cellStyle name="40% - Accent6 4 2 2 11 2" xfId="27674"/>
    <cellStyle name="40% - Accent6 4 2 2 12" xfId="27675"/>
    <cellStyle name="40% - Accent6 4 2 2 13" xfId="27676"/>
    <cellStyle name="40% - Accent6 4 2 2 2" xfId="2650"/>
    <cellStyle name="40% - Accent6 4 2 2 2 10" xfId="27677"/>
    <cellStyle name="40% - Accent6 4 2 2 2 10 2" xfId="27678"/>
    <cellStyle name="40% - Accent6 4 2 2 2 11" xfId="27679"/>
    <cellStyle name="40% - Accent6 4 2 2 2 12" xfId="27680"/>
    <cellStyle name="40% - Accent6 4 2 2 2 2" xfId="2651"/>
    <cellStyle name="40% - Accent6 4 2 2 2 2 10" xfId="27681"/>
    <cellStyle name="40% - Accent6 4 2 2 2 2 2" xfId="2652"/>
    <cellStyle name="40% - Accent6 4 2 2 2 2 2 2" xfId="27682"/>
    <cellStyle name="40% - Accent6 4 2 2 2 2 2 2 2" xfId="27683"/>
    <cellStyle name="40% - Accent6 4 2 2 2 2 2 2 2 2" xfId="27684"/>
    <cellStyle name="40% - Accent6 4 2 2 2 2 2 2 2 3" xfId="27685"/>
    <cellStyle name="40% - Accent6 4 2 2 2 2 2 2 3" xfId="27686"/>
    <cellStyle name="40% - Accent6 4 2 2 2 2 2 2 3 2" xfId="27687"/>
    <cellStyle name="40% - Accent6 4 2 2 2 2 2 2 3 3" xfId="27688"/>
    <cellStyle name="40% - Accent6 4 2 2 2 2 2 2 4" xfId="27689"/>
    <cellStyle name="40% - Accent6 4 2 2 2 2 2 2 4 2" xfId="27690"/>
    <cellStyle name="40% - Accent6 4 2 2 2 2 2 2 5" xfId="27691"/>
    <cellStyle name="40% - Accent6 4 2 2 2 2 2 2 6" xfId="27692"/>
    <cellStyle name="40% - Accent6 4 2 2 2 2 2 3" xfId="27693"/>
    <cellStyle name="40% - Accent6 4 2 2 2 2 2 3 2" xfId="27694"/>
    <cellStyle name="40% - Accent6 4 2 2 2 2 2 3 2 2" xfId="27695"/>
    <cellStyle name="40% - Accent6 4 2 2 2 2 2 3 2 3" xfId="27696"/>
    <cellStyle name="40% - Accent6 4 2 2 2 2 2 3 3" xfId="27697"/>
    <cellStyle name="40% - Accent6 4 2 2 2 2 2 3 3 2" xfId="27698"/>
    <cellStyle name="40% - Accent6 4 2 2 2 2 2 3 3 3" xfId="27699"/>
    <cellStyle name="40% - Accent6 4 2 2 2 2 2 3 4" xfId="27700"/>
    <cellStyle name="40% - Accent6 4 2 2 2 2 2 3 4 2" xfId="27701"/>
    <cellStyle name="40% - Accent6 4 2 2 2 2 2 3 5" xfId="27702"/>
    <cellStyle name="40% - Accent6 4 2 2 2 2 2 3 6" xfId="27703"/>
    <cellStyle name="40% - Accent6 4 2 2 2 2 2 4" xfId="27704"/>
    <cellStyle name="40% - Accent6 4 2 2 2 2 2 4 2" xfId="27705"/>
    <cellStyle name="40% - Accent6 4 2 2 2 2 2 4 2 2" xfId="27706"/>
    <cellStyle name="40% - Accent6 4 2 2 2 2 2 4 2 3" xfId="27707"/>
    <cellStyle name="40% - Accent6 4 2 2 2 2 2 4 3" xfId="27708"/>
    <cellStyle name="40% - Accent6 4 2 2 2 2 2 4 3 2" xfId="27709"/>
    <cellStyle name="40% - Accent6 4 2 2 2 2 2 4 4" xfId="27710"/>
    <cellStyle name="40% - Accent6 4 2 2 2 2 2 4 5" xfId="27711"/>
    <cellStyle name="40% - Accent6 4 2 2 2 2 2 5" xfId="27712"/>
    <cellStyle name="40% - Accent6 4 2 2 2 2 2 5 2" xfId="27713"/>
    <cellStyle name="40% - Accent6 4 2 2 2 2 2 5 3" xfId="27714"/>
    <cellStyle name="40% - Accent6 4 2 2 2 2 2 6" xfId="27715"/>
    <cellStyle name="40% - Accent6 4 2 2 2 2 2 6 2" xfId="27716"/>
    <cellStyle name="40% - Accent6 4 2 2 2 2 2 6 3" xfId="27717"/>
    <cellStyle name="40% - Accent6 4 2 2 2 2 2 7" xfId="27718"/>
    <cellStyle name="40% - Accent6 4 2 2 2 2 2 7 2" xfId="27719"/>
    <cellStyle name="40% - Accent6 4 2 2 2 2 2 8" xfId="27720"/>
    <cellStyle name="40% - Accent6 4 2 2 2 2 2 9" xfId="27721"/>
    <cellStyle name="40% - Accent6 4 2 2 2 2 3" xfId="27722"/>
    <cellStyle name="40% - Accent6 4 2 2 2 2 3 2" xfId="27723"/>
    <cellStyle name="40% - Accent6 4 2 2 2 2 3 2 2" xfId="27724"/>
    <cellStyle name="40% - Accent6 4 2 2 2 2 3 2 3" xfId="27725"/>
    <cellStyle name="40% - Accent6 4 2 2 2 2 3 3" xfId="27726"/>
    <cellStyle name="40% - Accent6 4 2 2 2 2 3 3 2" xfId="27727"/>
    <cellStyle name="40% - Accent6 4 2 2 2 2 3 3 3" xfId="27728"/>
    <cellStyle name="40% - Accent6 4 2 2 2 2 3 4" xfId="27729"/>
    <cellStyle name="40% - Accent6 4 2 2 2 2 3 4 2" xfId="27730"/>
    <cellStyle name="40% - Accent6 4 2 2 2 2 3 5" xfId="27731"/>
    <cellStyle name="40% - Accent6 4 2 2 2 2 3 6" xfId="27732"/>
    <cellStyle name="40% - Accent6 4 2 2 2 2 4" xfId="27733"/>
    <cellStyle name="40% - Accent6 4 2 2 2 2 4 2" xfId="27734"/>
    <cellStyle name="40% - Accent6 4 2 2 2 2 4 2 2" xfId="27735"/>
    <cellStyle name="40% - Accent6 4 2 2 2 2 4 2 3" xfId="27736"/>
    <cellStyle name="40% - Accent6 4 2 2 2 2 4 3" xfId="27737"/>
    <cellStyle name="40% - Accent6 4 2 2 2 2 4 3 2" xfId="27738"/>
    <cellStyle name="40% - Accent6 4 2 2 2 2 4 3 3" xfId="27739"/>
    <cellStyle name="40% - Accent6 4 2 2 2 2 4 4" xfId="27740"/>
    <cellStyle name="40% - Accent6 4 2 2 2 2 4 4 2" xfId="27741"/>
    <cellStyle name="40% - Accent6 4 2 2 2 2 4 5" xfId="27742"/>
    <cellStyle name="40% - Accent6 4 2 2 2 2 4 6" xfId="27743"/>
    <cellStyle name="40% - Accent6 4 2 2 2 2 5" xfId="27744"/>
    <cellStyle name="40% - Accent6 4 2 2 2 2 5 2" xfId="27745"/>
    <cellStyle name="40% - Accent6 4 2 2 2 2 5 2 2" xfId="27746"/>
    <cellStyle name="40% - Accent6 4 2 2 2 2 5 2 3" xfId="27747"/>
    <cellStyle name="40% - Accent6 4 2 2 2 2 5 3" xfId="27748"/>
    <cellStyle name="40% - Accent6 4 2 2 2 2 5 3 2" xfId="27749"/>
    <cellStyle name="40% - Accent6 4 2 2 2 2 5 4" xfId="27750"/>
    <cellStyle name="40% - Accent6 4 2 2 2 2 5 5" xfId="27751"/>
    <cellStyle name="40% - Accent6 4 2 2 2 2 6" xfId="27752"/>
    <cellStyle name="40% - Accent6 4 2 2 2 2 6 2" xfId="27753"/>
    <cellStyle name="40% - Accent6 4 2 2 2 2 6 3" xfId="27754"/>
    <cellStyle name="40% - Accent6 4 2 2 2 2 7" xfId="27755"/>
    <cellStyle name="40% - Accent6 4 2 2 2 2 7 2" xfId="27756"/>
    <cellStyle name="40% - Accent6 4 2 2 2 2 7 3" xfId="27757"/>
    <cellStyle name="40% - Accent6 4 2 2 2 2 8" xfId="27758"/>
    <cellStyle name="40% - Accent6 4 2 2 2 2 8 2" xfId="27759"/>
    <cellStyle name="40% - Accent6 4 2 2 2 2 9" xfId="27760"/>
    <cellStyle name="40% - Accent6 4 2 2 2 3" xfId="2653"/>
    <cellStyle name="40% - Accent6 4 2 2 2 3 2" xfId="27761"/>
    <cellStyle name="40% - Accent6 4 2 2 2 3 2 2" xfId="27762"/>
    <cellStyle name="40% - Accent6 4 2 2 2 3 2 2 2" xfId="27763"/>
    <cellStyle name="40% - Accent6 4 2 2 2 3 2 2 3" xfId="27764"/>
    <cellStyle name="40% - Accent6 4 2 2 2 3 2 3" xfId="27765"/>
    <cellStyle name="40% - Accent6 4 2 2 2 3 2 3 2" xfId="27766"/>
    <cellStyle name="40% - Accent6 4 2 2 2 3 2 3 3" xfId="27767"/>
    <cellStyle name="40% - Accent6 4 2 2 2 3 2 4" xfId="27768"/>
    <cellStyle name="40% - Accent6 4 2 2 2 3 2 4 2" xfId="27769"/>
    <cellStyle name="40% - Accent6 4 2 2 2 3 2 5" xfId="27770"/>
    <cellStyle name="40% - Accent6 4 2 2 2 3 2 6" xfId="27771"/>
    <cellStyle name="40% - Accent6 4 2 2 2 3 3" xfId="27772"/>
    <cellStyle name="40% - Accent6 4 2 2 2 3 3 2" xfId="27773"/>
    <cellStyle name="40% - Accent6 4 2 2 2 3 3 2 2" xfId="27774"/>
    <cellStyle name="40% - Accent6 4 2 2 2 3 3 2 3" xfId="27775"/>
    <cellStyle name="40% - Accent6 4 2 2 2 3 3 3" xfId="27776"/>
    <cellStyle name="40% - Accent6 4 2 2 2 3 3 3 2" xfId="27777"/>
    <cellStyle name="40% - Accent6 4 2 2 2 3 3 3 3" xfId="27778"/>
    <cellStyle name="40% - Accent6 4 2 2 2 3 3 4" xfId="27779"/>
    <cellStyle name="40% - Accent6 4 2 2 2 3 3 4 2" xfId="27780"/>
    <cellStyle name="40% - Accent6 4 2 2 2 3 3 5" xfId="27781"/>
    <cellStyle name="40% - Accent6 4 2 2 2 3 3 6" xfId="27782"/>
    <cellStyle name="40% - Accent6 4 2 2 2 3 4" xfId="27783"/>
    <cellStyle name="40% - Accent6 4 2 2 2 3 4 2" xfId="27784"/>
    <cellStyle name="40% - Accent6 4 2 2 2 3 4 2 2" xfId="27785"/>
    <cellStyle name="40% - Accent6 4 2 2 2 3 4 2 3" xfId="27786"/>
    <cellStyle name="40% - Accent6 4 2 2 2 3 4 3" xfId="27787"/>
    <cellStyle name="40% - Accent6 4 2 2 2 3 4 3 2" xfId="27788"/>
    <cellStyle name="40% - Accent6 4 2 2 2 3 4 4" xfId="27789"/>
    <cellStyle name="40% - Accent6 4 2 2 2 3 4 5" xfId="27790"/>
    <cellStyle name="40% - Accent6 4 2 2 2 3 5" xfId="27791"/>
    <cellStyle name="40% - Accent6 4 2 2 2 3 5 2" xfId="27792"/>
    <cellStyle name="40% - Accent6 4 2 2 2 3 5 3" xfId="27793"/>
    <cellStyle name="40% - Accent6 4 2 2 2 3 6" xfId="27794"/>
    <cellStyle name="40% - Accent6 4 2 2 2 3 6 2" xfId="27795"/>
    <cellStyle name="40% - Accent6 4 2 2 2 3 6 3" xfId="27796"/>
    <cellStyle name="40% - Accent6 4 2 2 2 3 7" xfId="27797"/>
    <cellStyle name="40% - Accent6 4 2 2 2 3 7 2" xfId="27798"/>
    <cellStyle name="40% - Accent6 4 2 2 2 3 8" xfId="27799"/>
    <cellStyle name="40% - Accent6 4 2 2 2 3 9" xfId="27800"/>
    <cellStyle name="40% - Accent6 4 2 2 2 4" xfId="27801"/>
    <cellStyle name="40% - Accent6 4 2 2 2 4 2" xfId="27802"/>
    <cellStyle name="40% - Accent6 4 2 2 2 4 2 2" xfId="27803"/>
    <cellStyle name="40% - Accent6 4 2 2 2 4 2 2 2" xfId="27804"/>
    <cellStyle name="40% - Accent6 4 2 2 2 4 2 2 3" xfId="27805"/>
    <cellStyle name="40% - Accent6 4 2 2 2 4 2 3" xfId="27806"/>
    <cellStyle name="40% - Accent6 4 2 2 2 4 2 3 2" xfId="27807"/>
    <cellStyle name="40% - Accent6 4 2 2 2 4 2 3 3" xfId="27808"/>
    <cellStyle name="40% - Accent6 4 2 2 2 4 2 4" xfId="27809"/>
    <cellStyle name="40% - Accent6 4 2 2 2 4 2 4 2" xfId="27810"/>
    <cellStyle name="40% - Accent6 4 2 2 2 4 2 5" xfId="27811"/>
    <cellStyle name="40% - Accent6 4 2 2 2 4 2 6" xfId="27812"/>
    <cellStyle name="40% - Accent6 4 2 2 2 4 3" xfId="27813"/>
    <cellStyle name="40% - Accent6 4 2 2 2 4 3 2" xfId="27814"/>
    <cellStyle name="40% - Accent6 4 2 2 2 4 3 2 2" xfId="27815"/>
    <cellStyle name="40% - Accent6 4 2 2 2 4 3 2 3" xfId="27816"/>
    <cellStyle name="40% - Accent6 4 2 2 2 4 3 3" xfId="27817"/>
    <cellStyle name="40% - Accent6 4 2 2 2 4 3 3 2" xfId="27818"/>
    <cellStyle name="40% - Accent6 4 2 2 2 4 3 3 3" xfId="27819"/>
    <cellStyle name="40% - Accent6 4 2 2 2 4 3 4" xfId="27820"/>
    <cellStyle name="40% - Accent6 4 2 2 2 4 3 4 2" xfId="27821"/>
    <cellStyle name="40% - Accent6 4 2 2 2 4 3 5" xfId="27822"/>
    <cellStyle name="40% - Accent6 4 2 2 2 4 3 6" xfId="27823"/>
    <cellStyle name="40% - Accent6 4 2 2 2 4 4" xfId="27824"/>
    <cellStyle name="40% - Accent6 4 2 2 2 4 4 2" xfId="27825"/>
    <cellStyle name="40% - Accent6 4 2 2 2 4 4 2 2" xfId="27826"/>
    <cellStyle name="40% - Accent6 4 2 2 2 4 4 2 3" xfId="27827"/>
    <cellStyle name="40% - Accent6 4 2 2 2 4 4 3" xfId="27828"/>
    <cellStyle name="40% - Accent6 4 2 2 2 4 4 3 2" xfId="27829"/>
    <cellStyle name="40% - Accent6 4 2 2 2 4 4 4" xfId="27830"/>
    <cellStyle name="40% - Accent6 4 2 2 2 4 4 5" xfId="27831"/>
    <cellStyle name="40% - Accent6 4 2 2 2 4 5" xfId="27832"/>
    <cellStyle name="40% - Accent6 4 2 2 2 4 5 2" xfId="27833"/>
    <cellStyle name="40% - Accent6 4 2 2 2 4 5 3" xfId="27834"/>
    <cellStyle name="40% - Accent6 4 2 2 2 4 6" xfId="27835"/>
    <cellStyle name="40% - Accent6 4 2 2 2 4 6 2" xfId="27836"/>
    <cellStyle name="40% - Accent6 4 2 2 2 4 6 3" xfId="27837"/>
    <cellStyle name="40% - Accent6 4 2 2 2 4 7" xfId="27838"/>
    <cellStyle name="40% - Accent6 4 2 2 2 4 7 2" xfId="27839"/>
    <cellStyle name="40% - Accent6 4 2 2 2 4 8" xfId="27840"/>
    <cellStyle name="40% - Accent6 4 2 2 2 4 9" xfId="27841"/>
    <cellStyle name="40% - Accent6 4 2 2 2 5" xfId="27842"/>
    <cellStyle name="40% - Accent6 4 2 2 2 5 2" xfId="27843"/>
    <cellStyle name="40% - Accent6 4 2 2 2 5 2 2" xfId="27844"/>
    <cellStyle name="40% - Accent6 4 2 2 2 5 2 3" xfId="27845"/>
    <cellStyle name="40% - Accent6 4 2 2 2 5 3" xfId="27846"/>
    <cellStyle name="40% - Accent6 4 2 2 2 5 3 2" xfId="27847"/>
    <cellStyle name="40% - Accent6 4 2 2 2 5 3 3" xfId="27848"/>
    <cellStyle name="40% - Accent6 4 2 2 2 5 4" xfId="27849"/>
    <cellStyle name="40% - Accent6 4 2 2 2 5 4 2" xfId="27850"/>
    <cellStyle name="40% - Accent6 4 2 2 2 5 5" xfId="27851"/>
    <cellStyle name="40% - Accent6 4 2 2 2 5 6" xfId="27852"/>
    <cellStyle name="40% - Accent6 4 2 2 2 6" xfId="27853"/>
    <cellStyle name="40% - Accent6 4 2 2 2 6 2" xfId="27854"/>
    <cellStyle name="40% - Accent6 4 2 2 2 6 2 2" xfId="27855"/>
    <cellStyle name="40% - Accent6 4 2 2 2 6 2 3" xfId="27856"/>
    <cellStyle name="40% - Accent6 4 2 2 2 6 3" xfId="27857"/>
    <cellStyle name="40% - Accent6 4 2 2 2 6 3 2" xfId="27858"/>
    <cellStyle name="40% - Accent6 4 2 2 2 6 3 3" xfId="27859"/>
    <cellStyle name="40% - Accent6 4 2 2 2 6 4" xfId="27860"/>
    <cellStyle name="40% - Accent6 4 2 2 2 6 4 2" xfId="27861"/>
    <cellStyle name="40% - Accent6 4 2 2 2 6 5" xfId="27862"/>
    <cellStyle name="40% - Accent6 4 2 2 2 6 6" xfId="27863"/>
    <cellStyle name="40% - Accent6 4 2 2 2 7" xfId="27864"/>
    <cellStyle name="40% - Accent6 4 2 2 2 7 2" xfId="27865"/>
    <cellStyle name="40% - Accent6 4 2 2 2 7 2 2" xfId="27866"/>
    <cellStyle name="40% - Accent6 4 2 2 2 7 2 3" xfId="27867"/>
    <cellStyle name="40% - Accent6 4 2 2 2 7 3" xfId="27868"/>
    <cellStyle name="40% - Accent6 4 2 2 2 7 3 2" xfId="27869"/>
    <cellStyle name="40% - Accent6 4 2 2 2 7 4" xfId="27870"/>
    <cellStyle name="40% - Accent6 4 2 2 2 7 5" xfId="27871"/>
    <cellStyle name="40% - Accent6 4 2 2 2 8" xfId="27872"/>
    <cellStyle name="40% - Accent6 4 2 2 2 8 2" xfId="27873"/>
    <cellStyle name="40% - Accent6 4 2 2 2 8 3" xfId="27874"/>
    <cellStyle name="40% - Accent6 4 2 2 2 9" xfId="27875"/>
    <cellStyle name="40% - Accent6 4 2 2 2 9 2" xfId="27876"/>
    <cellStyle name="40% - Accent6 4 2 2 2 9 3" xfId="27877"/>
    <cellStyle name="40% - Accent6 4 2 2 3" xfId="2654"/>
    <cellStyle name="40% - Accent6 4 2 2 3 10" xfId="27878"/>
    <cellStyle name="40% - Accent6 4 2 2 3 2" xfId="2655"/>
    <cellStyle name="40% - Accent6 4 2 2 3 2 2" xfId="27879"/>
    <cellStyle name="40% - Accent6 4 2 2 3 2 2 2" xfId="27880"/>
    <cellStyle name="40% - Accent6 4 2 2 3 2 2 2 2" xfId="27881"/>
    <cellStyle name="40% - Accent6 4 2 2 3 2 2 2 3" xfId="27882"/>
    <cellStyle name="40% - Accent6 4 2 2 3 2 2 3" xfId="27883"/>
    <cellStyle name="40% - Accent6 4 2 2 3 2 2 3 2" xfId="27884"/>
    <cellStyle name="40% - Accent6 4 2 2 3 2 2 3 3" xfId="27885"/>
    <cellStyle name="40% - Accent6 4 2 2 3 2 2 4" xfId="27886"/>
    <cellStyle name="40% - Accent6 4 2 2 3 2 2 4 2" xfId="27887"/>
    <cellStyle name="40% - Accent6 4 2 2 3 2 2 5" xfId="27888"/>
    <cellStyle name="40% - Accent6 4 2 2 3 2 2 6" xfId="27889"/>
    <cellStyle name="40% - Accent6 4 2 2 3 2 3" xfId="27890"/>
    <cellStyle name="40% - Accent6 4 2 2 3 2 3 2" xfId="27891"/>
    <cellStyle name="40% - Accent6 4 2 2 3 2 3 2 2" xfId="27892"/>
    <cellStyle name="40% - Accent6 4 2 2 3 2 3 2 3" xfId="27893"/>
    <cellStyle name="40% - Accent6 4 2 2 3 2 3 3" xfId="27894"/>
    <cellStyle name="40% - Accent6 4 2 2 3 2 3 3 2" xfId="27895"/>
    <cellStyle name="40% - Accent6 4 2 2 3 2 3 3 3" xfId="27896"/>
    <cellStyle name="40% - Accent6 4 2 2 3 2 3 4" xfId="27897"/>
    <cellStyle name="40% - Accent6 4 2 2 3 2 3 4 2" xfId="27898"/>
    <cellStyle name="40% - Accent6 4 2 2 3 2 3 5" xfId="27899"/>
    <cellStyle name="40% - Accent6 4 2 2 3 2 3 6" xfId="27900"/>
    <cellStyle name="40% - Accent6 4 2 2 3 2 4" xfId="27901"/>
    <cellStyle name="40% - Accent6 4 2 2 3 2 4 2" xfId="27902"/>
    <cellStyle name="40% - Accent6 4 2 2 3 2 4 2 2" xfId="27903"/>
    <cellStyle name="40% - Accent6 4 2 2 3 2 4 2 3" xfId="27904"/>
    <cellStyle name="40% - Accent6 4 2 2 3 2 4 3" xfId="27905"/>
    <cellStyle name="40% - Accent6 4 2 2 3 2 4 3 2" xfId="27906"/>
    <cellStyle name="40% - Accent6 4 2 2 3 2 4 4" xfId="27907"/>
    <cellStyle name="40% - Accent6 4 2 2 3 2 4 5" xfId="27908"/>
    <cellStyle name="40% - Accent6 4 2 2 3 2 5" xfId="27909"/>
    <cellStyle name="40% - Accent6 4 2 2 3 2 5 2" xfId="27910"/>
    <cellStyle name="40% - Accent6 4 2 2 3 2 5 3" xfId="27911"/>
    <cellStyle name="40% - Accent6 4 2 2 3 2 6" xfId="27912"/>
    <cellStyle name="40% - Accent6 4 2 2 3 2 6 2" xfId="27913"/>
    <cellStyle name="40% - Accent6 4 2 2 3 2 6 3" xfId="27914"/>
    <cellStyle name="40% - Accent6 4 2 2 3 2 7" xfId="27915"/>
    <cellStyle name="40% - Accent6 4 2 2 3 2 7 2" xfId="27916"/>
    <cellStyle name="40% - Accent6 4 2 2 3 2 8" xfId="27917"/>
    <cellStyle name="40% - Accent6 4 2 2 3 2 9" xfId="27918"/>
    <cellStyle name="40% - Accent6 4 2 2 3 3" xfId="27919"/>
    <cellStyle name="40% - Accent6 4 2 2 3 3 2" xfId="27920"/>
    <cellStyle name="40% - Accent6 4 2 2 3 3 2 2" xfId="27921"/>
    <cellStyle name="40% - Accent6 4 2 2 3 3 2 3" xfId="27922"/>
    <cellStyle name="40% - Accent6 4 2 2 3 3 3" xfId="27923"/>
    <cellStyle name="40% - Accent6 4 2 2 3 3 3 2" xfId="27924"/>
    <cellStyle name="40% - Accent6 4 2 2 3 3 3 3" xfId="27925"/>
    <cellStyle name="40% - Accent6 4 2 2 3 3 4" xfId="27926"/>
    <cellStyle name="40% - Accent6 4 2 2 3 3 4 2" xfId="27927"/>
    <cellStyle name="40% - Accent6 4 2 2 3 3 5" xfId="27928"/>
    <cellStyle name="40% - Accent6 4 2 2 3 3 6" xfId="27929"/>
    <cellStyle name="40% - Accent6 4 2 2 3 4" xfId="27930"/>
    <cellStyle name="40% - Accent6 4 2 2 3 4 2" xfId="27931"/>
    <cellStyle name="40% - Accent6 4 2 2 3 4 2 2" xfId="27932"/>
    <cellStyle name="40% - Accent6 4 2 2 3 4 2 3" xfId="27933"/>
    <cellStyle name="40% - Accent6 4 2 2 3 4 3" xfId="27934"/>
    <cellStyle name="40% - Accent6 4 2 2 3 4 3 2" xfId="27935"/>
    <cellStyle name="40% - Accent6 4 2 2 3 4 3 3" xfId="27936"/>
    <cellStyle name="40% - Accent6 4 2 2 3 4 4" xfId="27937"/>
    <cellStyle name="40% - Accent6 4 2 2 3 4 4 2" xfId="27938"/>
    <cellStyle name="40% - Accent6 4 2 2 3 4 5" xfId="27939"/>
    <cellStyle name="40% - Accent6 4 2 2 3 4 6" xfId="27940"/>
    <cellStyle name="40% - Accent6 4 2 2 3 5" xfId="27941"/>
    <cellStyle name="40% - Accent6 4 2 2 3 5 2" xfId="27942"/>
    <cellStyle name="40% - Accent6 4 2 2 3 5 2 2" xfId="27943"/>
    <cellStyle name="40% - Accent6 4 2 2 3 5 2 3" xfId="27944"/>
    <cellStyle name="40% - Accent6 4 2 2 3 5 3" xfId="27945"/>
    <cellStyle name="40% - Accent6 4 2 2 3 5 3 2" xfId="27946"/>
    <cellStyle name="40% - Accent6 4 2 2 3 5 4" xfId="27947"/>
    <cellStyle name="40% - Accent6 4 2 2 3 5 5" xfId="27948"/>
    <cellStyle name="40% - Accent6 4 2 2 3 6" xfId="27949"/>
    <cellStyle name="40% - Accent6 4 2 2 3 6 2" xfId="27950"/>
    <cellStyle name="40% - Accent6 4 2 2 3 6 3" xfId="27951"/>
    <cellStyle name="40% - Accent6 4 2 2 3 7" xfId="27952"/>
    <cellStyle name="40% - Accent6 4 2 2 3 7 2" xfId="27953"/>
    <cellStyle name="40% - Accent6 4 2 2 3 7 3" xfId="27954"/>
    <cellStyle name="40% - Accent6 4 2 2 3 8" xfId="27955"/>
    <cellStyle name="40% - Accent6 4 2 2 3 8 2" xfId="27956"/>
    <cellStyle name="40% - Accent6 4 2 2 3 9" xfId="27957"/>
    <cellStyle name="40% - Accent6 4 2 2 4" xfId="2656"/>
    <cellStyle name="40% - Accent6 4 2 2 4 2" xfId="27958"/>
    <cellStyle name="40% - Accent6 4 2 2 4 2 2" xfId="27959"/>
    <cellStyle name="40% - Accent6 4 2 2 4 2 2 2" xfId="27960"/>
    <cellStyle name="40% - Accent6 4 2 2 4 2 2 3" xfId="27961"/>
    <cellStyle name="40% - Accent6 4 2 2 4 2 3" xfId="27962"/>
    <cellStyle name="40% - Accent6 4 2 2 4 2 3 2" xfId="27963"/>
    <cellStyle name="40% - Accent6 4 2 2 4 2 3 3" xfId="27964"/>
    <cellStyle name="40% - Accent6 4 2 2 4 2 4" xfId="27965"/>
    <cellStyle name="40% - Accent6 4 2 2 4 2 4 2" xfId="27966"/>
    <cellStyle name="40% - Accent6 4 2 2 4 2 5" xfId="27967"/>
    <cellStyle name="40% - Accent6 4 2 2 4 2 6" xfId="27968"/>
    <cellStyle name="40% - Accent6 4 2 2 4 3" xfId="27969"/>
    <cellStyle name="40% - Accent6 4 2 2 4 3 2" xfId="27970"/>
    <cellStyle name="40% - Accent6 4 2 2 4 3 2 2" xfId="27971"/>
    <cellStyle name="40% - Accent6 4 2 2 4 3 2 3" xfId="27972"/>
    <cellStyle name="40% - Accent6 4 2 2 4 3 3" xfId="27973"/>
    <cellStyle name="40% - Accent6 4 2 2 4 3 3 2" xfId="27974"/>
    <cellStyle name="40% - Accent6 4 2 2 4 3 3 3" xfId="27975"/>
    <cellStyle name="40% - Accent6 4 2 2 4 3 4" xfId="27976"/>
    <cellStyle name="40% - Accent6 4 2 2 4 3 4 2" xfId="27977"/>
    <cellStyle name="40% - Accent6 4 2 2 4 3 5" xfId="27978"/>
    <cellStyle name="40% - Accent6 4 2 2 4 3 6" xfId="27979"/>
    <cellStyle name="40% - Accent6 4 2 2 4 4" xfId="27980"/>
    <cellStyle name="40% - Accent6 4 2 2 4 4 2" xfId="27981"/>
    <cellStyle name="40% - Accent6 4 2 2 4 4 2 2" xfId="27982"/>
    <cellStyle name="40% - Accent6 4 2 2 4 4 2 3" xfId="27983"/>
    <cellStyle name="40% - Accent6 4 2 2 4 4 3" xfId="27984"/>
    <cellStyle name="40% - Accent6 4 2 2 4 4 3 2" xfId="27985"/>
    <cellStyle name="40% - Accent6 4 2 2 4 4 4" xfId="27986"/>
    <cellStyle name="40% - Accent6 4 2 2 4 4 5" xfId="27987"/>
    <cellStyle name="40% - Accent6 4 2 2 4 5" xfId="27988"/>
    <cellStyle name="40% - Accent6 4 2 2 4 5 2" xfId="27989"/>
    <cellStyle name="40% - Accent6 4 2 2 4 5 3" xfId="27990"/>
    <cellStyle name="40% - Accent6 4 2 2 4 6" xfId="27991"/>
    <cellStyle name="40% - Accent6 4 2 2 4 6 2" xfId="27992"/>
    <cellStyle name="40% - Accent6 4 2 2 4 6 3" xfId="27993"/>
    <cellStyle name="40% - Accent6 4 2 2 4 7" xfId="27994"/>
    <cellStyle name="40% - Accent6 4 2 2 4 7 2" xfId="27995"/>
    <cellStyle name="40% - Accent6 4 2 2 4 8" xfId="27996"/>
    <cellStyle name="40% - Accent6 4 2 2 4 9" xfId="27997"/>
    <cellStyle name="40% - Accent6 4 2 2 5" xfId="27998"/>
    <cellStyle name="40% - Accent6 4 2 2 5 2" xfId="27999"/>
    <cellStyle name="40% - Accent6 4 2 2 5 2 2" xfId="28000"/>
    <cellStyle name="40% - Accent6 4 2 2 5 2 2 2" xfId="28001"/>
    <cellStyle name="40% - Accent6 4 2 2 5 2 2 3" xfId="28002"/>
    <cellStyle name="40% - Accent6 4 2 2 5 2 3" xfId="28003"/>
    <cellStyle name="40% - Accent6 4 2 2 5 2 3 2" xfId="28004"/>
    <cellStyle name="40% - Accent6 4 2 2 5 2 3 3" xfId="28005"/>
    <cellStyle name="40% - Accent6 4 2 2 5 2 4" xfId="28006"/>
    <cellStyle name="40% - Accent6 4 2 2 5 2 4 2" xfId="28007"/>
    <cellStyle name="40% - Accent6 4 2 2 5 2 5" xfId="28008"/>
    <cellStyle name="40% - Accent6 4 2 2 5 2 6" xfId="28009"/>
    <cellStyle name="40% - Accent6 4 2 2 5 3" xfId="28010"/>
    <cellStyle name="40% - Accent6 4 2 2 5 3 2" xfId="28011"/>
    <cellStyle name="40% - Accent6 4 2 2 5 3 2 2" xfId="28012"/>
    <cellStyle name="40% - Accent6 4 2 2 5 3 2 3" xfId="28013"/>
    <cellStyle name="40% - Accent6 4 2 2 5 3 3" xfId="28014"/>
    <cellStyle name="40% - Accent6 4 2 2 5 3 3 2" xfId="28015"/>
    <cellStyle name="40% - Accent6 4 2 2 5 3 3 3" xfId="28016"/>
    <cellStyle name="40% - Accent6 4 2 2 5 3 4" xfId="28017"/>
    <cellStyle name="40% - Accent6 4 2 2 5 3 4 2" xfId="28018"/>
    <cellStyle name="40% - Accent6 4 2 2 5 3 5" xfId="28019"/>
    <cellStyle name="40% - Accent6 4 2 2 5 3 6" xfId="28020"/>
    <cellStyle name="40% - Accent6 4 2 2 5 4" xfId="28021"/>
    <cellStyle name="40% - Accent6 4 2 2 5 4 2" xfId="28022"/>
    <cellStyle name="40% - Accent6 4 2 2 5 4 2 2" xfId="28023"/>
    <cellStyle name="40% - Accent6 4 2 2 5 4 2 3" xfId="28024"/>
    <cellStyle name="40% - Accent6 4 2 2 5 4 3" xfId="28025"/>
    <cellStyle name="40% - Accent6 4 2 2 5 4 3 2" xfId="28026"/>
    <cellStyle name="40% - Accent6 4 2 2 5 4 4" xfId="28027"/>
    <cellStyle name="40% - Accent6 4 2 2 5 4 5" xfId="28028"/>
    <cellStyle name="40% - Accent6 4 2 2 5 5" xfId="28029"/>
    <cellStyle name="40% - Accent6 4 2 2 5 5 2" xfId="28030"/>
    <cellStyle name="40% - Accent6 4 2 2 5 5 3" xfId="28031"/>
    <cellStyle name="40% - Accent6 4 2 2 5 6" xfId="28032"/>
    <cellStyle name="40% - Accent6 4 2 2 5 6 2" xfId="28033"/>
    <cellStyle name="40% - Accent6 4 2 2 5 6 3" xfId="28034"/>
    <cellStyle name="40% - Accent6 4 2 2 5 7" xfId="28035"/>
    <cellStyle name="40% - Accent6 4 2 2 5 7 2" xfId="28036"/>
    <cellStyle name="40% - Accent6 4 2 2 5 8" xfId="28037"/>
    <cellStyle name="40% - Accent6 4 2 2 5 9" xfId="28038"/>
    <cellStyle name="40% - Accent6 4 2 2 6" xfId="28039"/>
    <cellStyle name="40% - Accent6 4 2 2 6 2" xfId="28040"/>
    <cellStyle name="40% - Accent6 4 2 2 6 2 2" xfId="28041"/>
    <cellStyle name="40% - Accent6 4 2 2 6 2 3" xfId="28042"/>
    <cellStyle name="40% - Accent6 4 2 2 6 3" xfId="28043"/>
    <cellStyle name="40% - Accent6 4 2 2 6 3 2" xfId="28044"/>
    <cellStyle name="40% - Accent6 4 2 2 6 3 3" xfId="28045"/>
    <cellStyle name="40% - Accent6 4 2 2 6 4" xfId="28046"/>
    <cellStyle name="40% - Accent6 4 2 2 6 4 2" xfId="28047"/>
    <cellStyle name="40% - Accent6 4 2 2 6 5" xfId="28048"/>
    <cellStyle name="40% - Accent6 4 2 2 6 6" xfId="28049"/>
    <cellStyle name="40% - Accent6 4 2 2 7" xfId="28050"/>
    <cellStyle name="40% - Accent6 4 2 2 7 2" xfId="28051"/>
    <cellStyle name="40% - Accent6 4 2 2 7 2 2" xfId="28052"/>
    <cellStyle name="40% - Accent6 4 2 2 7 2 3" xfId="28053"/>
    <cellStyle name="40% - Accent6 4 2 2 7 3" xfId="28054"/>
    <cellStyle name="40% - Accent6 4 2 2 7 3 2" xfId="28055"/>
    <cellStyle name="40% - Accent6 4 2 2 7 3 3" xfId="28056"/>
    <cellStyle name="40% - Accent6 4 2 2 7 4" xfId="28057"/>
    <cellStyle name="40% - Accent6 4 2 2 7 4 2" xfId="28058"/>
    <cellStyle name="40% - Accent6 4 2 2 7 5" xfId="28059"/>
    <cellStyle name="40% - Accent6 4 2 2 7 6" xfId="28060"/>
    <cellStyle name="40% - Accent6 4 2 2 8" xfId="28061"/>
    <cellStyle name="40% - Accent6 4 2 2 8 2" xfId="28062"/>
    <cellStyle name="40% - Accent6 4 2 2 8 2 2" xfId="28063"/>
    <cellStyle name="40% - Accent6 4 2 2 8 2 3" xfId="28064"/>
    <cellStyle name="40% - Accent6 4 2 2 8 3" xfId="28065"/>
    <cellStyle name="40% - Accent6 4 2 2 8 3 2" xfId="28066"/>
    <cellStyle name="40% - Accent6 4 2 2 8 4" xfId="28067"/>
    <cellStyle name="40% - Accent6 4 2 2 8 5" xfId="28068"/>
    <cellStyle name="40% - Accent6 4 2 2 9" xfId="28069"/>
    <cellStyle name="40% - Accent6 4 2 2 9 2" xfId="28070"/>
    <cellStyle name="40% - Accent6 4 2 2 9 3" xfId="28071"/>
    <cellStyle name="40% - Accent6 4 2 3" xfId="2657"/>
    <cellStyle name="40% - Accent6 4 2 3 10" xfId="28072"/>
    <cellStyle name="40% - Accent6 4 2 3 10 2" xfId="28073"/>
    <cellStyle name="40% - Accent6 4 2 3 11" xfId="28074"/>
    <cellStyle name="40% - Accent6 4 2 3 12" xfId="28075"/>
    <cellStyle name="40% - Accent6 4 2 3 2" xfId="2658"/>
    <cellStyle name="40% - Accent6 4 2 3 2 10" xfId="28076"/>
    <cellStyle name="40% - Accent6 4 2 3 2 2" xfId="2659"/>
    <cellStyle name="40% - Accent6 4 2 3 2 2 2" xfId="28077"/>
    <cellStyle name="40% - Accent6 4 2 3 2 2 2 2" xfId="28078"/>
    <cellStyle name="40% - Accent6 4 2 3 2 2 2 2 2" xfId="28079"/>
    <cellStyle name="40% - Accent6 4 2 3 2 2 2 2 3" xfId="28080"/>
    <cellStyle name="40% - Accent6 4 2 3 2 2 2 3" xfId="28081"/>
    <cellStyle name="40% - Accent6 4 2 3 2 2 2 3 2" xfId="28082"/>
    <cellStyle name="40% - Accent6 4 2 3 2 2 2 3 3" xfId="28083"/>
    <cellStyle name="40% - Accent6 4 2 3 2 2 2 4" xfId="28084"/>
    <cellStyle name="40% - Accent6 4 2 3 2 2 2 4 2" xfId="28085"/>
    <cellStyle name="40% - Accent6 4 2 3 2 2 2 5" xfId="28086"/>
    <cellStyle name="40% - Accent6 4 2 3 2 2 2 6" xfId="28087"/>
    <cellStyle name="40% - Accent6 4 2 3 2 2 3" xfId="28088"/>
    <cellStyle name="40% - Accent6 4 2 3 2 2 3 2" xfId="28089"/>
    <cellStyle name="40% - Accent6 4 2 3 2 2 3 2 2" xfId="28090"/>
    <cellStyle name="40% - Accent6 4 2 3 2 2 3 2 3" xfId="28091"/>
    <cellStyle name="40% - Accent6 4 2 3 2 2 3 3" xfId="28092"/>
    <cellStyle name="40% - Accent6 4 2 3 2 2 3 3 2" xfId="28093"/>
    <cellStyle name="40% - Accent6 4 2 3 2 2 3 3 3" xfId="28094"/>
    <cellStyle name="40% - Accent6 4 2 3 2 2 3 4" xfId="28095"/>
    <cellStyle name="40% - Accent6 4 2 3 2 2 3 4 2" xfId="28096"/>
    <cellStyle name="40% - Accent6 4 2 3 2 2 3 5" xfId="28097"/>
    <cellStyle name="40% - Accent6 4 2 3 2 2 3 6" xfId="28098"/>
    <cellStyle name="40% - Accent6 4 2 3 2 2 4" xfId="28099"/>
    <cellStyle name="40% - Accent6 4 2 3 2 2 4 2" xfId="28100"/>
    <cellStyle name="40% - Accent6 4 2 3 2 2 4 2 2" xfId="28101"/>
    <cellStyle name="40% - Accent6 4 2 3 2 2 4 2 3" xfId="28102"/>
    <cellStyle name="40% - Accent6 4 2 3 2 2 4 3" xfId="28103"/>
    <cellStyle name="40% - Accent6 4 2 3 2 2 4 3 2" xfId="28104"/>
    <cellStyle name="40% - Accent6 4 2 3 2 2 4 4" xfId="28105"/>
    <cellStyle name="40% - Accent6 4 2 3 2 2 4 5" xfId="28106"/>
    <cellStyle name="40% - Accent6 4 2 3 2 2 5" xfId="28107"/>
    <cellStyle name="40% - Accent6 4 2 3 2 2 5 2" xfId="28108"/>
    <cellStyle name="40% - Accent6 4 2 3 2 2 5 3" xfId="28109"/>
    <cellStyle name="40% - Accent6 4 2 3 2 2 6" xfId="28110"/>
    <cellStyle name="40% - Accent6 4 2 3 2 2 6 2" xfId="28111"/>
    <cellStyle name="40% - Accent6 4 2 3 2 2 6 3" xfId="28112"/>
    <cellStyle name="40% - Accent6 4 2 3 2 2 7" xfId="28113"/>
    <cellStyle name="40% - Accent6 4 2 3 2 2 7 2" xfId="28114"/>
    <cellStyle name="40% - Accent6 4 2 3 2 2 8" xfId="28115"/>
    <cellStyle name="40% - Accent6 4 2 3 2 2 9" xfId="28116"/>
    <cellStyle name="40% - Accent6 4 2 3 2 3" xfId="28117"/>
    <cellStyle name="40% - Accent6 4 2 3 2 3 2" xfId="28118"/>
    <cellStyle name="40% - Accent6 4 2 3 2 3 2 2" xfId="28119"/>
    <cellStyle name="40% - Accent6 4 2 3 2 3 2 3" xfId="28120"/>
    <cellStyle name="40% - Accent6 4 2 3 2 3 3" xfId="28121"/>
    <cellStyle name="40% - Accent6 4 2 3 2 3 3 2" xfId="28122"/>
    <cellStyle name="40% - Accent6 4 2 3 2 3 3 3" xfId="28123"/>
    <cellStyle name="40% - Accent6 4 2 3 2 3 4" xfId="28124"/>
    <cellStyle name="40% - Accent6 4 2 3 2 3 4 2" xfId="28125"/>
    <cellStyle name="40% - Accent6 4 2 3 2 3 5" xfId="28126"/>
    <cellStyle name="40% - Accent6 4 2 3 2 3 6" xfId="28127"/>
    <cellStyle name="40% - Accent6 4 2 3 2 4" xfId="28128"/>
    <cellStyle name="40% - Accent6 4 2 3 2 4 2" xfId="28129"/>
    <cellStyle name="40% - Accent6 4 2 3 2 4 2 2" xfId="28130"/>
    <cellStyle name="40% - Accent6 4 2 3 2 4 2 3" xfId="28131"/>
    <cellStyle name="40% - Accent6 4 2 3 2 4 3" xfId="28132"/>
    <cellStyle name="40% - Accent6 4 2 3 2 4 3 2" xfId="28133"/>
    <cellStyle name="40% - Accent6 4 2 3 2 4 3 3" xfId="28134"/>
    <cellStyle name="40% - Accent6 4 2 3 2 4 4" xfId="28135"/>
    <cellStyle name="40% - Accent6 4 2 3 2 4 4 2" xfId="28136"/>
    <cellStyle name="40% - Accent6 4 2 3 2 4 5" xfId="28137"/>
    <cellStyle name="40% - Accent6 4 2 3 2 4 6" xfId="28138"/>
    <cellStyle name="40% - Accent6 4 2 3 2 5" xfId="28139"/>
    <cellStyle name="40% - Accent6 4 2 3 2 5 2" xfId="28140"/>
    <cellStyle name="40% - Accent6 4 2 3 2 5 2 2" xfId="28141"/>
    <cellStyle name="40% - Accent6 4 2 3 2 5 2 3" xfId="28142"/>
    <cellStyle name="40% - Accent6 4 2 3 2 5 3" xfId="28143"/>
    <cellStyle name="40% - Accent6 4 2 3 2 5 3 2" xfId="28144"/>
    <cellStyle name="40% - Accent6 4 2 3 2 5 4" xfId="28145"/>
    <cellStyle name="40% - Accent6 4 2 3 2 5 5" xfId="28146"/>
    <cellStyle name="40% - Accent6 4 2 3 2 6" xfId="28147"/>
    <cellStyle name="40% - Accent6 4 2 3 2 6 2" xfId="28148"/>
    <cellStyle name="40% - Accent6 4 2 3 2 6 3" xfId="28149"/>
    <cellStyle name="40% - Accent6 4 2 3 2 7" xfId="28150"/>
    <cellStyle name="40% - Accent6 4 2 3 2 7 2" xfId="28151"/>
    <cellStyle name="40% - Accent6 4 2 3 2 7 3" xfId="28152"/>
    <cellStyle name="40% - Accent6 4 2 3 2 8" xfId="28153"/>
    <cellStyle name="40% - Accent6 4 2 3 2 8 2" xfId="28154"/>
    <cellStyle name="40% - Accent6 4 2 3 2 9" xfId="28155"/>
    <cellStyle name="40% - Accent6 4 2 3 3" xfId="2660"/>
    <cellStyle name="40% - Accent6 4 2 3 3 2" xfId="28156"/>
    <cellStyle name="40% - Accent6 4 2 3 3 2 2" xfId="28157"/>
    <cellStyle name="40% - Accent6 4 2 3 3 2 2 2" xfId="28158"/>
    <cellStyle name="40% - Accent6 4 2 3 3 2 2 3" xfId="28159"/>
    <cellStyle name="40% - Accent6 4 2 3 3 2 3" xfId="28160"/>
    <cellStyle name="40% - Accent6 4 2 3 3 2 3 2" xfId="28161"/>
    <cellStyle name="40% - Accent6 4 2 3 3 2 3 3" xfId="28162"/>
    <cellStyle name="40% - Accent6 4 2 3 3 2 4" xfId="28163"/>
    <cellStyle name="40% - Accent6 4 2 3 3 2 4 2" xfId="28164"/>
    <cellStyle name="40% - Accent6 4 2 3 3 2 5" xfId="28165"/>
    <cellStyle name="40% - Accent6 4 2 3 3 2 6" xfId="28166"/>
    <cellStyle name="40% - Accent6 4 2 3 3 3" xfId="28167"/>
    <cellStyle name="40% - Accent6 4 2 3 3 3 2" xfId="28168"/>
    <cellStyle name="40% - Accent6 4 2 3 3 3 2 2" xfId="28169"/>
    <cellStyle name="40% - Accent6 4 2 3 3 3 2 3" xfId="28170"/>
    <cellStyle name="40% - Accent6 4 2 3 3 3 3" xfId="28171"/>
    <cellStyle name="40% - Accent6 4 2 3 3 3 3 2" xfId="28172"/>
    <cellStyle name="40% - Accent6 4 2 3 3 3 3 3" xfId="28173"/>
    <cellStyle name="40% - Accent6 4 2 3 3 3 4" xfId="28174"/>
    <cellStyle name="40% - Accent6 4 2 3 3 3 4 2" xfId="28175"/>
    <cellStyle name="40% - Accent6 4 2 3 3 3 5" xfId="28176"/>
    <cellStyle name="40% - Accent6 4 2 3 3 3 6" xfId="28177"/>
    <cellStyle name="40% - Accent6 4 2 3 3 4" xfId="28178"/>
    <cellStyle name="40% - Accent6 4 2 3 3 4 2" xfId="28179"/>
    <cellStyle name="40% - Accent6 4 2 3 3 4 2 2" xfId="28180"/>
    <cellStyle name="40% - Accent6 4 2 3 3 4 2 3" xfId="28181"/>
    <cellStyle name="40% - Accent6 4 2 3 3 4 3" xfId="28182"/>
    <cellStyle name="40% - Accent6 4 2 3 3 4 3 2" xfId="28183"/>
    <cellStyle name="40% - Accent6 4 2 3 3 4 4" xfId="28184"/>
    <cellStyle name="40% - Accent6 4 2 3 3 4 5" xfId="28185"/>
    <cellStyle name="40% - Accent6 4 2 3 3 5" xfId="28186"/>
    <cellStyle name="40% - Accent6 4 2 3 3 5 2" xfId="28187"/>
    <cellStyle name="40% - Accent6 4 2 3 3 5 3" xfId="28188"/>
    <cellStyle name="40% - Accent6 4 2 3 3 6" xfId="28189"/>
    <cellStyle name="40% - Accent6 4 2 3 3 6 2" xfId="28190"/>
    <cellStyle name="40% - Accent6 4 2 3 3 6 3" xfId="28191"/>
    <cellStyle name="40% - Accent6 4 2 3 3 7" xfId="28192"/>
    <cellStyle name="40% - Accent6 4 2 3 3 7 2" xfId="28193"/>
    <cellStyle name="40% - Accent6 4 2 3 3 8" xfId="28194"/>
    <cellStyle name="40% - Accent6 4 2 3 3 9" xfId="28195"/>
    <cellStyle name="40% - Accent6 4 2 3 4" xfId="28196"/>
    <cellStyle name="40% - Accent6 4 2 3 4 2" xfId="28197"/>
    <cellStyle name="40% - Accent6 4 2 3 4 2 2" xfId="28198"/>
    <cellStyle name="40% - Accent6 4 2 3 4 2 2 2" xfId="28199"/>
    <cellStyle name="40% - Accent6 4 2 3 4 2 2 3" xfId="28200"/>
    <cellStyle name="40% - Accent6 4 2 3 4 2 3" xfId="28201"/>
    <cellStyle name="40% - Accent6 4 2 3 4 2 3 2" xfId="28202"/>
    <cellStyle name="40% - Accent6 4 2 3 4 2 3 3" xfId="28203"/>
    <cellStyle name="40% - Accent6 4 2 3 4 2 4" xfId="28204"/>
    <cellStyle name="40% - Accent6 4 2 3 4 2 4 2" xfId="28205"/>
    <cellStyle name="40% - Accent6 4 2 3 4 2 5" xfId="28206"/>
    <cellStyle name="40% - Accent6 4 2 3 4 2 6" xfId="28207"/>
    <cellStyle name="40% - Accent6 4 2 3 4 3" xfId="28208"/>
    <cellStyle name="40% - Accent6 4 2 3 4 3 2" xfId="28209"/>
    <cellStyle name="40% - Accent6 4 2 3 4 3 2 2" xfId="28210"/>
    <cellStyle name="40% - Accent6 4 2 3 4 3 2 3" xfId="28211"/>
    <cellStyle name="40% - Accent6 4 2 3 4 3 3" xfId="28212"/>
    <cellStyle name="40% - Accent6 4 2 3 4 3 3 2" xfId="28213"/>
    <cellStyle name="40% - Accent6 4 2 3 4 3 3 3" xfId="28214"/>
    <cellStyle name="40% - Accent6 4 2 3 4 3 4" xfId="28215"/>
    <cellStyle name="40% - Accent6 4 2 3 4 3 4 2" xfId="28216"/>
    <cellStyle name="40% - Accent6 4 2 3 4 3 5" xfId="28217"/>
    <cellStyle name="40% - Accent6 4 2 3 4 3 6" xfId="28218"/>
    <cellStyle name="40% - Accent6 4 2 3 4 4" xfId="28219"/>
    <cellStyle name="40% - Accent6 4 2 3 4 4 2" xfId="28220"/>
    <cellStyle name="40% - Accent6 4 2 3 4 4 2 2" xfId="28221"/>
    <cellStyle name="40% - Accent6 4 2 3 4 4 2 3" xfId="28222"/>
    <cellStyle name="40% - Accent6 4 2 3 4 4 3" xfId="28223"/>
    <cellStyle name="40% - Accent6 4 2 3 4 4 3 2" xfId="28224"/>
    <cellStyle name="40% - Accent6 4 2 3 4 4 4" xfId="28225"/>
    <cellStyle name="40% - Accent6 4 2 3 4 4 5" xfId="28226"/>
    <cellStyle name="40% - Accent6 4 2 3 4 5" xfId="28227"/>
    <cellStyle name="40% - Accent6 4 2 3 4 5 2" xfId="28228"/>
    <cellStyle name="40% - Accent6 4 2 3 4 5 3" xfId="28229"/>
    <cellStyle name="40% - Accent6 4 2 3 4 6" xfId="28230"/>
    <cellStyle name="40% - Accent6 4 2 3 4 6 2" xfId="28231"/>
    <cellStyle name="40% - Accent6 4 2 3 4 6 3" xfId="28232"/>
    <cellStyle name="40% - Accent6 4 2 3 4 7" xfId="28233"/>
    <cellStyle name="40% - Accent6 4 2 3 4 7 2" xfId="28234"/>
    <cellStyle name="40% - Accent6 4 2 3 4 8" xfId="28235"/>
    <cellStyle name="40% - Accent6 4 2 3 4 9" xfId="28236"/>
    <cellStyle name="40% - Accent6 4 2 3 5" xfId="28237"/>
    <cellStyle name="40% - Accent6 4 2 3 5 2" xfId="28238"/>
    <cellStyle name="40% - Accent6 4 2 3 5 2 2" xfId="28239"/>
    <cellStyle name="40% - Accent6 4 2 3 5 2 3" xfId="28240"/>
    <cellStyle name="40% - Accent6 4 2 3 5 3" xfId="28241"/>
    <cellStyle name="40% - Accent6 4 2 3 5 3 2" xfId="28242"/>
    <cellStyle name="40% - Accent6 4 2 3 5 3 3" xfId="28243"/>
    <cellStyle name="40% - Accent6 4 2 3 5 4" xfId="28244"/>
    <cellStyle name="40% - Accent6 4 2 3 5 4 2" xfId="28245"/>
    <cellStyle name="40% - Accent6 4 2 3 5 5" xfId="28246"/>
    <cellStyle name="40% - Accent6 4 2 3 5 6" xfId="28247"/>
    <cellStyle name="40% - Accent6 4 2 3 6" xfId="28248"/>
    <cellStyle name="40% - Accent6 4 2 3 6 2" xfId="28249"/>
    <cellStyle name="40% - Accent6 4 2 3 6 2 2" xfId="28250"/>
    <cellStyle name="40% - Accent6 4 2 3 6 2 3" xfId="28251"/>
    <cellStyle name="40% - Accent6 4 2 3 6 3" xfId="28252"/>
    <cellStyle name="40% - Accent6 4 2 3 6 3 2" xfId="28253"/>
    <cellStyle name="40% - Accent6 4 2 3 6 3 3" xfId="28254"/>
    <cellStyle name="40% - Accent6 4 2 3 6 4" xfId="28255"/>
    <cellStyle name="40% - Accent6 4 2 3 6 4 2" xfId="28256"/>
    <cellStyle name="40% - Accent6 4 2 3 6 5" xfId="28257"/>
    <cellStyle name="40% - Accent6 4 2 3 6 6" xfId="28258"/>
    <cellStyle name="40% - Accent6 4 2 3 7" xfId="28259"/>
    <cellStyle name="40% - Accent6 4 2 3 7 2" xfId="28260"/>
    <cellStyle name="40% - Accent6 4 2 3 7 2 2" xfId="28261"/>
    <cellStyle name="40% - Accent6 4 2 3 7 2 3" xfId="28262"/>
    <cellStyle name="40% - Accent6 4 2 3 7 3" xfId="28263"/>
    <cellStyle name="40% - Accent6 4 2 3 7 3 2" xfId="28264"/>
    <cellStyle name="40% - Accent6 4 2 3 7 4" xfId="28265"/>
    <cellStyle name="40% - Accent6 4 2 3 7 5" xfId="28266"/>
    <cellStyle name="40% - Accent6 4 2 3 8" xfId="28267"/>
    <cellStyle name="40% - Accent6 4 2 3 8 2" xfId="28268"/>
    <cellStyle name="40% - Accent6 4 2 3 8 3" xfId="28269"/>
    <cellStyle name="40% - Accent6 4 2 3 9" xfId="28270"/>
    <cellStyle name="40% - Accent6 4 2 3 9 2" xfId="28271"/>
    <cellStyle name="40% - Accent6 4 2 3 9 3" xfId="28272"/>
    <cellStyle name="40% - Accent6 4 2 4" xfId="2661"/>
    <cellStyle name="40% - Accent6 4 2 4 10" xfId="28273"/>
    <cellStyle name="40% - Accent6 4 2 4 2" xfId="2662"/>
    <cellStyle name="40% - Accent6 4 2 4 2 2" xfId="28274"/>
    <cellStyle name="40% - Accent6 4 2 4 2 2 2" xfId="28275"/>
    <cellStyle name="40% - Accent6 4 2 4 2 2 2 2" xfId="28276"/>
    <cellStyle name="40% - Accent6 4 2 4 2 2 2 3" xfId="28277"/>
    <cellStyle name="40% - Accent6 4 2 4 2 2 3" xfId="28278"/>
    <cellStyle name="40% - Accent6 4 2 4 2 2 3 2" xfId="28279"/>
    <cellStyle name="40% - Accent6 4 2 4 2 2 3 3" xfId="28280"/>
    <cellStyle name="40% - Accent6 4 2 4 2 2 4" xfId="28281"/>
    <cellStyle name="40% - Accent6 4 2 4 2 2 4 2" xfId="28282"/>
    <cellStyle name="40% - Accent6 4 2 4 2 2 5" xfId="28283"/>
    <cellStyle name="40% - Accent6 4 2 4 2 2 6" xfId="28284"/>
    <cellStyle name="40% - Accent6 4 2 4 2 3" xfId="28285"/>
    <cellStyle name="40% - Accent6 4 2 4 2 3 2" xfId="28286"/>
    <cellStyle name="40% - Accent6 4 2 4 2 3 2 2" xfId="28287"/>
    <cellStyle name="40% - Accent6 4 2 4 2 3 2 3" xfId="28288"/>
    <cellStyle name="40% - Accent6 4 2 4 2 3 3" xfId="28289"/>
    <cellStyle name="40% - Accent6 4 2 4 2 3 3 2" xfId="28290"/>
    <cellStyle name="40% - Accent6 4 2 4 2 3 3 3" xfId="28291"/>
    <cellStyle name="40% - Accent6 4 2 4 2 3 4" xfId="28292"/>
    <cellStyle name="40% - Accent6 4 2 4 2 3 4 2" xfId="28293"/>
    <cellStyle name="40% - Accent6 4 2 4 2 3 5" xfId="28294"/>
    <cellStyle name="40% - Accent6 4 2 4 2 3 6" xfId="28295"/>
    <cellStyle name="40% - Accent6 4 2 4 2 4" xfId="28296"/>
    <cellStyle name="40% - Accent6 4 2 4 2 4 2" xfId="28297"/>
    <cellStyle name="40% - Accent6 4 2 4 2 4 2 2" xfId="28298"/>
    <cellStyle name="40% - Accent6 4 2 4 2 4 2 3" xfId="28299"/>
    <cellStyle name="40% - Accent6 4 2 4 2 4 3" xfId="28300"/>
    <cellStyle name="40% - Accent6 4 2 4 2 4 3 2" xfId="28301"/>
    <cellStyle name="40% - Accent6 4 2 4 2 4 4" xfId="28302"/>
    <cellStyle name="40% - Accent6 4 2 4 2 4 5" xfId="28303"/>
    <cellStyle name="40% - Accent6 4 2 4 2 5" xfId="28304"/>
    <cellStyle name="40% - Accent6 4 2 4 2 5 2" xfId="28305"/>
    <cellStyle name="40% - Accent6 4 2 4 2 5 3" xfId="28306"/>
    <cellStyle name="40% - Accent6 4 2 4 2 6" xfId="28307"/>
    <cellStyle name="40% - Accent6 4 2 4 2 6 2" xfId="28308"/>
    <cellStyle name="40% - Accent6 4 2 4 2 6 3" xfId="28309"/>
    <cellStyle name="40% - Accent6 4 2 4 2 7" xfId="28310"/>
    <cellStyle name="40% - Accent6 4 2 4 2 7 2" xfId="28311"/>
    <cellStyle name="40% - Accent6 4 2 4 2 8" xfId="28312"/>
    <cellStyle name="40% - Accent6 4 2 4 2 9" xfId="28313"/>
    <cellStyle name="40% - Accent6 4 2 4 3" xfId="28314"/>
    <cellStyle name="40% - Accent6 4 2 4 3 2" xfId="28315"/>
    <cellStyle name="40% - Accent6 4 2 4 3 2 2" xfId="28316"/>
    <cellStyle name="40% - Accent6 4 2 4 3 2 3" xfId="28317"/>
    <cellStyle name="40% - Accent6 4 2 4 3 3" xfId="28318"/>
    <cellStyle name="40% - Accent6 4 2 4 3 3 2" xfId="28319"/>
    <cellStyle name="40% - Accent6 4 2 4 3 3 3" xfId="28320"/>
    <cellStyle name="40% - Accent6 4 2 4 3 4" xfId="28321"/>
    <cellStyle name="40% - Accent6 4 2 4 3 4 2" xfId="28322"/>
    <cellStyle name="40% - Accent6 4 2 4 3 5" xfId="28323"/>
    <cellStyle name="40% - Accent6 4 2 4 3 6" xfId="28324"/>
    <cellStyle name="40% - Accent6 4 2 4 4" xfId="28325"/>
    <cellStyle name="40% - Accent6 4 2 4 4 2" xfId="28326"/>
    <cellStyle name="40% - Accent6 4 2 4 4 2 2" xfId="28327"/>
    <cellStyle name="40% - Accent6 4 2 4 4 2 3" xfId="28328"/>
    <cellStyle name="40% - Accent6 4 2 4 4 3" xfId="28329"/>
    <cellStyle name="40% - Accent6 4 2 4 4 3 2" xfId="28330"/>
    <cellStyle name="40% - Accent6 4 2 4 4 3 3" xfId="28331"/>
    <cellStyle name="40% - Accent6 4 2 4 4 4" xfId="28332"/>
    <cellStyle name="40% - Accent6 4 2 4 4 4 2" xfId="28333"/>
    <cellStyle name="40% - Accent6 4 2 4 4 5" xfId="28334"/>
    <cellStyle name="40% - Accent6 4 2 4 4 6" xfId="28335"/>
    <cellStyle name="40% - Accent6 4 2 4 5" xfId="28336"/>
    <cellStyle name="40% - Accent6 4 2 4 5 2" xfId="28337"/>
    <cellStyle name="40% - Accent6 4 2 4 5 2 2" xfId="28338"/>
    <cellStyle name="40% - Accent6 4 2 4 5 2 3" xfId="28339"/>
    <cellStyle name="40% - Accent6 4 2 4 5 3" xfId="28340"/>
    <cellStyle name="40% - Accent6 4 2 4 5 3 2" xfId="28341"/>
    <cellStyle name="40% - Accent6 4 2 4 5 4" xfId="28342"/>
    <cellStyle name="40% - Accent6 4 2 4 5 5" xfId="28343"/>
    <cellStyle name="40% - Accent6 4 2 4 6" xfId="28344"/>
    <cellStyle name="40% - Accent6 4 2 4 6 2" xfId="28345"/>
    <cellStyle name="40% - Accent6 4 2 4 6 3" xfId="28346"/>
    <cellStyle name="40% - Accent6 4 2 4 7" xfId="28347"/>
    <cellStyle name="40% - Accent6 4 2 4 7 2" xfId="28348"/>
    <cellStyle name="40% - Accent6 4 2 4 7 3" xfId="28349"/>
    <cellStyle name="40% - Accent6 4 2 4 8" xfId="28350"/>
    <cellStyle name="40% - Accent6 4 2 4 8 2" xfId="28351"/>
    <cellStyle name="40% - Accent6 4 2 4 9" xfId="28352"/>
    <cellStyle name="40% - Accent6 4 2 5" xfId="2663"/>
    <cellStyle name="40% - Accent6 4 2 5 2" xfId="28353"/>
    <cellStyle name="40% - Accent6 4 2 5 2 2" xfId="28354"/>
    <cellStyle name="40% - Accent6 4 2 5 2 2 2" xfId="28355"/>
    <cellStyle name="40% - Accent6 4 2 5 2 2 3" xfId="28356"/>
    <cellStyle name="40% - Accent6 4 2 5 2 3" xfId="28357"/>
    <cellStyle name="40% - Accent6 4 2 5 2 3 2" xfId="28358"/>
    <cellStyle name="40% - Accent6 4 2 5 2 3 3" xfId="28359"/>
    <cellStyle name="40% - Accent6 4 2 5 2 4" xfId="28360"/>
    <cellStyle name="40% - Accent6 4 2 5 2 4 2" xfId="28361"/>
    <cellStyle name="40% - Accent6 4 2 5 2 5" xfId="28362"/>
    <cellStyle name="40% - Accent6 4 2 5 2 6" xfId="28363"/>
    <cellStyle name="40% - Accent6 4 2 5 3" xfId="28364"/>
    <cellStyle name="40% - Accent6 4 2 5 3 2" xfId="28365"/>
    <cellStyle name="40% - Accent6 4 2 5 3 2 2" xfId="28366"/>
    <cellStyle name="40% - Accent6 4 2 5 3 2 3" xfId="28367"/>
    <cellStyle name="40% - Accent6 4 2 5 3 3" xfId="28368"/>
    <cellStyle name="40% - Accent6 4 2 5 3 3 2" xfId="28369"/>
    <cellStyle name="40% - Accent6 4 2 5 3 3 3" xfId="28370"/>
    <cellStyle name="40% - Accent6 4 2 5 3 4" xfId="28371"/>
    <cellStyle name="40% - Accent6 4 2 5 3 4 2" xfId="28372"/>
    <cellStyle name="40% - Accent6 4 2 5 3 5" xfId="28373"/>
    <cellStyle name="40% - Accent6 4 2 5 3 6" xfId="28374"/>
    <cellStyle name="40% - Accent6 4 2 5 4" xfId="28375"/>
    <cellStyle name="40% - Accent6 4 2 5 4 2" xfId="28376"/>
    <cellStyle name="40% - Accent6 4 2 5 4 2 2" xfId="28377"/>
    <cellStyle name="40% - Accent6 4 2 5 4 2 3" xfId="28378"/>
    <cellStyle name="40% - Accent6 4 2 5 4 3" xfId="28379"/>
    <cellStyle name="40% - Accent6 4 2 5 4 3 2" xfId="28380"/>
    <cellStyle name="40% - Accent6 4 2 5 4 4" xfId="28381"/>
    <cellStyle name="40% - Accent6 4 2 5 4 5" xfId="28382"/>
    <cellStyle name="40% - Accent6 4 2 5 5" xfId="28383"/>
    <cellStyle name="40% - Accent6 4 2 5 5 2" xfId="28384"/>
    <cellStyle name="40% - Accent6 4 2 5 5 3" xfId="28385"/>
    <cellStyle name="40% - Accent6 4 2 5 6" xfId="28386"/>
    <cellStyle name="40% - Accent6 4 2 5 6 2" xfId="28387"/>
    <cellStyle name="40% - Accent6 4 2 5 6 3" xfId="28388"/>
    <cellStyle name="40% - Accent6 4 2 5 7" xfId="28389"/>
    <cellStyle name="40% - Accent6 4 2 5 7 2" xfId="28390"/>
    <cellStyle name="40% - Accent6 4 2 5 8" xfId="28391"/>
    <cellStyle name="40% - Accent6 4 2 5 9" xfId="28392"/>
    <cellStyle name="40% - Accent6 4 2 6" xfId="28393"/>
    <cellStyle name="40% - Accent6 4 2 6 2" xfId="28394"/>
    <cellStyle name="40% - Accent6 4 2 6 2 2" xfId="28395"/>
    <cellStyle name="40% - Accent6 4 2 6 2 2 2" xfId="28396"/>
    <cellStyle name="40% - Accent6 4 2 6 2 2 3" xfId="28397"/>
    <cellStyle name="40% - Accent6 4 2 6 2 3" xfId="28398"/>
    <cellStyle name="40% - Accent6 4 2 6 2 3 2" xfId="28399"/>
    <cellStyle name="40% - Accent6 4 2 6 2 3 3" xfId="28400"/>
    <cellStyle name="40% - Accent6 4 2 6 2 4" xfId="28401"/>
    <cellStyle name="40% - Accent6 4 2 6 2 4 2" xfId="28402"/>
    <cellStyle name="40% - Accent6 4 2 6 2 5" xfId="28403"/>
    <cellStyle name="40% - Accent6 4 2 6 2 6" xfId="28404"/>
    <cellStyle name="40% - Accent6 4 2 6 3" xfId="28405"/>
    <cellStyle name="40% - Accent6 4 2 6 3 2" xfId="28406"/>
    <cellStyle name="40% - Accent6 4 2 6 3 2 2" xfId="28407"/>
    <cellStyle name="40% - Accent6 4 2 6 3 2 3" xfId="28408"/>
    <cellStyle name="40% - Accent6 4 2 6 3 3" xfId="28409"/>
    <cellStyle name="40% - Accent6 4 2 6 3 3 2" xfId="28410"/>
    <cellStyle name="40% - Accent6 4 2 6 3 3 3" xfId="28411"/>
    <cellStyle name="40% - Accent6 4 2 6 3 4" xfId="28412"/>
    <cellStyle name="40% - Accent6 4 2 6 3 4 2" xfId="28413"/>
    <cellStyle name="40% - Accent6 4 2 6 3 5" xfId="28414"/>
    <cellStyle name="40% - Accent6 4 2 6 3 6" xfId="28415"/>
    <cellStyle name="40% - Accent6 4 2 6 4" xfId="28416"/>
    <cellStyle name="40% - Accent6 4 2 6 4 2" xfId="28417"/>
    <cellStyle name="40% - Accent6 4 2 6 4 2 2" xfId="28418"/>
    <cellStyle name="40% - Accent6 4 2 6 4 2 3" xfId="28419"/>
    <cellStyle name="40% - Accent6 4 2 6 4 3" xfId="28420"/>
    <cellStyle name="40% - Accent6 4 2 6 4 3 2" xfId="28421"/>
    <cellStyle name="40% - Accent6 4 2 6 4 4" xfId="28422"/>
    <cellStyle name="40% - Accent6 4 2 6 4 5" xfId="28423"/>
    <cellStyle name="40% - Accent6 4 2 6 5" xfId="28424"/>
    <cellStyle name="40% - Accent6 4 2 6 5 2" xfId="28425"/>
    <cellStyle name="40% - Accent6 4 2 6 5 3" xfId="28426"/>
    <cellStyle name="40% - Accent6 4 2 6 6" xfId="28427"/>
    <cellStyle name="40% - Accent6 4 2 6 6 2" xfId="28428"/>
    <cellStyle name="40% - Accent6 4 2 6 6 3" xfId="28429"/>
    <cellStyle name="40% - Accent6 4 2 6 7" xfId="28430"/>
    <cellStyle name="40% - Accent6 4 2 6 7 2" xfId="28431"/>
    <cellStyle name="40% - Accent6 4 2 6 8" xfId="28432"/>
    <cellStyle name="40% - Accent6 4 2 6 9" xfId="28433"/>
    <cellStyle name="40% - Accent6 4 2 7" xfId="28434"/>
    <cellStyle name="40% - Accent6 4 2 7 2" xfId="28435"/>
    <cellStyle name="40% - Accent6 4 2 7 2 2" xfId="28436"/>
    <cellStyle name="40% - Accent6 4 2 7 2 3" xfId="28437"/>
    <cellStyle name="40% - Accent6 4 2 7 3" xfId="28438"/>
    <cellStyle name="40% - Accent6 4 2 7 3 2" xfId="28439"/>
    <cellStyle name="40% - Accent6 4 2 7 3 3" xfId="28440"/>
    <cellStyle name="40% - Accent6 4 2 7 4" xfId="28441"/>
    <cellStyle name="40% - Accent6 4 2 7 4 2" xfId="28442"/>
    <cellStyle name="40% - Accent6 4 2 7 5" xfId="28443"/>
    <cellStyle name="40% - Accent6 4 2 7 6" xfId="28444"/>
    <cellStyle name="40% - Accent6 4 2 8" xfId="28445"/>
    <cellStyle name="40% - Accent6 4 2 8 2" xfId="28446"/>
    <cellStyle name="40% - Accent6 4 2 8 2 2" xfId="28447"/>
    <cellStyle name="40% - Accent6 4 2 8 2 3" xfId="28448"/>
    <cellStyle name="40% - Accent6 4 2 8 3" xfId="28449"/>
    <cellStyle name="40% - Accent6 4 2 8 3 2" xfId="28450"/>
    <cellStyle name="40% - Accent6 4 2 8 3 3" xfId="28451"/>
    <cellStyle name="40% - Accent6 4 2 8 4" xfId="28452"/>
    <cellStyle name="40% - Accent6 4 2 8 4 2" xfId="28453"/>
    <cellStyle name="40% - Accent6 4 2 8 5" xfId="28454"/>
    <cellStyle name="40% - Accent6 4 2 8 6" xfId="28455"/>
    <cellStyle name="40% - Accent6 4 2 9" xfId="28456"/>
    <cellStyle name="40% - Accent6 4 2 9 2" xfId="28457"/>
    <cellStyle name="40% - Accent6 4 2 9 2 2" xfId="28458"/>
    <cellStyle name="40% - Accent6 4 2 9 2 3" xfId="28459"/>
    <cellStyle name="40% - Accent6 4 2 9 3" xfId="28460"/>
    <cellStyle name="40% - Accent6 4 2 9 3 2" xfId="28461"/>
    <cellStyle name="40% - Accent6 4 2 9 4" xfId="28462"/>
    <cellStyle name="40% - Accent6 4 2 9 5" xfId="28463"/>
    <cellStyle name="40% - Accent6 4 3" xfId="2664"/>
    <cellStyle name="40% - Accent6 4 3 10" xfId="28464"/>
    <cellStyle name="40% - Accent6 4 3 10 2" xfId="28465"/>
    <cellStyle name="40% - Accent6 4 3 10 3" xfId="28466"/>
    <cellStyle name="40% - Accent6 4 3 11" xfId="28467"/>
    <cellStyle name="40% - Accent6 4 3 11 2" xfId="28468"/>
    <cellStyle name="40% - Accent6 4 3 12" xfId="28469"/>
    <cellStyle name="40% - Accent6 4 3 13" xfId="28470"/>
    <cellStyle name="40% - Accent6 4 3 14" xfId="28471"/>
    <cellStyle name="40% - Accent6 4 3 2" xfId="2665"/>
    <cellStyle name="40% - Accent6 4 3 2 10" xfId="28472"/>
    <cellStyle name="40% - Accent6 4 3 2 10 2" xfId="28473"/>
    <cellStyle name="40% - Accent6 4 3 2 11" xfId="28474"/>
    <cellStyle name="40% - Accent6 4 3 2 12" xfId="28475"/>
    <cellStyle name="40% - Accent6 4 3 2 2" xfId="2666"/>
    <cellStyle name="40% - Accent6 4 3 2 2 10" xfId="28476"/>
    <cellStyle name="40% - Accent6 4 3 2 2 2" xfId="2667"/>
    <cellStyle name="40% - Accent6 4 3 2 2 2 2" xfId="28477"/>
    <cellStyle name="40% - Accent6 4 3 2 2 2 2 2" xfId="28478"/>
    <cellStyle name="40% - Accent6 4 3 2 2 2 2 2 2" xfId="28479"/>
    <cellStyle name="40% - Accent6 4 3 2 2 2 2 2 3" xfId="28480"/>
    <cellStyle name="40% - Accent6 4 3 2 2 2 2 3" xfId="28481"/>
    <cellStyle name="40% - Accent6 4 3 2 2 2 2 3 2" xfId="28482"/>
    <cellStyle name="40% - Accent6 4 3 2 2 2 2 3 3" xfId="28483"/>
    <cellStyle name="40% - Accent6 4 3 2 2 2 2 4" xfId="28484"/>
    <cellStyle name="40% - Accent6 4 3 2 2 2 2 4 2" xfId="28485"/>
    <cellStyle name="40% - Accent6 4 3 2 2 2 2 5" xfId="28486"/>
    <cellStyle name="40% - Accent6 4 3 2 2 2 2 6" xfId="28487"/>
    <cellStyle name="40% - Accent6 4 3 2 2 2 3" xfId="28488"/>
    <cellStyle name="40% - Accent6 4 3 2 2 2 3 2" xfId="28489"/>
    <cellStyle name="40% - Accent6 4 3 2 2 2 3 2 2" xfId="28490"/>
    <cellStyle name="40% - Accent6 4 3 2 2 2 3 2 3" xfId="28491"/>
    <cellStyle name="40% - Accent6 4 3 2 2 2 3 3" xfId="28492"/>
    <cellStyle name="40% - Accent6 4 3 2 2 2 3 3 2" xfId="28493"/>
    <cellStyle name="40% - Accent6 4 3 2 2 2 3 3 3" xfId="28494"/>
    <cellStyle name="40% - Accent6 4 3 2 2 2 3 4" xfId="28495"/>
    <cellStyle name="40% - Accent6 4 3 2 2 2 3 4 2" xfId="28496"/>
    <cellStyle name="40% - Accent6 4 3 2 2 2 3 5" xfId="28497"/>
    <cellStyle name="40% - Accent6 4 3 2 2 2 3 6" xfId="28498"/>
    <cellStyle name="40% - Accent6 4 3 2 2 2 4" xfId="28499"/>
    <cellStyle name="40% - Accent6 4 3 2 2 2 4 2" xfId="28500"/>
    <cellStyle name="40% - Accent6 4 3 2 2 2 4 2 2" xfId="28501"/>
    <cellStyle name="40% - Accent6 4 3 2 2 2 4 2 3" xfId="28502"/>
    <cellStyle name="40% - Accent6 4 3 2 2 2 4 3" xfId="28503"/>
    <cellStyle name="40% - Accent6 4 3 2 2 2 4 3 2" xfId="28504"/>
    <cellStyle name="40% - Accent6 4 3 2 2 2 4 4" xfId="28505"/>
    <cellStyle name="40% - Accent6 4 3 2 2 2 4 5" xfId="28506"/>
    <cellStyle name="40% - Accent6 4 3 2 2 2 5" xfId="28507"/>
    <cellStyle name="40% - Accent6 4 3 2 2 2 5 2" xfId="28508"/>
    <cellStyle name="40% - Accent6 4 3 2 2 2 5 3" xfId="28509"/>
    <cellStyle name="40% - Accent6 4 3 2 2 2 6" xfId="28510"/>
    <cellStyle name="40% - Accent6 4 3 2 2 2 6 2" xfId="28511"/>
    <cellStyle name="40% - Accent6 4 3 2 2 2 6 3" xfId="28512"/>
    <cellStyle name="40% - Accent6 4 3 2 2 2 7" xfId="28513"/>
    <cellStyle name="40% - Accent6 4 3 2 2 2 7 2" xfId="28514"/>
    <cellStyle name="40% - Accent6 4 3 2 2 2 8" xfId="28515"/>
    <cellStyle name="40% - Accent6 4 3 2 2 2 9" xfId="28516"/>
    <cellStyle name="40% - Accent6 4 3 2 2 3" xfId="28517"/>
    <cellStyle name="40% - Accent6 4 3 2 2 3 2" xfId="28518"/>
    <cellStyle name="40% - Accent6 4 3 2 2 3 2 2" xfId="28519"/>
    <cellStyle name="40% - Accent6 4 3 2 2 3 2 3" xfId="28520"/>
    <cellStyle name="40% - Accent6 4 3 2 2 3 3" xfId="28521"/>
    <cellStyle name="40% - Accent6 4 3 2 2 3 3 2" xfId="28522"/>
    <cellStyle name="40% - Accent6 4 3 2 2 3 3 3" xfId="28523"/>
    <cellStyle name="40% - Accent6 4 3 2 2 3 4" xfId="28524"/>
    <cellStyle name="40% - Accent6 4 3 2 2 3 4 2" xfId="28525"/>
    <cellStyle name="40% - Accent6 4 3 2 2 3 5" xfId="28526"/>
    <cellStyle name="40% - Accent6 4 3 2 2 3 6" xfId="28527"/>
    <cellStyle name="40% - Accent6 4 3 2 2 4" xfId="28528"/>
    <cellStyle name="40% - Accent6 4 3 2 2 4 2" xfId="28529"/>
    <cellStyle name="40% - Accent6 4 3 2 2 4 2 2" xfId="28530"/>
    <cellStyle name="40% - Accent6 4 3 2 2 4 2 3" xfId="28531"/>
    <cellStyle name="40% - Accent6 4 3 2 2 4 3" xfId="28532"/>
    <cellStyle name="40% - Accent6 4 3 2 2 4 3 2" xfId="28533"/>
    <cellStyle name="40% - Accent6 4 3 2 2 4 3 3" xfId="28534"/>
    <cellStyle name="40% - Accent6 4 3 2 2 4 4" xfId="28535"/>
    <cellStyle name="40% - Accent6 4 3 2 2 4 4 2" xfId="28536"/>
    <cellStyle name="40% - Accent6 4 3 2 2 4 5" xfId="28537"/>
    <cellStyle name="40% - Accent6 4 3 2 2 4 6" xfId="28538"/>
    <cellStyle name="40% - Accent6 4 3 2 2 5" xfId="28539"/>
    <cellStyle name="40% - Accent6 4 3 2 2 5 2" xfId="28540"/>
    <cellStyle name="40% - Accent6 4 3 2 2 5 2 2" xfId="28541"/>
    <cellStyle name="40% - Accent6 4 3 2 2 5 2 3" xfId="28542"/>
    <cellStyle name="40% - Accent6 4 3 2 2 5 3" xfId="28543"/>
    <cellStyle name="40% - Accent6 4 3 2 2 5 3 2" xfId="28544"/>
    <cellStyle name="40% - Accent6 4 3 2 2 5 4" xfId="28545"/>
    <cellStyle name="40% - Accent6 4 3 2 2 5 5" xfId="28546"/>
    <cellStyle name="40% - Accent6 4 3 2 2 6" xfId="28547"/>
    <cellStyle name="40% - Accent6 4 3 2 2 6 2" xfId="28548"/>
    <cellStyle name="40% - Accent6 4 3 2 2 6 3" xfId="28549"/>
    <cellStyle name="40% - Accent6 4 3 2 2 7" xfId="28550"/>
    <cellStyle name="40% - Accent6 4 3 2 2 7 2" xfId="28551"/>
    <cellStyle name="40% - Accent6 4 3 2 2 7 3" xfId="28552"/>
    <cellStyle name="40% - Accent6 4 3 2 2 8" xfId="28553"/>
    <cellStyle name="40% - Accent6 4 3 2 2 8 2" xfId="28554"/>
    <cellStyle name="40% - Accent6 4 3 2 2 9" xfId="28555"/>
    <cellStyle name="40% - Accent6 4 3 2 3" xfId="2668"/>
    <cellStyle name="40% - Accent6 4 3 2 3 2" xfId="28556"/>
    <cellStyle name="40% - Accent6 4 3 2 3 2 2" xfId="28557"/>
    <cellStyle name="40% - Accent6 4 3 2 3 2 2 2" xfId="28558"/>
    <cellStyle name="40% - Accent6 4 3 2 3 2 2 3" xfId="28559"/>
    <cellStyle name="40% - Accent6 4 3 2 3 2 3" xfId="28560"/>
    <cellStyle name="40% - Accent6 4 3 2 3 2 3 2" xfId="28561"/>
    <cellStyle name="40% - Accent6 4 3 2 3 2 3 3" xfId="28562"/>
    <cellStyle name="40% - Accent6 4 3 2 3 2 4" xfId="28563"/>
    <cellStyle name="40% - Accent6 4 3 2 3 2 4 2" xfId="28564"/>
    <cellStyle name="40% - Accent6 4 3 2 3 2 5" xfId="28565"/>
    <cellStyle name="40% - Accent6 4 3 2 3 2 6" xfId="28566"/>
    <cellStyle name="40% - Accent6 4 3 2 3 3" xfId="28567"/>
    <cellStyle name="40% - Accent6 4 3 2 3 3 2" xfId="28568"/>
    <cellStyle name="40% - Accent6 4 3 2 3 3 2 2" xfId="28569"/>
    <cellStyle name="40% - Accent6 4 3 2 3 3 2 3" xfId="28570"/>
    <cellStyle name="40% - Accent6 4 3 2 3 3 3" xfId="28571"/>
    <cellStyle name="40% - Accent6 4 3 2 3 3 3 2" xfId="28572"/>
    <cellStyle name="40% - Accent6 4 3 2 3 3 3 3" xfId="28573"/>
    <cellStyle name="40% - Accent6 4 3 2 3 3 4" xfId="28574"/>
    <cellStyle name="40% - Accent6 4 3 2 3 3 4 2" xfId="28575"/>
    <cellStyle name="40% - Accent6 4 3 2 3 3 5" xfId="28576"/>
    <cellStyle name="40% - Accent6 4 3 2 3 3 6" xfId="28577"/>
    <cellStyle name="40% - Accent6 4 3 2 3 4" xfId="28578"/>
    <cellStyle name="40% - Accent6 4 3 2 3 4 2" xfId="28579"/>
    <cellStyle name="40% - Accent6 4 3 2 3 4 2 2" xfId="28580"/>
    <cellStyle name="40% - Accent6 4 3 2 3 4 2 3" xfId="28581"/>
    <cellStyle name="40% - Accent6 4 3 2 3 4 3" xfId="28582"/>
    <cellStyle name="40% - Accent6 4 3 2 3 4 3 2" xfId="28583"/>
    <cellStyle name="40% - Accent6 4 3 2 3 4 4" xfId="28584"/>
    <cellStyle name="40% - Accent6 4 3 2 3 4 5" xfId="28585"/>
    <cellStyle name="40% - Accent6 4 3 2 3 5" xfId="28586"/>
    <cellStyle name="40% - Accent6 4 3 2 3 5 2" xfId="28587"/>
    <cellStyle name="40% - Accent6 4 3 2 3 5 3" xfId="28588"/>
    <cellStyle name="40% - Accent6 4 3 2 3 6" xfId="28589"/>
    <cellStyle name="40% - Accent6 4 3 2 3 6 2" xfId="28590"/>
    <cellStyle name="40% - Accent6 4 3 2 3 6 3" xfId="28591"/>
    <cellStyle name="40% - Accent6 4 3 2 3 7" xfId="28592"/>
    <cellStyle name="40% - Accent6 4 3 2 3 7 2" xfId="28593"/>
    <cellStyle name="40% - Accent6 4 3 2 3 8" xfId="28594"/>
    <cellStyle name="40% - Accent6 4 3 2 3 9" xfId="28595"/>
    <cellStyle name="40% - Accent6 4 3 2 4" xfId="28596"/>
    <cellStyle name="40% - Accent6 4 3 2 4 2" xfId="28597"/>
    <cellStyle name="40% - Accent6 4 3 2 4 2 2" xfId="28598"/>
    <cellStyle name="40% - Accent6 4 3 2 4 2 2 2" xfId="28599"/>
    <cellStyle name="40% - Accent6 4 3 2 4 2 2 3" xfId="28600"/>
    <cellStyle name="40% - Accent6 4 3 2 4 2 3" xfId="28601"/>
    <cellStyle name="40% - Accent6 4 3 2 4 2 3 2" xfId="28602"/>
    <cellStyle name="40% - Accent6 4 3 2 4 2 3 3" xfId="28603"/>
    <cellStyle name="40% - Accent6 4 3 2 4 2 4" xfId="28604"/>
    <cellStyle name="40% - Accent6 4 3 2 4 2 4 2" xfId="28605"/>
    <cellStyle name="40% - Accent6 4 3 2 4 2 5" xfId="28606"/>
    <cellStyle name="40% - Accent6 4 3 2 4 2 6" xfId="28607"/>
    <cellStyle name="40% - Accent6 4 3 2 4 3" xfId="28608"/>
    <cellStyle name="40% - Accent6 4 3 2 4 3 2" xfId="28609"/>
    <cellStyle name="40% - Accent6 4 3 2 4 3 2 2" xfId="28610"/>
    <cellStyle name="40% - Accent6 4 3 2 4 3 2 3" xfId="28611"/>
    <cellStyle name="40% - Accent6 4 3 2 4 3 3" xfId="28612"/>
    <cellStyle name="40% - Accent6 4 3 2 4 3 3 2" xfId="28613"/>
    <cellStyle name="40% - Accent6 4 3 2 4 3 3 3" xfId="28614"/>
    <cellStyle name="40% - Accent6 4 3 2 4 3 4" xfId="28615"/>
    <cellStyle name="40% - Accent6 4 3 2 4 3 4 2" xfId="28616"/>
    <cellStyle name="40% - Accent6 4 3 2 4 3 5" xfId="28617"/>
    <cellStyle name="40% - Accent6 4 3 2 4 3 6" xfId="28618"/>
    <cellStyle name="40% - Accent6 4 3 2 4 4" xfId="28619"/>
    <cellStyle name="40% - Accent6 4 3 2 4 4 2" xfId="28620"/>
    <cellStyle name="40% - Accent6 4 3 2 4 4 2 2" xfId="28621"/>
    <cellStyle name="40% - Accent6 4 3 2 4 4 2 3" xfId="28622"/>
    <cellStyle name="40% - Accent6 4 3 2 4 4 3" xfId="28623"/>
    <cellStyle name="40% - Accent6 4 3 2 4 4 3 2" xfId="28624"/>
    <cellStyle name="40% - Accent6 4 3 2 4 4 4" xfId="28625"/>
    <cellStyle name="40% - Accent6 4 3 2 4 4 5" xfId="28626"/>
    <cellStyle name="40% - Accent6 4 3 2 4 5" xfId="28627"/>
    <cellStyle name="40% - Accent6 4 3 2 4 5 2" xfId="28628"/>
    <cellStyle name="40% - Accent6 4 3 2 4 5 3" xfId="28629"/>
    <cellStyle name="40% - Accent6 4 3 2 4 6" xfId="28630"/>
    <cellStyle name="40% - Accent6 4 3 2 4 6 2" xfId="28631"/>
    <cellStyle name="40% - Accent6 4 3 2 4 6 3" xfId="28632"/>
    <cellStyle name="40% - Accent6 4 3 2 4 7" xfId="28633"/>
    <cellStyle name="40% - Accent6 4 3 2 4 7 2" xfId="28634"/>
    <cellStyle name="40% - Accent6 4 3 2 4 8" xfId="28635"/>
    <cellStyle name="40% - Accent6 4 3 2 4 9" xfId="28636"/>
    <cellStyle name="40% - Accent6 4 3 2 5" xfId="28637"/>
    <cellStyle name="40% - Accent6 4 3 2 5 2" xfId="28638"/>
    <cellStyle name="40% - Accent6 4 3 2 5 2 2" xfId="28639"/>
    <cellStyle name="40% - Accent6 4 3 2 5 2 3" xfId="28640"/>
    <cellStyle name="40% - Accent6 4 3 2 5 3" xfId="28641"/>
    <cellStyle name="40% - Accent6 4 3 2 5 3 2" xfId="28642"/>
    <cellStyle name="40% - Accent6 4 3 2 5 3 3" xfId="28643"/>
    <cellStyle name="40% - Accent6 4 3 2 5 4" xfId="28644"/>
    <cellStyle name="40% - Accent6 4 3 2 5 4 2" xfId="28645"/>
    <cellStyle name="40% - Accent6 4 3 2 5 5" xfId="28646"/>
    <cellStyle name="40% - Accent6 4 3 2 5 6" xfId="28647"/>
    <cellStyle name="40% - Accent6 4 3 2 6" xfId="28648"/>
    <cellStyle name="40% - Accent6 4 3 2 6 2" xfId="28649"/>
    <cellStyle name="40% - Accent6 4 3 2 6 2 2" xfId="28650"/>
    <cellStyle name="40% - Accent6 4 3 2 6 2 3" xfId="28651"/>
    <cellStyle name="40% - Accent6 4 3 2 6 3" xfId="28652"/>
    <cellStyle name="40% - Accent6 4 3 2 6 3 2" xfId="28653"/>
    <cellStyle name="40% - Accent6 4 3 2 6 3 3" xfId="28654"/>
    <cellStyle name="40% - Accent6 4 3 2 6 4" xfId="28655"/>
    <cellStyle name="40% - Accent6 4 3 2 6 4 2" xfId="28656"/>
    <cellStyle name="40% - Accent6 4 3 2 6 5" xfId="28657"/>
    <cellStyle name="40% - Accent6 4 3 2 6 6" xfId="28658"/>
    <cellStyle name="40% - Accent6 4 3 2 7" xfId="28659"/>
    <cellStyle name="40% - Accent6 4 3 2 7 2" xfId="28660"/>
    <cellStyle name="40% - Accent6 4 3 2 7 2 2" xfId="28661"/>
    <cellStyle name="40% - Accent6 4 3 2 7 2 3" xfId="28662"/>
    <cellStyle name="40% - Accent6 4 3 2 7 3" xfId="28663"/>
    <cellStyle name="40% - Accent6 4 3 2 7 3 2" xfId="28664"/>
    <cellStyle name="40% - Accent6 4 3 2 7 4" xfId="28665"/>
    <cellStyle name="40% - Accent6 4 3 2 7 5" xfId="28666"/>
    <cellStyle name="40% - Accent6 4 3 2 8" xfId="28667"/>
    <cellStyle name="40% - Accent6 4 3 2 8 2" xfId="28668"/>
    <cellStyle name="40% - Accent6 4 3 2 8 3" xfId="28669"/>
    <cellStyle name="40% - Accent6 4 3 2 9" xfId="28670"/>
    <cellStyle name="40% - Accent6 4 3 2 9 2" xfId="28671"/>
    <cellStyle name="40% - Accent6 4 3 2 9 3" xfId="28672"/>
    <cellStyle name="40% - Accent6 4 3 3" xfId="2669"/>
    <cellStyle name="40% - Accent6 4 3 3 10" xfId="28673"/>
    <cellStyle name="40% - Accent6 4 3 3 2" xfId="2670"/>
    <cellStyle name="40% - Accent6 4 3 3 2 2" xfId="28674"/>
    <cellStyle name="40% - Accent6 4 3 3 2 2 2" xfId="28675"/>
    <cellStyle name="40% - Accent6 4 3 3 2 2 2 2" xfId="28676"/>
    <cellStyle name="40% - Accent6 4 3 3 2 2 2 3" xfId="28677"/>
    <cellStyle name="40% - Accent6 4 3 3 2 2 3" xfId="28678"/>
    <cellStyle name="40% - Accent6 4 3 3 2 2 3 2" xfId="28679"/>
    <cellStyle name="40% - Accent6 4 3 3 2 2 3 3" xfId="28680"/>
    <cellStyle name="40% - Accent6 4 3 3 2 2 4" xfId="28681"/>
    <cellStyle name="40% - Accent6 4 3 3 2 2 4 2" xfId="28682"/>
    <cellStyle name="40% - Accent6 4 3 3 2 2 5" xfId="28683"/>
    <cellStyle name="40% - Accent6 4 3 3 2 2 6" xfId="28684"/>
    <cellStyle name="40% - Accent6 4 3 3 2 3" xfId="28685"/>
    <cellStyle name="40% - Accent6 4 3 3 2 3 2" xfId="28686"/>
    <cellStyle name="40% - Accent6 4 3 3 2 3 2 2" xfId="28687"/>
    <cellStyle name="40% - Accent6 4 3 3 2 3 2 3" xfId="28688"/>
    <cellStyle name="40% - Accent6 4 3 3 2 3 3" xfId="28689"/>
    <cellStyle name="40% - Accent6 4 3 3 2 3 3 2" xfId="28690"/>
    <cellStyle name="40% - Accent6 4 3 3 2 3 3 3" xfId="28691"/>
    <cellStyle name="40% - Accent6 4 3 3 2 3 4" xfId="28692"/>
    <cellStyle name="40% - Accent6 4 3 3 2 3 4 2" xfId="28693"/>
    <cellStyle name="40% - Accent6 4 3 3 2 3 5" xfId="28694"/>
    <cellStyle name="40% - Accent6 4 3 3 2 3 6" xfId="28695"/>
    <cellStyle name="40% - Accent6 4 3 3 2 4" xfId="28696"/>
    <cellStyle name="40% - Accent6 4 3 3 2 4 2" xfId="28697"/>
    <cellStyle name="40% - Accent6 4 3 3 2 4 2 2" xfId="28698"/>
    <cellStyle name="40% - Accent6 4 3 3 2 4 2 3" xfId="28699"/>
    <cellStyle name="40% - Accent6 4 3 3 2 4 3" xfId="28700"/>
    <cellStyle name="40% - Accent6 4 3 3 2 4 3 2" xfId="28701"/>
    <cellStyle name="40% - Accent6 4 3 3 2 4 4" xfId="28702"/>
    <cellStyle name="40% - Accent6 4 3 3 2 4 5" xfId="28703"/>
    <cellStyle name="40% - Accent6 4 3 3 2 5" xfId="28704"/>
    <cellStyle name="40% - Accent6 4 3 3 2 5 2" xfId="28705"/>
    <cellStyle name="40% - Accent6 4 3 3 2 5 3" xfId="28706"/>
    <cellStyle name="40% - Accent6 4 3 3 2 6" xfId="28707"/>
    <cellStyle name="40% - Accent6 4 3 3 2 6 2" xfId="28708"/>
    <cellStyle name="40% - Accent6 4 3 3 2 6 3" xfId="28709"/>
    <cellStyle name="40% - Accent6 4 3 3 2 7" xfId="28710"/>
    <cellStyle name="40% - Accent6 4 3 3 2 7 2" xfId="28711"/>
    <cellStyle name="40% - Accent6 4 3 3 2 8" xfId="28712"/>
    <cellStyle name="40% - Accent6 4 3 3 2 9" xfId="28713"/>
    <cellStyle name="40% - Accent6 4 3 3 3" xfId="28714"/>
    <cellStyle name="40% - Accent6 4 3 3 3 2" xfId="28715"/>
    <cellStyle name="40% - Accent6 4 3 3 3 2 2" xfId="28716"/>
    <cellStyle name="40% - Accent6 4 3 3 3 2 3" xfId="28717"/>
    <cellStyle name="40% - Accent6 4 3 3 3 3" xfId="28718"/>
    <cellStyle name="40% - Accent6 4 3 3 3 3 2" xfId="28719"/>
    <cellStyle name="40% - Accent6 4 3 3 3 3 3" xfId="28720"/>
    <cellStyle name="40% - Accent6 4 3 3 3 4" xfId="28721"/>
    <cellStyle name="40% - Accent6 4 3 3 3 4 2" xfId="28722"/>
    <cellStyle name="40% - Accent6 4 3 3 3 5" xfId="28723"/>
    <cellStyle name="40% - Accent6 4 3 3 3 6" xfId="28724"/>
    <cellStyle name="40% - Accent6 4 3 3 4" xfId="28725"/>
    <cellStyle name="40% - Accent6 4 3 3 4 2" xfId="28726"/>
    <cellStyle name="40% - Accent6 4 3 3 4 2 2" xfId="28727"/>
    <cellStyle name="40% - Accent6 4 3 3 4 2 3" xfId="28728"/>
    <cellStyle name="40% - Accent6 4 3 3 4 3" xfId="28729"/>
    <cellStyle name="40% - Accent6 4 3 3 4 3 2" xfId="28730"/>
    <cellStyle name="40% - Accent6 4 3 3 4 3 3" xfId="28731"/>
    <cellStyle name="40% - Accent6 4 3 3 4 4" xfId="28732"/>
    <cellStyle name="40% - Accent6 4 3 3 4 4 2" xfId="28733"/>
    <cellStyle name="40% - Accent6 4 3 3 4 5" xfId="28734"/>
    <cellStyle name="40% - Accent6 4 3 3 4 6" xfId="28735"/>
    <cellStyle name="40% - Accent6 4 3 3 5" xfId="28736"/>
    <cellStyle name="40% - Accent6 4 3 3 5 2" xfId="28737"/>
    <cellStyle name="40% - Accent6 4 3 3 5 2 2" xfId="28738"/>
    <cellStyle name="40% - Accent6 4 3 3 5 2 3" xfId="28739"/>
    <cellStyle name="40% - Accent6 4 3 3 5 3" xfId="28740"/>
    <cellStyle name="40% - Accent6 4 3 3 5 3 2" xfId="28741"/>
    <cellStyle name="40% - Accent6 4 3 3 5 4" xfId="28742"/>
    <cellStyle name="40% - Accent6 4 3 3 5 5" xfId="28743"/>
    <cellStyle name="40% - Accent6 4 3 3 6" xfId="28744"/>
    <cellStyle name="40% - Accent6 4 3 3 6 2" xfId="28745"/>
    <cellStyle name="40% - Accent6 4 3 3 6 3" xfId="28746"/>
    <cellStyle name="40% - Accent6 4 3 3 7" xfId="28747"/>
    <cellStyle name="40% - Accent6 4 3 3 7 2" xfId="28748"/>
    <cellStyle name="40% - Accent6 4 3 3 7 3" xfId="28749"/>
    <cellStyle name="40% - Accent6 4 3 3 8" xfId="28750"/>
    <cellStyle name="40% - Accent6 4 3 3 8 2" xfId="28751"/>
    <cellStyle name="40% - Accent6 4 3 3 9" xfId="28752"/>
    <cellStyle name="40% - Accent6 4 3 4" xfId="2671"/>
    <cellStyle name="40% - Accent6 4 3 4 2" xfId="28753"/>
    <cellStyle name="40% - Accent6 4 3 4 2 2" xfId="28754"/>
    <cellStyle name="40% - Accent6 4 3 4 2 2 2" xfId="28755"/>
    <cellStyle name="40% - Accent6 4 3 4 2 2 3" xfId="28756"/>
    <cellStyle name="40% - Accent6 4 3 4 2 3" xfId="28757"/>
    <cellStyle name="40% - Accent6 4 3 4 2 3 2" xfId="28758"/>
    <cellStyle name="40% - Accent6 4 3 4 2 3 3" xfId="28759"/>
    <cellStyle name="40% - Accent6 4 3 4 2 4" xfId="28760"/>
    <cellStyle name="40% - Accent6 4 3 4 2 4 2" xfId="28761"/>
    <cellStyle name="40% - Accent6 4 3 4 2 5" xfId="28762"/>
    <cellStyle name="40% - Accent6 4 3 4 2 6" xfId="28763"/>
    <cellStyle name="40% - Accent6 4 3 4 3" xfId="28764"/>
    <cellStyle name="40% - Accent6 4 3 4 3 2" xfId="28765"/>
    <cellStyle name="40% - Accent6 4 3 4 3 2 2" xfId="28766"/>
    <cellStyle name="40% - Accent6 4 3 4 3 2 3" xfId="28767"/>
    <cellStyle name="40% - Accent6 4 3 4 3 3" xfId="28768"/>
    <cellStyle name="40% - Accent6 4 3 4 3 3 2" xfId="28769"/>
    <cellStyle name="40% - Accent6 4 3 4 3 3 3" xfId="28770"/>
    <cellStyle name="40% - Accent6 4 3 4 3 4" xfId="28771"/>
    <cellStyle name="40% - Accent6 4 3 4 3 4 2" xfId="28772"/>
    <cellStyle name="40% - Accent6 4 3 4 3 5" xfId="28773"/>
    <cellStyle name="40% - Accent6 4 3 4 3 6" xfId="28774"/>
    <cellStyle name="40% - Accent6 4 3 4 4" xfId="28775"/>
    <cellStyle name="40% - Accent6 4 3 4 4 2" xfId="28776"/>
    <cellStyle name="40% - Accent6 4 3 4 4 2 2" xfId="28777"/>
    <cellStyle name="40% - Accent6 4 3 4 4 2 3" xfId="28778"/>
    <cellStyle name="40% - Accent6 4 3 4 4 3" xfId="28779"/>
    <cellStyle name="40% - Accent6 4 3 4 4 3 2" xfId="28780"/>
    <cellStyle name="40% - Accent6 4 3 4 4 4" xfId="28781"/>
    <cellStyle name="40% - Accent6 4 3 4 4 5" xfId="28782"/>
    <cellStyle name="40% - Accent6 4 3 4 5" xfId="28783"/>
    <cellStyle name="40% - Accent6 4 3 4 5 2" xfId="28784"/>
    <cellStyle name="40% - Accent6 4 3 4 5 3" xfId="28785"/>
    <cellStyle name="40% - Accent6 4 3 4 6" xfId="28786"/>
    <cellStyle name="40% - Accent6 4 3 4 6 2" xfId="28787"/>
    <cellStyle name="40% - Accent6 4 3 4 6 3" xfId="28788"/>
    <cellStyle name="40% - Accent6 4 3 4 7" xfId="28789"/>
    <cellStyle name="40% - Accent6 4 3 4 7 2" xfId="28790"/>
    <cellStyle name="40% - Accent6 4 3 4 8" xfId="28791"/>
    <cellStyle name="40% - Accent6 4 3 4 9" xfId="28792"/>
    <cellStyle name="40% - Accent6 4 3 5" xfId="28793"/>
    <cellStyle name="40% - Accent6 4 3 5 2" xfId="28794"/>
    <cellStyle name="40% - Accent6 4 3 5 2 2" xfId="28795"/>
    <cellStyle name="40% - Accent6 4 3 5 2 2 2" xfId="28796"/>
    <cellStyle name="40% - Accent6 4 3 5 2 2 3" xfId="28797"/>
    <cellStyle name="40% - Accent6 4 3 5 2 3" xfId="28798"/>
    <cellStyle name="40% - Accent6 4 3 5 2 3 2" xfId="28799"/>
    <cellStyle name="40% - Accent6 4 3 5 2 3 3" xfId="28800"/>
    <cellStyle name="40% - Accent6 4 3 5 2 4" xfId="28801"/>
    <cellStyle name="40% - Accent6 4 3 5 2 4 2" xfId="28802"/>
    <cellStyle name="40% - Accent6 4 3 5 2 5" xfId="28803"/>
    <cellStyle name="40% - Accent6 4 3 5 2 6" xfId="28804"/>
    <cellStyle name="40% - Accent6 4 3 5 3" xfId="28805"/>
    <cellStyle name="40% - Accent6 4 3 5 3 2" xfId="28806"/>
    <cellStyle name="40% - Accent6 4 3 5 3 2 2" xfId="28807"/>
    <cellStyle name="40% - Accent6 4 3 5 3 2 3" xfId="28808"/>
    <cellStyle name="40% - Accent6 4 3 5 3 3" xfId="28809"/>
    <cellStyle name="40% - Accent6 4 3 5 3 3 2" xfId="28810"/>
    <cellStyle name="40% - Accent6 4 3 5 3 3 3" xfId="28811"/>
    <cellStyle name="40% - Accent6 4 3 5 3 4" xfId="28812"/>
    <cellStyle name="40% - Accent6 4 3 5 3 4 2" xfId="28813"/>
    <cellStyle name="40% - Accent6 4 3 5 3 5" xfId="28814"/>
    <cellStyle name="40% - Accent6 4 3 5 3 6" xfId="28815"/>
    <cellStyle name="40% - Accent6 4 3 5 4" xfId="28816"/>
    <cellStyle name="40% - Accent6 4 3 5 4 2" xfId="28817"/>
    <cellStyle name="40% - Accent6 4 3 5 4 2 2" xfId="28818"/>
    <cellStyle name="40% - Accent6 4 3 5 4 2 3" xfId="28819"/>
    <cellStyle name="40% - Accent6 4 3 5 4 3" xfId="28820"/>
    <cellStyle name="40% - Accent6 4 3 5 4 3 2" xfId="28821"/>
    <cellStyle name="40% - Accent6 4 3 5 4 4" xfId="28822"/>
    <cellStyle name="40% - Accent6 4 3 5 4 5" xfId="28823"/>
    <cellStyle name="40% - Accent6 4 3 5 5" xfId="28824"/>
    <cellStyle name="40% - Accent6 4 3 5 5 2" xfId="28825"/>
    <cellStyle name="40% - Accent6 4 3 5 5 3" xfId="28826"/>
    <cellStyle name="40% - Accent6 4 3 5 6" xfId="28827"/>
    <cellStyle name="40% - Accent6 4 3 5 6 2" xfId="28828"/>
    <cellStyle name="40% - Accent6 4 3 5 6 3" xfId="28829"/>
    <cellStyle name="40% - Accent6 4 3 5 7" xfId="28830"/>
    <cellStyle name="40% - Accent6 4 3 5 7 2" xfId="28831"/>
    <cellStyle name="40% - Accent6 4 3 5 8" xfId="28832"/>
    <cellStyle name="40% - Accent6 4 3 5 9" xfId="28833"/>
    <cellStyle name="40% - Accent6 4 3 6" xfId="28834"/>
    <cellStyle name="40% - Accent6 4 3 6 2" xfId="28835"/>
    <cellStyle name="40% - Accent6 4 3 6 2 2" xfId="28836"/>
    <cellStyle name="40% - Accent6 4 3 6 2 3" xfId="28837"/>
    <cellStyle name="40% - Accent6 4 3 6 3" xfId="28838"/>
    <cellStyle name="40% - Accent6 4 3 6 3 2" xfId="28839"/>
    <cellStyle name="40% - Accent6 4 3 6 3 3" xfId="28840"/>
    <cellStyle name="40% - Accent6 4 3 6 4" xfId="28841"/>
    <cellStyle name="40% - Accent6 4 3 6 4 2" xfId="28842"/>
    <cellStyle name="40% - Accent6 4 3 6 5" xfId="28843"/>
    <cellStyle name="40% - Accent6 4 3 6 6" xfId="28844"/>
    <cellStyle name="40% - Accent6 4 3 7" xfId="28845"/>
    <cellStyle name="40% - Accent6 4 3 7 2" xfId="28846"/>
    <cellStyle name="40% - Accent6 4 3 7 2 2" xfId="28847"/>
    <cellStyle name="40% - Accent6 4 3 7 2 3" xfId="28848"/>
    <cellStyle name="40% - Accent6 4 3 7 3" xfId="28849"/>
    <cellStyle name="40% - Accent6 4 3 7 3 2" xfId="28850"/>
    <cellStyle name="40% - Accent6 4 3 7 3 3" xfId="28851"/>
    <cellStyle name="40% - Accent6 4 3 7 4" xfId="28852"/>
    <cellStyle name="40% - Accent6 4 3 7 4 2" xfId="28853"/>
    <cellStyle name="40% - Accent6 4 3 7 5" xfId="28854"/>
    <cellStyle name="40% - Accent6 4 3 7 6" xfId="28855"/>
    <cellStyle name="40% - Accent6 4 3 8" xfId="28856"/>
    <cellStyle name="40% - Accent6 4 3 8 2" xfId="28857"/>
    <cellStyle name="40% - Accent6 4 3 8 2 2" xfId="28858"/>
    <cellStyle name="40% - Accent6 4 3 8 2 3" xfId="28859"/>
    <cellStyle name="40% - Accent6 4 3 8 3" xfId="28860"/>
    <cellStyle name="40% - Accent6 4 3 8 3 2" xfId="28861"/>
    <cellStyle name="40% - Accent6 4 3 8 4" xfId="28862"/>
    <cellStyle name="40% - Accent6 4 3 8 5" xfId="28863"/>
    <cellStyle name="40% - Accent6 4 3 9" xfId="28864"/>
    <cellStyle name="40% - Accent6 4 3 9 2" xfId="28865"/>
    <cellStyle name="40% - Accent6 4 3 9 3" xfId="28866"/>
    <cellStyle name="40% - Accent6 4 4" xfId="2672"/>
    <cellStyle name="40% - Accent6 4 4 10" xfId="28867"/>
    <cellStyle name="40% - Accent6 4 4 10 2" xfId="28868"/>
    <cellStyle name="40% - Accent6 4 4 11" xfId="28869"/>
    <cellStyle name="40% - Accent6 4 4 12" xfId="28870"/>
    <cellStyle name="40% - Accent6 4 4 2" xfId="2673"/>
    <cellStyle name="40% - Accent6 4 4 2 10" xfId="28871"/>
    <cellStyle name="40% - Accent6 4 4 2 2" xfId="2674"/>
    <cellStyle name="40% - Accent6 4 4 2 2 2" xfId="28872"/>
    <cellStyle name="40% - Accent6 4 4 2 2 2 2" xfId="28873"/>
    <cellStyle name="40% - Accent6 4 4 2 2 2 2 2" xfId="28874"/>
    <cellStyle name="40% - Accent6 4 4 2 2 2 2 3" xfId="28875"/>
    <cellStyle name="40% - Accent6 4 4 2 2 2 3" xfId="28876"/>
    <cellStyle name="40% - Accent6 4 4 2 2 2 3 2" xfId="28877"/>
    <cellStyle name="40% - Accent6 4 4 2 2 2 3 3" xfId="28878"/>
    <cellStyle name="40% - Accent6 4 4 2 2 2 4" xfId="28879"/>
    <cellStyle name="40% - Accent6 4 4 2 2 2 4 2" xfId="28880"/>
    <cellStyle name="40% - Accent6 4 4 2 2 2 5" xfId="28881"/>
    <cellStyle name="40% - Accent6 4 4 2 2 2 6" xfId="28882"/>
    <cellStyle name="40% - Accent6 4 4 2 2 3" xfId="28883"/>
    <cellStyle name="40% - Accent6 4 4 2 2 3 2" xfId="28884"/>
    <cellStyle name="40% - Accent6 4 4 2 2 3 2 2" xfId="28885"/>
    <cellStyle name="40% - Accent6 4 4 2 2 3 2 3" xfId="28886"/>
    <cellStyle name="40% - Accent6 4 4 2 2 3 3" xfId="28887"/>
    <cellStyle name="40% - Accent6 4 4 2 2 3 3 2" xfId="28888"/>
    <cellStyle name="40% - Accent6 4 4 2 2 3 3 3" xfId="28889"/>
    <cellStyle name="40% - Accent6 4 4 2 2 3 4" xfId="28890"/>
    <cellStyle name="40% - Accent6 4 4 2 2 3 4 2" xfId="28891"/>
    <cellStyle name="40% - Accent6 4 4 2 2 3 5" xfId="28892"/>
    <cellStyle name="40% - Accent6 4 4 2 2 3 6" xfId="28893"/>
    <cellStyle name="40% - Accent6 4 4 2 2 4" xfId="28894"/>
    <cellStyle name="40% - Accent6 4 4 2 2 4 2" xfId="28895"/>
    <cellStyle name="40% - Accent6 4 4 2 2 4 2 2" xfId="28896"/>
    <cellStyle name="40% - Accent6 4 4 2 2 4 2 3" xfId="28897"/>
    <cellStyle name="40% - Accent6 4 4 2 2 4 3" xfId="28898"/>
    <cellStyle name="40% - Accent6 4 4 2 2 4 3 2" xfId="28899"/>
    <cellStyle name="40% - Accent6 4 4 2 2 4 4" xfId="28900"/>
    <cellStyle name="40% - Accent6 4 4 2 2 4 5" xfId="28901"/>
    <cellStyle name="40% - Accent6 4 4 2 2 5" xfId="28902"/>
    <cellStyle name="40% - Accent6 4 4 2 2 5 2" xfId="28903"/>
    <cellStyle name="40% - Accent6 4 4 2 2 5 3" xfId="28904"/>
    <cellStyle name="40% - Accent6 4 4 2 2 6" xfId="28905"/>
    <cellStyle name="40% - Accent6 4 4 2 2 6 2" xfId="28906"/>
    <cellStyle name="40% - Accent6 4 4 2 2 6 3" xfId="28907"/>
    <cellStyle name="40% - Accent6 4 4 2 2 7" xfId="28908"/>
    <cellStyle name="40% - Accent6 4 4 2 2 7 2" xfId="28909"/>
    <cellStyle name="40% - Accent6 4 4 2 2 8" xfId="28910"/>
    <cellStyle name="40% - Accent6 4 4 2 2 9" xfId="28911"/>
    <cellStyle name="40% - Accent6 4 4 2 3" xfId="28912"/>
    <cellStyle name="40% - Accent6 4 4 2 3 2" xfId="28913"/>
    <cellStyle name="40% - Accent6 4 4 2 3 2 2" xfId="28914"/>
    <cellStyle name="40% - Accent6 4 4 2 3 2 3" xfId="28915"/>
    <cellStyle name="40% - Accent6 4 4 2 3 3" xfId="28916"/>
    <cellStyle name="40% - Accent6 4 4 2 3 3 2" xfId="28917"/>
    <cellStyle name="40% - Accent6 4 4 2 3 3 3" xfId="28918"/>
    <cellStyle name="40% - Accent6 4 4 2 3 4" xfId="28919"/>
    <cellStyle name="40% - Accent6 4 4 2 3 4 2" xfId="28920"/>
    <cellStyle name="40% - Accent6 4 4 2 3 5" xfId="28921"/>
    <cellStyle name="40% - Accent6 4 4 2 3 6" xfId="28922"/>
    <cellStyle name="40% - Accent6 4 4 2 4" xfId="28923"/>
    <cellStyle name="40% - Accent6 4 4 2 4 2" xfId="28924"/>
    <cellStyle name="40% - Accent6 4 4 2 4 2 2" xfId="28925"/>
    <cellStyle name="40% - Accent6 4 4 2 4 2 3" xfId="28926"/>
    <cellStyle name="40% - Accent6 4 4 2 4 3" xfId="28927"/>
    <cellStyle name="40% - Accent6 4 4 2 4 3 2" xfId="28928"/>
    <cellStyle name="40% - Accent6 4 4 2 4 3 3" xfId="28929"/>
    <cellStyle name="40% - Accent6 4 4 2 4 4" xfId="28930"/>
    <cellStyle name="40% - Accent6 4 4 2 4 4 2" xfId="28931"/>
    <cellStyle name="40% - Accent6 4 4 2 4 5" xfId="28932"/>
    <cellStyle name="40% - Accent6 4 4 2 4 6" xfId="28933"/>
    <cellStyle name="40% - Accent6 4 4 2 5" xfId="28934"/>
    <cellStyle name="40% - Accent6 4 4 2 5 2" xfId="28935"/>
    <cellStyle name="40% - Accent6 4 4 2 5 2 2" xfId="28936"/>
    <cellStyle name="40% - Accent6 4 4 2 5 2 3" xfId="28937"/>
    <cellStyle name="40% - Accent6 4 4 2 5 3" xfId="28938"/>
    <cellStyle name="40% - Accent6 4 4 2 5 3 2" xfId="28939"/>
    <cellStyle name="40% - Accent6 4 4 2 5 4" xfId="28940"/>
    <cellStyle name="40% - Accent6 4 4 2 5 5" xfId="28941"/>
    <cellStyle name="40% - Accent6 4 4 2 6" xfId="28942"/>
    <cellStyle name="40% - Accent6 4 4 2 6 2" xfId="28943"/>
    <cellStyle name="40% - Accent6 4 4 2 6 3" xfId="28944"/>
    <cellStyle name="40% - Accent6 4 4 2 7" xfId="28945"/>
    <cellStyle name="40% - Accent6 4 4 2 7 2" xfId="28946"/>
    <cellStyle name="40% - Accent6 4 4 2 7 3" xfId="28947"/>
    <cellStyle name="40% - Accent6 4 4 2 8" xfId="28948"/>
    <cellStyle name="40% - Accent6 4 4 2 8 2" xfId="28949"/>
    <cellStyle name="40% - Accent6 4 4 2 9" xfId="28950"/>
    <cellStyle name="40% - Accent6 4 4 3" xfId="2675"/>
    <cellStyle name="40% - Accent6 4 4 3 2" xfId="28951"/>
    <cellStyle name="40% - Accent6 4 4 3 2 2" xfId="28952"/>
    <cellStyle name="40% - Accent6 4 4 3 2 2 2" xfId="28953"/>
    <cellStyle name="40% - Accent6 4 4 3 2 2 3" xfId="28954"/>
    <cellStyle name="40% - Accent6 4 4 3 2 3" xfId="28955"/>
    <cellStyle name="40% - Accent6 4 4 3 2 3 2" xfId="28956"/>
    <cellStyle name="40% - Accent6 4 4 3 2 3 3" xfId="28957"/>
    <cellStyle name="40% - Accent6 4 4 3 2 4" xfId="28958"/>
    <cellStyle name="40% - Accent6 4 4 3 2 4 2" xfId="28959"/>
    <cellStyle name="40% - Accent6 4 4 3 2 5" xfId="28960"/>
    <cellStyle name="40% - Accent6 4 4 3 2 6" xfId="28961"/>
    <cellStyle name="40% - Accent6 4 4 3 3" xfId="28962"/>
    <cellStyle name="40% - Accent6 4 4 3 3 2" xfId="28963"/>
    <cellStyle name="40% - Accent6 4 4 3 3 2 2" xfId="28964"/>
    <cellStyle name="40% - Accent6 4 4 3 3 2 3" xfId="28965"/>
    <cellStyle name="40% - Accent6 4 4 3 3 3" xfId="28966"/>
    <cellStyle name="40% - Accent6 4 4 3 3 3 2" xfId="28967"/>
    <cellStyle name="40% - Accent6 4 4 3 3 3 3" xfId="28968"/>
    <cellStyle name="40% - Accent6 4 4 3 3 4" xfId="28969"/>
    <cellStyle name="40% - Accent6 4 4 3 3 4 2" xfId="28970"/>
    <cellStyle name="40% - Accent6 4 4 3 3 5" xfId="28971"/>
    <cellStyle name="40% - Accent6 4 4 3 3 6" xfId="28972"/>
    <cellStyle name="40% - Accent6 4 4 3 4" xfId="28973"/>
    <cellStyle name="40% - Accent6 4 4 3 4 2" xfId="28974"/>
    <cellStyle name="40% - Accent6 4 4 3 4 2 2" xfId="28975"/>
    <cellStyle name="40% - Accent6 4 4 3 4 2 3" xfId="28976"/>
    <cellStyle name="40% - Accent6 4 4 3 4 3" xfId="28977"/>
    <cellStyle name="40% - Accent6 4 4 3 4 3 2" xfId="28978"/>
    <cellStyle name="40% - Accent6 4 4 3 4 4" xfId="28979"/>
    <cellStyle name="40% - Accent6 4 4 3 4 5" xfId="28980"/>
    <cellStyle name="40% - Accent6 4 4 3 5" xfId="28981"/>
    <cellStyle name="40% - Accent6 4 4 3 5 2" xfId="28982"/>
    <cellStyle name="40% - Accent6 4 4 3 5 3" xfId="28983"/>
    <cellStyle name="40% - Accent6 4 4 3 6" xfId="28984"/>
    <cellStyle name="40% - Accent6 4 4 3 6 2" xfId="28985"/>
    <cellStyle name="40% - Accent6 4 4 3 6 3" xfId="28986"/>
    <cellStyle name="40% - Accent6 4 4 3 7" xfId="28987"/>
    <cellStyle name="40% - Accent6 4 4 3 7 2" xfId="28988"/>
    <cellStyle name="40% - Accent6 4 4 3 8" xfId="28989"/>
    <cellStyle name="40% - Accent6 4 4 3 9" xfId="28990"/>
    <cellStyle name="40% - Accent6 4 4 4" xfId="28991"/>
    <cellStyle name="40% - Accent6 4 4 4 2" xfId="28992"/>
    <cellStyle name="40% - Accent6 4 4 4 2 2" xfId="28993"/>
    <cellStyle name="40% - Accent6 4 4 4 2 2 2" xfId="28994"/>
    <cellStyle name="40% - Accent6 4 4 4 2 2 3" xfId="28995"/>
    <cellStyle name="40% - Accent6 4 4 4 2 3" xfId="28996"/>
    <cellStyle name="40% - Accent6 4 4 4 2 3 2" xfId="28997"/>
    <cellStyle name="40% - Accent6 4 4 4 2 3 3" xfId="28998"/>
    <cellStyle name="40% - Accent6 4 4 4 2 4" xfId="28999"/>
    <cellStyle name="40% - Accent6 4 4 4 2 4 2" xfId="29000"/>
    <cellStyle name="40% - Accent6 4 4 4 2 5" xfId="29001"/>
    <cellStyle name="40% - Accent6 4 4 4 2 6" xfId="29002"/>
    <cellStyle name="40% - Accent6 4 4 4 3" xfId="29003"/>
    <cellStyle name="40% - Accent6 4 4 4 3 2" xfId="29004"/>
    <cellStyle name="40% - Accent6 4 4 4 3 2 2" xfId="29005"/>
    <cellStyle name="40% - Accent6 4 4 4 3 2 3" xfId="29006"/>
    <cellStyle name="40% - Accent6 4 4 4 3 3" xfId="29007"/>
    <cellStyle name="40% - Accent6 4 4 4 3 3 2" xfId="29008"/>
    <cellStyle name="40% - Accent6 4 4 4 3 3 3" xfId="29009"/>
    <cellStyle name="40% - Accent6 4 4 4 3 4" xfId="29010"/>
    <cellStyle name="40% - Accent6 4 4 4 3 4 2" xfId="29011"/>
    <cellStyle name="40% - Accent6 4 4 4 3 5" xfId="29012"/>
    <cellStyle name="40% - Accent6 4 4 4 3 6" xfId="29013"/>
    <cellStyle name="40% - Accent6 4 4 4 4" xfId="29014"/>
    <cellStyle name="40% - Accent6 4 4 4 4 2" xfId="29015"/>
    <cellStyle name="40% - Accent6 4 4 4 4 2 2" xfId="29016"/>
    <cellStyle name="40% - Accent6 4 4 4 4 2 3" xfId="29017"/>
    <cellStyle name="40% - Accent6 4 4 4 4 3" xfId="29018"/>
    <cellStyle name="40% - Accent6 4 4 4 4 3 2" xfId="29019"/>
    <cellStyle name="40% - Accent6 4 4 4 4 4" xfId="29020"/>
    <cellStyle name="40% - Accent6 4 4 4 4 5" xfId="29021"/>
    <cellStyle name="40% - Accent6 4 4 4 5" xfId="29022"/>
    <cellStyle name="40% - Accent6 4 4 4 5 2" xfId="29023"/>
    <cellStyle name="40% - Accent6 4 4 4 5 3" xfId="29024"/>
    <cellStyle name="40% - Accent6 4 4 4 6" xfId="29025"/>
    <cellStyle name="40% - Accent6 4 4 4 6 2" xfId="29026"/>
    <cellStyle name="40% - Accent6 4 4 4 6 3" xfId="29027"/>
    <cellStyle name="40% - Accent6 4 4 4 7" xfId="29028"/>
    <cellStyle name="40% - Accent6 4 4 4 7 2" xfId="29029"/>
    <cellStyle name="40% - Accent6 4 4 4 8" xfId="29030"/>
    <cellStyle name="40% - Accent6 4 4 4 9" xfId="29031"/>
    <cellStyle name="40% - Accent6 4 4 5" xfId="29032"/>
    <cellStyle name="40% - Accent6 4 4 5 2" xfId="29033"/>
    <cellStyle name="40% - Accent6 4 4 5 2 2" xfId="29034"/>
    <cellStyle name="40% - Accent6 4 4 5 2 3" xfId="29035"/>
    <cellStyle name="40% - Accent6 4 4 5 3" xfId="29036"/>
    <cellStyle name="40% - Accent6 4 4 5 3 2" xfId="29037"/>
    <cellStyle name="40% - Accent6 4 4 5 3 3" xfId="29038"/>
    <cellStyle name="40% - Accent6 4 4 5 4" xfId="29039"/>
    <cellStyle name="40% - Accent6 4 4 5 4 2" xfId="29040"/>
    <cellStyle name="40% - Accent6 4 4 5 5" xfId="29041"/>
    <cellStyle name="40% - Accent6 4 4 5 6" xfId="29042"/>
    <cellStyle name="40% - Accent6 4 4 6" xfId="29043"/>
    <cellStyle name="40% - Accent6 4 4 6 2" xfId="29044"/>
    <cellStyle name="40% - Accent6 4 4 6 2 2" xfId="29045"/>
    <cellStyle name="40% - Accent6 4 4 6 2 3" xfId="29046"/>
    <cellStyle name="40% - Accent6 4 4 6 3" xfId="29047"/>
    <cellStyle name="40% - Accent6 4 4 6 3 2" xfId="29048"/>
    <cellStyle name="40% - Accent6 4 4 6 3 3" xfId="29049"/>
    <cellStyle name="40% - Accent6 4 4 6 4" xfId="29050"/>
    <cellStyle name="40% - Accent6 4 4 6 4 2" xfId="29051"/>
    <cellStyle name="40% - Accent6 4 4 6 5" xfId="29052"/>
    <cellStyle name="40% - Accent6 4 4 6 6" xfId="29053"/>
    <cellStyle name="40% - Accent6 4 4 7" xfId="29054"/>
    <cellStyle name="40% - Accent6 4 4 7 2" xfId="29055"/>
    <cellStyle name="40% - Accent6 4 4 7 2 2" xfId="29056"/>
    <cellStyle name="40% - Accent6 4 4 7 2 3" xfId="29057"/>
    <cellStyle name="40% - Accent6 4 4 7 3" xfId="29058"/>
    <cellStyle name="40% - Accent6 4 4 7 3 2" xfId="29059"/>
    <cellStyle name="40% - Accent6 4 4 7 4" xfId="29060"/>
    <cellStyle name="40% - Accent6 4 4 7 5" xfId="29061"/>
    <cellStyle name="40% - Accent6 4 4 8" xfId="29062"/>
    <cellStyle name="40% - Accent6 4 4 8 2" xfId="29063"/>
    <cellStyle name="40% - Accent6 4 4 8 3" xfId="29064"/>
    <cellStyle name="40% - Accent6 4 4 9" xfId="29065"/>
    <cellStyle name="40% - Accent6 4 4 9 2" xfId="29066"/>
    <cellStyle name="40% - Accent6 4 4 9 3" xfId="29067"/>
    <cellStyle name="40% - Accent6 4 5" xfId="2676"/>
    <cellStyle name="40% - Accent6 4 5 10" xfId="29068"/>
    <cellStyle name="40% - Accent6 4 5 2" xfId="2677"/>
    <cellStyle name="40% - Accent6 4 5 2 2" xfId="29069"/>
    <cellStyle name="40% - Accent6 4 5 2 2 2" xfId="29070"/>
    <cellStyle name="40% - Accent6 4 5 2 2 2 2" xfId="29071"/>
    <cellStyle name="40% - Accent6 4 5 2 2 2 3" xfId="29072"/>
    <cellStyle name="40% - Accent6 4 5 2 2 3" xfId="29073"/>
    <cellStyle name="40% - Accent6 4 5 2 2 3 2" xfId="29074"/>
    <cellStyle name="40% - Accent6 4 5 2 2 3 3" xfId="29075"/>
    <cellStyle name="40% - Accent6 4 5 2 2 4" xfId="29076"/>
    <cellStyle name="40% - Accent6 4 5 2 2 4 2" xfId="29077"/>
    <cellStyle name="40% - Accent6 4 5 2 2 5" xfId="29078"/>
    <cellStyle name="40% - Accent6 4 5 2 2 6" xfId="29079"/>
    <cellStyle name="40% - Accent6 4 5 2 3" xfId="29080"/>
    <cellStyle name="40% - Accent6 4 5 2 3 2" xfId="29081"/>
    <cellStyle name="40% - Accent6 4 5 2 3 2 2" xfId="29082"/>
    <cellStyle name="40% - Accent6 4 5 2 3 2 3" xfId="29083"/>
    <cellStyle name="40% - Accent6 4 5 2 3 3" xfId="29084"/>
    <cellStyle name="40% - Accent6 4 5 2 3 3 2" xfId="29085"/>
    <cellStyle name="40% - Accent6 4 5 2 3 3 3" xfId="29086"/>
    <cellStyle name="40% - Accent6 4 5 2 3 4" xfId="29087"/>
    <cellStyle name="40% - Accent6 4 5 2 3 4 2" xfId="29088"/>
    <cellStyle name="40% - Accent6 4 5 2 3 5" xfId="29089"/>
    <cellStyle name="40% - Accent6 4 5 2 3 6" xfId="29090"/>
    <cellStyle name="40% - Accent6 4 5 2 4" xfId="29091"/>
    <cellStyle name="40% - Accent6 4 5 2 4 2" xfId="29092"/>
    <cellStyle name="40% - Accent6 4 5 2 4 2 2" xfId="29093"/>
    <cellStyle name="40% - Accent6 4 5 2 4 2 3" xfId="29094"/>
    <cellStyle name="40% - Accent6 4 5 2 4 3" xfId="29095"/>
    <cellStyle name="40% - Accent6 4 5 2 4 3 2" xfId="29096"/>
    <cellStyle name="40% - Accent6 4 5 2 4 4" xfId="29097"/>
    <cellStyle name="40% - Accent6 4 5 2 4 5" xfId="29098"/>
    <cellStyle name="40% - Accent6 4 5 2 5" xfId="29099"/>
    <cellStyle name="40% - Accent6 4 5 2 5 2" xfId="29100"/>
    <cellStyle name="40% - Accent6 4 5 2 5 3" xfId="29101"/>
    <cellStyle name="40% - Accent6 4 5 2 6" xfId="29102"/>
    <cellStyle name="40% - Accent6 4 5 2 6 2" xfId="29103"/>
    <cellStyle name="40% - Accent6 4 5 2 6 3" xfId="29104"/>
    <cellStyle name="40% - Accent6 4 5 2 7" xfId="29105"/>
    <cellStyle name="40% - Accent6 4 5 2 7 2" xfId="29106"/>
    <cellStyle name="40% - Accent6 4 5 2 8" xfId="29107"/>
    <cellStyle name="40% - Accent6 4 5 2 9" xfId="29108"/>
    <cellStyle name="40% - Accent6 4 5 3" xfId="29109"/>
    <cellStyle name="40% - Accent6 4 5 3 2" xfId="29110"/>
    <cellStyle name="40% - Accent6 4 5 3 2 2" xfId="29111"/>
    <cellStyle name="40% - Accent6 4 5 3 2 3" xfId="29112"/>
    <cellStyle name="40% - Accent6 4 5 3 3" xfId="29113"/>
    <cellStyle name="40% - Accent6 4 5 3 3 2" xfId="29114"/>
    <cellStyle name="40% - Accent6 4 5 3 3 3" xfId="29115"/>
    <cellStyle name="40% - Accent6 4 5 3 4" xfId="29116"/>
    <cellStyle name="40% - Accent6 4 5 3 4 2" xfId="29117"/>
    <cellStyle name="40% - Accent6 4 5 3 5" xfId="29118"/>
    <cellStyle name="40% - Accent6 4 5 3 6" xfId="29119"/>
    <cellStyle name="40% - Accent6 4 5 4" xfId="29120"/>
    <cellStyle name="40% - Accent6 4 5 4 2" xfId="29121"/>
    <cellStyle name="40% - Accent6 4 5 4 2 2" xfId="29122"/>
    <cellStyle name="40% - Accent6 4 5 4 2 3" xfId="29123"/>
    <cellStyle name="40% - Accent6 4 5 4 3" xfId="29124"/>
    <cellStyle name="40% - Accent6 4 5 4 3 2" xfId="29125"/>
    <cellStyle name="40% - Accent6 4 5 4 3 3" xfId="29126"/>
    <cellStyle name="40% - Accent6 4 5 4 4" xfId="29127"/>
    <cellStyle name="40% - Accent6 4 5 4 4 2" xfId="29128"/>
    <cellStyle name="40% - Accent6 4 5 4 5" xfId="29129"/>
    <cellStyle name="40% - Accent6 4 5 4 6" xfId="29130"/>
    <cellStyle name="40% - Accent6 4 5 5" xfId="29131"/>
    <cellStyle name="40% - Accent6 4 5 5 2" xfId="29132"/>
    <cellStyle name="40% - Accent6 4 5 5 2 2" xfId="29133"/>
    <cellStyle name="40% - Accent6 4 5 5 2 3" xfId="29134"/>
    <cellStyle name="40% - Accent6 4 5 5 3" xfId="29135"/>
    <cellStyle name="40% - Accent6 4 5 5 3 2" xfId="29136"/>
    <cellStyle name="40% - Accent6 4 5 5 4" xfId="29137"/>
    <cellStyle name="40% - Accent6 4 5 5 5" xfId="29138"/>
    <cellStyle name="40% - Accent6 4 5 6" xfId="29139"/>
    <cellStyle name="40% - Accent6 4 5 6 2" xfId="29140"/>
    <cellStyle name="40% - Accent6 4 5 6 3" xfId="29141"/>
    <cellStyle name="40% - Accent6 4 5 7" xfId="29142"/>
    <cellStyle name="40% - Accent6 4 5 7 2" xfId="29143"/>
    <cellStyle name="40% - Accent6 4 5 7 3" xfId="29144"/>
    <cellStyle name="40% - Accent6 4 5 8" xfId="29145"/>
    <cellStyle name="40% - Accent6 4 5 8 2" xfId="29146"/>
    <cellStyle name="40% - Accent6 4 5 9" xfId="29147"/>
    <cellStyle name="40% - Accent6 4 6" xfId="2678"/>
    <cellStyle name="40% - Accent6 4 6 2" xfId="29148"/>
    <cellStyle name="40% - Accent6 4 6 2 2" xfId="29149"/>
    <cellStyle name="40% - Accent6 4 6 2 2 2" xfId="29150"/>
    <cellStyle name="40% - Accent6 4 6 2 2 3" xfId="29151"/>
    <cellStyle name="40% - Accent6 4 6 2 3" xfId="29152"/>
    <cellStyle name="40% - Accent6 4 6 2 3 2" xfId="29153"/>
    <cellStyle name="40% - Accent6 4 6 2 3 3" xfId="29154"/>
    <cellStyle name="40% - Accent6 4 6 2 4" xfId="29155"/>
    <cellStyle name="40% - Accent6 4 6 2 4 2" xfId="29156"/>
    <cellStyle name="40% - Accent6 4 6 2 5" xfId="29157"/>
    <cellStyle name="40% - Accent6 4 6 2 6" xfId="29158"/>
    <cellStyle name="40% - Accent6 4 6 3" xfId="29159"/>
    <cellStyle name="40% - Accent6 4 6 3 2" xfId="29160"/>
    <cellStyle name="40% - Accent6 4 6 3 2 2" xfId="29161"/>
    <cellStyle name="40% - Accent6 4 6 3 2 3" xfId="29162"/>
    <cellStyle name="40% - Accent6 4 6 3 3" xfId="29163"/>
    <cellStyle name="40% - Accent6 4 6 3 3 2" xfId="29164"/>
    <cellStyle name="40% - Accent6 4 6 3 3 3" xfId="29165"/>
    <cellStyle name="40% - Accent6 4 6 3 4" xfId="29166"/>
    <cellStyle name="40% - Accent6 4 6 3 4 2" xfId="29167"/>
    <cellStyle name="40% - Accent6 4 6 3 5" xfId="29168"/>
    <cellStyle name="40% - Accent6 4 6 3 6" xfId="29169"/>
    <cellStyle name="40% - Accent6 4 6 4" xfId="29170"/>
    <cellStyle name="40% - Accent6 4 6 4 2" xfId="29171"/>
    <cellStyle name="40% - Accent6 4 6 4 2 2" xfId="29172"/>
    <cellStyle name="40% - Accent6 4 6 4 2 3" xfId="29173"/>
    <cellStyle name="40% - Accent6 4 6 4 3" xfId="29174"/>
    <cellStyle name="40% - Accent6 4 6 4 3 2" xfId="29175"/>
    <cellStyle name="40% - Accent6 4 6 4 4" xfId="29176"/>
    <cellStyle name="40% - Accent6 4 6 4 5" xfId="29177"/>
    <cellStyle name="40% - Accent6 4 6 5" xfId="29178"/>
    <cellStyle name="40% - Accent6 4 6 5 2" xfId="29179"/>
    <cellStyle name="40% - Accent6 4 6 5 3" xfId="29180"/>
    <cellStyle name="40% - Accent6 4 6 6" xfId="29181"/>
    <cellStyle name="40% - Accent6 4 6 6 2" xfId="29182"/>
    <cellStyle name="40% - Accent6 4 6 6 3" xfId="29183"/>
    <cellStyle name="40% - Accent6 4 6 7" xfId="29184"/>
    <cellStyle name="40% - Accent6 4 6 7 2" xfId="29185"/>
    <cellStyle name="40% - Accent6 4 6 8" xfId="29186"/>
    <cellStyle name="40% - Accent6 4 6 9" xfId="29187"/>
    <cellStyle name="40% - Accent6 4 7" xfId="9009"/>
    <cellStyle name="40% - Accent6 4 7 2" xfId="29188"/>
    <cellStyle name="40% - Accent6 4 7 2 2" xfId="29189"/>
    <cellStyle name="40% - Accent6 4 7 2 2 2" xfId="29190"/>
    <cellStyle name="40% - Accent6 4 7 2 2 3" xfId="29191"/>
    <cellStyle name="40% - Accent6 4 7 2 3" xfId="29192"/>
    <cellStyle name="40% - Accent6 4 7 2 3 2" xfId="29193"/>
    <cellStyle name="40% - Accent6 4 7 2 3 3" xfId="29194"/>
    <cellStyle name="40% - Accent6 4 7 2 4" xfId="29195"/>
    <cellStyle name="40% - Accent6 4 7 2 4 2" xfId="29196"/>
    <cellStyle name="40% - Accent6 4 7 2 5" xfId="29197"/>
    <cellStyle name="40% - Accent6 4 7 2 6" xfId="29198"/>
    <cellStyle name="40% - Accent6 4 7 3" xfId="29199"/>
    <cellStyle name="40% - Accent6 4 7 3 2" xfId="29200"/>
    <cellStyle name="40% - Accent6 4 7 3 2 2" xfId="29201"/>
    <cellStyle name="40% - Accent6 4 7 3 2 3" xfId="29202"/>
    <cellStyle name="40% - Accent6 4 7 3 3" xfId="29203"/>
    <cellStyle name="40% - Accent6 4 7 3 3 2" xfId="29204"/>
    <cellStyle name="40% - Accent6 4 7 3 3 3" xfId="29205"/>
    <cellStyle name="40% - Accent6 4 7 3 4" xfId="29206"/>
    <cellStyle name="40% - Accent6 4 7 3 4 2" xfId="29207"/>
    <cellStyle name="40% - Accent6 4 7 3 5" xfId="29208"/>
    <cellStyle name="40% - Accent6 4 7 3 6" xfId="29209"/>
    <cellStyle name="40% - Accent6 4 7 4" xfId="29210"/>
    <cellStyle name="40% - Accent6 4 7 4 2" xfId="29211"/>
    <cellStyle name="40% - Accent6 4 7 4 2 2" xfId="29212"/>
    <cellStyle name="40% - Accent6 4 7 4 2 3" xfId="29213"/>
    <cellStyle name="40% - Accent6 4 7 4 3" xfId="29214"/>
    <cellStyle name="40% - Accent6 4 7 4 3 2" xfId="29215"/>
    <cellStyle name="40% - Accent6 4 7 4 4" xfId="29216"/>
    <cellStyle name="40% - Accent6 4 7 4 5" xfId="29217"/>
    <cellStyle name="40% - Accent6 4 7 5" xfId="29218"/>
    <cellStyle name="40% - Accent6 4 7 5 2" xfId="29219"/>
    <cellStyle name="40% - Accent6 4 7 5 3" xfId="29220"/>
    <cellStyle name="40% - Accent6 4 7 6" xfId="29221"/>
    <cellStyle name="40% - Accent6 4 7 6 2" xfId="29222"/>
    <cellStyle name="40% - Accent6 4 7 6 3" xfId="29223"/>
    <cellStyle name="40% - Accent6 4 7 7" xfId="29224"/>
    <cellStyle name="40% - Accent6 4 7 7 2" xfId="29225"/>
    <cellStyle name="40% - Accent6 4 7 8" xfId="29226"/>
    <cellStyle name="40% - Accent6 4 7 9" xfId="29227"/>
    <cellStyle name="40% - Accent6 4 8" xfId="29228"/>
    <cellStyle name="40% - Accent6 4 8 2" xfId="29229"/>
    <cellStyle name="40% - Accent6 4 8 2 2" xfId="29230"/>
    <cellStyle name="40% - Accent6 4 8 2 3" xfId="29231"/>
    <cellStyle name="40% - Accent6 4 8 3" xfId="29232"/>
    <cellStyle name="40% - Accent6 4 8 3 2" xfId="29233"/>
    <cellStyle name="40% - Accent6 4 8 3 3" xfId="29234"/>
    <cellStyle name="40% - Accent6 4 8 4" xfId="29235"/>
    <cellStyle name="40% - Accent6 4 8 4 2" xfId="29236"/>
    <cellStyle name="40% - Accent6 4 8 5" xfId="29237"/>
    <cellStyle name="40% - Accent6 4 8 6" xfId="29238"/>
    <cellStyle name="40% - Accent6 4 9" xfId="29239"/>
    <cellStyle name="40% - Accent6 4 9 2" xfId="29240"/>
    <cellStyle name="40% - Accent6 4 9 2 2" xfId="29241"/>
    <cellStyle name="40% - Accent6 4 9 2 3" xfId="29242"/>
    <cellStyle name="40% - Accent6 4 9 3" xfId="29243"/>
    <cellStyle name="40% - Accent6 4 9 3 2" xfId="29244"/>
    <cellStyle name="40% - Accent6 4 9 3 3" xfId="29245"/>
    <cellStyle name="40% - Accent6 4 9 4" xfId="29246"/>
    <cellStyle name="40% - Accent6 4 9 4 2" xfId="29247"/>
    <cellStyle name="40% - Accent6 4 9 5" xfId="29248"/>
    <cellStyle name="40% - Accent6 4 9 6" xfId="29249"/>
    <cellStyle name="40% - Accent6 5" xfId="2679"/>
    <cellStyle name="40% - Accent6 5 2" xfId="2680"/>
    <cellStyle name="40% - Accent6 5 2 2" xfId="2681"/>
    <cellStyle name="40% - Accent6 5 2 2 2" xfId="2682"/>
    <cellStyle name="40% - Accent6 5 2 2 2 2" xfId="2683"/>
    <cellStyle name="40% - Accent6 5 2 2 3" xfId="2684"/>
    <cellStyle name="40% - Accent6 5 2 3" xfId="2685"/>
    <cellStyle name="40% - Accent6 5 2 3 2" xfId="2686"/>
    <cellStyle name="40% - Accent6 5 2 4" xfId="2687"/>
    <cellStyle name="40% - Accent6 5 2 5" xfId="58126"/>
    <cellStyle name="40% - Accent6 5 3" xfId="2688"/>
    <cellStyle name="40% - Accent6 5 3 2" xfId="2689"/>
    <cellStyle name="40% - Accent6 5 3 2 2" xfId="2690"/>
    <cellStyle name="40% - Accent6 5 3 3" xfId="2691"/>
    <cellStyle name="40% - Accent6 5 4" xfId="2692"/>
    <cellStyle name="40% - Accent6 5 4 2" xfId="2693"/>
    <cellStyle name="40% - Accent6 5 5" xfId="2694"/>
    <cellStyle name="40% - Accent6 5 6" xfId="9010"/>
    <cellStyle name="40% - Accent6 6" xfId="2695"/>
    <cellStyle name="40% - Accent6 6 2" xfId="2696"/>
    <cellStyle name="40% - Accent6 6 2 2" xfId="2697"/>
    <cellStyle name="40% - Accent6 6 2 2 2" xfId="2698"/>
    <cellStyle name="40% - Accent6 6 2 3" xfId="2699"/>
    <cellStyle name="40% - Accent6 6 2 4" xfId="58127"/>
    <cellStyle name="40% - Accent6 6 2 5" xfId="58128"/>
    <cellStyle name="40% - Accent6 6 3" xfId="2700"/>
    <cellStyle name="40% - Accent6 6 3 2" xfId="2701"/>
    <cellStyle name="40% - Accent6 6 4" xfId="2702"/>
    <cellStyle name="40% - Accent6 6 5" xfId="58129"/>
    <cellStyle name="40% - Accent6 7" xfId="2703"/>
    <cellStyle name="40% - Accent6 7 2" xfId="2704"/>
    <cellStyle name="40% - Accent6 7 2 2" xfId="2705"/>
    <cellStyle name="40% - Accent6 7 2 2 2" xfId="2706"/>
    <cellStyle name="40% - Accent6 7 2 3" xfId="2707"/>
    <cellStyle name="40% - Accent6 7 3" xfId="2708"/>
    <cellStyle name="40% - Accent6 7 3 2" xfId="2709"/>
    <cellStyle name="40% - Accent6 7 4" xfId="2710"/>
    <cellStyle name="40% - Accent6 7 5" xfId="58130"/>
    <cellStyle name="40% - Accent6 8" xfId="2711"/>
    <cellStyle name="40% - Accent6 8 2" xfId="2712"/>
    <cellStyle name="40% - Accent6 8 2 2" xfId="2713"/>
    <cellStyle name="40% - Accent6 8 2 2 2" xfId="2714"/>
    <cellStyle name="40% - Accent6 8 2 3" xfId="2715"/>
    <cellStyle name="40% - Accent6 8 3" xfId="2716"/>
    <cellStyle name="40% - Accent6 8 3 2" xfId="2717"/>
    <cellStyle name="40% - Accent6 8 4" xfId="2718"/>
    <cellStyle name="40% - Accent6 8 5" xfId="58131"/>
    <cellStyle name="40% - Accent6 9" xfId="2719"/>
    <cellStyle name="40% - Accent6 9 2" xfId="2720"/>
    <cellStyle name="40% - Accent6 9 2 2" xfId="2721"/>
    <cellStyle name="40% - Accent6 9 3" xfId="2722"/>
    <cellStyle name="40% - Accent6 9 4" xfId="58132"/>
    <cellStyle name="60% - Accent1 10" xfId="9414"/>
    <cellStyle name="60% - Accent1 11" xfId="9415"/>
    <cellStyle name="60% - Accent1 12" xfId="9416"/>
    <cellStyle name="60% - Accent1 13" xfId="9417"/>
    <cellStyle name="60% - Accent1 14" xfId="9418"/>
    <cellStyle name="60% - Accent1 15" xfId="9419"/>
    <cellStyle name="60% - Accent1 16" xfId="9420"/>
    <cellStyle name="60% - Accent1 17" xfId="9421"/>
    <cellStyle name="60% - Accent1 17 2" xfId="58133"/>
    <cellStyle name="60% - Accent1 2" xfId="2723"/>
    <cellStyle name="60% - Accent1 2 2" xfId="2724"/>
    <cellStyle name="60% - Accent1 2 2 2" xfId="29250"/>
    <cellStyle name="60% - Accent1 2 3" xfId="29251"/>
    <cellStyle name="60% - Accent1 2 4" xfId="29252"/>
    <cellStyle name="60% - Accent1 2 5" xfId="29253"/>
    <cellStyle name="60% - Accent1 2 6" xfId="29254"/>
    <cellStyle name="60% - Accent1 3" xfId="2725"/>
    <cellStyle name="60% - Accent1 3 2" xfId="9011"/>
    <cellStyle name="60% - Accent1 3 3" xfId="29255"/>
    <cellStyle name="60% - Accent1 4" xfId="2726"/>
    <cellStyle name="60% - Accent1 4 2" xfId="29256"/>
    <cellStyle name="60% - Accent1 4 3" xfId="29257"/>
    <cellStyle name="60% - Accent1 5" xfId="9012"/>
    <cellStyle name="60% - Accent1 5 2" xfId="29258"/>
    <cellStyle name="60% - Accent1 6" xfId="9422"/>
    <cellStyle name="60% - Accent1 6 2" xfId="29259"/>
    <cellStyle name="60% - Accent1 7" xfId="9423"/>
    <cellStyle name="60% - Accent1 7 2" xfId="29260"/>
    <cellStyle name="60% - Accent1 8" xfId="9424"/>
    <cellStyle name="60% - Accent1 8 2" xfId="29261"/>
    <cellStyle name="60% - Accent1 9" xfId="9425"/>
    <cellStyle name="60% - Accent2 10" xfId="9426"/>
    <cellStyle name="60% - Accent2 11" xfId="9427"/>
    <cellStyle name="60% - Accent2 12" xfId="9428"/>
    <cellStyle name="60% - Accent2 13" xfId="9429"/>
    <cellStyle name="60% - Accent2 14" xfId="9430"/>
    <cellStyle name="60% - Accent2 15" xfId="9431"/>
    <cellStyle name="60% - Accent2 16" xfId="9432"/>
    <cellStyle name="60% - Accent2 17" xfId="9433"/>
    <cellStyle name="60% - Accent2 17 2" xfId="58134"/>
    <cellStyle name="60% - Accent2 2" xfId="2727"/>
    <cellStyle name="60% - Accent2 2 2" xfId="2728"/>
    <cellStyle name="60% - Accent2 2 2 2" xfId="29262"/>
    <cellStyle name="60% - Accent2 2 3" xfId="29263"/>
    <cellStyle name="60% - Accent2 2 4" xfId="29264"/>
    <cellStyle name="60% - Accent2 2 5" xfId="29265"/>
    <cellStyle name="60% - Accent2 2 6" xfId="29266"/>
    <cellStyle name="60% - Accent2 3" xfId="2729"/>
    <cellStyle name="60% - Accent2 3 2" xfId="9013"/>
    <cellStyle name="60% - Accent2 3 3" xfId="29267"/>
    <cellStyle name="60% - Accent2 4" xfId="2730"/>
    <cellStyle name="60% - Accent2 4 2" xfId="29268"/>
    <cellStyle name="60% - Accent2 4 3" xfId="29269"/>
    <cellStyle name="60% - Accent2 5" xfId="9014"/>
    <cellStyle name="60% - Accent2 5 2" xfId="29270"/>
    <cellStyle name="60% - Accent2 6" xfId="9434"/>
    <cellStyle name="60% - Accent2 6 2" xfId="29271"/>
    <cellStyle name="60% - Accent2 7" xfId="9435"/>
    <cellStyle name="60% - Accent2 7 2" xfId="29272"/>
    <cellStyle name="60% - Accent2 8" xfId="9436"/>
    <cellStyle name="60% - Accent2 8 2" xfId="29273"/>
    <cellStyle name="60% - Accent2 9" xfId="9437"/>
    <cellStyle name="60% - Accent3 10" xfId="9438"/>
    <cellStyle name="60% - Accent3 11" xfId="9439"/>
    <cellStyle name="60% - Accent3 12" xfId="9440"/>
    <cellStyle name="60% - Accent3 13" xfId="9441"/>
    <cellStyle name="60% - Accent3 14" xfId="9442"/>
    <cellStyle name="60% - Accent3 15" xfId="9443"/>
    <cellStyle name="60% - Accent3 16" xfId="9444"/>
    <cellStyle name="60% - Accent3 17" xfId="9445"/>
    <cellStyle name="60% - Accent3 17 2" xfId="58135"/>
    <cellStyle name="60% - Accent3 2" xfId="2731"/>
    <cellStyle name="60% - Accent3 2 2" xfId="2732"/>
    <cellStyle name="60% - Accent3 2 2 2" xfId="29274"/>
    <cellStyle name="60% - Accent3 2 3" xfId="29275"/>
    <cellStyle name="60% - Accent3 2 4" xfId="29276"/>
    <cellStyle name="60% - Accent3 2 5" xfId="29277"/>
    <cellStyle name="60% - Accent3 2 6" xfId="29278"/>
    <cellStyle name="60% - Accent3 3" xfId="2733"/>
    <cellStyle name="60% - Accent3 3 2" xfId="9015"/>
    <cellStyle name="60% - Accent3 3 3" xfId="29279"/>
    <cellStyle name="60% - Accent3 4" xfId="2734"/>
    <cellStyle name="60% - Accent3 4 2" xfId="29280"/>
    <cellStyle name="60% - Accent3 5" xfId="9016"/>
    <cellStyle name="60% - Accent3 5 2" xfId="29281"/>
    <cellStyle name="60% - Accent3 6" xfId="9446"/>
    <cellStyle name="60% - Accent3 6 2" xfId="29282"/>
    <cellStyle name="60% - Accent3 7" xfId="9447"/>
    <cellStyle name="60% - Accent3 7 2" xfId="29283"/>
    <cellStyle name="60% - Accent3 8" xfId="9448"/>
    <cellStyle name="60% - Accent3 8 2" xfId="29284"/>
    <cellStyle name="60% - Accent3 9" xfId="9449"/>
    <cellStyle name="60% - Accent4 10" xfId="9450"/>
    <cellStyle name="60% - Accent4 11" xfId="9451"/>
    <cellStyle name="60% - Accent4 12" xfId="9452"/>
    <cellStyle name="60% - Accent4 13" xfId="9453"/>
    <cellStyle name="60% - Accent4 14" xfId="9454"/>
    <cellStyle name="60% - Accent4 15" xfId="9455"/>
    <cellStyle name="60% - Accent4 16" xfId="9456"/>
    <cellStyle name="60% - Accent4 17" xfId="9457"/>
    <cellStyle name="60% - Accent4 17 2" xfId="58136"/>
    <cellStyle name="60% - Accent4 2" xfId="2735"/>
    <cellStyle name="60% - Accent4 2 2" xfId="2736"/>
    <cellStyle name="60% - Accent4 2 2 2" xfId="29285"/>
    <cellStyle name="60% - Accent4 2 3" xfId="29286"/>
    <cellStyle name="60% - Accent4 2 4" xfId="29287"/>
    <cellStyle name="60% - Accent4 2 5" xfId="29288"/>
    <cellStyle name="60% - Accent4 2 6" xfId="29289"/>
    <cellStyle name="60% - Accent4 3" xfId="2737"/>
    <cellStyle name="60% - Accent4 3 2" xfId="9017"/>
    <cellStyle name="60% - Accent4 3 3" xfId="29290"/>
    <cellStyle name="60% - Accent4 4" xfId="2738"/>
    <cellStyle name="60% - Accent4 4 2" xfId="29291"/>
    <cellStyle name="60% - Accent4 5" xfId="9018"/>
    <cellStyle name="60% - Accent4 5 2" xfId="29292"/>
    <cellStyle name="60% - Accent4 6" xfId="9458"/>
    <cellStyle name="60% - Accent4 6 2" xfId="29293"/>
    <cellStyle name="60% - Accent4 7" xfId="9459"/>
    <cellStyle name="60% - Accent4 7 2" xfId="29294"/>
    <cellStyle name="60% - Accent4 8" xfId="9460"/>
    <cellStyle name="60% - Accent4 8 2" xfId="29295"/>
    <cellStyle name="60% - Accent4 9" xfId="9461"/>
    <cellStyle name="60% - Accent5 10" xfId="9462"/>
    <cellStyle name="60% - Accent5 11" xfId="9463"/>
    <cellStyle name="60% - Accent5 12" xfId="9464"/>
    <cellStyle name="60% - Accent5 13" xfId="9465"/>
    <cellStyle name="60% - Accent5 14" xfId="9466"/>
    <cellStyle name="60% - Accent5 15" xfId="9467"/>
    <cellStyle name="60% - Accent5 16" xfId="9468"/>
    <cellStyle name="60% - Accent5 17" xfId="9469"/>
    <cellStyle name="60% - Accent5 17 2" xfId="58137"/>
    <cellStyle name="60% - Accent5 2" xfId="2739"/>
    <cellStyle name="60% - Accent5 2 2" xfId="2740"/>
    <cellStyle name="60% - Accent5 2 2 2" xfId="29296"/>
    <cellStyle name="60% - Accent5 2 3" xfId="29297"/>
    <cellStyle name="60% - Accent5 2 4" xfId="29298"/>
    <cellStyle name="60% - Accent5 2 5" xfId="29299"/>
    <cellStyle name="60% - Accent5 2 6" xfId="29300"/>
    <cellStyle name="60% - Accent5 3" xfId="2741"/>
    <cellStyle name="60% - Accent5 3 2" xfId="9019"/>
    <cellStyle name="60% - Accent5 3 3" xfId="29301"/>
    <cellStyle name="60% - Accent5 4" xfId="2742"/>
    <cellStyle name="60% - Accent5 4 2" xfId="29302"/>
    <cellStyle name="60% - Accent5 4 3" xfId="29303"/>
    <cellStyle name="60% - Accent5 5" xfId="9020"/>
    <cellStyle name="60% - Accent5 5 2" xfId="29304"/>
    <cellStyle name="60% - Accent5 6" xfId="9470"/>
    <cellStyle name="60% - Accent5 6 2" xfId="29305"/>
    <cellStyle name="60% - Accent5 7" xfId="9471"/>
    <cellStyle name="60% - Accent5 7 2" xfId="29306"/>
    <cellStyle name="60% - Accent5 8" xfId="9472"/>
    <cellStyle name="60% - Accent5 8 2" xfId="29307"/>
    <cellStyle name="60% - Accent5 9" xfId="9473"/>
    <cellStyle name="60% - Accent6 10" xfId="9474"/>
    <cellStyle name="60% - Accent6 11" xfId="9475"/>
    <cellStyle name="60% - Accent6 12" xfId="9476"/>
    <cellStyle name="60% - Accent6 13" xfId="9477"/>
    <cellStyle name="60% - Accent6 14" xfId="9478"/>
    <cellStyle name="60% - Accent6 15" xfId="9479"/>
    <cellStyle name="60% - Accent6 16" xfId="9480"/>
    <cellStyle name="60% - Accent6 17" xfId="9481"/>
    <cellStyle name="60% - Accent6 17 2" xfId="58138"/>
    <cellStyle name="60% - Accent6 2" xfId="2743"/>
    <cellStyle name="60% - Accent6 2 2" xfId="2744"/>
    <cellStyle name="60% - Accent6 2 2 2" xfId="29308"/>
    <cellStyle name="60% - Accent6 2 3" xfId="29309"/>
    <cellStyle name="60% - Accent6 2 4" xfId="29310"/>
    <cellStyle name="60% - Accent6 2 5" xfId="29311"/>
    <cellStyle name="60% - Accent6 2 6" xfId="29312"/>
    <cellStyle name="60% - Accent6 3" xfId="2745"/>
    <cellStyle name="60% - Accent6 3 2" xfId="9021"/>
    <cellStyle name="60% - Accent6 3 3" xfId="29313"/>
    <cellStyle name="60% - Accent6 4" xfId="2746"/>
    <cellStyle name="60% - Accent6 4 2" xfId="29314"/>
    <cellStyle name="60% - Accent6 5" xfId="9022"/>
    <cellStyle name="60% - Accent6 5 2" xfId="29315"/>
    <cellStyle name="60% - Accent6 6" xfId="9482"/>
    <cellStyle name="60% - Accent6 6 2" xfId="29316"/>
    <cellStyle name="60% - Accent6 7" xfId="9483"/>
    <cellStyle name="60% - Accent6 7 2" xfId="29317"/>
    <cellStyle name="60% - Accent6 8" xfId="9484"/>
    <cellStyle name="60% - Accent6 8 2" xfId="29318"/>
    <cellStyle name="60% - Accent6 9" xfId="9485"/>
    <cellStyle name="ac" xfId="29319"/>
    <cellStyle name="ac 2" xfId="29320"/>
    <cellStyle name="Accent1 10" xfId="9486"/>
    <cellStyle name="Accent1 11" xfId="9487"/>
    <cellStyle name="Accent1 12" xfId="9488"/>
    <cellStyle name="Accent1 13" xfId="9489"/>
    <cellStyle name="Accent1 14" xfId="9490"/>
    <cellStyle name="Accent1 15" xfId="9491"/>
    <cellStyle name="Accent1 16" xfId="9492"/>
    <cellStyle name="Accent1 17" xfId="9493"/>
    <cellStyle name="Accent1 17 2" xfId="58139"/>
    <cellStyle name="Accent1 2" xfId="2747"/>
    <cellStyle name="Accent1 2 2" xfId="2748"/>
    <cellStyle name="Accent1 2 2 2" xfId="29321"/>
    <cellStyle name="Accent1 2 3" xfId="29322"/>
    <cellStyle name="Accent1 2 4" xfId="29323"/>
    <cellStyle name="Accent1 2 5" xfId="29324"/>
    <cellStyle name="Accent1 2 6" xfId="29325"/>
    <cellStyle name="Accent1 3" xfId="2749"/>
    <cellStyle name="Accent1 3 2" xfId="9023"/>
    <cellStyle name="Accent1 3 3" xfId="29326"/>
    <cellStyle name="Accent1 4" xfId="2750"/>
    <cellStyle name="Accent1 4 2" xfId="29327"/>
    <cellStyle name="Accent1 5" xfId="9024"/>
    <cellStyle name="Accent1 5 2" xfId="29328"/>
    <cellStyle name="Accent1 6" xfId="9494"/>
    <cellStyle name="Accent1 6 2" xfId="29329"/>
    <cellStyle name="Accent1 7" xfId="9495"/>
    <cellStyle name="Accent1 7 2" xfId="29330"/>
    <cellStyle name="Accent1 8" xfId="9496"/>
    <cellStyle name="Accent1 8 2" xfId="29331"/>
    <cellStyle name="Accent1 9" xfId="9497"/>
    <cellStyle name="Accent2 10" xfId="9498"/>
    <cellStyle name="Accent2 11" xfId="9499"/>
    <cellStyle name="Accent2 12" xfId="9500"/>
    <cellStyle name="Accent2 13" xfId="9501"/>
    <cellStyle name="Accent2 14" xfId="9502"/>
    <cellStyle name="Accent2 15" xfId="9503"/>
    <cellStyle name="Accent2 16" xfId="9504"/>
    <cellStyle name="Accent2 17" xfId="9505"/>
    <cellStyle name="Accent2 17 2" xfId="58140"/>
    <cellStyle name="Accent2 2" xfId="2751"/>
    <cellStyle name="Accent2 2 2" xfId="2752"/>
    <cellStyle name="Accent2 2 2 2" xfId="29332"/>
    <cellStyle name="Accent2 2 3" xfId="29333"/>
    <cellStyle name="Accent2 2 4" xfId="29334"/>
    <cellStyle name="Accent2 2 5" xfId="29335"/>
    <cellStyle name="Accent2 2 6" xfId="29336"/>
    <cellStyle name="Accent2 3" xfId="2753"/>
    <cellStyle name="Accent2 3 2" xfId="9025"/>
    <cellStyle name="Accent2 3 3" xfId="29337"/>
    <cellStyle name="Accent2 4" xfId="2754"/>
    <cellStyle name="Accent2 4 2" xfId="29338"/>
    <cellStyle name="Accent2 5" xfId="9026"/>
    <cellStyle name="Accent2 5 2" xfId="29339"/>
    <cellStyle name="Accent2 6" xfId="9506"/>
    <cellStyle name="Accent2 6 2" xfId="29340"/>
    <cellStyle name="Accent2 7" xfId="9507"/>
    <cellStyle name="Accent2 7 2" xfId="29341"/>
    <cellStyle name="Accent2 8" xfId="9508"/>
    <cellStyle name="Accent2 8 2" xfId="29342"/>
    <cellStyle name="Accent2 9" xfId="9509"/>
    <cellStyle name="Accent3 10" xfId="9510"/>
    <cellStyle name="Accent3 11" xfId="9511"/>
    <cellStyle name="Accent3 12" xfId="9512"/>
    <cellStyle name="Accent3 13" xfId="9513"/>
    <cellStyle name="Accent3 14" xfId="9514"/>
    <cellStyle name="Accent3 15" xfId="9515"/>
    <cellStyle name="Accent3 16" xfId="9516"/>
    <cellStyle name="Accent3 17" xfId="9517"/>
    <cellStyle name="Accent3 17 2" xfId="58141"/>
    <cellStyle name="Accent3 2" xfId="2755"/>
    <cellStyle name="Accent3 2 2" xfId="2756"/>
    <cellStyle name="Accent3 2 2 2" xfId="29343"/>
    <cellStyle name="Accent3 2 3" xfId="29344"/>
    <cellStyle name="Accent3 2 4" xfId="29345"/>
    <cellStyle name="Accent3 2 5" xfId="29346"/>
    <cellStyle name="Accent3 2 6" xfId="29347"/>
    <cellStyle name="Accent3 3" xfId="2757"/>
    <cellStyle name="Accent3 3 2" xfId="9027"/>
    <cellStyle name="Accent3 3 3" xfId="29348"/>
    <cellStyle name="Accent3 4" xfId="2758"/>
    <cellStyle name="Accent3 4 2" xfId="29349"/>
    <cellStyle name="Accent3 5" xfId="9028"/>
    <cellStyle name="Accent3 5 2" xfId="29350"/>
    <cellStyle name="Accent3 6" xfId="9518"/>
    <cellStyle name="Accent3 6 2" xfId="29351"/>
    <cellStyle name="Accent3 7" xfId="9519"/>
    <cellStyle name="Accent3 7 2" xfId="29352"/>
    <cellStyle name="Accent3 8" xfId="9520"/>
    <cellStyle name="Accent3 8 2" xfId="29353"/>
    <cellStyle name="Accent3 9" xfId="9521"/>
    <cellStyle name="Accent4 10" xfId="9522"/>
    <cellStyle name="Accent4 11" xfId="9523"/>
    <cellStyle name="Accent4 12" xfId="9524"/>
    <cellStyle name="Accent4 13" xfId="9525"/>
    <cellStyle name="Accent4 14" xfId="9526"/>
    <cellStyle name="Accent4 15" xfId="9527"/>
    <cellStyle name="Accent4 16" xfId="9528"/>
    <cellStyle name="Accent4 17" xfId="9529"/>
    <cellStyle name="Accent4 17 2" xfId="58142"/>
    <cellStyle name="Accent4 2" xfId="2759"/>
    <cellStyle name="Accent4 2 2" xfId="2760"/>
    <cellStyle name="Accent4 2 2 2" xfId="29354"/>
    <cellStyle name="Accent4 2 3" xfId="29355"/>
    <cellStyle name="Accent4 2 4" xfId="29356"/>
    <cellStyle name="Accent4 2 5" xfId="29357"/>
    <cellStyle name="Accent4 2 6" xfId="29358"/>
    <cellStyle name="Accent4 3" xfId="2761"/>
    <cellStyle name="Accent4 3 2" xfId="9029"/>
    <cellStyle name="Accent4 3 3" xfId="29359"/>
    <cellStyle name="Accent4 4" xfId="2762"/>
    <cellStyle name="Accent4 4 2" xfId="29360"/>
    <cellStyle name="Accent4 5" xfId="9030"/>
    <cellStyle name="Accent4 5 2" xfId="29361"/>
    <cellStyle name="Accent4 6" xfId="9530"/>
    <cellStyle name="Accent4 6 2" xfId="29362"/>
    <cellStyle name="Accent4 7" xfId="9531"/>
    <cellStyle name="Accent4 7 2" xfId="29363"/>
    <cellStyle name="Accent4 8" xfId="9532"/>
    <cellStyle name="Accent4 8 2" xfId="29364"/>
    <cellStyle name="Accent4 9" xfId="9533"/>
    <cellStyle name="Accent5 10" xfId="9534"/>
    <cellStyle name="Accent5 11" xfId="9535"/>
    <cellStyle name="Accent5 12" xfId="9536"/>
    <cellStyle name="Accent5 13" xfId="9537"/>
    <cellStyle name="Accent5 14" xfId="9538"/>
    <cellStyle name="Accent5 15" xfId="9539"/>
    <cellStyle name="Accent5 16" xfId="9540"/>
    <cellStyle name="Accent5 17" xfId="9541"/>
    <cellStyle name="Accent5 2" xfId="2763"/>
    <cellStyle name="Accent5 2 2" xfId="2764"/>
    <cellStyle name="Accent5 2 2 2" xfId="58143"/>
    <cellStyle name="Accent5 2 3" xfId="29365"/>
    <cellStyle name="Accent5 2 4" xfId="29366"/>
    <cellStyle name="Accent5 2 5" xfId="29367"/>
    <cellStyle name="Accent5 2 6" xfId="29368"/>
    <cellStyle name="Accent5 3" xfId="2765"/>
    <cellStyle name="Accent5 3 2" xfId="9031"/>
    <cellStyle name="Accent5 3 3" xfId="29369"/>
    <cellStyle name="Accent5 4" xfId="2766"/>
    <cellStyle name="Accent5 4 2" xfId="29370"/>
    <cellStyle name="Accent5 5" xfId="9032"/>
    <cellStyle name="Accent5 5 2" xfId="29371"/>
    <cellStyle name="Accent5 6" xfId="9542"/>
    <cellStyle name="Accent5 6 2" xfId="29372"/>
    <cellStyle name="Accent5 7" xfId="9543"/>
    <cellStyle name="Accent5 7 2" xfId="29373"/>
    <cellStyle name="Accent5 8" xfId="9544"/>
    <cellStyle name="Accent5 8 2" xfId="29374"/>
    <cellStyle name="Accent5 9" xfId="9545"/>
    <cellStyle name="Accent6 10" xfId="9546"/>
    <cellStyle name="Accent6 11" xfId="9547"/>
    <cellStyle name="Accent6 12" xfId="9548"/>
    <cellStyle name="Accent6 13" xfId="9549"/>
    <cellStyle name="Accent6 14" xfId="9550"/>
    <cellStyle name="Accent6 15" xfId="9551"/>
    <cellStyle name="Accent6 16" xfId="9552"/>
    <cellStyle name="Accent6 17" xfId="9553"/>
    <cellStyle name="Accent6 17 2" xfId="58144"/>
    <cellStyle name="Accent6 2" xfId="2767"/>
    <cellStyle name="Accent6 2 2" xfId="2768"/>
    <cellStyle name="Accent6 2 2 2" xfId="29375"/>
    <cellStyle name="Accent6 2 3" xfId="29376"/>
    <cellStyle name="Accent6 2 4" xfId="29377"/>
    <cellStyle name="Accent6 2 5" xfId="29378"/>
    <cellStyle name="Accent6 2 6" xfId="29379"/>
    <cellStyle name="Accent6 3" xfId="2769"/>
    <cellStyle name="Accent6 3 2" xfId="9033"/>
    <cellStyle name="Accent6 3 3" xfId="29380"/>
    <cellStyle name="Accent6 4" xfId="2770"/>
    <cellStyle name="Accent6 4 2" xfId="29381"/>
    <cellStyle name="Accent6 5" xfId="9034"/>
    <cellStyle name="Accent6 5 2" xfId="29382"/>
    <cellStyle name="Accent6 6" xfId="9554"/>
    <cellStyle name="Accent6 6 2" xfId="29383"/>
    <cellStyle name="Accent6 7" xfId="9555"/>
    <cellStyle name="Accent6 7 2" xfId="29384"/>
    <cellStyle name="Accent6 8" xfId="9556"/>
    <cellStyle name="Accent6 8 2" xfId="29385"/>
    <cellStyle name="Accent6 9" xfId="9557"/>
    <cellStyle name="Bad 10" xfId="9558"/>
    <cellStyle name="Bad 11" xfId="9559"/>
    <cellStyle name="Bad 12" xfId="9560"/>
    <cellStyle name="Bad 13" xfId="9561"/>
    <cellStyle name="Bad 14" xfId="9562"/>
    <cellStyle name="Bad 15" xfId="9563"/>
    <cellStyle name="Bad 16" xfId="9564"/>
    <cellStyle name="Bad 17" xfId="9565"/>
    <cellStyle name="Bad 17 2" xfId="58145"/>
    <cellStyle name="Bad 2" xfId="2771"/>
    <cellStyle name="Bad 2 2" xfId="2772"/>
    <cellStyle name="Bad 2 2 2" xfId="29386"/>
    <cellStyle name="Bad 2 3" xfId="29387"/>
    <cellStyle name="Bad 2 4" xfId="29388"/>
    <cellStyle name="Bad 2 5" xfId="29389"/>
    <cellStyle name="Bad 3" xfId="2773"/>
    <cellStyle name="Bad 3 2" xfId="9035"/>
    <cellStyle name="Bad 4" xfId="9036"/>
    <cellStyle name="Bad 4 2" xfId="29390"/>
    <cellStyle name="Bad 5" xfId="9566"/>
    <cellStyle name="Bad 5 2" xfId="29391"/>
    <cellStyle name="Bad 6" xfId="9567"/>
    <cellStyle name="Bad 6 2" xfId="29392"/>
    <cellStyle name="Bad 7" xfId="9568"/>
    <cellStyle name="Bad 7 2" xfId="29393"/>
    <cellStyle name="Bad 8" xfId="9569"/>
    <cellStyle name="Bad 9" xfId="9570"/>
    <cellStyle name="c" xfId="9571"/>
    <cellStyle name="C00A" xfId="8684"/>
    <cellStyle name="C00B" xfId="8685"/>
    <cellStyle name="C00L" xfId="8686"/>
    <cellStyle name="C01A" xfId="8687"/>
    <cellStyle name="C01B" xfId="8688"/>
    <cellStyle name="C01H" xfId="8689"/>
    <cellStyle name="C01L" xfId="8690"/>
    <cellStyle name="C02A" xfId="8691"/>
    <cellStyle name="C02B" xfId="8692"/>
    <cellStyle name="C02H" xfId="8693"/>
    <cellStyle name="C02L" xfId="8694"/>
    <cellStyle name="C03A" xfId="8695"/>
    <cellStyle name="C03B" xfId="8696"/>
    <cellStyle name="C03H" xfId="8697"/>
    <cellStyle name="C03L" xfId="8698"/>
    <cellStyle name="C04A" xfId="8699"/>
    <cellStyle name="C04B" xfId="8700"/>
    <cellStyle name="C04H" xfId="8701"/>
    <cellStyle name="C04L" xfId="8702"/>
    <cellStyle name="C05A" xfId="8703"/>
    <cellStyle name="C05B" xfId="8704"/>
    <cellStyle name="C05H" xfId="8705"/>
    <cellStyle name="C05L" xfId="8706"/>
    <cellStyle name="C06A" xfId="8707"/>
    <cellStyle name="C06B" xfId="8708"/>
    <cellStyle name="C06H" xfId="8709"/>
    <cellStyle name="C06L" xfId="8710"/>
    <cellStyle name="C07A" xfId="8711"/>
    <cellStyle name="C07B" xfId="8712"/>
    <cellStyle name="C07H" xfId="8713"/>
    <cellStyle name="C07L" xfId="8714"/>
    <cellStyle name="Calculation 10" xfId="2774"/>
    <cellStyle name="Calculation 10 10" xfId="2775"/>
    <cellStyle name="Calculation 10 11" xfId="58146"/>
    <cellStyle name="Calculation 10 12" xfId="58147"/>
    <cellStyle name="Calculation 10 2" xfId="2776"/>
    <cellStyle name="Calculation 10 2 2" xfId="2777"/>
    <cellStyle name="Calculation 10 2 2 2" xfId="58148"/>
    <cellStyle name="Calculation 10 2 3" xfId="2778"/>
    <cellStyle name="Calculation 10 2 3 2" xfId="58149"/>
    <cellStyle name="Calculation 10 2 4" xfId="2779"/>
    <cellStyle name="Calculation 10 2 4 2" xfId="58150"/>
    <cellStyle name="Calculation 10 2 5" xfId="2780"/>
    <cellStyle name="Calculation 10 2 5 2" xfId="58151"/>
    <cellStyle name="Calculation 10 2 6" xfId="2781"/>
    <cellStyle name="Calculation 10 2 6 2" xfId="58152"/>
    <cellStyle name="Calculation 10 2 7" xfId="2782"/>
    <cellStyle name="Calculation 10 2 7 2" xfId="58153"/>
    <cellStyle name="Calculation 10 2 8" xfId="2783"/>
    <cellStyle name="Calculation 10 2 8 2" xfId="58154"/>
    <cellStyle name="Calculation 10 2 9" xfId="2784"/>
    <cellStyle name="Calculation 10 3" xfId="2785"/>
    <cellStyle name="Calculation 10 3 2" xfId="58155"/>
    <cellStyle name="Calculation 10 4" xfId="2786"/>
    <cellStyle name="Calculation 10 4 2" xfId="58156"/>
    <cellStyle name="Calculation 10 5" xfId="2787"/>
    <cellStyle name="Calculation 10 5 2" xfId="58157"/>
    <cellStyle name="Calculation 10 6" xfId="2788"/>
    <cellStyle name="Calculation 10 6 2" xfId="58158"/>
    <cellStyle name="Calculation 10 7" xfId="2789"/>
    <cellStyle name="Calculation 10 7 2" xfId="58159"/>
    <cellStyle name="Calculation 10 8" xfId="2790"/>
    <cellStyle name="Calculation 10 8 2" xfId="58160"/>
    <cellStyle name="Calculation 10 9" xfId="2791"/>
    <cellStyle name="Calculation 10 9 2" xfId="58161"/>
    <cellStyle name="Calculation 11" xfId="2792"/>
    <cellStyle name="Calculation 11 10" xfId="2793"/>
    <cellStyle name="Calculation 11 11" xfId="58162"/>
    <cellStyle name="Calculation 11 12" xfId="58163"/>
    <cellStyle name="Calculation 11 2" xfId="2794"/>
    <cellStyle name="Calculation 11 2 2" xfId="2795"/>
    <cellStyle name="Calculation 11 2 2 2" xfId="58164"/>
    <cellStyle name="Calculation 11 2 3" xfId="2796"/>
    <cellStyle name="Calculation 11 2 3 2" xfId="58165"/>
    <cellStyle name="Calculation 11 2 4" xfId="2797"/>
    <cellStyle name="Calculation 11 2 4 2" xfId="58166"/>
    <cellStyle name="Calculation 11 2 5" xfId="2798"/>
    <cellStyle name="Calculation 11 2 5 2" xfId="58167"/>
    <cellStyle name="Calculation 11 2 6" xfId="2799"/>
    <cellStyle name="Calculation 11 2 6 2" xfId="58168"/>
    <cellStyle name="Calculation 11 2 7" xfId="2800"/>
    <cellStyle name="Calculation 11 2 7 2" xfId="58169"/>
    <cellStyle name="Calculation 11 2 8" xfId="2801"/>
    <cellStyle name="Calculation 11 2 8 2" xfId="58170"/>
    <cellStyle name="Calculation 11 2 9" xfId="2802"/>
    <cellStyle name="Calculation 11 3" xfId="2803"/>
    <cellStyle name="Calculation 11 3 2" xfId="58171"/>
    <cellStyle name="Calculation 11 4" xfId="2804"/>
    <cellStyle name="Calculation 11 4 2" xfId="58172"/>
    <cellStyle name="Calculation 11 5" xfId="2805"/>
    <cellStyle name="Calculation 11 5 2" xfId="58173"/>
    <cellStyle name="Calculation 11 6" xfId="2806"/>
    <cellStyle name="Calculation 11 6 2" xfId="58174"/>
    <cellStyle name="Calculation 11 7" xfId="2807"/>
    <cellStyle name="Calculation 11 7 2" xfId="58175"/>
    <cellStyle name="Calculation 11 8" xfId="2808"/>
    <cellStyle name="Calculation 11 8 2" xfId="58176"/>
    <cellStyle name="Calculation 11 9" xfId="2809"/>
    <cellStyle name="Calculation 11 9 2" xfId="58177"/>
    <cellStyle name="Calculation 12" xfId="2810"/>
    <cellStyle name="Calculation 12 10" xfId="2811"/>
    <cellStyle name="Calculation 12 11" xfId="58178"/>
    <cellStyle name="Calculation 12 12" xfId="58179"/>
    <cellStyle name="Calculation 12 2" xfId="2812"/>
    <cellStyle name="Calculation 12 2 2" xfId="2813"/>
    <cellStyle name="Calculation 12 2 2 2" xfId="58180"/>
    <cellStyle name="Calculation 12 2 3" xfId="2814"/>
    <cellStyle name="Calculation 12 2 3 2" xfId="58181"/>
    <cellStyle name="Calculation 12 2 4" xfId="2815"/>
    <cellStyle name="Calculation 12 2 4 2" xfId="58182"/>
    <cellStyle name="Calculation 12 2 5" xfId="2816"/>
    <cellStyle name="Calculation 12 2 5 2" xfId="58183"/>
    <cellStyle name="Calculation 12 2 6" xfId="2817"/>
    <cellStyle name="Calculation 12 2 6 2" xfId="58184"/>
    <cellStyle name="Calculation 12 2 7" xfId="2818"/>
    <cellStyle name="Calculation 12 2 7 2" xfId="58185"/>
    <cellStyle name="Calculation 12 2 8" xfId="2819"/>
    <cellStyle name="Calculation 12 2 8 2" xfId="58186"/>
    <cellStyle name="Calculation 12 2 9" xfId="2820"/>
    <cellStyle name="Calculation 12 3" xfId="2821"/>
    <cellStyle name="Calculation 12 3 2" xfId="58187"/>
    <cellStyle name="Calculation 12 4" xfId="2822"/>
    <cellStyle name="Calculation 12 4 2" xfId="58188"/>
    <cellStyle name="Calculation 12 5" xfId="2823"/>
    <cellStyle name="Calculation 12 5 2" xfId="58189"/>
    <cellStyle name="Calculation 12 6" xfId="2824"/>
    <cellStyle name="Calculation 12 6 2" xfId="58190"/>
    <cellStyle name="Calculation 12 7" xfId="2825"/>
    <cellStyle name="Calculation 12 7 2" xfId="58191"/>
    <cellStyle name="Calculation 12 8" xfId="2826"/>
    <cellStyle name="Calculation 12 8 2" xfId="58192"/>
    <cellStyle name="Calculation 12 9" xfId="2827"/>
    <cellStyle name="Calculation 12 9 2" xfId="58193"/>
    <cellStyle name="Calculation 13" xfId="2828"/>
    <cellStyle name="Calculation 13 10" xfId="2829"/>
    <cellStyle name="Calculation 13 11" xfId="58194"/>
    <cellStyle name="Calculation 13 12" xfId="58195"/>
    <cellStyle name="Calculation 13 2" xfId="2830"/>
    <cellStyle name="Calculation 13 2 2" xfId="2831"/>
    <cellStyle name="Calculation 13 2 2 2" xfId="58196"/>
    <cellStyle name="Calculation 13 2 3" xfId="2832"/>
    <cellStyle name="Calculation 13 2 3 2" xfId="58197"/>
    <cellStyle name="Calculation 13 2 4" xfId="2833"/>
    <cellStyle name="Calculation 13 2 4 2" xfId="58198"/>
    <cellStyle name="Calculation 13 2 5" xfId="2834"/>
    <cellStyle name="Calculation 13 2 5 2" xfId="58199"/>
    <cellStyle name="Calculation 13 2 6" xfId="2835"/>
    <cellStyle name="Calculation 13 2 6 2" xfId="58200"/>
    <cellStyle name="Calculation 13 2 7" xfId="2836"/>
    <cellStyle name="Calculation 13 2 7 2" xfId="58201"/>
    <cellStyle name="Calculation 13 2 8" xfId="2837"/>
    <cellStyle name="Calculation 13 2 8 2" xfId="58202"/>
    <cellStyle name="Calculation 13 2 9" xfId="2838"/>
    <cellStyle name="Calculation 13 3" xfId="2839"/>
    <cellStyle name="Calculation 13 3 2" xfId="58203"/>
    <cellStyle name="Calculation 13 4" xfId="2840"/>
    <cellStyle name="Calculation 13 4 2" xfId="58204"/>
    <cellStyle name="Calculation 13 5" xfId="2841"/>
    <cellStyle name="Calculation 13 5 2" xfId="58205"/>
    <cellStyle name="Calculation 13 6" xfId="2842"/>
    <cellStyle name="Calculation 13 6 2" xfId="58206"/>
    <cellStyle name="Calculation 13 7" xfId="2843"/>
    <cellStyle name="Calculation 13 7 2" xfId="58207"/>
    <cellStyle name="Calculation 13 8" xfId="2844"/>
    <cellStyle name="Calculation 13 8 2" xfId="58208"/>
    <cellStyle name="Calculation 13 9" xfId="2845"/>
    <cellStyle name="Calculation 13 9 2" xfId="58209"/>
    <cellStyle name="Calculation 14" xfId="2846"/>
    <cellStyle name="Calculation 14 10" xfId="2847"/>
    <cellStyle name="Calculation 14 11" xfId="58210"/>
    <cellStyle name="Calculation 14 12" xfId="58211"/>
    <cellStyle name="Calculation 14 2" xfId="2848"/>
    <cellStyle name="Calculation 14 2 2" xfId="2849"/>
    <cellStyle name="Calculation 14 2 2 2" xfId="58212"/>
    <cellStyle name="Calculation 14 2 3" xfId="2850"/>
    <cellStyle name="Calculation 14 2 3 2" xfId="58213"/>
    <cellStyle name="Calculation 14 2 4" xfId="2851"/>
    <cellStyle name="Calculation 14 2 4 2" xfId="58214"/>
    <cellStyle name="Calculation 14 2 5" xfId="2852"/>
    <cellStyle name="Calculation 14 2 5 2" xfId="58215"/>
    <cellStyle name="Calculation 14 2 6" xfId="2853"/>
    <cellStyle name="Calculation 14 2 6 2" xfId="58216"/>
    <cellStyle name="Calculation 14 2 7" xfId="2854"/>
    <cellStyle name="Calculation 14 2 7 2" xfId="58217"/>
    <cellStyle name="Calculation 14 2 8" xfId="2855"/>
    <cellStyle name="Calculation 14 2 8 2" xfId="58218"/>
    <cellStyle name="Calculation 14 2 9" xfId="2856"/>
    <cellStyle name="Calculation 14 3" xfId="2857"/>
    <cellStyle name="Calculation 14 3 2" xfId="58219"/>
    <cellStyle name="Calculation 14 4" xfId="2858"/>
    <cellStyle name="Calculation 14 4 2" xfId="58220"/>
    <cellStyle name="Calculation 14 5" xfId="2859"/>
    <cellStyle name="Calculation 14 5 2" xfId="58221"/>
    <cellStyle name="Calculation 14 6" xfId="2860"/>
    <cellStyle name="Calculation 14 6 2" xfId="58222"/>
    <cellStyle name="Calculation 14 7" xfId="2861"/>
    <cellStyle name="Calculation 14 7 2" xfId="58223"/>
    <cellStyle name="Calculation 14 8" xfId="2862"/>
    <cellStyle name="Calculation 14 8 2" xfId="58224"/>
    <cellStyle name="Calculation 14 9" xfId="2863"/>
    <cellStyle name="Calculation 14 9 2" xfId="58225"/>
    <cellStyle name="Calculation 15" xfId="2864"/>
    <cellStyle name="Calculation 15 10" xfId="2865"/>
    <cellStyle name="Calculation 15 11" xfId="58226"/>
    <cellStyle name="Calculation 15 12" xfId="58227"/>
    <cellStyle name="Calculation 15 2" xfId="2866"/>
    <cellStyle name="Calculation 15 2 2" xfId="2867"/>
    <cellStyle name="Calculation 15 2 2 2" xfId="58228"/>
    <cellStyle name="Calculation 15 2 3" xfId="2868"/>
    <cellStyle name="Calculation 15 2 3 2" xfId="58229"/>
    <cellStyle name="Calculation 15 2 4" xfId="2869"/>
    <cellStyle name="Calculation 15 2 4 2" xfId="58230"/>
    <cellStyle name="Calculation 15 2 5" xfId="2870"/>
    <cellStyle name="Calculation 15 2 5 2" xfId="58231"/>
    <cellStyle name="Calculation 15 2 6" xfId="2871"/>
    <cellStyle name="Calculation 15 2 6 2" xfId="58232"/>
    <cellStyle name="Calculation 15 2 7" xfId="2872"/>
    <cellStyle name="Calculation 15 2 7 2" xfId="58233"/>
    <cellStyle name="Calculation 15 2 8" xfId="2873"/>
    <cellStyle name="Calculation 15 2 8 2" xfId="58234"/>
    <cellStyle name="Calculation 15 2 9" xfId="2874"/>
    <cellStyle name="Calculation 15 3" xfId="2875"/>
    <cellStyle name="Calculation 15 3 2" xfId="58235"/>
    <cellStyle name="Calculation 15 4" xfId="2876"/>
    <cellStyle name="Calculation 15 4 2" xfId="58236"/>
    <cellStyle name="Calculation 15 5" xfId="2877"/>
    <cellStyle name="Calculation 15 5 2" xfId="58237"/>
    <cellStyle name="Calculation 15 6" xfId="2878"/>
    <cellStyle name="Calculation 15 6 2" xfId="58238"/>
    <cellStyle name="Calculation 15 7" xfId="2879"/>
    <cellStyle name="Calculation 15 7 2" xfId="58239"/>
    <cellStyle name="Calculation 15 8" xfId="2880"/>
    <cellStyle name="Calculation 15 8 2" xfId="58240"/>
    <cellStyle name="Calculation 15 9" xfId="2881"/>
    <cellStyle name="Calculation 15 9 2" xfId="58241"/>
    <cellStyle name="Calculation 16" xfId="2882"/>
    <cellStyle name="Calculation 16 10" xfId="2883"/>
    <cellStyle name="Calculation 16 11" xfId="58242"/>
    <cellStyle name="Calculation 16 12" xfId="58243"/>
    <cellStyle name="Calculation 16 2" xfId="2884"/>
    <cellStyle name="Calculation 16 2 2" xfId="2885"/>
    <cellStyle name="Calculation 16 2 2 2" xfId="58244"/>
    <cellStyle name="Calculation 16 2 3" xfId="2886"/>
    <cellStyle name="Calculation 16 2 3 2" xfId="58245"/>
    <cellStyle name="Calculation 16 2 4" xfId="2887"/>
    <cellStyle name="Calculation 16 2 4 2" xfId="58246"/>
    <cellStyle name="Calculation 16 2 5" xfId="2888"/>
    <cellStyle name="Calculation 16 2 5 2" xfId="58247"/>
    <cellStyle name="Calculation 16 2 6" xfId="2889"/>
    <cellStyle name="Calculation 16 2 6 2" xfId="58248"/>
    <cellStyle name="Calculation 16 2 7" xfId="2890"/>
    <cellStyle name="Calculation 16 2 7 2" xfId="58249"/>
    <cellStyle name="Calculation 16 2 8" xfId="2891"/>
    <cellStyle name="Calculation 16 2 8 2" xfId="58250"/>
    <cellStyle name="Calculation 16 2 9" xfId="2892"/>
    <cellStyle name="Calculation 16 3" xfId="2893"/>
    <cellStyle name="Calculation 16 3 2" xfId="58251"/>
    <cellStyle name="Calculation 16 4" xfId="2894"/>
    <cellStyle name="Calculation 16 4 2" xfId="58252"/>
    <cellStyle name="Calculation 16 5" xfId="2895"/>
    <cellStyle name="Calculation 16 5 2" xfId="58253"/>
    <cellStyle name="Calculation 16 6" xfId="2896"/>
    <cellStyle name="Calculation 16 6 2" xfId="58254"/>
    <cellStyle name="Calculation 16 7" xfId="2897"/>
    <cellStyle name="Calculation 16 7 2" xfId="58255"/>
    <cellStyle name="Calculation 16 8" xfId="2898"/>
    <cellStyle name="Calculation 16 8 2" xfId="58256"/>
    <cellStyle name="Calculation 16 9" xfId="2899"/>
    <cellStyle name="Calculation 16 9 2" xfId="58257"/>
    <cellStyle name="Calculation 17" xfId="2900"/>
    <cellStyle name="Calculation 17 10" xfId="2901"/>
    <cellStyle name="Calculation 17 11" xfId="58258"/>
    <cellStyle name="Calculation 17 2" xfId="2902"/>
    <cellStyle name="Calculation 17 2 2" xfId="2903"/>
    <cellStyle name="Calculation 17 2 2 2" xfId="58259"/>
    <cellStyle name="Calculation 17 2 3" xfId="2904"/>
    <cellStyle name="Calculation 17 2 3 2" xfId="58260"/>
    <cellStyle name="Calculation 17 2 4" xfId="2905"/>
    <cellStyle name="Calculation 17 2 4 2" xfId="58261"/>
    <cellStyle name="Calculation 17 2 5" xfId="2906"/>
    <cellStyle name="Calculation 17 2 5 2" xfId="58262"/>
    <cellStyle name="Calculation 17 2 6" xfId="2907"/>
    <cellStyle name="Calculation 17 2 6 2" xfId="58263"/>
    <cellStyle name="Calculation 17 2 7" xfId="2908"/>
    <cellStyle name="Calculation 17 2 7 2" xfId="58264"/>
    <cellStyle name="Calculation 17 2 8" xfId="2909"/>
    <cellStyle name="Calculation 17 2 8 2" xfId="58265"/>
    <cellStyle name="Calculation 17 2 9" xfId="2910"/>
    <cellStyle name="Calculation 17 3" xfId="2911"/>
    <cellStyle name="Calculation 17 3 2" xfId="58266"/>
    <cellStyle name="Calculation 17 4" xfId="2912"/>
    <cellStyle name="Calculation 17 4 2" xfId="58267"/>
    <cellStyle name="Calculation 17 5" xfId="2913"/>
    <cellStyle name="Calculation 17 5 2" xfId="58268"/>
    <cellStyle name="Calculation 17 6" xfId="2914"/>
    <cellStyle name="Calculation 17 6 2" xfId="58269"/>
    <cellStyle name="Calculation 17 7" xfId="2915"/>
    <cellStyle name="Calculation 17 7 2" xfId="58270"/>
    <cellStyle name="Calculation 17 8" xfId="2916"/>
    <cellStyle name="Calculation 17 8 2" xfId="58271"/>
    <cellStyle name="Calculation 17 9" xfId="2917"/>
    <cellStyle name="Calculation 17 9 2" xfId="58272"/>
    <cellStyle name="Calculation 18" xfId="2918"/>
    <cellStyle name="Calculation 18 10" xfId="2919"/>
    <cellStyle name="Calculation 18 2" xfId="2920"/>
    <cellStyle name="Calculation 18 2 2" xfId="2921"/>
    <cellStyle name="Calculation 18 2 2 2" xfId="58273"/>
    <cellStyle name="Calculation 18 2 3" xfId="2922"/>
    <cellStyle name="Calculation 18 2 3 2" xfId="58274"/>
    <cellStyle name="Calculation 18 2 4" xfId="2923"/>
    <cellStyle name="Calculation 18 2 4 2" xfId="58275"/>
    <cellStyle name="Calculation 18 2 5" xfId="2924"/>
    <cellStyle name="Calculation 18 2 5 2" xfId="58276"/>
    <cellStyle name="Calculation 18 2 6" xfId="2925"/>
    <cellStyle name="Calculation 18 2 6 2" xfId="58277"/>
    <cellStyle name="Calculation 18 2 7" xfId="2926"/>
    <cellStyle name="Calculation 18 2 7 2" xfId="58278"/>
    <cellStyle name="Calculation 18 2 8" xfId="2927"/>
    <cellStyle name="Calculation 18 2 8 2" xfId="58279"/>
    <cellStyle name="Calculation 18 2 9" xfId="2928"/>
    <cellStyle name="Calculation 18 3" xfId="2929"/>
    <cellStyle name="Calculation 18 3 2" xfId="58280"/>
    <cellStyle name="Calculation 18 4" xfId="2930"/>
    <cellStyle name="Calculation 18 4 2" xfId="58281"/>
    <cellStyle name="Calculation 18 5" xfId="2931"/>
    <cellStyle name="Calculation 18 5 2" xfId="58282"/>
    <cellStyle name="Calculation 18 6" xfId="2932"/>
    <cellStyle name="Calculation 18 6 2" xfId="58283"/>
    <cellStyle name="Calculation 18 7" xfId="2933"/>
    <cellStyle name="Calculation 18 7 2" xfId="58284"/>
    <cellStyle name="Calculation 18 8" xfId="2934"/>
    <cellStyle name="Calculation 18 8 2" xfId="58285"/>
    <cellStyle name="Calculation 18 9" xfId="2935"/>
    <cellStyle name="Calculation 18 9 2" xfId="58286"/>
    <cellStyle name="Calculation 19" xfId="2936"/>
    <cellStyle name="Calculation 19 10" xfId="2937"/>
    <cellStyle name="Calculation 19 2" xfId="2938"/>
    <cellStyle name="Calculation 19 2 2" xfId="2939"/>
    <cellStyle name="Calculation 19 2 2 2" xfId="58287"/>
    <cellStyle name="Calculation 19 2 3" xfId="2940"/>
    <cellStyle name="Calculation 19 2 3 2" xfId="58288"/>
    <cellStyle name="Calculation 19 2 4" xfId="2941"/>
    <cellStyle name="Calculation 19 2 4 2" xfId="58289"/>
    <cellStyle name="Calculation 19 2 5" xfId="2942"/>
    <cellStyle name="Calculation 19 2 5 2" xfId="58290"/>
    <cellStyle name="Calculation 19 2 6" xfId="2943"/>
    <cellStyle name="Calculation 19 2 6 2" xfId="58291"/>
    <cellStyle name="Calculation 19 2 7" xfId="2944"/>
    <cellStyle name="Calculation 19 2 7 2" xfId="58292"/>
    <cellStyle name="Calculation 19 2 8" xfId="2945"/>
    <cellStyle name="Calculation 19 2 8 2" xfId="58293"/>
    <cellStyle name="Calculation 19 2 9" xfId="2946"/>
    <cellStyle name="Calculation 19 3" xfId="2947"/>
    <cellStyle name="Calculation 19 3 2" xfId="58294"/>
    <cellStyle name="Calculation 19 4" xfId="2948"/>
    <cellStyle name="Calculation 19 4 2" xfId="58295"/>
    <cellStyle name="Calculation 19 5" xfId="2949"/>
    <cellStyle name="Calculation 19 5 2" xfId="58296"/>
    <cellStyle name="Calculation 19 6" xfId="2950"/>
    <cellStyle name="Calculation 19 6 2" xfId="58297"/>
    <cellStyle name="Calculation 19 7" xfId="2951"/>
    <cellStyle name="Calculation 19 7 2" xfId="58298"/>
    <cellStyle name="Calculation 19 8" xfId="2952"/>
    <cellStyle name="Calculation 19 8 2" xfId="58299"/>
    <cellStyle name="Calculation 19 9" xfId="2953"/>
    <cellStyle name="Calculation 19 9 2" xfId="58300"/>
    <cellStyle name="Calculation 2" xfId="2954"/>
    <cellStyle name="Calculation 2 10" xfId="58301"/>
    <cellStyle name="Calculation 2 2" xfId="2955"/>
    <cellStyle name="Calculation 2 2 10" xfId="2956"/>
    <cellStyle name="Calculation 2 2 11" xfId="58302"/>
    <cellStyle name="Calculation 2 2 2" xfId="2957"/>
    <cellStyle name="Calculation 2 2 2 2" xfId="58303"/>
    <cellStyle name="Calculation 2 2 3" xfId="2958"/>
    <cellStyle name="Calculation 2 2 3 2" xfId="58304"/>
    <cellStyle name="Calculation 2 2 4" xfId="2959"/>
    <cellStyle name="Calculation 2 2 4 2" xfId="58305"/>
    <cellStyle name="Calculation 2 2 5" xfId="2960"/>
    <cellStyle name="Calculation 2 2 5 2" xfId="58306"/>
    <cellStyle name="Calculation 2 2 6" xfId="2961"/>
    <cellStyle name="Calculation 2 2 6 2" xfId="58307"/>
    <cellStyle name="Calculation 2 2 7" xfId="2962"/>
    <cellStyle name="Calculation 2 2 7 2" xfId="58308"/>
    <cellStyle name="Calculation 2 2 8" xfId="2963"/>
    <cellStyle name="Calculation 2 2 8 2" xfId="58309"/>
    <cellStyle name="Calculation 2 2 9" xfId="2964"/>
    <cellStyle name="Calculation 2 3" xfId="2965"/>
    <cellStyle name="Calculation 2 3 2" xfId="58310"/>
    <cellStyle name="Calculation 2 4" xfId="2966"/>
    <cellStyle name="Calculation 2 4 2" xfId="58311"/>
    <cellStyle name="Calculation 2 5" xfId="2967"/>
    <cellStyle name="Calculation 2 5 2" xfId="58312"/>
    <cellStyle name="Calculation 2 6" xfId="2968"/>
    <cellStyle name="Calculation 2 6 2" xfId="58313"/>
    <cellStyle name="Calculation 2 7" xfId="2969"/>
    <cellStyle name="Calculation 2 7 2" xfId="58314"/>
    <cellStyle name="Calculation 2 8" xfId="2970"/>
    <cellStyle name="Calculation 2 8 2" xfId="58315"/>
    <cellStyle name="Calculation 2 9" xfId="2971"/>
    <cellStyle name="Calculation 20" xfId="2972"/>
    <cellStyle name="Calculation 20 10" xfId="2973"/>
    <cellStyle name="Calculation 20 2" xfId="2974"/>
    <cellStyle name="Calculation 20 2 2" xfId="2975"/>
    <cellStyle name="Calculation 20 2 2 2" xfId="58316"/>
    <cellStyle name="Calculation 20 2 3" xfId="2976"/>
    <cellStyle name="Calculation 20 2 3 2" xfId="58317"/>
    <cellStyle name="Calculation 20 2 4" xfId="2977"/>
    <cellStyle name="Calculation 20 2 4 2" xfId="58318"/>
    <cellStyle name="Calculation 20 2 5" xfId="2978"/>
    <cellStyle name="Calculation 20 2 5 2" xfId="58319"/>
    <cellStyle name="Calculation 20 2 6" xfId="2979"/>
    <cellStyle name="Calculation 20 2 6 2" xfId="58320"/>
    <cellStyle name="Calculation 20 2 7" xfId="2980"/>
    <cellStyle name="Calculation 20 2 7 2" xfId="58321"/>
    <cellStyle name="Calculation 20 2 8" xfId="2981"/>
    <cellStyle name="Calculation 20 2 8 2" xfId="58322"/>
    <cellStyle name="Calculation 20 2 9" xfId="2982"/>
    <cellStyle name="Calculation 20 3" xfId="2983"/>
    <cellStyle name="Calculation 20 3 2" xfId="58323"/>
    <cellStyle name="Calculation 20 4" xfId="2984"/>
    <cellStyle name="Calculation 20 4 2" xfId="58324"/>
    <cellStyle name="Calculation 20 5" xfId="2985"/>
    <cellStyle name="Calculation 20 5 2" xfId="58325"/>
    <cellStyle name="Calculation 20 6" xfId="2986"/>
    <cellStyle name="Calculation 20 6 2" xfId="58326"/>
    <cellStyle name="Calculation 20 7" xfId="2987"/>
    <cellStyle name="Calculation 20 7 2" xfId="58327"/>
    <cellStyle name="Calculation 20 8" xfId="2988"/>
    <cellStyle name="Calculation 20 8 2" xfId="58328"/>
    <cellStyle name="Calculation 20 9" xfId="2989"/>
    <cellStyle name="Calculation 20 9 2" xfId="58329"/>
    <cellStyle name="Calculation 21" xfId="2990"/>
    <cellStyle name="Calculation 21 10" xfId="2991"/>
    <cellStyle name="Calculation 21 2" xfId="2992"/>
    <cellStyle name="Calculation 21 2 2" xfId="2993"/>
    <cellStyle name="Calculation 21 2 2 2" xfId="58330"/>
    <cellStyle name="Calculation 21 2 3" xfId="2994"/>
    <cellStyle name="Calculation 21 2 3 2" xfId="58331"/>
    <cellStyle name="Calculation 21 2 4" xfId="2995"/>
    <cellStyle name="Calculation 21 2 4 2" xfId="58332"/>
    <cellStyle name="Calculation 21 2 5" xfId="2996"/>
    <cellStyle name="Calculation 21 2 5 2" xfId="58333"/>
    <cellStyle name="Calculation 21 2 6" xfId="2997"/>
    <cellStyle name="Calculation 21 2 6 2" xfId="58334"/>
    <cellStyle name="Calculation 21 2 7" xfId="2998"/>
    <cellStyle name="Calculation 21 2 7 2" xfId="58335"/>
    <cellStyle name="Calculation 21 2 8" xfId="2999"/>
    <cellStyle name="Calculation 21 2 8 2" xfId="58336"/>
    <cellStyle name="Calculation 21 2 9" xfId="3000"/>
    <cellStyle name="Calculation 21 3" xfId="3001"/>
    <cellStyle name="Calculation 21 3 2" xfId="58337"/>
    <cellStyle name="Calculation 21 4" xfId="3002"/>
    <cellStyle name="Calculation 21 4 2" xfId="58338"/>
    <cellStyle name="Calculation 21 5" xfId="3003"/>
    <cellStyle name="Calculation 21 5 2" xfId="58339"/>
    <cellStyle name="Calculation 21 6" xfId="3004"/>
    <cellStyle name="Calculation 21 6 2" xfId="58340"/>
    <cellStyle name="Calculation 21 7" xfId="3005"/>
    <cellStyle name="Calculation 21 7 2" xfId="58341"/>
    <cellStyle name="Calculation 21 8" xfId="3006"/>
    <cellStyle name="Calculation 21 8 2" xfId="58342"/>
    <cellStyle name="Calculation 21 9" xfId="3007"/>
    <cellStyle name="Calculation 21 9 2" xfId="58343"/>
    <cellStyle name="Calculation 22" xfId="3008"/>
    <cellStyle name="Calculation 22 2" xfId="3009"/>
    <cellStyle name="Calculation 22 2 2" xfId="58344"/>
    <cellStyle name="Calculation 22 3" xfId="3010"/>
    <cellStyle name="Calculation 22 3 2" xfId="58345"/>
    <cellStyle name="Calculation 22 4" xfId="3011"/>
    <cellStyle name="Calculation 22 4 2" xfId="58346"/>
    <cellStyle name="Calculation 22 5" xfId="3012"/>
    <cellStyle name="Calculation 22 5 2" xfId="58347"/>
    <cellStyle name="Calculation 22 6" xfId="3013"/>
    <cellStyle name="Calculation 22 6 2" xfId="58348"/>
    <cellStyle name="Calculation 22 7" xfId="3014"/>
    <cellStyle name="Calculation 22 7 2" xfId="58349"/>
    <cellStyle name="Calculation 22 8" xfId="3015"/>
    <cellStyle name="Calculation 22 8 2" xfId="58350"/>
    <cellStyle name="Calculation 22 9" xfId="3016"/>
    <cellStyle name="Calculation 23" xfId="9037"/>
    <cellStyle name="Calculation 3" xfId="3017"/>
    <cellStyle name="Calculation 3 10" xfId="3018"/>
    <cellStyle name="Calculation 3 11" xfId="9038"/>
    <cellStyle name="Calculation 3 2" xfId="3019"/>
    <cellStyle name="Calculation 3 2 10" xfId="3020"/>
    <cellStyle name="Calculation 3 2 2" xfId="3021"/>
    <cellStyle name="Calculation 3 2 2 2" xfId="58351"/>
    <cellStyle name="Calculation 3 2 3" xfId="3022"/>
    <cellStyle name="Calculation 3 2 3 2" xfId="58352"/>
    <cellStyle name="Calculation 3 2 4" xfId="3023"/>
    <cellStyle name="Calculation 3 2 4 2" xfId="58353"/>
    <cellStyle name="Calculation 3 2 5" xfId="3024"/>
    <cellStyle name="Calculation 3 2 5 2" xfId="58354"/>
    <cellStyle name="Calculation 3 2 6" xfId="3025"/>
    <cellStyle name="Calculation 3 2 6 2" xfId="58355"/>
    <cellStyle name="Calculation 3 2 7" xfId="3026"/>
    <cellStyle name="Calculation 3 2 7 2" xfId="58356"/>
    <cellStyle name="Calculation 3 2 8" xfId="3027"/>
    <cellStyle name="Calculation 3 2 8 2" xfId="58357"/>
    <cellStyle name="Calculation 3 2 9" xfId="3028"/>
    <cellStyle name="Calculation 3 3" xfId="3029"/>
    <cellStyle name="Calculation 3 3 2" xfId="58358"/>
    <cellStyle name="Calculation 3 4" xfId="3030"/>
    <cellStyle name="Calculation 3 4 2" xfId="58359"/>
    <cellStyle name="Calculation 3 5" xfId="3031"/>
    <cellStyle name="Calculation 3 5 2" xfId="58360"/>
    <cellStyle name="Calculation 3 6" xfId="3032"/>
    <cellStyle name="Calculation 3 6 2" xfId="58361"/>
    <cellStyle name="Calculation 3 7" xfId="3033"/>
    <cellStyle name="Calculation 3 7 2" xfId="58362"/>
    <cellStyle name="Calculation 3 8" xfId="3034"/>
    <cellStyle name="Calculation 3 8 2" xfId="58363"/>
    <cellStyle name="Calculation 3 9" xfId="3035"/>
    <cellStyle name="Calculation 3 9 2" xfId="58364"/>
    <cellStyle name="Calculation 4" xfId="3036"/>
    <cellStyle name="Calculation 4 10" xfId="3037"/>
    <cellStyle name="Calculation 4 11" xfId="58365"/>
    <cellStyle name="Calculation 4 12" xfId="58366"/>
    <cellStyle name="Calculation 4 2" xfId="3038"/>
    <cellStyle name="Calculation 4 2 2" xfId="3039"/>
    <cellStyle name="Calculation 4 2 2 2" xfId="58367"/>
    <cellStyle name="Calculation 4 2 3" xfId="3040"/>
    <cellStyle name="Calculation 4 2 3 2" xfId="58368"/>
    <cellStyle name="Calculation 4 2 4" xfId="3041"/>
    <cellStyle name="Calculation 4 2 4 2" xfId="58369"/>
    <cellStyle name="Calculation 4 2 5" xfId="3042"/>
    <cellStyle name="Calculation 4 2 5 2" xfId="58370"/>
    <cellStyle name="Calculation 4 2 6" xfId="3043"/>
    <cellStyle name="Calculation 4 2 6 2" xfId="58371"/>
    <cellStyle name="Calculation 4 2 7" xfId="3044"/>
    <cellStyle name="Calculation 4 2 7 2" xfId="58372"/>
    <cellStyle name="Calculation 4 2 8" xfId="3045"/>
    <cellStyle name="Calculation 4 2 8 2" xfId="58373"/>
    <cellStyle name="Calculation 4 2 9" xfId="3046"/>
    <cellStyle name="Calculation 4 3" xfId="3047"/>
    <cellStyle name="Calculation 4 3 2" xfId="58374"/>
    <cellStyle name="Calculation 4 4" xfId="3048"/>
    <cellStyle name="Calculation 4 4 2" xfId="58375"/>
    <cellStyle name="Calculation 4 5" xfId="3049"/>
    <cellStyle name="Calculation 4 5 2" xfId="58376"/>
    <cellStyle name="Calculation 4 6" xfId="3050"/>
    <cellStyle name="Calculation 4 6 2" xfId="58377"/>
    <cellStyle name="Calculation 4 7" xfId="3051"/>
    <cellStyle name="Calculation 4 7 2" xfId="58378"/>
    <cellStyle name="Calculation 4 8" xfId="3052"/>
    <cellStyle name="Calculation 4 8 2" xfId="58379"/>
    <cellStyle name="Calculation 4 9" xfId="3053"/>
    <cellStyle name="Calculation 4 9 2" xfId="58380"/>
    <cellStyle name="Calculation 5" xfId="3054"/>
    <cellStyle name="Calculation 5 10" xfId="3055"/>
    <cellStyle name="Calculation 5 11" xfId="58381"/>
    <cellStyle name="Calculation 5 12" xfId="58382"/>
    <cellStyle name="Calculation 5 2" xfId="3056"/>
    <cellStyle name="Calculation 5 2 2" xfId="3057"/>
    <cellStyle name="Calculation 5 2 2 2" xfId="58383"/>
    <cellStyle name="Calculation 5 2 3" xfId="3058"/>
    <cellStyle name="Calculation 5 2 3 2" xfId="58384"/>
    <cellStyle name="Calculation 5 2 4" xfId="3059"/>
    <cellStyle name="Calculation 5 2 4 2" xfId="58385"/>
    <cellStyle name="Calculation 5 2 5" xfId="3060"/>
    <cellStyle name="Calculation 5 2 5 2" xfId="58386"/>
    <cellStyle name="Calculation 5 2 6" xfId="3061"/>
    <cellStyle name="Calculation 5 2 6 2" xfId="58387"/>
    <cellStyle name="Calculation 5 2 7" xfId="3062"/>
    <cellStyle name="Calculation 5 2 7 2" xfId="58388"/>
    <cellStyle name="Calculation 5 2 8" xfId="3063"/>
    <cellStyle name="Calculation 5 2 8 2" xfId="58389"/>
    <cellStyle name="Calculation 5 2 9" xfId="3064"/>
    <cellStyle name="Calculation 5 3" xfId="3065"/>
    <cellStyle name="Calculation 5 3 2" xfId="58390"/>
    <cellStyle name="Calculation 5 4" xfId="3066"/>
    <cellStyle name="Calculation 5 4 2" xfId="58391"/>
    <cellStyle name="Calculation 5 5" xfId="3067"/>
    <cellStyle name="Calculation 5 5 2" xfId="58392"/>
    <cellStyle name="Calculation 5 6" xfId="3068"/>
    <cellStyle name="Calculation 5 6 2" xfId="58393"/>
    <cellStyle name="Calculation 5 7" xfId="3069"/>
    <cellStyle name="Calculation 5 7 2" xfId="58394"/>
    <cellStyle name="Calculation 5 8" xfId="3070"/>
    <cellStyle name="Calculation 5 8 2" xfId="58395"/>
    <cellStyle name="Calculation 5 9" xfId="3071"/>
    <cellStyle name="Calculation 5 9 2" xfId="58396"/>
    <cellStyle name="Calculation 6" xfId="3072"/>
    <cellStyle name="Calculation 6 10" xfId="3073"/>
    <cellStyle name="Calculation 6 11" xfId="58397"/>
    <cellStyle name="Calculation 6 12" xfId="58398"/>
    <cellStyle name="Calculation 6 2" xfId="3074"/>
    <cellStyle name="Calculation 6 2 2" xfId="3075"/>
    <cellStyle name="Calculation 6 2 2 2" xfId="58399"/>
    <cellStyle name="Calculation 6 2 3" xfId="3076"/>
    <cellStyle name="Calculation 6 2 3 2" xfId="58400"/>
    <cellStyle name="Calculation 6 2 4" xfId="3077"/>
    <cellStyle name="Calculation 6 2 4 2" xfId="58401"/>
    <cellStyle name="Calculation 6 2 5" xfId="3078"/>
    <cellStyle name="Calculation 6 2 5 2" xfId="58402"/>
    <cellStyle name="Calculation 6 2 6" xfId="3079"/>
    <cellStyle name="Calculation 6 2 6 2" xfId="58403"/>
    <cellStyle name="Calculation 6 2 7" xfId="3080"/>
    <cellStyle name="Calculation 6 2 7 2" xfId="58404"/>
    <cellStyle name="Calculation 6 2 8" xfId="3081"/>
    <cellStyle name="Calculation 6 2 8 2" xfId="58405"/>
    <cellStyle name="Calculation 6 2 9" xfId="3082"/>
    <cellStyle name="Calculation 6 3" xfId="3083"/>
    <cellStyle name="Calculation 6 3 2" xfId="58406"/>
    <cellStyle name="Calculation 6 4" xfId="3084"/>
    <cellStyle name="Calculation 6 4 2" xfId="58407"/>
    <cellStyle name="Calculation 6 5" xfId="3085"/>
    <cellStyle name="Calculation 6 5 2" xfId="58408"/>
    <cellStyle name="Calculation 6 6" xfId="3086"/>
    <cellStyle name="Calculation 6 6 2" xfId="58409"/>
    <cellStyle name="Calculation 6 7" xfId="3087"/>
    <cellStyle name="Calculation 6 7 2" xfId="58410"/>
    <cellStyle name="Calculation 6 8" xfId="3088"/>
    <cellStyle name="Calculation 6 8 2" xfId="58411"/>
    <cellStyle name="Calculation 6 9" xfId="3089"/>
    <cellStyle name="Calculation 6 9 2" xfId="58412"/>
    <cellStyle name="Calculation 7" xfId="3090"/>
    <cellStyle name="Calculation 7 10" xfId="3091"/>
    <cellStyle name="Calculation 7 11" xfId="58413"/>
    <cellStyle name="Calculation 7 12" xfId="58414"/>
    <cellStyle name="Calculation 7 2" xfId="3092"/>
    <cellStyle name="Calculation 7 2 2" xfId="3093"/>
    <cellStyle name="Calculation 7 2 2 2" xfId="58415"/>
    <cellStyle name="Calculation 7 2 3" xfId="3094"/>
    <cellStyle name="Calculation 7 2 3 2" xfId="58416"/>
    <cellStyle name="Calculation 7 2 4" xfId="3095"/>
    <cellStyle name="Calculation 7 2 4 2" xfId="58417"/>
    <cellStyle name="Calculation 7 2 5" xfId="3096"/>
    <cellStyle name="Calculation 7 2 5 2" xfId="58418"/>
    <cellStyle name="Calculation 7 2 6" xfId="3097"/>
    <cellStyle name="Calculation 7 2 6 2" xfId="58419"/>
    <cellStyle name="Calculation 7 2 7" xfId="3098"/>
    <cellStyle name="Calculation 7 2 7 2" xfId="58420"/>
    <cellStyle name="Calculation 7 2 8" xfId="3099"/>
    <cellStyle name="Calculation 7 2 8 2" xfId="58421"/>
    <cellStyle name="Calculation 7 2 9" xfId="3100"/>
    <cellStyle name="Calculation 7 3" xfId="3101"/>
    <cellStyle name="Calculation 7 3 2" xfId="58422"/>
    <cellStyle name="Calculation 7 4" xfId="3102"/>
    <cellStyle name="Calculation 7 4 2" xfId="58423"/>
    <cellStyle name="Calculation 7 5" xfId="3103"/>
    <cellStyle name="Calculation 7 5 2" xfId="58424"/>
    <cellStyle name="Calculation 7 6" xfId="3104"/>
    <cellStyle name="Calculation 7 6 2" xfId="58425"/>
    <cellStyle name="Calculation 7 7" xfId="3105"/>
    <cellStyle name="Calculation 7 7 2" xfId="58426"/>
    <cellStyle name="Calculation 7 8" xfId="3106"/>
    <cellStyle name="Calculation 7 8 2" xfId="58427"/>
    <cellStyle name="Calculation 7 9" xfId="3107"/>
    <cellStyle name="Calculation 7 9 2" xfId="58428"/>
    <cellStyle name="Calculation 8" xfId="3108"/>
    <cellStyle name="Calculation 8 10" xfId="3109"/>
    <cellStyle name="Calculation 8 11" xfId="58429"/>
    <cellStyle name="Calculation 8 12" xfId="58430"/>
    <cellStyle name="Calculation 8 2" xfId="3110"/>
    <cellStyle name="Calculation 8 2 2" xfId="3111"/>
    <cellStyle name="Calculation 8 2 2 2" xfId="58431"/>
    <cellStyle name="Calculation 8 2 3" xfId="3112"/>
    <cellStyle name="Calculation 8 2 3 2" xfId="58432"/>
    <cellStyle name="Calculation 8 2 4" xfId="3113"/>
    <cellStyle name="Calculation 8 2 4 2" xfId="58433"/>
    <cellStyle name="Calculation 8 2 5" xfId="3114"/>
    <cellStyle name="Calculation 8 2 5 2" xfId="58434"/>
    <cellStyle name="Calculation 8 2 6" xfId="3115"/>
    <cellStyle name="Calculation 8 2 6 2" xfId="58435"/>
    <cellStyle name="Calculation 8 2 7" xfId="3116"/>
    <cellStyle name="Calculation 8 2 7 2" xfId="58436"/>
    <cellStyle name="Calculation 8 2 8" xfId="3117"/>
    <cellStyle name="Calculation 8 2 8 2" xfId="58437"/>
    <cellStyle name="Calculation 8 2 9" xfId="3118"/>
    <cellStyle name="Calculation 8 3" xfId="3119"/>
    <cellStyle name="Calculation 8 3 2" xfId="58438"/>
    <cellStyle name="Calculation 8 4" xfId="3120"/>
    <cellStyle name="Calculation 8 4 2" xfId="58439"/>
    <cellStyle name="Calculation 8 5" xfId="3121"/>
    <cellStyle name="Calculation 8 5 2" xfId="58440"/>
    <cellStyle name="Calculation 8 6" xfId="3122"/>
    <cellStyle name="Calculation 8 6 2" xfId="58441"/>
    <cellStyle name="Calculation 8 7" xfId="3123"/>
    <cellStyle name="Calculation 8 7 2" xfId="58442"/>
    <cellStyle name="Calculation 8 8" xfId="3124"/>
    <cellStyle name="Calculation 8 8 2" xfId="58443"/>
    <cellStyle name="Calculation 8 9" xfId="3125"/>
    <cellStyle name="Calculation 8 9 2" xfId="58444"/>
    <cellStyle name="Calculation 9" xfId="3126"/>
    <cellStyle name="Calculation 9 10" xfId="3127"/>
    <cellStyle name="Calculation 9 11" xfId="58445"/>
    <cellStyle name="Calculation 9 12" xfId="58446"/>
    <cellStyle name="Calculation 9 2" xfId="3128"/>
    <cellStyle name="Calculation 9 2 2" xfId="3129"/>
    <cellStyle name="Calculation 9 2 2 2" xfId="58447"/>
    <cellStyle name="Calculation 9 2 3" xfId="3130"/>
    <cellStyle name="Calculation 9 2 3 2" xfId="58448"/>
    <cellStyle name="Calculation 9 2 4" xfId="3131"/>
    <cellStyle name="Calculation 9 2 4 2" xfId="58449"/>
    <cellStyle name="Calculation 9 2 5" xfId="3132"/>
    <cellStyle name="Calculation 9 2 5 2" xfId="58450"/>
    <cellStyle name="Calculation 9 2 6" xfId="3133"/>
    <cellStyle name="Calculation 9 2 6 2" xfId="58451"/>
    <cellStyle name="Calculation 9 2 7" xfId="3134"/>
    <cellStyle name="Calculation 9 2 7 2" xfId="58452"/>
    <cellStyle name="Calculation 9 2 8" xfId="3135"/>
    <cellStyle name="Calculation 9 2 8 2" xfId="58453"/>
    <cellStyle name="Calculation 9 2 9" xfId="3136"/>
    <cellStyle name="Calculation 9 3" xfId="3137"/>
    <cellStyle name="Calculation 9 3 2" xfId="58454"/>
    <cellStyle name="Calculation 9 4" xfId="3138"/>
    <cellStyle name="Calculation 9 4 2" xfId="58455"/>
    <cellStyle name="Calculation 9 5" xfId="3139"/>
    <cellStyle name="Calculation 9 5 2" xfId="58456"/>
    <cellStyle name="Calculation 9 6" xfId="3140"/>
    <cellStyle name="Calculation 9 6 2" xfId="58457"/>
    <cellStyle name="Calculation 9 7" xfId="3141"/>
    <cellStyle name="Calculation 9 7 2" xfId="58458"/>
    <cellStyle name="Calculation 9 8" xfId="3142"/>
    <cellStyle name="Calculation 9 8 2" xfId="58459"/>
    <cellStyle name="Calculation 9 9" xfId="3143"/>
    <cellStyle name="Calculation 9 9 2" xfId="58460"/>
    <cellStyle name="Check Cell 10" xfId="9572"/>
    <cellStyle name="Check Cell 11" xfId="9573"/>
    <cellStyle name="Check Cell 12" xfId="9574"/>
    <cellStyle name="Check Cell 13" xfId="9575"/>
    <cellStyle name="Check Cell 14" xfId="9576"/>
    <cellStyle name="Check Cell 15" xfId="9577"/>
    <cellStyle name="Check Cell 16" xfId="9578"/>
    <cellStyle name="Check Cell 17" xfId="9579"/>
    <cellStyle name="Check Cell 2" xfId="3144"/>
    <cellStyle name="Check Cell 2 2" xfId="3145"/>
    <cellStyle name="Check Cell 2 2 2" xfId="58461"/>
    <cellStyle name="Check Cell 2 3" xfId="29394"/>
    <cellStyle name="Check Cell 2 4" xfId="29395"/>
    <cellStyle name="Check Cell 2 5" xfId="29396"/>
    <cellStyle name="Check Cell 3" xfId="3146"/>
    <cellStyle name="Check Cell 3 2" xfId="9039"/>
    <cellStyle name="Check Cell 4" xfId="9040"/>
    <cellStyle name="Check Cell 4 2" xfId="29397"/>
    <cellStyle name="Check Cell 5" xfId="9580"/>
    <cellStyle name="Check Cell 5 2" xfId="29398"/>
    <cellStyle name="Check Cell 6" xfId="9581"/>
    <cellStyle name="Check Cell 6 2" xfId="29399"/>
    <cellStyle name="Check Cell 7" xfId="9582"/>
    <cellStyle name="Check Cell 7 2" xfId="29400"/>
    <cellStyle name="Check Cell 8" xfId="9583"/>
    <cellStyle name="Check Cell 9" xfId="9584"/>
    <cellStyle name="CodeEingabe" xfId="3147"/>
    <cellStyle name="ColumnAttributeAbovePrompt" xfId="3148"/>
    <cellStyle name="ColumnAttributeAbovePrompt 2" xfId="3149"/>
    <cellStyle name="ColumnAttributeAbovePrompt 2 2" xfId="9585"/>
    <cellStyle name="ColumnAttributeAbovePrompt 2 3" xfId="9586"/>
    <cellStyle name="ColumnAttributeAbovePrompt 3" xfId="3150"/>
    <cellStyle name="ColumnAttributeAbovePrompt 4" xfId="9041"/>
    <cellStyle name="ColumnAttributePrompt" xfId="3151"/>
    <cellStyle name="ColumnAttributePrompt 2" xfId="3152"/>
    <cellStyle name="ColumnAttributePrompt 2 2" xfId="9587"/>
    <cellStyle name="ColumnAttributePrompt 2 3" xfId="9588"/>
    <cellStyle name="ColumnAttributePrompt 3" xfId="3153"/>
    <cellStyle name="ColumnAttributePrompt 4" xfId="9042"/>
    <cellStyle name="ColumnAttributeValue" xfId="3154"/>
    <cellStyle name="ColumnAttributeValue 2" xfId="3155"/>
    <cellStyle name="ColumnAttributeValue 2 2" xfId="9589"/>
    <cellStyle name="ColumnAttributeValue 2 3" xfId="9590"/>
    <cellStyle name="ColumnAttributeValue 3" xfId="3156"/>
    <cellStyle name="ColumnAttributeValue 4" xfId="9043"/>
    <cellStyle name="ColumnHeadingPrompt" xfId="3157"/>
    <cellStyle name="ColumnHeadingPrompt 2" xfId="3158"/>
    <cellStyle name="ColumnHeadingPrompt 2 2" xfId="9591"/>
    <cellStyle name="ColumnHeadingPrompt 2 3" xfId="9592"/>
    <cellStyle name="ColumnHeadingPrompt 3" xfId="3159"/>
    <cellStyle name="ColumnHeadingPrompt 4" xfId="9044"/>
    <cellStyle name="ColumnHeadingValue" xfId="3160"/>
    <cellStyle name="ColumnHeadingValue 2" xfId="3161"/>
    <cellStyle name="ColumnHeadingValue 2 2" xfId="29401"/>
    <cellStyle name="ColumnHeadingValue 3" xfId="3162"/>
    <cellStyle name="ColumnHeadingValue 4" xfId="9045"/>
    <cellStyle name="Comma" xfId="8782" builtinId="3"/>
    <cellStyle name="Comma [0] 2" xfId="3163"/>
    <cellStyle name="Comma [0] 2 2" xfId="3164"/>
    <cellStyle name="Comma [0] 2 3" xfId="29402"/>
    <cellStyle name="Comma [0] 3" xfId="3165"/>
    <cellStyle name="Comma [0] 3 2" xfId="3166"/>
    <cellStyle name="Comma [0] 3 2 2" xfId="9593"/>
    <cellStyle name="Comma [0] 3 2 2 2" xfId="9594"/>
    <cellStyle name="Comma [0] 3 2 3" xfId="9595"/>
    <cellStyle name="Comma [0] 3 2 4" xfId="58462"/>
    <cellStyle name="Comma [0] 3 3" xfId="9596"/>
    <cellStyle name="Comma [0] 3 4" xfId="9597"/>
    <cellStyle name="Comma [0] 3 4 2" xfId="9598"/>
    <cellStyle name="Comma [0] 3 5" xfId="9599"/>
    <cellStyle name="Comma [0] 4" xfId="3167"/>
    <cellStyle name="Comma [0] 4 2" xfId="3168"/>
    <cellStyle name="Comma [0] 5" xfId="3169"/>
    <cellStyle name="Comma [0] 5 2" xfId="3170"/>
    <cellStyle name="Comma [0] 5 2 2" xfId="9600"/>
    <cellStyle name="Comma [0] 5 2 3" xfId="58463"/>
    <cellStyle name="Comma [0] 5 3" xfId="9601"/>
    <cellStyle name="Comma [0] 5 3 2" xfId="29403"/>
    <cellStyle name="Comma [0] 5 4" xfId="29404"/>
    <cellStyle name="Comma [0] 6" xfId="9602"/>
    <cellStyle name="Comma [0] 6 2" xfId="9603"/>
    <cellStyle name="Comma [0] 6 2 2" xfId="9604"/>
    <cellStyle name="Comma [0] 6 3" xfId="9605"/>
    <cellStyle name="Comma 10" xfId="3171"/>
    <cellStyle name="Comma 10 10" xfId="9046"/>
    <cellStyle name="Comma 10 10 2" xfId="29405"/>
    <cellStyle name="Comma 10 10 2 2" xfId="29406"/>
    <cellStyle name="Comma 10 10 2 3" xfId="29407"/>
    <cellStyle name="Comma 10 10 3" xfId="29408"/>
    <cellStyle name="Comma 10 10 3 2" xfId="29409"/>
    <cellStyle name="Comma 10 10 4" xfId="29410"/>
    <cellStyle name="Comma 10 10 5" xfId="29411"/>
    <cellStyle name="Comma 10 11" xfId="29412"/>
    <cellStyle name="Comma 10 11 2" xfId="29413"/>
    <cellStyle name="Comma 10 11 3" xfId="29414"/>
    <cellStyle name="Comma 10 12" xfId="29415"/>
    <cellStyle name="Comma 10 12 2" xfId="29416"/>
    <cellStyle name="Comma 10 12 3" xfId="29417"/>
    <cellStyle name="Comma 10 13" xfId="29418"/>
    <cellStyle name="Comma 10 13 2" xfId="29419"/>
    <cellStyle name="Comma 10 14" xfId="29420"/>
    <cellStyle name="Comma 10 15" xfId="29421"/>
    <cellStyle name="Comma 10 16" xfId="29422"/>
    <cellStyle name="Comma 10 2" xfId="3172"/>
    <cellStyle name="Comma 10 2 10" xfId="29423"/>
    <cellStyle name="Comma 10 2 10 2" xfId="29424"/>
    <cellStyle name="Comma 10 2 10 3" xfId="29425"/>
    <cellStyle name="Comma 10 2 11" xfId="29426"/>
    <cellStyle name="Comma 10 2 11 2" xfId="29427"/>
    <cellStyle name="Comma 10 2 11 3" xfId="29428"/>
    <cellStyle name="Comma 10 2 12" xfId="29429"/>
    <cellStyle name="Comma 10 2 12 2" xfId="29430"/>
    <cellStyle name="Comma 10 2 13" xfId="29431"/>
    <cellStyle name="Comma 10 2 14" xfId="29432"/>
    <cellStyle name="Comma 10 2 15" xfId="29433"/>
    <cellStyle name="Comma 10 2 2" xfId="3173"/>
    <cellStyle name="Comma 10 2 2 10" xfId="29434"/>
    <cellStyle name="Comma 10 2 2 10 2" xfId="29435"/>
    <cellStyle name="Comma 10 2 2 10 3" xfId="29436"/>
    <cellStyle name="Comma 10 2 2 11" xfId="29437"/>
    <cellStyle name="Comma 10 2 2 11 2" xfId="29438"/>
    <cellStyle name="Comma 10 2 2 12" xfId="29439"/>
    <cellStyle name="Comma 10 2 2 13" xfId="29440"/>
    <cellStyle name="Comma 10 2 2 14" xfId="29441"/>
    <cellStyle name="Comma 10 2 2 2" xfId="3174"/>
    <cellStyle name="Comma 10 2 2 2 10" xfId="29442"/>
    <cellStyle name="Comma 10 2 2 2 10 2" xfId="29443"/>
    <cellStyle name="Comma 10 2 2 2 11" xfId="29444"/>
    <cellStyle name="Comma 10 2 2 2 12" xfId="29445"/>
    <cellStyle name="Comma 10 2 2 2 2" xfId="3175"/>
    <cellStyle name="Comma 10 2 2 2 2 10" xfId="29446"/>
    <cellStyle name="Comma 10 2 2 2 2 2" xfId="3176"/>
    <cellStyle name="Comma 10 2 2 2 2 2 2" xfId="3177"/>
    <cellStyle name="Comma 10 2 2 2 2 2 2 2" xfId="29447"/>
    <cellStyle name="Comma 10 2 2 2 2 2 2 2 2" xfId="29448"/>
    <cellStyle name="Comma 10 2 2 2 2 2 2 2 3" xfId="29449"/>
    <cellStyle name="Comma 10 2 2 2 2 2 2 3" xfId="29450"/>
    <cellStyle name="Comma 10 2 2 2 2 2 2 3 2" xfId="29451"/>
    <cellStyle name="Comma 10 2 2 2 2 2 2 3 3" xfId="29452"/>
    <cellStyle name="Comma 10 2 2 2 2 2 2 4" xfId="29453"/>
    <cellStyle name="Comma 10 2 2 2 2 2 2 4 2" xfId="29454"/>
    <cellStyle name="Comma 10 2 2 2 2 2 2 5" xfId="29455"/>
    <cellStyle name="Comma 10 2 2 2 2 2 2 6" xfId="29456"/>
    <cellStyle name="Comma 10 2 2 2 2 2 3" xfId="29457"/>
    <cellStyle name="Comma 10 2 2 2 2 2 3 2" xfId="29458"/>
    <cellStyle name="Comma 10 2 2 2 2 2 3 2 2" xfId="29459"/>
    <cellStyle name="Comma 10 2 2 2 2 2 3 2 3" xfId="29460"/>
    <cellStyle name="Comma 10 2 2 2 2 2 3 3" xfId="29461"/>
    <cellStyle name="Comma 10 2 2 2 2 2 3 3 2" xfId="29462"/>
    <cellStyle name="Comma 10 2 2 2 2 2 3 3 3" xfId="29463"/>
    <cellStyle name="Comma 10 2 2 2 2 2 3 4" xfId="29464"/>
    <cellStyle name="Comma 10 2 2 2 2 2 3 4 2" xfId="29465"/>
    <cellStyle name="Comma 10 2 2 2 2 2 3 5" xfId="29466"/>
    <cellStyle name="Comma 10 2 2 2 2 2 3 6" xfId="29467"/>
    <cellStyle name="Comma 10 2 2 2 2 2 4" xfId="29468"/>
    <cellStyle name="Comma 10 2 2 2 2 2 4 2" xfId="29469"/>
    <cellStyle name="Comma 10 2 2 2 2 2 4 2 2" xfId="29470"/>
    <cellStyle name="Comma 10 2 2 2 2 2 4 2 3" xfId="29471"/>
    <cellStyle name="Comma 10 2 2 2 2 2 4 3" xfId="29472"/>
    <cellStyle name="Comma 10 2 2 2 2 2 4 3 2" xfId="29473"/>
    <cellStyle name="Comma 10 2 2 2 2 2 4 4" xfId="29474"/>
    <cellStyle name="Comma 10 2 2 2 2 2 4 5" xfId="29475"/>
    <cellStyle name="Comma 10 2 2 2 2 2 5" xfId="29476"/>
    <cellStyle name="Comma 10 2 2 2 2 2 5 2" xfId="29477"/>
    <cellStyle name="Comma 10 2 2 2 2 2 5 3" xfId="29478"/>
    <cellStyle name="Comma 10 2 2 2 2 2 6" xfId="29479"/>
    <cellStyle name="Comma 10 2 2 2 2 2 6 2" xfId="29480"/>
    <cellStyle name="Comma 10 2 2 2 2 2 6 3" xfId="29481"/>
    <cellStyle name="Comma 10 2 2 2 2 2 7" xfId="29482"/>
    <cellStyle name="Comma 10 2 2 2 2 2 7 2" xfId="29483"/>
    <cellStyle name="Comma 10 2 2 2 2 2 8" xfId="29484"/>
    <cellStyle name="Comma 10 2 2 2 2 2 9" xfId="29485"/>
    <cellStyle name="Comma 10 2 2 2 2 3" xfId="3178"/>
    <cellStyle name="Comma 10 2 2 2 2 3 2" xfId="29486"/>
    <cellStyle name="Comma 10 2 2 2 2 3 2 2" xfId="29487"/>
    <cellStyle name="Comma 10 2 2 2 2 3 2 3" xfId="29488"/>
    <cellStyle name="Comma 10 2 2 2 2 3 3" xfId="29489"/>
    <cellStyle name="Comma 10 2 2 2 2 3 3 2" xfId="29490"/>
    <cellStyle name="Comma 10 2 2 2 2 3 3 3" xfId="29491"/>
    <cellStyle name="Comma 10 2 2 2 2 3 4" xfId="29492"/>
    <cellStyle name="Comma 10 2 2 2 2 3 4 2" xfId="29493"/>
    <cellStyle name="Comma 10 2 2 2 2 3 5" xfId="29494"/>
    <cellStyle name="Comma 10 2 2 2 2 3 6" xfId="29495"/>
    <cellStyle name="Comma 10 2 2 2 2 4" xfId="29496"/>
    <cellStyle name="Comma 10 2 2 2 2 4 2" xfId="29497"/>
    <cellStyle name="Comma 10 2 2 2 2 4 2 2" xfId="29498"/>
    <cellStyle name="Comma 10 2 2 2 2 4 2 3" xfId="29499"/>
    <cellStyle name="Comma 10 2 2 2 2 4 3" xfId="29500"/>
    <cellStyle name="Comma 10 2 2 2 2 4 3 2" xfId="29501"/>
    <cellStyle name="Comma 10 2 2 2 2 4 3 3" xfId="29502"/>
    <cellStyle name="Comma 10 2 2 2 2 4 4" xfId="29503"/>
    <cellStyle name="Comma 10 2 2 2 2 4 4 2" xfId="29504"/>
    <cellStyle name="Comma 10 2 2 2 2 4 5" xfId="29505"/>
    <cellStyle name="Comma 10 2 2 2 2 4 6" xfId="29506"/>
    <cellStyle name="Comma 10 2 2 2 2 5" xfId="29507"/>
    <cellStyle name="Comma 10 2 2 2 2 5 2" xfId="29508"/>
    <cellStyle name="Comma 10 2 2 2 2 5 2 2" xfId="29509"/>
    <cellStyle name="Comma 10 2 2 2 2 5 2 3" xfId="29510"/>
    <cellStyle name="Comma 10 2 2 2 2 5 3" xfId="29511"/>
    <cellStyle name="Comma 10 2 2 2 2 5 3 2" xfId="29512"/>
    <cellStyle name="Comma 10 2 2 2 2 5 4" xfId="29513"/>
    <cellStyle name="Comma 10 2 2 2 2 5 5" xfId="29514"/>
    <cellStyle name="Comma 10 2 2 2 2 6" xfId="29515"/>
    <cellStyle name="Comma 10 2 2 2 2 6 2" xfId="29516"/>
    <cellStyle name="Comma 10 2 2 2 2 6 3" xfId="29517"/>
    <cellStyle name="Comma 10 2 2 2 2 7" xfId="29518"/>
    <cellStyle name="Comma 10 2 2 2 2 7 2" xfId="29519"/>
    <cellStyle name="Comma 10 2 2 2 2 7 3" xfId="29520"/>
    <cellStyle name="Comma 10 2 2 2 2 8" xfId="29521"/>
    <cellStyle name="Comma 10 2 2 2 2 8 2" xfId="29522"/>
    <cellStyle name="Comma 10 2 2 2 2 9" xfId="29523"/>
    <cellStyle name="Comma 10 2 2 2 3" xfId="3179"/>
    <cellStyle name="Comma 10 2 2 2 3 2" xfId="3180"/>
    <cellStyle name="Comma 10 2 2 2 3 2 2" xfId="29524"/>
    <cellStyle name="Comma 10 2 2 2 3 2 2 2" xfId="29525"/>
    <cellStyle name="Comma 10 2 2 2 3 2 2 3" xfId="29526"/>
    <cellStyle name="Comma 10 2 2 2 3 2 3" xfId="29527"/>
    <cellStyle name="Comma 10 2 2 2 3 2 3 2" xfId="29528"/>
    <cellStyle name="Comma 10 2 2 2 3 2 3 3" xfId="29529"/>
    <cellStyle name="Comma 10 2 2 2 3 2 4" xfId="29530"/>
    <cellStyle name="Comma 10 2 2 2 3 2 4 2" xfId="29531"/>
    <cellStyle name="Comma 10 2 2 2 3 2 5" xfId="29532"/>
    <cellStyle name="Comma 10 2 2 2 3 2 6" xfId="29533"/>
    <cellStyle name="Comma 10 2 2 2 3 3" xfId="29534"/>
    <cellStyle name="Comma 10 2 2 2 3 3 2" xfId="29535"/>
    <cellStyle name="Comma 10 2 2 2 3 3 2 2" xfId="29536"/>
    <cellStyle name="Comma 10 2 2 2 3 3 2 3" xfId="29537"/>
    <cellStyle name="Comma 10 2 2 2 3 3 3" xfId="29538"/>
    <cellStyle name="Comma 10 2 2 2 3 3 3 2" xfId="29539"/>
    <cellStyle name="Comma 10 2 2 2 3 3 3 3" xfId="29540"/>
    <cellStyle name="Comma 10 2 2 2 3 3 4" xfId="29541"/>
    <cellStyle name="Comma 10 2 2 2 3 3 4 2" xfId="29542"/>
    <cellStyle name="Comma 10 2 2 2 3 3 5" xfId="29543"/>
    <cellStyle name="Comma 10 2 2 2 3 3 6" xfId="29544"/>
    <cellStyle name="Comma 10 2 2 2 3 4" xfId="29545"/>
    <cellStyle name="Comma 10 2 2 2 3 4 2" xfId="29546"/>
    <cellStyle name="Comma 10 2 2 2 3 4 2 2" xfId="29547"/>
    <cellStyle name="Comma 10 2 2 2 3 4 2 3" xfId="29548"/>
    <cellStyle name="Comma 10 2 2 2 3 4 3" xfId="29549"/>
    <cellStyle name="Comma 10 2 2 2 3 4 3 2" xfId="29550"/>
    <cellStyle name="Comma 10 2 2 2 3 4 4" xfId="29551"/>
    <cellStyle name="Comma 10 2 2 2 3 4 5" xfId="29552"/>
    <cellStyle name="Comma 10 2 2 2 3 5" xfId="29553"/>
    <cellStyle name="Comma 10 2 2 2 3 5 2" xfId="29554"/>
    <cellStyle name="Comma 10 2 2 2 3 5 3" xfId="29555"/>
    <cellStyle name="Comma 10 2 2 2 3 6" xfId="29556"/>
    <cellStyle name="Comma 10 2 2 2 3 6 2" xfId="29557"/>
    <cellStyle name="Comma 10 2 2 2 3 6 3" xfId="29558"/>
    <cellStyle name="Comma 10 2 2 2 3 7" xfId="29559"/>
    <cellStyle name="Comma 10 2 2 2 3 7 2" xfId="29560"/>
    <cellStyle name="Comma 10 2 2 2 3 8" xfId="29561"/>
    <cellStyle name="Comma 10 2 2 2 3 9" xfId="29562"/>
    <cellStyle name="Comma 10 2 2 2 4" xfId="3181"/>
    <cellStyle name="Comma 10 2 2 2 4 2" xfId="29563"/>
    <cellStyle name="Comma 10 2 2 2 4 2 2" xfId="29564"/>
    <cellStyle name="Comma 10 2 2 2 4 2 2 2" xfId="29565"/>
    <cellStyle name="Comma 10 2 2 2 4 2 2 3" xfId="29566"/>
    <cellStyle name="Comma 10 2 2 2 4 2 3" xfId="29567"/>
    <cellStyle name="Comma 10 2 2 2 4 2 3 2" xfId="29568"/>
    <cellStyle name="Comma 10 2 2 2 4 2 3 3" xfId="29569"/>
    <cellStyle name="Comma 10 2 2 2 4 2 4" xfId="29570"/>
    <cellStyle name="Comma 10 2 2 2 4 2 4 2" xfId="29571"/>
    <cellStyle name="Comma 10 2 2 2 4 2 5" xfId="29572"/>
    <cellStyle name="Comma 10 2 2 2 4 2 6" xfId="29573"/>
    <cellStyle name="Comma 10 2 2 2 4 3" xfId="29574"/>
    <cellStyle name="Comma 10 2 2 2 4 3 2" xfId="29575"/>
    <cellStyle name="Comma 10 2 2 2 4 3 2 2" xfId="29576"/>
    <cellStyle name="Comma 10 2 2 2 4 3 2 3" xfId="29577"/>
    <cellStyle name="Comma 10 2 2 2 4 3 3" xfId="29578"/>
    <cellStyle name="Comma 10 2 2 2 4 3 3 2" xfId="29579"/>
    <cellStyle name="Comma 10 2 2 2 4 3 3 3" xfId="29580"/>
    <cellStyle name="Comma 10 2 2 2 4 3 4" xfId="29581"/>
    <cellStyle name="Comma 10 2 2 2 4 3 4 2" xfId="29582"/>
    <cellStyle name="Comma 10 2 2 2 4 3 5" xfId="29583"/>
    <cellStyle name="Comma 10 2 2 2 4 3 6" xfId="29584"/>
    <cellStyle name="Comma 10 2 2 2 4 4" xfId="29585"/>
    <cellStyle name="Comma 10 2 2 2 4 4 2" xfId="29586"/>
    <cellStyle name="Comma 10 2 2 2 4 4 2 2" xfId="29587"/>
    <cellStyle name="Comma 10 2 2 2 4 4 2 3" xfId="29588"/>
    <cellStyle name="Comma 10 2 2 2 4 4 3" xfId="29589"/>
    <cellStyle name="Comma 10 2 2 2 4 4 3 2" xfId="29590"/>
    <cellStyle name="Comma 10 2 2 2 4 4 4" xfId="29591"/>
    <cellStyle name="Comma 10 2 2 2 4 4 5" xfId="29592"/>
    <cellStyle name="Comma 10 2 2 2 4 5" xfId="29593"/>
    <cellStyle name="Comma 10 2 2 2 4 5 2" xfId="29594"/>
    <cellStyle name="Comma 10 2 2 2 4 5 3" xfId="29595"/>
    <cellStyle name="Comma 10 2 2 2 4 6" xfId="29596"/>
    <cellStyle name="Comma 10 2 2 2 4 6 2" xfId="29597"/>
    <cellStyle name="Comma 10 2 2 2 4 6 3" xfId="29598"/>
    <cellStyle name="Comma 10 2 2 2 4 7" xfId="29599"/>
    <cellStyle name="Comma 10 2 2 2 4 7 2" xfId="29600"/>
    <cellStyle name="Comma 10 2 2 2 4 8" xfId="29601"/>
    <cellStyle name="Comma 10 2 2 2 4 9" xfId="29602"/>
    <cellStyle name="Comma 10 2 2 2 5" xfId="29603"/>
    <cellStyle name="Comma 10 2 2 2 5 2" xfId="29604"/>
    <cellStyle name="Comma 10 2 2 2 5 2 2" xfId="29605"/>
    <cellStyle name="Comma 10 2 2 2 5 2 3" xfId="29606"/>
    <cellStyle name="Comma 10 2 2 2 5 3" xfId="29607"/>
    <cellStyle name="Comma 10 2 2 2 5 3 2" xfId="29608"/>
    <cellStyle name="Comma 10 2 2 2 5 3 3" xfId="29609"/>
    <cellStyle name="Comma 10 2 2 2 5 4" xfId="29610"/>
    <cellStyle name="Comma 10 2 2 2 5 4 2" xfId="29611"/>
    <cellStyle name="Comma 10 2 2 2 5 5" xfId="29612"/>
    <cellStyle name="Comma 10 2 2 2 5 6" xfId="29613"/>
    <cellStyle name="Comma 10 2 2 2 6" xfId="29614"/>
    <cellStyle name="Comma 10 2 2 2 6 2" xfId="29615"/>
    <cellStyle name="Comma 10 2 2 2 6 2 2" xfId="29616"/>
    <cellStyle name="Comma 10 2 2 2 6 2 3" xfId="29617"/>
    <cellStyle name="Comma 10 2 2 2 6 3" xfId="29618"/>
    <cellStyle name="Comma 10 2 2 2 6 3 2" xfId="29619"/>
    <cellStyle name="Comma 10 2 2 2 6 3 3" xfId="29620"/>
    <cellStyle name="Comma 10 2 2 2 6 4" xfId="29621"/>
    <cellStyle name="Comma 10 2 2 2 6 4 2" xfId="29622"/>
    <cellStyle name="Comma 10 2 2 2 6 5" xfId="29623"/>
    <cellStyle name="Comma 10 2 2 2 6 6" xfId="29624"/>
    <cellStyle name="Comma 10 2 2 2 7" xfId="29625"/>
    <cellStyle name="Comma 10 2 2 2 7 2" xfId="29626"/>
    <cellStyle name="Comma 10 2 2 2 7 2 2" xfId="29627"/>
    <cellStyle name="Comma 10 2 2 2 7 2 3" xfId="29628"/>
    <cellStyle name="Comma 10 2 2 2 7 3" xfId="29629"/>
    <cellStyle name="Comma 10 2 2 2 7 3 2" xfId="29630"/>
    <cellStyle name="Comma 10 2 2 2 7 4" xfId="29631"/>
    <cellStyle name="Comma 10 2 2 2 7 5" xfId="29632"/>
    <cellStyle name="Comma 10 2 2 2 8" xfId="29633"/>
    <cellStyle name="Comma 10 2 2 2 8 2" xfId="29634"/>
    <cellStyle name="Comma 10 2 2 2 8 3" xfId="29635"/>
    <cellStyle name="Comma 10 2 2 2 9" xfId="29636"/>
    <cellStyle name="Comma 10 2 2 2 9 2" xfId="29637"/>
    <cellStyle name="Comma 10 2 2 2 9 3" xfId="29638"/>
    <cellStyle name="Comma 10 2 2 3" xfId="3182"/>
    <cellStyle name="Comma 10 2 2 3 10" xfId="29639"/>
    <cellStyle name="Comma 10 2 2 3 2" xfId="3183"/>
    <cellStyle name="Comma 10 2 2 3 2 2" xfId="3184"/>
    <cellStyle name="Comma 10 2 2 3 2 2 2" xfId="29640"/>
    <cellStyle name="Comma 10 2 2 3 2 2 2 2" xfId="29641"/>
    <cellStyle name="Comma 10 2 2 3 2 2 2 3" xfId="29642"/>
    <cellStyle name="Comma 10 2 2 3 2 2 3" xfId="29643"/>
    <cellStyle name="Comma 10 2 2 3 2 2 3 2" xfId="29644"/>
    <cellStyle name="Comma 10 2 2 3 2 2 3 3" xfId="29645"/>
    <cellStyle name="Comma 10 2 2 3 2 2 4" xfId="29646"/>
    <cellStyle name="Comma 10 2 2 3 2 2 4 2" xfId="29647"/>
    <cellStyle name="Comma 10 2 2 3 2 2 5" xfId="29648"/>
    <cellStyle name="Comma 10 2 2 3 2 2 6" xfId="29649"/>
    <cellStyle name="Comma 10 2 2 3 2 3" xfId="29650"/>
    <cellStyle name="Comma 10 2 2 3 2 3 2" xfId="29651"/>
    <cellStyle name="Comma 10 2 2 3 2 3 2 2" xfId="29652"/>
    <cellStyle name="Comma 10 2 2 3 2 3 2 3" xfId="29653"/>
    <cellStyle name="Comma 10 2 2 3 2 3 3" xfId="29654"/>
    <cellStyle name="Comma 10 2 2 3 2 3 3 2" xfId="29655"/>
    <cellStyle name="Comma 10 2 2 3 2 3 3 3" xfId="29656"/>
    <cellStyle name="Comma 10 2 2 3 2 3 4" xfId="29657"/>
    <cellStyle name="Comma 10 2 2 3 2 3 4 2" xfId="29658"/>
    <cellStyle name="Comma 10 2 2 3 2 3 5" xfId="29659"/>
    <cellStyle name="Comma 10 2 2 3 2 3 6" xfId="29660"/>
    <cellStyle name="Comma 10 2 2 3 2 4" xfId="29661"/>
    <cellStyle name="Comma 10 2 2 3 2 4 2" xfId="29662"/>
    <cellStyle name="Comma 10 2 2 3 2 4 2 2" xfId="29663"/>
    <cellStyle name="Comma 10 2 2 3 2 4 2 3" xfId="29664"/>
    <cellStyle name="Comma 10 2 2 3 2 4 3" xfId="29665"/>
    <cellStyle name="Comma 10 2 2 3 2 4 3 2" xfId="29666"/>
    <cellStyle name="Comma 10 2 2 3 2 4 4" xfId="29667"/>
    <cellStyle name="Comma 10 2 2 3 2 4 5" xfId="29668"/>
    <cellStyle name="Comma 10 2 2 3 2 5" xfId="29669"/>
    <cellStyle name="Comma 10 2 2 3 2 5 2" xfId="29670"/>
    <cellStyle name="Comma 10 2 2 3 2 5 3" xfId="29671"/>
    <cellStyle name="Comma 10 2 2 3 2 6" xfId="29672"/>
    <cellStyle name="Comma 10 2 2 3 2 6 2" xfId="29673"/>
    <cellStyle name="Comma 10 2 2 3 2 6 3" xfId="29674"/>
    <cellStyle name="Comma 10 2 2 3 2 7" xfId="29675"/>
    <cellStyle name="Comma 10 2 2 3 2 7 2" xfId="29676"/>
    <cellStyle name="Comma 10 2 2 3 2 8" xfId="29677"/>
    <cellStyle name="Comma 10 2 2 3 2 9" xfId="29678"/>
    <cellStyle name="Comma 10 2 2 3 3" xfId="3185"/>
    <cellStyle name="Comma 10 2 2 3 3 2" xfId="29679"/>
    <cellStyle name="Comma 10 2 2 3 3 2 2" xfId="29680"/>
    <cellStyle name="Comma 10 2 2 3 3 2 3" xfId="29681"/>
    <cellStyle name="Comma 10 2 2 3 3 3" xfId="29682"/>
    <cellStyle name="Comma 10 2 2 3 3 3 2" xfId="29683"/>
    <cellStyle name="Comma 10 2 2 3 3 3 3" xfId="29684"/>
    <cellStyle name="Comma 10 2 2 3 3 4" xfId="29685"/>
    <cellStyle name="Comma 10 2 2 3 3 4 2" xfId="29686"/>
    <cellStyle name="Comma 10 2 2 3 3 5" xfId="29687"/>
    <cellStyle name="Comma 10 2 2 3 3 6" xfId="29688"/>
    <cellStyle name="Comma 10 2 2 3 4" xfId="29689"/>
    <cellStyle name="Comma 10 2 2 3 4 2" xfId="29690"/>
    <cellStyle name="Comma 10 2 2 3 4 2 2" xfId="29691"/>
    <cellStyle name="Comma 10 2 2 3 4 2 3" xfId="29692"/>
    <cellStyle name="Comma 10 2 2 3 4 3" xfId="29693"/>
    <cellStyle name="Comma 10 2 2 3 4 3 2" xfId="29694"/>
    <cellStyle name="Comma 10 2 2 3 4 3 3" xfId="29695"/>
    <cellStyle name="Comma 10 2 2 3 4 4" xfId="29696"/>
    <cellStyle name="Comma 10 2 2 3 4 4 2" xfId="29697"/>
    <cellStyle name="Comma 10 2 2 3 4 5" xfId="29698"/>
    <cellStyle name="Comma 10 2 2 3 4 6" xfId="29699"/>
    <cellStyle name="Comma 10 2 2 3 5" xfId="29700"/>
    <cellStyle name="Comma 10 2 2 3 5 2" xfId="29701"/>
    <cellStyle name="Comma 10 2 2 3 5 2 2" xfId="29702"/>
    <cellStyle name="Comma 10 2 2 3 5 2 3" xfId="29703"/>
    <cellStyle name="Comma 10 2 2 3 5 3" xfId="29704"/>
    <cellStyle name="Comma 10 2 2 3 5 3 2" xfId="29705"/>
    <cellStyle name="Comma 10 2 2 3 5 4" xfId="29706"/>
    <cellStyle name="Comma 10 2 2 3 5 5" xfId="29707"/>
    <cellStyle name="Comma 10 2 2 3 6" xfId="29708"/>
    <cellStyle name="Comma 10 2 2 3 6 2" xfId="29709"/>
    <cellStyle name="Comma 10 2 2 3 6 3" xfId="29710"/>
    <cellStyle name="Comma 10 2 2 3 7" xfId="29711"/>
    <cellStyle name="Comma 10 2 2 3 7 2" xfId="29712"/>
    <cellStyle name="Comma 10 2 2 3 7 3" xfId="29713"/>
    <cellStyle name="Comma 10 2 2 3 8" xfId="29714"/>
    <cellStyle name="Comma 10 2 2 3 8 2" xfId="29715"/>
    <cellStyle name="Comma 10 2 2 3 9" xfId="29716"/>
    <cellStyle name="Comma 10 2 2 4" xfId="3186"/>
    <cellStyle name="Comma 10 2 2 4 2" xfId="3187"/>
    <cellStyle name="Comma 10 2 2 4 2 2" xfId="29717"/>
    <cellStyle name="Comma 10 2 2 4 2 2 2" xfId="29718"/>
    <cellStyle name="Comma 10 2 2 4 2 2 3" xfId="29719"/>
    <cellStyle name="Comma 10 2 2 4 2 3" xfId="29720"/>
    <cellStyle name="Comma 10 2 2 4 2 3 2" xfId="29721"/>
    <cellStyle name="Comma 10 2 2 4 2 3 3" xfId="29722"/>
    <cellStyle name="Comma 10 2 2 4 2 4" xfId="29723"/>
    <cellStyle name="Comma 10 2 2 4 2 4 2" xfId="29724"/>
    <cellStyle name="Comma 10 2 2 4 2 5" xfId="29725"/>
    <cellStyle name="Comma 10 2 2 4 2 6" xfId="29726"/>
    <cellStyle name="Comma 10 2 2 4 3" xfId="29727"/>
    <cellStyle name="Comma 10 2 2 4 3 2" xfId="29728"/>
    <cellStyle name="Comma 10 2 2 4 3 2 2" xfId="29729"/>
    <cellStyle name="Comma 10 2 2 4 3 2 3" xfId="29730"/>
    <cellStyle name="Comma 10 2 2 4 3 3" xfId="29731"/>
    <cellStyle name="Comma 10 2 2 4 3 3 2" xfId="29732"/>
    <cellStyle name="Comma 10 2 2 4 3 3 3" xfId="29733"/>
    <cellStyle name="Comma 10 2 2 4 3 4" xfId="29734"/>
    <cellStyle name="Comma 10 2 2 4 3 4 2" xfId="29735"/>
    <cellStyle name="Comma 10 2 2 4 3 5" xfId="29736"/>
    <cellStyle name="Comma 10 2 2 4 3 6" xfId="29737"/>
    <cellStyle name="Comma 10 2 2 4 4" xfId="29738"/>
    <cellStyle name="Comma 10 2 2 4 4 2" xfId="29739"/>
    <cellStyle name="Comma 10 2 2 4 4 2 2" xfId="29740"/>
    <cellStyle name="Comma 10 2 2 4 4 2 3" xfId="29741"/>
    <cellStyle name="Comma 10 2 2 4 4 3" xfId="29742"/>
    <cellStyle name="Comma 10 2 2 4 4 3 2" xfId="29743"/>
    <cellStyle name="Comma 10 2 2 4 4 4" xfId="29744"/>
    <cellStyle name="Comma 10 2 2 4 4 5" xfId="29745"/>
    <cellStyle name="Comma 10 2 2 4 5" xfId="29746"/>
    <cellStyle name="Comma 10 2 2 4 5 2" xfId="29747"/>
    <cellStyle name="Comma 10 2 2 4 5 3" xfId="29748"/>
    <cellStyle name="Comma 10 2 2 4 6" xfId="29749"/>
    <cellStyle name="Comma 10 2 2 4 6 2" xfId="29750"/>
    <cellStyle name="Comma 10 2 2 4 6 3" xfId="29751"/>
    <cellStyle name="Comma 10 2 2 4 7" xfId="29752"/>
    <cellStyle name="Comma 10 2 2 4 7 2" xfId="29753"/>
    <cellStyle name="Comma 10 2 2 4 8" xfId="29754"/>
    <cellStyle name="Comma 10 2 2 4 9" xfId="29755"/>
    <cellStyle name="Comma 10 2 2 5" xfId="3188"/>
    <cellStyle name="Comma 10 2 2 5 2" xfId="29756"/>
    <cellStyle name="Comma 10 2 2 5 2 2" xfId="29757"/>
    <cellStyle name="Comma 10 2 2 5 2 2 2" xfId="29758"/>
    <cellStyle name="Comma 10 2 2 5 2 2 3" xfId="29759"/>
    <cellStyle name="Comma 10 2 2 5 2 3" xfId="29760"/>
    <cellStyle name="Comma 10 2 2 5 2 3 2" xfId="29761"/>
    <cellStyle name="Comma 10 2 2 5 2 3 3" xfId="29762"/>
    <cellStyle name="Comma 10 2 2 5 2 4" xfId="29763"/>
    <cellStyle name="Comma 10 2 2 5 2 4 2" xfId="29764"/>
    <cellStyle name="Comma 10 2 2 5 2 5" xfId="29765"/>
    <cellStyle name="Comma 10 2 2 5 2 6" xfId="29766"/>
    <cellStyle name="Comma 10 2 2 5 3" xfId="29767"/>
    <cellStyle name="Comma 10 2 2 5 3 2" xfId="29768"/>
    <cellStyle name="Comma 10 2 2 5 3 2 2" xfId="29769"/>
    <cellStyle name="Comma 10 2 2 5 3 2 3" xfId="29770"/>
    <cellStyle name="Comma 10 2 2 5 3 3" xfId="29771"/>
    <cellStyle name="Comma 10 2 2 5 3 3 2" xfId="29772"/>
    <cellStyle name="Comma 10 2 2 5 3 3 3" xfId="29773"/>
    <cellStyle name="Comma 10 2 2 5 3 4" xfId="29774"/>
    <cellStyle name="Comma 10 2 2 5 3 4 2" xfId="29775"/>
    <cellStyle name="Comma 10 2 2 5 3 5" xfId="29776"/>
    <cellStyle name="Comma 10 2 2 5 3 6" xfId="29777"/>
    <cellStyle name="Comma 10 2 2 5 4" xfId="29778"/>
    <cellStyle name="Comma 10 2 2 5 4 2" xfId="29779"/>
    <cellStyle name="Comma 10 2 2 5 4 2 2" xfId="29780"/>
    <cellStyle name="Comma 10 2 2 5 4 2 3" xfId="29781"/>
    <cellStyle name="Comma 10 2 2 5 4 3" xfId="29782"/>
    <cellStyle name="Comma 10 2 2 5 4 3 2" xfId="29783"/>
    <cellStyle name="Comma 10 2 2 5 4 4" xfId="29784"/>
    <cellStyle name="Comma 10 2 2 5 4 5" xfId="29785"/>
    <cellStyle name="Comma 10 2 2 5 5" xfId="29786"/>
    <cellStyle name="Comma 10 2 2 5 5 2" xfId="29787"/>
    <cellStyle name="Comma 10 2 2 5 5 3" xfId="29788"/>
    <cellStyle name="Comma 10 2 2 5 6" xfId="29789"/>
    <cellStyle name="Comma 10 2 2 5 6 2" xfId="29790"/>
    <cellStyle name="Comma 10 2 2 5 6 3" xfId="29791"/>
    <cellStyle name="Comma 10 2 2 5 7" xfId="29792"/>
    <cellStyle name="Comma 10 2 2 5 7 2" xfId="29793"/>
    <cellStyle name="Comma 10 2 2 5 8" xfId="29794"/>
    <cellStyle name="Comma 10 2 2 5 9" xfId="29795"/>
    <cellStyle name="Comma 10 2 2 6" xfId="29796"/>
    <cellStyle name="Comma 10 2 2 6 2" xfId="29797"/>
    <cellStyle name="Comma 10 2 2 6 2 2" xfId="29798"/>
    <cellStyle name="Comma 10 2 2 6 2 3" xfId="29799"/>
    <cellStyle name="Comma 10 2 2 6 3" xfId="29800"/>
    <cellStyle name="Comma 10 2 2 6 3 2" xfId="29801"/>
    <cellStyle name="Comma 10 2 2 6 3 3" xfId="29802"/>
    <cellStyle name="Comma 10 2 2 6 4" xfId="29803"/>
    <cellStyle name="Comma 10 2 2 6 4 2" xfId="29804"/>
    <cellStyle name="Comma 10 2 2 6 5" xfId="29805"/>
    <cellStyle name="Comma 10 2 2 6 6" xfId="29806"/>
    <cellStyle name="Comma 10 2 2 7" xfId="29807"/>
    <cellStyle name="Comma 10 2 2 7 2" xfId="29808"/>
    <cellStyle name="Comma 10 2 2 7 2 2" xfId="29809"/>
    <cellStyle name="Comma 10 2 2 7 2 3" xfId="29810"/>
    <cellStyle name="Comma 10 2 2 7 3" xfId="29811"/>
    <cellStyle name="Comma 10 2 2 7 3 2" xfId="29812"/>
    <cellStyle name="Comma 10 2 2 7 3 3" xfId="29813"/>
    <cellStyle name="Comma 10 2 2 7 4" xfId="29814"/>
    <cellStyle name="Comma 10 2 2 7 4 2" xfId="29815"/>
    <cellStyle name="Comma 10 2 2 7 5" xfId="29816"/>
    <cellStyle name="Comma 10 2 2 7 6" xfId="29817"/>
    <cellStyle name="Comma 10 2 2 8" xfId="29818"/>
    <cellStyle name="Comma 10 2 2 8 2" xfId="29819"/>
    <cellStyle name="Comma 10 2 2 8 2 2" xfId="29820"/>
    <cellStyle name="Comma 10 2 2 8 2 3" xfId="29821"/>
    <cellStyle name="Comma 10 2 2 8 3" xfId="29822"/>
    <cellStyle name="Comma 10 2 2 8 3 2" xfId="29823"/>
    <cellStyle name="Comma 10 2 2 8 4" xfId="29824"/>
    <cellStyle name="Comma 10 2 2 8 5" xfId="29825"/>
    <cellStyle name="Comma 10 2 2 9" xfId="29826"/>
    <cellStyle name="Comma 10 2 2 9 2" xfId="29827"/>
    <cellStyle name="Comma 10 2 2 9 3" xfId="29828"/>
    <cellStyle name="Comma 10 2 3" xfId="3189"/>
    <cellStyle name="Comma 10 2 3 10" xfId="29829"/>
    <cellStyle name="Comma 10 2 3 10 2" xfId="29830"/>
    <cellStyle name="Comma 10 2 3 11" xfId="29831"/>
    <cellStyle name="Comma 10 2 3 12" xfId="29832"/>
    <cellStyle name="Comma 10 2 3 2" xfId="3190"/>
    <cellStyle name="Comma 10 2 3 2 10" xfId="29833"/>
    <cellStyle name="Comma 10 2 3 2 2" xfId="3191"/>
    <cellStyle name="Comma 10 2 3 2 2 2" xfId="3192"/>
    <cellStyle name="Comma 10 2 3 2 2 2 2" xfId="29834"/>
    <cellStyle name="Comma 10 2 3 2 2 2 2 2" xfId="29835"/>
    <cellStyle name="Comma 10 2 3 2 2 2 2 3" xfId="29836"/>
    <cellStyle name="Comma 10 2 3 2 2 2 3" xfId="29837"/>
    <cellStyle name="Comma 10 2 3 2 2 2 3 2" xfId="29838"/>
    <cellStyle name="Comma 10 2 3 2 2 2 3 3" xfId="29839"/>
    <cellStyle name="Comma 10 2 3 2 2 2 4" xfId="29840"/>
    <cellStyle name="Comma 10 2 3 2 2 2 4 2" xfId="29841"/>
    <cellStyle name="Comma 10 2 3 2 2 2 5" xfId="29842"/>
    <cellStyle name="Comma 10 2 3 2 2 2 6" xfId="29843"/>
    <cellStyle name="Comma 10 2 3 2 2 3" xfId="29844"/>
    <cellStyle name="Comma 10 2 3 2 2 3 2" xfId="29845"/>
    <cellStyle name="Comma 10 2 3 2 2 3 2 2" xfId="29846"/>
    <cellStyle name="Comma 10 2 3 2 2 3 2 3" xfId="29847"/>
    <cellStyle name="Comma 10 2 3 2 2 3 3" xfId="29848"/>
    <cellStyle name="Comma 10 2 3 2 2 3 3 2" xfId="29849"/>
    <cellStyle name="Comma 10 2 3 2 2 3 3 3" xfId="29850"/>
    <cellStyle name="Comma 10 2 3 2 2 3 4" xfId="29851"/>
    <cellStyle name="Comma 10 2 3 2 2 3 4 2" xfId="29852"/>
    <cellStyle name="Comma 10 2 3 2 2 3 5" xfId="29853"/>
    <cellStyle name="Comma 10 2 3 2 2 3 6" xfId="29854"/>
    <cellStyle name="Comma 10 2 3 2 2 4" xfId="29855"/>
    <cellStyle name="Comma 10 2 3 2 2 4 2" xfId="29856"/>
    <cellStyle name="Comma 10 2 3 2 2 4 2 2" xfId="29857"/>
    <cellStyle name="Comma 10 2 3 2 2 4 2 3" xfId="29858"/>
    <cellStyle name="Comma 10 2 3 2 2 4 3" xfId="29859"/>
    <cellStyle name="Comma 10 2 3 2 2 4 3 2" xfId="29860"/>
    <cellStyle name="Comma 10 2 3 2 2 4 4" xfId="29861"/>
    <cellStyle name="Comma 10 2 3 2 2 4 5" xfId="29862"/>
    <cellStyle name="Comma 10 2 3 2 2 5" xfId="29863"/>
    <cellStyle name="Comma 10 2 3 2 2 5 2" xfId="29864"/>
    <cellStyle name="Comma 10 2 3 2 2 5 3" xfId="29865"/>
    <cellStyle name="Comma 10 2 3 2 2 6" xfId="29866"/>
    <cellStyle name="Comma 10 2 3 2 2 6 2" xfId="29867"/>
    <cellStyle name="Comma 10 2 3 2 2 6 3" xfId="29868"/>
    <cellStyle name="Comma 10 2 3 2 2 7" xfId="29869"/>
    <cellStyle name="Comma 10 2 3 2 2 7 2" xfId="29870"/>
    <cellStyle name="Comma 10 2 3 2 2 8" xfId="29871"/>
    <cellStyle name="Comma 10 2 3 2 2 9" xfId="29872"/>
    <cellStyle name="Comma 10 2 3 2 3" xfId="3193"/>
    <cellStyle name="Comma 10 2 3 2 3 2" xfId="29873"/>
    <cellStyle name="Comma 10 2 3 2 3 2 2" xfId="29874"/>
    <cellStyle name="Comma 10 2 3 2 3 2 3" xfId="29875"/>
    <cellStyle name="Comma 10 2 3 2 3 3" xfId="29876"/>
    <cellStyle name="Comma 10 2 3 2 3 3 2" xfId="29877"/>
    <cellStyle name="Comma 10 2 3 2 3 3 3" xfId="29878"/>
    <cellStyle name="Comma 10 2 3 2 3 4" xfId="29879"/>
    <cellStyle name="Comma 10 2 3 2 3 4 2" xfId="29880"/>
    <cellStyle name="Comma 10 2 3 2 3 5" xfId="29881"/>
    <cellStyle name="Comma 10 2 3 2 3 6" xfId="29882"/>
    <cellStyle name="Comma 10 2 3 2 4" xfId="29883"/>
    <cellStyle name="Comma 10 2 3 2 4 2" xfId="29884"/>
    <cellStyle name="Comma 10 2 3 2 4 2 2" xfId="29885"/>
    <cellStyle name="Comma 10 2 3 2 4 2 3" xfId="29886"/>
    <cellStyle name="Comma 10 2 3 2 4 3" xfId="29887"/>
    <cellStyle name="Comma 10 2 3 2 4 3 2" xfId="29888"/>
    <cellStyle name="Comma 10 2 3 2 4 3 3" xfId="29889"/>
    <cellStyle name="Comma 10 2 3 2 4 4" xfId="29890"/>
    <cellStyle name="Comma 10 2 3 2 4 4 2" xfId="29891"/>
    <cellStyle name="Comma 10 2 3 2 4 5" xfId="29892"/>
    <cellStyle name="Comma 10 2 3 2 4 6" xfId="29893"/>
    <cellStyle name="Comma 10 2 3 2 5" xfId="29894"/>
    <cellStyle name="Comma 10 2 3 2 5 2" xfId="29895"/>
    <cellStyle name="Comma 10 2 3 2 5 2 2" xfId="29896"/>
    <cellStyle name="Comma 10 2 3 2 5 2 3" xfId="29897"/>
    <cellStyle name="Comma 10 2 3 2 5 3" xfId="29898"/>
    <cellStyle name="Comma 10 2 3 2 5 3 2" xfId="29899"/>
    <cellStyle name="Comma 10 2 3 2 5 4" xfId="29900"/>
    <cellStyle name="Comma 10 2 3 2 5 5" xfId="29901"/>
    <cellStyle name="Comma 10 2 3 2 6" xfId="29902"/>
    <cellStyle name="Comma 10 2 3 2 6 2" xfId="29903"/>
    <cellStyle name="Comma 10 2 3 2 6 3" xfId="29904"/>
    <cellStyle name="Comma 10 2 3 2 7" xfId="29905"/>
    <cellStyle name="Comma 10 2 3 2 7 2" xfId="29906"/>
    <cellStyle name="Comma 10 2 3 2 7 3" xfId="29907"/>
    <cellStyle name="Comma 10 2 3 2 8" xfId="29908"/>
    <cellStyle name="Comma 10 2 3 2 8 2" xfId="29909"/>
    <cellStyle name="Comma 10 2 3 2 9" xfId="29910"/>
    <cellStyle name="Comma 10 2 3 3" xfId="3194"/>
    <cellStyle name="Comma 10 2 3 3 2" xfId="3195"/>
    <cellStyle name="Comma 10 2 3 3 2 2" xfId="29911"/>
    <cellStyle name="Comma 10 2 3 3 2 2 2" xfId="29912"/>
    <cellStyle name="Comma 10 2 3 3 2 2 3" xfId="29913"/>
    <cellStyle name="Comma 10 2 3 3 2 3" xfId="29914"/>
    <cellStyle name="Comma 10 2 3 3 2 3 2" xfId="29915"/>
    <cellStyle name="Comma 10 2 3 3 2 3 3" xfId="29916"/>
    <cellStyle name="Comma 10 2 3 3 2 4" xfId="29917"/>
    <cellStyle name="Comma 10 2 3 3 2 4 2" xfId="29918"/>
    <cellStyle name="Comma 10 2 3 3 2 5" xfId="29919"/>
    <cellStyle name="Comma 10 2 3 3 2 6" xfId="29920"/>
    <cellStyle name="Comma 10 2 3 3 3" xfId="29921"/>
    <cellStyle name="Comma 10 2 3 3 3 2" xfId="29922"/>
    <cellStyle name="Comma 10 2 3 3 3 2 2" xfId="29923"/>
    <cellStyle name="Comma 10 2 3 3 3 2 3" xfId="29924"/>
    <cellStyle name="Comma 10 2 3 3 3 3" xfId="29925"/>
    <cellStyle name="Comma 10 2 3 3 3 3 2" xfId="29926"/>
    <cellStyle name="Comma 10 2 3 3 3 3 3" xfId="29927"/>
    <cellStyle name="Comma 10 2 3 3 3 4" xfId="29928"/>
    <cellStyle name="Comma 10 2 3 3 3 4 2" xfId="29929"/>
    <cellStyle name="Comma 10 2 3 3 3 5" xfId="29930"/>
    <cellStyle name="Comma 10 2 3 3 3 6" xfId="29931"/>
    <cellStyle name="Comma 10 2 3 3 4" xfId="29932"/>
    <cellStyle name="Comma 10 2 3 3 4 2" xfId="29933"/>
    <cellStyle name="Comma 10 2 3 3 4 2 2" xfId="29934"/>
    <cellStyle name="Comma 10 2 3 3 4 2 3" xfId="29935"/>
    <cellStyle name="Comma 10 2 3 3 4 3" xfId="29936"/>
    <cellStyle name="Comma 10 2 3 3 4 3 2" xfId="29937"/>
    <cellStyle name="Comma 10 2 3 3 4 4" xfId="29938"/>
    <cellStyle name="Comma 10 2 3 3 4 5" xfId="29939"/>
    <cellStyle name="Comma 10 2 3 3 5" xfId="29940"/>
    <cellStyle name="Comma 10 2 3 3 5 2" xfId="29941"/>
    <cellStyle name="Comma 10 2 3 3 5 3" xfId="29942"/>
    <cellStyle name="Comma 10 2 3 3 6" xfId="29943"/>
    <cellStyle name="Comma 10 2 3 3 6 2" xfId="29944"/>
    <cellStyle name="Comma 10 2 3 3 6 3" xfId="29945"/>
    <cellStyle name="Comma 10 2 3 3 7" xfId="29946"/>
    <cellStyle name="Comma 10 2 3 3 7 2" xfId="29947"/>
    <cellStyle name="Comma 10 2 3 3 8" xfId="29948"/>
    <cellStyle name="Comma 10 2 3 3 9" xfId="29949"/>
    <cellStyle name="Comma 10 2 3 4" xfId="3196"/>
    <cellStyle name="Comma 10 2 3 4 2" xfId="29950"/>
    <cellStyle name="Comma 10 2 3 4 2 2" xfId="29951"/>
    <cellStyle name="Comma 10 2 3 4 2 2 2" xfId="29952"/>
    <cellStyle name="Comma 10 2 3 4 2 2 3" xfId="29953"/>
    <cellStyle name="Comma 10 2 3 4 2 3" xfId="29954"/>
    <cellStyle name="Comma 10 2 3 4 2 3 2" xfId="29955"/>
    <cellStyle name="Comma 10 2 3 4 2 3 3" xfId="29956"/>
    <cellStyle name="Comma 10 2 3 4 2 4" xfId="29957"/>
    <cellStyle name="Comma 10 2 3 4 2 4 2" xfId="29958"/>
    <cellStyle name="Comma 10 2 3 4 2 5" xfId="29959"/>
    <cellStyle name="Comma 10 2 3 4 2 6" xfId="29960"/>
    <cellStyle name="Comma 10 2 3 4 3" xfId="29961"/>
    <cellStyle name="Comma 10 2 3 4 3 2" xfId="29962"/>
    <cellStyle name="Comma 10 2 3 4 3 2 2" xfId="29963"/>
    <cellStyle name="Comma 10 2 3 4 3 2 3" xfId="29964"/>
    <cellStyle name="Comma 10 2 3 4 3 3" xfId="29965"/>
    <cellStyle name="Comma 10 2 3 4 3 3 2" xfId="29966"/>
    <cellStyle name="Comma 10 2 3 4 3 3 3" xfId="29967"/>
    <cellStyle name="Comma 10 2 3 4 3 4" xfId="29968"/>
    <cellStyle name="Comma 10 2 3 4 3 4 2" xfId="29969"/>
    <cellStyle name="Comma 10 2 3 4 3 5" xfId="29970"/>
    <cellStyle name="Comma 10 2 3 4 3 6" xfId="29971"/>
    <cellStyle name="Comma 10 2 3 4 4" xfId="29972"/>
    <cellStyle name="Comma 10 2 3 4 4 2" xfId="29973"/>
    <cellStyle name="Comma 10 2 3 4 4 2 2" xfId="29974"/>
    <cellStyle name="Comma 10 2 3 4 4 2 3" xfId="29975"/>
    <cellStyle name="Comma 10 2 3 4 4 3" xfId="29976"/>
    <cellStyle name="Comma 10 2 3 4 4 3 2" xfId="29977"/>
    <cellStyle name="Comma 10 2 3 4 4 4" xfId="29978"/>
    <cellStyle name="Comma 10 2 3 4 4 5" xfId="29979"/>
    <cellStyle name="Comma 10 2 3 4 5" xfId="29980"/>
    <cellStyle name="Comma 10 2 3 4 5 2" xfId="29981"/>
    <cellStyle name="Comma 10 2 3 4 5 3" xfId="29982"/>
    <cellStyle name="Comma 10 2 3 4 6" xfId="29983"/>
    <cellStyle name="Comma 10 2 3 4 6 2" xfId="29984"/>
    <cellStyle name="Comma 10 2 3 4 6 3" xfId="29985"/>
    <cellStyle name="Comma 10 2 3 4 7" xfId="29986"/>
    <cellStyle name="Comma 10 2 3 4 7 2" xfId="29987"/>
    <cellStyle name="Comma 10 2 3 4 8" xfId="29988"/>
    <cellStyle name="Comma 10 2 3 4 9" xfId="29989"/>
    <cellStyle name="Comma 10 2 3 5" xfId="29990"/>
    <cellStyle name="Comma 10 2 3 5 2" xfId="29991"/>
    <cellStyle name="Comma 10 2 3 5 2 2" xfId="29992"/>
    <cellStyle name="Comma 10 2 3 5 2 3" xfId="29993"/>
    <cellStyle name="Comma 10 2 3 5 3" xfId="29994"/>
    <cellStyle name="Comma 10 2 3 5 3 2" xfId="29995"/>
    <cellStyle name="Comma 10 2 3 5 3 3" xfId="29996"/>
    <cellStyle name="Comma 10 2 3 5 4" xfId="29997"/>
    <cellStyle name="Comma 10 2 3 5 4 2" xfId="29998"/>
    <cellStyle name="Comma 10 2 3 5 5" xfId="29999"/>
    <cellStyle name="Comma 10 2 3 5 6" xfId="30000"/>
    <cellStyle name="Comma 10 2 3 6" xfId="30001"/>
    <cellStyle name="Comma 10 2 3 6 2" xfId="30002"/>
    <cellStyle name="Comma 10 2 3 6 2 2" xfId="30003"/>
    <cellStyle name="Comma 10 2 3 6 2 3" xfId="30004"/>
    <cellStyle name="Comma 10 2 3 6 3" xfId="30005"/>
    <cellStyle name="Comma 10 2 3 6 3 2" xfId="30006"/>
    <cellStyle name="Comma 10 2 3 6 3 3" xfId="30007"/>
    <cellStyle name="Comma 10 2 3 6 4" xfId="30008"/>
    <cellStyle name="Comma 10 2 3 6 4 2" xfId="30009"/>
    <cellStyle name="Comma 10 2 3 6 5" xfId="30010"/>
    <cellStyle name="Comma 10 2 3 6 6" xfId="30011"/>
    <cellStyle name="Comma 10 2 3 7" xfId="30012"/>
    <cellStyle name="Comma 10 2 3 7 2" xfId="30013"/>
    <cellStyle name="Comma 10 2 3 7 2 2" xfId="30014"/>
    <cellStyle name="Comma 10 2 3 7 2 3" xfId="30015"/>
    <cellStyle name="Comma 10 2 3 7 3" xfId="30016"/>
    <cellStyle name="Comma 10 2 3 7 3 2" xfId="30017"/>
    <cellStyle name="Comma 10 2 3 7 4" xfId="30018"/>
    <cellStyle name="Comma 10 2 3 7 5" xfId="30019"/>
    <cellStyle name="Comma 10 2 3 8" xfId="30020"/>
    <cellStyle name="Comma 10 2 3 8 2" xfId="30021"/>
    <cellStyle name="Comma 10 2 3 8 3" xfId="30022"/>
    <cellStyle name="Comma 10 2 3 9" xfId="30023"/>
    <cellStyle name="Comma 10 2 3 9 2" xfId="30024"/>
    <cellStyle name="Comma 10 2 3 9 3" xfId="30025"/>
    <cellStyle name="Comma 10 2 4" xfId="3197"/>
    <cellStyle name="Comma 10 2 4 10" xfId="30026"/>
    <cellStyle name="Comma 10 2 4 2" xfId="3198"/>
    <cellStyle name="Comma 10 2 4 2 2" xfId="3199"/>
    <cellStyle name="Comma 10 2 4 2 2 2" xfId="30027"/>
    <cellStyle name="Comma 10 2 4 2 2 2 2" xfId="30028"/>
    <cellStyle name="Comma 10 2 4 2 2 2 3" xfId="30029"/>
    <cellStyle name="Comma 10 2 4 2 2 3" xfId="30030"/>
    <cellStyle name="Comma 10 2 4 2 2 3 2" xfId="30031"/>
    <cellStyle name="Comma 10 2 4 2 2 3 3" xfId="30032"/>
    <cellStyle name="Comma 10 2 4 2 2 4" xfId="30033"/>
    <cellStyle name="Comma 10 2 4 2 2 4 2" xfId="30034"/>
    <cellStyle name="Comma 10 2 4 2 2 5" xfId="30035"/>
    <cellStyle name="Comma 10 2 4 2 2 6" xfId="30036"/>
    <cellStyle name="Comma 10 2 4 2 3" xfId="30037"/>
    <cellStyle name="Comma 10 2 4 2 3 2" xfId="30038"/>
    <cellStyle name="Comma 10 2 4 2 3 2 2" xfId="30039"/>
    <cellStyle name="Comma 10 2 4 2 3 2 3" xfId="30040"/>
    <cellStyle name="Comma 10 2 4 2 3 3" xfId="30041"/>
    <cellStyle name="Comma 10 2 4 2 3 3 2" xfId="30042"/>
    <cellStyle name="Comma 10 2 4 2 3 3 3" xfId="30043"/>
    <cellStyle name="Comma 10 2 4 2 3 4" xfId="30044"/>
    <cellStyle name="Comma 10 2 4 2 3 4 2" xfId="30045"/>
    <cellStyle name="Comma 10 2 4 2 3 5" xfId="30046"/>
    <cellStyle name="Comma 10 2 4 2 3 6" xfId="30047"/>
    <cellStyle name="Comma 10 2 4 2 4" xfId="30048"/>
    <cellStyle name="Comma 10 2 4 2 4 2" xfId="30049"/>
    <cellStyle name="Comma 10 2 4 2 4 2 2" xfId="30050"/>
    <cellStyle name="Comma 10 2 4 2 4 2 3" xfId="30051"/>
    <cellStyle name="Comma 10 2 4 2 4 3" xfId="30052"/>
    <cellStyle name="Comma 10 2 4 2 4 3 2" xfId="30053"/>
    <cellStyle name="Comma 10 2 4 2 4 4" xfId="30054"/>
    <cellStyle name="Comma 10 2 4 2 4 5" xfId="30055"/>
    <cellStyle name="Comma 10 2 4 2 5" xfId="30056"/>
    <cellStyle name="Comma 10 2 4 2 5 2" xfId="30057"/>
    <cellStyle name="Comma 10 2 4 2 5 3" xfId="30058"/>
    <cellStyle name="Comma 10 2 4 2 6" xfId="30059"/>
    <cellStyle name="Comma 10 2 4 2 6 2" xfId="30060"/>
    <cellStyle name="Comma 10 2 4 2 6 3" xfId="30061"/>
    <cellStyle name="Comma 10 2 4 2 7" xfId="30062"/>
    <cellStyle name="Comma 10 2 4 2 7 2" xfId="30063"/>
    <cellStyle name="Comma 10 2 4 2 8" xfId="30064"/>
    <cellStyle name="Comma 10 2 4 2 9" xfId="30065"/>
    <cellStyle name="Comma 10 2 4 3" xfId="3200"/>
    <cellStyle name="Comma 10 2 4 3 2" xfId="30066"/>
    <cellStyle name="Comma 10 2 4 3 2 2" xfId="30067"/>
    <cellStyle name="Comma 10 2 4 3 2 3" xfId="30068"/>
    <cellStyle name="Comma 10 2 4 3 3" xfId="30069"/>
    <cellStyle name="Comma 10 2 4 3 3 2" xfId="30070"/>
    <cellStyle name="Comma 10 2 4 3 3 3" xfId="30071"/>
    <cellStyle name="Comma 10 2 4 3 4" xfId="30072"/>
    <cellStyle name="Comma 10 2 4 3 4 2" xfId="30073"/>
    <cellStyle name="Comma 10 2 4 3 5" xfId="30074"/>
    <cellStyle name="Comma 10 2 4 3 6" xfId="30075"/>
    <cellStyle name="Comma 10 2 4 4" xfId="30076"/>
    <cellStyle name="Comma 10 2 4 4 2" xfId="30077"/>
    <cellStyle name="Comma 10 2 4 4 2 2" xfId="30078"/>
    <cellStyle name="Comma 10 2 4 4 2 3" xfId="30079"/>
    <cellStyle name="Comma 10 2 4 4 3" xfId="30080"/>
    <cellStyle name="Comma 10 2 4 4 3 2" xfId="30081"/>
    <cellStyle name="Comma 10 2 4 4 3 3" xfId="30082"/>
    <cellStyle name="Comma 10 2 4 4 4" xfId="30083"/>
    <cellStyle name="Comma 10 2 4 4 4 2" xfId="30084"/>
    <cellStyle name="Comma 10 2 4 4 5" xfId="30085"/>
    <cellStyle name="Comma 10 2 4 4 6" xfId="30086"/>
    <cellStyle name="Comma 10 2 4 5" xfId="30087"/>
    <cellStyle name="Comma 10 2 4 5 2" xfId="30088"/>
    <cellStyle name="Comma 10 2 4 5 2 2" xfId="30089"/>
    <cellStyle name="Comma 10 2 4 5 2 3" xfId="30090"/>
    <cellStyle name="Comma 10 2 4 5 3" xfId="30091"/>
    <cellStyle name="Comma 10 2 4 5 3 2" xfId="30092"/>
    <cellStyle name="Comma 10 2 4 5 4" xfId="30093"/>
    <cellStyle name="Comma 10 2 4 5 5" xfId="30094"/>
    <cellStyle name="Comma 10 2 4 6" xfId="30095"/>
    <cellStyle name="Comma 10 2 4 6 2" xfId="30096"/>
    <cellStyle name="Comma 10 2 4 6 3" xfId="30097"/>
    <cellStyle name="Comma 10 2 4 7" xfId="30098"/>
    <cellStyle name="Comma 10 2 4 7 2" xfId="30099"/>
    <cellStyle name="Comma 10 2 4 7 3" xfId="30100"/>
    <cellStyle name="Comma 10 2 4 8" xfId="30101"/>
    <cellStyle name="Comma 10 2 4 8 2" xfId="30102"/>
    <cellStyle name="Comma 10 2 4 9" xfId="30103"/>
    <cellStyle name="Comma 10 2 5" xfId="3201"/>
    <cellStyle name="Comma 10 2 5 2" xfId="3202"/>
    <cellStyle name="Comma 10 2 5 2 2" xfId="30104"/>
    <cellStyle name="Comma 10 2 5 2 2 2" xfId="30105"/>
    <cellStyle name="Comma 10 2 5 2 2 3" xfId="30106"/>
    <cellStyle name="Comma 10 2 5 2 3" xfId="30107"/>
    <cellStyle name="Comma 10 2 5 2 3 2" xfId="30108"/>
    <cellStyle name="Comma 10 2 5 2 3 3" xfId="30109"/>
    <cellStyle name="Comma 10 2 5 2 4" xfId="30110"/>
    <cellStyle name="Comma 10 2 5 2 4 2" xfId="30111"/>
    <cellStyle name="Comma 10 2 5 2 5" xfId="30112"/>
    <cellStyle name="Comma 10 2 5 2 6" xfId="30113"/>
    <cellStyle name="Comma 10 2 5 3" xfId="30114"/>
    <cellStyle name="Comma 10 2 5 3 2" xfId="30115"/>
    <cellStyle name="Comma 10 2 5 3 2 2" xfId="30116"/>
    <cellStyle name="Comma 10 2 5 3 2 3" xfId="30117"/>
    <cellStyle name="Comma 10 2 5 3 3" xfId="30118"/>
    <cellStyle name="Comma 10 2 5 3 3 2" xfId="30119"/>
    <cellStyle name="Comma 10 2 5 3 3 3" xfId="30120"/>
    <cellStyle name="Comma 10 2 5 3 4" xfId="30121"/>
    <cellStyle name="Comma 10 2 5 3 4 2" xfId="30122"/>
    <cellStyle name="Comma 10 2 5 3 5" xfId="30123"/>
    <cellStyle name="Comma 10 2 5 3 6" xfId="30124"/>
    <cellStyle name="Comma 10 2 5 4" xfId="30125"/>
    <cellStyle name="Comma 10 2 5 4 2" xfId="30126"/>
    <cellStyle name="Comma 10 2 5 4 2 2" xfId="30127"/>
    <cellStyle name="Comma 10 2 5 4 2 3" xfId="30128"/>
    <cellStyle name="Comma 10 2 5 4 3" xfId="30129"/>
    <cellStyle name="Comma 10 2 5 4 3 2" xfId="30130"/>
    <cellStyle name="Comma 10 2 5 4 4" xfId="30131"/>
    <cellStyle name="Comma 10 2 5 4 5" xfId="30132"/>
    <cellStyle name="Comma 10 2 5 5" xfId="30133"/>
    <cellStyle name="Comma 10 2 5 5 2" xfId="30134"/>
    <cellStyle name="Comma 10 2 5 5 3" xfId="30135"/>
    <cellStyle name="Comma 10 2 5 6" xfId="30136"/>
    <cellStyle name="Comma 10 2 5 6 2" xfId="30137"/>
    <cellStyle name="Comma 10 2 5 6 3" xfId="30138"/>
    <cellStyle name="Comma 10 2 5 7" xfId="30139"/>
    <cellStyle name="Comma 10 2 5 7 2" xfId="30140"/>
    <cellStyle name="Comma 10 2 5 8" xfId="30141"/>
    <cellStyle name="Comma 10 2 5 9" xfId="30142"/>
    <cellStyle name="Comma 10 2 6" xfId="3203"/>
    <cellStyle name="Comma 10 2 6 2" xfId="30143"/>
    <cellStyle name="Comma 10 2 6 2 2" xfId="30144"/>
    <cellStyle name="Comma 10 2 6 2 2 2" xfId="30145"/>
    <cellStyle name="Comma 10 2 6 2 2 3" xfId="30146"/>
    <cellStyle name="Comma 10 2 6 2 3" xfId="30147"/>
    <cellStyle name="Comma 10 2 6 2 3 2" xfId="30148"/>
    <cellStyle name="Comma 10 2 6 2 3 3" xfId="30149"/>
    <cellStyle name="Comma 10 2 6 2 4" xfId="30150"/>
    <cellStyle name="Comma 10 2 6 2 4 2" xfId="30151"/>
    <cellStyle name="Comma 10 2 6 2 5" xfId="30152"/>
    <cellStyle name="Comma 10 2 6 2 6" xfId="30153"/>
    <cellStyle name="Comma 10 2 6 3" xfId="30154"/>
    <cellStyle name="Comma 10 2 6 3 2" xfId="30155"/>
    <cellStyle name="Comma 10 2 6 3 2 2" xfId="30156"/>
    <cellStyle name="Comma 10 2 6 3 2 3" xfId="30157"/>
    <cellStyle name="Comma 10 2 6 3 3" xfId="30158"/>
    <cellStyle name="Comma 10 2 6 3 3 2" xfId="30159"/>
    <cellStyle name="Comma 10 2 6 3 3 3" xfId="30160"/>
    <cellStyle name="Comma 10 2 6 3 4" xfId="30161"/>
    <cellStyle name="Comma 10 2 6 3 4 2" xfId="30162"/>
    <cellStyle name="Comma 10 2 6 3 5" xfId="30163"/>
    <cellStyle name="Comma 10 2 6 3 6" xfId="30164"/>
    <cellStyle name="Comma 10 2 6 4" xfId="30165"/>
    <cellStyle name="Comma 10 2 6 4 2" xfId="30166"/>
    <cellStyle name="Comma 10 2 6 4 2 2" xfId="30167"/>
    <cellStyle name="Comma 10 2 6 4 2 3" xfId="30168"/>
    <cellStyle name="Comma 10 2 6 4 3" xfId="30169"/>
    <cellStyle name="Comma 10 2 6 4 3 2" xfId="30170"/>
    <cellStyle name="Comma 10 2 6 4 4" xfId="30171"/>
    <cellStyle name="Comma 10 2 6 4 5" xfId="30172"/>
    <cellStyle name="Comma 10 2 6 5" xfId="30173"/>
    <cellStyle name="Comma 10 2 6 5 2" xfId="30174"/>
    <cellStyle name="Comma 10 2 6 5 3" xfId="30175"/>
    <cellStyle name="Comma 10 2 6 6" xfId="30176"/>
    <cellStyle name="Comma 10 2 6 6 2" xfId="30177"/>
    <cellStyle name="Comma 10 2 6 6 3" xfId="30178"/>
    <cellStyle name="Comma 10 2 6 7" xfId="30179"/>
    <cellStyle name="Comma 10 2 6 7 2" xfId="30180"/>
    <cellStyle name="Comma 10 2 6 8" xfId="30181"/>
    <cellStyle name="Comma 10 2 6 9" xfId="30182"/>
    <cellStyle name="Comma 10 2 7" xfId="30183"/>
    <cellStyle name="Comma 10 2 7 2" xfId="30184"/>
    <cellStyle name="Comma 10 2 7 2 2" xfId="30185"/>
    <cellStyle name="Comma 10 2 7 2 3" xfId="30186"/>
    <cellStyle name="Comma 10 2 7 3" xfId="30187"/>
    <cellStyle name="Comma 10 2 7 3 2" xfId="30188"/>
    <cellStyle name="Comma 10 2 7 3 3" xfId="30189"/>
    <cellStyle name="Comma 10 2 7 4" xfId="30190"/>
    <cellStyle name="Comma 10 2 7 4 2" xfId="30191"/>
    <cellStyle name="Comma 10 2 7 5" xfId="30192"/>
    <cellStyle name="Comma 10 2 7 6" xfId="30193"/>
    <cellStyle name="Comma 10 2 8" xfId="30194"/>
    <cellStyle name="Comma 10 2 8 2" xfId="30195"/>
    <cellStyle name="Comma 10 2 8 2 2" xfId="30196"/>
    <cellStyle name="Comma 10 2 8 2 3" xfId="30197"/>
    <cellStyle name="Comma 10 2 8 3" xfId="30198"/>
    <cellStyle name="Comma 10 2 8 3 2" xfId="30199"/>
    <cellStyle name="Comma 10 2 8 3 3" xfId="30200"/>
    <cellStyle name="Comma 10 2 8 4" xfId="30201"/>
    <cellStyle name="Comma 10 2 8 4 2" xfId="30202"/>
    <cellStyle name="Comma 10 2 8 5" xfId="30203"/>
    <cellStyle name="Comma 10 2 8 6" xfId="30204"/>
    <cellStyle name="Comma 10 2 9" xfId="30205"/>
    <cellStyle name="Comma 10 2 9 2" xfId="30206"/>
    <cellStyle name="Comma 10 2 9 2 2" xfId="30207"/>
    <cellStyle name="Comma 10 2 9 2 3" xfId="30208"/>
    <cellStyle name="Comma 10 2 9 3" xfId="30209"/>
    <cellStyle name="Comma 10 2 9 3 2" xfId="30210"/>
    <cellStyle name="Comma 10 2 9 4" xfId="30211"/>
    <cellStyle name="Comma 10 2 9 5" xfId="30212"/>
    <cellStyle name="Comma 10 3" xfId="3204"/>
    <cellStyle name="Comma 10 3 10" xfId="30213"/>
    <cellStyle name="Comma 10 3 10 2" xfId="30214"/>
    <cellStyle name="Comma 10 3 10 3" xfId="30215"/>
    <cellStyle name="Comma 10 3 11" xfId="30216"/>
    <cellStyle name="Comma 10 3 11 2" xfId="30217"/>
    <cellStyle name="Comma 10 3 12" xfId="30218"/>
    <cellStyle name="Comma 10 3 13" xfId="30219"/>
    <cellStyle name="Comma 10 3 14" xfId="30220"/>
    <cellStyle name="Comma 10 3 2" xfId="3205"/>
    <cellStyle name="Comma 10 3 2 10" xfId="30221"/>
    <cellStyle name="Comma 10 3 2 10 2" xfId="30222"/>
    <cellStyle name="Comma 10 3 2 11" xfId="30223"/>
    <cellStyle name="Comma 10 3 2 12" xfId="30224"/>
    <cellStyle name="Comma 10 3 2 2" xfId="3206"/>
    <cellStyle name="Comma 10 3 2 2 10" xfId="30225"/>
    <cellStyle name="Comma 10 3 2 2 2" xfId="3207"/>
    <cellStyle name="Comma 10 3 2 2 2 2" xfId="3208"/>
    <cellStyle name="Comma 10 3 2 2 2 2 2" xfId="30226"/>
    <cellStyle name="Comma 10 3 2 2 2 2 2 2" xfId="30227"/>
    <cellStyle name="Comma 10 3 2 2 2 2 2 3" xfId="30228"/>
    <cellStyle name="Comma 10 3 2 2 2 2 3" xfId="30229"/>
    <cellStyle name="Comma 10 3 2 2 2 2 3 2" xfId="30230"/>
    <cellStyle name="Comma 10 3 2 2 2 2 3 3" xfId="30231"/>
    <cellStyle name="Comma 10 3 2 2 2 2 4" xfId="30232"/>
    <cellStyle name="Comma 10 3 2 2 2 2 4 2" xfId="30233"/>
    <cellStyle name="Comma 10 3 2 2 2 2 5" xfId="30234"/>
    <cellStyle name="Comma 10 3 2 2 2 2 6" xfId="30235"/>
    <cellStyle name="Comma 10 3 2 2 2 3" xfId="30236"/>
    <cellStyle name="Comma 10 3 2 2 2 3 2" xfId="30237"/>
    <cellStyle name="Comma 10 3 2 2 2 3 2 2" xfId="30238"/>
    <cellStyle name="Comma 10 3 2 2 2 3 2 3" xfId="30239"/>
    <cellStyle name="Comma 10 3 2 2 2 3 3" xfId="30240"/>
    <cellStyle name="Comma 10 3 2 2 2 3 3 2" xfId="30241"/>
    <cellStyle name="Comma 10 3 2 2 2 3 3 3" xfId="30242"/>
    <cellStyle name="Comma 10 3 2 2 2 3 4" xfId="30243"/>
    <cellStyle name="Comma 10 3 2 2 2 3 4 2" xfId="30244"/>
    <cellStyle name="Comma 10 3 2 2 2 3 5" xfId="30245"/>
    <cellStyle name="Comma 10 3 2 2 2 3 6" xfId="30246"/>
    <cellStyle name="Comma 10 3 2 2 2 4" xfId="30247"/>
    <cellStyle name="Comma 10 3 2 2 2 4 2" xfId="30248"/>
    <cellStyle name="Comma 10 3 2 2 2 4 2 2" xfId="30249"/>
    <cellStyle name="Comma 10 3 2 2 2 4 2 3" xfId="30250"/>
    <cellStyle name="Comma 10 3 2 2 2 4 3" xfId="30251"/>
    <cellStyle name="Comma 10 3 2 2 2 4 3 2" xfId="30252"/>
    <cellStyle name="Comma 10 3 2 2 2 4 4" xfId="30253"/>
    <cellStyle name="Comma 10 3 2 2 2 4 5" xfId="30254"/>
    <cellStyle name="Comma 10 3 2 2 2 5" xfId="30255"/>
    <cellStyle name="Comma 10 3 2 2 2 5 2" xfId="30256"/>
    <cellStyle name="Comma 10 3 2 2 2 5 3" xfId="30257"/>
    <cellStyle name="Comma 10 3 2 2 2 6" xfId="30258"/>
    <cellStyle name="Comma 10 3 2 2 2 6 2" xfId="30259"/>
    <cellStyle name="Comma 10 3 2 2 2 6 3" xfId="30260"/>
    <cellStyle name="Comma 10 3 2 2 2 7" xfId="30261"/>
    <cellStyle name="Comma 10 3 2 2 2 7 2" xfId="30262"/>
    <cellStyle name="Comma 10 3 2 2 2 8" xfId="30263"/>
    <cellStyle name="Comma 10 3 2 2 2 9" xfId="30264"/>
    <cellStyle name="Comma 10 3 2 2 3" xfId="3209"/>
    <cellStyle name="Comma 10 3 2 2 3 2" xfId="30265"/>
    <cellStyle name="Comma 10 3 2 2 3 2 2" xfId="30266"/>
    <cellStyle name="Comma 10 3 2 2 3 2 3" xfId="30267"/>
    <cellStyle name="Comma 10 3 2 2 3 3" xfId="30268"/>
    <cellStyle name="Comma 10 3 2 2 3 3 2" xfId="30269"/>
    <cellStyle name="Comma 10 3 2 2 3 3 3" xfId="30270"/>
    <cellStyle name="Comma 10 3 2 2 3 4" xfId="30271"/>
    <cellStyle name="Comma 10 3 2 2 3 4 2" xfId="30272"/>
    <cellStyle name="Comma 10 3 2 2 3 5" xfId="30273"/>
    <cellStyle name="Comma 10 3 2 2 3 6" xfId="30274"/>
    <cellStyle name="Comma 10 3 2 2 4" xfId="30275"/>
    <cellStyle name="Comma 10 3 2 2 4 2" xfId="30276"/>
    <cellStyle name="Comma 10 3 2 2 4 2 2" xfId="30277"/>
    <cellStyle name="Comma 10 3 2 2 4 2 3" xfId="30278"/>
    <cellStyle name="Comma 10 3 2 2 4 3" xfId="30279"/>
    <cellStyle name="Comma 10 3 2 2 4 3 2" xfId="30280"/>
    <cellStyle name="Comma 10 3 2 2 4 3 3" xfId="30281"/>
    <cellStyle name="Comma 10 3 2 2 4 4" xfId="30282"/>
    <cellStyle name="Comma 10 3 2 2 4 4 2" xfId="30283"/>
    <cellStyle name="Comma 10 3 2 2 4 5" xfId="30284"/>
    <cellStyle name="Comma 10 3 2 2 4 6" xfId="30285"/>
    <cellStyle name="Comma 10 3 2 2 5" xfId="30286"/>
    <cellStyle name="Comma 10 3 2 2 5 2" xfId="30287"/>
    <cellStyle name="Comma 10 3 2 2 5 2 2" xfId="30288"/>
    <cellStyle name="Comma 10 3 2 2 5 2 3" xfId="30289"/>
    <cellStyle name="Comma 10 3 2 2 5 3" xfId="30290"/>
    <cellStyle name="Comma 10 3 2 2 5 3 2" xfId="30291"/>
    <cellStyle name="Comma 10 3 2 2 5 4" xfId="30292"/>
    <cellStyle name="Comma 10 3 2 2 5 5" xfId="30293"/>
    <cellStyle name="Comma 10 3 2 2 6" xfId="30294"/>
    <cellStyle name="Comma 10 3 2 2 6 2" xfId="30295"/>
    <cellStyle name="Comma 10 3 2 2 6 3" xfId="30296"/>
    <cellStyle name="Comma 10 3 2 2 7" xfId="30297"/>
    <cellStyle name="Comma 10 3 2 2 7 2" xfId="30298"/>
    <cellStyle name="Comma 10 3 2 2 7 3" xfId="30299"/>
    <cellStyle name="Comma 10 3 2 2 8" xfId="30300"/>
    <cellStyle name="Comma 10 3 2 2 8 2" xfId="30301"/>
    <cellStyle name="Comma 10 3 2 2 9" xfId="30302"/>
    <cellStyle name="Comma 10 3 2 3" xfId="3210"/>
    <cellStyle name="Comma 10 3 2 3 2" xfId="3211"/>
    <cellStyle name="Comma 10 3 2 3 2 2" xfId="30303"/>
    <cellStyle name="Comma 10 3 2 3 2 2 2" xfId="30304"/>
    <cellStyle name="Comma 10 3 2 3 2 2 3" xfId="30305"/>
    <cellStyle name="Comma 10 3 2 3 2 3" xfId="30306"/>
    <cellStyle name="Comma 10 3 2 3 2 3 2" xfId="30307"/>
    <cellStyle name="Comma 10 3 2 3 2 3 3" xfId="30308"/>
    <cellStyle name="Comma 10 3 2 3 2 4" xfId="30309"/>
    <cellStyle name="Comma 10 3 2 3 2 4 2" xfId="30310"/>
    <cellStyle name="Comma 10 3 2 3 2 5" xfId="30311"/>
    <cellStyle name="Comma 10 3 2 3 2 6" xfId="30312"/>
    <cellStyle name="Comma 10 3 2 3 3" xfId="30313"/>
    <cellStyle name="Comma 10 3 2 3 3 2" xfId="30314"/>
    <cellStyle name="Comma 10 3 2 3 3 2 2" xfId="30315"/>
    <cellStyle name="Comma 10 3 2 3 3 2 3" xfId="30316"/>
    <cellStyle name="Comma 10 3 2 3 3 3" xfId="30317"/>
    <cellStyle name="Comma 10 3 2 3 3 3 2" xfId="30318"/>
    <cellStyle name="Comma 10 3 2 3 3 3 3" xfId="30319"/>
    <cellStyle name="Comma 10 3 2 3 3 4" xfId="30320"/>
    <cellStyle name="Comma 10 3 2 3 3 4 2" xfId="30321"/>
    <cellStyle name="Comma 10 3 2 3 3 5" xfId="30322"/>
    <cellStyle name="Comma 10 3 2 3 3 6" xfId="30323"/>
    <cellStyle name="Comma 10 3 2 3 4" xfId="30324"/>
    <cellStyle name="Comma 10 3 2 3 4 2" xfId="30325"/>
    <cellStyle name="Comma 10 3 2 3 4 2 2" xfId="30326"/>
    <cellStyle name="Comma 10 3 2 3 4 2 3" xfId="30327"/>
    <cellStyle name="Comma 10 3 2 3 4 3" xfId="30328"/>
    <cellStyle name="Comma 10 3 2 3 4 3 2" xfId="30329"/>
    <cellStyle name="Comma 10 3 2 3 4 4" xfId="30330"/>
    <cellStyle name="Comma 10 3 2 3 4 5" xfId="30331"/>
    <cellStyle name="Comma 10 3 2 3 5" xfId="30332"/>
    <cellStyle name="Comma 10 3 2 3 5 2" xfId="30333"/>
    <cellStyle name="Comma 10 3 2 3 5 3" xfId="30334"/>
    <cellStyle name="Comma 10 3 2 3 6" xfId="30335"/>
    <cellStyle name="Comma 10 3 2 3 6 2" xfId="30336"/>
    <cellStyle name="Comma 10 3 2 3 6 3" xfId="30337"/>
    <cellStyle name="Comma 10 3 2 3 7" xfId="30338"/>
    <cellStyle name="Comma 10 3 2 3 7 2" xfId="30339"/>
    <cellStyle name="Comma 10 3 2 3 8" xfId="30340"/>
    <cellStyle name="Comma 10 3 2 3 9" xfId="30341"/>
    <cellStyle name="Comma 10 3 2 4" xfId="3212"/>
    <cellStyle name="Comma 10 3 2 4 2" xfId="30342"/>
    <cellStyle name="Comma 10 3 2 4 2 2" xfId="30343"/>
    <cellStyle name="Comma 10 3 2 4 2 2 2" xfId="30344"/>
    <cellStyle name="Comma 10 3 2 4 2 2 3" xfId="30345"/>
    <cellStyle name="Comma 10 3 2 4 2 3" xfId="30346"/>
    <cellStyle name="Comma 10 3 2 4 2 3 2" xfId="30347"/>
    <cellStyle name="Comma 10 3 2 4 2 3 3" xfId="30348"/>
    <cellStyle name="Comma 10 3 2 4 2 4" xfId="30349"/>
    <cellStyle name="Comma 10 3 2 4 2 4 2" xfId="30350"/>
    <cellStyle name="Comma 10 3 2 4 2 5" xfId="30351"/>
    <cellStyle name="Comma 10 3 2 4 2 6" xfId="30352"/>
    <cellStyle name="Comma 10 3 2 4 3" xfId="30353"/>
    <cellStyle name="Comma 10 3 2 4 3 2" xfId="30354"/>
    <cellStyle name="Comma 10 3 2 4 3 2 2" xfId="30355"/>
    <cellStyle name="Comma 10 3 2 4 3 2 3" xfId="30356"/>
    <cellStyle name="Comma 10 3 2 4 3 3" xfId="30357"/>
    <cellStyle name="Comma 10 3 2 4 3 3 2" xfId="30358"/>
    <cellStyle name="Comma 10 3 2 4 3 3 3" xfId="30359"/>
    <cellStyle name="Comma 10 3 2 4 3 4" xfId="30360"/>
    <cellStyle name="Comma 10 3 2 4 3 4 2" xfId="30361"/>
    <cellStyle name="Comma 10 3 2 4 3 5" xfId="30362"/>
    <cellStyle name="Comma 10 3 2 4 3 6" xfId="30363"/>
    <cellStyle name="Comma 10 3 2 4 4" xfId="30364"/>
    <cellStyle name="Comma 10 3 2 4 4 2" xfId="30365"/>
    <cellStyle name="Comma 10 3 2 4 4 2 2" xfId="30366"/>
    <cellStyle name="Comma 10 3 2 4 4 2 3" xfId="30367"/>
    <cellStyle name="Comma 10 3 2 4 4 3" xfId="30368"/>
    <cellStyle name="Comma 10 3 2 4 4 3 2" xfId="30369"/>
    <cellStyle name="Comma 10 3 2 4 4 4" xfId="30370"/>
    <cellStyle name="Comma 10 3 2 4 4 5" xfId="30371"/>
    <cellStyle name="Comma 10 3 2 4 5" xfId="30372"/>
    <cellStyle name="Comma 10 3 2 4 5 2" xfId="30373"/>
    <cellStyle name="Comma 10 3 2 4 5 3" xfId="30374"/>
    <cellStyle name="Comma 10 3 2 4 6" xfId="30375"/>
    <cellStyle name="Comma 10 3 2 4 6 2" xfId="30376"/>
    <cellStyle name="Comma 10 3 2 4 6 3" xfId="30377"/>
    <cellStyle name="Comma 10 3 2 4 7" xfId="30378"/>
    <cellStyle name="Comma 10 3 2 4 7 2" xfId="30379"/>
    <cellStyle name="Comma 10 3 2 4 8" xfId="30380"/>
    <cellStyle name="Comma 10 3 2 4 9" xfId="30381"/>
    <cellStyle name="Comma 10 3 2 5" xfId="30382"/>
    <cellStyle name="Comma 10 3 2 5 2" xfId="30383"/>
    <cellStyle name="Comma 10 3 2 5 2 2" xfId="30384"/>
    <cellStyle name="Comma 10 3 2 5 2 3" xfId="30385"/>
    <cellStyle name="Comma 10 3 2 5 3" xfId="30386"/>
    <cellStyle name="Comma 10 3 2 5 3 2" xfId="30387"/>
    <cellStyle name="Comma 10 3 2 5 3 3" xfId="30388"/>
    <cellStyle name="Comma 10 3 2 5 4" xfId="30389"/>
    <cellStyle name="Comma 10 3 2 5 4 2" xfId="30390"/>
    <cellStyle name="Comma 10 3 2 5 5" xfId="30391"/>
    <cellStyle name="Comma 10 3 2 5 6" xfId="30392"/>
    <cellStyle name="Comma 10 3 2 6" xfId="30393"/>
    <cellStyle name="Comma 10 3 2 6 2" xfId="30394"/>
    <cellStyle name="Comma 10 3 2 6 2 2" xfId="30395"/>
    <cellStyle name="Comma 10 3 2 6 2 3" xfId="30396"/>
    <cellStyle name="Comma 10 3 2 6 3" xfId="30397"/>
    <cellStyle name="Comma 10 3 2 6 3 2" xfId="30398"/>
    <cellStyle name="Comma 10 3 2 6 3 3" xfId="30399"/>
    <cellStyle name="Comma 10 3 2 6 4" xfId="30400"/>
    <cellStyle name="Comma 10 3 2 6 4 2" xfId="30401"/>
    <cellStyle name="Comma 10 3 2 6 5" xfId="30402"/>
    <cellStyle name="Comma 10 3 2 6 6" xfId="30403"/>
    <cellStyle name="Comma 10 3 2 7" xfId="30404"/>
    <cellStyle name="Comma 10 3 2 7 2" xfId="30405"/>
    <cellStyle name="Comma 10 3 2 7 2 2" xfId="30406"/>
    <cellStyle name="Comma 10 3 2 7 2 3" xfId="30407"/>
    <cellStyle name="Comma 10 3 2 7 3" xfId="30408"/>
    <cellStyle name="Comma 10 3 2 7 3 2" xfId="30409"/>
    <cellStyle name="Comma 10 3 2 7 4" xfId="30410"/>
    <cellStyle name="Comma 10 3 2 7 5" xfId="30411"/>
    <cellStyle name="Comma 10 3 2 8" xfId="30412"/>
    <cellStyle name="Comma 10 3 2 8 2" xfId="30413"/>
    <cellStyle name="Comma 10 3 2 8 3" xfId="30414"/>
    <cellStyle name="Comma 10 3 2 9" xfId="30415"/>
    <cellStyle name="Comma 10 3 2 9 2" xfId="30416"/>
    <cellStyle name="Comma 10 3 2 9 3" xfId="30417"/>
    <cellStyle name="Comma 10 3 3" xfId="3213"/>
    <cellStyle name="Comma 10 3 3 10" xfId="30418"/>
    <cellStyle name="Comma 10 3 3 2" xfId="3214"/>
    <cellStyle name="Comma 10 3 3 2 2" xfId="3215"/>
    <cellStyle name="Comma 10 3 3 2 2 2" xfId="30419"/>
    <cellStyle name="Comma 10 3 3 2 2 2 2" xfId="30420"/>
    <cellStyle name="Comma 10 3 3 2 2 2 3" xfId="30421"/>
    <cellStyle name="Comma 10 3 3 2 2 3" xfId="30422"/>
    <cellStyle name="Comma 10 3 3 2 2 3 2" xfId="30423"/>
    <cellStyle name="Comma 10 3 3 2 2 3 3" xfId="30424"/>
    <cellStyle name="Comma 10 3 3 2 2 4" xfId="30425"/>
    <cellStyle name="Comma 10 3 3 2 2 4 2" xfId="30426"/>
    <cellStyle name="Comma 10 3 3 2 2 5" xfId="30427"/>
    <cellStyle name="Comma 10 3 3 2 2 6" xfId="30428"/>
    <cellStyle name="Comma 10 3 3 2 3" xfId="30429"/>
    <cellStyle name="Comma 10 3 3 2 3 2" xfId="30430"/>
    <cellStyle name="Comma 10 3 3 2 3 2 2" xfId="30431"/>
    <cellStyle name="Comma 10 3 3 2 3 2 3" xfId="30432"/>
    <cellStyle name="Comma 10 3 3 2 3 3" xfId="30433"/>
    <cellStyle name="Comma 10 3 3 2 3 3 2" xfId="30434"/>
    <cellStyle name="Comma 10 3 3 2 3 3 3" xfId="30435"/>
    <cellStyle name="Comma 10 3 3 2 3 4" xfId="30436"/>
    <cellStyle name="Comma 10 3 3 2 3 4 2" xfId="30437"/>
    <cellStyle name="Comma 10 3 3 2 3 5" xfId="30438"/>
    <cellStyle name="Comma 10 3 3 2 3 6" xfId="30439"/>
    <cellStyle name="Comma 10 3 3 2 4" xfId="30440"/>
    <cellStyle name="Comma 10 3 3 2 4 2" xfId="30441"/>
    <cellStyle name="Comma 10 3 3 2 4 2 2" xfId="30442"/>
    <cellStyle name="Comma 10 3 3 2 4 2 3" xfId="30443"/>
    <cellStyle name="Comma 10 3 3 2 4 3" xfId="30444"/>
    <cellStyle name="Comma 10 3 3 2 4 3 2" xfId="30445"/>
    <cellStyle name="Comma 10 3 3 2 4 4" xfId="30446"/>
    <cellStyle name="Comma 10 3 3 2 4 5" xfId="30447"/>
    <cellStyle name="Comma 10 3 3 2 5" xfId="30448"/>
    <cellStyle name="Comma 10 3 3 2 5 2" xfId="30449"/>
    <cellStyle name="Comma 10 3 3 2 5 3" xfId="30450"/>
    <cellStyle name="Comma 10 3 3 2 6" xfId="30451"/>
    <cellStyle name="Comma 10 3 3 2 6 2" xfId="30452"/>
    <cellStyle name="Comma 10 3 3 2 6 3" xfId="30453"/>
    <cellStyle name="Comma 10 3 3 2 7" xfId="30454"/>
    <cellStyle name="Comma 10 3 3 2 7 2" xfId="30455"/>
    <cellStyle name="Comma 10 3 3 2 8" xfId="30456"/>
    <cellStyle name="Comma 10 3 3 2 9" xfId="30457"/>
    <cellStyle name="Comma 10 3 3 3" xfId="3216"/>
    <cellStyle name="Comma 10 3 3 3 2" xfId="30458"/>
    <cellStyle name="Comma 10 3 3 3 2 2" xfId="30459"/>
    <cellStyle name="Comma 10 3 3 3 2 3" xfId="30460"/>
    <cellStyle name="Comma 10 3 3 3 3" xfId="30461"/>
    <cellStyle name="Comma 10 3 3 3 3 2" xfId="30462"/>
    <cellStyle name="Comma 10 3 3 3 3 3" xfId="30463"/>
    <cellStyle name="Comma 10 3 3 3 4" xfId="30464"/>
    <cellStyle name="Comma 10 3 3 3 4 2" xfId="30465"/>
    <cellStyle name="Comma 10 3 3 3 5" xfId="30466"/>
    <cellStyle name="Comma 10 3 3 3 6" xfId="30467"/>
    <cellStyle name="Comma 10 3 3 4" xfId="30468"/>
    <cellStyle name="Comma 10 3 3 4 2" xfId="30469"/>
    <cellStyle name="Comma 10 3 3 4 2 2" xfId="30470"/>
    <cellStyle name="Comma 10 3 3 4 2 3" xfId="30471"/>
    <cellStyle name="Comma 10 3 3 4 3" xfId="30472"/>
    <cellStyle name="Comma 10 3 3 4 3 2" xfId="30473"/>
    <cellStyle name="Comma 10 3 3 4 3 3" xfId="30474"/>
    <cellStyle name="Comma 10 3 3 4 4" xfId="30475"/>
    <cellStyle name="Comma 10 3 3 4 4 2" xfId="30476"/>
    <cellStyle name="Comma 10 3 3 4 5" xfId="30477"/>
    <cellStyle name="Comma 10 3 3 4 6" xfId="30478"/>
    <cellStyle name="Comma 10 3 3 5" xfId="30479"/>
    <cellStyle name="Comma 10 3 3 5 2" xfId="30480"/>
    <cellStyle name="Comma 10 3 3 5 2 2" xfId="30481"/>
    <cellStyle name="Comma 10 3 3 5 2 3" xfId="30482"/>
    <cellStyle name="Comma 10 3 3 5 3" xfId="30483"/>
    <cellStyle name="Comma 10 3 3 5 3 2" xfId="30484"/>
    <cellStyle name="Comma 10 3 3 5 4" xfId="30485"/>
    <cellStyle name="Comma 10 3 3 5 5" xfId="30486"/>
    <cellStyle name="Comma 10 3 3 6" xfId="30487"/>
    <cellStyle name="Comma 10 3 3 6 2" xfId="30488"/>
    <cellStyle name="Comma 10 3 3 6 3" xfId="30489"/>
    <cellStyle name="Comma 10 3 3 7" xfId="30490"/>
    <cellStyle name="Comma 10 3 3 7 2" xfId="30491"/>
    <cellStyle name="Comma 10 3 3 7 3" xfId="30492"/>
    <cellStyle name="Comma 10 3 3 8" xfId="30493"/>
    <cellStyle name="Comma 10 3 3 8 2" xfId="30494"/>
    <cellStyle name="Comma 10 3 3 9" xfId="30495"/>
    <cellStyle name="Comma 10 3 4" xfId="3217"/>
    <cellStyle name="Comma 10 3 4 2" xfId="3218"/>
    <cellStyle name="Comma 10 3 4 2 2" xfId="30496"/>
    <cellStyle name="Comma 10 3 4 2 2 2" xfId="30497"/>
    <cellStyle name="Comma 10 3 4 2 2 3" xfId="30498"/>
    <cellStyle name="Comma 10 3 4 2 3" xfId="30499"/>
    <cellStyle name="Comma 10 3 4 2 3 2" xfId="30500"/>
    <cellStyle name="Comma 10 3 4 2 3 3" xfId="30501"/>
    <cellStyle name="Comma 10 3 4 2 4" xfId="30502"/>
    <cellStyle name="Comma 10 3 4 2 4 2" xfId="30503"/>
    <cellStyle name="Comma 10 3 4 2 5" xfId="30504"/>
    <cellStyle name="Comma 10 3 4 2 6" xfId="30505"/>
    <cellStyle name="Comma 10 3 4 3" xfId="30506"/>
    <cellStyle name="Comma 10 3 4 3 2" xfId="30507"/>
    <cellStyle name="Comma 10 3 4 3 2 2" xfId="30508"/>
    <cellStyle name="Comma 10 3 4 3 2 3" xfId="30509"/>
    <cellStyle name="Comma 10 3 4 3 3" xfId="30510"/>
    <cellStyle name="Comma 10 3 4 3 3 2" xfId="30511"/>
    <cellStyle name="Comma 10 3 4 3 3 3" xfId="30512"/>
    <cellStyle name="Comma 10 3 4 3 4" xfId="30513"/>
    <cellStyle name="Comma 10 3 4 3 4 2" xfId="30514"/>
    <cellStyle name="Comma 10 3 4 3 5" xfId="30515"/>
    <cellStyle name="Comma 10 3 4 3 6" xfId="30516"/>
    <cellStyle name="Comma 10 3 4 4" xfId="30517"/>
    <cellStyle name="Comma 10 3 4 4 2" xfId="30518"/>
    <cellStyle name="Comma 10 3 4 4 2 2" xfId="30519"/>
    <cellStyle name="Comma 10 3 4 4 2 3" xfId="30520"/>
    <cellStyle name="Comma 10 3 4 4 3" xfId="30521"/>
    <cellStyle name="Comma 10 3 4 4 3 2" xfId="30522"/>
    <cellStyle name="Comma 10 3 4 4 4" xfId="30523"/>
    <cellStyle name="Comma 10 3 4 4 5" xfId="30524"/>
    <cellStyle name="Comma 10 3 4 5" xfId="30525"/>
    <cellStyle name="Comma 10 3 4 5 2" xfId="30526"/>
    <cellStyle name="Comma 10 3 4 5 3" xfId="30527"/>
    <cellStyle name="Comma 10 3 4 6" xfId="30528"/>
    <cellStyle name="Comma 10 3 4 6 2" xfId="30529"/>
    <cellStyle name="Comma 10 3 4 6 3" xfId="30530"/>
    <cellStyle name="Comma 10 3 4 7" xfId="30531"/>
    <cellStyle name="Comma 10 3 4 7 2" xfId="30532"/>
    <cellStyle name="Comma 10 3 4 8" xfId="30533"/>
    <cellStyle name="Comma 10 3 4 9" xfId="30534"/>
    <cellStyle name="Comma 10 3 5" xfId="3219"/>
    <cellStyle name="Comma 10 3 5 2" xfId="30535"/>
    <cellStyle name="Comma 10 3 5 2 2" xfId="30536"/>
    <cellStyle name="Comma 10 3 5 2 2 2" xfId="30537"/>
    <cellStyle name="Comma 10 3 5 2 2 3" xfId="30538"/>
    <cellStyle name="Comma 10 3 5 2 3" xfId="30539"/>
    <cellStyle name="Comma 10 3 5 2 3 2" xfId="30540"/>
    <cellStyle name="Comma 10 3 5 2 3 3" xfId="30541"/>
    <cellStyle name="Comma 10 3 5 2 4" xfId="30542"/>
    <cellStyle name="Comma 10 3 5 2 4 2" xfId="30543"/>
    <cellStyle name="Comma 10 3 5 2 5" xfId="30544"/>
    <cellStyle name="Comma 10 3 5 2 6" xfId="30545"/>
    <cellStyle name="Comma 10 3 5 3" xfId="30546"/>
    <cellStyle name="Comma 10 3 5 3 2" xfId="30547"/>
    <cellStyle name="Comma 10 3 5 3 2 2" xfId="30548"/>
    <cellStyle name="Comma 10 3 5 3 2 3" xfId="30549"/>
    <cellStyle name="Comma 10 3 5 3 3" xfId="30550"/>
    <cellStyle name="Comma 10 3 5 3 3 2" xfId="30551"/>
    <cellStyle name="Comma 10 3 5 3 3 3" xfId="30552"/>
    <cellStyle name="Comma 10 3 5 3 4" xfId="30553"/>
    <cellStyle name="Comma 10 3 5 3 4 2" xfId="30554"/>
    <cellStyle name="Comma 10 3 5 3 5" xfId="30555"/>
    <cellStyle name="Comma 10 3 5 3 6" xfId="30556"/>
    <cellStyle name="Comma 10 3 5 4" xfId="30557"/>
    <cellStyle name="Comma 10 3 5 4 2" xfId="30558"/>
    <cellStyle name="Comma 10 3 5 4 2 2" xfId="30559"/>
    <cellStyle name="Comma 10 3 5 4 2 3" xfId="30560"/>
    <cellStyle name="Comma 10 3 5 4 3" xfId="30561"/>
    <cellStyle name="Comma 10 3 5 4 3 2" xfId="30562"/>
    <cellStyle name="Comma 10 3 5 4 4" xfId="30563"/>
    <cellStyle name="Comma 10 3 5 4 5" xfId="30564"/>
    <cellStyle name="Comma 10 3 5 5" xfId="30565"/>
    <cellStyle name="Comma 10 3 5 5 2" xfId="30566"/>
    <cellStyle name="Comma 10 3 5 5 3" xfId="30567"/>
    <cellStyle name="Comma 10 3 5 6" xfId="30568"/>
    <cellStyle name="Comma 10 3 5 6 2" xfId="30569"/>
    <cellStyle name="Comma 10 3 5 6 3" xfId="30570"/>
    <cellStyle name="Comma 10 3 5 7" xfId="30571"/>
    <cellStyle name="Comma 10 3 5 7 2" xfId="30572"/>
    <cellStyle name="Comma 10 3 5 8" xfId="30573"/>
    <cellStyle name="Comma 10 3 5 9" xfId="30574"/>
    <cellStyle name="Comma 10 3 6" xfId="30575"/>
    <cellStyle name="Comma 10 3 6 2" xfId="30576"/>
    <cellStyle name="Comma 10 3 6 2 2" xfId="30577"/>
    <cellStyle name="Comma 10 3 6 2 3" xfId="30578"/>
    <cellStyle name="Comma 10 3 6 3" xfId="30579"/>
    <cellStyle name="Comma 10 3 6 3 2" xfId="30580"/>
    <cellStyle name="Comma 10 3 6 3 3" xfId="30581"/>
    <cellStyle name="Comma 10 3 6 4" xfId="30582"/>
    <cellStyle name="Comma 10 3 6 4 2" xfId="30583"/>
    <cellStyle name="Comma 10 3 6 5" xfId="30584"/>
    <cellStyle name="Comma 10 3 6 6" xfId="30585"/>
    <cellStyle name="Comma 10 3 7" xfId="30586"/>
    <cellStyle name="Comma 10 3 7 2" xfId="30587"/>
    <cellStyle name="Comma 10 3 7 2 2" xfId="30588"/>
    <cellStyle name="Comma 10 3 7 2 3" xfId="30589"/>
    <cellStyle name="Comma 10 3 7 3" xfId="30590"/>
    <cellStyle name="Comma 10 3 7 3 2" xfId="30591"/>
    <cellStyle name="Comma 10 3 7 3 3" xfId="30592"/>
    <cellStyle name="Comma 10 3 7 4" xfId="30593"/>
    <cellStyle name="Comma 10 3 7 4 2" xfId="30594"/>
    <cellStyle name="Comma 10 3 7 5" xfId="30595"/>
    <cellStyle name="Comma 10 3 7 6" xfId="30596"/>
    <cellStyle name="Comma 10 3 8" xfId="30597"/>
    <cellStyle name="Comma 10 3 8 2" xfId="30598"/>
    <cellStyle name="Comma 10 3 8 2 2" xfId="30599"/>
    <cellStyle name="Comma 10 3 8 2 3" xfId="30600"/>
    <cellStyle name="Comma 10 3 8 3" xfId="30601"/>
    <cellStyle name="Comma 10 3 8 3 2" xfId="30602"/>
    <cellStyle name="Comma 10 3 8 4" xfId="30603"/>
    <cellStyle name="Comma 10 3 8 5" xfId="30604"/>
    <cellStyle name="Comma 10 3 9" xfId="30605"/>
    <cellStyle name="Comma 10 3 9 2" xfId="30606"/>
    <cellStyle name="Comma 10 3 9 3" xfId="30607"/>
    <cellStyle name="Comma 10 4" xfId="3220"/>
    <cellStyle name="Comma 10 4 10" xfId="30608"/>
    <cellStyle name="Comma 10 4 10 2" xfId="30609"/>
    <cellStyle name="Comma 10 4 11" xfId="30610"/>
    <cellStyle name="Comma 10 4 12" xfId="30611"/>
    <cellStyle name="Comma 10 4 2" xfId="3221"/>
    <cellStyle name="Comma 10 4 2 10" xfId="30612"/>
    <cellStyle name="Comma 10 4 2 2" xfId="3222"/>
    <cellStyle name="Comma 10 4 2 2 2" xfId="3223"/>
    <cellStyle name="Comma 10 4 2 2 2 2" xfId="30613"/>
    <cellStyle name="Comma 10 4 2 2 2 2 2" xfId="30614"/>
    <cellStyle name="Comma 10 4 2 2 2 2 3" xfId="30615"/>
    <cellStyle name="Comma 10 4 2 2 2 3" xfId="30616"/>
    <cellStyle name="Comma 10 4 2 2 2 3 2" xfId="30617"/>
    <cellStyle name="Comma 10 4 2 2 2 3 3" xfId="30618"/>
    <cellStyle name="Comma 10 4 2 2 2 4" xfId="30619"/>
    <cellStyle name="Comma 10 4 2 2 2 4 2" xfId="30620"/>
    <cellStyle name="Comma 10 4 2 2 2 5" xfId="30621"/>
    <cellStyle name="Comma 10 4 2 2 2 6" xfId="30622"/>
    <cellStyle name="Comma 10 4 2 2 3" xfId="30623"/>
    <cellStyle name="Comma 10 4 2 2 3 2" xfId="30624"/>
    <cellStyle name="Comma 10 4 2 2 3 2 2" xfId="30625"/>
    <cellStyle name="Comma 10 4 2 2 3 2 3" xfId="30626"/>
    <cellStyle name="Comma 10 4 2 2 3 3" xfId="30627"/>
    <cellStyle name="Comma 10 4 2 2 3 3 2" xfId="30628"/>
    <cellStyle name="Comma 10 4 2 2 3 3 3" xfId="30629"/>
    <cellStyle name="Comma 10 4 2 2 3 4" xfId="30630"/>
    <cellStyle name="Comma 10 4 2 2 3 4 2" xfId="30631"/>
    <cellStyle name="Comma 10 4 2 2 3 5" xfId="30632"/>
    <cellStyle name="Comma 10 4 2 2 3 6" xfId="30633"/>
    <cellStyle name="Comma 10 4 2 2 4" xfId="30634"/>
    <cellStyle name="Comma 10 4 2 2 4 2" xfId="30635"/>
    <cellStyle name="Comma 10 4 2 2 4 2 2" xfId="30636"/>
    <cellStyle name="Comma 10 4 2 2 4 2 3" xfId="30637"/>
    <cellStyle name="Comma 10 4 2 2 4 3" xfId="30638"/>
    <cellStyle name="Comma 10 4 2 2 4 3 2" xfId="30639"/>
    <cellStyle name="Comma 10 4 2 2 4 4" xfId="30640"/>
    <cellStyle name="Comma 10 4 2 2 4 5" xfId="30641"/>
    <cellStyle name="Comma 10 4 2 2 5" xfId="30642"/>
    <cellStyle name="Comma 10 4 2 2 5 2" xfId="30643"/>
    <cellStyle name="Comma 10 4 2 2 5 3" xfId="30644"/>
    <cellStyle name="Comma 10 4 2 2 6" xfId="30645"/>
    <cellStyle name="Comma 10 4 2 2 6 2" xfId="30646"/>
    <cellStyle name="Comma 10 4 2 2 6 3" xfId="30647"/>
    <cellStyle name="Comma 10 4 2 2 7" xfId="30648"/>
    <cellStyle name="Comma 10 4 2 2 7 2" xfId="30649"/>
    <cellStyle name="Comma 10 4 2 2 8" xfId="30650"/>
    <cellStyle name="Comma 10 4 2 2 9" xfId="30651"/>
    <cellStyle name="Comma 10 4 2 3" xfId="3224"/>
    <cellStyle name="Comma 10 4 2 3 2" xfId="30652"/>
    <cellStyle name="Comma 10 4 2 3 2 2" xfId="30653"/>
    <cellStyle name="Comma 10 4 2 3 2 3" xfId="30654"/>
    <cellStyle name="Comma 10 4 2 3 3" xfId="30655"/>
    <cellStyle name="Comma 10 4 2 3 3 2" xfId="30656"/>
    <cellStyle name="Comma 10 4 2 3 3 3" xfId="30657"/>
    <cellStyle name="Comma 10 4 2 3 4" xfId="30658"/>
    <cellStyle name="Comma 10 4 2 3 4 2" xfId="30659"/>
    <cellStyle name="Comma 10 4 2 3 5" xfId="30660"/>
    <cellStyle name="Comma 10 4 2 3 6" xfId="30661"/>
    <cellStyle name="Comma 10 4 2 4" xfId="30662"/>
    <cellStyle name="Comma 10 4 2 4 2" xfId="30663"/>
    <cellStyle name="Comma 10 4 2 4 2 2" xfId="30664"/>
    <cellStyle name="Comma 10 4 2 4 2 3" xfId="30665"/>
    <cellStyle name="Comma 10 4 2 4 3" xfId="30666"/>
    <cellStyle name="Comma 10 4 2 4 3 2" xfId="30667"/>
    <cellStyle name="Comma 10 4 2 4 3 3" xfId="30668"/>
    <cellStyle name="Comma 10 4 2 4 4" xfId="30669"/>
    <cellStyle name="Comma 10 4 2 4 4 2" xfId="30670"/>
    <cellStyle name="Comma 10 4 2 4 5" xfId="30671"/>
    <cellStyle name="Comma 10 4 2 4 6" xfId="30672"/>
    <cellStyle name="Comma 10 4 2 5" xfId="30673"/>
    <cellStyle name="Comma 10 4 2 5 2" xfId="30674"/>
    <cellStyle name="Comma 10 4 2 5 2 2" xfId="30675"/>
    <cellStyle name="Comma 10 4 2 5 2 3" xfId="30676"/>
    <cellStyle name="Comma 10 4 2 5 3" xfId="30677"/>
    <cellStyle name="Comma 10 4 2 5 3 2" xfId="30678"/>
    <cellStyle name="Comma 10 4 2 5 4" xfId="30679"/>
    <cellStyle name="Comma 10 4 2 5 5" xfId="30680"/>
    <cellStyle name="Comma 10 4 2 6" xfId="30681"/>
    <cellStyle name="Comma 10 4 2 6 2" xfId="30682"/>
    <cellStyle name="Comma 10 4 2 6 3" xfId="30683"/>
    <cellStyle name="Comma 10 4 2 7" xfId="30684"/>
    <cellStyle name="Comma 10 4 2 7 2" xfId="30685"/>
    <cellStyle name="Comma 10 4 2 7 3" xfId="30686"/>
    <cellStyle name="Comma 10 4 2 8" xfId="30687"/>
    <cellStyle name="Comma 10 4 2 8 2" xfId="30688"/>
    <cellStyle name="Comma 10 4 2 9" xfId="30689"/>
    <cellStyle name="Comma 10 4 3" xfId="3225"/>
    <cellStyle name="Comma 10 4 3 2" xfId="3226"/>
    <cellStyle name="Comma 10 4 3 2 2" xfId="30690"/>
    <cellStyle name="Comma 10 4 3 2 2 2" xfId="30691"/>
    <cellStyle name="Comma 10 4 3 2 2 3" xfId="30692"/>
    <cellStyle name="Comma 10 4 3 2 3" xfId="30693"/>
    <cellStyle name="Comma 10 4 3 2 3 2" xfId="30694"/>
    <cellStyle name="Comma 10 4 3 2 3 3" xfId="30695"/>
    <cellStyle name="Comma 10 4 3 2 4" xfId="30696"/>
    <cellStyle name="Comma 10 4 3 2 4 2" xfId="30697"/>
    <cellStyle name="Comma 10 4 3 2 5" xfId="30698"/>
    <cellStyle name="Comma 10 4 3 2 6" xfId="30699"/>
    <cellStyle name="Comma 10 4 3 3" xfId="30700"/>
    <cellStyle name="Comma 10 4 3 3 2" xfId="30701"/>
    <cellStyle name="Comma 10 4 3 3 2 2" xfId="30702"/>
    <cellStyle name="Comma 10 4 3 3 2 3" xfId="30703"/>
    <cellStyle name="Comma 10 4 3 3 3" xfId="30704"/>
    <cellStyle name="Comma 10 4 3 3 3 2" xfId="30705"/>
    <cellStyle name="Comma 10 4 3 3 3 3" xfId="30706"/>
    <cellStyle name="Comma 10 4 3 3 4" xfId="30707"/>
    <cellStyle name="Comma 10 4 3 3 4 2" xfId="30708"/>
    <cellStyle name="Comma 10 4 3 3 5" xfId="30709"/>
    <cellStyle name="Comma 10 4 3 3 6" xfId="30710"/>
    <cellStyle name="Comma 10 4 3 4" xfId="30711"/>
    <cellStyle name="Comma 10 4 3 4 2" xfId="30712"/>
    <cellStyle name="Comma 10 4 3 4 2 2" xfId="30713"/>
    <cellStyle name="Comma 10 4 3 4 2 3" xfId="30714"/>
    <cellStyle name="Comma 10 4 3 4 3" xfId="30715"/>
    <cellStyle name="Comma 10 4 3 4 3 2" xfId="30716"/>
    <cellStyle name="Comma 10 4 3 4 4" xfId="30717"/>
    <cellStyle name="Comma 10 4 3 4 5" xfId="30718"/>
    <cellStyle name="Comma 10 4 3 5" xfId="30719"/>
    <cellStyle name="Comma 10 4 3 5 2" xfId="30720"/>
    <cellStyle name="Comma 10 4 3 5 3" xfId="30721"/>
    <cellStyle name="Comma 10 4 3 6" xfId="30722"/>
    <cellStyle name="Comma 10 4 3 6 2" xfId="30723"/>
    <cellStyle name="Comma 10 4 3 6 3" xfId="30724"/>
    <cellStyle name="Comma 10 4 3 7" xfId="30725"/>
    <cellStyle name="Comma 10 4 3 7 2" xfId="30726"/>
    <cellStyle name="Comma 10 4 3 8" xfId="30727"/>
    <cellStyle name="Comma 10 4 3 9" xfId="30728"/>
    <cellStyle name="Comma 10 4 4" xfId="3227"/>
    <cellStyle name="Comma 10 4 4 2" xfId="30729"/>
    <cellStyle name="Comma 10 4 4 2 2" xfId="30730"/>
    <cellStyle name="Comma 10 4 4 2 2 2" xfId="30731"/>
    <cellStyle name="Comma 10 4 4 2 2 3" xfId="30732"/>
    <cellStyle name="Comma 10 4 4 2 3" xfId="30733"/>
    <cellStyle name="Comma 10 4 4 2 3 2" xfId="30734"/>
    <cellStyle name="Comma 10 4 4 2 3 3" xfId="30735"/>
    <cellStyle name="Comma 10 4 4 2 4" xfId="30736"/>
    <cellStyle name="Comma 10 4 4 2 4 2" xfId="30737"/>
    <cellStyle name="Comma 10 4 4 2 5" xfId="30738"/>
    <cellStyle name="Comma 10 4 4 2 6" xfId="30739"/>
    <cellStyle name="Comma 10 4 4 3" xfId="30740"/>
    <cellStyle name="Comma 10 4 4 3 2" xfId="30741"/>
    <cellStyle name="Comma 10 4 4 3 2 2" xfId="30742"/>
    <cellStyle name="Comma 10 4 4 3 2 3" xfId="30743"/>
    <cellStyle name="Comma 10 4 4 3 3" xfId="30744"/>
    <cellStyle name="Comma 10 4 4 3 3 2" xfId="30745"/>
    <cellStyle name="Comma 10 4 4 3 3 3" xfId="30746"/>
    <cellStyle name="Comma 10 4 4 3 4" xfId="30747"/>
    <cellStyle name="Comma 10 4 4 3 4 2" xfId="30748"/>
    <cellStyle name="Comma 10 4 4 3 5" xfId="30749"/>
    <cellStyle name="Comma 10 4 4 3 6" xfId="30750"/>
    <cellStyle name="Comma 10 4 4 4" xfId="30751"/>
    <cellStyle name="Comma 10 4 4 4 2" xfId="30752"/>
    <cellStyle name="Comma 10 4 4 4 2 2" xfId="30753"/>
    <cellStyle name="Comma 10 4 4 4 2 3" xfId="30754"/>
    <cellStyle name="Comma 10 4 4 4 3" xfId="30755"/>
    <cellStyle name="Comma 10 4 4 4 3 2" xfId="30756"/>
    <cellStyle name="Comma 10 4 4 4 4" xfId="30757"/>
    <cellStyle name="Comma 10 4 4 4 5" xfId="30758"/>
    <cellStyle name="Comma 10 4 4 5" xfId="30759"/>
    <cellStyle name="Comma 10 4 4 5 2" xfId="30760"/>
    <cellStyle name="Comma 10 4 4 5 3" xfId="30761"/>
    <cellStyle name="Comma 10 4 4 6" xfId="30762"/>
    <cellStyle name="Comma 10 4 4 6 2" xfId="30763"/>
    <cellStyle name="Comma 10 4 4 6 3" xfId="30764"/>
    <cellStyle name="Comma 10 4 4 7" xfId="30765"/>
    <cellStyle name="Comma 10 4 4 7 2" xfId="30766"/>
    <cellStyle name="Comma 10 4 4 8" xfId="30767"/>
    <cellStyle name="Comma 10 4 4 9" xfId="30768"/>
    <cellStyle name="Comma 10 4 5" xfId="30769"/>
    <cellStyle name="Comma 10 4 5 2" xfId="30770"/>
    <cellStyle name="Comma 10 4 5 2 2" xfId="30771"/>
    <cellStyle name="Comma 10 4 5 2 3" xfId="30772"/>
    <cellStyle name="Comma 10 4 5 3" xfId="30773"/>
    <cellStyle name="Comma 10 4 5 3 2" xfId="30774"/>
    <cellStyle name="Comma 10 4 5 3 3" xfId="30775"/>
    <cellStyle name="Comma 10 4 5 4" xfId="30776"/>
    <cellStyle name="Comma 10 4 5 4 2" xfId="30777"/>
    <cellStyle name="Comma 10 4 5 5" xfId="30778"/>
    <cellStyle name="Comma 10 4 5 6" xfId="30779"/>
    <cellStyle name="Comma 10 4 6" xfId="30780"/>
    <cellStyle name="Comma 10 4 6 2" xfId="30781"/>
    <cellStyle name="Comma 10 4 6 2 2" xfId="30782"/>
    <cellStyle name="Comma 10 4 6 2 3" xfId="30783"/>
    <cellStyle name="Comma 10 4 6 3" xfId="30784"/>
    <cellStyle name="Comma 10 4 6 3 2" xfId="30785"/>
    <cellStyle name="Comma 10 4 6 3 3" xfId="30786"/>
    <cellStyle name="Comma 10 4 6 4" xfId="30787"/>
    <cellStyle name="Comma 10 4 6 4 2" xfId="30788"/>
    <cellStyle name="Comma 10 4 6 5" xfId="30789"/>
    <cellStyle name="Comma 10 4 6 6" xfId="30790"/>
    <cellStyle name="Comma 10 4 7" xfId="30791"/>
    <cellStyle name="Comma 10 4 7 2" xfId="30792"/>
    <cellStyle name="Comma 10 4 7 2 2" xfId="30793"/>
    <cellStyle name="Comma 10 4 7 2 3" xfId="30794"/>
    <cellStyle name="Comma 10 4 7 3" xfId="30795"/>
    <cellStyle name="Comma 10 4 7 3 2" xfId="30796"/>
    <cellStyle name="Comma 10 4 7 4" xfId="30797"/>
    <cellStyle name="Comma 10 4 7 5" xfId="30798"/>
    <cellStyle name="Comma 10 4 8" xfId="30799"/>
    <cellStyle name="Comma 10 4 8 2" xfId="30800"/>
    <cellStyle name="Comma 10 4 8 3" xfId="30801"/>
    <cellStyle name="Comma 10 4 9" xfId="30802"/>
    <cellStyle name="Comma 10 4 9 2" xfId="30803"/>
    <cellStyle name="Comma 10 4 9 3" xfId="30804"/>
    <cellStyle name="Comma 10 5" xfId="3228"/>
    <cellStyle name="Comma 10 5 10" xfId="30805"/>
    <cellStyle name="Comma 10 5 2" xfId="3229"/>
    <cellStyle name="Comma 10 5 2 2" xfId="3230"/>
    <cellStyle name="Comma 10 5 2 2 2" xfId="30806"/>
    <cellStyle name="Comma 10 5 2 2 2 2" xfId="30807"/>
    <cellStyle name="Comma 10 5 2 2 2 3" xfId="30808"/>
    <cellStyle name="Comma 10 5 2 2 3" xfId="30809"/>
    <cellStyle name="Comma 10 5 2 2 3 2" xfId="30810"/>
    <cellStyle name="Comma 10 5 2 2 3 3" xfId="30811"/>
    <cellStyle name="Comma 10 5 2 2 4" xfId="30812"/>
    <cellStyle name="Comma 10 5 2 2 4 2" xfId="30813"/>
    <cellStyle name="Comma 10 5 2 2 5" xfId="30814"/>
    <cellStyle name="Comma 10 5 2 2 6" xfId="30815"/>
    <cellStyle name="Comma 10 5 2 3" xfId="30816"/>
    <cellStyle name="Comma 10 5 2 3 2" xfId="30817"/>
    <cellStyle name="Comma 10 5 2 3 2 2" xfId="30818"/>
    <cellStyle name="Comma 10 5 2 3 2 3" xfId="30819"/>
    <cellStyle name="Comma 10 5 2 3 3" xfId="30820"/>
    <cellStyle name="Comma 10 5 2 3 3 2" xfId="30821"/>
    <cellStyle name="Comma 10 5 2 3 3 3" xfId="30822"/>
    <cellStyle name="Comma 10 5 2 3 4" xfId="30823"/>
    <cellStyle name="Comma 10 5 2 3 4 2" xfId="30824"/>
    <cellStyle name="Comma 10 5 2 3 5" xfId="30825"/>
    <cellStyle name="Comma 10 5 2 3 6" xfId="30826"/>
    <cellStyle name="Comma 10 5 2 4" xfId="30827"/>
    <cellStyle name="Comma 10 5 2 4 2" xfId="30828"/>
    <cellStyle name="Comma 10 5 2 4 2 2" xfId="30829"/>
    <cellStyle name="Comma 10 5 2 4 2 3" xfId="30830"/>
    <cellStyle name="Comma 10 5 2 4 3" xfId="30831"/>
    <cellStyle name="Comma 10 5 2 4 3 2" xfId="30832"/>
    <cellStyle name="Comma 10 5 2 4 4" xfId="30833"/>
    <cellStyle name="Comma 10 5 2 4 5" xfId="30834"/>
    <cellStyle name="Comma 10 5 2 5" xfId="30835"/>
    <cellStyle name="Comma 10 5 2 5 2" xfId="30836"/>
    <cellStyle name="Comma 10 5 2 5 3" xfId="30837"/>
    <cellStyle name="Comma 10 5 2 6" xfId="30838"/>
    <cellStyle name="Comma 10 5 2 6 2" xfId="30839"/>
    <cellStyle name="Comma 10 5 2 6 3" xfId="30840"/>
    <cellStyle name="Comma 10 5 2 7" xfId="30841"/>
    <cellStyle name="Comma 10 5 2 7 2" xfId="30842"/>
    <cellStyle name="Comma 10 5 2 8" xfId="30843"/>
    <cellStyle name="Comma 10 5 2 9" xfId="30844"/>
    <cellStyle name="Comma 10 5 3" xfId="3231"/>
    <cellStyle name="Comma 10 5 3 2" xfId="30845"/>
    <cellStyle name="Comma 10 5 3 2 2" xfId="30846"/>
    <cellStyle name="Comma 10 5 3 2 3" xfId="30847"/>
    <cellStyle name="Comma 10 5 3 3" xfId="30848"/>
    <cellStyle name="Comma 10 5 3 3 2" xfId="30849"/>
    <cellStyle name="Comma 10 5 3 3 3" xfId="30850"/>
    <cellStyle name="Comma 10 5 3 4" xfId="30851"/>
    <cellStyle name="Comma 10 5 3 4 2" xfId="30852"/>
    <cellStyle name="Comma 10 5 3 5" xfId="30853"/>
    <cellStyle name="Comma 10 5 3 6" xfId="30854"/>
    <cellStyle name="Comma 10 5 4" xfId="30855"/>
    <cellStyle name="Comma 10 5 4 2" xfId="30856"/>
    <cellStyle name="Comma 10 5 4 2 2" xfId="30857"/>
    <cellStyle name="Comma 10 5 4 2 3" xfId="30858"/>
    <cellStyle name="Comma 10 5 4 3" xfId="30859"/>
    <cellStyle name="Comma 10 5 4 3 2" xfId="30860"/>
    <cellStyle name="Comma 10 5 4 3 3" xfId="30861"/>
    <cellStyle name="Comma 10 5 4 4" xfId="30862"/>
    <cellStyle name="Comma 10 5 4 4 2" xfId="30863"/>
    <cellStyle name="Comma 10 5 4 5" xfId="30864"/>
    <cellStyle name="Comma 10 5 4 6" xfId="30865"/>
    <cellStyle name="Comma 10 5 5" xfId="30866"/>
    <cellStyle name="Comma 10 5 5 2" xfId="30867"/>
    <cellStyle name="Comma 10 5 5 2 2" xfId="30868"/>
    <cellStyle name="Comma 10 5 5 2 3" xfId="30869"/>
    <cellStyle name="Comma 10 5 5 3" xfId="30870"/>
    <cellStyle name="Comma 10 5 5 3 2" xfId="30871"/>
    <cellStyle name="Comma 10 5 5 4" xfId="30872"/>
    <cellStyle name="Comma 10 5 5 5" xfId="30873"/>
    <cellStyle name="Comma 10 5 6" xfId="30874"/>
    <cellStyle name="Comma 10 5 6 2" xfId="30875"/>
    <cellStyle name="Comma 10 5 6 3" xfId="30876"/>
    <cellStyle name="Comma 10 5 7" xfId="30877"/>
    <cellStyle name="Comma 10 5 7 2" xfId="30878"/>
    <cellStyle name="Comma 10 5 7 3" xfId="30879"/>
    <cellStyle name="Comma 10 5 8" xfId="30880"/>
    <cellStyle name="Comma 10 5 8 2" xfId="30881"/>
    <cellStyle name="Comma 10 5 9" xfId="30882"/>
    <cellStyle name="Comma 10 6" xfId="3232"/>
    <cellStyle name="Comma 10 6 2" xfId="3233"/>
    <cellStyle name="Comma 10 6 2 2" xfId="30883"/>
    <cellStyle name="Comma 10 6 2 2 2" xfId="30884"/>
    <cellStyle name="Comma 10 6 2 2 3" xfId="30885"/>
    <cellStyle name="Comma 10 6 2 3" xfId="30886"/>
    <cellStyle name="Comma 10 6 2 3 2" xfId="30887"/>
    <cellStyle name="Comma 10 6 2 3 3" xfId="30888"/>
    <cellStyle name="Comma 10 6 2 4" xfId="30889"/>
    <cellStyle name="Comma 10 6 2 4 2" xfId="30890"/>
    <cellStyle name="Comma 10 6 2 5" xfId="30891"/>
    <cellStyle name="Comma 10 6 2 6" xfId="30892"/>
    <cellStyle name="Comma 10 6 3" xfId="30893"/>
    <cellStyle name="Comma 10 6 3 2" xfId="30894"/>
    <cellStyle name="Comma 10 6 3 2 2" xfId="30895"/>
    <cellStyle name="Comma 10 6 3 2 3" xfId="30896"/>
    <cellStyle name="Comma 10 6 3 3" xfId="30897"/>
    <cellStyle name="Comma 10 6 3 3 2" xfId="30898"/>
    <cellStyle name="Comma 10 6 3 3 3" xfId="30899"/>
    <cellStyle name="Comma 10 6 3 4" xfId="30900"/>
    <cellStyle name="Comma 10 6 3 4 2" xfId="30901"/>
    <cellStyle name="Comma 10 6 3 5" xfId="30902"/>
    <cellStyle name="Comma 10 6 3 6" xfId="30903"/>
    <cellStyle name="Comma 10 6 4" xfId="30904"/>
    <cellStyle name="Comma 10 6 4 2" xfId="30905"/>
    <cellStyle name="Comma 10 6 4 2 2" xfId="30906"/>
    <cellStyle name="Comma 10 6 4 2 3" xfId="30907"/>
    <cellStyle name="Comma 10 6 4 3" xfId="30908"/>
    <cellStyle name="Comma 10 6 4 3 2" xfId="30909"/>
    <cellStyle name="Comma 10 6 4 4" xfId="30910"/>
    <cellStyle name="Comma 10 6 4 5" xfId="30911"/>
    <cellStyle name="Comma 10 6 5" xfId="30912"/>
    <cellStyle name="Comma 10 6 5 2" xfId="30913"/>
    <cellStyle name="Comma 10 6 5 3" xfId="30914"/>
    <cellStyle name="Comma 10 6 6" xfId="30915"/>
    <cellStyle name="Comma 10 6 6 2" xfId="30916"/>
    <cellStyle name="Comma 10 6 6 3" xfId="30917"/>
    <cellStyle name="Comma 10 6 7" xfId="30918"/>
    <cellStyle name="Comma 10 6 7 2" xfId="30919"/>
    <cellStyle name="Comma 10 6 8" xfId="30920"/>
    <cellStyle name="Comma 10 6 9" xfId="30921"/>
    <cellStyle name="Comma 10 7" xfId="3234"/>
    <cellStyle name="Comma 10 7 2" xfId="30922"/>
    <cellStyle name="Comma 10 7 2 2" xfId="30923"/>
    <cellStyle name="Comma 10 7 2 2 2" xfId="30924"/>
    <cellStyle name="Comma 10 7 2 2 3" xfId="30925"/>
    <cellStyle name="Comma 10 7 2 3" xfId="30926"/>
    <cellStyle name="Comma 10 7 2 3 2" xfId="30927"/>
    <cellStyle name="Comma 10 7 2 3 3" xfId="30928"/>
    <cellStyle name="Comma 10 7 2 4" xfId="30929"/>
    <cellStyle name="Comma 10 7 2 4 2" xfId="30930"/>
    <cellStyle name="Comma 10 7 2 5" xfId="30931"/>
    <cellStyle name="Comma 10 7 2 6" xfId="30932"/>
    <cellStyle name="Comma 10 7 3" xfId="30933"/>
    <cellStyle name="Comma 10 7 3 2" xfId="30934"/>
    <cellStyle name="Comma 10 7 3 2 2" xfId="30935"/>
    <cellStyle name="Comma 10 7 3 2 3" xfId="30936"/>
    <cellStyle name="Comma 10 7 3 3" xfId="30937"/>
    <cellStyle name="Comma 10 7 3 3 2" xfId="30938"/>
    <cellStyle name="Comma 10 7 3 3 3" xfId="30939"/>
    <cellStyle name="Comma 10 7 3 4" xfId="30940"/>
    <cellStyle name="Comma 10 7 3 4 2" xfId="30941"/>
    <cellStyle name="Comma 10 7 3 5" xfId="30942"/>
    <cellStyle name="Comma 10 7 3 6" xfId="30943"/>
    <cellStyle name="Comma 10 7 4" xfId="30944"/>
    <cellStyle name="Comma 10 7 4 2" xfId="30945"/>
    <cellStyle name="Comma 10 7 4 2 2" xfId="30946"/>
    <cellStyle name="Comma 10 7 4 2 3" xfId="30947"/>
    <cellStyle name="Comma 10 7 4 3" xfId="30948"/>
    <cellStyle name="Comma 10 7 4 3 2" xfId="30949"/>
    <cellStyle name="Comma 10 7 4 4" xfId="30950"/>
    <cellStyle name="Comma 10 7 4 5" xfId="30951"/>
    <cellStyle name="Comma 10 7 5" xfId="30952"/>
    <cellStyle name="Comma 10 7 5 2" xfId="30953"/>
    <cellStyle name="Comma 10 7 5 3" xfId="30954"/>
    <cellStyle name="Comma 10 7 6" xfId="30955"/>
    <cellStyle name="Comma 10 7 6 2" xfId="30956"/>
    <cellStyle name="Comma 10 7 6 3" xfId="30957"/>
    <cellStyle name="Comma 10 7 7" xfId="30958"/>
    <cellStyle name="Comma 10 7 7 2" xfId="30959"/>
    <cellStyle name="Comma 10 7 8" xfId="30960"/>
    <cellStyle name="Comma 10 7 9" xfId="30961"/>
    <cellStyle name="Comma 10 8" xfId="3235"/>
    <cellStyle name="Comma 10 8 2" xfId="30962"/>
    <cellStyle name="Comma 10 8 2 2" xfId="30963"/>
    <cellStyle name="Comma 10 8 2 3" xfId="30964"/>
    <cellStyle name="Comma 10 8 3" xfId="30965"/>
    <cellStyle name="Comma 10 8 3 2" xfId="30966"/>
    <cellStyle name="Comma 10 8 3 3" xfId="30967"/>
    <cellStyle name="Comma 10 8 4" xfId="30968"/>
    <cellStyle name="Comma 10 8 4 2" xfId="30969"/>
    <cellStyle name="Comma 10 8 5" xfId="30970"/>
    <cellStyle name="Comma 10 8 6" xfId="30971"/>
    <cellStyle name="Comma 10 9" xfId="3236"/>
    <cellStyle name="Comma 10 9 2" xfId="30972"/>
    <cellStyle name="Comma 10 9 2 2" xfId="30973"/>
    <cellStyle name="Comma 10 9 2 3" xfId="30974"/>
    <cellStyle name="Comma 10 9 3" xfId="30975"/>
    <cellStyle name="Comma 10 9 3 2" xfId="30976"/>
    <cellStyle name="Comma 10 9 3 3" xfId="30977"/>
    <cellStyle name="Comma 10 9 4" xfId="30978"/>
    <cellStyle name="Comma 10 9 4 2" xfId="30979"/>
    <cellStyle name="Comma 10 9 5" xfId="30980"/>
    <cellStyle name="Comma 10 9 6" xfId="30981"/>
    <cellStyle name="Comma 100" xfId="8715"/>
    <cellStyle name="Comma 101" xfId="8716"/>
    <cellStyle name="Comma 102" xfId="8717"/>
    <cellStyle name="Comma 103" xfId="8718"/>
    <cellStyle name="Comma 104" xfId="8719"/>
    <cellStyle name="Comma 105" xfId="8720"/>
    <cellStyle name="Comma 106" xfId="8721"/>
    <cellStyle name="Comma 107" xfId="30982"/>
    <cellStyle name="Comma 108" xfId="30983"/>
    <cellStyle name="Comma 109" xfId="57815"/>
    <cellStyle name="Comma 11" xfId="3237"/>
    <cellStyle name="Comma 11 10" xfId="30984"/>
    <cellStyle name="Comma 11 10 2" xfId="30985"/>
    <cellStyle name="Comma 11 10 2 2" xfId="30986"/>
    <cellStyle name="Comma 11 10 2 3" xfId="30987"/>
    <cellStyle name="Comma 11 10 3" xfId="30988"/>
    <cellStyle name="Comma 11 10 3 2" xfId="30989"/>
    <cellStyle name="Comma 11 10 4" xfId="30990"/>
    <cellStyle name="Comma 11 10 5" xfId="30991"/>
    <cellStyle name="Comma 11 11" xfId="30992"/>
    <cellStyle name="Comma 11 11 2" xfId="30993"/>
    <cellStyle name="Comma 11 11 3" xfId="30994"/>
    <cellStyle name="Comma 11 12" xfId="30995"/>
    <cellStyle name="Comma 11 12 2" xfId="30996"/>
    <cellStyle name="Comma 11 12 3" xfId="30997"/>
    <cellStyle name="Comma 11 13" xfId="30998"/>
    <cellStyle name="Comma 11 13 2" xfId="30999"/>
    <cellStyle name="Comma 11 14" xfId="31000"/>
    <cellStyle name="Comma 11 15" xfId="31001"/>
    <cellStyle name="Comma 11 16" xfId="31002"/>
    <cellStyle name="Comma 11 2" xfId="8210"/>
    <cellStyle name="Comma 11 2 10" xfId="31003"/>
    <cellStyle name="Comma 11 2 10 2" xfId="31004"/>
    <cellStyle name="Comma 11 2 10 3" xfId="31005"/>
    <cellStyle name="Comma 11 2 11" xfId="31006"/>
    <cellStyle name="Comma 11 2 11 2" xfId="31007"/>
    <cellStyle name="Comma 11 2 11 3" xfId="31008"/>
    <cellStyle name="Comma 11 2 12" xfId="31009"/>
    <cellStyle name="Comma 11 2 12 2" xfId="31010"/>
    <cellStyle name="Comma 11 2 13" xfId="31011"/>
    <cellStyle name="Comma 11 2 14" xfId="31012"/>
    <cellStyle name="Comma 11 2 15" xfId="31013"/>
    <cellStyle name="Comma 11 2 2" xfId="8211"/>
    <cellStyle name="Comma 11 2 2 10" xfId="31014"/>
    <cellStyle name="Comma 11 2 2 10 2" xfId="31015"/>
    <cellStyle name="Comma 11 2 2 10 3" xfId="31016"/>
    <cellStyle name="Comma 11 2 2 11" xfId="31017"/>
    <cellStyle name="Comma 11 2 2 11 2" xfId="31018"/>
    <cellStyle name="Comma 11 2 2 12" xfId="31019"/>
    <cellStyle name="Comma 11 2 2 13" xfId="31020"/>
    <cellStyle name="Comma 11 2 2 14" xfId="31021"/>
    <cellStyle name="Comma 11 2 2 2" xfId="8212"/>
    <cellStyle name="Comma 11 2 2 2 10" xfId="31022"/>
    <cellStyle name="Comma 11 2 2 2 10 2" xfId="31023"/>
    <cellStyle name="Comma 11 2 2 2 11" xfId="31024"/>
    <cellStyle name="Comma 11 2 2 2 12" xfId="31025"/>
    <cellStyle name="Comma 11 2 2 2 13" xfId="31026"/>
    <cellStyle name="Comma 11 2 2 2 2" xfId="8213"/>
    <cellStyle name="Comma 11 2 2 2 2 10" xfId="31027"/>
    <cellStyle name="Comma 11 2 2 2 2 2" xfId="31028"/>
    <cellStyle name="Comma 11 2 2 2 2 2 2" xfId="31029"/>
    <cellStyle name="Comma 11 2 2 2 2 2 2 2" xfId="31030"/>
    <cellStyle name="Comma 11 2 2 2 2 2 2 2 2" xfId="31031"/>
    <cellStyle name="Comma 11 2 2 2 2 2 2 2 3" xfId="31032"/>
    <cellStyle name="Comma 11 2 2 2 2 2 2 3" xfId="31033"/>
    <cellStyle name="Comma 11 2 2 2 2 2 2 3 2" xfId="31034"/>
    <cellStyle name="Comma 11 2 2 2 2 2 2 3 3" xfId="31035"/>
    <cellStyle name="Comma 11 2 2 2 2 2 2 4" xfId="31036"/>
    <cellStyle name="Comma 11 2 2 2 2 2 2 4 2" xfId="31037"/>
    <cellStyle name="Comma 11 2 2 2 2 2 2 5" xfId="31038"/>
    <cellStyle name="Comma 11 2 2 2 2 2 2 6" xfId="31039"/>
    <cellStyle name="Comma 11 2 2 2 2 2 3" xfId="31040"/>
    <cellStyle name="Comma 11 2 2 2 2 2 3 2" xfId="31041"/>
    <cellStyle name="Comma 11 2 2 2 2 2 3 2 2" xfId="31042"/>
    <cellStyle name="Comma 11 2 2 2 2 2 3 2 3" xfId="31043"/>
    <cellStyle name="Comma 11 2 2 2 2 2 3 3" xfId="31044"/>
    <cellStyle name="Comma 11 2 2 2 2 2 3 3 2" xfId="31045"/>
    <cellStyle name="Comma 11 2 2 2 2 2 3 3 3" xfId="31046"/>
    <cellStyle name="Comma 11 2 2 2 2 2 3 4" xfId="31047"/>
    <cellStyle name="Comma 11 2 2 2 2 2 3 4 2" xfId="31048"/>
    <cellStyle name="Comma 11 2 2 2 2 2 3 5" xfId="31049"/>
    <cellStyle name="Comma 11 2 2 2 2 2 3 6" xfId="31050"/>
    <cellStyle name="Comma 11 2 2 2 2 2 4" xfId="31051"/>
    <cellStyle name="Comma 11 2 2 2 2 2 4 2" xfId="31052"/>
    <cellStyle name="Comma 11 2 2 2 2 2 4 2 2" xfId="31053"/>
    <cellStyle name="Comma 11 2 2 2 2 2 4 2 3" xfId="31054"/>
    <cellStyle name="Comma 11 2 2 2 2 2 4 3" xfId="31055"/>
    <cellStyle name="Comma 11 2 2 2 2 2 4 3 2" xfId="31056"/>
    <cellStyle name="Comma 11 2 2 2 2 2 4 4" xfId="31057"/>
    <cellStyle name="Comma 11 2 2 2 2 2 4 5" xfId="31058"/>
    <cellStyle name="Comma 11 2 2 2 2 2 5" xfId="31059"/>
    <cellStyle name="Comma 11 2 2 2 2 2 5 2" xfId="31060"/>
    <cellStyle name="Comma 11 2 2 2 2 2 5 3" xfId="31061"/>
    <cellStyle name="Comma 11 2 2 2 2 2 6" xfId="31062"/>
    <cellStyle name="Comma 11 2 2 2 2 2 6 2" xfId="31063"/>
    <cellStyle name="Comma 11 2 2 2 2 2 6 3" xfId="31064"/>
    <cellStyle name="Comma 11 2 2 2 2 2 7" xfId="31065"/>
    <cellStyle name="Comma 11 2 2 2 2 2 7 2" xfId="31066"/>
    <cellStyle name="Comma 11 2 2 2 2 2 8" xfId="31067"/>
    <cellStyle name="Comma 11 2 2 2 2 2 9" xfId="31068"/>
    <cellStyle name="Comma 11 2 2 2 2 3" xfId="31069"/>
    <cellStyle name="Comma 11 2 2 2 2 3 2" xfId="31070"/>
    <cellStyle name="Comma 11 2 2 2 2 3 2 2" xfId="31071"/>
    <cellStyle name="Comma 11 2 2 2 2 3 2 3" xfId="31072"/>
    <cellStyle name="Comma 11 2 2 2 2 3 3" xfId="31073"/>
    <cellStyle name="Comma 11 2 2 2 2 3 3 2" xfId="31074"/>
    <cellStyle name="Comma 11 2 2 2 2 3 3 3" xfId="31075"/>
    <cellStyle name="Comma 11 2 2 2 2 3 4" xfId="31076"/>
    <cellStyle name="Comma 11 2 2 2 2 3 4 2" xfId="31077"/>
    <cellStyle name="Comma 11 2 2 2 2 3 5" xfId="31078"/>
    <cellStyle name="Comma 11 2 2 2 2 3 6" xfId="31079"/>
    <cellStyle name="Comma 11 2 2 2 2 4" xfId="31080"/>
    <cellStyle name="Comma 11 2 2 2 2 4 2" xfId="31081"/>
    <cellStyle name="Comma 11 2 2 2 2 4 2 2" xfId="31082"/>
    <cellStyle name="Comma 11 2 2 2 2 4 2 3" xfId="31083"/>
    <cellStyle name="Comma 11 2 2 2 2 4 3" xfId="31084"/>
    <cellStyle name="Comma 11 2 2 2 2 4 3 2" xfId="31085"/>
    <cellStyle name="Comma 11 2 2 2 2 4 3 3" xfId="31086"/>
    <cellStyle name="Comma 11 2 2 2 2 4 4" xfId="31087"/>
    <cellStyle name="Comma 11 2 2 2 2 4 4 2" xfId="31088"/>
    <cellStyle name="Comma 11 2 2 2 2 4 5" xfId="31089"/>
    <cellStyle name="Comma 11 2 2 2 2 4 6" xfId="31090"/>
    <cellStyle name="Comma 11 2 2 2 2 5" xfId="31091"/>
    <cellStyle name="Comma 11 2 2 2 2 5 2" xfId="31092"/>
    <cellStyle name="Comma 11 2 2 2 2 5 2 2" xfId="31093"/>
    <cellStyle name="Comma 11 2 2 2 2 5 2 3" xfId="31094"/>
    <cellStyle name="Comma 11 2 2 2 2 5 3" xfId="31095"/>
    <cellStyle name="Comma 11 2 2 2 2 5 3 2" xfId="31096"/>
    <cellStyle name="Comma 11 2 2 2 2 5 4" xfId="31097"/>
    <cellStyle name="Comma 11 2 2 2 2 5 5" xfId="31098"/>
    <cellStyle name="Comma 11 2 2 2 2 6" xfId="31099"/>
    <cellStyle name="Comma 11 2 2 2 2 6 2" xfId="31100"/>
    <cellStyle name="Comma 11 2 2 2 2 6 3" xfId="31101"/>
    <cellStyle name="Comma 11 2 2 2 2 7" xfId="31102"/>
    <cellStyle name="Comma 11 2 2 2 2 7 2" xfId="31103"/>
    <cellStyle name="Comma 11 2 2 2 2 7 3" xfId="31104"/>
    <cellStyle name="Comma 11 2 2 2 2 8" xfId="31105"/>
    <cellStyle name="Comma 11 2 2 2 2 8 2" xfId="31106"/>
    <cellStyle name="Comma 11 2 2 2 2 9" xfId="31107"/>
    <cellStyle name="Comma 11 2 2 2 3" xfId="31108"/>
    <cellStyle name="Comma 11 2 2 2 3 2" xfId="31109"/>
    <cellStyle name="Comma 11 2 2 2 3 2 2" xfId="31110"/>
    <cellStyle name="Comma 11 2 2 2 3 2 2 2" xfId="31111"/>
    <cellStyle name="Comma 11 2 2 2 3 2 2 3" xfId="31112"/>
    <cellStyle name="Comma 11 2 2 2 3 2 3" xfId="31113"/>
    <cellStyle name="Comma 11 2 2 2 3 2 3 2" xfId="31114"/>
    <cellStyle name="Comma 11 2 2 2 3 2 3 3" xfId="31115"/>
    <cellStyle name="Comma 11 2 2 2 3 2 4" xfId="31116"/>
    <cellStyle name="Comma 11 2 2 2 3 2 4 2" xfId="31117"/>
    <cellStyle name="Comma 11 2 2 2 3 2 5" xfId="31118"/>
    <cellStyle name="Comma 11 2 2 2 3 2 6" xfId="31119"/>
    <cellStyle name="Comma 11 2 2 2 3 3" xfId="31120"/>
    <cellStyle name="Comma 11 2 2 2 3 3 2" xfId="31121"/>
    <cellStyle name="Comma 11 2 2 2 3 3 2 2" xfId="31122"/>
    <cellStyle name="Comma 11 2 2 2 3 3 2 3" xfId="31123"/>
    <cellStyle name="Comma 11 2 2 2 3 3 3" xfId="31124"/>
    <cellStyle name="Comma 11 2 2 2 3 3 3 2" xfId="31125"/>
    <cellStyle name="Comma 11 2 2 2 3 3 3 3" xfId="31126"/>
    <cellStyle name="Comma 11 2 2 2 3 3 4" xfId="31127"/>
    <cellStyle name="Comma 11 2 2 2 3 3 4 2" xfId="31128"/>
    <cellStyle name="Comma 11 2 2 2 3 3 5" xfId="31129"/>
    <cellStyle name="Comma 11 2 2 2 3 3 6" xfId="31130"/>
    <cellStyle name="Comma 11 2 2 2 3 4" xfId="31131"/>
    <cellStyle name="Comma 11 2 2 2 3 4 2" xfId="31132"/>
    <cellStyle name="Comma 11 2 2 2 3 4 2 2" xfId="31133"/>
    <cellStyle name="Comma 11 2 2 2 3 4 2 3" xfId="31134"/>
    <cellStyle name="Comma 11 2 2 2 3 4 3" xfId="31135"/>
    <cellStyle name="Comma 11 2 2 2 3 4 3 2" xfId="31136"/>
    <cellStyle name="Comma 11 2 2 2 3 4 4" xfId="31137"/>
    <cellStyle name="Comma 11 2 2 2 3 4 5" xfId="31138"/>
    <cellStyle name="Comma 11 2 2 2 3 5" xfId="31139"/>
    <cellStyle name="Comma 11 2 2 2 3 5 2" xfId="31140"/>
    <cellStyle name="Comma 11 2 2 2 3 5 3" xfId="31141"/>
    <cellStyle name="Comma 11 2 2 2 3 6" xfId="31142"/>
    <cellStyle name="Comma 11 2 2 2 3 6 2" xfId="31143"/>
    <cellStyle name="Comma 11 2 2 2 3 6 3" xfId="31144"/>
    <cellStyle name="Comma 11 2 2 2 3 7" xfId="31145"/>
    <cellStyle name="Comma 11 2 2 2 3 7 2" xfId="31146"/>
    <cellStyle name="Comma 11 2 2 2 3 8" xfId="31147"/>
    <cellStyle name="Comma 11 2 2 2 3 9" xfId="31148"/>
    <cellStyle name="Comma 11 2 2 2 4" xfId="31149"/>
    <cellStyle name="Comma 11 2 2 2 4 2" xfId="31150"/>
    <cellStyle name="Comma 11 2 2 2 4 2 2" xfId="31151"/>
    <cellStyle name="Comma 11 2 2 2 4 2 2 2" xfId="31152"/>
    <cellStyle name="Comma 11 2 2 2 4 2 2 3" xfId="31153"/>
    <cellStyle name="Comma 11 2 2 2 4 2 3" xfId="31154"/>
    <cellStyle name="Comma 11 2 2 2 4 2 3 2" xfId="31155"/>
    <cellStyle name="Comma 11 2 2 2 4 2 3 3" xfId="31156"/>
    <cellStyle name="Comma 11 2 2 2 4 2 4" xfId="31157"/>
    <cellStyle name="Comma 11 2 2 2 4 2 4 2" xfId="31158"/>
    <cellStyle name="Comma 11 2 2 2 4 2 5" xfId="31159"/>
    <cellStyle name="Comma 11 2 2 2 4 2 6" xfId="31160"/>
    <cellStyle name="Comma 11 2 2 2 4 3" xfId="31161"/>
    <cellStyle name="Comma 11 2 2 2 4 3 2" xfId="31162"/>
    <cellStyle name="Comma 11 2 2 2 4 3 2 2" xfId="31163"/>
    <cellStyle name="Comma 11 2 2 2 4 3 2 3" xfId="31164"/>
    <cellStyle name="Comma 11 2 2 2 4 3 3" xfId="31165"/>
    <cellStyle name="Comma 11 2 2 2 4 3 3 2" xfId="31166"/>
    <cellStyle name="Comma 11 2 2 2 4 3 3 3" xfId="31167"/>
    <cellStyle name="Comma 11 2 2 2 4 3 4" xfId="31168"/>
    <cellStyle name="Comma 11 2 2 2 4 3 4 2" xfId="31169"/>
    <cellStyle name="Comma 11 2 2 2 4 3 5" xfId="31170"/>
    <cellStyle name="Comma 11 2 2 2 4 3 6" xfId="31171"/>
    <cellStyle name="Comma 11 2 2 2 4 4" xfId="31172"/>
    <cellStyle name="Comma 11 2 2 2 4 4 2" xfId="31173"/>
    <cellStyle name="Comma 11 2 2 2 4 4 2 2" xfId="31174"/>
    <cellStyle name="Comma 11 2 2 2 4 4 2 3" xfId="31175"/>
    <cellStyle name="Comma 11 2 2 2 4 4 3" xfId="31176"/>
    <cellStyle name="Comma 11 2 2 2 4 4 3 2" xfId="31177"/>
    <cellStyle name="Comma 11 2 2 2 4 4 4" xfId="31178"/>
    <cellStyle name="Comma 11 2 2 2 4 4 5" xfId="31179"/>
    <cellStyle name="Comma 11 2 2 2 4 5" xfId="31180"/>
    <cellStyle name="Comma 11 2 2 2 4 5 2" xfId="31181"/>
    <cellStyle name="Comma 11 2 2 2 4 5 3" xfId="31182"/>
    <cellStyle name="Comma 11 2 2 2 4 6" xfId="31183"/>
    <cellStyle name="Comma 11 2 2 2 4 6 2" xfId="31184"/>
    <cellStyle name="Comma 11 2 2 2 4 6 3" xfId="31185"/>
    <cellStyle name="Comma 11 2 2 2 4 7" xfId="31186"/>
    <cellStyle name="Comma 11 2 2 2 4 7 2" xfId="31187"/>
    <cellStyle name="Comma 11 2 2 2 4 8" xfId="31188"/>
    <cellStyle name="Comma 11 2 2 2 4 9" xfId="31189"/>
    <cellStyle name="Comma 11 2 2 2 5" xfId="31190"/>
    <cellStyle name="Comma 11 2 2 2 5 2" xfId="31191"/>
    <cellStyle name="Comma 11 2 2 2 5 2 2" xfId="31192"/>
    <cellStyle name="Comma 11 2 2 2 5 2 3" xfId="31193"/>
    <cellStyle name="Comma 11 2 2 2 5 3" xfId="31194"/>
    <cellStyle name="Comma 11 2 2 2 5 3 2" xfId="31195"/>
    <cellStyle name="Comma 11 2 2 2 5 3 3" xfId="31196"/>
    <cellStyle name="Comma 11 2 2 2 5 4" xfId="31197"/>
    <cellStyle name="Comma 11 2 2 2 5 4 2" xfId="31198"/>
    <cellStyle name="Comma 11 2 2 2 5 5" xfId="31199"/>
    <cellStyle name="Comma 11 2 2 2 5 6" xfId="31200"/>
    <cellStyle name="Comma 11 2 2 2 6" xfId="31201"/>
    <cellStyle name="Comma 11 2 2 2 6 2" xfId="31202"/>
    <cellStyle name="Comma 11 2 2 2 6 2 2" xfId="31203"/>
    <cellStyle name="Comma 11 2 2 2 6 2 3" xfId="31204"/>
    <cellStyle name="Comma 11 2 2 2 6 3" xfId="31205"/>
    <cellStyle name="Comma 11 2 2 2 6 3 2" xfId="31206"/>
    <cellStyle name="Comma 11 2 2 2 6 3 3" xfId="31207"/>
    <cellStyle name="Comma 11 2 2 2 6 4" xfId="31208"/>
    <cellStyle name="Comma 11 2 2 2 6 4 2" xfId="31209"/>
    <cellStyle name="Comma 11 2 2 2 6 5" xfId="31210"/>
    <cellStyle name="Comma 11 2 2 2 6 6" xfId="31211"/>
    <cellStyle name="Comma 11 2 2 2 7" xfId="31212"/>
    <cellStyle name="Comma 11 2 2 2 7 2" xfId="31213"/>
    <cellStyle name="Comma 11 2 2 2 7 2 2" xfId="31214"/>
    <cellStyle name="Comma 11 2 2 2 7 2 3" xfId="31215"/>
    <cellStyle name="Comma 11 2 2 2 7 3" xfId="31216"/>
    <cellStyle name="Comma 11 2 2 2 7 3 2" xfId="31217"/>
    <cellStyle name="Comma 11 2 2 2 7 4" xfId="31218"/>
    <cellStyle name="Comma 11 2 2 2 7 5" xfId="31219"/>
    <cellStyle name="Comma 11 2 2 2 8" xfId="31220"/>
    <cellStyle name="Comma 11 2 2 2 8 2" xfId="31221"/>
    <cellStyle name="Comma 11 2 2 2 8 3" xfId="31222"/>
    <cellStyle name="Comma 11 2 2 2 9" xfId="31223"/>
    <cellStyle name="Comma 11 2 2 2 9 2" xfId="31224"/>
    <cellStyle name="Comma 11 2 2 2 9 3" xfId="31225"/>
    <cellStyle name="Comma 11 2 2 3" xfId="8214"/>
    <cellStyle name="Comma 11 2 2 3 10" xfId="31226"/>
    <cellStyle name="Comma 11 2 2 3 11" xfId="31227"/>
    <cellStyle name="Comma 11 2 2 3 2" xfId="31228"/>
    <cellStyle name="Comma 11 2 2 3 2 2" xfId="31229"/>
    <cellStyle name="Comma 11 2 2 3 2 2 2" xfId="31230"/>
    <cellStyle name="Comma 11 2 2 3 2 2 2 2" xfId="31231"/>
    <cellStyle name="Comma 11 2 2 3 2 2 2 3" xfId="31232"/>
    <cellStyle name="Comma 11 2 2 3 2 2 3" xfId="31233"/>
    <cellStyle name="Comma 11 2 2 3 2 2 3 2" xfId="31234"/>
    <cellStyle name="Comma 11 2 2 3 2 2 3 3" xfId="31235"/>
    <cellStyle name="Comma 11 2 2 3 2 2 4" xfId="31236"/>
    <cellStyle name="Comma 11 2 2 3 2 2 4 2" xfId="31237"/>
    <cellStyle name="Comma 11 2 2 3 2 2 5" xfId="31238"/>
    <cellStyle name="Comma 11 2 2 3 2 2 6" xfId="31239"/>
    <cellStyle name="Comma 11 2 2 3 2 3" xfId="31240"/>
    <cellStyle name="Comma 11 2 2 3 2 3 2" xfId="31241"/>
    <cellStyle name="Comma 11 2 2 3 2 3 2 2" xfId="31242"/>
    <cellStyle name="Comma 11 2 2 3 2 3 2 3" xfId="31243"/>
    <cellStyle name="Comma 11 2 2 3 2 3 3" xfId="31244"/>
    <cellStyle name="Comma 11 2 2 3 2 3 3 2" xfId="31245"/>
    <cellStyle name="Comma 11 2 2 3 2 3 3 3" xfId="31246"/>
    <cellStyle name="Comma 11 2 2 3 2 3 4" xfId="31247"/>
    <cellStyle name="Comma 11 2 2 3 2 3 4 2" xfId="31248"/>
    <cellStyle name="Comma 11 2 2 3 2 3 5" xfId="31249"/>
    <cellStyle name="Comma 11 2 2 3 2 3 6" xfId="31250"/>
    <cellStyle name="Comma 11 2 2 3 2 4" xfId="31251"/>
    <cellStyle name="Comma 11 2 2 3 2 4 2" xfId="31252"/>
    <cellStyle name="Comma 11 2 2 3 2 4 2 2" xfId="31253"/>
    <cellStyle name="Comma 11 2 2 3 2 4 2 3" xfId="31254"/>
    <cellStyle name="Comma 11 2 2 3 2 4 3" xfId="31255"/>
    <cellStyle name="Comma 11 2 2 3 2 4 3 2" xfId="31256"/>
    <cellStyle name="Comma 11 2 2 3 2 4 4" xfId="31257"/>
    <cellStyle name="Comma 11 2 2 3 2 4 5" xfId="31258"/>
    <cellStyle name="Comma 11 2 2 3 2 5" xfId="31259"/>
    <cellStyle name="Comma 11 2 2 3 2 5 2" xfId="31260"/>
    <cellStyle name="Comma 11 2 2 3 2 5 3" xfId="31261"/>
    <cellStyle name="Comma 11 2 2 3 2 6" xfId="31262"/>
    <cellStyle name="Comma 11 2 2 3 2 6 2" xfId="31263"/>
    <cellStyle name="Comma 11 2 2 3 2 6 3" xfId="31264"/>
    <cellStyle name="Comma 11 2 2 3 2 7" xfId="31265"/>
    <cellStyle name="Comma 11 2 2 3 2 7 2" xfId="31266"/>
    <cellStyle name="Comma 11 2 2 3 2 8" xfId="31267"/>
    <cellStyle name="Comma 11 2 2 3 2 9" xfId="31268"/>
    <cellStyle name="Comma 11 2 2 3 3" xfId="31269"/>
    <cellStyle name="Comma 11 2 2 3 3 2" xfId="31270"/>
    <cellStyle name="Comma 11 2 2 3 3 2 2" xfId="31271"/>
    <cellStyle name="Comma 11 2 2 3 3 2 3" xfId="31272"/>
    <cellStyle name="Comma 11 2 2 3 3 3" xfId="31273"/>
    <cellStyle name="Comma 11 2 2 3 3 3 2" xfId="31274"/>
    <cellStyle name="Comma 11 2 2 3 3 3 3" xfId="31275"/>
    <cellStyle name="Comma 11 2 2 3 3 4" xfId="31276"/>
    <cellStyle name="Comma 11 2 2 3 3 4 2" xfId="31277"/>
    <cellStyle name="Comma 11 2 2 3 3 5" xfId="31278"/>
    <cellStyle name="Comma 11 2 2 3 3 6" xfId="31279"/>
    <cellStyle name="Comma 11 2 2 3 4" xfId="31280"/>
    <cellStyle name="Comma 11 2 2 3 4 2" xfId="31281"/>
    <cellStyle name="Comma 11 2 2 3 4 2 2" xfId="31282"/>
    <cellStyle name="Comma 11 2 2 3 4 2 3" xfId="31283"/>
    <cellStyle name="Comma 11 2 2 3 4 3" xfId="31284"/>
    <cellStyle name="Comma 11 2 2 3 4 3 2" xfId="31285"/>
    <cellStyle name="Comma 11 2 2 3 4 3 3" xfId="31286"/>
    <cellStyle name="Comma 11 2 2 3 4 4" xfId="31287"/>
    <cellStyle name="Comma 11 2 2 3 4 4 2" xfId="31288"/>
    <cellStyle name="Comma 11 2 2 3 4 5" xfId="31289"/>
    <cellStyle name="Comma 11 2 2 3 4 6" xfId="31290"/>
    <cellStyle name="Comma 11 2 2 3 5" xfId="31291"/>
    <cellStyle name="Comma 11 2 2 3 5 2" xfId="31292"/>
    <cellStyle name="Comma 11 2 2 3 5 2 2" xfId="31293"/>
    <cellStyle name="Comma 11 2 2 3 5 2 3" xfId="31294"/>
    <cellStyle name="Comma 11 2 2 3 5 3" xfId="31295"/>
    <cellStyle name="Comma 11 2 2 3 5 3 2" xfId="31296"/>
    <cellStyle name="Comma 11 2 2 3 5 4" xfId="31297"/>
    <cellStyle name="Comma 11 2 2 3 5 5" xfId="31298"/>
    <cellStyle name="Comma 11 2 2 3 6" xfId="31299"/>
    <cellStyle name="Comma 11 2 2 3 6 2" xfId="31300"/>
    <cellStyle name="Comma 11 2 2 3 6 3" xfId="31301"/>
    <cellStyle name="Comma 11 2 2 3 7" xfId="31302"/>
    <cellStyle name="Comma 11 2 2 3 7 2" xfId="31303"/>
    <cellStyle name="Comma 11 2 2 3 7 3" xfId="31304"/>
    <cellStyle name="Comma 11 2 2 3 8" xfId="31305"/>
    <cellStyle name="Comma 11 2 2 3 8 2" xfId="31306"/>
    <cellStyle name="Comma 11 2 2 3 9" xfId="31307"/>
    <cellStyle name="Comma 11 2 2 4" xfId="31308"/>
    <cellStyle name="Comma 11 2 2 4 2" xfId="31309"/>
    <cellStyle name="Comma 11 2 2 4 2 2" xfId="31310"/>
    <cellStyle name="Comma 11 2 2 4 2 2 2" xfId="31311"/>
    <cellStyle name="Comma 11 2 2 4 2 2 3" xfId="31312"/>
    <cellStyle name="Comma 11 2 2 4 2 3" xfId="31313"/>
    <cellStyle name="Comma 11 2 2 4 2 3 2" xfId="31314"/>
    <cellStyle name="Comma 11 2 2 4 2 3 3" xfId="31315"/>
    <cellStyle name="Comma 11 2 2 4 2 4" xfId="31316"/>
    <cellStyle name="Comma 11 2 2 4 2 4 2" xfId="31317"/>
    <cellStyle name="Comma 11 2 2 4 2 5" xfId="31318"/>
    <cellStyle name="Comma 11 2 2 4 2 6" xfId="31319"/>
    <cellStyle name="Comma 11 2 2 4 3" xfId="31320"/>
    <cellStyle name="Comma 11 2 2 4 3 2" xfId="31321"/>
    <cellStyle name="Comma 11 2 2 4 3 2 2" xfId="31322"/>
    <cellStyle name="Comma 11 2 2 4 3 2 3" xfId="31323"/>
    <cellStyle name="Comma 11 2 2 4 3 3" xfId="31324"/>
    <cellStyle name="Comma 11 2 2 4 3 3 2" xfId="31325"/>
    <cellStyle name="Comma 11 2 2 4 3 3 3" xfId="31326"/>
    <cellStyle name="Comma 11 2 2 4 3 4" xfId="31327"/>
    <cellStyle name="Comma 11 2 2 4 3 4 2" xfId="31328"/>
    <cellStyle name="Comma 11 2 2 4 3 5" xfId="31329"/>
    <cellStyle name="Comma 11 2 2 4 3 6" xfId="31330"/>
    <cellStyle name="Comma 11 2 2 4 4" xfId="31331"/>
    <cellStyle name="Comma 11 2 2 4 4 2" xfId="31332"/>
    <cellStyle name="Comma 11 2 2 4 4 2 2" xfId="31333"/>
    <cellStyle name="Comma 11 2 2 4 4 2 3" xfId="31334"/>
    <cellStyle name="Comma 11 2 2 4 4 3" xfId="31335"/>
    <cellStyle name="Comma 11 2 2 4 4 3 2" xfId="31336"/>
    <cellStyle name="Comma 11 2 2 4 4 4" xfId="31337"/>
    <cellStyle name="Comma 11 2 2 4 4 5" xfId="31338"/>
    <cellStyle name="Comma 11 2 2 4 5" xfId="31339"/>
    <cellStyle name="Comma 11 2 2 4 5 2" xfId="31340"/>
    <cellStyle name="Comma 11 2 2 4 5 3" xfId="31341"/>
    <cellStyle name="Comma 11 2 2 4 6" xfId="31342"/>
    <cellStyle name="Comma 11 2 2 4 6 2" xfId="31343"/>
    <cellStyle name="Comma 11 2 2 4 6 3" xfId="31344"/>
    <cellStyle name="Comma 11 2 2 4 7" xfId="31345"/>
    <cellStyle name="Comma 11 2 2 4 7 2" xfId="31346"/>
    <cellStyle name="Comma 11 2 2 4 8" xfId="31347"/>
    <cellStyle name="Comma 11 2 2 4 9" xfId="31348"/>
    <cellStyle name="Comma 11 2 2 5" xfId="31349"/>
    <cellStyle name="Comma 11 2 2 5 2" xfId="31350"/>
    <cellStyle name="Comma 11 2 2 5 2 2" xfId="31351"/>
    <cellStyle name="Comma 11 2 2 5 2 2 2" xfId="31352"/>
    <cellStyle name="Comma 11 2 2 5 2 2 3" xfId="31353"/>
    <cellStyle name="Comma 11 2 2 5 2 3" xfId="31354"/>
    <cellStyle name="Comma 11 2 2 5 2 3 2" xfId="31355"/>
    <cellStyle name="Comma 11 2 2 5 2 3 3" xfId="31356"/>
    <cellStyle name="Comma 11 2 2 5 2 4" xfId="31357"/>
    <cellStyle name="Comma 11 2 2 5 2 4 2" xfId="31358"/>
    <cellStyle name="Comma 11 2 2 5 2 5" xfId="31359"/>
    <cellStyle name="Comma 11 2 2 5 2 6" xfId="31360"/>
    <cellStyle name="Comma 11 2 2 5 3" xfId="31361"/>
    <cellStyle name="Comma 11 2 2 5 3 2" xfId="31362"/>
    <cellStyle name="Comma 11 2 2 5 3 2 2" xfId="31363"/>
    <cellStyle name="Comma 11 2 2 5 3 2 3" xfId="31364"/>
    <cellStyle name="Comma 11 2 2 5 3 3" xfId="31365"/>
    <cellStyle name="Comma 11 2 2 5 3 3 2" xfId="31366"/>
    <cellStyle name="Comma 11 2 2 5 3 3 3" xfId="31367"/>
    <cellStyle name="Comma 11 2 2 5 3 4" xfId="31368"/>
    <cellStyle name="Comma 11 2 2 5 3 4 2" xfId="31369"/>
    <cellStyle name="Comma 11 2 2 5 3 5" xfId="31370"/>
    <cellStyle name="Comma 11 2 2 5 3 6" xfId="31371"/>
    <cellStyle name="Comma 11 2 2 5 4" xfId="31372"/>
    <cellStyle name="Comma 11 2 2 5 4 2" xfId="31373"/>
    <cellStyle name="Comma 11 2 2 5 4 2 2" xfId="31374"/>
    <cellStyle name="Comma 11 2 2 5 4 2 3" xfId="31375"/>
    <cellStyle name="Comma 11 2 2 5 4 3" xfId="31376"/>
    <cellStyle name="Comma 11 2 2 5 4 3 2" xfId="31377"/>
    <cellStyle name="Comma 11 2 2 5 4 4" xfId="31378"/>
    <cellStyle name="Comma 11 2 2 5 4 5" xfId="31379"/>
    <cellStyle name="Comma 11 2 2 5 5" xfId="31380"/>
    <cellStyle name="Comma 11 2 2 5 5 2" xfId="31381"/>
    <cellStyle name="Comma 11 2 2 5 5 3" xfId="31382"/>
    <cellStyle name="Comma 11 2 2 5 6" xfId="31383"/>
    <cellStyle name="Comma 11 2 2 5 6 2" xfId="31384"/>
    <cellStyle name="Comma 11 2 2 5 6 3" xfId="31385"/>
    <cellStyle name="Comma 11 2 2 5 7" xfId="31386"/>
    <cellStyle name="Comma 11 2 2 5 7 2" xfId="31387"/>
    <cellStyle name="Comma 11 2 2 5 8" xfId="31388"/>
    <cellStyle name="Comma 11 2 2 5 9" xfId="31389"/>
    <cellStyle name="Comma 11 2 2 6" xfId="31390"/>
    <cellStyle name="Comma 11 2 2 6 2" xfId="31391"/>
    <cellStyle name="Comma 11 2 2 6 2 2" xfId="31392"/>
    <cellStyle name="Comma 11 2 2 6 2 3" xfId="31393"/>
    <cellStyle name="Comma 11 2 2 6 3" xfId="31394"/>
    <cellStyle name="Comma 11 2 2 6 3 2" xfId="31395"/>
    <cellStyle name="Comma 11 2 2 6 3 3" xfId="31396"/>
    <cellStyle name="Comma 11 2 2 6 4" xfId="31397"/>
    <cellStyle name="Comma 11 2 2 6 4 2" xfId="31398"/>
    <cellStyle name="Comma 11 2 2 6 5" xfId="31399"/>
    <cellStyle name="Comma 11 2 2 6 6" xfId="31400"/>
    <cellStyle name="Comma 11 2 2 7" xfId="31401"/>
    <cellStyle name="Comma 11 2 2 7 2" xfId="31402"/>
    <cellStyle name="Comma 11 2 2 7 2 2" xfId="31403"/>
    <cellStyle name="Comma 11 2 2 7 2 3" xfId="31404"/>
    <cellStyle name="Comma 11 2 2 7 3" xfId="31405"/>
    <cellStyle name="Comma 11 2 2 7 3 2" xfId="31406"/>
    <cellStyle name="Comma 11 2 2 7 3 3" xfId="31407"/>
    <cellStyle name="Comma 11 2 2 7 4" xfId="31408"/>
    <cellStyle name="Comma 11 2 2 7 4 2" xfId="31409"/>
    <cellStyle name="Comma 11 2 2 7 5" xfId="31410"/>
    <cellStyle name="Comma 11 2 2 7 6" xfId="31411"/>
    <cellStyle name="Comma 11 2 2 8" xfId="31412"/>
    <cellStyle name="Comma 11 2 2 8 2" xfId="31413"/>
    <cellStyle name="Comma 11 2 2 8 2 2" xfId="31414"/>
    <cellStyle name="Comma 11 2 2 8 2 3" xfId="31415"/>
    <cellStyle name="Comma 11 2 2 8 3" xfId="31416"/>
    <cellStyle name="Comma 11 2 2 8 3 2" xfId="31417"/>
    <cellStyle name="Comma 11 2 2 8 4" xfId="31418"/>
    <cellStyle name="Comma 11 2 2 8 5" xfId="31419"/>
    <cellStyle name="Comma 11 2 2 9" xfId="31420"/>
    <cellStyle name="Comma 11 2 2 9 2" xfId="31421"/>
    <cellStyle name="Comma 11 2 2 9 3" xfId="31422"/>
    <cellStyle name="Comma 11 2 3" xfId="8215"/>
    <cellStyle name="Comma 11 2 3 10" xfId="31423"/>
    <cellStyle name="Comma 11 2 3 10 2" xfId="31424"/>
    <cellStyle name="Comma 11 2 3 11" xfId="31425"/>
    <cellStyle name="Comma 11 2 3 12" xfId="31426"/>
    <cellStyle name="Comma 11 2 3 13" xfId="31427"/>
    <cellStyle name="Comma 11 2 3 2" xfId="8216"/>
    <cellStyle name="Comma 11 2 3 2 10" xfId="31428"/>
    <cellStyle name="Comma 11 2 3 2 2" xfId="31429"/>
    <cellStyle name="Comma 11 2 3 2 2 2" xfId="31430"/>
    <cellStyle name="Comma 11 2 3 2 2 2 2" xfId="31431"/>
    <cellStyle name="Comma 11 2 3 2 2 2 2 2" xfId="31432"/>
    <cellStyle name="Comma 11 2 3 2 2 2 2 3" xfId="31433"/>
    <cellStyle name="Comma 11 2 3 2 2 2 3" xfId="31434"/>
    <cellStyle name="Comma 11 2 3 2 2 2 3 2" xfId="31435"/>
    <cellStyle name="Comma 11 2 3 2 2 2 3 3" xfId="31436"/>
    <cellStyle name="Comma 11 2 3 2 2 2 4" xfId="31437"/>
    <cellStyle name="Comma 11 2 3 2 2 2 4 2" xfId="31438"/>
    <cellStyle name="Comma 11 2 3 2 2 2 5" xfId="31439"/>
    <cellStyle name="Comma 11 2 3 2 2 2 6" xfId="31440"/>
    <cellStyle name="Comma 11 2 3 2 2 3" xfId="31441"/>
    <cellStyle name="Comma 11 2 3 2 2 3 2" xfId="31442"/>
    <cellStyle name="Comma 11 2 3 2 2 3 2 2" xfId="31443"/>
    <cellStyle name="Comma 11 2 3 2 2 3 2 3" xfId="31444"/>
    <cellStyle name="Comma 11 2 3 2 2 3 3" xfId="31445"/>
    <cellStyle name="Comma 11 2 3 2 2 3 3 2" xfId="31446"/>
    <cellStyle name="Comma 11 2 3 2 2 3 3 3" xfId="31447"/>
    <cellStyle name="Comma 11 2 3 2 2 3 4" xfId="31448"/>
    <cellStyle name="Comma 11 2 3 2 2 3 4 2" xfId="31449"/>
    <cellStyle name="Comma 11 2 3 2 2 3 5" xfId="31450"/>
    <cellStyle name="Comma 11 2 3 2 2 3 6" xfId="31451"/>
    <cellStyle name="Comma 11 2 3 2 2 4" xfId="31452"/>
    <cellStyle name="Comma 11 2 3 2 2 4 2" xfId="31453"/>
    <cellStyle name="Comma 11 2 3 2 2 4 2 2" xfId="31454"/>
    <cellStyle name="Comma 11 2 3 2 2 4 2 3" xfId="31455"/>
    <cellStyle name="Comma 11 2 3 2 2 4 3" xfId="31456"/>
    <cellStyle name="Comma 11 2 3 2 2 4 3 2" xfId="31457"/>
    <cellStyle name="Comma 11 2 3 2 2 4 4" xfId="31458"/>
    <cellStyle name="Comma 11 2 3 2 2 4 5" xfId="31459"/>
    <cellStyle name="Comma 11 2 3 2 2 5" xfId="31460"/>
    <cellStyle name="Comma 11 2 3 2 2 5 2" xfId="31461"/>
    <cellStyle name="Comma 11 2 3 2 2 5 3" xfId="31462"/>
    <cellStyle name="Comma 11 2 3 2 2 6" xfId="31463"/>
    <cellStyle name="Comma 11 2 3 2 2 6 2" xfId="31464"/>
    <cellStyle name="Comma 11 2 3 2 2 6 3" xfId="31465"/>
    <cellStyle name="Comma 11 2 3 2 2 7" xfId="31466"/>
    <cellStyle name="Comma 11 2 3 2 2 7 2" xfId="31467"/>
    <cellStyle name="Comma 11 2 3 2 2 8" xfId="31468"/>
    <cellStyle name="Comma 11 2 3 2 2 9" xfId="31469"/>
    <cellStyle name="Comma 11 2 3 2 3" xfId="31470"/>
    <cellStyle name="Comma 11 2 3 2 3 2" xfId="31471"/>
    <cellStyle name="Comma 11 2 3 2 3 2 2" xfId="31472"/>
    <cellStyle name="Comma 11 2 3 2 3 2 3" xfId="31473"/>
    <cellStyle name="Comma 11 2 3 2 3 3" xfId="31474"/>
    <cellStyle name="Comma 11 2 3 2 3 3 2" xfId="31475"/>
    <cellStyle name="Comma 11 2 3 2 3 3 3" xfId="31476"/>
    <cellStyle name="Comma 11 2 3 2 3 4" xfId="31477"/>
    <cellStyle name="Comma 11 2 3 2 3 4 2" xfId="31478"/>
    <cellStyle name="Comma 11 2 3 2 3 5" xfId="31479"/>
    <cellStyle name="Comma 11 2 3 2 3 6" xfId="31480"/>
    <cellStyle name="Comma 11 2 3 2 4" xfId="31481"/>
    <cellStyle name="Comma 11 2 3 2 4 2" xfId="31482"/>
    <cellStyle name="Comma 11 2 3 2 4 2 2" xfId="31483"/>
    <cellStyle name="Comma 11 2 3 2 4 2 3" xfId="31484"/>
    <cellStyle name="Comma 11 2 3 2 4 3" xfId="31485"/>
    <cellStyle name="Comma 11 2 3 2 4 3 2" xfId="31486"/>
    <cellStyle name="Comma 11 2 3 2 4 3 3" xfId="31487"/>
    <cellStyle name="Comma 11 2 3 2 4 4" xfId="31488"/>
    <cellStyle name="Comma 11 2 3 2 4 4 2" xfId="31489"/>
    <cellStyle name="Comma 11 2 3 2 4 5" xfId="31490"/>
    <cellStyle name="Comma 11 2 3 2 4 6" xfId="31491"/>
    <cellStyle name="Comma 11 2 3 2 5" xfId="31492"/>
    <cellStyle name="Comma 11 2 3 2 5 2" xfId="31493"/>
    <cellStyle name="Comma 11 2 3 2 5 2 2" xfId="31494"/>
    <cellStyle name="Comma 11 2 3 2 5 2 3" xfId="31495"/>
    <cellStyle name="Comma 11 2 3 2 5 3" xfId="31496"/>
    <cellStyle name="Comma 11 2 3 2 5 3 2" xfId="31497"/>
    <cellStyle name="Comma 11 2 3 2 5 4" xfId="31498"/>
    <cellStyle name="Comma 11 2 3 2 5 5" xfId="31499"/>
    <cellStyle name="Comma 11 2 3 2 6" xfId="31500"/>
    <cellStyle name="Comma 11 2 3 2 6 2" xfId="31501"/>
    <cellStyle name="Comma 11 2 3 2 6 3" xfId="31502"/>
    <cellStyle name="Comma 11 2 3 2 7" xfId="31503"/>
    <cellStyle name="Comma 11 2 3 2 7 2" xfId="31504"/>
    <cellStyle name="Comma 11 2 3 2 7 3" xfId="31505"/>
    <cellStyle name="Comma 11 2 3 2 8" xfId="31506"/>
    <cellStyle name="Comma 11 2 3 2 8 2" xfId="31507"/>
    <cellStyle name="Comma 11 2 3 2 9" xfId="31508"/>
    <cellStyle name="Comma 11 2 3 3" xfId="31509"/>
    <cellStyle name="Comma 11 2 3 3 2" xfId="31510"/>
    <cellStyle name="Comma 11 2 3 3 2 2" xfId="31511"/>
    <cellStyle name="Comma 11 2 3 3 2 2 2" xfId="31512"/>
    <cellStyle name="Comma 11 2 3 3 2 2 3" xfId="31513"/>
    <cellStyle name="Comma 11 2 3 3 2 3" xfId="31514"/>
    <cellStyle name="Comma 11 2 3 3 2 3 2" xfId="31515"/>
    <cellStyle name="Comma 11 2 3 3 2 3 3" xfId="31516"/>
    <cellStyle name="Comma 11 2 3 3 2 4" xfId="31517"/>
    <cellStyle name="Comma 11 2 3 3 2 4 2" xfId="31518"/>
    <cellStyle name="Comma 11 2 3 3 2 5" xfId="31519"/>
    <cellStyle name="Comma 11 2 3 3 2 6" xfId="31520"/>
    <cellStyle name="Comma 11 2 3 3 3" xfId="31521"/>
    <cellStyle name="Comma 11 2 3 3 3 2" xfId="31522"/>
    <cellStyle name="Comma 11 2 3 3 3 2 2" xfId="31523"/>
    <cellStyle name="Comma 11 2 3 3 3 2 3" xfId="31524"/>
    <cellStyle name="Comma 11 2 3 3 3 3" xfId="31525"/>
    <cellStyle name="Comma 11 2 3 3 3 3 2" xfId="31526"/>
    <cellStyle name="Comma 11 2 3 3 3 3 3" xfId="31527"/>
    <cellStyle name="Comma 11 2 3 3 3 4" xfId="31528"/>
    <cellStyle name="Comma 11 2 3 3 3 4 2" xfId="31529"/>
    <cellStyle name="Comma 11 2 3 3 3 5" xfId="31530"/>
    <cellStyle name="Comma 11 2 3 3 3 6" xfId="31531"/>
    <cellStyle name="Comma 11 2 3 3 4" xfId="31532"/>
    <cellStyle name="Comma 11 2 3 3 4 2" xfId="31533"/>
    <cellStyle name="Comma 11 2 3 3 4 2 2" xfId="31534"/>
    <cellStyle name="Comma 11 2 3 3 4 2 3" xfId="31535"/>
    <cellStyle name="Comma 11 2 3 3 4 3" xfId="31536"/>
    <cellStyle name="Comma 11 2 3 3 4 3 2" xfId="31537"/>
    <cellStyle name="Comma 11 2 3 3 4 4" xfId="31538"/>
    <cellStyle name="Comma 11 2 3 3 4 5" xfId="31539"/>
    <cellStyle name="Comma 11 2 3 3 5" xfId="31540"/>
    <cellStyle name="Comma 11 2 3 3 5 2" xfId="31541"/>
    <cellStyle name="Comma 11 2 3 3 5 3" xfId="31542"/>
    <cellStyle name="Comma 11 2 3 3 6" xfId="31543"/>
    <cellStyle name="Comma 11 2 3 3 6 2" xfId="31544"/>
    <cellStyle name="Comma 11 2 3 3 6 3" xfId="31545"/>
    <cellStyle name="Comma 11 2 3 3 7" xfId="31546"/>
    <cellStyle name="Comma 11 2 3 3 7 2" xfId="31547"/>
    <cellStyle name="Comma 11 2 3 3 8" xfId="31548"/>
    <cellStyle name="Comma 11 2 3 3 9" xfId="31549"/>
    <cellStyle name="Comma 11 2 3 4" xfId="31550"/>
    <cellStyle name="Comma 11 2 3 4 2" xfId="31551"/>
    <cellStyle name="Comma 11 2 3 4 2 2" xfId="31552"/>
    <cellStyle name="Comma 11 2 3 4 2 2 2" xfId="31553"/>
    <cellStyle name="Comma 11 2 3 4 2 2 3" xfId="31554"/>
    <cellStyle name="Comma 11 2 3 4 2 3" xfId="31555"/>
    <cellStyle name="Comma 11 2 3 4 2 3 2" xfId="31556"/>
    <cellStyle name="Comma 11 2 3 4 2 3 3" xfId="31557"/>
    <cellStyle name="Comma 11 2 3 4 2 4" xfId="31558"/>
    <cellStyle name="Comma 11 2 3 4 2 4 2" xfId="31559"/>
    <cellStyle name="Comma 11 2 3 4 2 5" xfId="31560"/>
    <cellStyle name="Comma 11 2 3 4 2 6" xfId="31561"/>
    <cellStyle name="Comma 11 2 3 4 3" xfId="31562"/>
    <cellStyle name="Comma 11 2 3 4 3 2" xfId="31563"/>
    <cellStyle name="Comma 11 2 3 4 3 2 2" xfId="31564"/>
    <cellStyle name="Comma 11 2 3 4 3 2 3" xfId="31565"/>
    <cellStyle name="Comma 11 2 3 4 3 3" xfId="31566"/>
    <cellStyle name="Comma 11 2 3 4 3 3 2" xfId="31567"/>
    <cellStyle name="Comma 11 2 3 4 3 3 3" xfId="31568"/>
    <cellStyle name="Comma 11 2 3 4 3 4" xfId="31569"/>
    <cellStyle name="Comma 11 2 3 4 3 4 2" xfId="31570"/>
    <cellStyle name="Comma 11 2 3 4 3 5" xfId="31571"/>
    <cellStyle name="Comma 11 2 3 4 3 6" xfId="31572"/>
    <cellStyle name="Comma 11 2 3 4 4" xfId="31573"/>
    <cellStyle name="Comma 11 2 3 4 4 2" xfId="31574"/>
    <cellStyle name="Comma 11 2 3 4 4 2 2" xfId="31575"/>
    <cellStyle name="Comma 11 2 3 4 4 2 3" xfId="31576"/>
    <cellStyle name="Comma 11 2 3 4 4 3" xfId="31577"/>
    <cellStyle name="Comma 11 2 3 4 4 3 2" xfId="31578"/>
    <cellStyle name="Comma 11 2 3 4 4 4" xfId="31579"/>
    <cellStyle name="Comma 11 2 3 4 4 5" xfId="31580"/>
    <cellStyle name="Comma 11 2 3 4 5" xfId="31581"/>
    <cellStyle name="Comma 11 2 3 4 5 2" xfId="31582"/>
    <cellStyle name="Comma 11 2 3 4 5 3" xfId="31583"/>
    <cellStyle name="Comma 11 2 3 4 6" xfId="31584"/>
    <cellStyle name="Comma 11 2 3 4 6 2" xfId="31585"/>
    <cellStyle name="Comma 11 2 3 4 6 3" xfId="31586"/>
    <cellStyle name="Comma 11 2 3 4 7" xfId="31587"/>
    <cellStyle name="Comma 11 2 3 4 7 2" xfId="31588"/>
    <cellStyle name="Comma 11 2 3 4 8" xfId="31589"/>
    <cellStyle name="Comma 11 2 3 4 9" xfId="31590"/>
    <cellStyle name="Comma 11 2 3 5" xfId="31591"/>
    <cellStyle name="Comma 11 2 3 5 2" xfId="31592"/>
    <cellStyle name="Comma 11 2 3 5 2 2" xfId="31593"/>
    <cellStyle name="Comma 11 2 3 5 2 3" xfId="31594"/>
    <cellStyle name="Comma 11 2 3 5 3" xfId="31595"/>
    <cellStyle name="Comma 11 2 3 5 3 2" xfId="31596"/>
    <cellStyle name="Comma 11 2 3 5 3 3" xfId="31597"/>
    <cellStyle name="Comma 11 2 3 5 4" xfId="31598"/>
    <cellStyle name="Comma 11 2 3 5 4 2" xfId="31599"/>
    <cellStyle name="Comma 11 2 3 5 5" xfId="31600"/>
    <cellStyle name="Comma 11 2 3 5 6" xfId="31601"/>
    <cellStyle name="Comma 11 2 3 6" xfId="31602"/>
    <cellStyle name="Comma 11 2 3 6 2" xfId="31603"/>
    <cellStyle name="Comma 11 2 3 6 2 2" xfId="31604"/>
    <cellStyle name="Comma 11 2 3 6 2 3" xfId="31605"/>
    <cellStyle name="Comma 11 2 3 6 3" xfId="31606"/>
    <cellStyle name="Comma 11 2 3 6 3 2" xfId="31607"/>
    <cellStyle name="Comma 11 2 3 6 3 3" xfId="31608"/>
    <cellStyle name="Comma 11 2 3 6 4" xfId="31609"/>
    <cellStyle name="Comma 11 2 3 6 4 2" xfId="31610"/>
    <cellStyle name="Comma 11 2 3 6 5" xfId="31611"/>
    <cellStyle name="Comma 11 2 3 6 6" xfId="31612"/>
    <cellStyle name="Comma 11 2 3 7" xfId="31613"/>
    <cellStyle name="Comma 11 2 3 7 2" xfId="31614"/>
    <cellStyle name="Comma 11 2 3 7 2 2" xfId="31615"/>
    <cellStyle name="Comma 11 2 3 7 2 3" xfId="31616"/>
    <cellStyle name="Comma 11 2 3 7 3" xfId="31617"/>
    <cellStyle name="Comma 11 2 3 7 3 2" xfId="31618"/>
    <cellStyle name="Comma 11 2 3 7 4" xfId="31619"/>
    <cellStyle name="Comma 11 2 3 7 5" xfId="31620"/>
    <cellStyle name="Comma 11 2 3 8" xfId="31621"/>
    <cellStyle name="Comma 11 2 3 8 2" xfId="31622"/>
    <cellStyle name="Comma 11 2 3 8 3" xfId="31623"/>
    <cellStyle name="Comma 11 2 3 9" xfId="31624"/>
    <cellStyle name="Comma 11 2 3 9 2" xfId="31625"/>
    <cellStyle name="Comma 11 2 3 9 3" xfId="31626"/>
    <cellStyle name="Comma 11 2 4" xfId="8217"/>
    <cellStyle name="Comma 11 2 4 10" xfId="31627"/>
    <cellStyle name="Comma 11 2 4 11" xfId="31628"/>
    <cellStyle name="Comma 11 2 4 2" xfId="31629"/>
    <cellStyle name="Comma 11 2 4 2 2" xfId="31630"/>
    <cellStyle name="Comma 11 2 4 2 2 2" xfId="31631"/>
    <cellStyle name="Comma 11 2 4 2 2 2 2" xfId="31632"/>
    <cellStyle name="Comma 11 2 4 2 2 2 3" xfId="31633"/>
    <cellStyle name="Comma 11 2 4 2 2 3" xfId="31634"/>
    <cellStyle name="Comma 11 2 4 2 2 3 2" xfId="31635"/>
    <cellStyle name="Comma 11 2 4 2 2 3 3" xfId="31636"/>
    <cellStyle name="Comma 11 2 4 2 2 4" xfId="31637"/>
    <cellStyle name="Comma 11 2 4 2 2 4 2" xfId="31638"/>
    <cellStyle name="Comma 11 2 4 2 2 5" xfId="31639"/>
    <cellStyle name="Comma 11 2 4 2 2 6" xfId="31640"/>
    <cellStyle name="Comma 11 2 4 2 3" xfId="31641"/>
    <cellStyle name="Comma 11 2 4 2 3 2" xfId="31642"/>
    <cellStyle name="Comma 11 2 4 2 3 2 2" xfId="31643"/>
    <cellStyle name="Comma 11 2 4 2 3 2 3" xfId="31644"/>
    <cellStyle name="Comma 11 2 4 2 3 3" xfId="31645"/>
    <cellStyle name="Comma 11 2 4 2 3 3 2" xfId="31646"/>
    <cellStyle name="Comma 11 2 4 2 3 3 3" xfId="31647"/>
    <cellStyle name="Comma 11 2 4 2 3 4" xfId="31648"/>
    <cellStyle name="Comma 11 2 4 2 3 4 2" xfId="31649"/>
    <cellStyle name="Comma 11 2 4 2 3 5" xfId="31650"/>
    <cellStyle name="Comma 11 2 4 2 3 6" xfId="31651"/>
    <cellStyle name="Comma 11 2 4 2 4" xfId="31652"/>
    <cellStyle name="Comma 11 2 4 2 4 2" xfId="31653"/>
    <cellStyle name="Comma 11 2 4 2 4 2 2" xfId="31654"/>
    <cellStyle name="Comma 11 2 4 2 4 2 3" xfId="31655"/>
    <cellStyle name="Comma 11 2 4 2 4 3" xfId="31656"/>
    <cellStyle name="Comma 11 2 4 2 4 3 2" xfId="31657"/>
    <cellStyle name="Comma 11 2 4 2 4 4" xfId="31658"/>
    <cellStyle name="Comma 11 2 4 2 4 5" xfId="31659"/>
    <cellStyle name="Comma 11 2 4 2 5" xfId="31660"/>
    <cellStyle name="Comma 11 2 4 2 5 2" xfId="31661"/>
    <cellStyle name="Comma 11 2 4 2 5 3" xfId="31662"/>
    <cellStyle name="Comma 11 2 4 2 6" xfId="31663"/>
    <cellStyle name="Comma 11 2 4 2 6 2" xfId="31664"/>
    <cellStyle name="Comma 11 2 4 2 6 3" xfId="31665"/>
    <cellStyle name="Comma 11 2 4 2 7" xfId="31666"/>
    <cellStyle name="Comma 11 2 4 2 7 2" xfId="31667"/>
    <cellStyle name="Comma 11 2 4 2 8" xfId="31668"/>
    <cellStyle name="Comma 11 2 4 2 9" xfId="31669"/>
    <cellStyle name="Comma 11 2 4 3" xfId="31670"/>
    <cellStyle name="Comma 11 2 4 3 2" xfId="31671"/>
    <cellStyle name="Comma 11 2 4 3 2 2" xfId="31672"/>
    <cellStyle name="Comma 11 2 4 3 2 3" xfId="31673"/>
    <cellStyle name="Comma 11 2 4 3 3" xfId="31674"/>
    <cellStyle name="Comma 11 2 4 3 3 2" xfId="31675"/>
    <cellStyle name="Comma 11 2 4 3 3 3" xfId="31676"/>
    <cellStyle name="Comma 11 2 4 3 4" xfId="31677"/>
    <cellStyle name="Comma 11 2 4 3 4 2" xfId="31678"/>
    <cellStyle name="Comma 11 2 4 3 5" xfId="31679"/>
    <cellStyle name="Comma 11 2 4 3 6" xfId="31680"/>
    <cellStyle name="Comma 11 2 4 4" xfId="31681"/>
    <cellStyle name="Comma 11 2 4 4 2" xfId="31682"/>
    <cellStyle name="Comma 11 2 4 4 2 2" xfId="31683"/>
    <cellStyle name="Comma 11 2 4 4 2 3" xfId="31684"/>
    <cellStyle name="Comma 11 2 4 4 3" xfId="31685"/>
    <cellStyle name="Comma 11 2 4 4 3 2" xfId="31686"/>
    <cellStyle name="Comma 11 2 4 4 3 3" xfId="31687"/>
    <cellStyle name="Comma 11 2 4 4 4" xfId="31688"/>
    <cellStyle name="Comma 11 2 4 4 4 2" xfId="31689"/>
    <cellStyle name="Comma 11 2 4 4 5" xfId="31690"/>
    <cellStyle name="Comma 11 2 4 4 6" xfId="31691"/>
    <cellStyle name="Comma 11 2 4 5" xfId="31692"/>
    <cellStyle name="Comma 11 2 4 5 2" xfId="31693"/>
    <cellStyle name="Comma 11 2 4 5 2 2" xfId="31694"/>
    <cellStyle name="Comma 11 2 4 5 2 3" xfId="31695"/>
    <cellStyle name="Comma 11 2 4 5 3" xfId="31696"/>
    <cellStyle name="Comma 11 2 4 5 3 2" xfId="31697"/>
    <cellStyle name="Comma 11 2 4 5 4" xfId="31698"/>
    <cellStyle name="Comma 11 2 4 5 5" xfId="31699"/>
    <cellStyle name="Comma 11 2 4 6" xfId="31700"/>
    <cellStyle name="Comma 11 2 4 6 2" xfId="31701"/>
    <cellStyle name="Comma 11 2 4 6 3" xfId="31702"/>
    <cellStyle name="Comma 11 2 4 7" xfId="31703"/>
    <cellStyle name="Comma 11 2 4 7 2" xfId="31704"/>
    <cellStyle name="Comma 11 2 4 7 3" xfId="31705"/>
    <cellStyle name="Comma 11 2 4 8" xfId="31706"/>
    <cellStyle name="Comma 11 2 4 8 2" xfId="31707"/>
    <cellStyle name="Comma 11 2 4 9" xfId="31708"/>
    <cellStyle name="Comma 11 2 5" xfId="31709"/>
    <cellStyle name="Comma 11 2 5 2" xfId="31710"/>
    <cellStyle name="Comma 11 2 5 2 2" xfId="31711"/>
    <cellStyle name="Comma 11 2 5 2 2 2" xfId="31712"/>
    <cellStyle name="Comma 11 2 5 2 2 3" xfId="31713"/>
    <cellStyle name="Comma 11 2 5 2 3" xfId="31714"/>
    <cellStyle name="Comma 11 2 5 2 3 2" xfId="31715"/>
    <cellStyle name="Comma 11 2 5 2 3 3" xfId="31716"/>
    <cellStyle name="Comma 11 2 5 2 4" xfId="31717"/>
    <cellStyle name="Comma 11 2 5 2 4 2" xfId="31718"/>
    <cellStyle name="Comma 11 2 5 2 5" xfId="31719"/>
    <cellStyle name="Comma 11 2 5 2 6" xfId="31720"/>
    <cellStyle name="Comma 11 2 5 3" xfId="31721"/>
    <cellStyle name="Comma 11 2 5 3 2" xfId="31722"/>
    <cellStyle name="Comma 11 2 5 3 2 2" xfId="31723"/>
    <cellStyle name="Comma 11 2 5 3 2 3" xfId="31724"/>
    <cellStyle name="Comma 11 2 5 3 3" xfId="31725"/>
    <cellStyle name="Comma 11 2 5 3 3 2" xfId="31726"/>
    <cellStyle name="Comma 11 2 5 3 3 3" xfId="31727"/>
    <cellStyle name="Comma 11 2 5 3 4" xfId="31728"/>
    <cellStyle name="Comma 11 2 5 3 4 2" xfId="31729"/>
    <cellStyle name="Comma 11 2 5 3 5" xfId="31730"/>
    <cellStyle name="Comma 11 2 5 3 6" xfId="31731"/>
    <cellStyle name="Comma 11 2 5 4" xfId="31732"/>
    <cellStyle name="Comma 11 2 5 4 2" xfId="31733"/>
    <cellStyle name="Comma 11 2 5 4 2 2" xfId="31734"/>
    <cellStyle name="Comma 11 2 5 4 2 3" xfId="31735"/>
    <cellStyle name="Comma 11 2 5 4 3" xfId="31736"/>
    <cellStyle name="Comma 11 2 5 4 3 2" xfId="31737"/>
    <cellStyle name="Comma 11 2 5 4 4" xfId="31738"/>
    <cellStyle name="Comma 11 2 5 4 5" xfId="31739"/>
    <cellStyle name="Comma 11 2 5 5" xfId="31740"/>
    <cellStyle name="Comma 11 2 5 5 2" xfId="31741"/>
    <cellStyle name="Comma 11 2 5 5 3" xfId="31742"/>
    <cellStyle name="Comma 11 2 5 6" xfId="31743"/>
    <cellStyle name="Comma 11 2 5 6 2" xfId="31744"/>
    <cellStyle name="Comma 11 2 5 6 3" xfId="31745"/>
    <cellStyle name="Comma 11 2 5 7" xfId="31746"/>
    <cellStyle name="Comma 11 2 5 7 2" xfId="31747"/>
    <cellStyle name="Comma 11 2 5 8" xfId="31748"/>
    <cellStyle name="Comma 11 2 5 9" xfId="31749"/>
    <cellStyle name="Comma 11 2 6" xfId="31750"/>
    <cellStyle name="Comma 11 2 6 2" xfId="31751"/>
    <cellStyle name="Comma 11 2 6 2 2" xfId="31752"/>
    <cellStyle name="Comma 11 2 6 2 2 2" xfId="31753"/>
    <cellStyle name="Comma 11 2 6 2 2 3" xfId="31754"/>
    <cellStyle name="Comma 11 2 6 2 3" xfId="31755"/>
    <cellStyle name="Comma 11 2 6 2 3 2" xfId="31756"/>
    <cellStyle name="Comma 11 2 6 2 3 3" xfId="31757"/>
    <cellStyle name="Comma 11 2 6 2 4" xfId="31758"/>
    <cellStyle name="Comma 11 2 6 2 4 2" xfId="31759"/>
    <cellStyle name="Comma 11 2 6 2 5" xfId="31760"/>
    <cellStyle name="Comma 11 2 6 2 6" xfId="31761"/>
    <cellStyle name="Comma 11 2 6 3" xfId="31762"/>
    <cellStyle name="Comma 11 2 6 3 2" xfId="31763"/>
    <cellStyle name="Comma 11 2 6 3 2 2" xfId="31764"/>
    <cellStyle name="Comma 11 2 6 3 2 3" xfId="31765"/>
    <cellStyle name="Comma 11 2 6 3 3" xfId="31766"/>
    <cellStyle name="Comma 11 2 6 3 3 2" xfId="31767"/>
    <cellStyle name="Comma 11 2 6 3 3 3" xfId="31768"/>
    <cellStyle name="Comma 11 2 6 3 4" xfId="31769"/>
    <cellStyle name="Comma 11 2 6 3 4 2" xfId="31770"/>
    <cellStyle name="Comma 11 2 6 3 5" xfId="31771"/>
    <cellStyle name="Comma 11 2 6 3 6" xfId="31772"/>
    <cellStyle name="Comma 11 2 6 4" xfId="31773"/>
    <cellStyle name="Comma 11 2 6 4 2" xfId="31774"/>
    <cellStyle name="Comma 11 2 6 4 2 2" xfId="31775"/>
    <cellStyle name="Comma 11 2 6 4 2 3" xfId="31776"/>
    <cellStyle name="Comma 11 2 6 4 3" xfId="31777"/>
    <cellStyle name="Comma 11 2 6 4 3 2" xfId="31778"/>
    <cellStyle name="Comma 11 2 6 4 4" xfId="31779"/>
    <cellStyle name="Comma 11 2 6 4 5" xfId="31780"/>
    <cellStyle name="Comma 11 2 6 5" xfId="31781"/>
    <cellStyle name="Comma 11 2 6 5 2" xfId="31782"/>
    <cellStyle name="Comma 11 2 6 5 3" xfId="31783"/>
    <cellStyle name="Comma 11 2 6 6" xfId="31784"/>
    <cellStyle name="Comma 11 2 6 6 2" xfId="31785"/>
    <cellStyle name="Comma 11 2 6 6 3" xfId="31786"/>
    <cellStyle name="Comma 11 2 6 7" xfId="31787"/>
    <cellStyle name="Comma 11 2 6 7 2" xfId="31788"/>
    <cellStyle name="Comma 11 2 6 8" xfId="31789"/>
    <cellStyle name="Comma 11 2 6 9" xfId="31790"/>
    <cellStyle name="Comma 11 2 7" xfId="31791"/>
    <cellStyle name="Comma 11 2 7 2" xfId="31792"/>
    <cellStyle name="Comma 11 2 7 2 2" xfId="31793"/>
    <cellStyle name="Comma 11 2 7 2 3" xfId="31794"/>
    <cellStyle name="Comma 11 2 7 3" xfId="31795"/>
    <cellStyle name="Comma 11 2 7 3 2" xfId="31796"/>
    <cellStyle name="Comma 11 2 7 3 3" xfId="31797"/>
    <cellStyle name="Comma 11 2 7 4" xfId="31798"/>
    <cellStyle name="Comma 11 2 7 4 2" xfId="31799"/>
    <cellStyle name="Comma 11 2 7 5" xfId="31800"/>
    <cellStyle name="Comma 11 2 7 6" xfId="31801"/>
    <cellStyle name="Comma 11 2 8" xfId="31802"/>
    <cellStyle name="Comma 11 2 8 2" xfId="31803"/>
    <cellStyle name="Comma 11 2 8 2 2" xfId="31804"/>
    <cellStyle name="Comma 11 2 8 2 3" xfId="31805"/>
    <cellStyle name="Comma 11 2 8 3" xfId="31806"/>
    <cellStyle name="Comma 11 2 8 3 2" xfId="31807"/>
    <cellStyle name="Comma 11 2 8 3 3" xfId="31808"/>
    <cellStyle name="Comma 11 2 8 4" xfId="31809"/>
    <cellStyle name="Comma 11 2 8 4 2" xfId="31810"/>
    <cellStyle name="Comma 11 2 8 5" xfId="31811"/>
    <cellStyle name="Comma 11 2 8 6" xfId="31812"/>
    <cellStyle name="Comma 11 2 9" xfId="31813"/>
    <cellStyle name="Comma 11 2 9 2" xfId="31814"/>
    <cellStyle name="Comma 11 2 9 2 2" xfId="31815"/>
    <cellStyle name="Comma 11 2 9 2 3" xfId="31816"/>
    <cellStyle name="Comma 11 2 9 3" xfId="31817"/>
    <cellStyle name="Comma 11 2 9 3 2" xfId="31818"/>
    <cellStyle name="Comma 11 2 9 4" xfId="31819"/>
    <cellStyle name="Comma 11 2 9 5" xfId="31820"/>
    <cellStyle name="Comma 11 3" xfId="8218"/>
    <cellStyle name="Comma 11 3 10" xfId="31821"/>
    <cellStyle name="Comma 11 3 10 2" xfId="31822"/>
    <cellStyle name="Comma 11 3 10 3" xfId="31823"/>
    <cellStyle name="Comma 11 3 11" xfId="31824"/>
    <cellStyle name="Comma 11 3 11 2" xfId="31825"/>
    <cellStyle name="Comma 11 3 12" xfId="31826"/>
    <cellStyle name="Comma 11 3 13" xfId="31827"/>
    <cellStyle name="Comma 11 3 14" xfId="31828"/>
    <cellStyle name="Comma 11 3 2" xfId="8219"/>
    <cellStyle name="Comma 11 3 2 10" xfId="31829"/>
    <cellStyle name="Comma 11 3 2 10 2" xfId="31830"/>
    <cellStyle name="Comma 11 3 2 11" xfId="31831"/>
    <cellStyle name="Comma 11 3 2 12" xfId="31832"/>
    <cellStyle name="Comma 11 3 2 13" xfId="31833"/>
    <cellStyle name="Comma 11 3 2 2" xfId="8220"/>
    <cellStyle name="Comma 11 3 2 2 10" xfId="31834"/>
    <cellStyle name="Comma 11 3 2 2 11" xfId="31835"/>
    <cellStyle name="Comma 11 3 2 2 2" xfId="31836"/>
    <cellStyle name="Comma 11 3 2 2 2 2" xfId="31837"/>
    <cellStyle name="Comma 11 3 2 2 2 2 2" xfId="31838"/>
    <cellStyle name="Comma 11 3 2 2 2 2 2 2" xfId="31839"/>
    <cellStyle name="Comma 11 3 2 2 2 2 2 3" xfId="31840"/>
    <cellStyle name="Comma 11 3 2 2 2 2 3" xfId="31841"/>
    <cellStyle name="Comma 11 3 2 2 2 2 3 2" xfId="31842"/>
    <cellStyle name="Comma 11 3 2 2 2 2 3 3" xfId="31843"/>
    <cellStyle name="Comma 11 3 2 2 2 2 4" xfId="31844"/>
    <cellStyle name="Comma 11 3 2 2 2 2 4 2" xfId="31845"/>
    <cellStyle name="Comma 11 3 2 2 2 2 5" xfId="31846"/>
    <cellStyle name="Comma 11 3 2 2 2 2 6" xfId="31847"/>
    <cellStyle name="Comma 11 3 2 2 2 3" xfId="31848"/>
    <cellStyle name="Comma 11 3 2 2 2 3 2" xfId="31849"/>
    <cellStyle name="Comma 11 3 2 2 2 3 2 2" xfId="31850"/>
    <cellStyle name="Comma 11 3 2 2 2 3 2 3" xfId="31851"/>
    <cellStyle name="Comma 11 3 2 2 2 3 3" xfId="31852"/>
    <cellStyle name="Comma 11 3 2 2 2 3 3 2" xfId="31853"/>
    <cellStyle name="Comma 11 3 2 2 2 3 3 3" xfId="31854"/>
    <cellStyle name="Comma 11 3 2 2 2 3 4" xfId="31855"/>
    <cellStyle name="Comma 11 3 2 2 2 3 4 2" xfId="31856"/>
    <cellStyle name="Comma 11 3 2 2 2 3 5" xfId="31857"/>
    <cellStyle name="Comma 11 3 2 2 2 3 6" xfId="31858"/>
    <cellStyle name="Comma 11 3 2 2 2 4" xfId="31859"/>
    <cellStyle name="Comma 11 3 2 2 2 4 2" xfId="31860"/>
    <cellStyle name="Comma 11 3 2 2 2 4 2 2" xfId="31861"/>
    <cellStyle name="Comma 11 3 2 2 2 4 2 3" xfId="31862"/>
    <cellStyle name="Comma 11 3 2 2 2 4 3" xfId="31863"/>
    <cellStyle name="Comma 11 3 2 2 2 4 3 2" xfId="31864"/>
    <cellStyle name="Comma 11 3 2 2 2 4 4" xfId="31865"/>
    <cellStyle name="Comma 11 3 2 2 2 4 5" xfId="31866"/>
    <cellStyle name="Comma 11 3 2 2 2 5" xfId="31867"/>
    <cellStyle name="Comma 11 3 2 2 2 5 2" xfId="31868"/>
    <cellStyle name="Comma 11 3 2 2 2 5 3" xfId="31869"/>
    <cellStyle name="Comma 11 3 2 2 2 6" xfId="31870"/>
    <cellStyle name="Comma 11 3 2 2 2 6 2" xfId="31871"/>
    <cellStyle name="Comma 11 3 2 2 2 6 3" xfId="31872"/>
    <cellStyle name="Comma 11 3 2 2 2 7" xfId="31873"/>
    <cellStyle name="Comma 11 3 2 2 2 7 2" xfId="31874"/>
    <cellStyle name="Comma 11 3 2 2 2 8" xfId="31875"/>
    <cellStyle name="Comma 11 3 2 2 2 9" xfId="31876"/>
    <cellStyle name="Comma 11 3 2 2 3" xfId="31877"/>
    <cellStyle name="Comma 11 3 2 2 3 2" xfId="31878"/>
    <cellStyle name="Comma 11 3 2 2 3 2 2" xfId="31879"/>
    <cellStyle name="Comma 11 3 2 2 3 2 3" xfId="31880"/>
    <cellStyle name="Comma 11 3 2 2 3 3" xfId="31881"/>
    <cellStyle name="Comma 11 3 2 2 3 3 2" xfId="31882"/>
    <cellStyle name="Comma 11 3 2 2 3 3 3" xfId="31883"/>
    <cellStyle name="Comma 11 3 2 2 3 4" xfId="31884"/>
    <cellStyle name="Comma 11 3 2 2 3 4 2" xfId="31885"/>
    <cellStyle name="Comma 11 3 2 2 3 5" xfId="31886"/>
    <cellStyle name="Comma 11 3 2 2 3 6" xfId="31887"/>
    <cellStyle name="Comma 11 3 2 2 4" xfId="31888"/>
    <cellStyle name="Comma 11 3 2 2 4 2" xfId="31889"/>
    <cellStyle name="Comma 11 3 2 2 4 2 2" xfId="31890"/>
    <cellStyle name="Comma 11 3 2 2 4 2 3" xfId="31891"/>
    <cellStyle name="Comma 11 3 2 2 4 3" xfId="31892"/>
    <cellStyle name="Comma 11 3 2 2 4 3 2" xfId="31893"/>
    <cellStyle name="Comma 11 3 2 2 4 3 3" xfId="31894"/>
    <cellStyle name="Comma 11 3 2 2 4 4" xfId="31895"/>
    <cellStyle name="Comma 11 3 2 2 4 4 2" xfId="31896"/>
    <cellStyle name="Comma 11 3 2 2 4 5" xfId="31897"/>
    <cellStyle name="Comma 11 3 2 2 4 6" xfId="31898"/>
    <cellStyle name="Comma 11 3 2 2 5" xfId="31899"/>
    <cellStyle name="Comma 11 3 2 2 5 2" xfId="31900"/>
    <cellStyle name="Comma 11 3 2 2 5 2 2" xfId="31901"/>
    <cellStyle name="Comma 11 3 2 2 5 2 3" xfId="31902"/>
    <cellStyle name="Comma 11 3 2 2 5 3" xfId="31903"/>
    <cellStyle name="Comma 11 3 2 2 5 3 2" xfId="31904"/>
    <cellStyle name="Comma 11 3 2 2 5 4" xfId="31905"/>
    <cellStyle name="Comma 11 3 2 2 5 5" xfId="31906"/>
    <cellStyle name="Comma 11 3 2 2 6" xfId="31907"/>
    <cellStyle name="Comma 11 3 2 2 6 2" xfId="31908"/>
    <cellStyle name="Comma 11 3 2 2 6 3" xfId="31909"/>
    <cellStyle name="Comma 11 3 2 2 7" xfId="31910"/>
    <cellStyle name="Comma 11 3 2 2 7 2" xfId="31911"/>
    <cellStyle name="Comma 11 3 2 2 7 3" xfId="31912"/>
    <cellStyle name="Comma 11 3 2 2 8" xfId="31913"/>
    <cellStyle name="Comma 11 3 2 2 8 2" xfId="31914"/>
    <cellStyle name="Comma 11 3 2 2 9" xfId="31915"/>
    <cellStyle name="Comma 11 3 2 3" xfId="31916"/>
    <cellStyle name="Comma 11 3 2 3 2" xfId="31917"/>
    <cellStyle name="Comma 11 3 2 3 2 2" xfId="31918"/>
    <cellStyle name="Comma 11 3 2 3 2 2 2" xfId="31919"/>
    <cellStyle name="Comma 11 3 2 3 2 2 3" xfId="31920"/>
    <cellStyle name="Comma 11 3 2 3 2 3" xfId="31921"/>
    <cellStyle name="Comma 11 3 2 3 2 3 2" xfId="31922"/>
    <cellStyle name="Comma 11 3 2 3 2 3 3" xfId="31923"/>
    <cellStyle name="Comma 11 3 2 3 2 4" xfId="31924"/>
    <cellStyle name="Comma 11 3 2 3 2 4 2" xfId="31925"/>
    <cellStyle name="Comma 11 3 2 3 2 5" xfId="31926"/>
    <cellStyle name="Comma 11 3 2 3 2 6" xfId="31927"/>
    <cellStyle name="Comma 11 3 2 3 3" xfId="31928"/>
    <cellStyle name="Comma 11 3 2 3 3 2" xfId="31929"/>
    <cellStyle name="Comma 11 3 2 3 3 2 2" xfId="31930"/>
    <cellStyle name="Comma 11 3 2 3 3 2 3" xfId="31931"/>
    <cellStyle name="Comma 11 3 2 3 3 3" xfId="31932"/>
    <cellStyle name="Comma 11 3 2 3 3 3 2" xfId="31933"/>
    <cellStyle name="Comma 11 3 2 3 3 3 3" xfId="31934"/>
    <cellStyle name="Comma 11 3 2 3 3 4" xfId="31935"/>
    <cellStyle name="Comma 11 3 2 3 3 4 2" xfId="31936"/>
    <cellStyle name="Comma 11 3 2 3 3 5" xfId="31937"/>
    <cellStyle name="Comma 11 3 2 3 3 6" xfId="31938"/>
    <cellStyle name="Comma 11 3 2 3 4" xfId="31939"/>
    <cellStyle name="Comma 11 3 2 3 4 2" xfId="31940"/>
    <cellStyle name="Comma 11 3 2 3 4 2 2" xfId="31941"/>
    <cellStyle name="Comma 11 3 2 3 4 2 3" xfId="31942"/>
    <cellStyle name="Comma 11 3 2 3 4 3" xfId="31943"/>
    <cellStyle name="Comma 11 3 2 3 4 3 2" xfId="31944"/>
    <cellStyle name="Comma 11 3 2 3 4 4" xfId="31945"/>
    <cellStyle name="Comma 11 3 2 3 4 5" xfId="31946"/>
    <cellStyle name="Comma 11 3 2 3 5" xfId="31947"/>
    <cellStyle name="Comma 11 3 2 3 5 2" xfId="31948"/>
    <cellStyle name="Comma 11 3 2 3 5 3" xfId="31949"/>
    <cellStyle name="Comma 11 3 2 3 6" xfId="31950"/>
    <cellStyle name="Comma 11 3 2 3 6 2" xfId="31951"/>
    <cellStyle name="Comma 11 3 2 3 6 3" xfId="31952"/>
    <cellStyle name="Comma 11 3 2 3 7" xfId="31953"/>
    <cellStyle name="Comma 11 3 2 3 7 2" xfId="31954"/>
    <cellStyle name="Comma 11 3 2 3 8" xfId="31955"/>
    <cellStyle name="Comma 11 3 2 3 9" xfId="31956"/>
    <cellStyle name="Comma 11 3 2 4" xfId="31957"/>
    <cellStyle name="Comma 11 3 2 4 2" xfId="31958"/>
    <cellStyle name="Comma 11 3 2 4 2 2" xfId="31959"/>
    <cellStyle name="Comma 11 3 2 4 2 2 2" xfId="31960"/>
    <cellStyle name="Comma 11 3 2 4 2 2 3" xfId="31961"/>
    <cellStyle name="Comma 11 3 2 4 2 3" xfId="31962"/>
    <cellStyle name="Comma 11 3 2 4 2 3 2" xfId="31963"/>
    <cellStyle name="Comma 11 3 2 4 2 3 3" xfId="31964"/>
    <cellStyle name="Comma 11 3 2 4 2 4" xfId="31965"/>
    <cellStyle name="Comma 11 3 2 4 2 4 2" xfId="31966"/>
    <cellStyle name="Comma 11 3 2 4 2 5" xfId="31967"/>
    <cellStyle name="Comma 11 3 2 4 2 6" xfId="31968"/>
    <cellStyle name="Comma 11 3 2 4 3" xfId="31969"/>
    <cellStyle name="Comma 11 3 2 4 3 2" xfId="31970"/>
    <cellStyle name="Comma 11 3 2 4 3 2 2" xfId="31971"/>
    <cellStyle name="Comma 11 3 2 4 3 2 3" xfId="31972"/>
    <cellStyle name="Comma 11 3 2 4 3 3" xfId="31973"/>
    <cellStyle name="Comma 11 3 2 4 3 3 2" xfId="31974"/>
    <cellStyle name="Comma 11 3 2 4 3 3 3" xfId="31975"/>
    <cellStyle name="Comma 11 3 2 4 3 4" xfId="31976"/>
    <cellStyle name="Comma 11 3 2 4 3 4 2" xfId="31977"/>
    <cellStyle name="Comma 11 3 2 4 3 5" xfId="31978"/>
    <cellStyle name="Comma 11 3 2 4 3 6" xfId="31979"/>
    <cellStyle name="Comma 11 3 2 4 4" xfId="31980"/>
    <cellStyle name="Comma 11 3 2 4 4 2" xfId="31981"/>
    <cellStyle name="Comma 11 3 2 4 4 2 2" xfId="31982"/>
    <cellStyle name="Comma 11 3 2 4 4 2 3" xfId="31983"/>
    <cellStyle name="Comma 11 3 2 4 4 3" xfId="31984"/>
    <cellStyle name="Comma 11 3 2 4 4 3 2" xfId="31985"/>
    <cellStyle name="Comma 11 3 2 4 4 4" xfId="31986"/>
    <cellStyle name="Comma 11 3 2 4 4 5" xfId="31987"/>
    <cellStyle name="Comma 11 3 2 4 5" xfId="31988"/>
    <cellStyle name="Comma 11 3 2 4 5 2" xfId="31989"/>
    <cellStyle name="Comma 11 3 2 4 5 3" xfId="31990"/>
    <cellStyle name="Comma 11 3 2 4 6" xfId="31991"/>
    <cellStyle name="Comma 11 3 2 4 6 2" xfId="31992"/>
    <cellStyle name="Comma 11 3 2 4 6 3" xfId="31993"/>
    <cellStyle name="Comma 11 3 2 4 7" xfId="31994"/>
    <cellStyle name="Comma 11 3 2 4 7 2" xfId="31995"/>
    <cellStyle name="Comma 11 3 2 4 8" xfId="31996"/>
    <cellStyle name="Comma 11 3 2 4 9" xfId="31997"/>
    <cellStyle name="Comma 11 3 2 5" xfId="31998"/>
    <cellStyle name="Comma 11 3 2 5 2" xfId="31999"/>
    <cellStyle name="Comma 11 3 2 5 2 2" xfId="32000"/>
    <cellStyle name="Comma 11 3 2 5 2 3" xfId="32001"/>
    <cellStyle name="Comma 11 3 2 5 3" xfId="32002"/>
    <cellStyle name="Comma 11 3 2 5 3 2" xfId="32003"/>
    <cellStyle name="Comma 11 3 2 5 3 3" xfId="32004"/>
    <cellStyle name="Comma 11 3 2 5 4" xfId="32005"/>
    <cellStyle name="Comma 11 3 2 5 4 2" xfId="32006"/>
    <cellStyle name="Comma 11 3 2 5 5" xfId="32007"/>
    <cellStyle name="Comma 11 3 2 5 6" xfId="32008"/>
    <cellStyle name="Comma 11 3 2 6" xfId="32009"/>
    <cellStyle name="Comma 11 3 2 6 2" xfId="32010"/>
    <cellStyle name="Comma 11 3 2 6 2 2" xfId="32011"/>
    <cellStyle name="Comma 11 3 2 6 2 3" xfId="32012"/>
    <cellStyle name="Comma 11 3 2 6 3" xfId="32013"/>
    <cellStyle name="Comma 11 3 2 6 3 2" xfId="32014"/>
    <cellStyle name="Comma 11 3 2 6 3 3" xfId="32015"/>
    <cellStyle name="Comma 11 3 2 6 4" xfId="32016"/>
    <cellStyle name="Comma 11 3 2 6 4 2" xfId="32017"/>
    <cellStyle name="Comma 11 3 2 6 5" xfId="32018"/>
    <cellStyle name="Comma 11 3 2 6 6" xfId="32019"/>
    <cellStyle name="Comma 11 3 2 7" xfId="32020"/>
    <cellStyle name="Comma 11 3 2 7 2" xfId="32021"/>
    <cellStyle name="Comma 11 3 2 7 2 2" xfId="32022"/>
    <cellStyle name="Comma 11 3 2 7 2 3" xfId="32023"/>
    <cellStyle name="Comma 11 3 2 7 3" xfId="32024"/>
    <cellStyle name="Comma 11 3 2 7 3 2" xfId="32025"/>
    <cellStyle name="Comma 11 3 2 7 4" xfId="32026"/>
    <cellStyle name="Comma 11 3 2 7 5" xfId="32027"/>
    <cellStyle name="Comma 11 3 2 8" xfId="32028"/>
    <cellStyle name="Comma 11 3 2 8 2" xfId="32029"/>
    <cellStyle name="Comma 11 3 2 8 3" xfId="32030"/>
    <cellStyle name="Comma 11 3 2 9" xfId="32031"/>
    <cellStyle name="Comma 11 3 2 9 2" xfId="32032"/>
    <cellStyle name="Comma 11 3 2 9 3" xfId="32033"/>
    <cellStyle name="Comma 11 3 3" xfId="8221"/>
    <cellStyle name="Comma 11 3 3 10" xfId="32034"/>
    <cellStyle name="Comma 11 3 3 11" xfId="32035"/>
    <cellStyle name="Comma 11 3 3 2" xfId="32036"/>
    <cellStyle name="Comma 11 3 3 2 2" xfId="32037"/>
    <cellStyle name="Comma 11 3 3 2 2 2" xfId="32038"/>
    <cellStyle name="Comma 11 3 3 2 2 2 2" xfId="32039"/>
    <cellStyle name="Comma 11 3 3 2 2 2 3" xfId="32040"/>
    <cellStyle name="Comma 11 3 3 2 2 3" xfId="32041"/>
    <cellStyle name="Comma 11 3 3 2 2 3 2" xfId="32042"/>
    <cellStyle name="Comma 11 3 3 2 2 3 3" xfId="32043"/>
    <cellStyle name="Comma 11 3 3 2 2 4" xfId="32044"/>
    <cellStyle name="Comma 11 3 3 2 2 4 2" xfId="32045"/>
    <cellStyle name="Comma 11 3 3 2 2 5" xfId="32046"/>
    <cellStyle name="Comma 11 3 3 2 2 6" xfId="32047"/>
    <cellStyle name="Comma 11 3 3 2 3" xfId="32048"/>
    <cellStyle name="Comma 11 3 3 2 3 2" xfId="32049"/>
    <cellStyle name="Comma 11 3 3 2 3 2 2" xfId="32050"/>
    <cellStyle name="Comma 11 3 3 2 3 2 3" xfId="32051"/>
    <cellStyle name="Comma 11 3 3 2 3 3" xfId="32052"/>
    <cellStyle name="Comma 11 3 3 2 3 3 2" xfId="32053"/>
    <cellStyle name="Comma 11 3 3 2 3 3 3" xfId="32054"/>
    <cellStyle name="Comma 11 3 3 2 3 4" xfId="32055"/>
    <cellStyle name="Comma 11 3 3 2 3 4 2" xfId="32056"/>
    <cellStyle name="Comma 11 3 3 2 3 5" xfId="32057"/>
    <cellStyle name="Comma 11 3 3 2 3 6" xfId="32058"/>
    <cellStyle name="Comma 11 3 3 2 4" xfId="32059"/>
    <cellStyle name="Comma 11 3 3 2 4 2" xfId="32060"/>
    <cellStyle name="Comma 11 3 3 2 4 2 2" xfId="32061"/>
    <cellStyle name="Comma 11 3 3 2 4 2 3" xfId="32062"/>
    <cellStyle name="Comma 11 3 3 2 4 3" xfId="32063"/>
    <cellStyle name="Comma 11 3 3 2 4 3 2" xfId="32064"/>
    <cellStyle name="Comma 11 3 3 2 4 4" xfId="32065"/>
    <cellStyle name="Comma 11 3 3 2 4 5" xfId="32066"/>
    <cellStyle name="Comma 11 3 3 2 5" xfId="32067"/>
    <cellStyle name="Comma 11 3 3 2 5 2" xfId="32068"/>
    <cellStyle name="Comma 11 3 3 2 5 3" xfId="32069"/>
    <cellStyle name="Comma 11 3 3 2 6" xfId="32070"/>
    <cellStyle name="Comma 11 3 3 2 6 2" xfId="32071"/>
    <cellStyle name="Comma 11 3 3 2 6 3" xfId="32072"/>
    <cellStyle name="Comma 11 3 3 2 7" xfId="32073"/>
    <cellStyle name="Comma 11 3 3 2 7 2" xfId="32074"/>
    <cellStyle name="Comma 11 3 3 2 8" xfId="32075"/>
    <cellStyle name="Comma 11 3 3 2 9" xfId="32076"/>
    <cellStyle name="Comma 11 3 3 3" xfId="32077"/>
    <cellStyle name="Comma 11 3 3 3 2" xfId="32078"/>
    <cellStyle name="Comma 11 3 3 3 2 2" xfId="32079"/>
    <cellStyle name="Comma 11 3 3 3 2 3" xfId="32080"/>
    <cellStyle name="Comma 11 3 3 3 3" xfId="32081"/>
    <cellStyle name="Comma 11 3 3 3 3 2" xfId="32082"/>
    <cellStyle name="Comma 11 3 3 3 3 3" xfId="32083"/>
    <cellStyle name="Comma 11 3 3 3 4" xfId="32084"/>
    <cellStyle name="Comma 11 3 3 3 4 2" xfId="32085"/>
    <cellStyle name="Comma 11 3 3 3 5" xfId="32086"/>
    <cellStyle name="Comma 11 3 3 3 6" xfId="32087"/>
    <cellStyle name="Comma 11 3 3 4" xfId="32088"/>
    <cellStyle name="Comma 11 3 3 4 2" xfId="32089"/>
    <cellStyle name="Comma 11 3 3 4 2 2" xfId="32090"/>
    <cellStyle name="Comma 11 3 3 4 2 3" xfId="32091"/>
    <cellStyle name="Comma 11 3 3 4 3" xfId="32092"/>
    <cellStyle name="Comma 11 3 3 4 3 2" xfId="32093"/>
    <cellStyle name="Comma 11 3 3 4 3 3" xfId="32094"/>
    <cellStyle name="Comma 11 3 3 4 4" xfId="32095"/>
    <cellStyle name="Comma 11 3 3 4 4 2" xfId="32096"/>
    <cellStyle name="Comma 11 3 3 4 5" xfId="32097"/>
    <cellStyle name="Comma 11 3 3 4 6" xfId="32098"/>
    <cellStyle name="Comma 11 3 3 5" xfId="32099"/>
    <cellStyle name="Comma 11 3 3 5 2" xfId="32100"/>
    <cellStyle name="Comma 11 3 3 5 2 2" xfId="32101"/>
    <cellStyle name="Comma 11 3 3 5 2 3" xfId="32102"/>
    <cellStyle name="Comma 11 3 3 5 3" xfId="32103"/>
    <cellStyle name="Comma 11 3 3 5 3 2" xfId="32104"/>
    <cellStyle name="Comma 11 3 3 5 4" xfId="32105"/>
    <cellStyle name="Comma 11 3 3 5 5" xfId="32106"/>
    <cellStyle name="Comma 11 3 3 6" xfId="32107"/>
    <cellStyle name="Comma 11 3 3 6 2" xfId="32108"/>
    <cellStyle name="Comma 11 3 3 6 3" xfId="32109"/>
    <cellStyle name="Comma 11 3 3 7" xfId="32110"/>
    <cellStyle name="Comma 11 3 3 7 2" xfId="32111"/>
    <cellStyle name="Comma 11 3 3 7 3" xfId="32112"/>
    <cellStyle name="Comma 11 3 3 8" xfId="32113"/>
    <cellStyle name="Comma 11 3 3 8 2" xfId="32114"/>
    <cellStyle name="Comma 11 3 3 9" xfId="32115"/>
    <cellStyle name="Comma 11 3 4" xfId="32116"/>
    <cellStyle name="Comma 11 3 4 2" xfId="32117"/>
    <cellStyle name="Comma 11 3 4 2 2" xfId="32118"/>
    <cellStyle name="Comma 11 3 4 2 2 2" xfId="32119"/>
    <cellStyle name="Comma 11 3 4 2 2 3" xfId="32120"/>
    <cellStyle name="Comma 11 3 4 2 3" xfId="32121"/>
    <cellStyle name="Comma 11 3 4 2 3 2" xfId="32122"/>
    <cellStyle name="Comma 11 3 4 2 3 3" xfId="32123"/>
    <cellStyle name="Comma 11 3 4 2 4" xfId="32124"/>
    <cellStyle name="Comma 11 3 4 2 4 2" xfId="32125"/>
    <cellStyle name="Comma 11 3 4 2 5" xfId="32126"/>
    <cellStyle name="Comma 11 3 4 2 6" xfId="32127"/>
    <cellStyle name="Comma 11 3 4 3" xfId="32128"/>
    <cellStyle name="Comma 11 3 4 3 2" xfId="32129"/>
    <cellStyle name="Comma 11 3 4 3 2 2" xfId="32130"/>
    <cellStyle name="Comma 11 3 4 3 2 3" xfId="32131"/>
    <cellStyle name="Comma 11 3 4 3 3" xfId="32132"/>
    <cellStyle name="Comma 11 3 4 3 3 2" xfId="32133"/>
    <cellStyle name="Comma 11 3 4 3 3 3" xfId="32134"/>
    <cellStyle name="Comma 11 3 4 3 4" xfId="32135"/>
    <cellStyle name="Comma 11 3 4 3 4 2" xfId="32136"/>
    <cellStyle name="Comma 11 3 4 3 5" xfId="32137"/>
    <cellStyle name="Comma 11 3 4 3 6" xfId="32138"/>
    <cellStyle name="Comma 11 3 4 4" xfId="32139"/>
    <cellStyle name="Comma 11 3 4 4 2" xfId="32140"/>
    <cellStyle name="Comma 11 3 4 4 2 2" xfId="32141"/>
    <cellStyle name="Comma 11 3 4 4 2 3" xfId="32142"/>
    <cellStyle name="Comma 11 3 4 4 3" xfId="32143"/>
    <cellStyle name="Comma 11 3 4 4 3 2" xfId="32144"/>
    <cellStyle name="Comma 11 3 4 4 4" xfId="32145"/>
    <cellStyle name="Comma 11 3 4 4 5" xfId="32146"/>
    <cellStyle name="Comma 11 3 4 5" xfId="32147"/>
    <cellStyle name="Comma 11 3 4 5 2" xfId="32148"/>
    <cellStyle name="Comma 11 3 4 5 3" xfId="32149"/>
    <cellStyle name="Comma 11 3 4 6" xfId="32150"/>
    <cellStyle name="Comma 11 3 4 6 2" xfId="32151"/>
    <cellStyle name="Comma 11 3 4 6 3" xfId="32152"/>
    <cellStyle name="Comma 11 3 4 7" xfId="32153"/>
    <cellStyle name="Comma 11 3 4 7 2" xfId="32154"/>
    <cellStyle name="Comma 11 3 4 8" xfId="32155"/>
    <cellStyle name="Comma 11 3 4 9" xfId="32156"/>
    <cellStyle name="Comma 11 3 5" xfId="32157"/>
    <cellStyle name="Comma 11 3 5 2" xfId="32158"/>
    <cellStyle name="Comma 11 3 5 2 2" xfId="32159"/>
    <cellStyle name="Comma 11 3 5 2 2 2" xfId="32160"/>
    <cellStyle name="Comma 11 3 5 2 2 3" xfId="32161"/>
    <cellStyle name="Comma 11 3 5 2 3" xfId="32162"/>
    <cellStyle name="Comma 11 3 5 2 3 2" xfId="32163"/>
    <cellStyle name="Comma 11 3 5 2 3 3" xfId="32164"/>
    <cellStyle name="Comma 11 3 5 2 4" xfId="32165"/>
    <cellStyle name="Comma 11 3 5 2 4 2" xfId="32166"/>
    <cellStyle name="Comma 11 3 5 2 5" xfId="32167"/>
    <cellStyle name="Comma 11 3 5 2 6" xfId="32168"/>
    <cellStyle name="Comma 11 3 5 3" xfId="32169"/>
    <cellStyle name="Comma 11 3 5 3 2" xfId="32170"/>
    <cellStyle name="Comma 11 3 5 3 2 2" xfId="32171"/>
    <cellStyle name="Comma 11 3 5 3 2 3" xfId="32172"/>
    <cellStyle name="Comma 11 3 5 3 3" xfId="32173"/>
    <cellStyle name="Comma 11 3 5 3 3 2" xfId="32174"/>
    <cellStyle name="Comma 11 3 5 3 3 3" xfId="32175"/>
    <cellStyle name="Comma 11 3 5 3 4" xfId="32176"/>
    <cellStyle name="Comma 11 3 5 3 4 2" xfId="32177"/>
    <cellStyle name="Comma 11 3 5 3 5" xfId="32178"/>
    <cellStyle name="Comma 11 3 5 3 6" xfId="32179"/>
    <cellStyle name="Comma 11 3 5 4" xfId="32180"/>
    <cellStyle name="Comma 11 3 5 4 2" xfId="32181"/>
    <cellStyle name="Comma 11 3 5 4 2 2" xfId="32182"/>
    <cellStyle name="Comma 11 3 5 4 2 3" xfId="32183"/>
    <cellStyle name="Comma 11 3 5 4 3" xfId="32184"/>
    <cellStyle name="Comma 11 3 5 4 3 2" xfId="32185"/>
    <cellStyle name="Comma 11 3 5 4 4" xfId="32186"/>
    <cellStyle name="Comma 11 3 5 4 5" xfId="32187"/>
    <cellStyle name="Comma 11 3 5 5" xfId="32188"/>
    <cellStyle name="Comma 11 3 5 5 2" xfId="32189"/>
    <cellStyle name="Comma 11 3 5 5 3" xfId="32190"/>
    <cellStyle name="Comma 11 3 5 6" xfId="32191"/>
    <cellStyle name="Comma 11 3 5 6 2" xfId="32192"/>
    <cellStyle name="Comma 11 3 5 6 3" xfId="32193"/>
    <cellStyle name="Comma 11 3 5 7" xfId="32194"/>
    <cellStyle name="Comma 11 3 5 7 2" xfId="32195"/>
    <cellStyle name="Comma 11 3 5 8" xfId="32196"/>
    <cellStyle name="Comma 11 3 5 9" xfId="32197"/>
    <cellStyle name="Comma 11 3 6" xfId="32198"/>
    <cellStyle name="Comma 11 3 6 2" xfId="32199"/>
    <cellStyle name="Comma 11 3 6 2 2" xfId="32200"/>
    <cellStyle name="Comma 11 3 6 2 3" xfId="32201"/>
    <cellStyle name="Comma 11 3 6 3" xfId="32202"/>
    <cellStyle name="Comma 11 3 6 3 2" xfId="32203"/>
    <cellStyle name="Comma 11 3 6 3 3" xfId="32204"/>
    <cellStyle name="Comma 11 3 6 4" xfId="32205"/>
    <cellStyle name="Comma 11 3 6 4 2" xfId="32206"/>
    <cellStyle name="Comma 11 3 6 5" xfId="32207"/>
    <cellStyle name="Comma 11 3 6 6" xfId="32208"/>
    <cellStyle name="Comma 11 3 7" xfId="32209"/>
    <cellStyle name="Comma 11 3 7 2" xfId="32210"/>
    <cellStyle name="Comma 11 3 7 2 2" xfId="32211"/>
    <cellStyle name="Comma 11 3 7 2 3" xfId="32212"/>
    <cellStyle name="Comma 11 3 7 3" xfId="32213"/>
    <cellStyle name="Comma 11 3 7 3 2" xfId="32214"/>
    <cellStyle name="Comma 11 3 7 3 3" xfId="32215"/>
    <cellStyle name="Comma 11 3 7 4" xfId="32216"/>
    <cellStyle name="Comma 11 3 7 4 2" xfId="32217"/>
    <cellStyle name="Comma 11 3 7 5" xfId="32218"/>
    <cellStyle name="Comma 11 3 7 6" xfId="32219"/>
    <cellStyle name="Comma 11 3 8" xfId="32220"/>
    <cellStyle name="Comma 11 3 8 2" xfId="32221"/>
    <cellStyle name="Comma 11 3 8 2 2" xfId="32222"/>
    <cellStyle name="Comma 11 3 8 2 3" xfId="32223"/>
    <cellStyle name="Comma 11 3 8 3" xfId="32224"/>
    <cellStyle name="Comma 11 3 8 3 2" xfId="32225"/>
    <cellStyle name="Comma 11 3 8 4" xfId="32226"/>
    <cellStyle name="Comma 11 3 8 5" xfId="32227"/>
    <cellStyle name="Comma 11 3 9" xfId="32228"/>
    <cellStyle name="Comma 11 3 9 2" xfId="32229"/>
    <cellStyle name="Comma 11 3 9 3" xfId="32230"/>
    <cellStyle name="Comma 11 4" xfId="8222"/>
    <cellStyle name="Comma 11 4 10" xfId="32231"/>
    <cellStyle name="Comma 11 4 10 2" xfId="32232"/>
    <cellStyle name="Comma 11 4 11" xfId="32233"/>
    <cellStyle name="Comma 11 4 12" xfId="32234"/>
    <cellStyle name="Comma 11 4 13" xfId="32235"/>
    <cellStyle name="Comma 11 4 2" xfId="8223"/>
    <cellStyle name="Comma 11 4 2 10" xfId="32236"/>
    <cellStyle name="Comma 11 4 2 11" xfId="32237"/>
    <cellStyle name="Comma 11 4 2 2" xfId="32238"/>
    <cellStyle name="Comma 11 4 2 2 2" xfId="32239"/>
    <cellStyle name="Comma 11 4 2 2 2 2" xfId="32240"/>
    <cellStyle name="Comma 11 4 2 2 2 2 2" xfId="32241"/>
    <cellStyle name="Comma 11 4 2 2 2 2 3" xfId="32242"/>
    <cellStyle name="Comma 11 4 2 2 2 3" xfId="32243"/>
    <cellStyle name="Comma 11 4 2 2 2 3 2" xfId="32244"/>
    <cellStyle name="Comma 11 4 2 2 2 3 3" xfId="32245"/>
    <cellStyle name="Comma 11 4 2 2 2 4" xfId="32246"/>
    <cellStyle name="Comma 11 4 2 2 2 4 2" xfId="32247"/>
    <cellStyle name="Comma 11 4 2 2 2 5" xfId="32248"/>
    <cellStyle name="Comma 11 4 2 2 2 6" xfId="32249"/>
    <cellStyle name="Comma 11 4 2 2 3" xfId="32250"/>
    <cellStyle name="Comma 11 4 2 2 3 2" xfId="32251"/>
    <cellStyle name="Comma 11 4 2 2 3 2 2" xfId="32252"/>
    <cellStyle name="Comma 11 4 2 2 3 2 3" xfId="32253"/>
    <cellStyle name="Comma 11 4 2 2 3 3" xfId="32254"/>
    <cellStyle name="Comma 11 4 2 2 3 3 2" xfId="32255"/>
    <cellStyle name="Comma 11 4 2 2 3 3 3" xfId="32256"/>
    <cellStyle name="Comma 11 4 2 2 3 4" xfId="32257"/>
    <cellStyle name="Comma 11 4 2 2 3 4 2" xfId="32258"/>
    <cellStyle name="Comma 11 4 2 2 3 5" xfId="32259"/>
    <cellStyle name="Comma 11 4 2 2 3 6" xfId="32260"/>
    <cellStyle name="Comma 11 4 2 2 4" xfId="32261"/>
    <cellStyle name="Comma 11 4 2 2 4 2" xfId="32262"/>
    <cellStyle name="Comma 11 4 2 2 4 2 2" xfId="32263"/>
    <cellStyle name="Comma 11 4 2 2 4 2 3" xfId="32264"/>
    <cellStyle name="Comma 11 4 2 2 4 3" xfId="32265"/>
    <cellStyle name="Comma 11 4 2 2 4 3 2" xfId="32266"/>
    <cellStyle name="Comma 11 4 2 2 4 4" xfId="32267"/>
    <cellStyle name="Comma 11 4 2 2 4 5" xfId="32268"/>
    <cellStyle name="Comma 11 4 2 2 5" xfId="32269"/>
    <cellStyle name="Comma 11 4 2 2 5 2" xfId="32270"/>
    <cellStyle name="Comma 11 4 2 2 5 3" xfId="32271"/>
    <cellStyle name="Comma 11 4 2 2 6" xfId="32272"/>
    <cellStyle name="Comma 11 4 2 2 6 2" xfId="32273"/>
    <cellStyle name="Comma 11 4 2 2 6 3" xfId="32274"/>
    <cellStyle name="Comma 11 4 2 2 7" xfId="32275"/>
    <cellStyle name="Comma 11 4 2 2 7 2" xfId="32276"/>
    <cellStyle name="Comma 11 4 2 2 8" xfId="32277"/>
    <cellStyle name="Comma 11 4 2 2 9" xfId="32278"/>
    <cellStyle name="Comma 11 4 2 3" xfId="32279"/>
    <cellStyle name="Comma 11 4 2 3 2" xfId="32280"/>
    <cellStyle name="Comma 11 4 2 3 2 2" xfId="32281"/>
    <cellStyle name="Comma 11 4 2 3 2 3" xfId="32282"/>
    <cellStyle name="Comma 11 4 2 3 3" xfId="32283"/>
    <cellStyle name="Comma 11 4 2 3 3 2" xfId="32284"/>
    <cellStyle name="Comma 11 4 2 3 3 3" xfId="32285"/>
    <cellStyle name="Comma 11 4 2 3 4" xfId="32286"/>
    <cellStyle name="Comma 11 4 2 3 4 2" xfId="32287"/>
    <cellStyle name="Comma 11 4 2 3 5" xfId="32288"/>
    <cellStyle name="Comma 11 4 2 3 6" xfId="32289"/>
    <cellStyle name="Comma 11 4 2 4" xfId="32290"/>
    <cellStyle name="Comma 11 4 2 4 2" xfId="32291"/>
    <cellStyle name="Comma 11 4 2 4 2 2" xfId="32292"/>
    <cellStyle name="Comma 11 4 2 4 2 3" xfId="32293"/>
    <cellStyle name="Comma 11 4 2 4 3" xfId="32294"/>
    <cellStyle name="Comma 11 4 2 4 3 2" xfId="32295"/>
    <cellStyle name="Comma 11 4 2 4 3 3" xfId="32296"/>
    <cellStyle name="Comma 11 4 2 4 4" xfId="32297"/>
    <cellStyle name="Comma 11 4 2 4 4 2" xfId="32298"/>
    <cellStyle name="Comma 11 4 2 4 5" xfId="32299"/>
    <cellStyle name="Comma 11 4 2 4 6" xfId="32300"/>
    <cellStyle name="Comma 11 4 2 5" xfId="32301"/>
    <cellStyle name="Comma 11 4 2 5 2" xfId="32302"/>
    <cellStyle name="Comma 11 4 2 5 2 2" xfId="32303"/>
    <cellStyle name="Comma 11 4 2 5 2 3" xfId="32304"/>
    <cellStyle name="Comma 11 4 2 5 3" xfId="32305"/>
    <cellStyle name="Comma 11 4 2 5 3 2" xfId="32306"/>
    <cellStyle name="Comma 11 4 2 5 4" xfId="32307"/>
    <cellStyle name="Comma 11 4 2 5 5" xfId="32308"/>
    <cellStyle name="Comma 11 4 2 6" xfId="32309"/>
    <cellStyle name="Comma 11 4 2 6 2" xfId="32310"/>
    <cellStyle name="Comma 11 4 2 6 3" xfId="32311"/>
    <cellStyle name="Comma 11 4 2 7" xfId="32312"/>
    <cellStyle name="Comma 11 4 2 7 2" xfId="32313"/>
    <cellStyle name="Comma 11 4 2 7 3" xfId="32314"/>
    <cellStyle name="Comma 11 4 2 8" xfId="32315"/>
    <cellStyle name="Comma 11 4 2 8 2" xfId="32316"/>
    <cellStyle name="Comma 11 4 2 9" xfId="32317"/>
    <cellStyle name="Comma 11 4 3" xfId="32318"/>
    <cellStyle name="Comma 11 4 3 2" xfId="32319"/>
    <cellStyle name="Comma 11 4 3 2 2" xfId="32320"/>
    <cellStyle name="Comma 11 4 3 2 2 2" xfId="32321"/>
    <cellStyle name="Comma 11 4 3 2 2 3" xfId="32322"/>
    <cellStyle name="Comma 11 4 3 2 3" xfId="32323"/>
    <cellStyle name="Comma 11 4 3 2 3 2" xfId="32324"/>
    <cellStyle name="Comma 11 4 3 2 3 3" xfId="32325"/>
    <cellStyle name="Comma 11 4 3 2 4" xfId="32326"/>
    <cellStyle name="Comma 11 4 3 2 4 2" xfId="32327"/>
    <cellStyle name="Comma 11 4 3 2 5" xfId="32328"/>
    <cellStyle name="Comma 11 4 3 2 6" xfId="32329"/>
    <cellStyle name="Comma 11 4 3 3" xfId="32330"/>
    <cellStyle name="Comma 11 4 3 3 2" xfId="32331"/>
    <cellStyle name="Comma 11 4 3 3 2 2" xfId="32332"/>
    <cellStyle name="Comma 11 4 3 3 2 3" xfId="32333"/>
    <cellStyle name="Comma 11 4 3 3 3" xfId="32334"/>
    <cellStyle name="Comma 11 4 3 3 3 2" xfId="32335"/>
    <cellStyle name="Comma 11 4 3 3 3 3" xfId="32336"/>
    <cellStyle name="Comma 11 4 3 3 4" xfId="32337"/>
    <cellStyle name="Comma 11 4 3 3 4 2" xfId="32338"/>
    <cellStyle name="Comma 11 4 3 3 5" xfId="32339"/>
    <cellStyle name="Comma 11 4 3 3 6" xfId="32340"/>
    <cellStyle name="Comma 11 4 3 4" xfId="32341"/>
    <cellStyle name="Comma 11 4 3 4 2" xfId="32342"/>
    <cellStyle name="Comma 11 4 3 4 2 2" xfId="32343"/>
    <cellStyle name="Comma 11 4 3 4 2 3" xfId="32344"/>
    <cellStyle name="Comma 11 4 3 4 3" xfId="32345"/>
    <cellStyle name="Comma 11 4 3 4 3 2" xfId="32346"/>
    <cellStyle name="Comma 11 4 3 4 4" xfId="32347"/>
    <cellStyle name="Comma 11 4 3 4 5" xfId="32348"/>
    <cellStyle name="Comma 11 4 3 5" xfId="32349"/>
    <cellStyle name="Comma 11 4 3 5 2" xfId="32350"/>
    <cellStyle name="Comma 11 4 3 5 3" xfId="32351"/>
    <cellStyle name="Comma 11 4 3 6" xfId="32352"/>
    <cellStyle name="Comma 11 4 3 6 2" xfId="32353"/>
    <cellStyle name="Comma 11 4 3 6 3" xfId="32354"/>
    <cellStyle name="Comma 11 4 3 7" xfId="32355"/>
    <cellStyle name="Comma 11 4 3 7 2" xfId="32356"/>
    <cellStyle name="Comma 11 4 3 8" xfId="32357"/>
    <cellStyle name="Comma 11 4 3 9" xfId="32358"/>
    <cellStyle name="Comma 11 4 4" xfId="32359"/>
    <cellStyle name="Comma 11 4 4 2" xfId="32360"/>
    <cellStyle name="Comma 11 4 4 2 2" xfId="32361"/>
    <cellStyle name="Comma 11 4 4 2 2 2" xfId="32362"/>
    <cellStyle name="Comma 11 4 4 2 2 3" xfId="32363"/>
    <cellStyle name="Comma 11 4 4 2 3" xfId="32364"/>
    <cellStyle name="Comma 11 4 4 2 3 2" xfId="32365"/>
    <cellStyle name="Comma 11 4 4 2 3 3" xfId="32366"/>
    <cellStyle name="Comma 11 4 4 2 4" xfId="32367"/>
    <cellStyle name="Comma 11 4 4 2 4 2" xfId="32368"/>
    <cellStyle name="Comma 11 4 4 2 5" xfId="32369"/>
    <cellStyle name="Comma 11 4 4 2 6" xfId="32370"/>
    <cellStyle name="Comma 11 4 4 3" xfId="32371"/>
    <cellStyle name="Comma 11 4 4 3 2" xfId="32372"/>
    <cellStyle name="Comma 11 4 4 3 2 2" xfId="32373"/>
    <cellStyle name="Comma 11 4 4 3 2 3" xfId="32374"/>
    <cellStyle name="Comma 11 4 4 3 3" xfId="32375"/>
    <cellStyle name="Comma 11 4 4 3 3 2" xfId="32376"/>
    <cellStyle name="Comma 11 4 4 3 3 3" xfId="32377"/>
    <cellStyle name="Comma 11 4 4 3 4" xfId="32378"/>
    <cellStyle name="Comma 11 4 4 3 4 2" xfId="32379"/>
    <cellStyle name="Comma 11 4 4 3 5" xfId="32380"/>
    <cellStyle name="Comma 11 4 4 3 6" xfId="32381"/>
    <cellStyle name="Comma 11 4 4 4" xfId="32382"/>
    <cellStyle name="Comma 11 4 4 4 2" xfId="32383"/>
    <cellStyle name="Comma 11 4 4 4 2 2" xfId="32384"/>
    <cellStyle name="Comma 11 4 4 4 2 3" xfId="32385"/>
    <cellStyle name="Comma 11 4 4 4 3" xfId="32386"/>
    <cellStyle name="Comma 11 4 4 4 3 2" xfId="32387"/>
    <cellStyle name="Comma 11 4 4 4 4" xfId="32388"/>
    <cellStyle name="Comma 11 4 4 4 5" xfId="32389"/>
    <cellStyle name="Comma 11 4 4 5" xfId="32390"/>
    <cellStyle name="Comma 11 4 4 5 2" xfId="32391"/>
    <cellStyle name="Comma 11 4 4 5 3" xfId="32392"/>
    <cellStyle name="Comma 11 4 4 6" xfId="32393"/>
    <cellStyle name="Comma 11 4 4 6 2" xfId="32394"/>
    <cellStyle name="Comma 11 4 4 6 3" xfId="32395"/>
    <cellStyle name="Comma 11 4 4 7" xfId="32396"/>
    <cellStyle name="Comma 11 4 4 7 2" xfId="32397"/>
    <cellStyle name="Comma 11 4 4 8" xfId="32398"/>
    <cellStyle name="Comma 11 4 4 9" xfId="32399"/>
    <cellStyle name="Comma 11 4 5" xfId="32400"/>
    <cellStyle name="Comma 11 4 5 2" xfId="32401"/>
    <cellStyle name="Comma 11 4 5 2 2" xfId="32402"/>
    <cellStyle name="Comma 11 4 5 2 3" xfId="32403"/>
    <cellStyle name="Comma 11 4 5 3" xfId="32404"/>
    <cellStyle name="Comma 11 4 5 3 2" xfId="32405"/>
    <cellStyle name="Comma 11 4 5 3 3" xfId="32406"/>
    <cellStyle name="Comma 11 4 5 4" xfId="32407"/>
    <cellStyle name="Comma 11 4 5 4 2" xfId="32408"/>
    <cellStyle name="Comma 11 4 5 5" xfId="32409"/>
    <cellStyle name="Comma 11 4 5 6" xfId="32410"/>
    <cellStyle name="Comma 11 4 6" xfId="32411"/>
    <cellStyle name="Comma 11 4 6 2" xfId="32412"/>
    <cellStyle name="Comma 11 4 6 2 2" xfId="32413"/>
    <cellStyle name="Comma 11 4 6 2 3" xfId="32414"/>
    <cellStyle name="Comma 11 4 6 3" xfId="32415"/>
    <cellStyle name="Comma 11 4 6 3 2" xfId="32416"/>
    <cellStyle name="Comma 11 4 6 3 3" xfId="32417"/>
    <cellStyle name="Comma 11 4 6 4" xfId="32418"/>
    <cellStyle name="Comma 11 4 6 4 2" xfId="32419"/>
    <cellStyle name="Comma 11 4 6 5" xfId="32420"/>
    <cellStyle name="Comma 11 4 6 6" xfId="32421"/>
    <cellStyle name="Comma 11 4 7" xfId="32422"/>
    <cellStyle name="Comma 11 4 7 2" xfId="32423"/>
    <cellStyle name="Comma 11 4 7 2 2" xfId="32424"/>
    <cellStyle name="Comma 11 4 7 2 3" xfId="32425"/>
    <cellStyle name="Comma 11 4 7 3" xfId="32426"/>
    <cellStyle name="Comma 11 4 7 3 2" xfId="32427"/>
    <cellStyle name="Comma 11 4 7 4" xfId="32428"/>
    <cellStyle name="Comma 11 4 7 5" xfId="32429"/>
    <cellStyle name="Comma 11 4 8" xfId="32430"/>
    <cellStyle name="Comma 11 4 8 2" xfId="32431"/>
    <cellStyle name="Comma 11 4 8 3" xfId="32432"/>
    <cellStyle name="Comma 11 4 9" xfId="32433"/>
    <cellStyle name="Comma 11 4 9 2" xfId="32434"/>
    <cellStyle name="Comma 11 4 9 3" xfId="32435"/>
    <cellStyle name="Comma 11 5" xfId="8224"/>
    <cellStyle name="Comma 11 5 10" xfId="32436"/>
    <cellStyle name="Comma 11 5 11" xfId="32437"/>
    <cellStyle name="Comma 11 5 2" xfId="8225"/>
    <cellStyle name="Comma 11 5 2 10" xfId="32438"/>
    <cellStyle name="Comma 11 5 2 2" xfId="32439"/>
    <cellStyle name="Comma 11 5 2 2 2" xfId="32440"/>
    <cellStyle name="Comma 11 5 2 2 2 2" xfId="32441"/>
    <cellStyle name="Comma 11 5 2 2 2 3" xfId="32442"/>
    <cellStyle name="Comma 11 5 2 2 3" xfId="32443"/>
    <cellStyle name="Comma 11 5 2 2 3 2" xfId="32444"/>
    <cellStyle name="Comma 11 5 2 2 3 3" xfId="32445"/>
    <cellStyle name="Comma 11 5 2 2 4" xfId="32446"/>
    <cellStyle name="Comma 11 5 2 2 4 2" xfId="32447"/>
    <cellStyle name="Comma 11 5 2 2 5" xfId="32448"/>
    <cellStyle name="Comma 11 5 2 2 6" xfId="32449"/>
    <cellStyle name="Comma 11 5 2 3" xfId="32450"/>
    <cellStyle name="Comma 11 5 2 3 2" xfId="32451"/>
    <cellStyle name="Comma 11 5 2 3 2 2" xfId="32452"/>
    <cellStyle name="Comma 11 5 2 3 2 3" xfId="32453"/>
    <cellStyle name="Comma 11 5 2 3 3" xfId="32454"/>
    <cellStyle name="Comma 11 5 2 3 3 2" xfId="32455"/>
    <cellStyle name="Comma 11 5 2 3 3 3" xfId="32456"/>
    <cellStyle name="Comma 11 5 2 3 4" xfId="32457"/>
    <cellStyle name="Comma 11 5 2 3 4 2" xfId="32458"/>
    <cellStyle name="Comma 11 5 2 3 5" xfId="32459"/>
    <cellStyle name="Comma 11 5 2 3 6" xfId="32460"/>
    <cellStyle name="Comma 11 5 2 4" xfId="32461"/>
    <cellStyle name="Comma 11 5 2 4 2" xfId="32462"/>
    <cellStyle name="Comma 11 5 2 4 2 2" xfId="32463"/>
    <cellStyle name="Comma 11 5 2 4 2 3" xfId="32464"/>
    <cellStyle name="Comma 11 5 2 4 3" xfId="32465"/>
    <cellStyle name="Comma 11 5 2 4 3 2" xfId="32466"/>
    <cellStyle name="Comma 11 5 2 4 4" xfId="32467"/>
    <cellStyle name="Comma 11 5 2 4 5" xfId="32468"/>
    <cellStyle name="Comma 11 5 2 5" xfId="32469"/>
    <cellStyle name="Comma 11 5 2 5 2" xfId="32470"/>
    <cellStyle name="Comma 11 5 2 5 3" xfId="32471"/>
    <cellStyle name="Comma 11 5 2 6" xfId="32472"/>
    <cellStyle name="Comma 11 5 2 6 2" xfId="32473"/>
    <cellStyle name="Comma 11 5 2 6 3" xfId="32474"/>
    <cellStyle name="Comma 11 5 2 7" xfId="32475"/>
    <cellStyle name="Comma 11 5 2 7 2" xfId="32476"/>
    <cellStyle name="Comma 11 5 2 8" xfId="32477"/>
    <cellStyle name="Comma 11 5 2 9" xfId="32478"/>
    <cellStyle name="Comma 11 5 3" xfId="32479"/>
    <cellStyle name="Comma 11 5 3 2" xfId="32480"/>
    <cellStyle name="Comma 11 5 3 2 2" xfId="32481"/>
    <cellStyle name="Comma 11 5 3 2 3" xfId="32482"/>
    <cellStyle name="Comma 11 5 3 3" xfId="32483"/>
    <cellStyle name="Comma 11 5 3 3 2" xfId="32484"/>
    <cellStyle name="Comma 11 5 3 3 3" xfId="32485"/>
    <cellStyle name="Comma 11 5 3 4" xfId="32486"/>
    <cellStyle name="Comma 11 5 3 4 2" xfId="32487"/>
    <cellStyle name="Comma 11 5 3 5" xfId="32488"/>
    <cellStyle name="Comma 11 5 3 6" xfId="32489"/>
    <cellStyle name="Comma 11 5 4" xfId="32490"/>
    <cellStyle name="Comma 11 5 4 2" xfId="32491"/>
    <cellStyle name="Comma 11 5 4 2 2" xfId="32492"/>
    <cellStyle name="Comma 11 5 4 2 3" xfId="32493"/>
    <cellStyle name="Comma 11 5 4 3" xfId="32494"/>
    <cellStyle name="Comma 11 5 4 3 2" xfId="32495"/>
    <cellStyle name="Comma 11 5 4 3 3" xfId="32496"/>
    <cellStyle name="Comma 11 5 4 4" xfId="32497"/>
    <cellStyle name="Comma 11 5 4 4 2" xfId="32498"/>
    <cellStyle name="Comma 11 5 4 5" xfId="32499"/>
    <cellStyle name="Comma 11 5 4 6" xfId="32500"/>
    <cellStyle name="Comma 11 5 5" xfId="32501"/>
    <cellStyle name="Comma 11 5 5 2" xfId="32502"/>
    <cellStyle name="Comma 11 5 5 2 2" xfId="32503"/>
    <cellStyle name="Comma 11 5 5 2 3" xfId="32504"/>
    <cellStyle name="Comma 11 5 5 3" xfId="32505"/>
    <cellStyle name="Comma 11 5 5 3 2" xfId="32506"/>
    <cellStyle name="Comma 11 5 5 4" xfId="32507"/>
    <cellStyle name="Comma 11 5 5 5" xfId="32508"/>
    <cellStyle name="Comma 11 5 6" xfId="32509"/>
    <cellStyle name="Comma 11 5 6 2" xfId="32510"/>
    <cellStyle name="Comma 11 5 6 3" xfId="32511"/>
    <cellStyle name="Comma 11 5 7" xfId="32512"/>
    <cellStyle name="Comma 11 5 7 2" xfId="32513"/>
    <cellStyle name="Comma 11 5 7 3" xfId="32514"/>
    <cellStyle name="Comma 11 5 8" xfId="32515"/>
    <cellStyle name="Comma 11 5 8 2" xfId="32516"/>
    <cellStyle name="Comma 11 5 9" xfId="32517"/>
    <cellStyle name="Comma 11 6" xfId="8226"/>
    <cellStyle name="Comma 11 6 10" xfId="32518"/>
    <cellStyle name="Comma 11 6 2" xfId="32519"/>
    <cellStyle name="Comma 11 6 2 2" xfId="32520"/>
    <cellStyle name="Comma 11 6 2 2 2" xfId="32521"/>
    <cellStyle name="Comma 11 6 2 2 3" xfId="32522"/>
    <cellStyle name="Comma 11 6 2 3" xfId="32523"/>
    <cellStyle name="Comma 11 6 2 3 2" xfId="32524"/>
    <cellStyle name="Comma 11 6 2 3 3" xfId="32525"/>
    <cellStyle name="Comma 11 6 2 4" xfId="32526"/>
    <cellStyle name="Comma 11 6 2 4 2" xfId="32527"/>
    <cellStyle name="Comma 11 6 2 5" xfId="32528"/>
    <cellStyle name="Comma 11 6 2 6" xfId="32529"/>
    <cellStyle name="Comma 11 6 3" xfId="32530"/>
    <cellStyle name="Comma 11 6 3 2" xfId="32531"/>
    <cellStyle name="Comma 11 6 3 2 2" xfId="32532"/>
    <cellStyle name="Comma 11 6 3 2 3" xfId="32533"/>
    <cellStyle name="Comma 11 6 3 3" xfId="32534"/>
    <cellStyle name="Comma 11 6 3 3 2" xfId="32535"/>
    <cellStyle name="Comma 11 6 3 3 3" xfId="32536"/>
    <cellStyle name="Comma 11 6 3 4" xfId="32537"/>
    <cellStyle name="Comma 11 6 3 4 2" xfId="32538"/>
    <cellStyle name="Comma 11 6 3 5" xfId="32539"/>
    <cellStyle name="Comma 11 6 3 6" xfId="32540"/>
    <cellStyle name="Comma 11 6 4" xfId="32541"/>
    <cellStyle name="Comma 11 6 4 2" xfId="32542"/>
    <cellStyle name="Comma 11 6 4 2 2" xfId="32543"/>
    <cellStyle name="Comma 11 6 4 2 3" xfId="32544"/>
    <cellStyle name="Comma 11 6 4 3" xfId="32545"/>
    <cellStyle name="Comma 11 6 4 3 2" xfId="32546"/>
    <cellStyle name="Comma 11 6 4 4" xfId="32547"/>
    <cellStyle name="Comma 11 6 4 5" xfId="32548"/>
    <cellStyle name="Comma 11 6 5" xfId="32549"/>
    <cellStyle name="Comma 11 6 5 2" xfId="32550"/>
    <cellStyle name="Comma 11 6 5 3" xfId="32551"/>
    <cellStyle name="Comma 11 6 6" xfId="32552"/>
    <cellStyle name="Comma 11 6 6 2" xfId="32553"/>
    <cellStyle name="Comma 11 6 6 3" xfId="32554"/>
    <cellStyle name="Comma 11 6 7" xfId="32555"/>
    <cellStyle name="Comma 11 6 7 2" xfId="32556"/>
    <cellStyle name="Comma 11 6 8" xfId="32557"/>
    <cellStyle name="Comma 11 6 9" xfId="32558"/>
    <cellStyle name="Comma 11 7" xfId="32559"/>
    <cellStyle name="Comma 11 7 2" xfId="32560"/>
    <cellStyle name="Comma 11 7 2 2" xfId="32561"/>
    <cellStyle name="Comma 11 7 2 2 2" xfId="32562"/>
    <cellStyle name="Comma 11 7 2 2 3" xfId="32563"/>
    <cellStyle name="Comma 11 7 2 3" xfId="32564"/>
    <cellStyle name="Comma 11 7 2 3 2" xfId="32565"/>
    <cellStyle name="Comma 11 7 2 3 3" xfId="32566"/>
    <cellStyle name="Comma 11 7 2 4" xfId="32567"/>
    <cellStyle name="Comma 11 7 2 4 2" xfId="32568"/>
    <cellStyle name="Comma 11 7 2 5" xfId="32569"/>
    <cellStyle name="Comma 11 7 2 6" xfId="32570"/>
    <cellStyle name="Comma 11 7 3" xfId="32571"/>
    <cellStyle name="Comma 11 7 3 2" xfId="32572"/>
    <cellStyle name="Comma 11 7 3 2 2" xfId="32573"/>
    <cellStyle name="Comma 11 7 3 2 3" xfId="32574"/>
    <cellStyle name="Comma 11 7 3 3" xfId="32575"/>
    <cellStyle name="Comma 11 7 3 3 2" xfId="32576"/>
    <cellStyle name="Comma 11 7 3 3 3" xfId="32577"/>
    <cellStyle name="Comma 11 7 3 4" xfId="32578"/>
    <cellStyle name="Comma 11 7 3 4 2" xfId="32579"/>
    <cellStyle name="Comma 11 7 3 5" xfId="32580"/>
    <cellStyle name="Comma 11 7 3 6" xfId="32581"/>
    <cellStyle name="Comma 11 7 4" xfId="32582"/>
    <cellStyle name="Comma 11 7 4 2" xfId="32583"/>
    <cellStyle name="Comma 11 7 4 2 2" xfId="32584"/>
    <cellStyle name="Comma 11 7 4 2 3" xfId="32585"/>
    <cellStyle name="Comma 11 7 4 3" xfId="32586"/>
    <cellStyle name="Comma 11 7 4 3 2" xfId="32587"/>
    <cellStyle name="Comma 11 7 4 4" xfId="32588"/>
    <cellStyle name="Comma 11 7 4 5" xfId="32589"/>
    <cellStyle name="Comma 11 7 5" xfId="32590"/>
    <cellStyle name="Comma 11 7 5 2" xfId="32591"/>
    <cellStyle name="Comma 11 7 5 3" xfId="32592"/>
    <cellStyle name="Comma 11 7 6" xfId="32593"/>
    <cellStyle name="Comma 11 7 6 2" xfId="32594"/>
    <cellStyle name="Comma 11 7 6 3" xfId="32595"/>
    <cellStyle name="Comma 11 7 7" xfId="32596"/>
    <cellStyle name="Comma 11 7 7 2" xfId="32597"/>
    <cellStyle name="Comma 11 7 8" xfId="32598"/>
    <cellStyle name="Comma 11 7 9" xfId="32599"/>
    <cellStyle name="Comma 11 8" xfId="32600"/>
    <cellStyle name="Comma 11 8 2" xfId="32601"/>
    <cellStyle name="Comma 11 8 2 2" xfId="32602"/>
    <cellStyle name="Comma 11 8 2 3" xfId="32603"/>
    <cellStyle name="Comma 11 8 3" xfId="32604"/>
    <cellStyle name="Comma 11 8 3 2" xfId="32605"/>
    <cellStyle name="Comma 11 8 3 3" xfId="32606"/>
    <cellStyle name="Comma 11 8 4" xfId="32607"/>
    <cellStyle name="Comma 11 8 4 2" xfId="32608"/>
    <cellStyle name="Comma 11 8 5" xfId="32609"/>
    <cellStyle name="Comma 11 8 6" xfId="32610"/>
    <cellStyle name="Comma 11 9" xfId="32611"/>
    <cellStyle name="Comma 11 9 2" xfId="32612"/>
    <cellStyle name="Comma 11 9 2 2" xfId="32613"/>
    <cellStyle name="Comma 11 9 2 3" xfId="32614"/>
    <cellStyle name="Comma 11 9 3" xfId="32615"/>
    <cellStyle name="Comma 11 9 3 2" xfId="32616"/>
    <cellStyle name="Comma 11 9 3 3" xfId="32617"/>
    <cellStyle name="Comma 11 9 4" xfId="32618"/>
    <cellStyle name="Comma 11 9 4 2" xfId="32619"/>
    <cellStyle name="Comma 11 9 5" xfId="32620"/>
    <cellStyle name="Comma 11 9 6" xfId="32621"/>
    <cellStyle name="Comma 110" xfId="58464"/>
    <cellStyle name="Comma 111" xfId="58465"/>
    <cellStyle name="Comma 112" xfId="58466"/>
    <cellStyle name="Comma 113" xfId="58467"/>
    <cellStyle name="Comma 114" xfId="58468"/>
    <cellStyle name="Comma 115" xfId="58469"/>
    <cellStyle name="Comma 116" xfId="58470"/>
    <cellStyle name="Comma 117" xfId="61974"/>
    <cellStyle name="Comma 12" xfId="3238"/>
    <cellStyle name="Comma 12 10" xfId="32622"/>
    <cellStyle name="Comma 12 10 2" xfId="32623"/>
    <cellStyle name="Comma 12 10 2 2" xfId="32624"/>
    <cellStyle name="Comma 12 10 2 3" xfId="32625"/>
    <cellStyle name="Comma 12 10 3" xfId="32626"/>
    <cellStyle name="Comma 12 10 3 2" xfId="32627"/>
    <cellStyle name="Comma 12 10 4" xfId="32628"/>
    <cellStyle name="Comma 12 10 5" xfId="32629"/>
    <cellStyle name="Comma 12 11" xfId="32630"/>
    <cellStyle name="Comma 12 11 2" xfId="32631"/>
    <cellStyle name="Comma 12 11 3" xfId="32632"/>
    <cellStyle name="Comma 12 12" xfId="32633"/>
    <cellStyle name="Comma 12 12 2" xfId="32634"/>
    <cellStyle name="Comma 12 12 3" xfId="32635"/>
    <cellStyle name="Comma 12 13" xfId="32636"/>
    <cellStyle name="Comma 12 13 2" xfId="32637"/>
    <cellStyle name="Comma 12 14" xfId="32638"/>
    <cellStyle name="Comma 12 15" xfId="32639"/>
    <cellStyle name="Comma 12 16" xfId="32640"/>
    <cellStyle name="Comma 12 2" xfId="3239"/>
    <cellStyle name="Comma 12 2 10" xfId="32641"/>
    <cellStyle name="Comma 12 2 10 2" xfId="32642"/>
    <cellStyle name="Comma 12 2 10 3" xfId="32643"/>
    <cellStyle name="Comma 12 2 11" xfId="32644"/>
    <cellStyle name="Comma 12 2 11 2" xfId="32645"/>
    <cellStyle name="Comma 12 2 11 3" xfId="32646"/>
    <cellStyle name="Comma 12 2 12" xfId="32647"/>
    <cellStyle name="Comma 12 2 12 2" xfId="32648"/>
    <cellStyle name="Comma 12 2 13" xfId="32649"/>
    <cellStyle name="Comma 12 2 14" xfId="32650"/>
    <cellStyle name="Comma 12 2 15" xfId="32651"/>
    <cellStyle name="Comma 12 2 2" xfId="9047"/>
    <cellStyle name="Comma 12 2 2 10" xfId="32652"/>
    <cellStyle name="Comma 12 2 2 10 2" xfId="32653"/>
    <cellStyle name="Comma 12 2 2 10 3" xfId="32654"/>
    <cellStyle name="Comma 12 2 2 11" xfId="32655"/>
    <cellStyle name="Comma 12 2 2 11 2" xfId="32656"/>
    <cellStyle name="Comma 12 2 2 12" xfId="32657"/>
    <cellStyle name="Comma 12 2 2 13" xfId="32658"/>
    <cellStyle name="Comma 12 2 2 2" xfId="32659"/>
    <cellStyle name="Comma 12 2 2 2 10" xfId="32660"/>
    <cellStyle name="Comma 12 2 2 2 10 2" xfId="32661"/>
    <cellStyle name="Comma 12 2 2 2 11" xfId="32662"/>
    <cellStyle name="Comma 12 2 2 2 12" xfId="32663"/>
    <cellStyle name="Comma 12 2 2 2 2" xfId="32664"/>
    <cellStyle name="Comma 12 2 2 2 2 10" xfId="32665"/>
    <cellStyle name="Comma 12 2 2 2 2 2" xfId="32666"/>
    <cellStyle name="Comma 12 2 2 2 2 2 2" xfId="32667"/>
    <cellStyle name="Comma 12 2 2 2 2 2 2 2" xfId="32668"/>
    <cellStyle name="Comma 12 2 2 2 2 2 2 2 2" xfId="32669"/>
    <cellStyle name="Comma 12 2 2 2 2 2 2 2 3" xfId="32670"/>
    <cellStyle name="Comma 12 2 2 2 2 2 2 3" xfId="32671"/>
    <cellStyle name="Comma 12 2 2 2 2 2 2 3 2" xfId="32672"/>
    <cellStyle name="Comma 12 2 2 2 2 2 2 3 3" xfId="32673"/>
    <cellStyle name="Comma 12 2 2 2 2 2 2 4" xfId="32674"/>
    <cellStyle name="Comma 12 2 2 2 2 2 2 4 2" xfId="32675"/>
    <cellStyle name="Comma 12 2 2 2 2 2 2 5" xfId="32676"/>
    <cellStyle name="Comma 12 2 2 2 2 2 2 6" xfId="32677"/>
    <cellStyle name="Comma 12 2 2 2 2 2 3" xfId="32678"/>
    <cellStyle name="Comma 12 2 2 2 2 2 3 2" xfId="32679"/>
    <cellStyle name="Comma 12 2 2 2 2 2 3 2 2" xfId="32680"/>
    <cellStyle name="Comma 12 2 2 2 2 2 3 2 3" xfId="32681"/>
    <cellStyle name="Comma 12 2 2 2 2 2 3 3" xfId="32682"/>
    <cellStyle name="Comma 12 2 2 2 2 2 3 3 2" xfId="32683"/>
    <cellStyle name="Comma 12 2 2 2 2 2 3 3 3" xfId="32684"/>
    <cellStyle name="Comma 12 2 2 2 2 2 3 4" xfId="32685"/>
    <cellStyle name="Comma 12 2 2 2 2 2 3 4 2" xfId="32686"/>
    <cellStyle name="Comma 12 2 2 2 2 2 3 5" xfId="32687"/>
    <cellStyle name="Comma 12 2 2 2 2 2 3 6" xfId="32688"/>
    <cellStyle name="Comma 12 2 2 2 2 2 4" xfId="32689"/>
    <cellStyle name="Comma 12 2 2 2 2 2 4 2" xfId="32690"/>
    <cellStyle name="Comma 12 2 2 2 2 2 4 2 2" xfId="32691"/>
    <cellStyle name="Comma 12 2 2 2 2 2 4 2 3" xfId="32692"/>
    <cellStyle name="Comma 12 2 2 2 2 2 4 3" xfId="32693"/>
    <cellStyle name="Comma 12 2 2 2 2 2 4 3 2" xfId="32694"/>
    <cellStyle name="Comma 12 2 2 2 2 2 4 4" xfId="32695"/>
    <cellStyle name="Comma 12 2 2 2 2 2 4 5" xfId="32696"/>
    <cellStyle name="Comma 12 2 2 2 2 2 5" xfId="32697"/>
    <cellStyle name="Comma 12 2 2 2 2 2 5 2" xfId="32698"/>
    <cellStyle name="Comma 12 2 2 2 2 2 5 3" xfId="32699"/>
    <cellStyle name="Comma 12 2 2 2 2 2 6" xfId="32700"/>
    <cellStyle name="Comma 12 2 2 2 2 2 6 2" xfId="32701"/>
    <cellStyle name="Comma 12 2 2 2 2 2 6 3" xfId="32702"/>
    <cellStyle name="Comma 12 2 2 2 2 2 7" xfId="32703"/>
    <cellStyle name="Comma 12 2 2 2 2 2 7 2" xfId="32704"/>
    <cellStyle name="Comma 12 2 2 2 2 2 8" xfId="32705"/>
    <cellStyle name="Comma 12 2 2 2 2 2 9" xfId="32706"/>
    <cellStyle name="Comma 12 2 2 2 2 3" xfId="32707"/>
    <cellStyle name="Comma 12 2 2 2 2 3 2" xfId="32708"/>
    <cellStyle name="Comma 12 2 2 2 2 3 2 2" xfId="32709"/>
    <cellStyle name="Comma 12 2 2 2 2 3 2 3" xfId="32710"/>
    <cellStyle name="Comma 12 2 2 2 2 3 3" xfId="32711"/>
    <cellStyle name="Comma 12 2 2 2 2 3 3 2" xfId="32712"/>
    <cellStyle name="Comma 12 2 2 2 2 3 3 3" xfId="32713"/>
    <cellStyle name="Comma 12 2 2 2 2 3 4" xfId="32714"/>
    <cellStyle name="Comma 12 2 2 2 2 3 4 2" xfId="32715"/>
    <cellStyle name="Comma 12 2 2 2 2 3 5" xfId="32716"/>
    <cellStyle name="Comma 12 2 2 2 2 3 6" xfId="32717"/>
    <cellStyle name="Comma 12 2 2 2 2 4" xfId="32718"/>
    <cellStyle name="Comma 12 2 2 2 2 4 2" xfId="32719"/>
    <cellStyle name="Comma 12 2 2 2 2 4 2 2" xfId="32720"/>
    <cellStyle name="Comma 12 2 2 2 2 4 2 3" xfId="32721"/>
    <cellStyle name="Comma 12 2 2 2 2 4 3" xfId="32722"/>
    <cellStyle name="Comma 12 2 2 2 2 4 3 2" xfId="32723"/>
    <cellStyle name="Comma 12 2 2 2 2 4 3 3" xfId="32724"/>
    <cellStyle name="Comma 12 2 2 2 2 4 4" xfId="32725"/>
    <cellStyle name="Comma 12 2 2 2 2 4 4 2" xfId="32726"/>
    <cellStyle name="Comma 12 2 2 2 2 4 5" xfId="32727"/>
    <cellStyle name="Comma 12 2 2 2 2 4 6" xfId="32728"/>
    <cellStyle name="Comma 12 2 2 2 2 5" xfId="32729"/>
    <cellStyle name="Comma 12 2 2 2 2 5 2" xfId="32730"/>
    <cellStyle name="Comma 12 2 2 2 2 5 2 2" xfId="32731"/>
    <cellStyle name="Comma 12 2 2 2 2 5 2 3" xfId="32732"/>
    <cellStyle name="Comma 12 2 2 2 2 5 3" xfId="32733"/>
    <cellStyle name="Comma 12 2 2 2 2 5 3 2" xfId="32734"/>
    <cellStyle name="Comma 12 2 2 2 2 5 4" xfId="32735"/>
    <cellStyle name="Comma 12 2 2 2 2 5 5" xfId="32736"/>
    <cellStyle name="Comma 12 2 2 2 2 6" xfId="32737"/>
    <cellStyle name="Comma 12 2 2 2 2 6 2" xfId="32738"/>
    <cellStyle name="Comma 12 2 2 2 2 6 3" xfId="32739"/>
    <cellStyle name="Comma 12 2 2 2 2 7" xfId="32740"/>
    <cellStyle name="Comma 12 2 2 2 2 7 2" xfId="32741"/>
    <cellStyle name="Comma 12 2 2 2 2 7 3" xfId="32742"/>
    <cellStyle name="Comma 12 2 2 2 2 8" xfId="32743"/>
    <cellStyle name="Comma 12 2 2 2 2 8 2" xfId="32744"/>
    <cellStyle name="Comma 12 2 2 2 2 9" xfId="32745"/>
    <cellStyle name="Comma 12 2 2 2 3" xfId="32746"/>
    <cellStyle name="Comma 12 2 2 2 3 2" xfId="32747"/>
    <cellStyle name="Comma 12 2 2 2 3 2 2" xfId="32748"/>
    <cellStyle name="Comma 12 2 2 2 3 2 2 2" xfId="32749"/>
    <cellStyle name="Comma 12 2 2 2 3 2 2 3" xfId="32750"/>
    <cellStyle name="Comma 12 2 2 2 3 2 3" xfId="32751"/>
    <cellStyle name="Comma 12 2 2 2 3 2 3 2" xfId="32752"/>
    <cellStyle name="Comma 12 2 2 2 3 2 3 3" xfId="32753"/>
    <cellStyle name="Comma 12 2 2 2 3 2 4" xfId="32754"/>
    <cellStyle name="Comma 12 2 2 2 3 2 4 2" xfId="32755"/>
    <cellStyle name="Comma 12 2 2 2 3 2 5" xfId="32756"/>
    <cellStyle name="Comma 12 2 2 2 3 2 6" xfId="32757"/>
    <cellStyle name="Comma 12 2 2 2 3 3" xfId="32758"/>
    <cellStyle name="Comma 12 2 2 2 3 3 2" xfId="32759"/>
    <cellStyle name="Comma 12 2 2 2 3 3 2 2" xfId="32760"/>
    <cellStyle name="Comma 12 2 2 2 3 3 2 3" xfId="32761"/>
    <cellStyle name="Comma 12 2 2 2 3 3 3" xfId="32762"/>
    <cellStyle name="Comma 12 2 2 2 3 3 3 2" xfId="32763"/>
    <cellStyle name="Comma 12 2 2 2 3 3 3 3" xfId="32764"/>
    <cellStyle name="Comma 12 2 2 2 3 3 4" xfId="32765"/>
    <cellStyle name="Comma 12 2 2 2 3 3 4 2" xfId="32766"/>
    <cellStyle name="Comma 12 2 2 2 3 3 5" xfId="32767"/>
    <cellStyle name="Comma 12 2 2 2 3 3 6" xfId="32768"/>
    <cellStyle name="Comma 12 2 2 2 3 4" xfId="32769"/>
    <cellStyle name="Comma 12 2 2 2 3 4 2" xfId="32770"/>
    <cellStyle name="Comma 12 2 2 2 3 4 2 2" xfId="32771"/>
    <cellStyle name="Comma 12 2 2 2 3 4 2 3" xfId="32772"/>
    <cellStyle name="Comma 12 2 2 2 3 4 3" xfId="32773"/>
    <cellStyle name="Comma 12 2 2 2 3 4 3 2" xfId="32774"/>
    <cellStyle name="Comma 12 2 2 2 3 4 4" xfId="32775"/>
    <cellStyle name="Comma 12 2 2 2 3 4 5" xfId="32776"/>
    <cellStyle name="Comma 12 2 2 2 3 5" xfId="32777"/>
    <cellStyle name="Comma 12 2 2 2 3 5 2" xfId="32778"/>
    <cellStyle name="Comma 12 2 2 2 3 5 3" xfId="32779"/>
    <cellStyle name="Comma 12 2 2 2 3 6" xfId="32780"/>
    <cellStyle name="Comma 12 2 2 2 3 6 2" xfId="32781"/>
    <cellStyle name="Comma 12 2 2 2 3 6 3" xfId="32782"/>
    <cellStyle name="Comma 12 2 2 2 3 7" xfId="32783"/>
    <cellStyle name="Comma 12 2 2 2 3 7 2" xfId="32784"/>
    <cellStyle name="Comma 12 2 2 2 3 8" xfId="32785"/>
    <cellStyle name="Comma 12 2 2 2 3 9" xfId="32786"/>
    <cellStyle name="Comma 12 2 2 2 4" xfId="32787"/>
    <cellStyle name="Comma 12 2 2 2 4 2" xfId="32788"/>
    <cellStyle name="Comma 12 2 2 2 4 2 2" xfId="32789"/>
    <cellStyle name="Comma 12 2 2 2 4 2 2 2" xfId="32790"/>
    <cellStyle name="Comma 12 2 2 2 4 2 2 3" xfId="32791"/>
    <cellStyle name="Comma 12 2 2 2 4 2 3" xfId="32792"/>
    <cellStyle name="Comma 12 2 2 2 4 2 3 2" xfId="32793"/>
    <cellStyle name="Comma 12 2 2 2 4 2 3 3" xfId="32794"/>
    <cellStyle name="Comma 12 2 2 2 4 2 4" xfId="32795"/>
    <cellStyle name="Comma 12 2 2 2 4 2 4 2" xfId="32796"/>
    <cellStyle name="Comma 12 2 2 2 4 2 5" xfId="32797"/>
    <cellStyle name="Comma 12 2 2 2 4 2 6" xfId="32798"/>
    <cellStyle name="Comma 12 2 2 2 4 3" xfId="32799"/>
    <cellStyle name="Comma 12 2 2 2 4 3 2" xfId="32800"/>
    <cellStyle name="Comma 12 2 2 2 4 3 2 2" xfId="32801"/>
    <cellStyle name="Comma 12 2 2 2 4 3 2 3" xfId="32802"/>
    <cellStyle name="Comma 12 2 2 2 4 3 3" xfId="32803"/>
    <cellStyle name="Comma 12 2 2 2 4 3 3 2" xfId="32804"/>
    <cellStyle name="Comma 12 2 2 2 4 3 3 3" xfId="32805"/>
    <cellStyle name="Comma 12 2 2 2 4 3 4" xfId="32806"/>
    <cellStyle name="Comma 12 2 2 2 4 3 4 2" xfId="32807"/>
    <cellStyle name="Comma 12 2 2 2 4 3 5" xfId="32808"/>
    <cellStyle name="Comma 12 2 2 2 4 3 6" xfId="32809"/>
    <cellStyle name="Comma 12 2 2 2 4 4" xfId="32810"/>
    <cellStyle name="Comma 12 2 2 2 4 4 2" xfId="32811"/>
    <cellStyle name="Comma 12 2 2 2 4 4 2 2" xfId="32812"/>
    <cellStyle name="Comma 12 2 2 2 4 4 2 3" xfId="32813"/>
    <cellStyle name="Comma 12 2 2 2 4 4 3" xfId="32814"/>
    <cellStyle name="Comma 12 2 2 2 4 4 3 2" xfId="32815"/>
    <cellStyle name="Comma 12 2 2 2 4 4 4" xfId="32816"/>
    <cellStyle name="Comma 12 2 2 2 4 4 5" xfId="32817"/>
    <cellStyle name="Comma 12 2 2 2 4 5" xfId="32818"/>
    <cellStyle name="Comma 12 2 2 2 4 5 2" xfId="32819"/>
    <cellStyle name="Comma 12 2 2 2 4 5 3" xfId="32820"/>
    <cellStyle name="Comma 12 2 2 2 4 6" xfId="32821"/>
    <cellStyle name="Comma 12 2 2 2 4 6 2" xfId="32822"/>
    <cellStyle name="Comma 12 2 2 2 4 6 3" xfId="32823"/>
    <cellStyle name="Comma 12 2 2 2 4 7" xfId="32824"/>
    <cellStyle name="Comma 12 2 2 2 4 7 2" xfId="32825"/>
    <cellStyle name="Comma 12 2 2 2 4 8" xfId="32826"/>
    <cellStyle name="Comma 12 2 2 2 4 9" xfId="32827"/>
    <cellStyle name="Comma 12 2 2 2 5" xfId="32828"/>
    <cellStyle name="Comma 12 2 2 2 5 2" xfId="32829"/>
    <cellStyle name="Comma 12 2 2 2 5 2 2" xfId="32830"/>
    <cellStyle name="Comma 12 2 2 2 5 2 3" xfId="32831"/>
    <cellStyle name="Comma 12 2 2 2 5 3" xfId="32832"/>
    <cellStyle name="Comma 12 2 2 2 5 3 2" xfId="32833"/>
    <cellStyle name="Comma 12 2 2 2 5 3 3" xfId="32834"/>
    <cellStyle name="Comma 12 2 2 2 5 4" xfId="32835"/>
    <cellStyle name="Comma 12 2 2 2 5 4 2" xfId="32836"/>
    <cellStyle name="Comma 12 2 2 2 5 5" xfId="32837"/>
    <cellStyle name="Comma 12 2 2 2 5 6" xfId="32838"/>
    <cellStyle name="Comma 12 2 2 2 6" xfId="32839"/>
    <cellStyle name="Comma 12 2 2 2 6 2" xfId="32840"/>
    <cellStyle name="Comma 12 2 2 2 6 2 2" xfId="32841"/>
    <cellStyle name="Comma 12 2 2 2 6 2 3" xfId="32842"/>
    <cellStyle name="Comma 12 2 2 2 6 3" xfId="32843"/>
    <cellStyle name="Comma 12 2 2 2 6 3 2" xfId="32844"/>
    <cellStyle name="Comma 12 2 2 2 6 3 3" xfId="32845"/>
    <cellStyle name="Comma 12 2 2 2 6 4" xfId="32846"/>
    <cellStyle name="Comma 12 2 2 2 6 4 2" xfId="32847"/>
    <cellStyle name="Comma 12 2 2 2 6 5" xfId="32848"/>
    <cellStyle name="Comma 12 2 2 2 6 6" xfId="32849"/>
    <cellStyle name="Comma 12 2 2 2 7" xfId="32850"/>
    <cellStyle name="Comma 12 2 2 2 7 2" xfId="32851"/>
    <cellStyle name="Comma 12 2 2 2 7 2 2" xfId="32852"/>
    <cellStyle name="Comma 12 2 2 2 7 2 3" xfId="32853"/>
    <cellStyle name="Comma 12 2 2 2 7 3" xfId="32854"/>
    <cellStyle name="Comma 12 2 2 2 7 3 2" xfId="32855"/>
    <cellStyle name="Comma 12 2 2 2 7 4" xfId="32856"/>
    <cellStyle name="Comma 12 2 2 2 7 5" xfId="32857"/>
    <cellStyle name="Comma 12 2 2 2 8" xfId="32858"/>
    <cellStyle name="Comma 12 2 2 2 8 2" xfId="32859"/>
    <cellStyle name="Comma 12 2 2 2 8 3" xfId="32860"/>
    <cellStyle name="Comma 12 2 2 2 9" xfId="32861"/>
    <cellStyle name="Comma 12 2 2 2 9 2" xfId="32862"/>
    <cellStyle name="Comma 12 2 2 2 9 3" xfId="32863"/>
    <cellStyle name="Comma 12 2 2 3" xfId="32864"/>
    <cellStyle name="Comma 12 2 2 3 10" xfId="32865"/>
    <cellStyle name="Comma 12 2 2 3 2" xfId="32866"/>
    <cellStyle name="Comma 12 2 2 3 2 2" xfId="32867"/>
    <cellStyle name="Comma 12 2 2 3 2 2 2" xfId="32868"/>
    <cellStyle name="Comma 12 2 2 3 2 2 2 2" xfId="32869"/>
    <cellStyle name="Comma 12 2 2 3 2 2 2 3" xfId="32870"/>
    <cellStyle name="Comma 12 2 2 3 2 2 3" xfId="32871"/>
    <cellStyle name="Comma 12 2 2 3 2 2 3 2" xfId="32872"/>
    <cellStyle name="Comma 12 2 2 3 2 2 3 3" xfId="32873"/>
    <cellStyle name="Comma 12 2 2 3 2 2 4" xfId="32874"/>
    <cellStyle name="Comma 12 2 2 3 2 2 4 2" xfId="32875"/>
    <cellStyle name="Comma 12 2 2 3 2 2 5" xfId="32876"/>
    <cellStyle name="Comma 12 2 2 3 2 2 6" xfId="32877"/>
    <cellStyle name="Comma 12 2 2 3 2 3" xfId="32878"/>
    <cellStyle name="Comma 12 2 2 3 2 3 2" xfId="32879"/>
    <cellStyle name="Comma 12 2 2 3 2 3 2 2" xfId="32880"/>
    <cellStyle name="Comma 12 2 2 3 2 3 2 3" xfId="32881"/>
    <cellStyle name="Comma 12 2 2 3 2 3 3" xfId="32882"/>
    <cellStyle name="Comma 12 2 2 3 2 3 3 2" xfId="32883"/>
    <cellStyle name="Comma 12 2 2 3 2 3 3 3" xfId="32884"/>
    <cellStyle name="Comma 12 2 2 3 2 3 4" xfId="32885"/>
    <cellStyle name="Comma 12 2 2 3 2 3 4 2" xfId="32886"/>
    <cellStyle name="Comma 12 2 2 3 2 3 5" xfId="32887"/>
    <cellStyle name="Comma 12 2 2 3 2 3 6" xfId="32888"/>
    <cellStyle name="Comma 12 2 2 3 2 4" xfId="32889"/>
    <cellStyle name="Comma 12 2 2 3 2 4 2" xfId="32890"/>
    <cellStyle name="Comma 12 2 2 3 2 4 2 2" xfId="32891"/>
    <cellStyle name="Comma 12 2 2 3 2 4 2 3" xfId="32892"/>
    <cellStyle name="Comma 12 2 2 3 2 4 3" xfId="32893"/>
    <cellStyle name="Comma 12 2 2 3 2 4 3 2" xfId="32894"/>
    <cellStyle name="Comma 12 2 2 3 2 4 4" xfId="32895"/>
    <cellStyle name="Comma 12 2 2 3 2 4 5" xfId="32896"/>
    <cellStyle name="Comma 12 2 2 3 2 5" xfId="32897"/>
    <cellStyle name="Comma 12 2 2 3 2 5 2" xfId="32898"/>
    <cellStyle name="Comma 12 2 2 3 2 5 3" xfId="32899"/>
    <cellStyle name="Comma 12 2 2 3 2 6" xfId="32900"/>
    <cellStyle name="Comma 12 2 2 3 2 6 2" xfId="32901"/>
    <cellStyle name="Comma 12 2 2 3 2 6 3" xfId="32902"/>
    <cellStyle name="Comma 12 2 2 3 2 7" xfId="32903"/>
    <cellStyle name="Comma 12 2 2 3 2 7 2" xfId="32904"/>
    <cellStyle name="Comma 12 2 2 3 2 8" xfId="32905"/>
    <cellStyle name="Comma 12 2 2 3 2 9" xfId="32906"/>
    <cellStyle name="Comma 12 2 2 3 3" xfId="32907"/>
    <cellStyle name="Comma 12 2 2 3 3 2" xfId="32908"/>
    <cellStyle name="Comma 12 2 2 3 3 2 2" xfId="32909"/>
    <cellStyle name="Comma 12 2 2 3 3 2 3" xfId="32910"/>
    <cellStyle name="Comma 12 2 2 3 3 3" xfId="32911"/>
    <cellStyle name="Comma 12 2 2 3 3 3 2" xfId="32912"/>
    <cellStyle name="Comma 12 2 2 3 3 3 3" xfId="32913"/>
    <cellStyle name="Comma 12 2 2 3 3 4" xfId="32914"/>
    <cellStyle name="Comma 12 2 2 3 3 4 2" xfId="32915"/>
    <cellStyle name="Comma 12 2 2 3 3 5" xfId="32916"/>
    <cellStyle name="Comma 12 2 2 3 3 6" xfId="32917"/>
    <cellStyle name="Comma 12 2 2 3 4" xfId="32918"/>
    <cellStyle name="Comma 12 2 2 3 4 2" xfId="32919"/>
    <cellStyle name="Comma 12 2 2 3 4 2 2" xfId="32920"/>
    <cellStyle name="Comma 12 2 2 3 4 2 3" xfId="32921"/>
    <cellStyle name="Comma 12 2 2 3 4 3" xfId="32922"/>
    <cellStyle name="Comma 12 2 2 3 4 3 2" xfId="32923"/>
    <cellStyle name="Comma 12 2 2 3 4 3 3" xfId="32924"/>
    <cellStyle name="Comma 12 2 2 3 4 4" xfId="32925"/>
    <cellStyle name="Comma 12 2 2 3 4 4 2" xfId="32926"/>
    <cellStyle name="Comma 12 2 2 3 4 5" xfId="32927"/>
    <cellStyle name="Comma 12 2 2 3 4 6" xfId="32928"/>
    <cellStyle name="Comma 12 2 2 3 5" xfId="32929"/>
    <cellStyle name="Comma 12 2 2 3 5 2" xfId="32930"/>
    <cellStyle name="Comma 12 2 2 3 5 2 2" xfId="32931"/>
    <cellStyle name="Comma 12 2 2 3 5 2 3" xfId="32932"/>
    <cellStyle name="Comma 12 2 2 3 5 3" xfId="32933"/>
    <cellStyle name="Comma 12 2 2 3 5 3 2" xfId="32934"/>
    <cellStyle name="Comma 12 2 2 3 5 4" xfId="32935"/>
    <cellStyle name="Comma 12 2 2 3 5 5" xfId="32936"/>
    <cellStyle name="Comma 12 2 2 3 6" xfId="32937"/>
    <cellStyle name="Comma 12 2 2 3 6 2" xfId="32938"/>
    <cellStyle name="Comma 12 2 2 3 6 3" xfId="32939"/>
    <cellStyle name="Comma 12 2 2 3 7" xfId="32940"/>
    <cellStyle name="Comma 12 2 2 3 7 2" xfId="32941"/>
    <cellStyle name="Comma 12 2 2 3 7 3" xfId="32942"/>
    <cellStyle name="Comma 12 2 2 3 8" xfId="32943"/>
    <cellStyle name="Comma 12 2 2 3 8 2" xfId="32944"/>
    <cellStyle name="Comma 12 2 2 3 9" xfId="32945"/>
    <cellStyle name="Comma 12 2 2 4" xfId="32946"/>
    <cellStyle name="Comma 12 2 2 4 2" xfId="32947"/>
    <cellStyle name="Comma 12 2 2 4 2 2" xfId="32948"/>
    <cellStyle name="Comma 12 2 2 4 2 2 2" xfId="32949"/>
    <cellStyle name="Comma 12 2 2 4 2 2 3" xfId="32950"/>
    <cellStyle name="Comma 12 2 2 4 2 3" xfId="32951"/>
    <cellStyle name="Comma 12 2 2 4 2 3 2" xfId="32952"/>
    <cellStyle name="Comma 12 2 2 4 2 3 3" xfId="32953"/>
    <cellStyle name="Comma 12 2 2 4 2 4" xfId="32954"/>
    <cellStyle name="Comma 12 2 2 4 2 4 2" xfId="32955"/>
    <cellStyle name="Comma 12 2 2 4 2 5" xfId="32956"/>
    <cellStyle name="Comma 12 2 2 4 2 6" xfId="32957"/>
    <cellStyle name="Comma 12 2 2 4 3" xfId="32958"/>
    <cellStyle name="Comma 12 2 2 4 3 2" xfId="32959"/>
    <cellStyle name="Comma 12 2 2 4 3 2 2" xfId="32960"/>
    <cellStyle name="Comma 12 2 2 4 3 2 3" xfId="32961"/>
    <cellStyle name="Comma 12 2 2 4 3 3" xfId="32962"/>
    <cellStyle name="Comma 12 2 2 4 3 3 2" xfId="32963"/>
    <cellStyle name="Comma 12 2 2 4 3 3 3" xfId="32964"/>
    <cellStyle name="Comma 12 2 2 4 3 4" xfId="32965"/>
    <cellStyle name="Comma 12 2 2 4 3 4 2" xfId="32966"/>
    <cellStyle name="Comma 12 2 2 4 3 5" xfId="32967"/>
    <cellStyle name="Comma 12 2 2 4 3 6" xfId="32968"/>
    <cellStyle name="Comma 12 2 2 4 4" xfId="32969"/>
    <cellStyle name="Comma 12 2 2 4 4 2" xfId="32970"/>
    <cellStyle name="Comma 12 2 2 4 4 2 2" xfId="32971"/>
    <cellStyle name="Comma 12 2 2 4 4 2 3" xfId="32972"/>
    <cellStyle name="Comma 12 2 2 4 4 3" xfId="32973"/>
    <cellStyle name="Comma 12 2 2 4 4 3 2" xfId="32974"/>
    <cellStyle name="Comma 12 2 2 4 4 4" xfId="32975"/>
    <cellStyle name="Comma 12 2 2 4 4 5" xfId="32976"/>
    <cellStyle name="Comma 12 2 2 4 5" xfId="32977"/>
    <cellStyle name="Comma 12 2 2 4 5 2" xfId="32978"/>
    <cellStyle name="Comma 12 2 2 4 5 3" xfId="32979"/>
    <cellStyle name="Comma 12 2 2 4 6" xfId="32980"/>
    <cellStyle name="Comma 12 2 2 4 6 2" xfId="32981"/>
    <cellStyle name="Comma 12 2 2 4 6 3" xfId="32982"/>
    <cellStyle name="Comma 12 2 2 4 7" xfId="32983"/>
    <cellStyle name="Comma 12 2 2 4 7 2" xfId="32984"/>
    <cellStyle name="Comma 12 2 2 4 8" xfId="32985"/>
    <cellStyle name="Comma 12 2 2 4 9" xfId="32986"/>
    <cellStyle name="Comma 12 2 2 5" xfId="32987"/>
    <cellStyle name="Comma 12 2 2 5 2" xfId="32988"/>
    <cellStyle name="Comma 12 2 2 5 2 2" xfId="32989"/>
    <cellStyle name="Comma 12 2 2 5 2 2 2" xfId="32990"/>
    <cellStyle name="Comma 12 2 2 5 2 2 3" xfId="32991"/>
    <cellStyle name="Comma 12 2 2 5 2 3" xfId="32992"/>
    <cellStyle name="Comma 12 2 2 5 2 3 2" xfId="32993"/>
    <cellStyle name="Comma 12 2 2 5 2 3 3" xfId="32994"/>
    <cellStyle name="Comma 12 2 2 5 2 4" xfId="32995"/>
    <cellStyle name="Comma 12 2 2 5 2 4 2" xfId="32996"/>
    <cellStyle name="Comma 12 2 2 5 2 5" xfId="32997"/>
    <cellStyle name="Comma 12 2 2 5 2 6" xfId="32998"/>
    <cellStyle name="Comma 12 2 2 5 3" xfId="32999"/>
    <cellStyle name="Comma 12 2 2 5 3 2" xfId="33000"/>
    <cellStyle name="Comma 12 2 2 5 3 2 2" xfId="33001"/>
    <cellStyle name="Comma 12 2 2 5 3 2 3" xfId="33002"/>
    <cellStyle name="Comma 12 2 2 5 3 3" xfId="33003"/>
    <cellStyle name="Comma 12 2 2 5 3 3 2" xfId="33004"/>
    <cellStyle name="Comma 12 2 2 5 3 3 3" xfId="33005"/>
    <cellStyle name="Comma 12 2 2 5 3 4" xfId="33006"/>
    <cellStyle name="Comma 12 2 2 5 3 4 2" xfId="33007"/>
    <cellStyle name="Comma 12 2 2 5 3 5" xfId="33008"/>
    <cellStyle name="Comma 12 2 2 5 3 6" xfId="33009"/>
    <cellStyle name="Comma 12 2 2 5 4" xfId="33010"/>
    <cellStyle name="Comma 12 2 2 5 4 2" xfId="33011"/>
    <cellStyle name="Comma 12 2 2 5 4 2 2" xfId="33012"/>
    <cellStyle name="Comma 12 2 2 5 4 2 3" xfId="33013"/>
    <cellStyle name="Comma 12 2 2 5 4 3" xfId="33014"/>
    <cellStyle name="Comma 12 2 2 5 4 3 2" xfId="33015"/>
    <cellStyle name="Comma 12 2 2 5 4 4" xfId="33016"/>
    <cellStyle name="Comma 12 2 2 5 4 5" xfId="33017"/>
    <cellStyle name="Comma 12 2 2 5 5" xfId="33018"/>
    <cellStyle name="Comma 12 2 2 5 5 2" xfId="33019"/>
    <cellStyle name="Comma 12 2 2 5 5 3" xfId="33020"/>
    <cellStyle name="Comma 12 2 2 5 6" xfId="33021"/>
    <cellStyle name="Comma 12 2 2 5 6 2" xfId="33022"/>
    <cellStyle name="Comma 12 2 2 5 6 3" xfId="33023"/>
    <cellStyle name="Comma 12 2 2 5 7" xfId="33024"/>
    <cellStyle name="Comma 12 2 2 5 7 2" xfId="33025"/>
    <cellStyle name="Comma 12 2 2 5 8" xfId="33026"/>
    <cellStyle name="Comma 12 2 2 5 9" xfId="33027"/>
    <cellStyle name="Comma 12 2 2 6" xfId="33028"/>
    <cellStyle name="Comma 12 2 2 6 2" xfId="33029"/>
    <cellStyle name="Comma 12 2 2 6 2 2" xfId="33030"/>
    <cellStyle name="Comma 12 2 2 6 2 3" xfId="33031"/>
    <cellStyle name="Comma 12 2 2 6 3" xfId="33032"/>
    <cellStyle name="Comma 12 2 2 6 3 2" xfId="33033"/>
    <cellStyle name="Comma 12 2 2 6 3 3" xfId="33034"/>
    <cellStyle name="Comma 12 2 2 6 4" xfId="33035"/>
    <cellStyle name="Comma 12 2 2 6 4 2" xfId="33036"/>
    <cellStyle name="Comma 12 2 2 6 5" xfId="33037"/>
    <cellStyle name="Comma 12 2 2 6 6" xfId="33038"/>
    <cellStyle name="Comma 12 2 2 7" xfId="33039"/>
    <cellStyle name="Comma 12 2 2 7 2" xfId="33040"/>
    <cellStyle name="Comma 12 2 2 7 2 2" xfId="33041"/>
    <cellStyle name="Comma 12 2 2 7 2 3" xfId="33042"/>
    <cellStyle name="Comma 12 2 2 7 3" xfId="33043"/>
    <cellStyle name="Comma 12 2 2 7 3 2" xfId="33044"/>
    <cellStyle name="Comma 12 2 2 7 3 3" xfId="33045"/>
    <cellStyle name="Comma 12 2 2 7 4" xfId="33046"/>
    <cellStyle name="Comma 12 2 2 7 4 2" xfId="33047"/>
    <cellStyle name="Comma 12 2 2 7 5" xfId="33048"/>
    <cellStyle name="Comma 12 2 2 7 6" xfId="33049"/>
    <cellStyle name="Comma 12 2 2 8" xfId="33050"/>
    <cellStyle name="Comma 12 2 2 8 2" xfId="33051"/>
    <cellStyle name="Comma 12 2 2 8 2 2" xfId="33052"/>
    <cellStyle name="Comma 12 2 2 8 2 3" xfId="33053"/>
    <cellStyle name="Comma 12 2 2 8 3" xfId="33054"/>
    <cellStyle name="Comma 12 2 2 8 3 2" xfId="33055"/>
    <cellStyle name="Comma 12 2 2 8 4" xfId="33056"/>
    <cellStyle name="Comma 12 2 2 8 5" xfId="33057"/>
    <cellStyle name="Comma 12 2 2 9" xfId="33058"/>
    <cellStyle name="Comma 12 2 2 9 2" xfId="33059"/>
    <cellStyle name="Comma 12 2 2 9 3" xfId="33060"/>
    <cellStyle name="Comma 12 2 3" xfId="33061"/>
    <cellStyle name="Comma 12 2 3 10" xfId="33062"/>
    <cellStyle name="Comma 12 2 3 10 2" xfId="33063"/>
    <cellStyle name="Comma 12 2 3 11" xfId="33064"/>
    <cellStyle name="Comma 12 2 3 12" xfId="33065"/>
    <cellStyle name="Comma 12 2 3 2" xfId="33066"/>
    <cellStyle name="Comma 12 2 3 2 10" xfId="33067"/>
    <cellStyle name="Comma 12 2 3 2 2" xfId="33068"/>
    <cellStyle name="Comma 12 2 3 2 2 2" xfId="33069"/>
    <cellStyle name="Comma 12 2 3 2 2 2 2" xfId="33070"/>
    <cellStyle name="Comma 12 2 3 2 2 2 2 2" xfId="33071"/>
    <cellStyle name="Comma 12 2 3 2 2 2 2 3" xfId="33072"/>
    <cellStyle name="Comma 12 2 3 2 2 2 3" xfId="33073"/>
    <cellStyle name="Comma 12 2 3 2 2 2 3 2" xfId="33074"/>
    <cellStyle name="Comma 12 2 3 2 2 2 3 3" xfId="33075"/>
    <cellStyle name="Comma 12 2 3 2 2 2 4" xfId="33076"/>
    <cellStyle name="Comma 12 2 3 2 2 2 4 2" xfId="33077"/>
    <cellStyle name="Comma 12 2 3 2 2 2 5" xfId="33078"/>
    <cellStyle name="Comma 12 2 3 2 2 2 6" xfId="33079"/>
    <cellStyle name="Comma 12 2 3 2 2 3" xfId="33080"/>
    <cellStyle name="Comma 12 2 3 2 2 3 2" xfId="33081"/>
    <cellStyle name="Comma 12 2 3 2 2 3 2 2" xfId="33082"/>
    <cellStyle name="Comma 12 2 3 2 2 3 2 3" xfId="33083"/>
    <cellStyle name="Comma 12 2 3 2 2 3 3" xfId="33084"/>
    <cellStyle name="Comma 12 2 3 2 2 3 3 2" xfId="33085"/>
    <cellStyle name="Comma 12 2 3 2 2 3 3 3" xfId="33086"/>
    <cellStyle name="Comma 12 2 3 2 2 3 4" xfId="33087"/>
    <cellStyle name="Comma 12 2 3 2 2 3 4 2" xfId="33088"/>
    <cellStyle name="Comma 12 2 3 2 2 3 5" xfId="33089"/>
    <cellStyle name="Comma 12 2 3 2 2 3 6" xfId="33090"/>
    <cellStyle name="Comma 12 2 3 2 2 4" xfId="33091"/>
    <cellStyle name="Comma 12 2 3 2 2 4 2" xfId="33092"/>
    <cellStyle name="Comma 12 2 3 2 2 4 2 2" xfId="33093"/>
    <cellStyle name="Comma 12 2 3 2 2 4 2 3" xfId="33094"/>
    <cellStyle name="Comma 12 2 3 2 2 4 3" xfId="33095"/>
    <cellStyle name="Comma 12 2 3 2 2 4 3 2" xfId="33096"/>
    <cellStyle name="Comma 12 2 3 2 2 4 4" xfId="33097"/>
    <cellStyle name="Comma 12 2 3 2 2 4 5" xfId="33098"/>
    <cellStyle name="Comma 12 2 3 2 2 5" xfId="33099"/>
    <cellStyle name="Comma 12 2 3 2 2 5 2" xfId="33100"/>
    <cellStyle name="Comma 12 2 3 2 2 5 3" xfId="33101"/>
    <cellStyle name="Comma 12 2 3 2 2 6" xfId="33102"/>
    <cellStyle name="Comma 12 2 3 2 2 6 2" xfId="33103"/>
    <cellStyle name="Comma 12 2 3 2 2 6 3" xfId="33104"/>
    <cellStyle name="Comma 12 2 3 2 2 7" xfId="33105"/>
    <cellStyle name="Comma 12 2 3 2 2 7 2" xfId="33106"/>
    <cellStyle name="Comma 12 2 3 2 2 8" xfId="33107"/>
    <cellStyle name="Comma 12 2 3 2 2 9" xfId="33108"/>
    <cellStyle name="Comma 12 2 3 2 3" xfId="33109"/>
    <cellStyle name="Comma 12 2 3 2 3 2" xfId="33110"/>
    <cellStyle name="Comma 12 2 3 2 3 2 2" xfId="33111"/>
    <cellStyle name="Comma 12 2 3 2 3 2 3" xfId="33112"/>
    <cellStyle name="Comma 12 2 3 2 3 3" xfId="33113"/>
    <cellStyle name="Comma 12 2 3 2 3 3 2" xfId="33114"/>
    <cellStyle name="Comma 12 2 3 2 3 3 3" xfId="33115"/>
    <cellStyle name="Comma 12 2 3 2 3 4" xfId="33116"/>
    <cellStyle name="Comma 12 2 3 2 3 4 2" xfId="33117"/>
    <cellStyle name="Comma 12 2 3 2 3 5" xfId="33118"/>
    <cellStyle name="Comma 12 2 3 2 3 6" xfId="33119"/>
    <cellStyle name="Comma 12 2 3 2 4" xfId="33120"/>
    <cellStyle name="Comma 12 2 3 2 4 2" xfId="33121"/>
    <cellStyle name="Comma 12 2 3 2 4 2 2" xfId="33122"/>
    <cellStyle name="Comma 12 2 3 2 4 2 3" xfId="33123"/>
    <cellStyle name="Comma 12 2 3 2 4 3" xfId="33124"/>
    <cellStyle name="Comma 12 2 3 2 4 3 2" xfId="33125"/>
    <cellStyle name="Comma 12 2 3 2 4 3 3" xfId="33126"/>
    <cellStyle name="Comma 12 2 3 2 4 4" xfId="33127"/>
    <cellStyle name="Comma 12 2 3 2 4 4 2" xfId="33128"/>
    <cellStyle name="Comma 12 2 3 2 4 5" xfId="33129"/>
    <cellStyle name="Comma 12 2 3 2 4 6" xfId="33130"/>
    <cellStyle name="Comma 12 2 3 2 5" xfId="33131"/>
    <cellStyle name="Comma 12 2 3 2 5 2" xfId="33132"/>
    <cellStyle name="Comma 12 2 3 2 5 2 2" xfId="33133"/>
    <cellStyle name="Comma 12 2 3 2 5 2 3" xfId="33134"/>
    <cellStyle name="Comma 12 2 3 2 5 3" xfId="33135"/>
    <cellStyle name="Comma 12 2 3 2 5 3 2" xfId="33136"/>
    <cellStyle name="Comma 12 2 3 2 5 4" xfId="33137"/>
    <cellStyle name="Comma 12 2 3 2 5 5" xfId="33138"/>
    <cellStyle name="Comma 12 2 3 2 6" xfId="33139"/>
    <cellStyle name="Comma 12 2 3 2 6 2" xfId="33140"/>
    <cellStyle name="Comma 12 2 3 2 6 3" xfId="33141"/>
    <cellStyle name="Comma 12 2 3 2 7" xfId="33142"/>
    <cellStyle name="Comma 12 2 3 2 7 2" xfId="33143"/>
    <cellStyle name="Comma 12 2 3 2 7 3" xfId="33144"/>
    <cellStyle name="Comma 12 2 3 2 8" xfId="33145"/>
    <cellStyle name="Comma 12 2 3 2 8 2" xfId="33146"/>
    <cellStyle name="Comma 12 2 3 2 9" xfId="33147"/>
    <cellStyle name="Comma 12 2 3 3" xfId="33148"/>
    <cellStyle name="Comma 12 2 3 3 2" xfId="33149"/>
    <cellStyle name="Comma 12 2 3 3 2 2" xfId="33150"/>
    <cellStyle name="Comma 12 2 3 3 2 2 2" xfId="33151"/>
    <cellStyle name="Comma 12 2 3 3 2 2 3" xfId="33152"/>
    <cellStyle name="Comma 12 2 3 3 2 3" xfId="33153"/>
    <cellStyle name="Comma 12 2 3 3 2 3 2" xfId="33154"/>
    <cellStyle name="Comma 12 2 3 3 2 3 3" xfId="33155"/>
    <cellStyle name="Comma 12 2 3 3 2 4" xfId="33156"/>
    <cellStyle name="Comma 12 2 3 3 2 4 2" xfId="33157"/>
    <cellStyle name="Comma 12 2 3 3 2 5" xfId="33158"/>
    <cellStyle name="Comma 12 2 3 3 2 6" xfId="33159"/>
    <cellStyle name="Comma 12 2 3 3 3" xfId="33160"/>
    <cellStyle name="Comma 12 2 3 3 3 2" xfId="33161"/>
    <cellStyle name="Comma 12 2 3 3 3 2 2" xfId="33162"/>
    <cellStyle name="Comma 12 2 3 3 3 2 3" xfId="33163"/>
    <cellStyle name="Comma 12 2 3 3 3 3" xfId="33164"/>
    <cellStyle name="Comma 12 2 3 3 3 3 2" xfId="33165"/>
    <cellStyle name="Comma 12 2 3 3 3 3 3" xfId="33166"/>
    <cellStyle name="Comma 12 2 3 3 3 4" xfId="33167"/>
    <cellStyle name="Comma 12 2 3 3 3 4 2" xfId="33168"/>
    <cellStyle name="Comma 12 2 3 3 3 5" xfId="33169"/>
    <cellStyle name="Comma 12 2 3 3 3 6" xfId="33170"/>
    <cellStyle name="Comma 12 2 3 3 4" xfId="33171"/>
    <cellStyle name="Comma 12 2 3 3 4 2" xfId="33172"/>
    <cellStyle name="Comma 12 2 3 3 4 2 2" xfId="33173"/>
    <cellStyle name="Comma 12 2 3 3 4 2 3" xfId="33174"/>
    <cellStyle name="Comma 12 2 3 3 4 3" xfId="33175"/>
    <cellStyle name="Comma 12 2 3 3 4 3 2" xfId="33176"/>
    <cellStyle name="Comma 12 2 3 3 4 4" xfId="33177"/>
    <cellStyle name="Comma 12 2 3 3 4 5" xfId="33178"/>
    <cellStyle name="Comma 12 2 3 3 5" xfId="33179"/>
    <cellStyle name="Comma 12 2 3 3 5 2" xfId="33180"/>
    <cellStyle name="Comma 12 2 3 3 5 3" xfId="33181"/>
    <cellStyle name="Comma 12 2 3 3 6" xfId="33182"/>
    <cellStyle name="Comma 12 2 3 3 6 2" xfId="33183"/>
    <cellStyle name="Comma 12 2 3 3 6 3" xfId="33184"/>
    <cellStyle name="Comma 12 2 3 3 7" xfId="33185"/>
    <cellStyle name="Comma 12 2 3 3 7 2" xfId="33186"/>
    <cellStyle name="Comma 12 2 3 3 8" xfId="33187"/>
    <cellStyle name="Comma 12 2 3 3 9" xfId="33188"/>
    <cellStyle name="Comma 12 2 3 4" xfId="33189"/>
    <cellStyle name="Comma 12 2 3 4 2" xfId="33190"/>
    <cellStyle name="Comma 12 2 3 4 2 2" xfId="33191"/>
    <cellStyle name="Comma 12 2 3 4 2 2 2" xfId="33192"/>
    <cellStyle name="Comma 12 2 3 4 2 2 3" xfId="33193"/>
    <cellStyle name="Comma 12 2 3 4 2 3" xfId="33194"/>
    <cellStyle name="Comma 12 2 3 4 2 3 2" xfId="33195"/>
    <cellStyle name="Comma 12 2 3 4 2 3 3" xfId="33196"/>
    <cellStyle name="Comma 12 2 3 4 2 4" xfId="33197"/>
    <cellStyle name="Comma 12 2 3 4 2 4 2" xfId="33198"/>
    <cellStyle name="Comma 12 2 3 4 2 5" xfId="33199"/>
    <cellStyle name="Comma 12 2 3 4 2 6" xfId="33200"/>
    <cellStyle name="Comma 12 2 3 4 3" xfId="33201"/>
    <cellStyle name="Comma 12 2 3 4 3 2" xfId="33202"/>
    <cellStyle name="Comma 12 2 3 4 3 2 2" xfId="33203"/>
    <cellStyle name="Comma 12 2 3 4 3 2 3" xfId="33204"/>
    <cellStyle name="Comma 12 2 3 4 3 3" xfId="33205"/>
    <cellStyle name="Comma 12 2 3 4 3 3 2" xfId="33206"/>
    <cellStyle name="Comma 12 2 3 4 3 3 3" xfId="33207"/>
    <cellStyle name="Comma 12 2 3 4 3 4" xfId="33208"/>
    <cellStyle name="Comma 12 2 3 4 3 4 2" xfId="33209"/>
    <cellStyle name="Comma 12 2 3 4 3 5" xfId="33210"/>
    <cellStyle name="Comma 12 2 3 4 3 6" xfId="33211"/>
    <cellStyle name="Comma 12 2 3 4 4" xfId="33212"/>
    <cellStyle name="Comma 12 2 3 4 4 2" xfId="33213"/>
    <cellStyle name="Comma 12 2 3 4 4 2 2" xfId="33214"/>
    <cellStyle name="Comma 12 2 3 4 4 2 3" xfId="33215"/>
    <cellStyle name="Comma 12 2 3 4 4 3" xfId="33216"/>
    <cellStyle name="Comma 12 2 3 4 4 3 2" xfId="33217"/>
    <cellStyle name="Comma 12 2 3 4 4 4" xfId="33218"/>
    <cellStyle name="Comma 12 2 3 4 4 5" xfId="33219"/>
    <cellStyle name="Comma 12 2 3 4 5" xfId="33220"/>
    <cellStyle name="Comma 12 2 3 4 5 2" xfId="33221"/>
    <cellStyle name="Comma 12 2 3 4 5 3" xfId="33222"/>
    <cellStyle name="Comma 12 2 3 4 6" xfId="33223"/>
    <cellStyle name="Comma 12 2 3 4 6 2" xfId="33224"/>
    <cellStyle name="Comma 12 2 3 4 6 3" xfId="33225"/>
    <cellStyle name="Comma 12 2 3 4 7" xfId="33226"/>
    <cellStyle name="Comma 12 2 3 4 7 2" xfId="33227"/>
    <cellStyle name="Comma 12 2 3 4 8" xfId="33228"/>
    <cellStyle name="Comma 12 2 3 4 9" xfId="33229"/>
    <cellStyle name="Comma 12 2 3 5" xfId="33230"/>
    <cellStyle name="Comma 12 2 3 5 2" xfId="33231"/>
    <cellStyle name="Comma 12 2 3 5 2 2" xfId="33232"/>
    <cellStyle name="Comma 12 2 3 5 2 3" xfId="33233"/>
    <cellStyle name="Comma 12 2 3 5 3" xfId="33234"/>
    <cellStyle name="Comma 12 2 3 5 3 2" xfId="33235"/>
    <cellStyle name="Comma 12 2 3 5 3 3" xfId="33236"/>
    <cellStyle name="Comma 12 2 3 5 4" xfId="33237"/>
    <cellStyle name="Comma 12 2 3 5 4 2" xfId="33238"/>
    <cellStyle name="Comma 12 2 3 5 5" xfId="33239"/>
    <cellStyle name="Comma 12 2 3 5 6" xfId="33240"/>
    <cellStyle name="Comma 12 2 3 6" xfId="33241"/>
    <cellStyle name="Comma 12 2 3 6 2" xfId="33242"/>
    <cellStyle name="Comma 12 2 3 6 2 2" xfId="33243"/>
    <cellStyle name="Comma 12 2 3 6 2 3" xfId="33244"/>
    <cellStyle name="Comma 12 2 3 6 3" xfId="33245"/>
    <cellStyle name="Comma 12 2 3 6 3 2" xfId="33246"/>
    <cellStyle name="Comma 12 2 3 6 3 3" xfId="33247"/>
    <cellStyle name="Comma 12 2 3 6 4" xfId="33248"/>
    <cellStyle name="Comma 12 2 3 6 4 2" xfId="33249"/>
    <cellStyle name="Comma 12 2 3 6 5" xfId="33250"/>
    <cellStyle name="Comma 12 2 3 6 6" xfId="33251"/>
    <cellStyle name="Comma 12 2 3 7" xfId="33252"/>
    <cellStyle name="Comma 12 2 3 7 2" xfId="33253"/>
    <cellStyle name="Comma 12 2 3 7 2 2" xfId="33254"/>
    <cellStyle name="Comma 12 2 3 7 2 3" xfId="33255"/>
    <cellStyle name="Comma 12 2 3 7 3" xfId="33256"/>
    <cellStyle name="Comma 12 2 3 7 3 2" xfId="33257"/>
    <cellStyle name="Comma 12 2 3 7 4" xfId="33258"/>
    <cellStyle name="Comma 12 2 3 7 5" xfId="33259"/>
    <cellStyle name="Comma 12 2 3 8" xfId="33260"/>
    <cellStyle name="Comma 12 2 3 8 2" xfId="33261"/>
    <cellStyle name="Comma 12 2 3 8 3" xfId="33262"/>
    <cellStyle name="Comma 12 2 3 9" xfId="33263"/>
    <cellStyle name="Comma 12 2 3 9 2" xfId="33264"/>
    <cellStyle name="Comma 12 2 3 9 3" xfId="33265"/>
    <cellStyle name="Comma 12 2 4" xfId="33266"/>
    <cellStyle name="Comma 12 2 4 10" xfId="33267"/>
    <cellStyle name="Comma 12 2 4 2" xfId="33268"/>
    <cellStyle name="Comma 12 2 4 2 2" xfId="33269"/>
    <cellStyle name="Comma 12 2 4 2 2 2" xfId="33270"/>
    <cellStyle name="Comma 12 2 4 2 2 2 2" xfId="33271"/>
    <cellStyle name="Comma 12 2 4 2 2 2 3" xfId="33272"/>
    <cellStyle name="Comma 12 2 4 2 2 3" xfId="33273"/>
    <cellStyle name="Comma 12 2 4 2 2 3 2" xfId="33274"/>
    <cellStyle name="Comma 12 2 4 2 2 3 3" xfId="33275"/>
    <cellStyle name="Comma 12 2 4 2 2 4" xfId="33276"/>
    <cellStyle name="Comma 12 2 4 2 2 4 2" xfId="33277"/>
    <cellStyle name="Comma 12 2 4 2 2 5" xfId="33278"/>
    <cellStyle name="Comma 12 2 4 2 2 6" xfId="33279"/>
    <cellStyle name="Comma 12 2 4 2 3" xfId="33280"/>
    <cellStyle name="Comma 12 2 4 2 3 2" xfId="33281"/>
    <cellStyle name="Comma 12 2 4 2 3 2 2" xfId="33282"/>
    <cellStyle name="Comma 12 2 4 2 3 2 3" xfId="33283"/>
    <cellStyle name="Comma 12 2 4 2 3 3" xfId="33284"/>
    <cellStyle name="Comma 12 2 4 2 3 3 2" xfId="33285"/>
    <cellStyle name="Comma 12 2 4 2 3 3 3" xfId="33286"/>
    <cellStyle name="Comma 12 2 4 2 3 4" xfId="33287"/>
    <cellStyle name="Comma 12 2 4 2 3 4 2" xfId="33288"/>
    <cellStyle name="Comma 12 2 4 2 3 5" xfId="33289"/>
    <cellStyle name="Comma 12 2 4 2 3 6" xfId="33290"/>
    <cellStyle name="Comma 12 2 4 2 4" xfId="33291"/>
    <cellStyle name="Comma 12 2 4 2 4 2" xfId="33292"/>
    <cellStyle name="Comma 12 2 4 2 4 2 2" xfId="33293"/>
    <cellStyle name="Comma 12 2 4 2 4 2 3" xfId="33294"/>
    <cellStyle name="Comma 12 2 4 2 4 3" xfId="33295"/>
    <cellStyle name="Comma 12 2 4 2 4 3 2" xfId="33296"/>
    <cellStyle name="Comma 12 2 4 2 4 4" xfId="33297"/>
    <cellStyle name="Comma 12 2 4 2 4 5" xfId="33298"/>
    <cellStyle name="Comma 12 2 4 2 5" xfId="33299"/>
    <cellStyle name="Comma 12 2 4 2 5 2" xfId="33300"/>
    <cellStyle name="Comma 12 2 4 2 5 3" xfId="33301"/>
    <cellStyle name="Comma 12 2 4 2 6" xfId="33302"/>
    <cellStyle name="Comma 12 2 4 2 6 2" xfId="33303"/>
    <cellStyle name="Comma 12 2 4 2 6 3" xfId="33304"/>
    <cellStyle name="Comma 12 2 4 2 7" xfId="33305"/>
    <cellStyle name="Comma 12 2 4 2 7 2" xfId="33306"/>
    <cellStyle name="Comma 12 2 4 2 8" xfId="33307"/>
    <cellStyle name="Comma 12 2 4 2 9" xfId="33308"/>
    <cellStyle name="Comma 12 2 4 3" xfId="33309"/>
    <cellStyle name="Comma 12 2 4 3 2" xfId="33310"/>
    <cellStyle name="Comma 12 2 4 3 2 2" xfId="33311"/>
    <cellStyle name="Comma 12 2 4 3 2 3" xfId="33312"/>
    <cellStyle name="Comma 12 2 4 3 3" xfId="33313"/>
    <cellStyle name="Comma 12 2 4 3 3 2" xfId="33314"/>
    <cellStyle name="Comma 12 2 4 3 3 3" xfId="33315"/>
    <cellStyle name="Comma 12 2 4 3 4" xfId="33316"/>
    <cellStyle name="Comma 12 2 4 3 4 2" xfId="33317"/>
    <cellStyle name="Comma 12 2 4 3 5" xfId="33318"/>
    <cellStyle name="Comma 12 2 4 3 6" xfId="33319"/>
    <cellStyle name="Comma 12 2 4 4" xfId="33320"/>
    <cellStyle name="Comma 12 2 4 4 2" xfId="33321"/>
    <cellStyle name="Comma 12 2 4 4 2 2" xfId="33322"/>
    <cellStyle name="Comma 12 2 4 4 2 3" xfId="33323"/>
    <cellStyle name="Comma 12 2 4 4 3" xfId="33324"/>
    <cellStyle name="Comma 12 2 4 4 3 2" xfId="33325"/>
    <cellStyle name="Comma 12 2 4 4 3 3" xfId="33326"/>
    <cellStyle name="Comma 12 2 4 4 4" xfId="33327"/>
    <cellStyle name="Comma 12 2 4 4 4 2" xfId="33328"/>
    <cellStyle name="Comma 12 2 4 4 5" xfId="33329"/>
    <cellStyle name="Comma 12 2 4 4 6" xfId="33330"/>
    <cellStyle name="Comma 12 2 4 5" xfId="33331"/>
    <cellStyle name="Comma 12 2 4 5 2" xfId="33332"/>
    <cellStyle name="Comma 12 2 4 5 2 2" xfId="33333"/>
    <cellStyle name="Comma 12 2 4 5 2 3" xfId="33334"/>
    <cellStyle name="Comma 12 2 4 5 3" xfId="33335"/>
    <cellStyle name="Comma 12 2 4 5 3 2" xfId="33336"/>
    <cellStyle name="Comma 12 2 4 5 4" xfId="33337"/>
    <cellStyle name="Comma 12 2 4 5 5" xfId="33338"/>
    <cellStyle name="Comma 12 2 4 6" xfId="33339"/>
    <cellStyle name="Comma 12 2 4 6 2" xfId="33340"/>
    <cellStyle name="Comma 12 2 4 6 3" xfId="33341"/>
    <cellStyle name="Comma 12 2 4 7" xfId="33342"/>
    <cellStyle name="Comma 12 2 4 7 2" xfId="33343"/>
    <cellStyle name="Comma 12 2 4 7 3" xfId="33344"/>
    <cellStyle name="Comma 12 2 4 8" xfId="33345"/>
    <cellStyle name="Comma 12 2 4 8 2" xfId="33346"/>
    <cellStyle name="Comma 12 2 4 9" xfId="33347"/>
    <cellStyle name="Comma 12 2 5" xfId="33348"/>
    <cellStyle name="Comma 12 2 5 2" xfId="33349"/>
    <cellStyle name="Comma 12 2 5 2 2" xfId="33350"/>
    <cellStyle name="Comma 12 2 5 2 2 2" xfId="33351"/>
    <cellStyle name="Comma 12 2 5 2 2 3" xfId="33352"/>
    <cellStyle name="Comma 12 2 5 2 3" xfId="33353"/>
    <cellStyle name="Comma 12 2 5 2 3 2" xfId="33354"/>
    <cellStyle name="Comma 12 2 5 2 3 3" xfId="33355"/>
    <cellStyle name="Comma 12 2 5 2 4" xfId="33356"/>
    <cellStyle name="Comma 12 2 5 2 4 2" xfId="33357"/>
    <cellStyle name="Comma 12 2 5 2 5" xfId="33358"/>
    <cellStyle name="Comma 12 2 5 2 6" xfId="33359"/>
    <cellStyle name="Comma 12 2 5 3" xfId="33360"/>
    <cellStyle name="Comma 12 2 5 3 2" xfId="33361"/>
    <cellStyle name="Comma 12 2 5 3 2 2" xfId="33362"/>
    <cellStyle name="Comma 12 2 5 3 2 3" xfId="33363"/>
    <cellStyle name="Comma 12 2 5 3 3" xfId="33364"/>
    <cellStyle name="Comma 12 2 5 3 3 2" xfId="33365"/>
    <cellStyle name="Comma 12 2 5 3 3 3" xfId="33366"/>
    <cellStyle name="Comma 12 2 5 3 4" xfId="33367"/>
    <cellStyle name="Comma 12 2 5 3 4 2" xfId="33368"/>
    <cellStyle name="Comma 12 2 5 3 5" xfId="33369"/>
    <cellStyle name="Comma 12 2 5 3 6" xfId="33370"/>
    <cellStyle name="Comma 12 2 5 4" xfId="33371"/>
    <cellStyle name="Comma 12 2 5 4 2" xfId="33372"/>
    <cellStyle name="Comma 12 2 5 4 2 2" xfId="33373"/>
    <cellStyle name="Comma 12 2 5 4 2 3" xfId="33374"/>
    <cellStyle name="Comma 12 2 5 4 3" xfId="33375"/>
    <cellStyle name="Comma 12 2 5 4 3 2" xfId="33376"/>
    <cellStyle name="Comma 12 2 5 4 4" xfId="33377"/>
    <cellStyle name="Comma 12 2 5 4 5" xfId="33378"/>
    <cellStyle name="Comma 12 2 5 5" xfId="33379"/>
    <cellStyle name="Comma 12 2 5 5 2" xfId="33380"/>
    <cellStyle name="Comma 12 2 5 5 3" xfId="33381"/>
    <cellStyle name="Comma 12 2 5 6" xfId="33382"/>
    <cellStyle name="Comma 12 2 5 6 2" xfId="33383"/>
    <cellStyle name="Comma 12 2 5 6 3" xfId="33384"/>
    <cellStyle name="Comma 12 2 5 7" xfId="33385"/>
    <cellStyle name="Comma 12 2 5 7 2" xfId="33386"/>
    <cellStyle name="Comma 12 2 5 8" xfId="33387"/>
    <cellStyle name="Comma 12 2 5 9" xfId="33388"/>
    <cellStyle name="Comma 12 2 6" xfId="33389"/>
    <cellStyle name="Comma 12 2 6 2" xfId="33390"/>
    <cellStyle name="Comma 12 2 6 2 2" xfId="33391"/>
    <cellStyle name="Comma 12 2 6 2 2 2" xfId="33392"/>
    <cellStyle name="Comma 12 2 6 2 2 3" xfId="33393"/>
    <cellStyle name="Comma 12 2 6 2 3" xfId="33394"/>
    <cellStyle name="Comma 12 2 6 2 3 2" xfId="33395"/>
    <cellStyle name="Comma 12 2 6 2 3 3" xfId="33396"/>
    <cellStyle name="Comma 12 2 6 2 4" xfId="33397"/>
    <cellStyle name="Comma 12 2 6 2 4 2" xfId="33398"/>
    <cellStyle name="Comma 12 2 6 2 5" xfId="33399"/>
    <cellStyle name="Comma 12 2 6 2 6" xfId="33400"/>
    <cellStyle name="Comma 12 2 6 3" xfId="33401"/>
    <cellStyle name="Comma 12 2 6 3 2" xfId="33402"/>
    <cellStyle name="Comma 12 2 6 3 2 2" xfId="33403"/>
    <cellStyle name="Comma 12 2 6 3 2 3" xfId="33404"/>
    <cellStyle name="Comma 12 2 6 3 3" xfId="33405"/>
    <cellStyle name="Comma 12 2 6 3 3 2" xfId="33406"/>
    <cellStyle name="Comma 12 2 6 3 3 3" xfId="33407"/>
    <cellStyle name="Comma 12 2 6 3 4" xfId="33408"/>
    <cellStyle name="Comma 12 2 6 3 4 2" xfId="33409"/>
    <cellStyle name="Comma 12 2 6 3 5" xfId="33410"/>
    <cellStyle name="Comma 12 2 6 3 6" xfId="33411"/>
    <cellStyle name="Comma 12 2 6 4" xfId="33412"/>
    <cellStyle name="Comma 12 2 6 4 2" xfId="33413"/>
    <cellStyle name="Comma 12 2 6 4 2 2" xfId="33414"/>
    <cellStyle name="Comma 12 2 6 4 2 3" xfId="33415"/>
    <cellStyle name="Comma 12 2 6 4 3" xfId="33416"/>
    <cellStyle name="Comma 12 2 6 4 3 2" xfId="33417"/>
    <cellStyle name="Comma 12 2 6 4 4" xfId="33418"/>
    <cellStyle name="Comma 12 2 6 4 5" xfId="33419"/>
    <cellStyle name="Comma 12 2 6 5" xfId="33420"/>
    <cellStyle name="Comma 12 2 6 5 2" xfId="33421"/>
    <cellStyle name="Comma 12 2 6 5 3" xfId="33422"/>
    <cellStyle name="Comma 12 2 6 6" xfId="33423"/>
    <cellStyle name="Comma 12 2 6 6 2" xfId="33424"/>
    <cellStyle name="Comma 12 2 6 6 3" xfId="33425"/>
    <cellStyle name="Comma 12 2 6 7" xfId="33426"/>
    <cellStyle name="Comma 12 2 6 7 2" xfId="33427"/>
    <cellStyle name="Comma 12 2 6 8" xfId="33428"/>
    <cellStyle name="Comma 12 2 6 9" xfId="33429"/>
    <cellStyle name="Comma 12 2 7" xfId="33430"/>
    <cellStyle name="Comma 12 2 7 2" xfId="33431"/>
    <cellStyle name="Comma 12 2 7 2 2" xfId="33432"/>
    <cellStyle name="Comma 12 2 7 2 3" xfId="33433"/>
    <cellStyle name="Comma 12 2 7 3" xfId="33434"/>
    <cellStyle name="Comma 12 2 7 3 2" xfId="33435"/>
    <cellStyle name="Comma 12 2 7 3 3" xfId="33436"/>
    <cellStyle name="Comma 12 2 7 4" xfId="33437"/>
    <cellStyle name="Comma 12 2 7 4 2" xfId="33438"/>
    <cellStyle name="Comma 12 2 7 5" xfId="33439"/>
    <cellStyle name="Comma 12 2 7 6" xfId="33440"/>
    <cellStyle name="Comma 12 2 8" xfId="33441"/>
    <cellStyle name="Comma 12 2 8 2" xfId="33442"/>
    <cellStyle name="Comma 12 2 8 2 2" xfId="33443"/>
    <cellStyle name="Comma 12 2 8 2 3" xfId="33444"/>
    <cellStyle name="Comma 12 2 8 3" xfId="33445"/>
    <cellStyle name="Comma 12 2 8 3 2" xfId="33446"/>
    <cellStyle name="Comma 12 2 8 3 3" xfId="33447"/>
    <cellStyle name="Comma 12 2 8 4" xfId="33448"/>
    <cellStyle name="Comma 12 2 8 4 2" xfId="33449"/>
    <cellStyle name="Comma 12 2 8 5" xfId="33450"/>
    <cellStyle name="Comma 12 2 8 6" xfId="33451"/>
    <cellStyle name="Comma 12 2 9" xfId="33452"/>
    <cellStyle name="Comma 12 2 9 2" xfId="33453"/>
    <cellStyle name="Comma 12 2 9 2 2" xfId="33454"/>
    <cellStyle name="Comma 12 2 9 2 3" xfId="33455"/>
    <cellStyle name="Comma 12 2 9 3" xfId="33456"/>
    <cellStyle name="Comma 12 2 9 3 2" xfId="33457"/>
    <cellStyle name="Comma 12 2 9 4" xfId="33458"/>
    <cellStyle name="Comma 12 2 9 5" xfId="33459"/>
    <cellStyle name="Comma 12 3" xfId="33460"/>
    <cellStyle name="Comma 12 3 10" xfId="33461"/>
    <cellStyle name="Comma 12 3 10 2" xfId="33462"/>
    <cellStyle name="Comma 12 3 10 3" xfId="33463"/>
    <cellStyle name="Comma 12 3 11" xfId="33464"/>
    <cellStyle name="Comma 12 3 11 2" xfId="33465"/>
    <cellStyle name="Comma 12 3 12" xfId="33466"/>
    <cellStyle name="Comma 12 3 13" xfId="33467"/>
    <cellStyle name="Comma 12 3 2" xfId="33468"/>
    <cellStyle name="Comma 12 3 2 10" xfId="33469"/>
    <cellStyle name="Comma 12 3 2 10 2" xfId="33470"/>
    <cellStyle name="Comma 12 3 2 11" xfId="33471"/>
    <cellStyle name="Comma 12 3 2 12" xfId="33472"/>
    <cellStyle name="Comma 12 3 2 2" xfId="33473"/>
    <cellStyle name="Comma 12 3 2 2 10" xfId="33474"/>
    <cellStyle name="Comma 12 3 2 2 2" xfId="33475"/>
    <cellStyle name="Comma 12 3 2 2 2 2" xfId="33476"/>
    <cellStyle name="Comma 12 3 2 2 2 2 2" xfId="33477"/>
    <cellStyle name="Comma 12 3 2 2 2 2 2 2" xfId="33478"/>
    <cellStyle name="Comma 12 3 2 2 2 2 2 3" xfId="33479"/>
    <cellStyle name="Comma 12 3 2 2 2 2 3" xfId="33480"/>
    <cellStyle name="Comma 12 3 2 2 2 2 3 2" xfId="33481"/>
    <cellStyle name="Comma 12 3 2 2 2 2 3 3" xfId="33482"/>
    <cellStyle name="Comma 12 3 2 2 2 2 4" xfId="33483"/>
    <cellStyle name="Comma 12 3 2 2 2 2 4 2" xfId="33484"/>
    <cellStyle name="Comma 12 3 2 2 2 2 5" xfId="33485"/>
    <cellStyle name="Comma 12 3 2 2 2 2 6" xfId="33486"/>
    <cellStyle name="Comma 12 3 2 2 2 3" xfId="33487"/>
    <cellStyle name="Comma 12 3 2 2 2 3 2" xfId="33488"/>
    <cellStyle name="Comma 12 3 2 2 2 3 2 2" xfId="33489"/>
    <cellStyle name="Comma 12 3 2 2 2 3 2 3" xfId="33490"/>
    <cellStyle name="Comma 12 3 2 2 2 3 3" xfId="33491"/>
    <cellStyle name="Comma 12 3 2 2 2 3 3 2" xfId="33492"/>
    <cellStyle name="Comma 12 3 2 2 2 3 3 3" xfId="33493"/>
    <cellStyle name="Comma 12 3 2 2 2 3 4" xfId="33494"/>
    <cellStyle name="Comma 12 3 2 2 2 3 4 2" xfId="33495"/>
    <cellStyle name="Comma 12 3 2 2 2 3 5" xfId="33496"/>
    <cellStyle name="Comma 12 3 2 2 2 3 6" xfId="33497"/>
    <cellStyle name="Comma 12 3 2 2 2 4" xfId="33498"/>
    <cellStyle name="Comma 12 3 2 2 2 4 2" xfId="33499"/>
    <cellStyle name="Comma 12 3 2 2 2 4 2 2" xfId="33500"/>
    <cellStyle name="Comma 12 3 2 2 2 4 2 3" xfId="33501"/>
    <cellStyle name="Comma 12 3 2 2 2 4 3" xfId="33502"/>
    <cellStyle name="Comma 12 3 2 2 2 4 3 2" xfId="33503"/>
    <cellStyle name="Comma 12 3 2 2 2 4 4" xfId="33504"/>
    <cellStyle name="Comma 12 3 2 2 2 4 5" xfId="33505"/>
    <cellStyle name="Comma 12 3 2 2 2 5" xfId="33506"/>
    <cellStyle name="Comma 12 3 2 2 2 5 2" xfId="33507"/>
    <cellStyle name="Comma 12 3 2 2 2 5 3" xfId="33508"/>
    <cellStyle name="Comma 12 3 2 2 2 6" xfId="33509"/>
    <cellStyle name="Comma 12 3 2 2 2 6 2" xfId="33510"/>
    <cellStyle name="Comma 12 3 2 2 2 6 3" xfId="33511"/>
    <cellStyle name="Comma 12 3 2 2 2 7" xfId="33512"/>
    <cellStyle name="Comma 12 3 2 2 2 7 2" xfId="33513"/>
    <cellStyle name="Comma 12 3 2 2 2 8" xfId="33514"/>
    <cellStyle name="Comma 12 3 2 2 2 9" xfId="33515"/>
    <cellStyle name="Comma 12 3 2 2 3" xfId="33516"/>
    <cellStyle name="Comma 12 3 2 2 3 2" xfId="33517"/>
    <cellStyle name="Comma 12 3 2 2 3 2 2" xfId="33518"/>
    <cellStyle name="Comma 12 3 2 2 3 2 3" xfId="33519"/>
    <cellStyle name="Comma 12 3 2 2 3 3" xfId="33520"/>
    <cellStyle name="Comma 12 3 2 2 3 3 2" xfId="33521"/>
    <cellStyle name="Comma 12 3 2 2 3 3 3" xfId="33522"/>
    <cellStyle name="Comma 12 3 2 2 3 4" xfId="33523"/>
    <cellStyle name="Comma 12 3 2 2 3 4 2" xfId="33524"/>
    <cellStyle name="Comma 12 3 2 2 3 5" xfId="33525"/>
    <cellStyle name="Comma 12 3 2 2 3 6" xfId="33526"/>
    <cellStyle name="Comma 12 3 2 2 4" xfId="33527"/>
    <cellStyle name="Comma 12 3 2 2 4 2" xfId="33528"/>
    <cellStyle name="Comma 12 3 2 2 4 2 2" xfId="33529"/>
    <cellStyle name="Comma 12 3 2 2 4 2 3" xfId="33530"/>
    <cellStyle name="Comma 12 3 2 2 4 3" xfId="33531"/>
    <cellStyle name="Comma 12 3 2 2 4 3 2" xfId="33532"/>
    <cellStyle name="Comma 12 3 2 2 4 3 3" xfId="33533"/>
    <cellStyle name="Comma 12 3 2 2 4 4" xfId="33534"/>
    <cellStyle name="Comma 12 3 2 2 4 4 2" xfId="33535"/>
    <cellStyle name="Comma 12 3 2 2 4 5" xfId="33536"/>
    <cellStyle name="Comma 12 3 2 2 4 6" xfId="33537"/>
    <cellStyle name="Comma 12 3 2 2 5" xfId="33538"/>
    <cellStyle name="Comma 12 3 2 2 5 2" xfId="33539"/>
    <cellStyle name="Comma 12 3 2 2 5 2 2" xfId="33540"/>
    <cellStyle name="Comma 12 3 2 2 5 2 3" xfId="33541"/>
    <cellStyle name="Comma 12 3 2 2 5 3" xfId="33542"/>
    <cellStyle name="Comma 12 3 2 2 5 3 2" xfId="33543"/>
    <cellStyle name="Comma 12 3 2 2 5 4" xfId="33544"/>
    <cellStyle name="Comma 12 3 2 2 5 5" xfId="33545"/>
    <cellStyle name="Comma 12 3 2 2 6" xfId="33546"/>
    <cellStyle name="Comma 12 3 2 2 6 2" xfId="33547"/>
    <cellStyle name="Comma 12 3 2 2 6 3" xfId="33548"/>
    <cellStyle name="Comma 12 3 2 2 7" xfId="33549"/>
    <cellStyle name="Comma 12 3 2 2 7 2" xfId="33550"/>
    <cellStyle name="Comma 12 3 2 2 7 3" xfId="33551"/>
    <cellStyle name="Comma 12 3 2 2 8" xfId="33552"/>
    <cellStyle name="Comma 12 3 2 2 8 2" xfId="33553"/>
    <cellStyle name="Comma 12 3 2 2 9" xfId="33554"/>
    <cellStyle name="Comma 12 3 2 3" xfId="33555"/>
    <cellStyle name="Comma 12 3 2 3 2" xfId="33556"/>
    <cellStyle name="Comma 12 3 2 3 2 2" xfId="33557"/>
    <cellStyle name="Comma 12 3 2 3 2 2 2" xfId="33558"/>
    <cellStyle name="Comma 12 3 2 3 2 2 3" xfId="33559"/>
    <cellStyle name="Comma 12 3 2 3 2 3" xfId="33560"/>
    <cellStyle name="Comma 12 3 2 3 2 3 2" xfId="33561"/>
    <cellStyle name="Comma 12 3 2 3 2 3 3" xfId="33562"/>
    <cellStyle name="Comma 12 3 2 3 2 4" xfId="33563"/>
    <cellStyle name="Comma 12 3 2 3 2 4 2" xfId="33564"/>
    <cellStyle name="Comma 12 3 2 3 2 5" xfId="33565"/>
    <cellStyle name="Comma 12 3 2 3 2 6" xfId="33566"/>
    <cellStyle name="Comma 12 3 2 3 3" xfId="33567"/>
    <cellStyle name="Comma 12 3 2 3 3 2" xfId="33568"/>
    <cellStyle name="Comma 12 3 2 3 3 2 2" xfId="33569"/>
    <cellStyle name="Comma 12 3 2 3 3 2 3" xfId="33570"/>
    <cellStyle name="Comma 12 3 2 3 3 3" xfId="33571"/>
    <cellStyle name="Comma 12 3 2 3 3 3 2" xfId="33572"/>
    <cellStyle name="Comma 12 3 2 3 3 3 3" xfId="33573"/>
    <cellStyle name="Comma 12 3 2 3 3 4" xfId="33574"/>
    <cellStyle name="Comma 12 3 2 3 3 4 2" xfId="33575"/>
    <cellStyle name="Comma 12 3 2 3 3 5" xfId="33576"/>
    <cellStyle name="Comma 12 3 2 3 3 6" xfId="33577"/>
    <cellStyle name="Comma 12 3 2 3 4" xfId="33578"/>
    <cellStyle name="Comma 12 3 2 3 4 2" xfId="33579"/>
    <cellStyle name="Comma 12 3 2 3 4 2 2" xfId="33580"/>
    <cellStyle name="Comma 12 3 2 3 4 2 3" xfId="33581"/>
    <cellStyle name="Comma 12 3 2 3 4 3" xfId="33582"/>
    <cellStyle name="Comma 12 3 2 3 4 3 2" xfId="33583"/>
    <cellStyle name="Comma 12 3 2 3 4 4" xfId="33584"/>
    <cellStyle name="Comma 12 3 2 3 4 5" xfId="33585"/>
    <cellStyle name="Comma 12 3 2 3 5" xfId="33586"/>
    <cellStyle name="Comma 12 3 2 3 5 2" xfId="33587"/>
    <cellStyle name="Comma 12 3 2 3 5 3" xfId="33588"/>
    <cellStyle name="Comma 12 3 2 3 6" xfId="33589"/>
    <cellStyle name="Comma 12 3 2 3 6 2" xfId="33590"/>
    <cellStyle name="Comma 12 3 2 3 6 3" xfId="33591"/>
    <cellStyle name="Comma 12 3 2 3 7" xfId="33592"/>
    <cellStyle name="Comma 12 3 2 3 7 2" xfId="33593"/>
    <cellStyle name="Comma 12 3 2 3 8" xfId="33594"/>
    <cellStyle name="Comma 12 3 2 3 9" xfId="33595"/>
    <cellStyle name="Comma 12 3 2 4" xfId="33596"/>
    <cellStyle name="Comma 12 3 2 4 2" xfId="33597"/>
    <cellStyle name="Comma 12 3 2 4 2 2" xfId="33598"/>
    <cellStyle name="Comma 12 3 2 4 2 2 2" xfId="33599"/>
    <cellStyle name="Comma 12 3 2 4 2 2 3" xfId="33600"/>
    <cellStyle name="Comma 12 3 2 4 2 3" xfId="33601"/>
    <cellStyle name="Comma 12 3 2 4 2 3 2" xfId="33602"/>
    <cellStyle name="Comma 12 3 2 4 2 3 3" xfId="33603"/>
    <cellStyle name="Comma 12 3 2 4 2 4" xfId="33604"/>
    <cellStyle name="Comma 12 3 2 4 2 4 2" xfId="33605"/>
    <cellStyle name="Comma 12 3 2 4 2 5" xfId="33606"/>
    <cellStyle name="Comma 12 3 2 4 2 6" xfId="33607"/>
    <cellStyle name="Comma 12 3 2 4 3" xfId="33608"/>
    <cellStyle name="Comma 12 3 2 4 3 2" xfId="33609"/>
    <cellStyle name="Comma 12 3 2 4 3 2 2" xfId="33610"/>
    <cellStyle name="Comma 12 3 2 4 3 2 3" xfId="33611"/>
    <cellStyle name="Comma 12 3 2 4 3 3" xfId="33612"/>
    <cellStyle name="Comma 12 3 2 4 3 3 2" xfId="33613"/>
    <cellStyle name="Comma 12 3 2 4 3 3 3" xfId="33614"/>
    <cellStyle name="Comma 12 3 2 4 3 4" xfId="33615"/>
    <cellStyle name="Comma 12 3 2 4 3 4 2" xfId="33616"/>
    <cellStyle name="Comma 12 3 2 4 3 5" xfId="33617"/>
    <cellStyle name="Comma 12 3 2 4 3 6" xfId="33618"/>
    <cellStyle name="Comma 12 3 2 4 4" xfId="33619"/>
    <cellStyle name="Comma 12 3 2 4 4 2" xfId="33620"/>
    <cellStyle name="Comma 12 3 2 4 4 2 2" xfId="33621"/>
    <cellStyle name="Comma 12 3 2 4 4 2 3" xfId="33622"/>
    <cellStyle name="Comma 12 3 2 4 4 3" xfId="33623"/>
    <cellStyle name="Comma 12 3 2 4 4 3 2" xfId="33624"/>
    <cellStyle name="Comma 12 3 2 4 4 4" xfId="33625"/>
    <cellStyle name="Comma 12 3 2 4 4 5" xfId="33626"/>
    <cellStyle name="Comma 12 3 2 4 5" xfId="33627"/>
    <cellStyle name="Comma 12 3 2 4 5 2" xfId="33628"/>
    <cellStyle name="Comma 12 3 2 4 5 3" xfId="33629"/>
    <cellStyle name="Comma 12 3 2 4 6" xfId="33630"/>
    <cellStyle name="Comma 12 3 2 4 6 2" xfId="33631"/>
    <cellStyle name="Comma 12 3 2 4 6 3" xfId="33632"/>
    <cellStyle name="Comma 12 3 2 4 7" xfId="33633"/>
    <cellStyle name="Comma 12 3 2 4 7 2" xfId="33634"/>
    <cellStyle name="Comma 12 3 2 4 8" xfId="33635"/>
    <cellStyle name="Comma 12 3 2 4 9" xfId="33636"/>
    <cellStyle name="Comma 12 3 2 5" xfId="33637"/>
    <cellStyle name="Comma 12 3 2 5 2" xfId="33638"/>
    <cellStyle name="Comma 12 3 2 5 2 2" xfId="33639"/>
    <cellStyle name="Comma 12 3 2 5 2 3" xfId="33640"/>
    <cellStyle name="Comma 12 3 2 5 3" xfId="33641"/>
    <cellStyle name="Comma 12 3 2 5 3 2" xfId="33642"/>
    <cellStyle name="Comma 12 3 2 5 3 3" xfId="33643"/>
    <cellStyle name="Comma 12 3 2 5 4" xfId="33644"/>
    <cellStyle name="Comma 12 3 2 5 4 2" xfId="33645"/>
    <cellStyle name="Comma 12 3 2 5 5" xfId="33646"/>
    <cellStyle name="Comma 12 3 2 5 6" xfId="33647"/>
    <cellStyle name="Comma 12 3 2 6" xfId="33648"/>
    <cellStyle name="Comma 12 3 2 6 2" xfId="33649"/>
    <cellStyle name="Comma 12 3 2 6 2 2" xfId="33650"/>
    <cellStyle name="Comma 12 3 2 6 2 3" xfId="33651"/>
    <cellStyle name="Comma 12 3 2 6 3" xfId="33652"/>
    <cellStyle name="Comma 12 3 2 6 3 2" xfId="33653"/>
    <cellStyle name="Comma 12 3 2 6 3 3" xfId="33654"/>
    <cellStyle name="Comma 12 3 2 6 4" xfId="33655"/>
    <cellStyle name="Comma 12 3 2 6 4 2" xfId="33656"/>
    <cellStyle name="Comma 12 3 2 6 5" xfId="33657"/>
    <cellStyle name="Comma 12 3 2 6 6" xfId="33658"/>
    <cellStyle name="Comma 12 3 2 7" xfId="33659"/>
    <cellStyle name="Comma 12 3 2 7 2" xfId="33660"/>
    <cellStyle name="Comma 12 3 2 7 2 2" xfId="33661"/>
    <cellStyle name="Comma 12 3 2 7 2 3" xfId="33662"/>
    <cellStyle name="Comma 12 3 2 7 3" xfId="33663"/>
    <cellStyle name="Comma 12 3 2 7 3 2" xfId="33664"/>
    <cellStyle name="Comma 12 3 2 7 4" xfId="33665"/>
    <cellStyle name="Comma 12 3 2 7 5" xfId="33666"/>
    <cellStyle name="Comma 12 3 2 8" xfId="33667"/>
    <cellStyle name="Comma 12 3 2 8 2" xfId="33668"/>
    <cellStyle name="Comma 12 3 2 8 3" xfId="33669"/>
    <cellStyle name="Comma 12 3 2 9" xfId="33670"/>
    <cellStyle name="Comma 12 3 2 9 2" xfId="33671"/>
    <cellStyle name="Comma 12 3 2 9 3" xfId="33672"/>
    <cellStyle name="Comma 12 3 3" xfId="33673"/>
    <cellStyle name="Comma 12 3 3 10" xfId="33674"/>
    <cellStyle name="Comma 12 3 3 2" xfId="33675"/>
    <cellStyle name="Comma 12 3 3 2 2" xfId="33676"/>
    <cellStyle name="Comma 12 3 3 2 2 2" xfId="33677"/>
    <cellStyle name="Comma 12 3 3 2 2 2 2" xfId="33678"/>
    <cellStyle name="Comma 12 3 3 2 2 2 3" xfId="33679"/>
    <cellStyle name="Comma 12 3 3 2 2 3" xfId="33680"/>
    <cellStyle name="Comma 12 3 3 2 2 3 2" xfId="33681"/>
    <cellStyle name="Comma 12 3 3 2 2 3 3" xfId="33682"/>
    <cellStyle name="Comma 12 3 3 2 2 4" xfId="33683"/>
    <cellStyle name="Comma 12 3 3 2 2 4 2" xfId="33684"/>
    <cellStyle name="Comma 12 3 3 2 2 5" xfId="33685"/>
    <cellStyle name="Comma 12 3 3 2 2 6" xfId="33686"/>
    <cellStyle name="Comma 12 3 3 2 3" xfId="33687"/>
    <cellStyle name="Comma 12 3 3 2 3 2" xfId="33688"/>
    <cellStyle name="Comma 12 3 3 2 3 2 2" xfId="33689"/>
    <cellStyle name="Comma 12 3 3 2 3 2 3" xfId="33690"/>
    <cellStyle name="Comma 12 3 3 2 3 3" xfId="33691"/>
    <cellStyle name="Comma 12 3 3 2 3 3 2" xfId="33692"/>
    <cellStyle name="Comma 12 3 3 2 3 3 3" xfId="33693"/>
    <cellStyle name="Comma 12 3 3 2 3 4" xfId="33694"/>
    <cellStyle name="Comma 12 3 3 2 3 4 2" xfId="33695"/>
    <cellStyle name="Comma 12 3 3 2 3 5" xfId="33696"/>
    <cellStyle name="Comma 12 3 3 2 3 6" xfId="33697"/>
    <cellStyle name="Comma 12 3 3 2 4" xfId="33698"/>
    <cellStyle name="Comma 12 3 3 2 4 2" xfId="33699"/>
    <cellStyle name="Comma 12 3 3 2 4 2 2" xfId="33700"/>
    <cellStyle name="Comma 12 3 3 2 4 2 3" xfId="33701"/>
    <cellStyle name="Comma 12 3 3 2 4 3" xfId="33702"/>
    <cellStyle name="Comma 12 3 3 2 4 3 2" xfId="33703"/>
    <cellStyle name="Comma 12 3 3 2 4 4" xfId="33704"/>
    <cellStyle name="Comma 12 3 3 2 4 5" xfId="33705"/>
    <cellStyle name="Comma 12 3 3 2 5" xfId="33706"/>
    <cellStyle name="Comma 12 3 3 2 5 2" xfId="33707"/>
    <cellStyle name="Comma 12 3 3 2 5 3" xfId="33708"/>
    <cellStyle name="Comma 12 3 3 2 6" xfId="33709"/>
    <cellStyle name="Comma 12 3 3 2 6 2" xfId="33710"/>
    <cellStyle name="Comma 12 3 3 2 6 3" xfId="33711"/>
    <cellStyle name="Comma 12 3 3 2 7" xfId="33712"/>
    <cellStyle name="Comma 12 3 3 2 7 2" xfId="33713"/>
    <cellStyle name="Comma 12 3 3 2 8" xfId="33714"/>
    <cellStyle name="Comma 12 3 3 2 9" xfId="33715"/>
    <cellStyle name="Comma 12 3 3 3" xfId="33716"/>
    <cellStyle name="Comma 12 3 3 3 2" xfId="33717"/>
    <cellStyle name="Comma 12 3 3 3 2 2" xfId="33718"/>
    <cellStyle name="Comma 12 3 3 3 2 3" xfId="33719"/>
    <cellStyle name="Comma 12 3 3 3 3" xfId="33720"/>
    <cellStyle name="Comma 12 3 3 3 3 2" xfId="33721"/>
    <cellStyle name="Comma 12 3 3 3 3 3" xfId="33722"/>
    <cellStyle name="Comma 12 3 3 3 4" xfId="33723"/>
    <cellStyle name="Comma 12 3 3 3 4 2" xfId="33724"/>
    <cellStyle name="Comma 12 3 3 3 5" xfId="33725"/>
    <cellStyle name="Comma 12 3 3 3 6" xfId="33726"/>
    <cellStyle name="Comma 12 3 3 4" xfId="33727"/>
    <cellStyle name="Comma 12 3 3 4 2" xfId="33728"/>
    <cellStyle name="Comma 12 3 3 4 2 2" xfId="33729"/>
    <cellStyle name="Comma 12 3 3 4 2 3" xfId="33730"/>
    <cellStyle name="Comma 12 3 3 4 3" xfId="33731"/>
    <cellStyle name="Comma 12 3 3 4 3 2" xfId="33732"/>
    <cellStyle name="Comma 12 3 3 4 3 3" xfId="33733"/>
    <cellStyle name="Comma 12 3 3 4 4" xfId="33734"/>
    <cellStyle name="Comma 12 3 3 4 4 2" xfId="33735"/>
    <cellStyle name="Comma 12 3 3 4 5" xfId="33736"/>
    <cellStyle name="Comma 12 3 3 4 6" xfId="33737"/>
    <cellStyle name="Comma 12 3 3 5" xfId="33738"/>
    <cellStyle name="Comma 12 3 3 5 2" xfId="33739"/>
    <cellStyle name="Comma 12 3 3 5 2 2" xfId="33740"/>
    <cellStyle name="Comma 12 3 3 5 2 3" xfId="33741"/>
    <cellStyle name="Comma 12 3 3 5 3" xfId="33742"/>
    <cellStyle name="Comma 12 3 3 5 3 2" xfId="33743"/>
    <cellStyle name="Comma 12 3 3 5 4" xfId="33744"/>
    <cellStyle name="Comma 12 3 3 5 5" xfId="33745"/>
    <cellStyle name="Comma 12 3 3 6" xfId="33746"/>
    <cellStyle name="Comma 12 3 3 6 2" xfId="33747"/>
    <cellStyle name="Comma 12 3 3 6 3" xfId="33748"/>
    <cellStyle name="Comma 12 3 3 7" xfId="33749"/>
    <cellStyle name="Comma 12 3 3 7 2" xfId="33750"/>
    <cellStyle name="Comma 12 3 3 7 3" xfId="33751"/>
    <cellStyle name="Comma 12 3 3 8" xfId="33752"/>
    <cellStyle name="Comma 12 3 3 8 2" xfId="33753"/>
    <cellStyle name="Comma 12 3 3 9" xfId="33754"/>
    <cellStyle name="Comma 12 3 4" xfId="33755"/>
    <cellStyle name="Comma 12 3 4 2" xfId="33756"/>
    <cellStyle name="Comma 12 3 4 2 2" xfId="33757"/>
    <cellStyle name="Comma 12 3 4 2 2 2" xfId="33758"/>
    <cellStyle name="Comma 12 3 4 2 2 3" xfId="33759"/>
    <cellStyle name="Comma 12 3 4 2 3" xfId="33760"/>
    <cellStyle name="Comma 12 3 4 2 3 2" xfId="33761"/>
    <cellStyle name="Comma 12 3 4 2 3 3" xfId="33762"/>
    <cellStyle name="Comma 12 3 4 2 4" xfId="33763"/>
    <cellStyle name="Comma 12 3 4 2 4 2" xfId="33764"/>
    <cellStyle name="Comma 12 3 4 2 5" xfId="33765"/>
    <cellStyle name="Comma 12 3 4 2 6" xfId="33766"/>
    <cellStyle name="Comma 12 3 4 3" xfId="33767"/>
    <cellStyle name="Comma 12 3 4 3 2" xfId="33768"/>
    <cellStyle name="Comma 12 3 4 3 2 2" xfId="33769"/>
    <cellStyle name="Comma 12 3 4 3 2 3" xfId="33770"/>
    <cellStyle name="Comma 12 3 4 3 3" xfId="33771"/>
    <cellStyle name="Comma 12 3 4 3 3 2" xfId="33772"/>
    <cellStyle name="Comma 12 3 4 3 3 3" xfId="33773"/>
    <cellStyle name="Comma 12 3 4 3 4" xfId="33774"/>
    <cellStyle name="Comma 12 3 4 3 4 2" xfId="33775"/>
    <cellStyle name="Comma 12 3 4 3 5" xfId="33776"/>
    <cellStyle name="Comma 12 3 4 3 6" xfId="33777"/>
    <cellStyle name="Comma 12 3 4 4" xfId="33778"/>
    <cellStyle name="Comma 12 3 4 4 2" xfId="33779"/>
    <cellStyle name="Comma 12 3 4 4 2 2" xfId="33780"/>
    <cellStyle name="Comma 12 3 4 4 2 3" xfId="33781"/>
    <cellStyle name="Comma 12 3 4 4 3" xfId="33782"/>
    <cellStyle name="Comma 12 3 4 4 3 2" xfId="33783"/>
    <cellStyle name="Comma 12 3 4 4 4" xfId="33784"/>
    <cellStyle name="Comma 12 3 4 4 5" xfId="33785"/>
    <cellStyle name="Comma 12 3 4 5" xfId="33786"/>
    <cellStyle name="Comma 12 3 4 5 2" xfId="33787"/>
    <cellStyle name="Comma 12 3 4 5 3" xfId="33788"/>
    <cellStyle name="Comma 12 3 4 6" xfId="33789"/>
    <cellStyle name="Comma 12 3 4 6 2" xfId="33790"/>
    <cellStyle name="Comma 12 3 4 6 3" xfId="33791"/>
    <cellStyle name="Comma 12 3 4 7" xfId="33792"/>
    <cellStyle name="Comma 12 3 4 7 2" xfId="33793"/>
    <cellStyle name="Comma 12 3 4 8" xfId="33794"/>
    <cellStyle name="Comma 12 3 4 9" xfId="33795"/>
    <cellStyle name="Comma 12 3 5" xfId="33796"/>
    <cellStyle name="Comma 12 3 5 2" xfId="33797"/>
    <cellStyle name="Comma 12 3 5 2 2" xfId="33798"/>
    <cellStyle name="Comma 12 3 5 2 2 2" xfId="33799"/>
    <cellStyle name="Comma 12 3 5 2 2 3" xfId="33800"/>
    <cellStyle name="Comma 12 3 5 2 3" xfId="33801"/>
    <cellStyle name="Comma 12 3 5 2 3 2" xfId="33802"/>
    <cellStyle name="Comma 12 3 5 2 3 3" xfId="33803"/>
    <cellStyle name="Comma 12 3 5 2 4" xfId="33804"/>
    <cellStyle name="Comma 12 3 5 2 4 2" xfId="33805"/>
    <cellStyle name="Comma 12 3 5 2 5" xfId="33806"/>
    <cellStyle name="Comma 12 3 5 2 6" xfId="33807"/>
    <cellStyle name="Comma 12 3 5 3" xfId="33808"/>
    <cellStyle name="Comma 12 3 5 3 2" xfId="33809"/>
    <cellStyle name="Comma 12 3 5 3 2 2" xfId="33810"/>
    <cellStyle name="Comma 12 3 5 3 2 3" xfId="33811"/>
    <cellStyle name="Comma 12 3 5 3 3" xfId="33812"/>
    <cellStyle name="Comma 12 3 5 3 3 2" xfId="33813"/>
    <cellStyle name="Comma 12 3 5 3 3 3" xfId="33814"/>
    <cellStyle name="Comma 12 3 5 3 4" xfId="33815"/>
    <cellStyle name="Comma 12 3 5 3 4 2" xfId="33816"/>
    <cellStyle name="Comma 12 3 5 3 5" xfId="33817"/>
    <cellStyle name="Comma 12 3 5 3 6" xfId="33818"/>
    <cellStyle name="Comma 12 3 5 4" xfId="33819"/>
    <cellStyle name="Comma 12 3 5 4 2" xfId="33820"/>
    <cellStyle name="Comma 12 3 5 4 2 2" xfId="33821"/>
    <cellStyle name="Comma 12 3 5 4 2 3" xfId="33822"/>
    <cellStyle name="Comma 12 3 5 4 3" xfId="33823"/>
    <cellStyle name="Comma 12 3 5 4 3 2" xfId="33824"/>
    <cellStyle name="Comma 12 3 5 4 4" xfId="33825"/>
    <cellStyle name="Comma 12 3 5 4 5" xfId="33826"/>
    <cellStyle name="Comma 12 3 5 5" xfId="33827"/>
    <cellStyle name="Comma 12 3 5 5 2" xfId="33828"/>
    <cellStyle name="Comma 12 3 5 5 3" xfId="33829"/>
    <cellStyle name="Comma 12 3 5 6" xfId="33830"/>
    <cellStyle name="Comma 12 3 5 6 2" xfId="33831"/>
    <cellStyle name="Comma 12 3 5 6 3" xfId="33832"/>
    <cellStyle name="Comma 12 3 5 7" xfId="33833"/>
    <cellStyle name="Comma 12 3 5 7 2" xfId="33834"/>
    <cellStyle name="Comma 12 3 5 8" xfId="33835"/>
    <cellStyle name="Comma 12 3 5 9" xfId="33836"/>
    <cellStyle name="Comma 12 3 6" xfId="33837"/>
    <cellStyle name="Comma 12 3 6 2" xfId="33838"/>
    <cellStyle name="Comma 12 3 6 2 2" xfId="33839"/>
    <cellStyle name="Comma 12 3 6 2 3" xfId="33840"/>
    <cellStyle name="Comma 12 3 6 3" xfId="33841"/>
    <cellStyle name="Comma 12 3 6 3 2" xfId="33842"/>
    <cellStyle name="Comma 12 3 6 3 3" xfId="33843"/>
    <cellStyle name="Comma 12 3 6 4" xfId="33844"/>
    <cellStyle name="Comma 12 3 6 4 2" xfId="33845"/>
    <cellStyle name="Comma 12 3 6 5" xfId="33846"/>
    <cellStyle name="Comma 12 3 6 6" xfId="33847"/>
    <cellStyle name="Comma 12 3 7" xfId="33848"/>
    <cellStyle name="Comma 12 3 7 2" xfId="33849"/>
    <cellStyle name="Comma 12 3 7 2 2" xfId="33850"/>
    <cellStyle name="Comma 12 3 7 2 3" xfId="33851"/>
    <cellStyle name="Comma 12 3 7 3" xfId="33852"/>
    <cellStyle name="Comma 12 3 7 3 2" xfId="33853"/>
    <cellStyle name="Comma 12 3 7 3 3" xfId="33854"/>
    <cellStyle name="Comma 12 3 7 4" xfId="33855"/>
    <cellStyle name="Comma 12 3 7 4 2" xfId="33856"/>
    <cellStyle name="Comma 12 3 7 5" xfId="33857"/>
    <cellStyle name="Comma 12 3 7 6" xfId="33858"/>
    <cellStyle name="Comma 12 3 8" xfId="33859"/>
    <cellStyle name="Comma 12 3 8 2" xfId="33860"/>
    <cellStyle name="Comma 12 3 8 2 2" xfId="33861"/>
    <cellStyle name="Comma 12 3 8 2 3" xfId="33862"/>
    <cellStyle name="Comma 12 3 8 3" xfId="33863"/>
    <cellStyle name="Comma 12 3 8 3 2" xfId="33864"/>
    <cellStyle name="Comma 12 3 8 4" xfId="33865"/>
    <cellStyle name="Comma 12 3 8 5" xfId="33866"/>
    <cellStyle name="Comma 12 3 9" xfId="33867"/>
    <cellStyle name="Comma 12 3 9 2" xfId="33868"/>
    <cellStyle name="Comma 12 3 9 3" xfId="33869"/>
    <cellStyle name="Comma 12 4" xfId="33870"/>
    <cellStyle name="Comma 12 4 10" xfId="33871"/>
    <cellStyle name="Comma 12 4 10 2" xfId="33872"/>
    <cellStyle name="Comma 12 4 11" xfId="33873"/>
    <cellStyle name="Comma 12 4 12" xfId="33874"/>
    <cellStyle name="Comma 12 4 2" xfId="33875"/>
    <cellStyle name="Comma 12 4 2 10" xfId="33876"/>
    <cellStyle name="Comma 12 4 2 2" xfId="33877"/>
    <cellStyle name="Comma 12 4 2 2 2" xfId="33878"/>
    <cellStyle name="Comma 12 4 2 2 2 2" xfId="33879"/>
    <cellStyle name="Comma 12 4 2 2 2 2 2" xfId="33880"/>
    <cellStyle name="Comma 12 4 2 2 2 2 3" xfId="33881"/>
    <cellStyle name="Comma 12 4 2 2 2 3" xfId="33882"/>
    <cellStyle name="Comma 12 4 2 2 2 3 2" xfId="33883"/>
    <cellStyle name="Comma 12 4 2 2 2 3 3" xfId="33884"/>
    <cellStyle name="Comma 12 4 2 2 2 4" xfId="33885"/>
    <cellStyle name="Comma 12 4 2 2 2 4 2" xfId="33886"/>
    <cellStyle name="Comma 12 4 2 2 2 5" xfId="33887"/>
    <cellStyle name="Comma 12 4 2 2 2 6" xfId="33888"/>
    <cellStyle name="Comma 12 4 2 2 3" xfId="33889"/>
    <cellStyle name="Comma 12 4 2 2 3 2" xfId="33890"/>
    <cellStyle name="Comma 12 4 2 2 3 2 2" xfId="33891"/>
    <cellStyle name="Comma 12 4 2 2 3 2 3" xfId="33892"/>
    <cellStyle name="Comma 12 4 2 2 3 3" xfId="33893"/>
    <cellStyle name="Comma 12 4 2 2 3 3 2" xfId="33894"/>
    <cellStyle name="Comma 12 4 2 2 3 3 3" xfId="33895"/>
    <cellStyle name="Comma 12 4 2 2 3 4" xfId="33896"/>
    <cellStyle name="Comma 12 4 2 2 3 4 2" xfId="33897"/>
    <cellStyle name="Comma 12 4 2 2 3 5" xfId="33898"/>
    <cellStyle name="Comma 12 4 2 2 3 6" xfId="33899"/>
    <cellStyle name="Comma 12 4 2 2 4" xfId="33900"/>
    <cellStyle name="Comma 12 4 2 2 4 2" xfId="33901"/>
    <cellStyle name="Comma 12 4 2 2 4 2 2" xfId="33902"/>
    <cellStyle name="Comma 12 4 2 2 4 2 3" xfId="33903"/>
    <cellStyle name="Comma 12 4 2 2 4 3" xfId="33904"/>
    <cellStyle name="Comma 12 4 2 2 4 3 2" xfId="33905"/>
    <cellStyle name="Comma 12 4 2 2 4 4" xfId="33906"/>
    <cellStyle name="Comma 12 4 2 2 4 5" xfId="33907"/>
    <cellStyle name="Comma 12 4 2 2 5" xfId="33908"/>
    <cellStyle name="Comma 12 4 2 2 5 2" xfId="33909"/>
    <cellStyle name="Comma 12 4 2 2 5 3" xfId="33910"/>
    <cellStyle name="Comma 12 4 2 2 6" xfId="33911"/>
    <cellStyle name="Comma 12 4 2 2 6 2" xfId="33912"/>
    <cellStyle name="Comma 12 4 2 2 6 3" xfId="33913"/>
    <cellStyle name="Comma 12 4 2 2 7" xfId="33914"/>
    <cellStyle name="Comma 12 4 2 2 7 2" xfId="33915"/>
    <cellStyle name="Comma 12 4 2 2 8" xfId="33916"/>
    <cellStyle name="Comma 12 4 2 2 9" xfId="33917"/>
    <cellStyle name="Comma 12 4 2 3" xfId="33918"/>
    <cellStyle name="Comma 12 4 2 3 2" xfId="33919"/>
    <cellStyle name="Comma 12 4 2 3 2 2" xfId="33920"/>
    <cellStyle name="Comma 12 4 2 3 2 3" xfId="33921"/>
    <cellStyle name="Comma 12 4 2 3 3" xfId="33922"/>
    <cellStyle name="Comma 12 4 2 3 3 2" xfId="33923"/>
    <cellStyle name="Comma 12 4 2 3 3 3" xfId="33924"/>
    <cellStyle name="Comma 12 4 2 3 4" xfId="33925"/>
    <cellStyle name="Comma 12 4 2 3 4 2" xfId="33926"/>
    <cellStyle name="Comma 12 4 2 3 5" xfId="33927"/>
    <cellStyle name="Comma 12 4 2 3 6" xfId="33928"/>
    <cellStyle name="Comma 12 4 2 4" xfId="33929"/>
    <cellStyle name="Comma 12 4 2 4 2" xfId="33930"/>
    <cellStyle name="Comma 12 4 2 4 2 2" xfId="33931"/>
    <cellStyle name="Comma 12 4 2 4 2 3" xfId="33932"/>
    <cellStyle name="Comma 12 4 2 4 3" xfId="33933"/>
    <cellStyle name="Comma 12 4 2 4 3 2" xfId="33934"/>
    <cellStyle name="Comma 12 4 2 4 3 3" xfId="33935"/>
    <cellStyle name="Comma 12 4 2 4 4" xfId="33936"/>
    <cellStyle name="Comma 12 4 2 4 4 2" xfId="33937"/>
    <cellStyle name="Comma 12 4 2 4 5" xfId="33938"/>
    <cellStyle name="Comma 12 4 2 4 6" xfId="33939"/>
    <cellStyle name="Comma 12 4 2 5" xfId="33940"/>
    <cellStyle name="Comma 12 4 2 5 2" xfId="33941"/>
    <cellStyle name="Comma 12 4 2 5 2 2" xfId="33942"/>
    <cellStyle name="Comma 12 4 2 5 2 3" xfId="33943"/>
    <cellStyle name="Comma 12 4 2 5 3" xfId="33944"/>
    <cellStyle name="Comma 12 4 2 5 3 2" xfId="33945"/>
    <cellStyle name="Comma 12 4 2 5 4" xfId="33946"/>
    <cellStyle name="Comma 12 4 2 5 5" xfId="33947"/>
    <cellStyle name="Comma 12 4 2 6" xfId="33948"/>
    <cellStyle name="Comma 12 4 2 6 2" xfId="33949"/>
    <cellStyle name="Comma 12 4 2 6 3" xfId="33950"/>
    <cellStyle name="Comma 12 4 2 7" xfId="33951"/>
    <cellStyle name="Comma 12 4 2 7 2" xfId="33952"/>
    <cellStyle name="Comma 12 4 2 7 3" xfId="33953"/>
    <cellStyle name="Comma 12 4 2 8" xfId="33954"/>
    <cellStyle name="Comma 12 4 2 8 2" xfId="33955"/>
    <cellStyle name="Comma 12 4 2 9" xfId="33956"/>
    <cellStyle name="Comma 12 4 3" xfId="33957"/>
    <cellStyle name="Comma 12 4 3 2" xfId="33958"/>
    <cellStyle name="Comma 12 4 3 2 2" xfId="33959"/>
    <cellStyle name="Comma 12 4 3 2 2 2" xfId="33960"/>
    <cellStyle name="Comma 12 4 3 2 2 3" xfId="33961"/>
    <cellStyle name="Comma 12 4 3 2 3" xfId="33962"/>
    <cellStyle name="Comma 12 4 3 2 3 2" xfId="33963"/>
    <cellStyle name="Comma 12 4 3 2 3 3" xfId="33964"/>
    <cellStyle name="Comma 12 4 3 2 4" xfId="33965"/>
    <cellStyle name="Comma 12 4 3 2 4 2" xfId="33966"/>
    <cellStyle name="Comma 12 4 3 2 5" xfId="33967"/>
    <cellStyle name="Comma 12 4 3 2 6" xfId="33968"/>
    <cellStyle name="Comma 12 4 3 3" xfId="33969"/>
    <cellStyle name="Comma 12 4 3 3 2" xfId="33970"/>
    <cellStyle name="Comma 12 4 3 3 2 2" xfId="33971"/>
    <cellStyle name="Comma 12 4 3 3 2 3" xfId="33972"/>
    <cellStyle name="Comma 12 4 3 3 3" xfId="33973"/>
    <cellStyle name="Comma 12 4 3 3 3 2" xfId="33974"/>
    <cellStyle name="Comma 12 4 3 3 3 3" xfId="33975"/>
    <cellStyle name="Comma 12 4 3 3 4" xfId="33976"/>
    <cellStyle name="Comma 12 4 3 3 4 2" xfId="33977"/>
    <cellStyle name="Comma 12 4 3 3 5" xfId="33978"/>
    <cellStyle name="Comma 12 4 3 3 6" xfId="33979"/>
    <cellStyle name="Comma 12 4 3 4" xfId="33980"/>
    <cellStyle name="Comma 12 4 3 4 2" xfId="33981"/>
    <cellStyle name="Comma 12 4 3 4 2 2" xfId="33982"/>
    <cellStyle name="Comma 12 4 3 4 2 3" xfId="33983"/>
    <cellStyle name="Comma 12 4 3 4 3" xfId="33984"/>
    <cellStyle name="Comma 12 4 3 4 3 2" xfId="33985"/>
    <cellStyle name="Comma 12 4 3 4 4" xfId="33986"/>
    <cellStyle name="Comma 12 4 3 4 5" xfId="33987"/>
    <cellStyle name="Comma 12 4 3 5" xfId="33988"/>
    <cellStyle name="Comma 12 4 3 5 2" xfId="33989"/>
    <cellStyle name="Comma 12 4 3 5 3" xfId="33990"/>
    <cellStyle name="Comma 12 4 3 6" xfId="33991"/>
    <cellStyle name="Comma 12 4 3 6 2" xfId="33992"/>
    <cellStyle name="Comma 12 4 3 6 3" xfId="33993"/>
    <cellStyle name="Comma 12 4 3 7" xfId="33994"/>
    <cellStyle name="Comma 12 4 3 7 2" xfId="33995"/>
    <cellStyle name="Comma 12 4 3 8" xfId="33996"/>
    <cellStyle name="Comma 12 4 3 9" xfId="33997"/>
    <cellStyle name="Comma 12 4 4" xfId="33998"/>
    <cellStyle name="Comma 12 4 4 2" xfId="33999"/>
    <cellStyle name="Comma 12 4 4 2 2" xfId="34000"/>
    <cellStyle name="Comma 12 4 4 2 2 2" xfId="34001"/>
    <cellStyle name="Comma 12 4 4 2 2 3" xfId="34002"/>
    <cellStyle name="Comma 12 4 4 2 3" xfId="34003"/>
    <cellStyle name="Comma 12 4 4 2 3 2" xfId="34004"/>
    <cellStyle name="Comma 12 4 4 2 3 3" xfId="34005"/>
    <cellStyle name="Comma 12 4 4 2 4" xfId="34006"/>
    <cellStyle name="Comma 12 4 4 2 4 2" xfId="34007"/>
    <cellStyle name="Comma 12 4 4 2 5" xfId="34008"/>
    <cellStyle name="Comma 12 4 4 2 6" xfId="34009"/>
    <cellStyle name="Comma 12 4 4 3" xfId="34010"/>
    <cellStyle name="Comma 12 4 4 3 2" xfId="34011"/>
    <cellStyle name="Comma 12 4 4 3 2 2" xfId="34012"/>
    <cellStyle name="Comma 12 4 4 3 2 3" xfId="34013"/>
    <cellStyle name="Comma 12 4 4 3 3" xfId="34014"/>
    <cellStyle name="Comma 12 4 4 3 3 2" xfId="34015"/>
    <cellStyle name="Comma 12 4 4 3 3 3" xfId="34016"/>
    <cellStyle name="Comma 12 4 4 3 4" xfId="34017"/>
    <cellStyle name="Comma 12 4 4 3 4 2" xfId="34018"/>
    <cellStyle name="Comma 12 4 4 3 5" xfId="34019"/>
    <cellStyle name="Comma 12 4 4 3 6" xfId="34020"/>
    <cellStyle name="Comma 12 4 4 4" xfId="34021"/>
    <cellStyle name="Comma 12 4 4 4 2" xfId="34022"/>
    <cellStyle name="Comma 12 4 4 4 2 2" xfId="34023"/>
    <cellStyle name="Comma 12 4 4 4 2 3" xfId="34024"/>
    <cellStyle name="Comma 12 4 4 4 3" xfId="34025"/>
    <cellStyle name="Comma 12 4 4 4 3 2" xfId="34026"/>
    <cellStyle name="Comma 12 4 4 4 4" xfId="34027"/>
    <cellStyle name="Comma 12 4 4 4 5" xfId="34028"/>
    <cellStyle name="Comma 12 4 4 5" xfId="34029"/>
    <cellStyle name="Comma 12 4 4 5 2" xfId="34030"/>
    <cellStyle name="Comma 12 4 4 5 3" xfId="34031"/>
    <cellStyle name="Comma 12 4 4 6" xfId="34032"/>
    <cellStyle name="Comma 12 4 4 6 2" xfId="34033"/>
    <cellStyle name="Comma 12 4 4 6 3" xfId="34034"/>
    <cellStyle name="Comma 12 4 4 7" xfId="34035"/>
    <cellStyle name="Comma 12 4 4 7 2" xfId="34036"/>
    <cellStyle name="Comma 12 4 4 8" xfId="34037"/>
    <cellStyle name="Comma 12 4 4 9" xfId="34038"/>
    <cellStyle name="Comma 12 4 5" xfId="34039"/>
    <cellStyle name="Comma 12 4 5 2" xfId="34040"/>
    <cellStyle name="Comma 12 4 5 2 2" xfId="34041"/>
    <cellStyle name="Comma 12 4 5 2 3" xfId="34042"/>
    <cellStyle name="Comma 12 4 5 3" xfId="34043"/>
    <cellStyle name="Comma 12 4 5 3 2" xfId="34044"/>
    <cellStyle name="Comma 12 4 5 3 3" xfId="34045"/>
    <cellStyle name="Comma 12 4 5 4" xfId="34046"/>
    <cellStyle name="Comma 12 4 5 4 2" xfId="34047"/>
    <cellStyle name="Comma 12 4 5 5" xfId="34048"/>
    <cellStyle name="Comma 12 4 5 6" xfId="34049"/>
    <cellStyle name="Comma 12 4 6" xfId="34050"/>
    <cellStyle name="Comma 12 4 6 2" xfId="34051"/>
    <cellStyle name="Comma 12 4 6 2 2" xfId="34052"/>
    <cellStyle name="Comma 12 4 6 2 3" xfId="34053"/>
    <cellStyle name="Comma 12 4 6 3" xfId="34054"/>
    <cellStyle name="Comma 12 4 6 3 2" xfId="34055"/>
    <cellStyle name="Comma 12 4 6 3 3" xfId="34056"/>
    <cellStyle name="Comma 12 4 6 4" xfId="34057"/>
    <cellStyle name="Comma 12 4 6 4 2" xfId="34058"/>
    <cellStyle name="Comma 12 4 6 5" xfId="34059"/>
    <cellStyle name="Comma 12 4 6 6" xfId="34060"/>
    <cellStyle name="Comma 12 4 7" xfId="34061"/>
    <cellStyle name="Comma 12 4 7 2" xfId="34062"/>
    <cellStyle name="Comma 12 4 7 2 2" xfId="34063"/>
    <cellStyle name="Comma 12 4 7 2 3" xfId="34064"/>
    <cellStyle name="Comma 12 4 7 3" xfId="34065"/>
    <cellStyle name="Comma 12 4 7 3 2" xfId="34066"/>
    <cellStyle name="Comma 12 4 7 4" xfId="34067"/>
    <cellStyle name="Comma 12 4 7 5" xfId="34068"/>
    <cellStyle name="Comma 12 4 8" xfId="34069"/>
    <cellStyle name="Comma 12 4 8 2" xfId="34070"/>
    <cellStyle name="Comma 12 4 8 3" xfId="34071"/>
    <cellStyle name="Comma 12 4 9" xfId="34072"/>
    <cellStyle name="Comma 12 4 9 2" xfId="34073"/>
    <cellStyle name="Comma 12 4 9 3" xfId="34074"/>
    <cellStyle name="Comma 12 5" xfId="34075"/>
    <cellStyle name="Comma 12 5 10" xfId="34076"/>
    <cellStyle name="Comma 12 5 2" xfId="34077"/>
    <cellStyle name="Comma 12 5 2 2" xfId="34078"/>
    <cellStyle name="Comma 12 5 2 2 2" xfId="34079"/>
    <cellStyle name="Comma 12 5 2 2 2 2" xfId="34080"/>
    <cellStyle name="Comma 12 5 2 2 2 3" xfId="34081"/>
    <cellStyle name="Comma 12 5 2 2 3" xfId="34082"/>
    <cellStyle name="Comma 12 5 2 2 3 2" xfId="34083"/>
    <cellStyle name="Comma 12 5 2 2 3 3" xfId="34084"/>
    <cellStyle name="Comma 12 5 2 2 4" xfId="34085"/>
    <cellStyle name="Comma 12 5 2 2 4 2" xfId="34086"/>
    <cellStyle name="Comma 12 5 2 2 5" xfId="34087"/>
    <cellStyle name="Comma 12 5 2 2 6" xfId="34088"/>
    <cellStyle name="Comma 12 5 2 3" xfId="34089"/>
    <cellStyle name="Comma 12 5 2 3 2" xfId="34090"/>
    <cellStyle name="Comma 12 5 2 3 2 2" xfId="34091"/>
    <cellStyle name="Comma 12 5 2 3 2 3" xfId="34092"/>
    <cellStyle name="Comma 12 5 2 3 3" xfId="34093"/>
    <cellStyle name="Comma 12 5 2 3 3 2" xfId="34094"/>
    <cellStyle name="Comma 12 5 2 3 3 3" xfId="34095"/>
    <cellStyle name="Comma 12 5 2 3 4" xfId="34096"/>
    <cellStyle name="Comma 12 5 2 3 4 2" xfId="34097"/>
    <cellStyle name="Comma 12 5 2 3 5" xfId="34098"/>
    <cellStyle name="Comma 12 5 2 3 6" xfId="34099"/>
    <cellStyle name="Comma 12 5 2 4" xfId="34100"/>
    <cellStyle name="Comma 12 5 2 4 2" xfId="34101"/>
    <cellStyle name="Comma 12 5 2 4 2 2" xfId="34102"/>
    <cellStyle name="Comma 12 5 2 4 2 3" xfId="34103"/>
    <cellStyle name="Comma 12 5 2 4 3" xfId="34104"/>
    <cellStyle name="Comma 12 5 2 4 3 2" xfId="34105"/>
    <cellStyle name="Comma 12 5 2 4 4" xfId="34106"/>
    <cellStyle name="Comma 12 5 2 4 5" xfId="34107"/>
    <cellStyle name="Comma 12 5 2 5" xfId="34108"/>
    <cellStyle name="Comma 12 5 2 5 2" xfId="34109"/>
    <cellStyle name="Comma 12 5 2 5 3" xfId="34110"/>
    <cellStyle name="Comma 12 5 2 6" xfId="34111"/>
    <cellStyle name="Comma 12 5 2 6 2" xfId="34112"/>
    <cellStyle name="Comma 12 5 2 6 3" xfId="34113"/>
    <cellStyle name="Comma 12 5 2 7" xfId="34114"/>
    <cellStyle name="Comma 12 5 2 7 2" xfId="34115"/>
    <cellStyle name="Comma 12 5 2 8" xfId="34116"/>
    <cellStyle name="Comma 12 5 2 9" xfId="34117"/>
    <cellStyle name="Comma 12 5 3" xfId="34118"/>
    <cellStyle name="Comma 12 5 3 2" xfId="34119"/>
    <cellStyle name="Comma 12 5 3 2 2" xfId="34120"/>
    <cellStyle name="Comma 12 5 3 2 3" xfId="34121"/>
    <cellStyle name="Comma 12 5 3 3" xfId="34122"/>
    <cellStyle name="Comma 12 5 3 3 2" xfId="34123"/>
    <cellStyle name="Comma 12 5 3 3 3" xfId="34124"/>
    <cellStyle name="Comma 12 5 3 4" xfId="34125"/>
    <cellStyle name="Comma 12 5 3 4 2" xfId="34126"/>
    <cellStyle name="Comma 12 5 3 5" xfId="34127"/>
    <cellStyle name="Comma 12 5 3 6" xfId="34128"/>
    <cellStyle name="Comma 12 5 4" xfId="34129"/>
    <cellStyle name="Comma 12 5 4 2" xfId="34130"/>
    <cellStyle name="Comma 12 5 4 2 2" xfId="34131"/>
    <cellStyle name="Comma 12 5 4 2 3" xfId="34132"/>
    <cellStyle name="Comma 12 5 4 3" xfId="34133"/>
    <cellStyle name="Comma 12 5 4 3 2" xfId="34134"/>
    <cellStyle name="Comma 12 5 4 3 3" xfId="34135"/>
    <cellStyle name="Comma 12 5 4 4" xfId="34136"/>
    <cellStyle name="Comma 12 5 4 4 2" xfId="34137"/>
    <cellStyle name="Comma 12 5 4 5" xfId="34138"/>
    <cellStyle name="Comma 12 5 4 6" xfId="34139"/>
    <cellStyle name="Comma 12 5 5" xfId="34140"/>
    <cellStyle name="Comma 12 5 5 2" xfId="34141"/>
    <cellStyle name="Comma 12 5 5 2 2" xfId="34142"/>
    <cellStyle name="Comma 12 5 5 2 3" xfId="34143"/>
    <cellStyle name="Comma 12 5 5 3" xfId="34144"/>
    <cellStyle name="Comma 12 5 5 3 2" xfId="34145"/>
    <cellStyle name="Comma 12 5 5 4" xfId="34146"/>
    <cellStyle name="Comma 12 5 5 5" xfId="34147"/>
    <cellStyle name="Comma 12 5 6" xfId="34148"/>
    <cellStyle name="Comma 12 5 6 2" xfId="34149"/>
    <cellStyle name="Comma 12 5 6 3" xfId="34150"/>
    <cellStyle name="Comma 12 5 7" xfId="34151"/>
    <cellStyle name="Comma 12 5 7 2" xfId="34152"/>
    <cellStyle name="Comma 12 5 7 3" xfId="34153"/>
    <cellStyle name="Comma 12 5 8" xfId="34154"/>
    <cellStyle name="Comma 12 5 8 2" xfId="34155"/>
    <cellStyle name="Comma 12 5 9" xfId="34156"/>
    <cellStyle name="Comma 12 6" xfId="34157"/>
    <cellStyle name="Comma 12 6 2" xfId="34158"/>
    <cellStyle name="Comma 12 6 2 2" xfId="34159"/>
    <cellStyle name="Comma 12 6 2 2 2" xfId="34160"/>
    <cellStyle name="Comma 12 6 2 2 3" xfId="34161"/>
    <cellStyle name="Comma 12 6 2 3" xfId="34162"/>
    <cellStyle name="Comma 12 6 2 3 2" xfId="34163"/>
    <cellStyle name="Comma 12 6 2 3 3" xfId="34164"/>
    <cellStyle name="Comma 12 6 2 4" xfId="34165"/>
    <cellStyle name="Comma 12 6 2 4 2" xfId="34166"/>
    <cellStyle name="Comma 12 6 2 5" xfId="34167"/>
    <cellStyle name="Comma 12 6 2 6" xfId="34168"/>
    <cellStyle name="Comma 12 6 3" xfId="34169"/>
    <cellStyle name="Comma 12 6 3 2" xfId="34170"/>
    <cellStyle name="Comma 12 6 3 2 2" xfId="34171"/>
    <cellStyle name="Comma 12 6 3 2 3" xfId="34172"/>
    <cellStyle name="Comma 12 6 3 3" xfId="34173"/>
    <cellStyle name="Comma 12 6 3 3 2" xfId="34174"/>
    <cellStyle name="Comma 12 6 3 3 3" xfId="34175"/>
    <cellStyle name="Comma 12 6 3 4" xfId="34176"/>
    <cellStyle name="Comma 12 6 3 4 2" xfId="34177"/>
    <cellStyle name="Comma 12 6 3 5" xfId="34178"/>
    <cellStyle name="Comma 12 6 3 6" xfId="34179"/>
    <cellStyle name="Comma 12 6 4" xfId="34180"/>
    <cellStyle name="Comma 12 6 4 2" xfId="34181"/>
    <cellStyle name="Comma 12 6 4 2 2" xfId="34182"/>
    <cellStyle name="Comma 12 6 4 2 3" xfId="34183"/>
    <cellStyle name="Comma 12 6 4 3" xfId="34184"/>
    <cellStyle name="Comma 12 6 4 3 2" xfId="34185"/>
    <cellStyle name="Comma 12 6 4 4" xfId="34186"/>
    <cellStyle name="Comma 12 6 4 5" xfId="34187"/>
    <cellStyle name="Comma 12 6 5" xfId="34188"/>
    <cellStyle name="Comma 12 6 5 2" xfId="34189"/>
    <cellStyle name="Comma 12 6 5 3" xfId="34190"/>
    <cellStyle name="Comma 12 6 6" xfId="34191"/>
    <cellStyle name="Comma 12 6 6 2" xfId="34192"/>
    <cellStyle name="Comma 12 6 6 3" xfId="34193"/>
    <cellStyle name="Comma 12 6 7" xfId="34194"/>
    <cellStyle name="Comma 12 6 7 2" xfId="34195"/>
    <cellStyle name="Comma 12 6 8" xfId="34196"/>
    <cellStyle name="Comma 12 6 9" xfId="34197"/>
    <cellStyle name="Comma 12 7" xfId="34198"/>
    <cellStyle name="Comma 12 7 2" xfId="34199"/>
    <cellStyle name="Comma 12 7 2 2" xfId="34200"/>
    <cellStyle name="Comma 12 7 2 2 2" xfId="34201"/>
    <cellStyle name="Comma 12 7 2 2 3" xfId="34202"/>
    <cellStyle name="Comma 12 7 2 3" xfId="34203"/>
    <cellStyle name="Comma 12 7 2 3 2" xfId="34204"/>
    <cellStyle name="Comma 12 7 2 3 3" xfId="34205"/>
    <cellStyle name="Comma 12 7 2 4" xfId="34206"/>
    <cellStyle name="Comma 12 7 2 4 2" xfId="34207"/>
    <cellStyle name="Comma 12 7 2 5" xfId="34208"/>
    <cellStyle name="Comma 12 7 2 6" xfId="34209"/>
    <cellStyle name="Comma 12 7 3" xfId="34210"/>
    <cellStyle name="Comma 12 7 3 2" xfId="34211"/>
    <cellStyle name="Comma 12 7 3 2 2" xfId="34212"/>
    <cellStyle name="Comma 12 7 3 2 3" xfId="34213"/>
    <cellStyle name="Comma 12 7 3 3" xfId="34214"/>
    <cellStyle name="Comma 12 7 3 3 2" xfId="34215"/>
    <cellStyle name="Comma 12 7 3 3 3" xfId="34216"/>
    <cellStyle name="Comma 12 7 3 4" xfId="34217"/>
    <cellStyle name="Comma 12 7 3 4 2" xfId="34218"/>
    <cellStyle name="Comma 12 7 3 5" xfId="34219"/>
    <cellStyle name="Comma 12 7 3 6" xfId="34220"/>
    <cellStyle name="Comma 12 7 4" xfId="34221"/>
    <cellStyle name="Comma 12 7 4 2" xfId="34222"/>
    <cellStyle name="Comma 12 7 4 2 2" xfId="34223"/>
    <cellStyle name="Comma 12 7 4 2 3" xfId="34224"/>
    <cellStyle name="Comma 12 7 4 3" xfId="34225"/>
    <cellStyle name="Comma 12 7 4 3 2" xfId="34226"/>
    <cellStyle name="Comma 12 7 4 4" xfId="34227"/>
    <cellStyle name="Comma 12 7 4 5" xfId="34228"/>
    <cellStyle name="Comma 12 7 5" xfId="34229"/>
    <cellStyle name="Comma 12 7 5 2" xfId="34230"/>
    <cellStyle name="Comma 12 7 5 3" xfId="34231"/>
    <cellStyle name="Comma 12 7 6" xfId="34232"/>
    <cellStyle name="Comma 12 7 6 2" xfId="34233"/>
    <cellStyle name="Comma 12 7 6 3" xfId="34234"/>
    <cellStyle name="Comma 12 7 7" xfId="34235"/>
    <cellStyle name="Comma 12 7 7 2" xfId="34236"/>
    <cellStyle name="Comma 12 7 8" xfId="34237"/>
    <cellStyle name="Comma 12 7 9" xfId="34238"/>
    <cellStyle name="Comma 12 8" xfId="34239"/>
    <cellStyle name="Comma 12 8 2" xfId="34240"/>
    <cellStyle name="Comma 12 8 2 2" xfId="34241"/>
    <cellStyle name="Comma 12 8 2 3" xfId="34242"/>
    <cellStyle name="Comma 12 8 3" xfId="34243"/>
    <cellStyle name="Comma 12 8 3 2" xfId="34244"/>
    <cellStyle name="Comma 12 8 3 3" xfId="34245"/>
    <cellStyle name="Comma 12 8 4" xfId="34246"/>
    <cellStyle name="Comma 12 8 4 2" xfId="34247"/>
    <cellStyle name="Comma 12 8 5" xfId="34248"/>
    <cellStyle name="Comma 12 8 6" xfId="34249"/>
    <cellStyle name="Comma 12 9" xfId="34250"/>
    <cellStyle name="Comma 12 9 2" xfId="34251"/>
    <cellStyle name="Comma 12 9 2 2" xfId="34252"/>
    <cellStyle name="Comma 12 9 2 3" xfId="34253"/>
    <cellStyle name="Comma 12 9 3" xfId="34254"/>
    <cellStyle name="Comma 12 9 3 2" xfId="34255"/>
    <cellStyle name="Comma 12 9 3 3" xfId="34256"/>
    <cellStyle name="Comma 12 9 4" xfId="34257"/>
    <cellStyle name="Comma 12 9 4 2" xfId="34258"/>
    <cellStyle name="Comma 12 9 5" xfId="34259"/>
    <cellStyle name="Comma 12 9 6" xfId="34260"/>
    <cellStyle name="Comma 13" xfId="3240"/>
    <cellStyle name="Comma 13 10" xfId="34261"/>
    <cellStyle name="Comma 13 10 2" xfId="34262"/>
    <cellStyle name="Comma 13 10 2 2" xfId="34263"/>
    <cellStyle name="Comma 13 10 2 3" xfId="34264"/>
    <cellStyle name="Comma 13 10 3" xfId="34265"/>
    <cellStyle name="Comma 13 10 3 2" xfId="34266"/>
    <cellStyle name="Comma 13 10 4" xfId="34267"/>
    <cellStyle name="Comma 13 10 5" xfId="34268"/>
    <cellStyle name="Comma 13 11" xfId="34269"/>
    <cellStyle name="Comma 13 11 2" xfId="34270"/>
    <cellStyle name="Comma 13 11 3" xfId="34271"/>
    <cellStyle name="Comma 13 12" xfId="34272"/>
    <cellStyle name="Comma 13 12 2" xfId="34273"/>
    <cellStyle name="Comma 13 12 3" xfId="34274"/>
    <cellStyle name="Comma 13 13" xfId="34275"/>
    <cellStyle name="Comma 13 13 2" xfId="34276"/>
    <cellStyle name="Comma 13 14" xfId="34277"/>
    <cellStyle name="Comma 13 15" xfId="34278"/>
    <cellStyle name="Comma 13 16" xfId="34279"/>
    <cellStyle name="Comma 13 2" xfId="9048"/>
    <cellStyle name="Comma 13 2 10" xfId="34280"/>
    <cellStyle name="Comma 13 2 10 2" xfId="34281"/>
    <cellStyle name="Comma 13 2 10 3" xfId="34282"/>
    <cellStyle name="Comma 13 2 11" xfId="34283"/>
    <cellStyle name="Comma 13 2 11 2" xfId="34284"/>
    <cellStyle name="Comma 13 2 11 3" xfId="34285"/>
    <cellStyle name="Comma 13 2 12" xfId="34286"/>
    <cellStyle name="Comma 13 2 12 2" xfId="34287"/>
    <cellStyle name="Comma 13 2 13" xfId="34288"/>
    <cellStyle name="Comma 13 2 14" xfId="34289"/>
    <cellStyle name="Comma 13 2 15" xfId="34290"/>
    <cellStyle name="Comma 13 2 2" xfId="34291"/>
    <cellStyle name="Comma 13 2 2 10" xfId="34292"/>
    <cellStyle name="Comma 13 2 2 10 2" xfId="34293"/>
    <cellStyle name="Comma 13 2 2 10 3" xfId="34294"/>
    <cellStyle name="Comma 13 2 2 11" xfId="34295"/>
    <cellStyle name="Comma 13 2 2 11 2" xfId="34296"/>
    <cellStyle name="Comma 13 2 2 12" xfId="34297"/>
    <cellStyle name="Comma 13 2 2 13" xfId="34298"/>
    <cellStyle name="Comma 13 2 2 2" xfId="34299"/>
    <cellStyle name="Comma 13 2 2 2 10" xfId="34300"/>
    <cellStyle name="Comma 13 2 2 2 10 2" xfId="34301"/>
    <cellStyle name="Comma 13 2 2 2 11" xfId="34302"/>
    <cellStyle name="Comma 13 2 2 2 12" xfId="34303"/>
    <cellStyle name="Comma 13 2 2 2 2" xfId="34304"/>
    <cellStyle name="Comma 13 2 2 2 2 10" xfId="34305"/>
    <cellStyle name="Comma 13 2 2 2 2 2" xfId="34306"/>
    <cellStyle name="Comma 13 2 2 2 2 2 2" xfId="34307"/>
    <cellStyle name="Comma 13 2 2 2 2 2 2 2" xfId="34308"/>
    <cellStyle name="Comma 13 2 2 2 2 2 2 2 2" xfId="34309"/>
    <cellStyle name="Comma 13 2 2 2 2 2 2 2 3" xfId="34310"/>
    <cellStyle name="Comma 13 2 2 2 2 2 2 3" xfId="34311"/>
    <cellStyle name="Comma 13 2 2 2 2 2 2 3 2" xfId="34312"/>
    <cellStyle name="Comma 13 2 2 2 2 2 2 3 3" xfId="34313"/>
    <cellStyle name="Comma 13 2 2 2 2 2 2 4" xfId="34314"/>
    <cellStyle name="Comma 13 2 2 2 2 2 2 4 2" xfId="34315"/>
    <cellStyle name="Comma 13 2 2 2 2 2 2 5" xfId="34316"/>
    <cellStyle name="Comma 13 2 2 2 2 2 2 6" xfId="34317"/>
    <cellStyle name="Comma 13 2 2 2 2 2 3" xfId="34318"/>
    <cellStyle name="Comma 13 2 2 2 2 2 3 2" xfId="34319"/>
    <cellStyle name="Comma 13 2 2 2 2 2 3 2 2" xfId="34320"/>
    <cellStyle name="Comma 13 2 2 2 2 2 3 2 3" xfId="34321"/>
    <cellStyle name="Comma 13 2 2 2 2 2 3 3" xfId="34322"/>
    <cellStyle name="Comma 13 2 2 2 2 2 3 3 2" xfId="34323"/>
    <cellStyle name="Comma 13 2 2 2 2 2 3 3 3" xfId="34324"/>
    <cellStyle name="Comma 13 2 2 2 2 2 3 4" xfId="34325"/>
    <cellStyle name="Comma 13 2 2 2 2 2 3 4 2" xfId="34326"/>
    <cellStyle name="Comma 13 2 2 2 2 2 3 5" xfId="34327"/>
    <cellStyle name="Comma 13 2 2 2 2 2 3 6" xfId="34328"/>
    <cellStyle name="Comma 13 2 2 2 2 2 4" xfId="34329"/>
    <cellStyle name="Comma 13 2 2 2 2 2 4 2" xfId="34330"/>
    <cellStyle name="Comma 13 2 2 2 2 2 4 2 2" xfId="34331"/>
    <cellStyle name="Comma 13 2 2 2 2 2 4 2 3" xfId="34332"/>
    <cellStyle name="Comma 13 2 2 2 2 2 4 3" xfId="34333"/>
    <cellStyle name="Comma 13 2 2 2 2 2 4 3 2" xfId="34334"/>
    <cellStyle name="Comma 13 2 2 2 2 2 4 4" xfId="34335"/>
    <cellStyle name="Comma 13 2 2 2 2 2 4 5" xfId="34336"/>
    <cellStyle name="Comma 13 2 2 2 2 2 5" xfId="34337"/>
    <cellStyle name="Comma 13 2 2 2 2 2 5 2" xfId="34338"/>
    <cellStyle name="Comma 13 2 2 2 2 2 5 3" xfId="34339"/>
    <cellStyle name="Comma 13 2 2 2 2 2 6" xfId="34340"/>
    <cellStyle name="Comma 13 2 2 2 2 2 6 2" xfId="34341"/>
    <cellStyle name="Comma 13 2 2 2 2 2 6 3" xfId="34342"/>
    <cellStyle name="Comma 13 2 2 2 2 2 7" xfId="34343"/>
    <cellStyle name="Comma 13 2 2 2 2 2 7 2" xfId="34344"/>
    <cellStyle name="Comma 13 2 2 2 2 2 8" xfId="34345"/>
    <cellStyle name="Comma 13 2 2 2 2 2 9" xfId="34346"/>
    <cellStyle name="Comma 13 2 2 2 2 3" xfId="34347"/>
    <cellStyle name="Comma 13 2 2 2 2 3 2" xfId="34348"/>
    <cellStyle name="Comma 13 2 2 2 2 3 2 2" xfId="34349"/>
    <cellStyle name="Comma 13 2 2 2 2 3 2 3" xfId="34350"/>
    <cellStyle name="Comma 13 2 2 2 2 3 3" xfId="34351"/>
    <cellStyle name="Comma 13 2 2 2 2 3 3 2" xfId="34352"/>
    <cellStyle name="Comma 13 2 2 2 2 3 3 3" xfId="34353"/>
    <cellStyle name="Comma 13 2 2 2 2 3 4" xfId="34354"/>
    <cellStyle name="Comma 13 2 2 2 2 3 4 2" xfId="34355"/>
    <cellStyle name="Comma 13 2 2 2 2 3 5" xfId="34356"/>
    <cellStyle name="Comma 13 2 2 2 2 3 6" xfId="34357"/>
    <cellStyle name="Comma 13 2 2 2 2 4" xfId="34358"/>
    <cellStyle name="Comma 13 2 2 2 2 4 2" xfId="34359"/>
    <cellStyle name="Comma 13 2 2 2 2 4 2 2" xfId="34360"/>
    <cellStyle name="Comma 13 2 2 2 2 4 2 3" xfId="34361"/>
    <cellStyle name="Comma 13 2 2 2 2 4 3" xfId="34362"/>
    <cellStyle name="Comma 13 2 2 2 2 4 3 2" xfId="34363"/>
    <cellStyle name="Comma 13 2 2 2 2 4 3 3" xfId="34364"/>
    <cellStyle name="Comma 13 2 2 2 2 4 4" xfId="34365"/>
    <cellStyle name="Comma 13 2 2 2 2 4 4 2" xfId="34366"/>
    <cellStyle name="Comma 13 2 2 2 2 4 5" xfId="34367"/>
    <cellStyle name="Comma 13 2 2 2 2 4 6" xfId="34368"/>
    <cellStyle name="Comma 13 2 2 2 2 5" xfId="34369"/>
    <cellStyle name="Comma 13 2 2 2 2 5 2" xfId="34370"/>
    <cellStyle name="Comma 13 2 2 2 2 5 2 2" xfId="34371"/>
    <cellStyle name="Comma 13 2 2 2 2 5 2 3" xfId="34372"/>
    <cellStyle name="Comma 13 2 2 2 2 5 3" xfId="34373"/>
    <cellStyle name="Comma 13 2 2 2 2 5 3 2" xfId="34374"/>
    <cellStyle name="Comma 13 2 2 2 2 5 4" xfId="34375"/>
    <cellStyle name="Comma 13 2 2 2 2 5 5" xfId="34376"/>
    <cellStyle name="Comma 13 2 2 2 2 6" xfId="34377"/>
    <cellStyle name="Comma 13 2 2 2 2 6 2" xfId="34378"/>
    <cellStyle name="Comma 13 2 2 2 2 6 3" xfId="34379"/>
    <cellStyle name="Comma 13 2 2 2 2 7" xfId="34380"/>
    <cellStyle name="Comma 13 2 2 2 2 7 2" xfId="34381"/>
    <cellStyle name="Comma 13 2 2 2 2 7 3" xfId="34382"/>
    <cellStyle name="Comma 13 2 2 2 2 8" xfId="34383"/>
    <cellStyle name="Comma 13 2 2 2 2 8 2" xfId="34384"/>
    <cellStyle name="Comma 13 2 2 2 2 9" xfId="34385"/>
    <cellStyle name="Comma 13 2 2 2 3" xfId="34386"/>
    <cellStyle name="Comma 13 2 2 2 3 2" xfId="34387"/>
    <cellStyle name="Comma 13 2 2 2 3 2 2" xfId="34388"/>
    <cellStyle name="Comma 13 2 2 2 3 2 2 2" xfId="34389"/>
    <cellStyle name="Comma 13 2 2 2 3 2 2 3" xfId="34390"/>
    <cellStyle name="Comma 13 2 2 2 3 2 3" xfId="34391"/>
    <cellStyle name="Comma 13 2 2 2 3 2 3 2" xfId="34392"/>
    <cellStyle name="Comma 13 2 2 2 3 2 3 3" xfId="34393"/>
    <cellStyle name="Comma 13 2 2 2 3 2 4" xfId="34394"/>
    <cellStyle name="Comma 13 2 2 2 3 2 4 2" xfId="34395"/>
    <cellStyle name="Comma 13 2 2 2 3 2 5" xfId="34396"/>
    <cellStyle name="Comma 13 2 2 2 3 2 6" xfId="34397"/>
    <cellStyle name="Comma 13 2 2 2 3 3" xfId="34398"/>
    <cellStyle name="Comma 13 2 2 2 3 3 2" xfId="34399"/>
    <cellStyle name="Comma 13 2 2 2 3 3 2 2" xfId="34400"/>
    <cellStyle name="Comma 13 2 2 2 3 3 2 3" xfId="34401"/>
    <cellStyle name="Comma 13 2 2 2 3 3 3" xfId="34402"/>
    <cellStyle name="Comma 13 2 2 2 3 3 3 2" xfId="34403"/>
    <cellStyle name="Comma 13 2 2 2 3 3 3 3" xfId="34404"/>
    <cellStyle name="Comma 13 2 2 2 3 3 4" xfId="34405"/>
    <cellStyle name="Comma 13 2 2 2 3 3 4 2" xfId="34406"/>
    <cellStyle name="Comma 13 2 2 2 3 3 5" xfId="34407"/>
    <cellStyle name="Comma 13 2 2 2 3 3 6" xfId="34408"/>
    <cellStyle name="Comma 13 2 2 2 3 4" xfId="34409"/>
    <cellStyle name="Comma 13 2 2 2 3 4 2" xfId="34410"/>
    <cellStyle name="Comma 13 2 2 2 3 4 2 2" xfId="34411"/>
    <cellStyle name="Comma 13 2 2 2 3 4 2 3" xfId="34412"/>
    <cellStyle name="Comma 13 2 2 2 3 4 3" xfId="34413"/>
    <cellStyle name="Comma 13 2 2 2 3 4 3 2" xfId="34414"/>
    <cellStyle name="Comma 13 2 2 2 3 4 4" xfId="34415"/>
    <cellStyle name="Comma 13 2 2 2 3 4 5" xfId="34416"/>
    <cellStyle name="Comma 13 2 2 2 3 5" xfId="34417"/>
    <cellStyle name="Comma 13 2 2 2 3 5 2" xfId="34418"/>
    <cellStyle name="Comma 13 2 2 2 3 5 3" xfId="34419"/>
    <cellStyle name="Comma 13 2 2 2 3 6" xfId="34420"/>
    <cellStyle name="Comma 13 2 2 2 3 6 2" xfId="34421"/>
    <cellStyle name="Comma 13 2 2 2 3 6 3" xfId="34422"/>
    <cellStyle name="Comma 13 2 2 2 3 7" xfId="34423"/>
    <cellStyle name="Comma 13 2 2 2 3 7 2" xfId="34424"/>
    <cellStyle name="Comma 13 2 2 2 3 8" xfId="34425"/>
    <cellStyle name="Comma 13 2 2 2 3 9" xfId="34426"/>
    <cellStyle name="Comma 13 2 2 2 4" xfId="34427"/>
    <cellStyle name="Comma 13 2 2 2 4 2" xfId="34428"/>
    <cellStyle name="Comma 13 2 2 2 4 2 2" xfId="34429"/>
    <cellStyle name="Comma 13 2 2 2 4 2 2 2" xfId="34430"/>
    <cellStyle name="Comma 13 2 2 2 4 2 2 3" xfId="34431"/>
    <cellStyle name="Comma 13 2 2 2 4 2 3" xfId="34432"/>
    <cellStyle name="Comma 13 2 2 2 4 2 3 2" xfId="34433"/>
    <cellStyle name="Comma 13 2 2 2 4 2 3 3" xfId="34434"/>
    <cellStyle name="Comma 13 2 2 2 4 2 4" xfId="34435"/>
    <cellStyle name="Comma 13 2 2 2 4 2 4 2" xfId="34436"/>
    <cellStyle name="Comma 13 2 2 2 4 2 5" xfId="34437"/>
    <cellStyle name="Comma 13 2 2 2 4 2 6" xfId="34438"/>
    <cellStyle name="Comma 13 2 2 2 4 3" xfId="34439"/>
    <cellStyle name="Comma 13 2 2 2 4 3 2" xfId="34440"/>
    <cellStyle name="Comma 13 2 2 2 4 3 2 2" xfId="34441"/>
    <cellStyle name="Comma 13 2 2 2 4 3 2 3" xfId="34442"/>
    <cellStyle name="Comma 13 2 2 2 4 3 3" xfId="34443"/>
    <cellStyle name="Comma 13 2 2 2 4 3 3 2" xfId="34444"/>
    <cellStyle name="Comma 13 2 2 2 4 3 3 3" xfId="34445"/>
    <cellStyle name="Comma 13 2 2 2 4 3 4" xfId="34446"/>
    <cellStyle name="Comma 13 2 2 2 4 3 4 2" xfId="34447"/>
    <cellStyle name="Comma 13 2 2 2 4 3 5" xfId="34448"/>
    <cellStyle name="Comma 13 2 2 2 4 3 6" xfId="34449"/>
    <cellStyle name="Comma 13 2 2 2 4 4" xfId="34450"/>
    <cellStyle name="Comma 13 2 2 2 4 4 2" xfId="34451"/>
    <cellStyle name="Comma 13 2 2 2 4 4 2 2" xfId="34452"/>
    <cellStyle name="Comma 13 2 2 2 4 4 2 3" xfId="34453"/>
    <cellStyle name="Comma 13 2 2 2 4 4 3" xfId="34454"/>
    <cellStyle name="Comma 13 2 2 2 4 4 3 2" xfId="34455"/>
    <cellStyle name="Comma 13 2 2 2 4 4 4" xfId="34456"/>
    <cellStyle name="Comma 13 2 2 2 4 4 5" xfId="34457"/>
    <cellStyle name="Comma 13 2 2 2 4 5" xfId="34458"/>
    <cellStyle name="Comma 13 2 2 2 4 5 2" xfId="34459"/>
    <cellStyle name="Comma 13 2 2 2 4 5 3" xfId="34460"/>
    <cellStyle name="Comma 13 2 2 2 4 6" xfId="34461"/>
    <cellStyle name="Comma 13 2 2 2 4 6 2" xfId="34462"/>
    <cellStyle name="Comma 13 2 2 2 4 6 3" xfId="34463"/>
    <cellStyle name="Comma 13 2 2 2 4 7" xfId="34464"/>
    <cellStyle name="Comma 13 2 2 2 4 7 2" xfId="34465"/>
    <cellStyle name="Comma 13 2 2 2 4 8" xfId="34466"/>
    <cellStyle name="Comma 13 2 2 2 4 9" xfId="34467"/>
    <cellStyle name="Comma 13 2 2 2 5" xfId="34468"/>
    <cellStyle name="Comma 13 2 2 2 5 2" xfId="34469"/>
    <cellStyle name="Comma 13 2 2 2 5 2 2" xfId="34470"/>
    <cellStyle name="Comma 13 2 2 2 5 2 3" xfId="34471"/>
    <cellStyle name="Comma 13 2 2 2 5 3" xfId="34472"/>
    <cellStyle name="Comma 13 2 2 2 5 3 2" xfId="34473"/>
    <cellStyle name="Comma 13 2 2 2 5 3 3" xfId="34474"/>
    <cellStyle name="Comma 13 2 2 2 5 4" xfId="34475"/>
    <cellStyle name="Comma 13 2 2 2 5 4 2" xfId="34476"/>
    <cellStyle name="Comma 13 2 2 2 5 5" xfId="34477"/>
    <cellStyle name="Comma 13 2 2 2 5 6" xfId="34478"/>
    <cellStyle name="Comma 13 2 2 2 6" xfId="34479"/>
    <cellStyle name="Comma 13 2 2 2 6 2" xfId="34480"/>
    <cellStyle name="Comma 13 2 2 2 6 2 2" xfId="34481"/>
    <cellStyle name="Comma 13 2 2 2 6 2 3" xfId="34482"/>
    <cellStyle name="Comma 13 2 2 2 6 3" xfId="34483"/>
    <cellStyle name="Comma 13 2 2 2 6 3 2" xfId="34484"/>
    <cellStyle name="Comma 13 2 2 2 6 3 3" xfId="34485"/>
    <cellStyle name="Comma 13 2 2 2 6 4" xfId="34486"/>
    <cellStyle name="Comma 13 2 2 2 6 4 2" xfId="34487"/>
    <cellStyle name="Comma 13 2 2 2 6 5" xfId="34488"/>
    <cellStyle name="Comma 13 2 2 2 6 6" xfId="34489"/>
    <cellStyle name="Comma 13 2 2 2 7" xfId="34490"/>
    <cellStyle name="Comma 13 2 2 2 7 2" xfId="34491"/>
    <cellStyle name="Comma 13 2 2 2 7 2 2" xfId="34492"/>
    <cellStyle name="Comma 13 2 2 2 7 2 3" xfId="34493"/>
    <cellStyle name="Comma 13 2 2 2 7 3" xfId="34494"/>
    <cellStyle name="Comma 13 2 2 2 7 3 2" xfId="34495"/>
    <cellStyle name="Comma 13 2 2 2 7 4" xfId="34496"/>
    <cellStyle name="Comma 13 2 2 2 7 5" xfId="34497"/>
    <cellStyle name="Comma 13 2 2 2 8" xfId="34498"/>
    <cellStyle name="Comma 13 2 2 2 8 2" xfId="34499"/>
    <cellStyle name="Comma 13 2 2 2 8 3" xfId="34500"/>
    <cellStyle name="Comma 13 2 2 2 9" xfId="34501"/>
    <cellStyle name="Comma 13 2 2 2 9 2" xfId="34502"/>
    <cellStyle name="Comma 13 2 2 2 9 3" xfId="34503"/>
    <cellStyle name="Comma 13 2 2 3" xfId="34504"/>
    <cellStyle name="Comma 13 2 2 3 10" xfId="34505"/>
    <cellStyle name="Comma 13 2 2 3 2" xfId="34506"/>
    <cellStyle name="Comma 13 2 2 3 2 2" xfId="34507"/>
    <cellStyle name="Comma 13 2 2 3 2 2 2" xfId="34508"/>
    <cellStyle name="Comma 13 2 2 3 2 2 2 2" xfId="34509"/>
    <cellStyle name="Comma 13 2 2 3 2 2 2 3" xfId="34510"/>
    <cellStyle name="Comma 13 2 2 3 2 2 3" xfId="34511"/>
    <cellStyle name="Comma 13 2 2 3 2 2 3 2" xfId="34512"/>
    <cellStyle name="Comma 13 2 2 3 2 2 3 3" xfId="34513"/>
    <cellStyle name="Comma 13 2 2 3 2 2 4" xfId="34514"/>
    <cellStyle name="Comma 13 2 2 3 2 2 4 2" xfId="34515"/>
    <cellStyle name="Comma 13 2 2 3 2 2 5" xfId="34516"/>
    <cellStyle name="Comma 13 2 2 3 2 2 6" xfId="34517"/>
    <cellStyle name="Comma 13 2 2 3 2 3" xfId="34518"/>
    <cellStyle name="Comma 13 2 2 3 2 3 2" xfId="34519"/>
    <cellStyle name="Comma 13 2 2 3 2 3 2 2" xfId="34520"/>
    <cellStyle name="Comma 13 2 2 3 2 3 2 3" xfId="34521"/>
    <cellStyle name="Comma 13 2 2 3 2 3 3" xfId="34522"/>
    <cellStyle name="Comma 13 2 2 3 2 3 3 2" xfId="34523"/>
    <cellStyle name="Comma 13 2 2 3 2 3 3 3" xfId="34524"/>
    <cellStyle name="Comma 13 2 2 3 2 3 4" xfId="34525"/>
    <cellStyle name="Comma 13 2 2 3 2 3 4 2" xfId="34526"/>
    <cellStyle name="Comma 13 2 2 3 2 3 5" xfId="34527"/>
    <cellStyle name="Comma 13 2 2 3 2 3 6" xfId="34528"/>
    <cellStyle name="Comma 13 2 2 3 2 4" xfId="34529"/>
    <cellStyle name="Comma 13 2 2 3 2 4 2" xfId="34530"/>
    <cellStyle name="Comma 13 2 2 3 2 4 2 2" xfId="34531"/>
    <cellStyle name="Comma 13 2 2 3 2 4 2 3" xfId="34532"/>
    <cellStyle name="Comma 13 2 2 3 2 4 3" xfId="34533"/>
    <cellStyle name="Comma 13 2 2 3 2 4 3 2" xfId="34534"/>
    <cellStyle name="Comma 13 2 2 3 2 4 4" xfId="34535"/>
    <cellStyle name="Comma 13 2 2 3 2 4 5" xfId="34536"/>
    <cellStyle name="Comma 13 2 2 3 2 5" xfId="34537"/>
    <cellStyle name="Comma 13 2 2 3 2 5 2" xfId="34538"/>
    <cellStyle name="Comma 13 2 2 3 2 5 3" xfId="34539"/>
    <cellStyle name="Comma 13 2 2 3 2 6" xfId="34540"/>
    <cellStyle name="Comma 13 2 2 3 2 6 2" xfId="34541"/>
    <cellStyle name="Comma 13 2 2 3 2 6 3" xfId="34542"/>
    <cellStyle name="Comma 13 2 2 3 2 7" xfId="34543"/>
    <cellStyle name="Comma 13 2 2 3 2 7 2" xfId="34544"/>
    <cellStyle name="Comma 13 2 2 3 2 8" xfId="34545"/>
    <cellStyle name="Comma 13 2 2 3 2 9" xfId="34546"/>
    <cellStyle name="Comma 13 2 2 3 3" xfId="34547"/>
    <cellStyle name="Comma 13 2 2 3 3 2" xfId="34548"/>
    <cellStyle name="Comma 13 2 2 3 3 2 2" xfId="34549"/>
    <cellStyle name="Comma 13 2 2 3 3 2 3" xfId="34550"/>
    <cellStyle name="Comma 13 2 2 3 3 3" xfId="34551"/>
    <cellStyle name="Comma 13 2 2 3 3 3 2" xfId="34552"/>
    <cellStyle name="Comma 13 2 2 3 3 3 3" xfId="34553"/>
    <cellStyle name="Comma 13 2 2 3 3 4" xfId="34554"/>
    <cellStyle name="Comma 13 2 2 3 3 4 2" xfId="34555"/>
    <cellStyle name="Comma 13 2 2 3 3 5" xfId="34556"/>
    <cellStyle name="Comma 13 2 2 3 3 6" xfId="34557"/>
    <cellStyle name="Comma 13 2 2 3 4" xfId="34558"/>
    <cellStyle name="Comma 13 2 2 3 4 2" xfId="34559"/>
    <cellStyle name="Comma 13 2 2 3 4 2 2" xfId="34560"/>
    <cellStyle name="Comma 13 2 2 3 4 2 3" xfId="34561"/>
    <cellStyle name="Comma 13 2 2 3 4 3" xfId="34562"/>
    <cellStyle name="Comma 13 2 2 3 4 3 2" xfId="34563"/>
    <cellStyle name="Comma 13 2 2 3 4 3 3" xfId="34564"/>
    <cellStyle name="Comma 13 2 2 3 4 4" xfId="34565"/>
    <cellStyle name="Comma 13 2 2 3 4 4 2" xfId="34566"/>
    <cellStyle name="Comma 13 2 2 3 4 5" xfId="34567"/>
    <cellStyle name="Comma 13 2 2 3 4 6" xfId="34568"/>
    <cellStyle name="Comma 13 2 2 3 5" xfId="34569"/>
    <cellStyle name="Comma 13 2 2 3 5 2" xfId="34570"/>
    <cellStyle name="Comma 13 2 2 3 5 2 2" xfId="34571"/>
    <cellStyle name="Comma 13 2 2 3 5 2 3" xfId="34572"/>
    <cellStyle name="Comma 13 2 2 3 5 3" xfId="34573"/>
    <cellStyle name="Comma 13 2 2 3 5 3 2" xfId="34574"/>
    <cellStyle name="Comma 13 2 2 3 5 4" xfId="34575"/>
    <cellStyle name="Comma 13 2 2 3 5 5" xfId="34576"/>
    <cellStyle name="Comma 13 2 2 3 6" xfId="34577"/>
    <cellStyle name="Comma 13 2 2 3 6 2" xfId="34578"/>
    <cellStyle name="Comma 13 2 2 3 6 3" xfId="34579"/>
    <cellStyle name="Comma 13 2 2 3 7" xfId="34580"/>
    <cellStyle name="Comma 13 2 2 3 7 2" xfId="34581"/>
    <cellStyle name="Comma 13 2 2 3 7 3" xfId="34582"/>
    <cellStyle name="Comma 13 2 2 3 8" xfId="34583"/>
    <cellStyle name="Comma 13 2 2 3 8 2" xfId="34584"/>
    <cellStyle name="Comma 13 2 2 3 9" xfId="34585"/>
    <cellStyle name="Comma 13 2 2 4" xfId="34586"/>
    <cellStyle name="Comma 13 2 2 4 2" xfId="34587"/>
    <cellStyle name="Comma 13 2 2 4 2 2" xfId="34588"/>
    <cellStyle name="Comma 13 2 2 4 2 2 2" xfId="34589"/>
    <cellStyle name="Comma 13 2 2 4 2 2 3" xfId="34590"/>
    <cellStyle name="Comma 13 2 2 4 2 3" xfId="34591"/>
    <cellStyle name="Comma 13 2 2 4 2 3 2" xfId="34592"/>
    <cellStyle name="Comma 13 2 2 4 2 3 3" xfId="34593"/>
    <cellStyle name="Comma 13 2 2 4 2 4" xfId="34594"/>
    <cellStyle name="Comma 13 2 2 4 2 4 2" xfId="34595"/>
    <cellStyle name="Comma 13 2 2 4 2 5" xfId="34596"/>
    <cellStyle name="Comma 13 2 2 4 2 6" xfId="34597"/>
    <cellStyle name="Comma 13 2 2 4 3" xfId="34598"/>
    <cellStyle name="Comma 13 2 2 4 3 2" xfId="34599"/>
    <cellStyle name="Comma 13 2 2 4 3 2 2" xfId="34600"/>
    <cellStyle name="Comma 13 2 2 4 3 2 3" xfId="34601"/>
    <cellStyle name="Comma 13 2 2 4 3 3" xfId="34602"/>
    <cellStyle name="Comma 13 2 2 4 3 3 2" xfId="34603"/>
    <cellStyle name="Comma 13 2 2 4 3 3 3" xfId="34604"/>
    <cellStyle name="Comma 13 2 2 4 3 4" xfId="34605"/>
    <cellStyle name="Comma 13 2 2 4 3 4 2" xfId="34606"/>
    <cellStyle name="Comma 13 2 2 4 3 5" xfId="34607"/>
    <cellStyle name="Comma 13 2 2 4 3 6" xfId="34608"/>
    <cellStyle name="Comma 13 2 2 4 4" xfId="34609"/>
    <cellStyle name="Comma 13 2 2 4 4 2" xfId="34610"/>
    <cellStyle name="Comma 13 2 2 4 4 2 2" xfId="34611"/>
    <cellStyle name="Comma 13 2 2 4 4 2 3" xfId="34612"/>
    <cellStyle name="Comma 13 2 2 4 4 3" xfId="34613"/>
    <cellStyle name="Comma 13 2 2 4 4 3 2" xfId="34614"/>
    <cellStyle name="Comma 13 2 2 4 4 4" xfId="34615"/>
    <cellStyle name="Comma 13 2 2 4 4 5" xfId="34616"/>
    <cellStyle name="Comma 13 2 2 4 5" xfId="34617"/>
    <cellStyle name="Comma 13 2 2 4 5 2" xfId="34618"/>
    <cellStyle name="Comma 13 2 2 4 5 3" xfId="34619"/>
    <cellStyle name="Comma 13 2 2 4 6" xfId="34620"/>
    <cellStyle name="Comma 13 2 2 4 6 2" xfId="34621"/>
    <cellStyle name="Comma 13 2 2 4 6 3" xfId="34622"/>
    <cellStyle name="Comma 13 2 2 4 7" xfId="34623"/>
    <cellStyle name="Comma 13 2 2 4 7 2" xfId="34624"/>
    <cellStyle name="Comma 13 2 2 4 8" xfId="34625"/>
    <cellStyle name="Comma 13 2 2 4 9" xfId="34626"/>
    <cellStyle name="Comma 13 2 2 5" xfId="34627"/>
    <cellStyle name="Comma 13 2 2 5 2" xfId="34628"/>
    <cellStyle name="Comma 13 2 2 5 2 2" xfId="34629"/>
    <cellStyle name="Comma 13 2 2 5 2 2 2" xfId="34630"/>
    <cellStyle name="Comma 13 2 2 5 2 2 3" xfId="34631"/>
    <cellStyle name="Comma 13 2 2 5 2 3" xfId="34632"/>
    <cellStyle name="Comma 13 2 2 5 2 3 2" xfId="34633"/>
    <cellStyle name="Comma 13 2 2 5 2 3 3" xfId="34634"/>
    <cellStyle name="Comma 13 2 2 5 2 4" xfId="34635"/>
    <cellStyle name="Comma 13 2 2 5 2 4 2" xfId="34636"/>
    <cellStyle name="Comma 13 2 2 5 2 5" xfId="34637"/>
    <cellStyle name="Comma 13 2 2 5 2 6" xfId="34638"/>
    <cellStyle name="Comma 13 2 2 5 3" xfId="34639"/>
    <cellStyle name="Comma 13 2 2 5 3 2" xfId="34640"/>
    <cellStyle name="Comma 13 2 2 5 3 2 2" xfId="34641"/>
    <cellStyle name="Comma 13 2 2 5 3 2 3" xfId="34642"/>
    <cellStyle name="Comma 13 2 2 5 3 3" xfId="34643"/>
    <cellStyle name="Comma 13 2 2 5 3 3 2" xfId="34644"/>
    <cellStyle name="Comma 13 2 2 5 3 3 3" xfId="34645"/>
    <cellStyle name="Comma 13 2 2 5 3 4" xfId="34646"/>
    <cellStyle name="Comma 13 2 2 5 3 4 2" xfId="34647"/>
    <cellStyle name="Comma 13 2 2 5 3 5" xfId="34648"/>
    <cellStyle name="Comma 13 2 2 5 3 6" xfId="34649"/>
    <cellStyle name="Comma 13 2 2 5 4" xfId="34650"/>
    <cellStyle name="Comma 13 2 2 5 4 2" xfId="34651"/>
    <cellStyle name="Comma 13 2 2 5 4 2 2" xfId="34652"/>
    <cellStyle name="Comma 13 2 2 5 4 2 3" xfId="34653"/>
    <cellStyle name="Comma 13 2 2 5 4 3" xfId="34654"/>
    <cellStyle name="Comma 13 2 2 5 4 3 2" xfId="34655"/>
    <cellStyle name="Comma 13 2 2 5 4 4" xfId="34656"/>
    <cellStyle name="Comma 13 2 2 5 4 5" xfId="34657"/>
    <cellStyle name="Comma 13 2 2 5 5" xfId="34658"/>
    <cellStyle name="Comma 13 2 2 5 5 2" xfId="34659"/>
    <cellStyle name="Comma 13 2 2 5 5 3" xfId="34660"/>
    <cellStyle name="Comma 13 2 2 5 6" xfId="34661"/>
    <cellStyle name="Comma 13 2 2 5 6 2" xfId="34662"/>
    <cellStyle name="Comma 13 2 2 5 6 3" xfId="34663"/>
    <cellStyle name="Comma 13 2 2 5 7" xfId="34664"/>
    <cellStyle name="Comma 13 2 2 5 7 2" xfId="34665"/>
    <cellStyle name="Comma 13 2 2 5 8" xfId="34666"/>
    <cellStyle name="Comma 13 2 2 5 9" xfId="34667"/>
    <cellStyle name="Comma 13 2 2 6" xfId="34668"/>
    <cellStyle name="Comma 13 2 2 6 2" xfId="34669"/>
    <cellStyle name="Comma 13 2 2 6 2 2" xfId="34670"/>
    <cellStyle name="Comma 13 2 2 6 2 3" xfId="34671"/>
    <cellStyle name="Comma 13 2 2 6 3" xfId="34672"/>
    <cellStyle name="Comma 13 2 2 6 3 2" xfId="34673"/>
    <cellStyle name="Comma 13 2 2 6 3 3" xfId="34674"/>
    <cellStyle name="Comma 13 2 2 6 4" xfId="34675"/>
    <cellStyle name="Comma 13 2 2 6 4 2" xfId="34676"/>
    <cellStyle name="Comma 13 2 2 6 5" xfId="34677"/>
    <cellStyle name="Comma 13 2 2 6 6" xfId="34678"/>
    <cellStyle name="Comma 13 2 2 7" xfId="34679"/>
    <cellStyle name="Comma 13 2 2 7 2" xfId="34680"/>
    <cellStyle name="Comma 13 2 2 7 2 2" xfId="34681"/>
    <cellStyle name="Comma 13 2 2 7 2 3" xfId="34682"/>
    <cellStyle name="Comma 13 2 2 7 3" xfId="34683"/>
    <cellStyle name="Comma 13 2 2 7 3 2" xfId="34684"/>
    <cellStyle name="Comma 13 2 2 7 3 3" xfId="34685"/>
    <cellStyle name="Comma 13 2 2 7 4" xfId="34686"/>
    <cellStyle name="Comma 13 2 2 7 4 2" xfId="34687"/>
    <cellStyle name="Comma 13 2 2 7 5" xfId="34688"/>
    <cellStyle name="Comma 13 2 2 7 6" xfId="34689"/>
    <cellStyle name="Comma 13 2 2 8" xfId="34690"/>
    <cellStyle name="Comma 13 2 2 8 2" xfId="34691"/>
    <cellStyle name="Comma 13 2 2 8 2 2" xfId="34692"/>
    <cellStyle name="Comma 13 2 2 8 2 3" xfId="34693"/>
    <cellStyle name="Comma 13 2 2 8 3" xfId="34694"/>
    <cellStyle name="Comma 13 2 2 8 3 2" xfId="34695"/>
    <cellStyle name="Comma 13 2 2 8 4" xfId="34696"/>
    <cellStyle name="Comma 13 2 2 8 5" xfId="34697"/>
    <cellStyle name="Comma 13 2 2 9" xfId="34698"/>
    <cellStyle name="Comma 13 2 2 9 2" xfId="34699"/>
    <cellStyle name="Comma 13 2 2 9 3" xfId="34700"/>
    <cellStyle name="Comma 13 2 3" xfId="34701"/>
    <cellStyle name="Comma 13 2 3 10" xfId="34702"/>
    <cellStyle name="Comma 13 2 3 10 2" xfId="34703"/>
    <cellStyle name="Comma 13 2 3 11" xfId="34704"/>
    <cellStyle name="Comma 13 2 3 12" xfId="34705"/>
    <cellStyle name="Comma 13 2 3 2" xfId="34706"/>
    <cellStyle name="Comma 13 2 3 2 10" xfId="34707"/>
    <cellStyle name="Comma 13 2 3 2 2" xfId="34708"/>
    <cellStyle name="Comma 13 2 3 2 2 2" xfId="34709"/>
    <cellStyle name="Comma 13 2 3 2 2 2 2" xfId="34710"/>
    <cellStyle name="Comma 13 2 3 2 2 2 2 2" xfId="34711"/>
    <cellStyle name="Comma 13 2 3 2 2 2 2 3" xfId="34712"/>
    <cellStyle name="Comma 13 2 3 2 2 2 3" xfId="34713"/>
    <cellStyle name="Comma 13 2 3 2 2 2 3 2" xfId="34714"/>
    <cellStyle name="Comma 13 2 3 2 2 2 3 3" xfId="34715"/>
    <cellStyle name="Comma 13 2 3 2 2 2 4" xfId="34716"/>
    <cellStyle name="Comma 13 2 3 2 2 2 4 2" xfId="34717"/>
    <cellStyle name="Comma 13 2 3 2 2 2 5" xfId="34718"/>
    <cellStyle name="Comma 13 2 3 2 2 2 6" xfId="34719"/>
    <cellStyle name="Comma 13 2 3 2 2 3" xfId="34720"/>
    <cellStyle name="Comma 13 2 3 2 2 3 2" xfId="34721"/>
    <cellStyle name="Comma 13 2 3 2 2 3 2 2" xfId="34722"/>
    <cellStyle name="Comma 13 2 3 2 2 3 2 3" xfId="34723"/>
    <cellStyle name="Comma 13 2 3 2 2 3 3" xfId="34724"/>
    <cellStyle name="Comma 13 2 3 2 2 3 3 2" xfId="34725"/>
    <cellStyle name="Comma 13 2 3 2 2 3 3 3" xfId="34726"/>
    <cellStyle name="Comma 13 2 3 2 2 3 4" xfId="34727"/>
    <cellStyle name="Comma 13 2 3 2 2 3 4 2" xfId="34728"/>
    <cellStyle name="Comma 13 2 3 2 2 3 5" xfId="34729"/>
    <cellStyle name="Comma 13 2 3 2 2 3 6" xfId="34730"/>
    <cellStyle name="Comma 13 2 3 2 2 4" xfId="34731"/>
    <cellStyle name="Comma 13 2 3 2 2 4 2" xfId="34732"/>
    <cellStyle name="Comma 13 2 3 2 2 4 2 2" xfId="34733"/>
    <cellStyle name="Comma 13 2 3 2 2 4 2 3" xfId="34734"/>
    <cellStyle name="Comma 13 2 3 2 2 4 3" xfId="34735"/>
    <cellStyle name="Comma 13 2 3 2 2 4 3 2" xfId="34736"/>
    <cellStyle name="Comma 13 2 3 2 2 4 4" xfId="34737"/>
    <cellStyle name="Comma 13 2 3 2 2 4 5" xfId="34738"/>
    <cellStyle name="Comma 13 2 3 2 2 5" xfId="34739"/>
    <cellStyle name="Comma 13 2 3 2 2 5 2" xfId="34740"/>
    <cellStyle name="Comma 13 2 3 2 2 5 3" xfId="34741"/>
    <cellStyle name="Comma 13 2 3 2 2 6" xfId="34742"/>
    <cellStyle name="Comma 13 2 3 2 2 6 2" xfId="34743"/>
    <cellStyle name="Comma 13 2 3 2 2 6 3" xfId="34744"/>
    <cellStyle name="Comma 13 2 3 2 2 7" xfId="34745"/>
    <cellStyle name="Comma 13 2 3 2 2 7 2" xfId="34746"/>
    <cellStyle name="Comma 13 2 3 2 2 8" xfId="34747"/>
    <cellStyle name="Comma 13 2 3 2 2 9" xfId="34748"/>
    <cellStyle name="Comma 13 2 3 2 3" xfId="34749"/>
    <cellStyle name="Comma 13 2 3 2 3 2" xfId="34750"/>
    <cellStyle name="Comma 13 2 3 2 3 2 2" xfId="34751"/>
    <cellStyle name="Comma 13 2 3 2 3 2 3" xfId="34752"/>
    <cellStyle name="Comma 13 2 3 2 3 3" xfId="34753"/>
    <cellStyle name="Comma 13 2 3 2 3 3 2" xfId="34754"/>
    <cellStyle name="Comma 13 2 3 2 3 3 3" xfId="34755"/>
    <cellStyle name="Comma 13 2 3 2 3 4" xfId="34756"/>
    <cellStyle name="Comma 13 2 3 2 3 4 2" xfId="34757"/>
    <cellStyle name="Comma 13 2 3 2 3 5" xfId="34758"/>
    <cellStyle name="Comma 13 2 3 2 3 6" xfId="34759"/>
    <cellStyle name="Comma 13 2 3 2 4" xfId="34760"/>
    <cellStyle name="Comma 13 2 3 2 4 2" xfId="34761"/>
    <cellStyle name="Comma 13 2 3 2 4 2 2" xfId="34762"/>
    <cellStyle name="Comma 13 2 3 2 4 2 3" xfId="34763"/>
    <cellStyle name="Comma 13 2 3 2 4 3" xfId="34764"/>
    <cellStyle name="Comma 13 2 3 2 4 3 2" xfId="34765"/>
    <cellStyle name="Comma 13 2 3 2 4 3 3" xfId="34766"/>
    <cellStyle name="Comma 13 2 3 2 4 4" xfId="34767"/>
    <cellStyle name="Comma 13 2 3 2 4 4 2" xfId="34768"/>
    <cellStyle name="Comma 13 2 3 2 4 5" xfId="34769"/>
    <cellStyle name="Comma 13 2 3 2 4 6" xfId="34770"/>
    <cellStyle name="Comma 13 2 3 2 5" xfId="34771"/>
    <cellStyle name="Comma 13 2 3 2 5 2" xfId="34772"/>
    <cellStyle name="Comma 13 2 3 2 5 2 2" xfId="34773"/>
    <cellStyle name="Comma 13 2 3 2 5 2 3" xfId="34774"/>
    <cellStyle name="Comma 13 2 3 2 5 3" xfId="34775"/>
    <cellStyle name="Comma 13 2 3 2 5 3 2" xfId="34776"/>
    <cellStyle name="Comma 13 2 3 2 5 4" xfId="34777"/>
    <cellStyle name="Comma 13 2 3 2 5 5" xfId="34778"/>
    <cellStyle name="Comma 13 2 3 2 6" xfId="34779"/>
    <cellStyle name="Comma 13 2 3 2 6 2" xfId="34780"/>
    <cellStyle name="Comma 13 2 3 2 6 3" xfId="34781"/>
    <cellStyle name="Comma 13 2 3 2 7" xfId="34782"/>
    <cellStyle name="Comma 13 2 3 2 7 2" xfId="34783"/>
    <cellStyle name="Comma 13 2 3 2 7 3" xfId="34784"/>
    <cellStyle name="Comma 13 2 3 2 8" xfId="34785"/>
    <cellStyle name="Comma 13 2 3 2 8 2" xfId="34786"/>
    <cellStyle name="Comma 13 2 3 2 9" xfId="34787"/>
    <cellStyle name="Comma 13 2 3 3" xfId="34788"/>
    <cellStyle name="Comma 13 2 3 3 2" xfId="34789"/>
    <cellStyle name="Comma 13 2 3 3 2 2" xfId="34790"/>
    <cellStyle name="Comma 13 2 3 3 2 2 2" xfId="34791"/>
    <cellStyle name="Comma 13 2 3 3 2 2 3" xfId="34792"/>
    <cellStyle name="Comma 13 2 3 3 2 3" xfId="34793"/>
    <cellStyle name="Comma 13 2 3 3 2 3 2" xfId="34794"/>
    <cellStyle name="Comma 13 2 3 3 2 3 3" xfId="34795"/>
    <cellStyle name="Comma 13 2 3 3 2 4" xfId="34796"/>
    <cellStyle name="Comma 13 2 3 3 2 4 2" xfId="34797"/>
    <cellStyle name="Comma 13 2 3 3 2 5" xfId="34798"/>
    <cellStyle name="Comma 13 2 3 3 2 6" xfId="34799"/>
    <cellStyle name="Comma 13 2 3 3 3" xfId="34800"/>
    <cellStyle name="Comma 13 2 3 3 3 2" xfId="34801"/>
    <cellStyle name="Comma 13 2 3 3 3 2 2" xfId="34802"/>
    <cellStyle name="Comma 13 2 3 3 3 2 3" xfId="34803"/>
    <cellStyle name="Comma 13 2 3 3 3 3" xfId="34804"/>
    <cellStyle name="Comma 13 2 3 3 3 3 2" xfId="34805"/>
    <cellStyle name="Comma 13 2 3 3 3 3 3" xfId="34806"/>
    <cellStyle name="Comma 13 2 3 3 3 4" xfId="34807"/>
    <cellStyle name="Comma 13 2 3 3 3 4 2" xfId="34808"/>
    <cellStyle name="Comma 13 2 3 3 3 5" xfId="34809"/>
    <cellStyle name="Comma 13 2 3 3 3 6" xfId="34810"/>
    <cellStyle name="Comma 13 2 3 3 4" xfId="34811"/>
    <cellStyle name="Comma 13 2 3 3 4 2" xfId="34812"/>
    <cellStyle name="Comma 13 2 3 3 4 2 2" xfId="34813"/>
    <cellStyle name="Comma 13 2 3 3 4 2 3" xfId="34814"/>
    <cellStyle name="Comma 13 2 3 3 4 3" xfId="34815"/>
    <cellStyle name="Comma 13 2 3 3 4 3 2" xfId="34816"/>
    <cellStyle name="Comma 13 2 3 3 4 4" xfId="34817"/>
    <cellStyle name="Comma 13 2 3 3 4 5" xfId="34818"/>
    <cellStyle name="Comma 13 2 3 3 5" xfId="34819"/>
    <cellStyle name="Comma 13 2 3 3 5 2" xfId="34820"/>
    <cellStyle name="Comma 13 2 3 3 5 3" xfId="34821"/>
    <cellStyle name="Comma 13 2 3 3 6" xfId="34822"/>
    <cellStyle name="Comma 13 2 3 3 6 2" xfId="34823"/>
    <cellStyle name="Comma 13 2 3 3 6 3" xfId="34824"/>
    <cellStyle name="Comma 13 2 3 3 7" xfId="34825"/>
    <cellStyle name="Comma 13 2 3 3 7 2" xfId="34826"/>
    <cellStyle name="Comma 13 2 3 3 8" xfId="34827"/>
    <cellStyle name="Comma 13 2 3 3 9" xfId="34828"/>
    <cellStyle name="Comma 13 2 3 4" xfId="34829"/>
    <cellStyle name="Comma 13 2 3 4 2" xfId="34830"/>
    <cellStyle name="Comma 13 2 3 4 2 2" xfId="34831"/>
    <cellStyle name="Comma 13 2 3 4 2 2 2" xfId="34832"/>
    <cellStyle name="Comma 13 2 3 4 2 2 3" xfId="34833"/>
    <cellStyle name="Comma 13 2 3 4 2 3" xfId="34834"/>
    <cellStyle name="Comma 13 2 3 4 2 3 2" xfId="34835"/>
    <cellStyle name="Comma 13 2 3 4 2 3 3" xfId="34836"/>
    <cellStyle name="Comma 13 2 3 4 2 4" xfId="34837"/>
    <cellStyle name="Comma 13 2 3 4 2 4 2" xfId="34838"/>
    <cellStyle name="Comma 13 2 3 4 2 5" xfId="34839"/>
    <cellStyle name="Comma 13 2 3 4 2 6" xfId="34840"/>
    <cellStyle name="Comma 13 2 3 4 3" xfId="34841"/>
    <cellStyle name="Comma 13 2 3 4 3 2" xfId="34842"/>
    <cellStyle name="Comma 13 2 3 4 3 2 2" xfId="34843"/>
    <cellStyle name="Comma 13 2 3 4 3 2 3" xfId="34844"/>
    <cellStyle name="Comma 13 2 3 4 3 3" xfId="34845"/>
    <cellStyle name="Comma 13 2 3 4 3 3 2" xfId="34846"/>
    <cellStyle name="Comma 13 2 3 4 3 3 3" xfId="34847"/>
    <cellStyle name="Comma 13 2 3 4 3 4" xfId="34848"/>
    <cellStyle name="Comma 13 2 3 4 3 4 2" xfId="34849"/>
    <cellStyle name="Comma 13 2 3 4 3 5" xfId="34850"/>
    <cellStyle name="Comma 13 2 3 4 3 6" xfId="34851"/>
    <cellStyle name="Comma 13 2 3 4 4" xfId="34852"/>
    <cellStyle name="Comma 13 2 3 4 4 2" xfId="34853"/>
    <cellStyle name="Comma 13 2 3 4 4 2 2" xfId="34854"/>
    <cellStyle name="Comma 13 2 3 4 4 2 3" xfId="34855"/>
    <cellStyle name="Comma 13 2 3 4 4 3" xfId="34856"/>
    <cellStyle name="Comma 13 2 3 4 4 3 2" xfId="34857"/>
    <cellStyle name="Comma 13 2 3 4 4 4" xfId="34858"/>
    <cellStyle name="Comma 13 2 3 4 4 5" xfId="34859"/>
    <cellStyle name="Comma 13 2 3 4 5" xfId="34860"/>
    <cellStyle name="Comma 13 2 3 4 5 2" xfId="34861"/>
    <cellStyle name="Comma 13 2 3 4 5 3" xfId="34862"/>
    <cellStyle name="Comma 13 2 3 4 6" xfId="34863"/>
    <cellStyle name="Comma 13 2 3 4 6 2" xfId="34864"/>
    <cellStyle name="Comma 13 2 3 4 6 3" xfId="34865"/>
    <cellStyle name="Comma 13 2 3 4 7" xfId="34866"/>
    <cellStyle name="Comma 13 2 3 4 7 2" xfId="34867"/>
    <cellStyle name="Comma 13 2 3 4 8" xfId="34868"/>
    <cellStyle name="Comma 13 2 3 4 9" xfId="34869"/>
    <cellStyle name="Comma 13 2 3 5" xfId="34870"/>
    <cellStyle name="Comma 13 2 3 5 2" xfId="34871"/>
    <cellStyle name="Comma 13 2 3 5 2 2" xfId="34872"/>
    <cellStyle name="Comma 13 2 3 5 2 3" xfId="34873"/>
    <cellStyle name="Comma 13 2 3 5 3" xfId="34874"/>
    <cellStyle name="Comma 13 2 3 5 3 2" xfId="34875"/>
    <cellStyle name="Comma 13 2 3 5 3 3" xfId="34876"/>
    <cellStyle name="Comma 13 2 3 5 4" xfId="34877"/>
    <cellStyle name="Comma 13 2 3 5 4 2" xfId="34878"/>
    <cellStyle name="Comma 13 2 3 5 5" xfId="34879"/>
    <cellStyle name="Comma 13 2 3 5 6" xfId="34880"/>
    <cellStyle name="Comma 13 2 3 6" xfId="34881"/>
    <cellStyle name="Comma 13 2 3 6 2" xfId="34882"/>
    <cellStyle name="Comma 13 2 3 6 2 2" xfId="34883"/>
    <cellStyle name="Comma 13 2 3 6 2 3" xfId="34884"/>
    <cellStyle name="Comma 13 2 3 6 3" xfId="34885"/>
    <cellStyle name="Comma 13 2 3 6 3 2" xfId="34886"/>
    <cellStyle name="Comma 13 2 3 6 3 3" xfId="34887"/>
    <cellStyle name="Comma 13 2 3 6 4" xfId="34888"/>
    <cellStyle name="Comma 13 2 3 6 4 2" xfId="34889"/>
    <cellStyle name="Comma 13 2 3 6 5" xfId="34890"/>
    <cellStyle name="Comma 13 2 3 6 6" xfId="34891"/>
    <cellStyle name="Comma 13 2 3 7" xfId="34892"/>
    <cellStyle name="Comma 13 2 3 7 2" xfId="34893"/>
    <cellStyle name="Comma 13 2 3 7 2 2" xfId="34894"/>
    <cellStyle name="Comma 13 2 3 7 2 3" xfId="34895"/>
    <cellStyle name="Comma 13 2 3 7 3" xfId="34896"/>
    <cellStyle name="Comma 13 2 3 7 3 2" xfId="34897"/>
    <cellStyle name="Comma 13 2 3 7 4" xfId="34898"/>
    <cellStyle name="Comma 13 2 3 7 5" xfId="34899"/>
    <cellStyle name="Comma 13 2 3 8" xfId="34900"/>
    <cellStyle name="Comma 13 2 3 8 2" xfId="34901"/>
    <cellStyle name="Comma 13 2 3 8 3" xfId="34902"/>
    <cellStyle name="Comma 13 2 3 9" xfId="34903"/>
    <cellStyle name="Comma 13 2 3 9 2" xfId="34904"/>
    <cellStyle name="Comma 13 2 3 9 3" xfId="34905"/>
    <cellStyle name="Comma 13 2 4" xfId="34906"/>
    <cellStyle name="Comma 13 2 4 10" xfId="34907"/>
    <cellStyle name="Comma 13 2 4 2" xfId="34908"/>
    <cellStyle name="Comma 13 2 4 2 2" xfId="34909"/>
    <cellStyle name="Comma 13 2 4 2 2 2" xfId="34910"/>
    <cellStyle name="Comma 13 2 4 2 2 2 2" xfId="34911"/>
    <cellStyle name="Comma 13 2 4 2 2 2 3" xfId="34912"/>
    <cellStyle name="Comma 13 2 4 2 2 3" xfId="34913"/>
    <cellStyle name="Comma 13 2 4 2 2 3 2" xfId="34914"/>
    <cellStyle name="Comma 13 2 4 2 2 3 3" xfId="34915"/>
    <cellStyle name="Comma 13 2 4 2 2 4" xfId="34916"/>
    <cellStyle name="Comma 13 2 4 2 2 4 2" xfId="34917"/>
    <cellStyle name="Comma 13 2 4 2 2 5" xfId="34918"/>
    <cellStyle name="Comma 13 2 4 2 2 6" xfId="34919"/>
    <cellStyle name="Comma 13 2 4 2 3" xfId="34920"/>
    <cellStyle name="Comma 13 2 4 2 3 2" xfId="34921"/>
    <cellStyle name="Comma 13 2 4 2 3 2 2" xfId="34922"/>
    <cellStyle name="Comma 13 2 4 2 3 2 3" xfId="34923"/>
    <cellStyle name="Comma 13 2 4 2 3 3" xfId="34924"/>
    <cellStyle name="Comma 13 2 4 2 3 3 2" xfId="34925"/>
    <cellStyle name="Comma 13 2 4 2 3 3 3" xfId="34926"/>
    <cellStyle name="Comma 13 2 4 2 3 4" xfId="34927"/>
    <cellStyle name="Comma 13 2 4 2 3 4 2" xfId="34928"/>
    <cellStyle name="Comma 13 2 4 2 3 5" xfId="34929"/>
    <cellStyle name="Comma 13 2 4 2 3 6" xfId="34930"/>
    <cellStyle name="Comma 13 2 4 2 4" xfId="34931"/>
    <cellStyle name="Comma 13 2 4 2 4 2" xfId="34932"/>
    <cellStyle name="Comma 13 2 4 2 4 2 2" xfId="34933"/>
    <cellStyle name="Comma 13 2 4 2 4 2 3" xfId="34934"/>
    <cellStyle name="Comma 13 2 4 2 4 3" xfId="34935"/>
    <cellStyle name="Comma 13 2 4 2 4 3 2" xfId="34936"/>
    <cellStyle name="Comma 13 2 4 2 4 4" xfId="34937"/>
    <cellStyle name="Comma 13 2 4 2 4 5" xfId="34938"/>
    <cellStyle name="Comma 13 2 4 2 5" xfId="34939"/>
    <cellStyle name="Comma 13 2 4 2 5 2" xfId="34940"/>
    <cellStyle name="Comma 13 2 4 2 5 3" xfId="34941"/>
    <cellStyle name="Comma 13 2 4 2 6" xfId="34942"/>
    <cellStyle name="Comma 13 2 4 2 6 2" xfId="34943"/>
    <cellStyle name="Comma 13 2 4 2 6 3" xfId="34944"/>
    <cellStyle name="Comma 13 2 4 2 7" xfId="34945"/>
    <cellStyle name="Comma 13 2 4 2 7 2" xfId="34946"/>
    <cellStyle name="Comma 13 2 4 2 8" xfId="34947"/>
    <cellStyle name="Comma 13 2 4 2 9" xfId="34948"/>
    <cellStyle name="Comma 13 2 4 3" xfId="34949"/>
    <cellStyle name="Comma 13 2 4 3 2" xfId="34950"/>
    <cellStyle name="Comma 13 2 4 3 2 2" xfId="34951"/>
    <cellStyle name="Comma 13 2 4 3 2 3" xfId="34952"/>
    <cellStyle name="Comma 13 2 4 3 3" xfId="34953"/>
    <cellStyle name="Comma 13 2 4 3 3 2" xfId="34954"/>
    <cellStyle name="Comma 13 2 4 3 3 3" xfId="34955"/>
    <cellStyle name="Comma 13 2 4 3 4" xfId="34956"/>
    <cellStyle name="Comma 13 2 4 3 4 2" xfId="34957"/>
    <cellStyle name="Comma 13 2 4 3 5" xfId="34958"/>
    <cellStyle name="Comma 13 2 4 3 6" xfId="34959"/>
    <cellStyle name="Comma 13 2 4 4" xfId="34960"/>
    <cellStyle name="Comma 13 2 4 4 2" xfId="34961"/>
    <cellStyle name="Comma 13 2 4 4 2 2" xfId="34962"/>
    <cellStyle name="Comma 13 2 4 4 2 3" xfId="34963"/>
    <cellStyle name="Comma 13 2 4 4 3" xfId="34964"/>
    <cellStyle name="Comma 13 2 4 4 3 2" xfId="34965"/>
    <cellStyle name="Comma 13 2 4 4 3 3" xfId="34966"/>
    <cellStyle name="Comma 13 2 4 4 4" xfId="34967"/>
    <cellStyle name="Comma 13 2 4 4 4 2" xfId="34968"/>
    <cellStyle name="Comma 13 2 4 4 5" xfId="34969"/>
    <cellStyle name="Comma 13 2 4 4 6" xfId="34970"/>
    <cellStyle name="Comma 13 2 4 5" xfId="34971"/>
    <cellStyle name="Comma 13 2 4 5 2" xfId="34972"/>
    <cellStyle name="Comma 13 2 4 5 2 2" xfId="34973"/>
    <cellStyle name="Comma 13 2 4 5 2 3" xfId="34974"/>
    <cellStyle name="Comma 13 2 4 5 3" xfId="34975"/>
    <cellStyle name="Comma 13 2 4 5 3 2" xfId="34976"/>
    <cellStyle name="Comma 13 2 4 5 4" xfId="34977"/>
    <cellStyle name="Comma 13 2 4 5 5" xfId="34978"/>
    <cellStyle name="Comma 13 2 4 6" xfId="34979"/>
    <cellStyle name="Comma 13 2 4 6 2" xfId="34980"/>
    <cellStyle name="Comma 13 2 4 6 3" xfId="34981"/>
    <cellStyle name="Comma 13 2 4 7" xfId="34982"/>
    <cellStyle name="Comma 13 2 4 7 2" xfId="34983"/>
    <cellStyle name="Comma 13 2 4 7 3" xfId="34984"/>
    <cellStyle name="Comma 13 2 4 8" xfId="34985"/>
    <cellStyle name="Comma 13 2 4 8 2" xfId="34986"/>
    <cellStyle name="Comma 13 2 4 9" xfId="34987"/>
    <cellStyle name="Comma 13 2 5" xfId="34988"/>
    <cellStyle name="Comma 13 2 5 2" xfId="34989"/>
    <cellStyle name="Comma 13 2 5 2 2" xfId="34990"/>
    <cellStyle name="Comma 13 2 5 2 2 2" xfId="34991"/>
    <cellStyle name="Comma 13 2 5 2 2 3" xfId="34992"/>
    <cellStyle name="Comma 13 2 5 2 3" xfId="34993"/>
    <cellStyle name="Comma 13 2 5 2 3 2" xfId="34994"/>
    <cellStyle name="Comma 13 2 5 2 3 3" xfId="34995"/>
    <cellStyle name="Comma 13 2 5 2 4" xfId="34996"/>
    <cellStyle name="Comma 13 2 5 2 4 2" xfId="34997"/>
    <cellStyle name="Comma 13 2 5 2 5" xfId="34998"/>
    <cellStyle name="Comma 13 2 5 2 6" xfId="34999"/>
    <cellStyle name="Comma 13 2 5 3" xfId="35000"/>
    <cellStyle name="Comma 13 2 5 3 2" xfId="35001"/>
    <cellStyle name="Comma 13 2 5 3 2 2" xfId="35002"/>
    <cellStyle name="Comma 13 2 5 3 2 3" xfId="35003"/>
    <cellStyle name="Comma 13 2 5 3 3" xfId="35004"/>
    <cellStyle name="Comma 13 2 5 3 3 2" xfId="35005"/>
    <cellStyle name="Comma 13 2 5 3 3 3" xfId="35006"/>
    <cellStyle name="Comma 13 2 5 3 4" xfId="35007"/>
    <cellStyle name="Comma 13 2 5 3 4 2" xfId="35008"/>
    <cellStyle name="Comma 13 2 5 3 5" xfId="35009"/>
    <cellStyle name="Comma 13 2 5 3 6" xfId="35010"/>
    <cellStyle name="Comma 13 2 5 4" xfId="35011"/>
    <cellStyle name="Comma 13 2 5 4 2" xfId="35012"/>
    <cellStyle name="Comma 13 2 5 4 2 2" xfId="35013"/>
    <cellStyle name="Comma 13 2 5 4 2 3" xfId="35014"/>
    <cellStyle name="Comma 13 2 5 4 3" xfId="35015"/>
    <cellStyle name="Comma 13 2 5 4 3 2" xfId="35016"/>
    <cellStyle name="Comma 13 2 5 4 4" xfId="35017"/>
    <cellStyle name="Comma 13 2 5 4 5" xfId="35018"/>
    <cellStyle name="Comma 13 2 5 5" xfId="35019"/>
    <cellStyle name="Comma 13 2 5 5 2" xfId="35020"/>
    <cellStyle name="Comma 13 2 5 5 3" xfId="35021"/>
    <cellStyle name="Comma 13 2 5 6" xfId="35022"/>
    <cellStyle name="Comma 13 2 5 6 2" xfId="35023"/>
    <cellStyle name="Comma 13 2 5 6 3" xfId="35024"/>
    <cellStyle name="Comma 13 2 5 7" xfId="35025"/>
    <cellStyle name="Comma 13 2 5 7 2" xfId="35026"/>
    <cellStyle name="Comma 13 2 5 8" xfId="35027"/>
    <cellStyle name="Comma 13 2 5 9" xfId="35028"/>
    <cellStyle name="Comma 13 2 6" xfId="35029"/>
    <cellStyle name="Comma 13 2 6 2" xfId="35030"/>
    <cellStyle name="Comma 13 2 6 2 2" xfId="35031"/>
    <cellStyle name="Comma 13 2 6 2 2 2" xfId="35032"/>
    <cellStyle name="Comma 13 2 6 2 2 3" xfId="35033"/>
    <cellStyle name="Comma 13 2 6 2 3" xfId="35034"/>
    <cellStyle name="Comma 13 2 6 2 3 2" xfId="35035"/>
    <cellStyle name="Comma 13 2 6 2 3 3" xfId="35036"/>
    <cellStyle name="Comma 13 2 6 2 4" xfId="35037"/>
    <cellStyle name="Comma 13 2 6 2 4 2" xfId="35038"/>
    <cellStyle name="Comma 13 2 6 2 5" xfId="35039"/>
    <cellStyle name="Comma 13 2 6 2 6" xfId="35040"/>
    <cellStyle name="Comma 13 2 6 3" xfId="35041"/>
    <cellStyle name="Comma 13 2 6 3 2" xfId="35042"/>
    <cellStyle name="Comma 13 2 6 3 2 2" xfId="35043"/>
    <cellStyle name="Comma 13 2 6 3 2 3" xfId="35044"/>
    <cellStyle name="Comma 13 2 6 3 3" xfId="35045"/>
    <cellStyle name="Comma 13 2 6 3 3 2" xfId="35046"/>
    <cellStyle name="Comma 13 2 6 3 3 3" xfId="35047"/>
    <cellStyle name="Comma 13 2 6 3 4" xfId="35048"/>
    <cellStyle name="Comma 13 2 6 3 4 2" xfId="35049"/>
    <cellStyle name="Comma 13 2 6 3 5" xfId="35050"/>
    <cellStyle name="Comma 13 2 6 3 6" xfId="35051"/>
    <cellStyle name="Comma 13 2 6 4" xfId="35052"/>
    <cellStyle name="Comma 13 2 6 4 2" xfId="35053"/>
    <cellStyle name="Comma 13 2 6 4 2 2" xfId="35054"/>
    <cellStyle name="Comma 13 2 6 4 2 3" xfId="35055"/>
    <cellStyle name="Comma 13 2 6 4 3" xfId="35056"/>
    <cellStyle name="Comma 13 2 6 4 3 2" xfId="35057"/>
    <cellStyle name="Comma 13 2 6 4 4" xfId="35058"/>
    <cellStyle name="Comma 13 2 6 4 5" xfId="35059"/>
    <cellStyle name="Comma 13 2 6 5" xfId="35060"/>
    <cellStyle name="Comma 13 2 6 5 2" xfId="35061"/>
    <cellStyle name="Comma 13 2 6 5 3" xfId="35062"/>
    <cellStyle name="Comma 13 2 6 6" xfId="35063"/>
    <cellStyle name="Comma 13 2 6 6 2" xfId="35064"/>
    <cellStyle name="Comma 13 2 6 6 3" xfId="35065"/>
    <cellStyle name="Comma 13 2 6 7" xfId="35066"/>
    <cellStyle name="Comma 13 2 6 7 2" xfId="35067"/>
    <cellStyle name="Comma 13 2 6 8" xfId="35068"/>
    <cellStyle name="Comma 13 2 6 9" xfId="35069"/>
    <cellStyle name="Comma 13 2 7" xfId="35070"/>
    <cellStyle name="Comma 13 2 7 2" xfId="35071"/>
    <cellStyle name="Comma 13 2 7 2 2" xfId="35072"/>
    <cellStyle name="Comma 13 2 7 2 3" xfId="35073"/>
    <cellStyle name="Comma 13 2 7 3" xfId="35074"/>
    <cellStyle name="Comma 13 2 7 3 2" xfId="35075"/>
    <cellStyle name="Comma 13 2 7 3 3" xfId="35076"/>
    <cellStyle name="Comma 13 2 7 4" xfId="35077"/>
    <cellStyle name="Comma 13 2 7 4 2" xfId="35078"/>
    <cellStyle name="Comma 13 2 7 5" xfId="35079"/>
    <cellStyle name="Comma 13 2 7 6" xfId="35080"/>
    <cellStyle name="Comma 13 2 8" xfId="35081"/>
    <cellStyle name="Comma 13 2 8 2" xfId="35082"/>
    <cellStyle name="Comma 13 2 8 2 2" xfId="35083"/>
    <cellStyle name="Comma 13 2 8 2 3" xfId="35084"/>
    <cellStyle name="Comma 13 2 8 3" xfId="35085"/>
    <cellStyle name="Comma 13 2 8 3 2" xfId="35086"/>
    <cellStyle name="Comma 13 2 8 3 3" xfId="35087"/>
    <cellStyle name="Comma 13 2 8 4" xfId="35088"/>
    <cellStyle name="Comma 13 2 8 4 2" xfId="35089"/>
    <cellStyle name="Comma 13 2 8 5" xfId="35090"/>
    <cellStyle name="Comma 13 2 8 6" xfId="35091"/>
    <cellStyle name="Comma 13 2 9" xfId="35092"/>
    <cellStyle name="Comma 13 2 9 2" xfId="35093"/>
    <cellStyle name="Comma 13 2 9 2 2" xfId="35094"/>
    <cellStyle name="Comma 13 2 9 2 3" xfId="35095"/>
    <cellStyle name="Comma 13 2 9 3" xfId="35096"/>
    <cellStyle name="Comma 13 2 9 3 2" xfId="35097"/>
    <cellStyle name="Comma 13 2 9 4" xfId="35098"/>
    <cellStyle name="Comma 13 2 9 5" xfId="35099"/>
    <cellStyle name="Comma 13 3" xfId="9049"/>
    <cellStyle name="Comma 13 3 10" xfId="35100"/>
    <cellStyle name="Comma 13 3 10 2" xfId="35101"/>
    <cellStyle name="Comma 13 3 10 3" xfId="35102"/>
    <cellStyle name="Comma 13 3 11" xfId="35103"/>
    <cellStyle name="Comma 13 3 11 2" xfId="35104"/>
    <cellStyle name="Comma 13 3 12" xfId="35105"/>
    <cellStyle name="Comma 13 3 13" xfId="35106"/>
    <cellStyle name="Comma 13 3 2" xfId="35107"/>
    <cellStyle name="Comma 13 3 2 10" xfId="35108"/>
    <cellStyle name="Comma 13 3 2 10 2" xfId="35109"/>
    <cellStyle name="Comma 13 3 2 11" xfId="35110"/>
    <cellStyle name="Comma 13 3 2 12" xfId="35111"/>
    <cellStyle name="Comma 13 3 2 2" xfId="35112"/>
    <cellStyle name="Comma 13 3 2 2 10" xfId="35113"/>
    <cellStyle name="Comma 13 3 2 2 2" xfId="35114"/>
    <cellStyle name="Comma 13 3 2 2 2 2" xfId="35115"/>
    <cellStyle name="Comma 13 3 2 2 2 2 2" xfId="35116"/>
    <cellStyle name="Comma 13 3 2 2 2 2 2 2" xfId="35117"/>
    <cellStyle name="Comma 13 3 2 2 2 2 2 3" xfId="35118"/>
    <cellStyle name="Comma 13 3 2 2 2 2 3" xfId="35119"/>
    <cellStyle name="Comma 13 3 2 2 2 2 3 2" xfId="35120"/>
    <cellStyle name="Comma 13 3 2 2 2 2 3 3" xfId="35121"/>
    <cellStyle name="Comma 13 3 2 2 2 2 4" xfId="35122"/>
    <cellStyle name="Comma 13 3 2 2 2 2 4 2" xfId="35123"/>
    <cellStyle name="Comma 13 3 2 2 2 2 5" xfId="35124"/>
    <cellStyle name="Comma 13 3 2 2 2 2 6" xfId="35125"/>
    <cellStyle name="Comma 13 3 2 2 2 3" xfId="35126"/>
    <cellStyle name="Comma 13 3 2 2 2 3 2" xfId="35127"/>
    <cellStyle name="Comma 13 3 2 2 2 3 2 2" xfId="35128"/>
    <cellStyle name="Comma 13 3 2 2 2 3 2 3" xfId="35129"/>
    <cellStyle name="Comma 13 3 2 2 2 3 3" xfId="35130"/>
    <cellStyle name="Comma 13 3 2 2 2 3 3 2" xfId="35131"/>
    <cellStyle name="Comma 13 3 2 2 2 3 3 3" xfId="35132"/>
    <cellStyle name="Comma 13 3 2 2 2 3 4" xfId="35133"/>
    <cellStyle name="Comma 13 3 2 2 2 3 4 2" xfId="35134"/>
    <cellStyle name="Comma 13 3 2 2 2 3 5" xfId="35135"/>
    <cellStyle name="Comma 13 3 2 2 2 3 6" xfId="35136"/>
    <cellStyle name="Comma 13 3 2 2 2 4" xfId="35137"/>
    <cellStyle name="Comma 13 3 2 2 2 4 2" xfId="35138"/>
    <cellStyle name="Comma 13 3 2 2 2 4 2 2" xfId="35139"/>
    <cellStyle name="Comma 13 3 2 2 2 4 2 3" xfId="35140"/>
    <cellStyle name="Comma 13 3 2 2 2 4 3" xfId="35141"/>
    <cellStyle name="Comma 13 3 2 2 2 4 3 2" xfId="35142"/>
    <cellStyle name="Comma 13 3 2 2 2 4 4" xfId="35143"/>
    <cellStyle name="Comma 13 3 2 2 2 4 5" xfId="35144"/>
    <cellStyle name="Comma 13 3 2 2 2 5" xfId="35145"/>
    <cellStyle name="Comma 13 3 2 2 2 5 2" xfId="35146"/>
    <cellStyle name="Comma 13 3 2 2 2 5 3" xfId="35147"/>
    <cellStyle name="Comma 13 3 2 2 2 6" xfId="35148"/>
    <cellStyle name="Comma 13 3 2 2 2 6 2" xfId="35149"/>
    <cellStyle name="Comma 13 3 2 2 2 6 3" xfId="35150"/>
    <cellStyle name="Comma 13 3 2 2 2 7" xfId="35151"/>
    <cellStyle name="Comma 13 3 2 2 2 7 2" xfId="35152"/>
    <cellStyle name="Comma 13 3 2 2 2 8" xfId="35153"/>
    <cellStyle name="Comma 13 3 2 2 2 9" xfId="35154"/>
    <cellStyle name="Comma 13 3 2 2 3" xfId="35155"/>
    <cellStyle name="Comma 13 3 2 2 3 2" xfId="35156"/>
    <cellStyle name="Comma 13 3 2 2 3 2 2" xfId="35157"/>
    <cellStyle name="Comma 13 3 2 2 3 2 3" xfId="35158"/>
    <cellStyle name="Comma 13 3 2 2 3 3" xfId="35159"/>
    <cellStyle name="Comma 13 3 2 2 3 3 2" xfId="35160"/>
    <cellStyle name="Comma 13 3 2 2 3 3 3" xfId="35161"/>
    <cellStyle name="Comma 13 3 2 2 3 4" xfId="35162"/>
    <cellStyle name="Comma 13 3 2 2 3 4 2" xfId="35163"/>
    <cellStyle name="Comma 13 3 2 2 3 5" xfId="35164"/>
    <cellStyle name="Comma 13 3 2 2 3 6" xfId="35165"/>
    <cellStyle name="Comma 13 3 2 2 4" xfId="35166"/>
    <cellStyle name="Comma 13 3 2 2 4 2" xfId="35167"/>
    <cellStyle name="Comma 13 3 2 2 4 2 2" xfId="35168"/>
    <cellStyle name="Comma 13 3 2 2 4 2 3" xfId="35169"/>
    <cellStyle name="Comma 13 3 2 2 4 3" xfId="35170"/>
    <cellStyle name="Comma 13 3 2 2 4 3 2" xfId="35171"/>
    <cellStyle name="Comma 13 3 2 2 4 3 3" xfId="35172"/>
    <cellStyle name="Comma 13 3 2 2 4 4" xfId="35173"/>
    <cellStyle name="Comma 13 3 2 2 4 4 2" xfId="35174"/>
    <cellStyle name="Comma 13 3 2 2 4 5" xfId="35175"/>
    <cellStyle name="Comma 13 3 2 2 4 6" xfId="35176"/>
    <cellStyle name="Comma 13 3 2 2 5" xfId="35177"/>
    <cellStyle name="Comma 13 3 2 2 5 2" xfId="35178"/>
    <cellStyle name="Comma 13 3 2 2 5 2 2" xfId="35179"/>
    <cellStyle name="Comma 13 3 2 2 5 2 3" xfId="35180"/>
    <cellStyle name="Comma 13 3 2 2 5 3" xfId="35181"/>
    <cellStyle name="Comma 13 3 2 2 5 3 2" xfId="35182"/>
    <cellStyle name="Comma 13 3 2 2 5 4" xfId="35183"/>
    <cellStyle name="Comma 13 3 2 2 5 5" xfId="35184"/>
    <cellStyle name="Comma 13 3 2 2 6" xfId="35185"/>
    <cellStyle name="Comma 13 3 2 2 6 2" xfId="35186"/>
    <cellStyle name="Comma 13 3 2 2 6 3" xfId="35187"/>
    <cellStyle name="Comma 13 3 2 2 7" xfId="35188"/>
    <cellStyle name="Comma 13 3 2 2 7 2" xfId="35189"/>
    <cellStyle name="Comma 13 3 2 2 7 3" xfId="35190"/>
    <cellStyle name="Comma 13 3 2 2 8" xfId="35191"/>
    <cellStyle name="Comma 13 3 2 2 8 2" xfId="35192"/>
    <cellStyle name="Comma 13 3 2 2 9" xfId="35193"/>
    <cellStyle name="Comma 13 3 2 3" xfId="35194"/>
    <cellStyle name="Comma 13 3 2 3 2" xfId="35195"/>
    <cellStyle name="Comma 13 3 2 3 2 2" xfId="35196"/>
    <cellStyle name="Comma 13 3 2 3 2 2 2" xfId="35197"/>
    <cellStyle name="Comma 13 3 2 3 2 2 3" xfId="35198"/>
    <cellStyle name="Comma 13 3 2 3 2 3" xfId="35199"/>
    <cellStyle name="Comma 13 3 2 3 2 3 2" xfId="35200"/>
    <cellStyle name="Comma 13 3 2 3 2 3 3" xfId="35201"/>
    <cellStyle name="Comma 13 3 2 3 2 4" xfId="35202"/>
    <cellStyle name="Comma 13 3 2 3 2 4 2" xfId="35203"/>
    <cellStyle name="Comma 13 3 2 3 2 5" xfId="35204"/>
    <cellStyle name="Comma 13 3 2 3 2 6" xfId="35205"/>
    <cellStyle name="Comma 13 3 2 3 3" xfId="35206"/>
    <cellStyle name="Comma 13 3 2 3 3 2" xfId="35207"/>
    <cellStyle name="Comma 13 3 2 3 3 2 2" xfId="35208"/>
    <cellStyle name="Comma 13 3 2 3 3 2 3" xfId="35209"/>
    <cellStyle name="Comma 13 3 2 3 3 3" xfId="35210"/>
    <cellStyle name="Comma 13 3 2 3 3 3 2" xfId="35211"/>
    <cellStyle name="Comma 13 3 2 3 3 3 3" xfId="35212"/>
    <cellStyle name="Comma 13 3 2 3 3 4" xfId="35213"/>
    <cellStyle name="Comma 13 3 2 3 3 4 2" xfId="35214"/>
    <cellStyle name="Comma 13 3 2 3 3 5" xfId="35215"/>
    <cellStyle name="Comma 13 3 2 3 3 6" xfId="35216"/>
    <cellStyle name="Comma 13 3 2 3 4" xfId="35217"/>
    <cellStyle name="Comma 13 3 2 3 4 2" xfId="35218"/>
    <cellStyle name="Comma 13 3 2 3 4 2 2" xfId="35219"/>
    <cellStyle name="Comma 13 3 2 3 4 2 3" xfId="35220"/>
    <cellStyle name="Comma 13 3 2 3 4 3" xfId="35221"/>
    <cellStyle name="Comma 13 3 2 3 4 3 2" xfId="35222"/>
    <cellStyle name="Comma 13 3 2 3 4 4" xfId="35223"/>
    <cellStyle name="Comma 13 3 2 3 4 5" xfId="35224"/>
    <cellStyle name="Comma 13 3 2 3 5" xfId="35225"/>
    <cellStyle name="Comma 13 3 2 3 5 2" xfId="35226"/>
    <cellStyle name="Comma 13 3 2 3 5 3" xfId="35227"/>
    <cellStyle name="Comma 13 3 2 3 6" xfId="35228"/>
    <cellStyle name="Comma 13 3 2 3 6 2" xfId="35229"/>
    <cellStyle name="Comma 13 3 2 3 6 3" xfId="35230"/>
    <cellStyle name="Comma 13 3 2 3 7" xfId="35231"/>
    <cellStyle name="Comma 13 3 2 3 7 2" xfId="35232"/>
    <cellStyle name="Comma 13 3 2 3 8" xfId="35233"/>
    <cellStyle name="Comma 13 3 2 3 9" xfId="35234"/>
    <cellStyle name="Comma 13 3 2 4" xfId="35235"/>
    <cellStyle name="Comma 13 3 2 4 2" xfId="35236"/>
    <cellStyle name="Comma 13 3 2 4 2 2" xfId="35237"/>
    <cellStyle name="Comma 13 3 2 4 2 2 2" xfId="35238"/>
    <cellStyle name="Comma 13 3 2 4 2 2 3" xfId="35239"/>
    <cellStyle name="Comma 13 3 2 4 2 3" xfId="35240"/>
    <cellStyle name="Comma 13 3 2 4 2 3 2" xfId="35241"/>
    <cellStyle name="Comma 13 3 2 4 2 3 3" xfId="35242"/>
    <cellStyle name="Comma 13 3 2 4 2 4" xfId="35243"/>
    <cellStyle name="Comma 13 3 2 4 2 4 2" xfId="35244"/>
    <cellStyle name="Comma 13 3 2 4 2 5" xfId="35245"/>
    <cellStyle name="Comma 13 3 2 4 2 6" xfId="35246"/>
    <cellStyle name="Comma 13 3 2 4 3" xfId="35247"/>
    <cellStyle name="Comma 13 3 2 4 3 2" xfId="35248"/>
    <cellStyle name="Comma 13 3 2 4 3 2 2" xfId="35249"/>
    <cellStyle name="Comma 13 3 2 4 3 2 3" xfId="35250"/>
    <cellStyle name="Comma 13 3 2 4 3 3" xfId="35251"/>
    <cellStyle name="Comma 13 3 2 4 3 3 2" xfId="35252"/>
    <cellStyle name="Comma 13 3 2 4 3 3 3" xfId="35253"/>
    <cellStyle name="Comma 13 3 2 4 3 4" xfId="35254"/>
    <cellStyle name="Comma 13 3 2 4 3 4 2" xfId="35255"/>
    <cellStyle name="Comma 13 3 2 4 3 5" xfId="35256"/>
    <cellStyle name="Comma 13 3 2 4 3 6" xfId="35257"/>
    <cellStyle name="Comma 13 3 2 4 4" xfId="35258"/>
    <cellStyle name="Comma 13 3 2 4 4 2" xfId="35259"/>
    <cellStyle name="Comma 13 3 2 4 4 2 2" xfId="35260"/>
    <cellStyle name="Comma 13 3 2 4 4 2 3" xfId="35261"/>
    <cellStyle name="Comma 13 3 2 4 4 3" xfId="35262"/>
    <cellStyle name="Comma 13 3 2 4 4 3 2" xfId="35263"/>
    <cellStyle name="Comma 13 3 2 4 4 4" xfId="35264"/>
    <cellStyle name="Comma 13 3 2 4 4 5" xfId="35265"/>
    <cellStyle name="Comma 13 3 2 4 5" xfId="35266"/>
    <cellStyle name="Comma 13 3 2 4 5 2" xfId="35267"/>
    <cellStyle name="Comma 13 3 2 4 5 3" xfId="35268"/>
    <cellStyle name="Comma 13 3 2 4 6" xfId="35269"/>
    <cellStyle name="Comma 13 3 2 4 6 2" xfId="35270"/>
    <cellStyle name="Comma 13 3 2 4 6 3" xfId="35271"/>
    <cellStyle name="Comma 13 3 2 4 7" xfId="35272"/>
    <cellStyle name="Comma 13 3 2 4 7 2" xfId="35273"/>
    <cellStyle name="Comma 13 3 2 4 8" xfId="35274"/>
    <cellStyle name="Comma 13 3 2 4 9" xfId="35275"/>
    <cellStyle name="Comma 13 3 2 5" xfId="35276"/>
    <cellStyle name="Comma 13 3 2 5 2" xfId="35277"/>
    <cellStyle name="Comma 13 3 2 5 2 2" xfId="35278"/>
    <cellStyle name="Comma 13 3 2 5 2 3" xfId="35279"/>
    <cellStyle name="Comma 13 3 2 5 3" xfId="35280"/>
    <cellStyle name="Comma 13 3 2 5 3 2" xfId="35281"/>
    <cellStyle name="Comma 13 3 2 5 3 3" xfId="35282"/>
    <cellStyle name="Comma 13 3 2 5 4" xfId="35283"/>
    <cellStyle name="Comma 13 3 2 5 4 2" xfId="35284"/>
    <cellStyle name="Comma 13 3 2 5 5" xfId="35285"/>
    <cellStyle name="Comma 13 3 2 5 6" xfId="35286"/>
    <cellStyle name="Comma 13 3 2 6" xfId="35287"/>
    <cellStyle name="Comma 13 3 2 6 2" xfId="35288"/>
    <cellStyle name="Comma 13 3 2 6 2 2" xfId="35289"/>
    <cellStyle name="Comma 13 3 2 6 2 3" xfId="35290"/>
    <cellStyle name="Comma 13 3 2 6 3" xfId="35291"/>
    <cellStyle name="Comma 13 3 2 6 3 2" xfId="35292"/>
    <cellStyle name="Comma 13 3 2 6 3 3" xfId="35293"/>
    <cellStyle name="Comma 13 3 2 6 4" xfId="35294"/>
    <cellStyle name="Comma 13 3 2 6 4 2" xfId="35295"/>
    <cellStyle name="Comma 13 3 2 6 5" xfId="35296"/>
    <cellStyle name="Comma 13 3 2 6 6" xfId="35297"/>
    <cellStyle name="Comma 13 3 2 7" xfId="35298"/>
    <cellStyle name="Comma 13 3 2 7 2" xfId="35299"/>
    <cellStyle name="Comma 13 3 2 7 2 2" xfId="35300"/>
    <cellStyle name="Comma 13 3 2 7 2 3" xfId="35301"/>
    <cellStyle name="Comma 13 3 2 7 3" xfId="35302"/>
    <cellStyle name="Comma 13 3 2 7 3 2" xfId="35303"/>
    <cellStyle name="Comma 13 3 2 7 4" xfId="35304"/>
    <cellStyle name="Comma 13 3 2 7 5" xfId="35305"/>
    <cellStyle name="Comma 13 3 2 8" xfId="35306"/>
    <cellStyle name="Comma 13 3 2 8 2" xfId="35307"/>
    <cellStyle name="Comma 13 3 2 8 3" xfId="35308"/>
    <cellStyle name="Comma 13 3 2 9" xfId="35309"/>
    <cellStyle name="Comma 13 3 2 9 2" xfId="35310"/>
    <cellStyle name="Comma 13 3 2 9 3" xfId="35311"/>
    <cellStyle name="Comma 13 3 3" xfId="35312"/>
    <cellStyle name="Comma 13 3 3 10" xfId="35313"/>
    <cellStyle name="Comma 13 3 3 2" xfId="35314"/>
    <cellStyle name="Comma 13 3 3 2 2" xfId="35315"/>
    <cellStyle name="Comma 13 3 3 2 2 2" xfId="35316"/>
    <cellStyle name="Comma 13 3 3 2 2 2 2" xfId="35317"/>
    <cellStyle name="Comma 13 3 3 2 2 2 3" xfId="35318"/>
    <cellStyle name="Comma 13 3 3 2 2 3" xfId="35319"/>
    <cellStyle name="Comma 13 3 3 2 2 3 2" xfId="35320"/>
    <cellStyle name="Comma 13 3 3 2 2 3 3" xfId="35321"/>
    <cellStyle name="Comma 13 3 3 2 2 4" xfId="35322"/>
    <cellStyle name="Comma 13 3 3 2 2 4 2" xfId="35323"/>
    <cellStyle name="Comma 13 3 3 2 2 5" xfId="35324"/>
    <cellStyle name="Comma 13 3 3 2 2 6" xfId="35325"/>
    <cellStyle name="Comma 13 3 3 2 3" xfId="35326"/>
    <cellStyle name="Comma 13 3 3 2 3 2" xfId="35327"/>
    <cellStyle name="Comma 13 3 3 2 3 2 2" xfId="35328"/>
    <cellStyle name="Comma 13 3 3 2 3 2 3" xfId="35329"/>
    <cellStyle name="Comma 13 3 3 2 3 3" xfId="35330"/>
    <cellStyle name="Comma 13 3 3 2 3 3 2" xfId="35331"/>
    <cellStyle name="Comma 13 3 3 2 3 3 3" xfId="35332"/>
    <cellStyle name="Comma 13 3 3 2 3 4" xfId="35333"/>
    <cellStyle name="Comma 13 3 3 2 3 4 2" xfId="35334"/>
    <cellStyle name="Comma 13 3 3 2 3 5" xfId="35335"/>
    <cellStyle name="Comma 13 3 3 2 3 6" xfId="35336"/>
    <cellStyle name="Comma 13 3 3 2 4" xfId="35337"/>
    <cellStyle name="Comma 13 3 3 2 4 2" xfId="35338"/>
    <cellStyle name="Comma 13 3 3 2 4 2 2" xfId="35339"/>
    <cellStyle name="Comma 13 3 3 2 4 2 3" xfId="35340"/>
    <cellStyle name="Comma 13 3 3 2 4 3" xfId="35341"/>
    <cellStyle name="Comma 13 3 3 2 4 3 2" xfId="35342"/>
    <cellStyle name="Comma 13 3 3 2 4 4" xfId="35343"/>
    <cellStyle name="Comma 13 3 3 2 4 5" xfId="35344"/>
    <cellStyle name="Comma 13 3 3 2 5" xfId="35345"/>
    <cellStyle name="Comma 13 3 3 2 5 2" xfId="35346"/>
    <cellStyle name="Comma 13 3 3 2 5 3" xfId="35347"/>
    <cellStyle name="Comma 13 3 3 2 6" xfId="35348"/>
    <cellStyle name="Comma 13 3 3 2 6 2" xfId="35349"/>
    <cellStyle name="Comma 13 3 3 2 6 3" xfId="35350"/>
    <cellStyle name="Comma 13 3 3 2 7" xfId="35351"/>
    <cellStyle name="Comma 13 3 3 2 7 2" xfId="35352"/>
    <cellStyle name="Comma 13 3 3 2 8" xfId="35353"/>
    <cellStyle name="Comma 13 3 3 2 9" xfId="35354"/>
    <cellStyle name="Comma 13 3 3 3" xfId="35355"/>
    <cellStyle name="Comma 13 3 3 3 2" xfId="35356"/>
    <cellStyle name="Comma 13 3 3 3 2 2" xfId="35357"/>
    <cellStyle name="Comma 13 3 3 3 2 3" xfId="35358"/>
    <cellStyle name="Comma 13 3 3 3 3" xfId="35359"/>
    <cellStyle name="Comma 13 3 3 3 3 2" xfId="35360"/>
    <cellStyle name="Comma 13 3 3 3 3 3" xfId="35361"/>
    <cellStyle name="Comma 13 3 3 3 4" xfId="35362"/>
    <cellStyle name="Comma 13 3 3 3 4 2" xfId="35363"/>
    <cellStyle name="Comma 13 3 3 3 5" xfId="35364"/>
    <cellStyle name="Comma 13 3 3 3 6" xfId="35365"/>
    <cellStyle name="Comma 13 3 3 4" xfId="35366"/>
    <cellStyle name="Comma 13 3 3 4 2" xfId="35367"/>
    <cellStyle name="Comma 13 3 3 4 2 2" xfId="35368"/>
    <cellStyle name="Comma 13 3 3 4 2 3" xfId="35369"/>
    <cellStyle name="Comma 13 3 3 4 3" xfId="35370"/>
    <cellStyle name="Comma 13 3 3 4 3 2" xfId="35371"/>
    <cellStyle name="Comma 13 3 3 4 3 3" xfId="35372"/>
    <cellStyle name="Comma 13 3 3 4 4" xfId="35373"/>
    <cellStyle name="Comma 13 3 3 4 4 2" xfId="35374"/>
    <cellStyle name="Comma 13 3 3 4 5" xfId="35375"/>
    <cellStyle name="Comma 13 3 3 4 6" xfId="35376"/>
    <cellStyle name="Comma 13 3 3 5" xfId="35377"/>
    <cellStyle name="Comma 13 3 3 5 2" xfId="35378"/>
    <cellStyle name="Comma 13 3 3 5 2 2" xfId="35379"/>
    <cellStyle name="Comma 13 3 3 5 2 3" xfId="35380"/>
    <cellStyle name="Comma 13 3 3 5 3" xfId="35381"/>
    <cellStyle name="Comma 13 3 3 5 3 2" xfId="35382"/>
    <cellStyle name="Comma 13 3 3 5 4" xfId="35383"/>
    <cellStyle name="Comma 13 3 3 5 5" xfId="35384"/>
    <cellStyle name="Comma 13 3 3 6" xfId="35385"/>
    <cellStyle name="Comma 13 3 3 6 2" xfId="35386"/>
    <cellStyle name="Comma 13 3 3 6 3" xfId="35387"/>
    <cellStyle name="Comma 13 3 3 7" xfId="35388"/>
    <cellStyle name="Comma 13 3 3 7 2" xfId="35389"/>
    <cellStyle name="Comma 13 3 3 7 3" xfId="35390"/>
    <cellStyle name="Comma 13 3 3 8" xfId="35391"/>
    <cellStyle name="Comma 13 3 3 8 2" xfId="35392"/>
    <cellStyle name="Comma 13 3 3 9" xfId="35393"/>
    <cellStyle name="Comma 13 3 4" xfId="35394"/>
    <cellStyle name="Comma 13 3 4 2" xfId="35395"/>
    <cellStyle name="Comma 13 3 4 2 2" xfId="35396"/>
    <cellStyle name="Comma 13 3 4 2 2 2" xfId="35397"/>
    <cellStyle name="Comma 13 3 4 2 2 3" xfId="35398"/>
    <cellStyle name="Comma 13 3 4 2 3" xfId="35399"/>
    <cellStyle name="Comma 13 3 4 2 3 2" xfId="35400"/>
    <cellStyle name="Comma 13 3 4 2 3 3" xfId="35401"/>
    <cellStyle name="Comma 13 3 4 2 4" xfId="35402"/>
    <cellStyle name="Comma 13 3 4 2 4 2" xfId="35403"/>
    <cellStyle name="Comma 13 3 4 2 5" xfId="35404"/>
    <cellStyle name="Comma 13 3 4 2 6" xfId="35405"/>
    <cellStyle name="Comma 13 3 4 3" xfId="35406"/>
    <cellStyle name="Comma 13 3 4 3 2" xfId="35407"/>
    <cellStyle name="Comma 13 3 4 3 2 2" xfId="35408"/>
    <cellStyle name="Comma 13 3 4 3 2 3" xfId="35409"/>
    <cellStyle name="Comma 13 3 4 3 3" xfId="35410"/>
    <cellStyle name="Comma 13 3 4 3 3 2" xfId="35411"/>
    <cellStyle name="Comma 13 3 4 3 3 3" xfId="35412"/>
    <cellStyle name="Comma 13 3 4 3 4" xfId="35413"/>
    <cellStyle name="Comma 13 3 4 3 4 2" xfId="35414"/>
    <cellStyle name="Comma 13 3 4 3 5" xfId="35415"/>
    <cellStyle name="Comma 13 3 4 3 6" xfId="35416"/>
    <cellStyle name="Comma 13 3 4 4" xfId="35417"/>
    <cellStyle name="Comma 13 3 4 4 2" xfId="35418"/>
    <cellStyle name="Comma 13 3 4 4 2 2" xfId="35419"/>
    <cellStyle name="Comma 13 3 4 4 2 3" xfId="35420"/>
    <cellStyle name="Comma 13 3 4 4 3" xfId="35421"/>
    <cellStyle name="Comma 13 3 4 4 3 2" xfId="35422"/>
    <cellStyle name="Comma 13 3 4 4 4" xfId="35423"/>
    <cellStyle name="Comma 13 3 4 4 5" xfId="35424"/>
    <cellStyle name="Comma 13 3 4 5" xfId="35425"/>
    <cellStyle name="Comma 13 3 4 5 2" xfId="35426"/>
    <cellStyle name="Comma 13 3 4 5 3" xfId="35427"/>
    <cellStyle name="Comma 13 3 4 6" xfId="35428"/>
    <cellStyle name="Comma 13 3 4 6 2" xfId="35429"/>
    <cellStyle name="Comma 13 3 4 6 3" xfId="35430"/>
    <cellStyle name="Comma 13 3 4 7" xfId="35431"/>
    <cellStyle name="Comma 13 3 4 7 2" xfId="35432"/>
    <cellStyle name="Comma 13 3 4 8" xfId="35433"/>
    <cellStyle name="Comma 13 3 4 9" xfId="35434"/>
    <cellStyle name="Comma 13 3 5" xfId="35435"/>
    <cellStyle name="Comma 13 3 5 2" xfId="35436"/>
    <cellStyle name="Comma 13 3 5 2 2" xfId="35437"/>
    <cellStyle name="Comma 13 3 5 2 2 2" xfId="35438"/>
    <cellStyle name="Comma 13 3 5 2 2 3" xfId="35439"/>
    <cellStyle name="Comma 13 3 5 2 3" xfId="35440"/>
    <cellStyle name="Comma 13 3 5 2 3 2" xfId="35441"/>
    <cellStyle name="Comma 13 3 5 2 3 3" xfId="35442"/>
    <cellStyle name="Comma 13 3 5 2 4" xfId="35443"/>
    <cellStyle name="Comma 13 3 5 2 4 2" xfId="35444"/>
    <cellStyle name="Comma 13 3 5 2 5" xfId="35445"/>
    <cellStyle name="Comma 13 3 5 2 6" xfId="35446"/>
    <cellStyle name="Comma 13 3 5 3" xfId="35447"/>
    <cellStyle name="Comma 13 3 5 3 2" xfId="35448"/>
    <cellStyle name="Comma 13 3 5 3 2 2" xfId="35449"/>
    <cellStyle name="Comma 13 3 5 3 2 3" xfId="35450"/>
    <cellStyle name="Comma 13 3 5 3 3" xfId="35451"/>
    <cellStyle name="Comma 13 3 5 3 3 2" xfId="35452"/>
    <cellStyle name="Comma 13 3 5 3 3 3" xfId="35453"/>
    <cellStyle name="Comma 13 3 5 3 4" xfId="35454"/>
    <cellStyle name="Comma 13 3 5 3 4 2" xfId="35455"/>
    <cellStyle name="Comma 13 3 5 3 5" xfId="35456"/>
    <cellStyle name="Comma 13 3 5 3 6" xfId="35457"/>
    <cellStyle name="Comma 13 3 5 4" xfId="35458"/>
    <cellStyle name="Comma 13 3 5 4 2" xfId="35459"/>
    <cellStyle name="Comma 13 3 5 4 2 2" xfId="35460"/>
    <cellStyle name="Comma 13 3 5 4 2 3" xfId="35461"/>
    <cellStyle name="Comma 13 3 5 4 3" xfId="35462"/>
    <cellStyle name="Comma 13 3 5 4 3 2" xfId="35463"/>
    <cellStyle name="Comma 13 3 5 4 4" xfId="35464"/>
    <cellStyle name="Comma 13 3 5 4 5" xfId="35465"/>
    <cellStyle name="Comma 13 3 5 5" xfId="35466"/>
    <cellStyle name="Comma 13 3 5 5 2" xfId="35467"/>
    <cellStyle name="Comma 13 3 5 5 3" xfId="35468"/>
    <cellStyle name="Comma 13 3 5 6" xfId="35469"/>
    <cellStyle name="Comma 13 3 5 6 2" xfId="35470"/>
    <cellStyle name="Comma 13 3 5 6 3" xfId="35471"/>
    <cellStyle name="Comma 13 3 5 7" xfId="35472"/>
    <cellStyle name="Comma 13 3 5 7 2" xfId="35473"/>
    <cellStyle name="Comma 13 3 5 8" xfId="35474"/>
    <cellStyle name="Comma 13 3 5 9" xfId="35475"/>
    <cellStyle name="Comma 13 3 6" xfId="35476"/>
    <cellStyle name="Comma 13 3 6 2" xfId="35477"/>
    <cellStyle name="Comma 13 3 6 2 2" xfId="35478"/>
    <cellStyle name="Comma 13 3 6 2 3" xfId="35479"/>
    <cellStyle name="Comma 13 3 6 3" xfId="35480"/>
    <cellStyle name="Comma 13 3 6 3 2" xfId="35481"/>
    <cellStyle name="Comma 13 3 6 3 3" xfId="35482"/>
    <cellStyle name="Comma 13 3 6 4" xfId="35483"/>
    <cellStyle name="Comma 13 3 6 4 2" xfId="35484"/>
    <cellStyle name="Comma 13 3 6 5" xfId="35485"/>
    <cellStyle name="Comma 13 3 6 6" xfId="35486"/>
    <cellStyle name="Comma 13 3 7" xfId="35487"/>
    <cellStyle name="Comma 13 3 7 2" xfId="35488"/>
    <cellStyle name="Comma 13 3 7 2 2" xfId="35489"/>
    <cellStyle name="Comma 13 3 7 2 3" xfId="35490"/>
    <cellStyle name="Comma 13 3 7 3" xfId="35491"/>
    <cellStyle name="Comma 13 3 7 3 2" xfId="35492"/>
    <cellStyle name="Comma 13 3 7 3 3" xfId="35493"/>
    <cellStyle name="Comma 13 3 7 4" xfId="35494"/>
    <cellStyle name="Comma 13 3 7 4 2" xfId="35495"/>
    <cellStyle name="Comma 13 3 7 5" xfId="35496"/>
    <cellStyle name="Comma 13 3 7 6" xfId="35497"/>
    <cellStyle name="Comma 13 3 8" xfId="35498"/>
    <cellStyle name="Comma 13 3 8 2" xfId="35499"/>
    <cellStyle name="Comma 13 3 8 2 2" xfId="35500"/>
    <cellStyle name="Comma 13 3 8 2 3" xfId="35501"/>
    <cellStyle name="Comma 13 3 8 3" xfId="35502"/>
    <cellStyle name="Comma 13 3 8 3 2" xfId="35503"/>
    <cellStyle name="Comma 13 3 8 4" xfId="35504"/>
    <cellStyle name="Comma 13 3 8 5" xfId="35505"/>
    <cellStyle name="Comma 13 3 9" xfId="35506"/>
    <cellStyle name="Comma 13 3 9 2" xfId="35507"/>
    <cellStyle name="Comma 13 3 9 3" xfId="35508"/>
    <cellStyle name="Comma 13 4" xfId="35509"/>
    <cellStyle name="Comma 13 4 10" xfId="35510"/>
    <cellStyle name="Comma 13 4 10 2" xfId="35511"/>
    <cellStyle name="Comma 13 4 11" xfId="35512"/>
    <cellStyle name="Comma 13 4 12" xfId="35513"/>
    <cellStyle name="Comma 13 4 2" xfId="35514"/>
    <cellStyle name="Comma 13 4 2 10" xfId="35515"/>
    <cellStyle name="Comma 13 4 2 2" xfId="35516"/>
    <cellStyle name="Comma 13 4 2 2 2" xfId="35517"/>
    <cellStyle name="Comma 13 4 2 2 2 2" xfId="35518"/>
    <cellStyle name="Comma 13 4 2 2 2 2 2" xfId="35519"/>
    <cellStyle name="Comma 13 4 2 2 2 2 3" xfId="35520"/>
    <cellStyle name="Comma 13 4 2 2 2 3" xfId="35521"/>
    <cellStyle name="Comma 13 4 2 2 2 3 2" xfId="35522"/>
    <cellStyle name="Comma 13 4 2 2 2 3 3" xfId="35523"/>
    <cellStyle name="Comma 13 4 2 2 2 4" xfId="35524"/>
    <cellStyle name="Comma 13 4 2 2 2 4 2" xfId="35525"/>
    <cellStyle name="Comma 13 4 2 2 2 5" xfId="35526"/>
    <cellStyle name="Comma 13 4 2 2 2 6" xfId="35527"/>
    <cellStyle name="Comma 13 4 2 2 3" xfId="35528"/>
    <cellStyle name="Comma 13 4 2 2 3 2" xfId="35529"/>
    <cellStyle name="Comma 13 4 2 2 3 2 2" xfId="35530"/>
    <cellStyle name="Comma 13 4 2 2 3 2 3" xfId="35531"/>
    <cellStyle name="Comma 13 4 2 2 3 3" xfId="35532"/>
    <cellStyle name="Comma 13 4 2 2 3 3 2" xfId="35533"/>
    <cellStyle name="Comma 13 4 2 2 3 3 3" xfId="35534"/>
    <cellStyle name="Comma 13 4 2 2 3 4" xfId="35535"/>
    <cellStyle name="Comma 13 4 2 2 3 4 2" xfId="35536"/>
    <cellStyle name="Comma 13 4 2 2 3 5" xfId="35537"/>
    <cellStyle name="Comma 13 4 2 2 3 6" xfId="35538"/>
    <cellStyle name="Comma 13 4 2 2 4" xfId="35539"/>
    <cellStyle name="Comma 13 4 2 2 4 2" xfId="35540"/>
    <cellStyle name="Comma 13 4 2 2 4 2 2" xfId="35541"/>
    <cellStyle name="Comma 13 4 2 2 4 2 3" xfId="35542"/>
    <cellStyle name="Comma 13 4 2 2 4 3" xfId="35543"/>
    <cellStyle name="Comma 13 4 2 2 4 3 2" xfId="35544"/>
    <cellStyle name="Comma 13 4 2 2 4 4" xfId="35545"/>
    <cellStyle name="Comma 13 4 2 2 4 5" xfId="35546"/>
    <cellStyle name="Comma 13 4 2 2 5" xfId="35547"/>
    <cellStyle name="Comma 13 4 2 2 5 2" xfId="35548"/>
    <cellStyle name="Comma 13 4 2 2 5 3" xfId="35549"/>
    <cellStyle name="Comma 13 4 2 2 6" xfId="35550"/>
    <cellStyle name="Comma 13 4 2 2 6 2" xfId="35551"/>
    <cellStyle name="Comma 13 4 2 2 6 3" xfId="35552"/>
    <cellStyle name="Comma 13 4 2 2 7" xfId="35553"/>
    <cellStyle name="Comma 13 4 2 2 7 2" xfId="35554"/>
    <cellStyle name="Comma 13 4 2 2 8" xfId="35555"/>
    <cellStyle name="Comma 13 4 2 2 9" xfId="35556"/>
    <cellStyle name="Comma 13 4 2 3" xfId="35557"/>
    <cellStyle name="Comma 13 4 2 3 2" xfId="35558"/>
    <cellStyle name="Comma 13 4 2 3 2 2" xfId="35559"/>
    <cellStyle name="Comma 13 4 2 3 2 3" xfId="35560"/>
    <cellStyle name="Comma 13 4 2 3 3" xfId="35561"/>
    <cellStyle name="Comma 13 4 2 3 3 2" xfId="35562"/>
    <cellStyle name="Comma 13 4 2 3 3 3" xfId="35563"/>
    <cellStyle name="Comma 13 4 2 3 4" xfId="35564"/>
    <cellStyle name="Comma 13 4 2 3 4 2" xfId="35565"/>
    <cellStyle name="Comma 13 4 2 3 5" xfId="35566"/>
    <cellStyle name="Comma 13 4 2 3 6" xfId="35567"/>
    <cellStyle name="Comma 13 4 2 4" xfId="35568"/>
    <cellStyle name="Comma 13 4 2 4 2" xfId="35569"/>
    <cellStyle name="Comma 13 4 2 4 2 2" xfId="35570"/>
    <cellStyle name="Comma 13 4 2 4 2 3" xfId="35571"/>
    <cellStyle name="Comma 13 4 2 4 3" xfId="35572"/>
    <cellStyle name="Comma 13 4 2 4 3 2" xfId="35573"/>
    <cellStyle name="Comma 13 4 2 4 3 3" xfId="35574"/>
    <cellStyle name="Comma 13 4 2 4 4" xfId="35575"/>
    <cellStyle name="Comma 13 4 2 4 4 2" xfId="35576"/>
    <cellStyle name="Comma 13 4 2 4 5" xfId="35577"/>
    <cellStyle name="Comma 13 4 2 4 6" xfId="35578"/>
    <cellStyle name="Comma 13 4 2 5" xfId="35579"/>
    <cellStyle name="Comma 13 4 2 5 2" xfId="35580"/>
    <cellStyle name="Comma 13 4 2 5 2 2" xfId="35581"/>
    <cellStyle name="Comma 13 4 2 5 2 3" xfId="35582"/>
    <cellStyle name="Comma 13 4 2 5 3" xfId="35583"/>
    <cellStyle name="Comma 13 4 2 5 3 2" xfId="35584"/>
    <cellStyle name="Comma 13 4 2 5 4" xfId="35585"/>
    <cellStyle name="Comma 13 4 2 5 5" xfId="35586"/>
    <cellStyle name="Comma 13 4 2 6" xfId="35587"/>
    <cellStyle name="Comma 13 4 2 6 2" xfId="35588"/>
    <cellStyle name="Comma 13 4 2 6 3" xfId="35589"/>
    <cellStyle name="Comma 13 4 2 7" xfId="35590"/>
    <cellStyle name="Comma 13 4 2 7 2" xfId="35591"/>
    <cellStyle name="Comma 13 4 2 7 3" xfId="35592"/>
    <cellStyle name="Comma 13 4 2 8" xfId="35593"/>
    <cellStyle name="Comma 13 4 2 8 2" xfId="35594"/>
    <cellStyle name="Comma 13 4 2 9" xfId="35595"/>
    <cellStyle name="Comma 13 4 3" xfId="35596"/>
    <cellStyle name="Comma 13 4 3 2" xfId="35597"/>
    <cellStyle name="Comma 13 4 3 2 2" xfId="35598"/>
    <cellStyle name="Comma 13 4 3 2 2 2" xfId="35599"/>
    <cellStyle name="Comma 13 4 3 2 2 3" xfId="35600"/>
    <cellStyle name="Comma 13 4 3 2 3" xfId="35601"/>
    <cellStyle name="Comma 13 4 3 2 3 2" xfId="35602"/>
    <cellStyle name="Comma 13 4 3 2 3 3" xfId="35603"/>
    <cellStyle name="Comma 13 4 3 2 4" xfId="35604"/>
    <cellStyle name="Comma 13 4 3 2 4 2" xfId="35605"/>
    <cellStyle name="Comma 13 4 3 2 5" xfId="35606"/>
    <cellStyle name="Comma 13 4 3 2 6" xfId="35607"/>
    <cellStyle name="Comma 13 4 3 3" xfId="35608"/>
    <cellStyle name="Comma 13 4 3 3 2" xfId="35609"/>
    <cellStyle name="Comma 13 4 3 3 2 2" xfId="35610"/>
    <cellStyle name="Comma 13 4 3 3 2 3" xfId="35611"/>
    <cellStyle name="Comma 13 4 3 3 3" xfId="35612"/>
    <cellStyle name="Comma 13 4 3 3 3 2" xfId="35613"/>
    <cellStyle name="Comma 13 4 3 3 3 3" xfId="35614"/>
    <cellStyle name="Comma 13 4 3 3 4" xfId="35615"/>
    <cellStyle name="Comma 13 4 3 3 4 2" xfId="35616"/>
    <cellStyle name="Comma 13 4 3 3 5" xfId="35617"/>
    <cellStyle name="Comma 13 4 3 3 6" xfId="35618"/>
    <cellStyle name="Comma 13 4 3 4" xfId="35619"/>
    <cellStyle name="Comma 13 4 3 4 2" xfId="35620"/>
    <cellStyle name="Comma 13 4 3 4 2 2" xfId="35621"/>
    <cellStyle name="Comma 13 4 3 4 2 3" xfId="35622"/>
    <cellStyle name="Comma 13 4 3 4 3" xfId="35623"/>
    <cellStyle name="Comma 13 4 3 4 3 2" xfId="35624"/>
    <cellStyle name="Comma 13 4 3 4 4" xfId="35625"/>
    <cellStyle name="Comma 13 4 3 4 5" xfId="35626"/>
    <cellStyle name="Comma 13 4 3 5" xfId="35627"/>
    <cellStyle name="Comma 13 4 3 5 2" xfId="35628"/>
    <cellStyle name="Comma 13 4 3 5 3" xfId="35629"/>
    <cellStyle name="Comma 13 4 3 6" xfId="35630"/>
    <cellStyle name="Comma 13 4 3 6 2" xfId="35631"/>
    <cellStyle name="Comma 13 4 3 6 3" xfId="35632"/>
    <cellStyle name="Comma 13 4 3 7" xfId="35633"/>
    <cellStyle name="Comma 13 4 3 7 2" xfId="35634"/>
    <cellStyle name="Comma 13 4 3 8" xfId="35635"/>
    <cellStyle name="Comma 13 4 3 9" xfId="35636"/>
    <cellStyle name="Comma 13 4 4" xfId="35637"/>
    <cellStyle name="Comma 13 4 4 2" xfId="35638"/>
    <cellStyle name="Comma 13 4 4 2 2" xfId="35639"/>
    <cellStyle name="Comma 13 4 4 2 2 2" xfId="35640"/>
    <cellStyle name="Comma 13 4 4 2 2 3" xfId="35641"/>
    <cellStyle name="Comma 13 4 4 2 3" xfId="35642"/>
    <cellStyle name="Comma 13 4 4 2 3 2" xfId="35643"/>
    <cellStyle name="Comma 13 4 4 2 3 3" xfId="35644"/>
    <cellStyle name="Comma 13 4 4 2 4" xfId="35645"/>
    <cellStyle name="Comma 13 4 4 2 4 2" xfId="35646"/>
    <cellStyle name="Comma 13 4 4 2 5" xfId="35647"/>
    <cellStyle name="Comma 13 4 4 2 6" xfId="35648"/>
    <cellStyle name="Comma 13 4 4 3" xfId="35649"/>
    <cellStyle name="Comma 13 4 4 3 2" xfId="35650"/>
    <cellStyle name="Comma 13 4 4 3 2 2" xfId="35651"/>
    <cellStyle name="Comma 13 4 4 3 2 3" xfId="35652"/>
    <cellStyle name="Comma 13 4 4 3 3" xfId="35653"/>
    <cellStyle name="Comma 13 4 4 3 3 2" xfId="35654"/>
    <cellStyle name="Comma 13 4 4 3 3 3" xfId="35655"/>
    <cellStyle name="Comma 13 4 4 3 4" xfId="35656"/>
    <cellStyle name="Comma 13 4 4 3 4 2" xfId="35657"/>
    <cellStyle name="Comma 13 4 4 3 5" xfId="35658"/>
    <cellStyle name="Comma 13 4 4 3 6" xfId="35659"/>
    <cellStyle name="Comma 13 4 4 4" xfId="35660"/>
    <cellStyle name="Comma 13 4 4 4 2" xfId="35661"/>
    <cellStyle name="Comma 13 4 4 4 2 2" xfId="35662"/>
    <cellStyle name="Comma 13 4 4 4 2 3" xfId="35663"/>
    <cellStyle name="Comma 13 4 4 4 3" xfId="35664"/>
    <cellStyle name="Comma 13 4 4 4 3 2" xfId="35665"/>
    <cellStyle name="Comma 13 4 4 4 4" xfId="35666"/>
    <cellStyle name="Comma 13 4 4 4 5" xfId="35667"/>
    <cellStyle name="Comma 13 4 4 5" xfId="35668"/>
    <cellStyle name="Comma 13 4 4 5 2" xfId="35669"/>
    <cellStyle name="Comma 13 4 4 5 3" xfId="35670"/>
    <cellStyle name="Comma 13 4 4 6" xfId="35671"/>
    <cellStyle name="Comma 13 4 4 6 2" xfId="35672"/>
    <cellStyle name="Comma 13 4 4 6 3" xfId="35673"/>
    <cellStyle name="Comma 13 4 4 7" xfId="35674"/>
    <cellStyle name="Comma 13 4 4 7 2" xfId="35675"/>
    <cellStyle name="Comma 13 4 4 8" xfId="35676"/>
    <cellStyle name="Comma 13 4 4 9" xfId="35677"/>
    <cellStyle name="Comma 13 4 5" xfId="35678"/>
    <cellStyle name="Comma 13 4 5 2" xfId="35679"/>
    <cellStyle name="Comma 13 4 5 2 2" xfId="35680"/>
    <cellStyle name="Comma 13 4 5 2 3" xfId="35681"/>
    <cellStyle name="Comma 13 4 5 3" xfId="35682"/>
    <cellStyle name="Comma 13 4 5 3 2" xfId="35683"/>
    <cellStyle name="Comma 13 4 5 3 3" xfId="35684"/>
    <cellStyle name="Comma 13 4 5 4" xfId="35685"/>
    <cellStyle name="Comma 13 4 5 4 2" xfId="35686"/>
    <cellStyle name="Comma 13 4 5 5" xfId="35687"/>
    <cellStyle name="Comma 13 4 5 6" xfId="35688"/>
    <cellStyle name="Comma 13 4 6" xfId="35689"/>
    <cellStyle name="Comma 13 4 6 2" xfId="35690"/>
    <cellStyle name="Comma 13 4 6 2 2" xfId="35691"/>
    <cellStyle name="Comma 13 4 6 2 3" xfId="35692"/>
    <cellStyle name="Comma 13 4 6 3" xfId="35693"/>
    <cellStyle name="Comma 13 4 6 3 2" xfId="35694"/>
    <cellStyle name="Comma 13 4 6 3 3" xfId="35695"/>
    <cellStyle name="Comma 13 4 6 4" xfId="35696"/>
    <cellStyle name="Comma 13 4 6 4 2" xfId="35697"/>
    <cellStyle name="Comma 13 4 6 5" xfId="35698"/>
    <cellStyle name="Comma 13 4 6 6" xfId="35699"/>
    <cellStyle name="Comma 13 4 7" xfId="35700"/>
    <cellStyle name="Comma 13 4 7 2" xfId="35701"/>
    <cellStyle name="Comma 13 4 7 2 2" xfId="35702"/>
    <cellStyle name="Comma 13 4 7 2 3" xfId="35703"/>
    <cellStyle name="Comma 13 4 7 3" xfId="35704"/>
    <cellStyle name="Comma 13 4 7 3 2" xfId="35705"/>
    <cellStyle name="Comma 13 4 7 4" xfId="35706"/>
    <cellStyle name="Comma 13 4 7 5" xfId="35707"/>
    <cellStyle name="Comma 13 4 8" xfId="35708"/>
    <cellStyle name="Comma 13 4 8 2" xfId="35709"/>
    <cellStyle name="Comma 13 4 8 3" xfId="35710"/>
    <cellStyle name="Comma 13 4 9" xfId="35711"/>
    <cellStyle name="Comma 13 4 9 2" xfId="35712"/>
    <cellStyle name="Comma 13 4 9 3" xfId="35713"/>
    <cellStyle name="Comma 13 5" xfId="35714"/>
    <cellStyle name="Comma 13 5 10" xfId="35715"/>
    <cellStyle name="Comma 13 5 2" xfId="35716"/>
    <cellStyle name="Comma 13 5 2 2" xfId="35717"/>
    <cellStyle name="Comma 13 5 2 2 2" xfId="35718"/>
    <cellStyle name="Comma 13 5 2 2 2 2" xfId="35719"/>
    <cellStyle name="Comma 13 5 2 2 2 3" xfId="35720"/>
    <cellStyle name="Comma 13 5 2 2 3" xfId="35721"/>
    <cellStyle name="Comma 13 5 2 2 3 2" xfId="35722"/>
    <cellStyle name="Comma 13 5 2 2 3 3" xfId="35723"/>
    <cellStyle name="Comma 13 5 2 2 4" xfId="35724"/>
    <cellStyle name="Comma 13 5 2 2 4 2" xfId="35725"/>
    <cellStyle name="Comma 13 5 2 2 5" xfId="35726"/>
    <cellStyle name="Comma 13 5 2 2 6" xfId="35727"/>
    <cellStyle name="Comma 13 5 2 3" xfId="35728"/>
    <cellStyle name="Comma 13 5 2 3 2" xfId="35729"/>
    <cellStyle name="Comma 13 5 2 3 2 2" xfId="35730"/>
    <cellStyle name="Comma 13 5 2 3 2 3" xfId="35731"/>
    <cellStyle name="Comma 13 5 2 3 3" xfId="35732"/>
    <cellStyle name="Comma 13 5 2 3 3 2" xfId="35733"/>
    <cellStyle name="Comma 13 5 2 3 3 3" xfId="35734"/>
    <cellStyle name="Comma 13 5 2 3 4" xfId="35735"/>
    <cellStyle name="Comma 13 5 2 3 4 2" xfId="35736"/>
    <cellStyle name="Comma 13 5 2 3 5" xfId="35737"/>
    <cellStyle name="Comma 13 5 2 3 6" xfId="35738"/>
    <cellStyle name="Comma 13 5 2 4" xfId="35739"/>
    <cellStyle name="Comma 13 5 2 4 2" xfId="35740"/>
    <cellStyle name="Comma 13 5 2 4 2 2" xfId="35741"/>
    <cellStyle name="Comma 13 5 2 4 2 3" xfId="35742"/>
    <cellStyle name="Comma 13 5 2 4 3" xfId="35743"/>
    <cellStyle name="Comma 13 5 2 4 3 2" xfId="35744"/>
    <cellStyle name="Comma 13 5 2 4 4" xfId="35745"/>
    <cellStyle name="Comma 13 5 2 4 5" xfId="35746"/>
    <cellStyle name="Comma 13 5 2 5" xfId="35747"/>
    <cellStyle name="Comma 13 5 2 5 2" xfId="35748"/>
    <cellStyle name="Comma 13 5 2 5 3" xfId="35749"/>
    <cellStyle name="Comma 13 5 2 6" xfId="35750"/>
    <cellStyle name="Comma 13 5 2 6 2" xfId="35751"/>
    <cellStyle name="Comma 13 5 2 6 3" xfId="35752"/>
    <cellStyle name="Comma 13 5 2 7" xfId="35753"/>
    <cellStyle name="Comma 13 5 2 7 2" xfId="35754"/>
    <cellStyle name="Comma 13 5 2 8" xfId="35755"/>
    <cellStyle name="Comma 13 5 2 9" xfId="35756"/>
    <cellStyle name="Comma 13 5 3" xfId="35757"/>
    <cellStyle name="Comma 13 5 3 2" xfId="35758"/>
    <cellStyle name="Comma 13 5 3 2 2" xfId="35759"/>
    <cellStyle name="Comma 13 5 3 2 3" xfId="35760"/>
    <cellStyle name="Comma 13 5 3 3" xfId="35761"/>
    <cellStyle name="Comma 13 5 3 3 2" xfId="35762"/>
    <cellStyle name="Comma 13 5 3 3 3" xfId="35763"/>
    <cellStyle name="Comma 13 5 3 4" xfId="35764"/>
    <cellStyle name="Comma 13 5 3 4 2" xfId="35765"/>
    <cellStyle name="Comma 13 5 3 5" xfId="35766"/>
    <cellStyle name="Comma 13 5 3 6" xfId="35767"/>
    <cellStyle name="Comma 13 5 4" xfId="35768"/>
    <cellStyle name="Comma 13 5 4 2" xfId="35769"/>
    <cellStyle name="Comma 13 5 4 2 2" xfId="35770"/>
    <cellStyle name="Comma 13 5 4 2 3" xfId="35771"/>
    <cellStyle name="Comma 13 5 4 3" xfId="35772"/>
    <cellStyle name="Comma 13 5 4 3 2" xfId="35773"/>
    <cellStyle name="Comma 13 5 4 3 3" xfId="35774"/>
    <cellStyle name="Comma 13 5 4 4" xfId="35775"/>
    <cellStyle name="Comma 13 5 4 4 2" xfId="35776"/>
    <cellStyle name="Comma 13 5 4 5" xfId="35777"/>
    <cellStyle name="Comma 13 5 4 6" xfId="35778"/>
    <cellStyle name="Comma 13 5 5" xfId="35779"/>
    <cellStyle name="Comma 13 5 5 2" xfId="35780"/>
    <cellStyle name="Comma 13 5 5 2 2" xfId="35781"/>
    <cellStyle name="Comma 13 5 5 2 3" xfId="35782"/>
    <cellStyle name="Comma 13 5 5 3" xfId="35783"/>
    <cellStyle name="Comma 13 5 5 3 2" xfId="35784"/>
    <cellStyle name="Comma 13 5 5 4" xfId="35785"/>
    <cellStyle name="Comma 13 5 5 5" xfId="35786"/>
    <cellStyle name="Comma 13 5 6" xfId="35787"/>
    <cellStyle name="Comma 13 5 6 2" xfId="35788"/>
    <cellStyle name="Comma 13 5 6 3" xfId="35789"/>
    <cellStyle name="Comma 13 5 7" xfId="35790"/>
    <cellStyle name="Comma 13 5 7 2" xfId="35791"/>
    <cellStyle name="Comma 13 5 7 3" xfId="35792"/>
    <cellStyle name="Comma 13 5 8" xfId="35793"/>
    <cellStyle name="Comma 13 5 8 2" xfId="35794"/>
    <cellStyle name="Comma 13 5 9" xfId="35795"/>
    <cellStyle name="Comma 13 6" xfId="35796"/>
    <cellStyle name="Comma 13 6 2" xfId="35797"/>
    <cellStyle name="Comma 13 6 2 2" xfId="35798"/>
    <cellStyle name="Comma 13 6 2 2 2" xfId="35799"/>
    <cellStyle name="Comma 13 6 2 2 3" xfId="35800"/>
    <cellStyle name="Comma 13 6 2 3" xfId="35801"/>
    <cellStyle name="Comma 13 6 2 3 2" xfId="35802"/>
    <cellStyle name="Comma 13 6 2 3 3" xfId="35803"/>
    <cellStyle name="Comma 13 6 2 4" xfId="35804"/>
    <cellStyle name="Comma 13 6 2 4 2" xfId="35805"/>
    <cellStyle name="Comma 13 6 2 5" xfId="35806"/>
    <cellStyle name="Comma 13 6 2 6" xfId="35807"/>
    <cellStyle name="Comma 13 6 3" xfId="35808"/>
    <cellStyle name="Comma 13 6 3 2" xfId="35809"/>
    <cellStyle name="Comma 13 6 3 2 2" xfId="35810"/>
    <cellStyle name="Comma 13 6 3 2 3" xfId="35811"/>
    <cellStyle name="Comma 13 6 3 3" xfId="35812"/>
    <cellStyle name="Comma 13 6 3 3 2" xfId="35813"/>
    <cellStyle name="Comma 13 6 3 3 3" xfId="35814"/>
    <cellStyle name="Comma 13 6 3 4" xfId="35815"/>
    <cellStyle name="Comma 13 6 3 4 2" xfId="35816"/>
    <cellStyle name="Comma 13 6 3 5" xfId="35817"/>
    <cellStyle name="Comma 13 6 3 6" xfId="35818"/>
    <cellStyle name="Comma 13 6 4" xfId="35819"/>
    <cellStyle name="Comma 13 6 4 2" xfId="35820"/>
    <cellStyle name="Comma 13 6 4 2 2" xfId="35821"/>
    <cellStyle name="Comma 13 6 4 2 3" xfId="35822"/>
    <cellStyle name="Comma 13 6 4 3" xfId="35823"/>
    <cellStyle name="Comma 13 6 4 3 2" xfId="35824"/>
    <cellStyle name="Comma 13 6 4 4" xfId="35825"/>
    <cellStyle name="Comma 13 6 4 5" xfId="35826"/>
    <cellStyle name="Comma 13 6 5" xfId="35827"/>
    <cellStyle name="Comma 13 6 5 2" xfId="35828"/>
    <cellStyle name="Comma 13 6 5 3" xfId="35829"/>
    <cellStyle name="Comma 13 6 6" xfId="35830"/>
    <cellStyle name="Comma 13 6 6 2" xfId="35831"/>
    <cellStyle name="Comma 13 6 6 3" xfId="35832"/>
    <cellStyle name="Comma 13 6 7" xfId="35833"/>
    <cellStyle name="Comma 13 6 7 2" xfId="35834"/>
    <cellStyle name="Comma 13 6 8" xfId="35835"/>
    <cellStyle name="Comma 13 6 9" xfId="35836"/>
    <cellStyle name="Comma 13 7" xfId="35837"/>
    <cellStyle name="Comma 13 7 2" xfId="35838"/>
    <cellStyle name="Comma 13 7 2 2" xfId="35839"/>
    <cellStyle name="Comma 13 7 2 2 2" xfId="35840"/>
    <cellStyle name="Comma 13 7 2 2 3" xfId="35841"/>
    <cellStyle name="Comma 13 7 2 3" xfId="35842"/>
    <cellStyle name="Comma 13 7 2 3 2" xfId="35843"/>
    <cellStyle name="Comma 13 7 2 3 3" xfId="35844"/>
    <cellStyle name="Comma 13 7 2 4" xfId="35845"/>
    <cellStyle name="Comma 13 7 2 4 2" xfId="35846"/>
    <cellStyle name="Comma 13 7 2 5" xfId="35847"/>
    <cellStyle name="Comma 13 7 2 6" xfId="35848"/>
    <cellStyle name="Comma 13 7 3" xfId="35849"/>
    <cellStyle name="Comma 13 7 3 2" xfId="35850"/>
    <cellStyle name="Comma 13 7 3 2 2" xfId="35851"/>
    <cellStyle name="Comma 13 7 3 2 3" xfId="35852"/>
    <cellStyle name="Comma 13 7 3 3" xfId="35853"/>
    <cellStyle name="Comma 13 7 3 3 2" xfId="35854"/>
    <cellStyle name="Comma 13 7 3 3 3" xfId="35855"/>
    <cellStyle name="Comma 13 7 3 4" xfId="35856"/>
    <cellStyle name="Comma 13 7 3 4 2" xfId="35857"/>
    <cellStyle name="Comma 13 7 3 5" xfId="35858"/>
    <cellStyle name="Comma 13 7 3 6" xfId="35859"/>
    <cellStyle name="Comma 13 7 4" xfId="35860"/>
    <cellStyle name="Comma 13 7 4 2" xfId="35861"/>
    <cellStyle name="Comma 13 7 4 2 2" xfId="35862"/>
    <cellStyle name="Comma 13 7 4 2 3" xfId="35863"/>
    <cellStyle name="Comma 13 7 4 3" xfId="35864"/>
    <cellStyle name="Comma 13 7 4 3 2" xfId="35865"/>
    <cellStyle name="Comma 13 7 4 4" xfId="35866"/>
    <cellStyle name="Comma 13 7 4 5" xfId="35867"/>
    <cellStyle name="Comma 13 7 5" xfId="35868"/>
    <cellStyle name="Comma 13 7 5 2" xfId="35869"/>
    <cellStyle name="Comma 13 7 5 3" xfId="35870"/>
    <cellStyle name="Comma 13 7 6" xfId="35871"/>
    <cellStyle name="Comma 13 7 6 2" xfId="35872"/>
    <cellStyle name="Comma 13 7 6 3" xfId="35873"/>
    <cellStyle name="Comma 13 7 7" xfId="35874"/>
    <cellStyle name="Comma 13 7 7 2" xfId="35875"/>
    <cellStyle name="Comma 13 7 8" xfId="35876"/>
    <cellStyle name="Comma 13 7 9" xfId="35877"/>
    <cellStyle name="Comma 13 8" xfId="35878"/>
    <cellStyle name="Comma 13 8 2" xfId="35879"/>
    <cellStyle name="Comma 13 8 2 2" xfId="35880"/>
    <cellStyle name="Comma 13 8 2 3" xfId="35881"/>
    <cellStyle name="Comma 13 8 3" xfId="35882"/>
    <cellStyle name="Comma 13 8 3 2" xfId="35883"/>
    <cellStyle name="Comma 13 8 3 3" xfId="35884"/>
    <cellStyle name="Comma 13 8 4" xfId="35885"/>
    <cellStyle name="Comma 13 8 4 2" xfId="35886"/>
    <cellStyle name="Comma 13 8 5" xfId="35887"/>
    <cellStyle name="Comma 13 8 6" xfId="35888"/>
    <cellStyle name="Comma 13 9" xfId="35889"/>
    <cellStyle name="Comma 13 9 2" xfId="35890"/>
    <cellStyle name="Comma 13 9 2 2" xfId="35891"/>
    <cellStyle name="Comma 13 9 2 3" xfId="35892"/>
    <cellStyle name="Comma 13 9 3" xfId="35893"/>
    <cellStyle name="Comma 13 9 3 2" xfId="35894"/>
    <cellStyle name="Comma 13 9 3 3" xfId="35895"/>
    <cellStyle name="Comma 13 9 4" xfId="35896"/>
    <cellStyle name="Comma 13 9 4 2" xfId="35897"/>
    <cellStyle name="Comma 13 9 5" xfId="35898"/>
    <cellStyle name="Comma 13 9 6" xfId="35899"/>
    <cellStyle name="Comma 14" xfId="3241"/>
    <cellStyle name="Comma 14 10" xfId="35900"/>
    <cellStyle name="Comma 14 10 2" xfId="35901"/>
    <cellStyle name="Comma 14 10 2 2" xfId="35902"/>
    <cellStyle name="Comma 14 10 2 3" xfId="35903"/>
    <cellStyle name="Comma 14 10 3" xfId="35904"/>
    <cellStyle name="Comma 14 10 3 2" xfId="35905"/>
    <cellStyle name="Comma 14 10 4" xfId="35906"/>
    <cellStyle name="Comma 14 10 5" xfId="35907"/>
    <cellStyle name="Comma 14 11" xfId="35908"/>
    <cellStyle name="Comma 14 11 2" xfId="35909"/>
    <cellStyle name="Comma 14 11 3" xfId="35910"/>
    <cellStyle name="Comma 14 12" xfId="35911"/>
    <cellStyle name="Comma 14 12 2" xfId="35912"/>
    <cellStyle name="Comma 14 12 3" xfId="35913"/>
    <cellStyle name="Comma 14 13" xfId="35914"/>
    <cellStyle name="Comma 14 13 2" xfId="35915"/>
    <cellStyle name="Comma 14 14" xfId="35916"/>
    <cellStyle name="Comma 14 15" xfId="35917"/>
    <cellStyle name="Comma 14 16" xfId="35918"/>
    <cellStyle name="Comma 14 2" xfId="8227"/>
    <cellStyle name="Comma 14 2 10" xfId="35919"/>
    <cellStyle name="Comma 14 2 10 2" xfId="35920"/>
    <cellStyle name="Comma 14 2 10 3" xfId="35921"/>
    <cellStyle name="Comma 14 2 11" xfId="35922"/>
    <cellStyle name="Comma 14 2 11 2" xfId="35923"/>
    <cellStyle name="Comma 14 2 11 3" xfId="35924"/>
    <cellStyle name="Comma 14 2 12" xfId="35925"/>
    <cellStyle name="Comma 14 2 12 2" xfId="35926"/>
    <cellStyle name="Comma 14 2 13" xfId="35927"/>
    <cellStyle name="Comma 14 2 14" xfId="35928"/>
    <cellStyle name="Comma 14 2 15" xfId="35929"/>
    <cellStyle name="Comma 14 2 2" xfId="35930"/>
    <cellStyle name="Comma 14 2 2 10" xfId="35931"/>
    <cellStyle name="Comma 14 2 2 10 2" xfId="35932"/>
    <cellStyle name="Comma 14 2 2 10 3" xfId="35933"/>
    <cellStyle name="Comma 14 2 2 11" xfId="35934"/>
    <cellStyle name="Comma 14 2 2 11 2" xfId="35935"/>
    <cellStyle name="Comma 14 2 2 12" xfId="35936"/>
    <cellStyle name="Comma 14 2 2 13" xfId="35937"/>
    <cellStyle name="Comma 14 2 2 2" xfId="35938"/>
    <cellStyle name="Comma 14 2 2 2 10" xfId="35939"/>
    <cellStyle name="Comma 14 2 2 2 10 2" xfId="35940"/>
    <cellStyle name="Comma 14 2 2 2 11" xfId="35941"/>
    <cellStyle name="Comma 14 2 2 2 12" xfId="35942"/>
    <cellStyle name="Comma 14 2 2 2 2" xfId="35943"/>
    <cellStyle name="Comma 14 2 2 2 2 10" xfId="35944"/>
    <cellStyle name="Comma 14 2 2 2 2 2" xfId="35945"/>
    <cellStyle name="Comma 14 2 2 2 2 2 2" xfId="35946"/>
    <cellStyle name="Comma 14 2 2 2 2 2 2 2" xfId="35947"/>
    <cellStyle name="Comma 14 2 2 2 2 2 2 2 2" xfId="35948"/>
    <cellStyle name="Comma 14 2 2 2 2 2 2 2 3" xfId="35949"/>
    <cellStyle name="Comma 14 2 2 2 2 2 2 3" xfId="35950"/>
    <cellStyle name="Comma 14 2 2 2 2 2 2 3 2" xfId="35951"/>
    <cellStyle name="Comma 14 2 2 2 2 2 2 3 3" xfId="35952"/>
    <cellStyle name="Comma 14 2 2 2 2 2 2 4" xfId="35953"/>
    <cellStyle name="Comma 14 2 2 2 2 2 2 4 2" xfId="35954"/>
    <cellStyle name="Comma 14 2 2 2 2 2 2 5" xfId="35955"/>
    <cellStyle name="Comma 14 2 2 2 2 2 2 6" xfId="35956"/>
    <cellStyle name="Comma 14 2 2 2 2 2 3" xfId="35957"/>
    <cellStyle name="Comma 14 2 2 2 2 2 3 2" xfId="35958"/>
    <cellStyle name="Comma 14 2 2 2 2 2 3 2 2" xfId="35959"/>
    <cellStyle name="Comma 14 2 2 2 2 2 3 2 3" xfId="35960"/>
    <cellStyle name="Comma 14 2 2 2 2 2 3 3" xfId="35961"/>
    <cellStyle name="Comma 14 2 2 2 2 2 3 3 2" xfId="35962"/>
    <cellStyle name="Comma 14 2 2 2 2 2 3 3 3" xfId="35963"/>
    <cellStyle name="Comma 14 2 2 2 2 2 3 4" xfId="35964"/>
    <cellStyle name="Comma 14 2 2 2 2 2 3 4 2" xfId="35965"/>
    <cellStyle name="Comma 14 2 2 2 2 2 3 5" xfId="35966"/>
    <cellStyle name="Comma 14 2 2 2 2 2 3 6" xfId="35967"/>
    <cellStyle name="Comma 14 2 2 2 2 2 4" xfId="35968"/>
    <cellStyle name="Comma 14 2 2 2 2 2 4 2" xfId="35969"/>
    <cellStyle name="Comma 14 2 2 2 2 2 4 2 2" xfId="35970"/>
    <cellStyle name="Comma 14 2 2 2 2 2 4 2 3" xfId="35971"/>
    <cellStyle name="Comma 14 2 2 2 2 2 4 3" xfId="35972"/>
    <cellStyle name="Comma 14 2 2 2 2 2 4 3 2" xfId="35973"/>
    <cellStyle name="Comma 14 2 2 2 2 2 4 4" xfId="35974"/>
    <cellStyle name="Comma 14 2 2 2 2 2 4 5" xfId="35975"/>
    <cellStyle name="Comma 14 2 2 2 2 2 5" xfId="35976"/>
    <cellStyle name="Comma 14 2 2 2 2 2 5 2" xfId="35977"/>
    <cellStyle name="Comma 14 2 2 2 2 2 5 3" xfId="35978"/>
    <cellStyle name="Comma 14 2 2 2 2 2 6" xfId="35979"/>
    <cellStyle name="Comma 14 2 2 2 2 2 6 2" xfId="35980"/>
    <cellStyle name="Comma 14 2 2 2 2 2 6 3" xfId="35981"/>
    <cellStyle name="Comma 14 2 2 2 2 2 7" xfId="35982"/>
    <cellStyle name="Comma 14 2 2 2 2 2 7 2" xfId="35983"/>
    <cellStyle name="Comma 14 2 2 2 2 2 8" xfId="35984"/>
    <cellStyle name="Comma 14 2 2 2 2 2 9" xfId="35985"/>
    <cellStyle name="Comma 14 2 2 2 2 3" xfId="35986"/>
    <cellStyle name="Comma 14 2 2 2 2 3 2" xfId="35987"/>
    <cellStyle name="Comma 14 2 2 2 2 3 2 2" xfId="35988"/>
    <cellStyle name="Comma 14 2 2 2 2 3 2 3" xfId="35989"/>
    <cellStyle name="Comma 14 2 2 2 2 3 3" xfId="35990"/>
    <cellStyle name="Comma 14 2 2 2 2 3 3 2" xfId="35991"/>
    <cellStyle name="Comma 14 2 2 2 2 3 3 3" xfId="35992"/>
    <cellStyle name="Comma 14 2 2 2 2 3 4" xfId="35993"/>
    <cellStyle name="Comma 14 2 2 2 2 3 4 2" xfId="35994"/>
    <cellStyle name="Comma 14 2 2 2 2 3 5" xfId="35995"/>
    <cellStyle name="Comma 14 2 2 2 2 3 6" xfId="35996"/>
    <cellStyle name="Comma 14 2 2 2 2 4" xfId="35997"/>
    <cellStyle name="Comma 14 2 2 2 2 4 2" xfId="35998"/>
    <cellStyle name="Comma 14 2 2 2 2 4 2 2" xfId="35999"/>
    <cellStyle name="Comma 14 2 2 2 2 4 2 3" xfId="36000"/>
    <cellStyle name="Comma 14 2 2 2 2 4 3" xfId="36001"/>
    <cellStyle name="Comma 14 2 2 2 2 4 3 2" xfId="36002"/>
    <cellStyle name="Comma 14 2 2 2 2 4 3 3" xfId="36003"/>
    <cellStyle name="Comma 14 2 2 2 2 4 4" xfId="36004"/>
    <cellStyle name="Comma 14 2 2 2 2 4 4 2" xfId="36005"/>
    <cellStyle name="Comma 14 2 2 2 2 4 5" xfId="36006"/>
    <cellStyle name="Comma 14 2 2 2 2 4 6" xfId="36007"/>
    <cellStyle name="Comma 14 2 2 2 2 5" xfId="36008"/>
    <cellStyle name="Comma 14 2 2 2 2 5 2" xfId="36009"/>
    <cellStyle name="Comma 14 2 2 2 2 5 2 2" xfId="36010"/>
    <cellStyle name="Comma 14 2 2 2 2 5 2 3" xfId="36011"/>
    <cellStyle name="Comma 14 2 2 2 2 5 3" xfId="36012"/>
    <cellStyle name="Comma 14 2 2 2 2 5 3 2" xfId="36013"/>
    <cellStyle name="Comma 14 2 2 2 2 5 4" xfId="36014"/>
    <cellStyle name="Comma 14 2 2 2 2 5 5" xfId="36015"/>
    <cellStyle name="Comma 14 2 2 2 2 6" xfId="36016"/>
    <cellStyle name="Comma 14 2 2 2 2 6 2" xfId="36017"/>
    <cellStyle name="Comma 14 2 2 2 2 6 3" xfId="36018"/>
    <cellStyle name="Comma 14 2 2 2 2 7" xfId="36019"/>
    <cellStyle name="Comma 14 2 2 2 2 7 2" xfId="36020"/>
    <cellStyle name="Comma 14 2 2 2 2 7 3" xfId="36021"/>
    <cellStyle name="Comma 14 2 2 2 2 8" xfId="36022"/>
    <cellStyle name="Comma 14 2 2 2 2 8 2" xfId="36023"/>
    <cellStyle name="Comma 14 2 2 2 2 9" xfId="36024"/>
    <cellStyle name="Comma 14 2 2 2 3" xfId="36025"/>
    <cellStyle name="Comma 14 2 2 2 3 2" xfId="36026"/>
    <cellStyle name="Comma 14 2 2 2 3 2 2" xfId="36027"/>
    <cellStyle name="Comma 14 2 2 2 3 2 2 2" xfId="36028"/>
    <cellStyle name="Comma 14 2 2 2 3 2 2 3" xfId="36029"/>
    <cellStyle name="Comma 14 2 2 2 3 2 3" xfId="36030"/>
    <cellStyle name="Comma 14 2 2 2 3 2 3 2" xfId="36031"/>
    <cellStyle name="Comma 14 2 2 2 3 2 3 3" xfId="36032"/>
    <cellStyle name="Comma 14 2 2 2 3 2 4" xfId="36033"/>
    <cellStyle name="Comma 14 2 2 2 3 2 4 2" xfId="36034"/>
    <cellStyle name="Comma 14 2 2 2 3 2 5" xfId="36035"/>
    <cellStyle name="Comma 14 2 2 2 3 2 6" xfId="36036"/>
    <cellStyle name="Comma 14 2 2 2 3 3" xfId="36037"/>
    <cellStyle name="Comma 14 2 2 2 3 3 2" xfId="36038"/>
    <cellStyle name="Comma 14 2 2 2 3 3 2 2" xfId="36039"/>
    <cellStyle name="Comma 14 2 2 2 3 3 2 3" xfId="36040"/>
    <cellStyle name="Comma 14 2 2 2 3 3 3" xfId="36041"/>
    <cellStyle name="Comma 14 2 2 2 3 3 3 2" xfId="36042"/>
    <cellStyle name="Comma 14 2 2 2 3 3 3 3" xfId="36043"/>
    <cellStyle name="Comma 14 2 2 2 3 3 4" xfId="36044"/>
    <cellStyle name="Comma 14 2 2 2 3 3 4 2" xfId="36045"/>
    <cellStyle name="Comma 14 2 2 2 3 3 5" xfId="36046"/>
    <cellStyle name="Comma 14 2 2 2 3 3 6" xfId="36047"/>
    <cellStyle name="Comma 14 2 2 2 3 4" xfId="36048"/>
    <cellStyle name="Comma 14 2 2 2 3 4 2" xfId="36049"/>
    <cellStyle name="Comma 14 2 2 2 3 4 2 2" xfId="36050"/>
    <cellStyle name="Comma 14 2 2 2 3 4 2 3" xfId="36051"/>
    <cellStyle name="Comma 14 2 2 2 3 4 3" xfId="36052"/>
    <cellStyle name="Comma 14 2 2 2 3 4 3 2" xfId="36053"/>
    <cellStyle name="Comma 14 2 2 2 3 4 4" xfId="36054"/>
    <cellStyle name="Comma 14 2 2 2 3 4 5" xfId="36055"/>
    <cellStyle name="Comma 14 2 2 2 3 5" xfId="36056"/>
    <cellStyle name="Comma 14 2 2 2 3 5 2" xfId="36057"/>
    <cellStyle name="Comma 14 2 2 2 3 5 3" xfId="36058"/>
    <cellStyle name="Comma 14 2 2 2 3 6" xfId="36059"/>
    <cellStyle name="Comma 14 2 2 2 3 6 2" xfId="36060"/>
    <cellStyle name="Comma 14 2 2 2 3 6 3" xfId="36061"/>
    <cellStyle name="Comma 14 2 2 2 3 7" xfId="36062"/>
    <cellStyle name="Comma 14 2 2 2 3 7 2" xfId="36063"/>
    <cellStyle name="Comma 14 2 2 2 3 8" xfId="36064"/>
    <cellStyle name="Comma 14 2 2 2 3 9" xfId="36065"/>
    <cellStyle name="Comma 14 2 2 2 4" xfId="36066"/>
    <cellStyle name="Comma 14 2 2 2 4 2" xfId="36067"/>
    <cellStyle name="Comma 14 2 2 2 4 2 2" xfId="36068"/>
    <cellStyle name="Comma 14 2 2 2 4 2 2 2" xfId="36069"/>
    <cellStyle name="Comma 14 2 2 2 4 2 2 3" xfId="36070"/>
    <cellStyle name="Comma 14 2 2 2 4 2 3" xfId="36071"/>
    <cellStyle name="Comma 14 2 2 2 4 2 3 2" xfId="36072"/>
    <cellStyle name="Comma 14 2 2 2 4 2 3 3" xfId="36073"/>
    <cellStyle name="Comma 14 2 2 2 4 2 4" xfId="36074"/>
    <cellStyle name="Comma 14 2 2 2 4 2 4 2" xfId="36075"/>
    <cellStyle name="Comma 14 2 2 2 4 2 5" xfId="36076"/>
    <cellStyle name="Comma 14 2 2 2 4 2 6" xfId="36077"/>
    <cellStyle name="Comma 14 2 2 2 4 3" xfId="36078"/>
    <cellStyle name="Comma 14 2 2 2 4 3 2" xfId="36079"/>
    <cellStyle name="Comma 14 2 2 2 4 3 2 2" xfId="36080"/>
    <cellStyle name="Comma 14 2 2 2 4 3 2 3" xfId="36081"/>
    <cellStyle name="Comma 14 2 2 2 4 3 3" xfId="36082"/>
    <cellStyle name="Comma 14 2 2 2 4 3 3 2" xfId="36083"/>
    <cellStyle name="Comma 14 2 2 2 4 3 3 3" xfId="36084"/>
    <cellStyle name="Comma 14 2 2 2 4 3 4" xfId="36085"/>
    <cellStyle name="Comma 14 2 2 2 4 3 4 2" xfId="36086"/>
    <cellStyle name="Comma 14 2 2 2 4 3 5" xfId="36087"/>
    <cellStyle name="Comma 14 2 2 2 4 3 6" xfId="36088"/>
    <cellStyle name="Comma 14 2 2 2 4 4" xfId="36089"/>
    <cellStyle name="Comma 14 2 2 2 4 4 2" xfId="36090"/>
    <cellStyle name="Comma 14 2 2 2 4 4 2 2" xfId="36091"/>
    <cellStyle name="Comma 14 2 2 2 4 4 2 3" xfId="36092"/>
    <cellStyle name="Comma 14 2 2 2 4 4 3" xfId="36093"/>
    <cellStyle name="Comma 14 2 2 2 4 4 3 2" xfId="36094"/>
    <cellStyle name="Comma 14 2 2 2 4 4 4" xfId="36095"/>
    <cellStyle name="Comma 14 2 2 2 4 4 5" xfId="36096"/>
    <cellStyle name="Comma 14 2 2 2 4 5" xfId="36097"/>
    <cellStyle name="Comma 14 2 2 2 4 5 2" xfId="36098"/>
    <cellStyle name="Comma 14 2 2 2 4 5 3" xfId="36099"/>
    <cellStyle name="Comma 14 2 2 2 4 6" xfId="36100"/>
    <cellStyle name="Comma 14 2 2 2 4 6 2" xfId="36101"/>
    <cellStyle name="Comma 14 2 2 2 4 6 3" xfId="36102"/>
    <cellStyle name="Comma 14 2 2 2 4 7" xfId="36103"/>
    <cellStyle name="Comma 14 2 2 2 4 7 2" xfId="36104"/>
    <cellStyle name="Comma 14 2 2 2 4 8" xfId="36105"/>
    <cellStyle name="Comma 14 2 2 2 4 9" xfId="36106"/>
    <cellStyle name="Comma 14 2 2 2 5" xfId="36107"/>
    <cellStyle name="Comma 14 2 2 2 5 2" xfId="36108"/>
    <cellStyle name="Comma 14 2 2 2 5 2 2" xfId="36109"/>
    <cellStyle name="Comma 14 2 2 2 5 2 3" xfId="36110"/>
    <cellStyle name="Comma 14 2 2 2 5 3" xfId="36111"/>
    <cellStyle name="Comma 14 2 2 2 5 3 2" xfId="36112"/>
    <cellStyle name="Comma 14 2 2 2 5 3 3" xfId="36113"/>
    <cellStyle name="Comma 14 2 2 2 5 4" xfId="36114"/>
    <cellStyle name="Comma 14 2 2 2 5 4 2" xfId="36115"/>
    <cellStyle name="Comma 14 2 2 2 5 5" xfId="36116"/>
    <cellStyle name="Comma 14 2 2 2 5 6" xfId="36117"/>
    <cellStyle name="Comma 14 2 2 2 6" xfId="36118"/>
    <cellStyle name="Comma 14 2 2 2 6 2" xfId="36119"/>
    <cellStyle name="Comma 14 2 2 2 6 2 2" xfId="36120"/>
    <cellStyle name="Comma 14 2 2 2 6 2 3" xfId="36121"/>
    <cellStyle name="Comma 14 2 2 2 6 3" xfId="36122"/>
    <cellStyle name="Comma 14 2 2 2 6 3 2" xfId="36123"/>
    <cellStyle name="Comma 14 2 2 2 6 3 3" xfId="36124"/>
    <cellStyle name="Comma 14 2 2 2 6 4" xfId="36125"/>
    <cellStyle name="Comma 14 2 2 2 6 4 2" xfId="36126"/>
    <cellStyle name="Comma 14 2 2 2 6 5" xfId="36127"/>
    <cellStyle name="Comma 14 2 2 2 6 6" xfId="36128"/>
    <cellStyle name="Comma 14 2 2 2 7" xfId="36129"/>
    <cellStyle name="Comma 14 2 2 2 7 2" xfId="36130"/>
    <cellStyle name="Comma 14 2 2 2 7 2 2" xfId="36131"/>
    <cellStyle name="Comma 14 2 2 2 7 2 3" xfId="36132"/>
    <cellStyle name="Comma 14 2 2 2 7 3" xfId="36133"/>
    <cellStyle name="Comma 14 2 2 2 7 3 2" xfId="36134"/>
    <cellStyle name="Comma 14 2 2 2 7 4" xfId="36135"/>
    <cellStyle name="Comma 14 2 2 2 7 5" xfId="36136"/>
    <cellStyle name="Comma 14 2 2 2 8" xfId="36137"/>
    <cellStyle name="Comma 14 2 2 2 8 2" xfId="36138"/>
    <cellStyle name="Comma 14 2 2 2 8 3" xfId="36139"/>
    <cellStyle name="Comma 14 2 2 2 9" xfId="36140"/>
    <cellStyle name="Comma 14 2 2 2 9 2" xfId="36141"/>
    <cellStyle name="Comma 14 2 2 2 9 3" xfId="36142"/>
    <cellStyle name="Comma 14 2 2 3" xfId="36143"/>
    <cellStyle name="Comma 14 2 2 3 10" xfId="36144"/>
    <cellStyle name="Comma 14 2 2 3 2" xfId="36145"/>
    <cellStyle name="Comma 14 2 2 3 2 2" xfId="36146"/>
    <cellStyle name="Comma 14 2 2 3 2 2 2" xfId="36147"/>
    <cellStyle name="Comma 14 2 2 3 2 2 2 2" xfId="36148"/>
    <cellStyle name="Comma 14 2 2 3 2 2 2 3" xfId="36149"/>
    <cellStyle name="Comma 14 2 2 3 2 2 3" xfId="36150"/>
    <cellStyle name="Comma 14 2 2 3 2 2 3 2" xfId="36151"/>
    <cellStyle name="Comma 14 2 2 3 2 2 3 3" xfId="36152"/>
    <cellStyle name="Comma 14 2 2 3 2 2 4" xfId="36153"/>
    <cellStyle name="Comma 14 2 2 3 2 2 4 2" xfId="36154"/>
    <cellStyle name="Comma 14 2 2 3 2 2 5" xfId="36155"/>
    <cellStyle name="Comma 14 2 2 3 2 2 6" xfId="36156"/>
    <cellStyle name="Comma 14 2 2 3 2 3" xfId="36157"/>
    <cellStyle name="Comma 14 2 2 3 2 3 2" xfId="36158"/>
    <cellStyle name="Comma 14 2 2 3 2 3 2 2" xfId="36159"/>
    <cellStyle name="Comma 14 2 2 3 2 3 2 3" xfId="36160"/>
    <cellStyle name="Comma 14 2 2 3 2 3 3" xfId="36161"/>
    <cellStyle name="Comma 14 2 2 3 2 3 3 2" xfId="36162"/>
    <cellStyle name="Comma 14 2 2 3 2 3 3 3" xfId="36163"/>
    <cellStyle name="Comma 14 2 2 3 2 3 4" xfId="36164"/>
    <cellStyle name="Comma 14 2 2 3 2 3 4 2" xfId="36165"/>
    <cellStyle name="Comma 14 2 2 3 2 3 5" xfId="36166"/>
    <cellStyle name="Comma 14 2 2 3 2 3 6" xfId="36167"/>
    <cellStyle name="Comma 14 2 2 3 2 4" xfId="36168"/>
    <cellStyle name="Comma 14 2 2 3 2 4 2" xfId="36169"/>
    <cellStyle name="Comma 14 2 2 3 2 4 2 2" xfId="36170"/>
    <cellStyle name="Comma 14 2 2 3 2 4 2 3" xfId="36171"/>
    <cellStyle name="Comma 14 2 2 3 2 4 3" xfId="36172"/>
    <cellStyle name="Comma 14 2 2 3 2 4 3 2" xfId="36173"/>
    <cellStyle name="Comma 14 2 2 3 2 4 4" xfId="36174"/>
    <cellStyle name="Comma 14 2 2 3 2 4 5" xfId="36175"/>
    <cellStyle name="Comma 14 2 2 3 2 5" xfId="36176"/>
    <cellStyle name="Comma 14 2 2 3 2 5 2" xfId="36177"/>
    <cellStyle name="Comma 14 2 2 3 2 5 3" xfId="36178"/>
    <cellStyle name="Comma 14 2 2 3 2 6" xfId="36179"/>
    <cellStyle name="Comma 14 2 2 3 2 6 2" xfId="36180"/>
    <cellStyle name="Comma 14 2 2 3 2 6 3" xfId="36181"/>
    <cellStyle name="Comma 14 2 2 3 2 7" xfId="36182"/>
    <cellStyle name="Comma 14 2 2 3 2 7 2" xfId="36183"/>
    <cellStyle name="Comma 14 2 2 3 2 8" xfId="36184"/>
    <cellStyle name="Comma 14 2 2 3 2 9" xfId="36185"/>
    <cellStyle name="Comma 14 2 2 3 3" xfId="36186"/>
    <cellStyle name="Comma 14 2 2 3 3 2" xfId="36187"/>
    <cellStyle name="Comma 14 2 2 3 3 2 2" xfId="36188"/>
    <cellStyle name="Comma 14 2 2 3 3 2 3" xfId="36189"/>
    <cellStyle name="Comma 14 2 2 3 3 3" xfId="36190"/>
    <cellStyle name="Comma 14 2 2 3 3 3 2" xfId="36191"/>
    <cellStyle name="Comma 14 2 2 3 3 3 3" xfId="36192"/>
    <cellStyle name="Comma 14 2 2 3 3 4" xfId="36193"/>
    <cellStyle name="Comma 14 2 2 3 3 4 2" xfId="36194"/>
    <cellStyle name="Comma 14 2 2 3 3 5" xfId="36195"/>
    <cellStyle name="Comma 14 2 2 3 3 6" xfId="36196"/>
    <cellStyle name="Comma 14 2 2 3 4" xfId="36197"/>
    <cellStyle name="Comma 14 2 2 3 4 2" xfId="36198"/>
    <cellStyle name="Comma 14 2 2 3 4 2 2" xfId="36199"/>
    <cellStyle name="Comma 14 2 2 3 4 2 3" xfId="36200"/>
    <cellStyle name="Comma 14 2 2 3 4 3" xfId="36201"/>
    <cellStyle name="Comma 14 2 2 3 4 3 2" xfId="36202"/>
    <cellStyle name="Comma 14 2 2 3 4 3 3" xfId="36203"/>
    <cellStyle name="Comma 14 2 2 3 4 4" xfId="36204"/>
    <cellStyle name="Comma 14 2 2 3 4 4 2" xfId="36205"/>
    <cellStyle name="Comma 14 2 2 3 4 5" xfId="36206"/>
    <cellStyle name="Comma 14 2 2 3 4 6" xfId="36207"/>
    <cellStyle name="Comma 14 2 2 3 5" xfId="36208"/>
    <cellStyle name="Comma 14 2 2 3 5 2" xfId="36209"/>
    <cellStyle name="Comma 14 2 2 3 5 2 2" xfId="36210"/>
    <cellStyle name="Comma 14 2 2 3 5 2 3" xfId="36211"/>
    <cellStyle name="Comma 14 2 2 3 5 3" xfId="36212"/>
    <cellStyle name="Comma 14 2 2 3 5 3 2" xfId="36213"/>
    <cellStyle name="Comma 14 2 2 3 5 4" xfId="36214"/>
    <cellStyle name="Comma 14 2 2 3 5 5" xfId="36215"/>
    <cellStyle name="Comma 14 2 2 3 6" xfId="36216"/>
    <cellStyle name="Comma 14 2 2 3 6 2" xfId="36217"/>
    <cellStyle name="Comma 14 2 2 3 6 3" xfId="36218"/>
    <cellStyle name="Comma 14 2 2 3 7" xfId="36219"/>
    <cellStyle name="Comma 14 2 2 3 7 2" xfId="36220"/>
    <cellStyle name="Comma 14 2 2 3 7 3" xfId="36221"/>
    <cellStyle name="Comma 14 2 2 3 8" xfId="36222"/>
    <cellStyle name="Comma 14 2 2 3 8 2" xfId="36223"/>
    <cellStyle name="Comma 14 2 2 3 9" xfId="36224"/>
    <cellStyle name="Comma 14 2 2 4" xfId="36225"/>
    <cellStyle name="Comma 14 2 2 4 2" xfId="36226"/>
    <cellStyle name="Comma 14 2 2 4 2 2" xfId="36227"/>
    <cellStyle name="Comma 14 2 2 4 2 2 2" xfId="36228"/>
    <cellStyle name="Comma 14 2 2 4 2 2 3" xfId="36229"/>
    <cellStyle name="Comma 14 2 2 4 2 3" xfId="36230"/>
    <cellStyle name="Comma 14 2 2 4 2 3 2" xfId="36231"/>
    <cellStyle name="Comma 14 2 2 4 2 3 3" xfId="36232"/>
    <cellStyle name="Comma 14 2 2 4 2 4" xfId="36233"/>
    <cellStyle name="Comma 14 2 2 4 2 4 2" xfId="36234"/>
    <cellStyle name="Comma 14 2 2 4 2 5" xfId="36235"/>
    <cellStyle name="Comma 14 2 2 4 2 6" xfId="36236"/>
    <cellStyle name="Comma 14 2 2 4 3" xfId="36237"/>
    <cellStyle name="Comma 14 2 2 4 3 2" xfId="36238"/>
    <cellStyle name="Comma 14 2 2 4 3 2 2" xfId="36239"/>
    <cellStyle name="Comma 14 2 2 4 3 2 3" xfId="36240"/>
    <cellStyle name="Comma 14 2 2 4 3 3" xfId="36241"/>
    <cellStyle name="Comma 14 2 2 4 3 3 2" xfId="36242"/>
    <cellStyle name="Comma 14 2 2 4 3 3 3" xfId="36243"/>
    <cellStyle name="Comma 14 2 2 4 3 4" xfId="36244"/>
    <cellStyle name="Comma 14 2 2 4 3 4 2" xfId="36245"/>
    <cellStyle name="Comma 14 2 2 4 3 5" xfId="36246"/>
    <cellStyle name="Comma 14 2 2 4 3 6" xfId="36247"/>
    <cellStyle name="Comma 14 2 2 4 4" xfId="36248"/>
    <cellStyle name="Comma 14 2 2 4 4 2" xfId="36249"/>
    <cellStyle name="Comma 14 2 2 4 4 2 2" xfId="36250"/>
    <cellStyle name="Comma 14 2 2 4 4 2 3" xfId="36251"/>
    <cellStyle name="Comma 14 2 2 4 4 3" xfId="36252"/>
    <cellStyle name="Comma 14 2 2 4 4 3 2" xfId="36253"/>
    <cellStyle name="Comma 14 2 2 4 4 4" xfId="36254"/>
    <cellStyle name="Comma 14 2 2 4 4 5" xfId="36255"/>
    <cellStyle name="Comma 14 2 2 4 5" xfId="36256"/>
    <cellStyle name="Comma 14 2 2 4 5 2" xfId="36257"/>
    <cellStyle name="Comma 14 2 2 4 5 3" xfId="36258"/>
    <cellStyle name="Comma 14 2 2 4 6" xfId="36259"/>
    <cellStyle name="Comma 14 2 2 4 6 2" xfId="36260"/>
    <cellStyle name="Comma 14 2 2 4 6 3" xfId="36261"/>
    <cellStyle name="Comma 14 2 2 4 7" xfId="36262"/>
    <cellStyle name="Comma 14 2 2 4 7 2" xfId="36263"/>
    <cellStyle name="Comma 14 2 2 4 8" xfId="36264"/>
    <cellStyle name="Comma 14 2 2 4 9" xfId="36265"/>
    <cellStyle name="Comma 14 2 2 5" xfId="36266"/>
    <cellStyle name="Comma 14 2 2 5 2" xfId="36267"/>
    <cellStyle name="Comma 14 2 2 5 2 2" xfId="36268"/>
    <cellStyle name="Comma 14 2 2 5 2 2 2" xfId="36269"/>
    <cellStyle name="Comma 14 2 2 5 2 2 3" xfId="36270"/>
    <cellStyle name="Comma 14 2 2 5 2 3" xfId="36271"/>
    <cellStyle name="Comma 14 2 2 5 2 3 2" xfId="36272"/>
    <cellStyle name="Comma 14 2 2 5 2 3 3" xfId="36273"/>
    <cellStyle name="Comma 14 2 2 5 2 4" xfId="36274"/>
    <cellStyle name="Comma 14 2 2 5 2 4 2" xfId="36275"/>
    <cellStyle name="Comma 14 2 2 5 2 5" xfId="36276"/>
    <cellStyle name="Comma 14 2 2 5 2 6" xfId="36277"/>
    <cellStyle name="Comma 14 2 2 5 3" xfId="36278"/>
    <cellStyle name="Comma 14 2 2 5 3 2" xfId="36279"/>
    <cellStyle name="Comma 14 2 2 5 3 2 2" xfId="36280"/>
    <cellStyle name="Comma 14 2 2 5 3 2 3" xfId="36281"/>
    <cellStyle name="Comma 14 2 2 5 3 3" xfId="36282"/>
    <cellStyle name="Comma 14 2 2 5 3 3 2" xfId="36283"/>
    <cellStyle name="Comma 14 2 2 5 3 3 3" xfId="36284"/>
    <cellStyle name="Comma 14 2 2 5 3 4" xfId="36285"/>
    <cellStyle name="Comma 14 2 2 5 3 4 2" xfId="36286"/>
    <cellStyle name="Comma 14 2 2 5 3 5" xfId="36287"/>
    <cellStyle name="Comma 14 2 2 5 3 6" xfId="36288"/>
    <cellStyle name="Comma 14 2 2 5 4" xfId="36289"/>
    <cellStyle name="Comma 14 2 2 5 4 2" xfId="36290"/>
    <cellStyle name="Comma 14 2 2 5 4 2 2" xfId="36291"/>
    <cellStyle name="Comma 14 2 2 5 4 2 3" xfId="36292"/>
    <cellStyle name="Comma 14 2 2 5 4 3" xfId="36293"/>
    <cellStyle name="Comma 14 2 2 5 4 3 2" xfId="36294"/>
    <cellStyle name="Comma 14 2 2 5 4 4" xfId="36295"/>
    <cellStyle name="Comma 14 2 2 5 4 5" xfId="36296"/>
    <cellStyle name="Comma 14 2 2 5 5" xfId="36297"/>
    <cellStyle name="Comma 14 2 2 5 5 2" xfId="36298"/>
    <cellStyle name="Comma 14 2 2 5 5 3" xfId="36299"/>
    <cellStyle name="Comma 14 2 2 5 6" xfId="36300"/>
    <cellStyle name="Comma 14 2 2 5 6 2" xfId="36301"/>
    <cellStyle name="Comma 14 2 2 5 6 3" xfId="36302"/>
    <cellStyle name="Comma 14 2 2 5 7" xfId="36303"/>
    <cellStyle name="Comma 14 2 2 5 7 2" xfId="36304"/>
    <cellStyle name="Comma 14 2 2 5 8" xfId="36305"/>
    <cellStyle name="Comma 14 2 2 5 9" xfId="36306"/>
    <cellStyle name="Comma 14 2 2 6" xfId="36307"/>
    <cellStyle name="Comma 14 2 2 6 2" xfId="36308"/>
    <cellStyle name="Comma 14 2 2 6 2 2" xfId="36309"/>
    <cellStyle name="Comma 14 2 2 6 2 3" xfId="36310"/>
    <cellStyle name="Comma 14 2 2 6 3" xfId="36311"/>
    <cellStyle name="Comma 14 2 2 6 3 2" xfId="36312"/>
    <cellStyle name="Comma 14 2 2 6 3 3" xfId="36313"/>
    <cellStyle name="Comma 14 2 2 6 4" xfId="36314"/>
    <cellStyle name="Comma 14 2 2 6 4 2" xfId="36315"/>
    <cellStyle name="Comma 14 2 2 6 5" xfId="36316"/>
    <cellStyle name="Comma 14 2 2 6 6" xfId="36317"/>
    <cellStyle name="Comma 14 2 2 7" xfId="36318"/>
    <cellStyle name="Comma 14 2 2 7 2" xfId="36319"/>
    <cellStyle name="Comma 14 2 2 7 2 2" xfId="36320"/>
    <cellStyle name="Comma 14 2 2 7 2 3" xfId="36321"/>
    <cellStyle name="Comma 14 2 2 7 3" xfId="36322"/>
    <cellStyle name="Comma 14 2 2 7 3 2" xfId="36323"/>
    <cellStyle name="Comma 14 2 2 7 3 3" xfId="36324"/>
    <cellStyle name="Comma 14 2 2 7 4" xfId="36325"/>
    <cellStyle name="Comma 14 2 2 7 4 2" xfId="36326"/>
    <cellStyle name="Comma 14 2 2 7 5" xfId="36327"/>
    <cellStyle name="Comma 14 2 2 7 6" xfId="36328"/>
    <cellStyle name="Comma 14 2 2 8" xfId="36329"/>
    <cellStyle name="Comma 14 2 2 8 2" xfId="36330"/>
    <cellStyle name="Comma 14 2 2 8 2 2" xfId="36331"/>
    <cellStyle name="Comma 14 2 2 8 2 3" xfId="36332"/>
    <cellStyle name="Comma 14 2 2 8 3" xfId="36333"/>
    <cellStyle name="Comma 14 2 2 8 3 2" xfId="36334"/>
    <cellStyle name="Comma 14 2 2 8 4" xfId="36335"/>
    <cellStyle name="Comma 14 2 2 8 5" xfId="36336"/>
    <cellStyle name="Comma 14 2 2 9" xfId="36337"/>
    <cellStyle name="Comma 14 2 2 9 2" xfId="36338"/>
    <cellStyle name="Comma 14 2 2 9 3" xfId="36339"/>
    <cellStyle name="Comma 14 2 3" xfId="36340"/>
    <cellStyle name="Comma 14 2 3 10" xfId="36341"/>
    <cellStyle name="Comma 14 2 3 10 2" xfId="36342"/>
    <cellStyle name="Comma 14 2 3 11" xfId="36343"/>
    <cellStyle name="Comma 14 2 3 12" xfId="36344"/>
    <cellStyle name="Comma 14 2 3 2" xfId="36345"/>
    <cellStyle name="Comma 14 2 3 2 10" xfId="36346"/>
    <cellStyle name="Comma 14 2 3 2 2" xfId="36347"/>
    <cellStyle name="Comma 14 2 3 2 2 2" xfId="36348"/>
    <cellStyle name="Comma 14 2 3 2 2 2 2" xfId="36349"/>
    <cellStyle name="Comma 14 2 3 2 2 2 2 2" xfId="36350"/>
    <cellStyle name="Comma 14 2 3 2 2 2 2 3" xfId="36351"/>
    <cellStyle name="Comma 14 2 3 2 2 2 3" xfId="36352"/>
    <cellStyle name="Comma 14 2 3 2 2 2 3 2" xfId="36353"/>
    <cellStyle name="Comma 14 2 3 2 2 2 3 3" xfId="36354"/>
    <cellStyle name="Comma 14 2 3 2 2 2 4" xfId="36355"/>
    <cellStyle name="Comma 14 2 3 2 2 2 4 2" xfId="36356"/>
    <cellStyle name="Comma 14 2 3 2 2 2 5" xfId="36357"/>
    <cellStyle name="Comma 14 2 3 2 2 2 6" xfId="36358"/>
    <cellStyle name="Comma 14 2 3 2 2 3" xfId="36359"/>
    <cellStyle name="Comma 14 2 3 2 2 3 2" xfId="36360"/>
    <cellStyle name="Comma 14 2 3 2 2 3 2 2" xfId="36361"/>
    <cellStyle name="Comma 14 2 3 2 2 3 2 3" xfId="36362"/>
    <cellStyle name="Comma 14 2 3 2 2 3 3" xfId="36363"/>
    <cellStyle name="Comma 14 2 3 2 2 3 3 2" xfId="36364"/>
    <cellStyle name="Comma 14 2 3 2 2 3 3 3" xfId="36365"/>
    <cellStyle name="Comma 14 2 3 2 2 3 4" xfId="36366"/>
    <cellStyle name="Comma 14 2 3 2 2 3 4 2" xfId="36367"/>
    <cellStyle name="Comma 14 2 3 2 2 3 5" xfId="36368"/>
    <cellStyle name="Comma 14 2 3 2 2 3 6" xfId="36369"/>
    <cellStyle name="Comma 14 2 3 2 2 4" xfId="36370"/>
    <cellStyle name="Comma 14 2 3 2 2 4 2" xfId="36371"/>
    <cellStyle name="Comma 14 2 3 2 2 4 2 2" xfId="36372"/>
    <cellStyle name="Comma 14 2 3 2 2 4 2 3" xfId="36373"/>
    <cellStyle name="Comma 14 2 3 2 2 4 3" xfId="36374"/>
    <cellStyle name="Comma 14 2 3 2 2 4 3 2" xfId="36375"/>
    <cellStyle name="Comma 14 2 3 2 2 4 4" xfId="36376"/>
    <cellStyle name="Comma 14 2 3 2 2 4 5" xfId="36377"/>
    <cellStyle name="Comma 14 2 3 2 2 5" xfId="36378"/>
    <cellStyle name="Comma 14 2 3 2 2 5 2" xfId="36379"/>
    <cellStyle name="Comma 14 2 3 2 2 5 3" xfId="36380"/>
    <cellStyle name="Comma 14 2 3 2 2 6" xfId="36381"/>
    <cellStyle name="Comma 14 2 3 2 2 6 2" xfId="36382"/>
    <cellStyle name="Comma 14 2 3 2 2 6 3" xfId="36383"/>
    <cellStyle name="Comma 14 2 3 2 2 7" xfId="36384"/>
    <cellStyle name="Comma 14 2 3 2 2 7 2" xfId="36385"/>
    <cellStyle name="Comma 14 2 3 2 2 8" xfId="36386"/>
    <cellStyle name="Comma 14 2 3 2 2 9" xfId="36387"/>
    <cellStyle name="Comma 14 2 3 2 3" xfId="36388"/>
    <cellStyle name="Comma 14 2 3 2 3 2" xfId="36389"/>
    <cellStyle name="Comma 14 2 3 2 3 2 2" xfId="36390"/>
    <cellStyle name="Comma 14 2 3 2 3 2 3" xfId="36391"/>
    <cellStyle name="Comma 14 2 3 2 3 3" xfId="36392"/>
    <cellStyle name="Comma 14 2 3 2 3 3 2" xfId="36393"/>
    <cellStyle name="Comma 14 2 3 2 3 3 3" xfId="36394"/>
    <cellStyle name="Comma 14 2 3 2 3 4" xfId="36395"/>
    <cellStyle name="Comma 14 2 3 2 3 4 2" xfId="36396"/>
    <cellStyle name="Comma 14 2 3 2 3 5" xfId="36397"/>
    <cellStyle name="Comma 14 2 3 2 3 6" xfId="36398"/>
    <cellStyle name="Comma 14 2 3 2 4" xfId="36399"/>
    <cellStyle name="Comma 14 2 3 2 4 2" xfId="36400"/>
    <cellStyle name="Comma 14 2 3 2 4 2 2" xfId="36401"/>
    <cellStyle name="Comma 14 2 3 2 4 2 3" xfId="36402"/>
    <cellStyle name="Comma 14 2 3 2 4 3" xfId="36403"/>
    <cellStyle name="Comma 14 2 3 2 4 3 2" xfId="36404"/>
    <cellStyle name="Comma 14 2 3 2 4 3 3" xfId="36405"/>
    <cellStyle name="Comma 14 2 3 2 4 4" xfId="36406"/>
    <cellStyle name="Comma 14 2 3 2 4 4 2" xfId="36407"/>
    <cellStyle name="Comma 14 2 3 2 4 5" xfId="36408"/>
    <cellStyle name="Comma 14 2 3 2 4 6" xfId="36409"/>
    <cellStyle name="Comma 14 2 3 2 5" xfId="36410"/>
    <cellStyle name="Comma 14 2 3 2 5 2" xfId="36411"/>
    <cellStyle name="Comma 14 2 3 2 5 2 2" xfId="36412"/>
    <cellStyle name="Comma 14 2 3 2 5 2 3" xfId="36413"/>
    <cellStyle name="Comma 14 2 3 2 5 3" xfId="36414"/>
    <cellStyle name="Comma 14 2 3 2 5 3 2" xfId="36415"/>
    <cellStyle name="Comma 14 2 3 2 5 4" xfId="36416"/>
    <cellStyle name="Comma 14 2 3 2 5 5" xfId="36417"/>
    <cellStyle name="Comma 14 2 3 2 6" xfId="36418"/>
    <cellStyle name="Comma 14 2 3 2 6 2" xfId="36419"/>
    <cellStyle name="Comma 14 2 3 2 6 3" xfId="36420"/>
    <cellStyle name="Comma 14 2 3 2 7" xfId="36421"/>
    <cellStyle name="Comma 14 2 3 2 7 2" xfId="36422"/>
    <cellStyle name="Comma 14 2 3 2 7 3" xfId="36423"/>
    <cellStyle name="Comma 14 2 3 2 8" xfId="36424"/>
    <cellStyle name="Comma 14 2 3 2 8 2" xfId="36425"/>
    <cellStyle name="Comma 14 2 3 2 9" xfId="36426"/>
    <cellStyle name="Comma 14 2 3 3" xfId="36427"/>
    <cellStyle name="Comma 14 2 3 3 2" xfId="36428"/>
    <cellStyle name="Comma 14 2 3 3 2 2" xfId="36429"/>
    <cellStyle name="Comma 14 2 3 3 2 2 2" xfId="36430"/>
    <cellStyle name="Comma 14 2 3 3 2 2 3" xfId="36431"/>
    <cellStyle name="Comma 14 2 3 3 2 3" xfId="36432"/>
    <cellStyle name="Comma 14 2 3 3 2 3 2" xfId="36433"/>
    <cellStyle name="Comma 14 2 3 3 2 3 3" xfId="36434"/>
    <cellStyle name="Comma 14 2 3 3 2 4" xfId="36435"/>
    <cellStyle name="Comma 14 2 3 3 2 4 2" xfId="36436"/>
    <cellStyle name="Comma 14 2 3 3 2 5" xfId="36437"/>
    <cellStyle name="Comma 14 2 3 3 2 6" xfId="36438"/>
    <cellStyle name="Comma 14 2 3 3 3" xfId="36439"/>
    <cellStyle name="Comma 14 2 3 3 3 2" xfId="36440"/>
    <cellStyle name="Comma 14 2 3 3 3 2 2" xfId="36441"/>
    <cellStyle name="Comma 14 2 3 3 3 2 3" xfId="36442"/>
    <cellStyle name="Comma 14 2 3 3 3 3" xfId="36443"/>
    <cellStyle name="Comma 14 2 3 3 3 3 2" xfId="36444"/>
    <cellStyle name="Comma 14 2 3 3 3 3 3" xfId="36445"/>
    <cellStyle name="Comma 14 2 3 3 3 4" xfId="36446"/>
    <cellStyle name="Comma 14 2 3 3 3 4 2" xfId="36447"/>
    <cellStyle name="Comma 14 2 3 3 3 5" xfId="36448"/>
    <cellStyle name="Comma 14 2 3 3 3 6" xfId="36449"/>
    <cellStyle name="Comma 14 2 3 3 4" xfId="36450"/>
    <cellStyle name="Comma 14 2 3 3 4 2" xfId="36451"/>
    <cellStyle name="Comma 14 2 3 3 4 2 2" xfId="36452"/>
    <cellStyle name="Comma 14 2 3 3 4 2 3" xfId="36453"/>
    <cellStyle name="Comma 14 2 3 3 4 3" xfId="36454"/>
    <cellStyle name="Comma 14 2 3 3 4 3 2" xfId="36455"/>
    <cellStyle name="Comma 14 2 3 3 4 4" xfId="36456"/>
    <cellStyle name="Comma 14 2 3 3 4 5" xfId="36457"/>
    <cellStyle name="Comma 14 2 3 3 5" xfId="36458"/>
    <cellStyle name="Comma 14 2 3 3 5 2" xfId="36459"/>
    <cellStyle name="Comma 14 2 3 3 5 3" xfId="36460"/>
    <cellStyle name="Comma 14 2 3 3 6" xfId="36461"/>
    <cellStyle name="Comma 14 2 3 3 6 2" xfId="36462"/>
    <cellStyle name="Comma 14 2 3 3 6 3" xfId="36463"/>
    <cellStyle name="Comma 14 2 3 3 7" xfId="36464"/>
    <cellStyle name="Comma 14 2 3 3 7 2" xfId="36465"/>
    <cellStyle name="Comma 14 2 3 3 8" xfId="36466"/>
    <cellStyle name="Comma 14 2 3 3 9" xfId="36467"/>
    <cellStyle name="Comma 14 2 3 4" xfId="36468"/>
    <cellStyle name="Comma 14 2 3 4 2" xfId="36469"/>
    <cellStyle name="Comma 14 2 3 4 2 2" xfId="36470"/>
    <cellStyle name="Comma 14 2 3 4 2 2 2" xfId="36471"/>
    <cellStyle name="Comma 14 2 3 4 2 2 3" xfId="36472"/>
    <cellStyle name="Comma 14 2 3 4 2 3" xfId="36473"/>
    <cellStyle name="Comma 14 2 3 4 2 3 2" xfId="36474"/>
    <cellStyle name="Comma 14 2 3 4 2 3 3" xfId="36475"/>
    <cellStyle name="Comma 14 2 3 4 2 4" xfId="36476"/>
    <cellStyle name="Comma 14 2 3 4 2 4 2" xfId="36477"/>
    <cellStyle name="Comma 14 2 3 4 2 5" xfId="36478"/>
    <cellStyle name="Comma 14 2 3 4 2 6" xfId="36479"/>
    <cellStyle name="Comma 14 2 3 4 3" xfId="36480"/>
    <cellStyle name="Comma 14 2 3 4 3 2" xfId="36481"/>
    <cellStyle name="Comma 14 2 3 4 3 2 2" xfId="36482"/>
    <cellStyle name="Comma 14 2 3 4 3 2 3" xfId="36483"/>
    <cellStyle name="Comma 14 2 3 4 3 3" xfId="36484"/>
    <cellStyle name="Comma 14 2 3 4 3 3 2" xfId="36485"/>
    <cellStyle name="Comma 14 2 3 4 3 3 3" xfId="36486"/>
    <cellStyle name="Comma 14 2 3 4 3 4" xfId="36487"/>
    <cellStyle name="Comma 14 2 3 4 3 4 2" xfId="36488"/>
    <cellStyle name="Comma 14 2 3 4 3 5" xfId="36489"/>
    <cellStyle name="Comma 14 2 3 4 3 6" xfId="36490"/>
    <cellStyle name="Comma 14 2 3 4 4" xfId="36491"/>
    <cellStyle name="Comma 14 2 3 4 4 2" xfId="36492"/>
    <cellStyle name="Comma 14 2 3 4 4 2 2" xfId="36493"/>
    <cellStyle name="Comma 14 2 3 4 4 2 3" xfId="36494"/>
    <cellStyle name="Comma 14 2 3 4 4 3" xfId="36495"/>
    <cellStyle name="Comma 14 2 3 4 4 3 2" xfId="36496"/>
    <cellStyle name="Comma 14 2 3 4 4 4" xfId="36497"/>
    <cellStyle name="Comma 14 2 3 4 4 5" xfId="36498"/>
    <cellStyle name="Comma 14 2 3 4 5" xfId="36499"/>
    <cellStyle name="Comma 14 2 3 4 5 2" xfId="36500"/>
    <cellStyle name="Comma 14 2 3 4 5 3" xfId="36501"/>
    <cellStyle name="Comma 14 2 3 4 6" xfId="36502"/>
    <cellStyle name="Comma 14 2 3 4 6 2" xfId="36503"/>
    <cellStyle name="Comma 14 2 3 4 6 3" xfId="36504"/>
    <cellStyle name="Comma 14 2 3 4 7" xfId="36505"/>
    <cellStyle name="Comma 14 2 3 4 7 2" xfId="36506"/>
    <cellStyle name="Comma 14 2 3 4 8" xfId="36507"/>
    <cellStyle name="Comma 14 2 3 4 9" xfId="36508"/>
    <cellStyle name="Comma 14 2 3 5" xfId="36509"/>
    <cellStyle name="Comma 14 2 3 5 2" xfId="36510"/>
    <cellStyle name="Comma 14 2 3 5 2 2" xfId="36511"/>
    <cellStyle name="Comma 14 2 3 5 2 3" xfId="36512"/>
    <cellStyle name="Comma 14 2 3 5 3" xfId="36513"/>
    <cellStyle name="Comma 14 2 3 5 3 2" xfId="36514"/>
    <cellStyle name="Comma 14 2 3 5 3 3" xfId="36515"/>
    <cellStyle name="Comma 14 2 3 5 4" xfId="36516"/>
    <cellStyle name="Comma 14 2 3 5 4 2" xfId="36517"/>
    <cellStyle name="Comma 14 2 3 5 5" xfId="36518"/>
    <cellStyle name="Comma 14 2 3 5 6" xfId="36519"/>
    <cellStyle name="Comma 14 2 3 6" xfId="36520"/>
    <cellStyle name="Comma 14 2 3 6 2" xfId="36521"/>
    <cellStyle name="Comma 14 2 3 6 2 2" xfId="36522"/>
    <cellStyle name="Comma 14 2 3 6 2 3" xfId="36523"/>
    <cellStyle name="Comma 14 2 3 6 3" xfId="36524"/>
    <cellStyle name="Comma 14 2 3 6 3 2" xfId="36525"/>
    <cellStyle name="Comma 14 2 3 6 3 3" xfId="36526"/>
    <cellStyle name="Comma 14 2 3 6 4" xfId="36527"/>
    <cellStyle name="Comma 14 2 3 6 4 2" xfId="36528"/>
    <cellStyle name="Comma 14 2 3 6 5" xfId="36529"/>
    <cellStyle name="Comma 14 2 3 6 6" xfId="36530"/>
    <cellStyle name="Comma 14 2 3 7" xfId="36531"/>
    <cellStyle name="Comma 14 2 3 7 2" xfId="36532"/>
    <cellStyle name="Comma 14 2 3 7 2 2" xfId="36533"/>
    <cellStyle name="Comma 14 2 3 7 2 3" xfId="36534"/>
    <cellStyle name="Comma 14 2 3 7 3" xfId="36535"/>
    <cellStyle name="Comma 14 2 3 7 3 2" xfId="36536"/>
    <cellStyle name="Comma 14 2 3 7 4" xfId="36537"/>
    <cellStyle name="Comma 14 2 3 7 5" xfId="36538"/>
    <cellStyle name="Comma 14 2 3 8" xfId="36539"/>
    <cellStyle name="Comma 14 2 3 8 2" xfId="36540"/>
    <cellStyle name="Comma 14 2 3 8 3" xfId="36541"/>
    <cellStyle name="Comma 14 2 3 9" xfId="36542"/>
    <cellStyle name="Comma 14 2 3 9 2" xfId="36543"/>
    <cellStyle name="Comma 14 2 3 9 3" xfId="36544"/>
    <cellStyle name="Comma 14 2 4" xfId="36545"/>
    <cellStyle name="Comma 14 2 4 10" xfId="36546"/>
    <cellStyle name="Comma 14 2 4 2" xfId="36547"/>
    <cellStyle name="Comma 14 2 4 2 2" xfId="36548"/>
    <cellStyle name="Comma 14 2 4 2 2 2" xfId="36549"/>
    <cellStyle name="Comma 14 2 4 2 2 2 2" xfId="36550"/>
    <cellStyle name="Comma 14 2 4 2 2 2 3" xfId="36551"/>
    <cellStyle name="Comma 14 2 4 2 2 3" xfId="36552"/>
    <cellStyle name="Comma 14 2 4 2 2 3 2" xfId="36553"/>
    <cellStyle name="Comma 14 2 4 2 2 3 3" xfId="36554"/>
    <cellStyle name="Comma 14 2 4 2 2 4" xfId="36555"/>
    <cellStyle name="Comma 14 2 4 2 2 4 2" xfId="36556"/>
    <cellStyle name="Comma 14 2 4 2 2 5" xfId="36557"/>
    <cellStyle name="Comma 14 2 4 2 2 6" xfId="36558"/>
    <cellStyle name="Comma 14 2 4 2 3" xfId="36559"/>
    <cellStyle name="Comma 14 2 4 2 3 2" xfId="36560"/>
    <cellStyle name="Comma 14 2 4 2 3 2 2" xfId="36561"/>
    <cellStyle name="Comma 14 2 4 2 3 2 3" xfId="36562"/>
    <cellStyle name="Comma 14 2 4 2 3 3" xfId="36563"/>
    <cellStyle name="Comma 14 2 4 2 3 3 2" xfId="36564"/>
    <cellStyle name="Comma 14 2 4 2 3 3 3" xfId="36565"/>
    <cellStyle name="Comma 14 2 4 2 3 4" xfId="36566"/>
    <cellStyle name="Comma 14 2 4 2 3 4 2" xfId="36567"/>
    <cellStyle name="Comma 14 2 4 2 3 5" xfId="36568"/>
    <cellStyle name="Comma 14 2 4 2 3 6" xfId="36569"/>
    <cellStyle name="Comma 14 2 4 2 4" xfId="36570"/>
    <cellStyle name="Comma 14 2 4 2 4 2" xfId="36571"/>
    <cellStyle name="Comma 14 2 4 2 4 2 2" xfId="36572"/>
    <cellStyle name="Comma 14 2 4 2 4 2 3" xfId="36573"/>
    <cellStyle name="Comma 14 2 4 2 4 3" xfId="36574"/>
    <cellStyle name="Comma 14 2 4 2 4 3 2" xfId="36575"/>
    <cellStyle name="Comma 14 2 4 2 4 4" xfId="36576"/>
    <cellStyle name="Comma 14 2 4 2 4 5" xfId="36577"/>
    <cellStyle name="Comma 14 2 4 2 5" xfId="36578"/>
    <cellStyle name="Comma 14 2 4 2 5 2" xfId="36579"/>
    <cellStyle name="Comma 14 2 4 2 5 3" xfId="36580"/>
    <cellStyle name="Comma 14 2 4 2 6" xfId="36581"/>
    <cellStyle name="Comma 14 2 4 2 6 2" xfId="36582"/>
    <cellStyle name="Comma 14 2 4 2 6 3" xfId="36583"/>
    <cellStyle name="Comma 14 2 4 2 7" xfId="36584"/>
    <cellStyle name="Comma 14 2 4 2 7 2" xfId="36585"/>
    <cellStyle name="Comma 14 2 4 2 8" xfId="36586"/>
    <cellStyle name="Comma 14 2 4 2 9" xfId="36587"/>
    <cellStyle name="Comma 14 2 4 3" xfId="36588"/>
    <cellStyle name="Comma 14 2 4 3 2" xfId="36589"/>
    <cellStyle name="Comma 14 2 4 3 2 2" xfId="36590"/>
    <cellStyle name="Comma 14 2 4 3 2 3" xfId="36591"/>
    <cellStyle name="Comma 14 2 4 3 3" xfId="36592"/>
    <cellStyle name="Comma 14 2 4 3 3 2" xfId="36593"/>
    <cellStyle name="Comma 14 2 4 3 3 3" xfId="36594"/>
    <cellStyle name="Comma 14 2 4 3 4" xfId="36595"/>
    <cellStyle name="Comma 14 2 4 3 4 2" xfId="36596"/>
    <cellStyle name="Comma 14 2 4 3 5" xfId="36597"/>
    <cellStyle name="Comma 14 2 4 3 6" xfId="36598"/>
    <cellStyle name="Comma 14 2 4 4" xfId="36599"/>
    <cellStyle name="Comma 14 2 4 4 2" xfId="36600"/>
    <cellStyle name="Comma 14 2 4 4 2 2" xfId="36601"/>
    <cellStyle name="Comma 14 2 4 4 2 3" xfId="36602"/>
    <cellStyle name="Comma 14 2 4 4 3" xfId="36603"/>
    <cellStyle name="Comma 14 2 4 4 3 2" xfId="36604"/>
    <cellStyle name="Comma 14 2 4 4 3 3" xfId="36605"/>
    <cellStyle name="Comma 14 2 4 4 4" xfId="36606"/>
    <cellStyle name="Comma 14 2 4 4 4 2" xfId="36607"/>
    <cellStyle name="Comma 14 2 4 4 5" xfId="36608"/>
    <cellStyle name="Comma 14 2 4 4 6" xfId="36609"/>
    <cellStyle name="Comma 14 2 4 5" xfId="36610"/>
    <cellStyle name="Comma 14 2 4 5 2" xfId="36611"/>
    <cellStyle name="Comma 14 2 4 5 2 2" xfId="36612"/>
    <cellStyle name="Comma 14 2 4 5 2 3" xfId="36613"/>
    <cellStyle name="Comma 14 2 4 5 3" xfId="36614"/>
    <cellStyle name="Comma 14 2 4 5 3 2" xfId="36615"/>
    <cellStyle name="Comma 14 2 4 5 4" xfId="36616"/>
    <cellStyle name="Comma 14 2 4 5 5" xfId="36617"/>
    <cellStyle name="Comma 14 2 4 6" xfId="36618"/>
    <cellStyle name="Comma 14 2 4 6 2" xfId="36619"/>
    <cellStyle name="Comma 14 2 4 6 3" xfId="36620"/>
    <cellStyle name="Comma 14 2 4 7" xfId="36621"/>
    <cellStyle name="Comma 14 2 4 7 2" xfId="36622"/>
    <cellStyle name="Comma 14 2 4 7 3" xfId="36623"/>
    <cellStyle name="Comma 14 2 4 8" xfId="36624"/>
    <cellStyle name="Comma 14 2 4 8 2" xfId="36625"/>
    <cellStyle name="Comma 14 2 4 9" xfId="36626"/>
    <cellStyle name="Comma 14 2 5" xfId="36627"/>
    <cellStyle name="Comma 14 2 5 2" xfId="36628"/>
    <cellStyle name="Comma 14 2 5 2 2" xfId="36629"/>
    <cellStyle name="Comma 14 2 5 2 2 2" xfId="36630"/>
    <cellStyle name="Comma 14 2 5 2 2 3" xfId="36631"/>
    <cellStyle name="Comma 14 2 5 2 3" xfId="36632"/>
    <cellStyle name="Comma 14 2 5 2 3 2" xfId="36633"/>
    <cellStyle name="Comma 14 2 5 2 3 3" xfId="36634"/>
    <cellStyle name="Comma 14 2 5 2 4" xfId="36635"/>
    <cellStyle name="Comma 14 2 5 2 4 2" xfId="36636"/>
    <cellStyle name="Comma 14 2 5 2 5" xfId="36637"/>
    <cellStyle name="Comma 14 2 5 2 6" xfId="36638"/>
    <cellStyle name="Comma 14 2 5 3" xfId="36639"/>
    <cellStyle name="Comma 14 2 5 3 2" xfId="36640"/>
    <cellStyle name="Comma 14 2 5 3 2 2" xfId="36641"/>
    <cellStyle name="Comma 14 2 5 3 2 3" xfId="36642"/>
    <cellStyle name="Comma 14 2 5 3 3" xfId="36643"/>
    <cellStyle name="Comma 14 2 5 3 3 2" xfId="36644"/>
    <cellStyle name="Comma 14 2 5 3 3 3" xfId="36645"/>
    <cellStyle name="Comma 14 2 5 3 4" xfId="36646"/>
    <cellStyle name="Comma 14 2 5 3 4 2" xfId="36647"/>
    <cellStyle name="Comma 14 2 5 3 5" xfId="36648"/>
    <cellStyle name="Comma 14 2 5 3 6" xfId="36649"/>
    <cellStyle name="Comma 14 2 5 4" xfId="36650"/>
    <cellStyle name="Comma 14 2 5 4 2" xfId="36651"/>
    <cellStyle name="Comma 14 2 5 4 2 2" xfId="36652"/>
    <cellStyle name="Comma 14 2 5 4 2 3" xfId="36653"/>
    <cellStyle name="Comma 14 2 5 4 3" xfId="36654"/>
    <cellStyle name="Comma 14 2 5 4 3 2" xfId="36655"/>
    <cellStyle name="Comma 14 2 5 4 4" xfId="36656"/>
    <cellStyle name="Comma 14 2 5 4 5" xfId="36657"/>
    <cellStyle name="Comma 14 2 5 5" xfId="36658"/>
    <cellStyle name="Comma 14 2 5 5 2" xfId="36659"/>
    <cellStyle name="Comma 14 2 5 5 3" xfId="36660"/>
    <cellStyle name="Comma 14 2 5 6" xfId="36661"/>
    <cellStyle name="Comma 14 2 5 6 2" xfId="36662"/>
    <cellStyle name="Comma 14 2 5 6 3" xfId="36663"/>
    <cellStyle name="Comma 14 2 5 7" xfId="36664"/>
    <cellStyle name="Comma 14 2 5 7 2" xfId="36665"/>
    <cellStyle name="Comma 14 2 5 8" xfId="36666"/>
    <cellStyle name="Comma 14 2 5 9" xfId="36667"/>
    <cellStyle name="Comma 14 2 6" xfId="36668"/>
    <cellStyle name="Comma 14 2 6 2" xfId="36669"/>
    <cellStyle name="Comma 14 2 6 2 2" xfId="36670"/>
    <cellStyle name="Comma 14 2 6 2 2 2" xfId="36671"/>
    <cellStyle name="Comma 14 2 6 2 2 3" xfId="36672"/>
    <cellStyle name="Comma 14 2 6 2 3" xfId="36673"/>
    <cellStyle name="Comma 14 2 6 2 3 2" xfId="36674"/>
    <cellStyle name="Comma 14 2 6 2 3 3" xfId="36675"/>
    <cellStyle name="Comma 14 2 6 2 4" xfId="36676"/>
    <cellStyle name="Comma 14 2 6 2 4 2" xfId="36677"/>
    <cellStyle name="Comma 14 2 6 2 5" xfId="36678"/>
    <cellStyle name="Comma 14 2 6 2 6" xfId="36679"/>
    <cellStyle name="Comma 14 2 6 3" xfId="36680"/>
    <cellStyle name="Comma 14 2 6 3 2" xfId="36681"/>
    <cellStyle name="Comma 14 2 6 3 2 2" xfId="36682"/>
    <cellStyle name="Comma 14 2 6 3 2 3" xfId="36683"/>
    <cellStyle name="Comma 14 2 6 3 3" xfId="36684"/>
    <cellStyle name="Comma 14 2 6 3 3 2" xfId="36685"/>
    <cellStyle name="Comma 14 2 6 3 3 3" xfId="36686"/>
    <cellStyle name="Comma 14 2 6 3 4" xfId="36687"/>
    <cellStyle name="Comma 14 2 6 3 4 2" xfId="36688"/>
    <cellStyle name="Comma 14 2 6 3 5" xfId="36689"/>
    <cellStyle name="Comma 14 2 6 3 6" xfId="36690"/>
    <cellStyle name="Comma 14 2 6 4" xfId="36691"/>
    <cellStyle name="Comma 14 2 6 4 2" xfId="36692"/>
    <cellStyle name="Comma 14 2 6 4 2 2" xfId="36693"/>
    <cellStyle name="Comma 14 2 6 4 2 3" xfId="36694"/>
    <cellStyle name="Comma 14 2 6 4 3" xfId="36695"/>
    <cellStyle name="Comma 14 2 6 4 3 2" xfId="36696"/>
    <cellStyle name="Comma 14 2 6 4 4" xfId="36697"/>
    <cellStyle name="Comma 14 2 6 4 5" xfId="36698"/>
    <cellStyle name="Comma 14 2 6 5" xfId="36699"/>
    <cellStyle name="Comma 14 2 6 5 2" xfId="36700"/>
    <cellStyle name="Comma 14 2 6 5 3" xfId="36701"/>
    <cellStyle name="Comma 14 2 6 6" xfId="36702"/>
    <cellStyle name="Comma 14 2 6 6 2" xfId="36703"/>
    <cellStyle name="Comma 14 2 6 6 3" xfId="36704"/>
    <cellStyle name="Comma 14 2 6 7" xfId="36705"/>
    <cellStyle name="Comma 14 2 6 7 2" xfId="36706"/>
    <cellStyle name="Comma 14 2 6 8" xfId="36707"/>
    <cellStyle name="Comma 14 2 6 9" xfId="36708"/>
    <cellStyle name="Comma 14 2 7" xfId="36709"/>
    <cellStyle name="Comma 14 2 7 2" xfId="36710"/>
    <cellStyle name="Comma 14 2 7 2 2" xfId="36711"/>
    <cellStyle name="Comma 14 2 7 2 3" xfId="36712"/>
    <cellStyle name="Comma 14 2 7 3" xfId="36713"/>
    <cellStyle name="Comma 14 2 7 3 2" xfId="36714"/>
    <cellStyle name="Comma 14 2 7 3 3" xfId="36715"/>
    <cellStyle name="Comma 14 2 7 4" xfId="36716"/>
    <cellStyle name="Comma 14 2 7 4 2" xfId="36717"/>
    <cellStyle name="Comma 14 2 7 5" xfId="36718"/>
    <cellStyle name="Comma 14 2 7 6" xfId="36719"/>
    <cellStyle name="Comma 14 2 8" xfId="36720"/>
    <cellStyle name="Comma 14 2 8 2" xfId="36721"/>
    <cellStyle name="Comma 14 2 8 2 2" xfId="36722"/>
    <cellStyle name="Comma 14 2 8 2 3" xfId="36723"/>
    <cellStyle name="Comma 14 2 8 3" xfId="36724"/>
    <cellStyle name="Comma 14 2 8 3 2" xfId="36725"/>
    <cellStyle name="Comma 14 2 8 3 3" xfId="36726"/>
    <cellStyle name="Comma 14 2 8 4" xfId="36727"/>
    <cellStyle name="Comma 14 2 8 4 2" xfId="36728"/>
    <cellStyle name="Comma 14 2 8 5" xfId="36729"/>
    <cellStyle name="Comma 14 2 8 6" xfId="36730"/>
    <cellStyle name="Comma 14 2 9" xfId="36731"/>
    <cellStyle name="Comma 14 2 9 2" xfId="36732"/>
    <cellStyle name="Comma 14 2 9 2 2" xfId="36733"/>
    <cellStyle name="Comma 14 2 9 2 3" xfId="36734"/>
    <cellStyle name="Comma 14 2 9 3" xfId="36735"/>
    <cellStyle name="Comma 14 2 9 3 2" xfId="36736"/>
    <cellStyle name="Comma 14 2 9 4" xfId="36737"/>
    <cellStyle name="Comma 14 2 9 5" xfId="36738"/>
    <cellStyle name="Comma 14 3" xfId="36739"/>
    <cellStyle name="Comma 14 3 10" xfId="36740"/>
    <cellStyle name="Comma 14 3 10 2" xfId="36741"/>
    <cellStyle name="Comma 14 3 10 3" xfId="36742"/>
    <cellStyle name="Comma 14 3 11" xfId="36743"/>
    <cellStyle name="Comma 14 3 11 2" xfId="36744"/>
    <cellStyle name="Comma 14 3 12" xfId="36745"/>
    <cellStyle name="Comma 14 3 13" xfId="36746"/>
    <cellStyle name="Comma 14 3 2" xfId="36747"/>
    <cellStyle name="Comma 14 3 2 10" xfId="36748"/>
    <cellStyle name="Comma 14 3 2 10 2" xfId="36749"/>
    <cellStyle name="Comma 14 3 2 11" xfId="36750"/>
    <cellStyle name="Comma 14 3 2 12" xfId="36751"/>
    <cellStyle name="Comma 14 3 2 2" xfId="36752"/>
    <cellStyle name="Comma 14 3 2 2 10" xfId="36753"/>
    <cellStyle name="Comma 14 3 2 2 2" xfId="36754"/>
    <cellStyle name="Comma 14 3 2 2 2 2" xfId="36755"/>
    <cellStyle name="Comma 14 3 2 2 2 2 2" xfId="36756"/>
    <cellStyle name="Comma 14 3 2 2 2 2 2 2" xfId="36757"/>
    <cellStyle name="Comma 14 3 2 2 2 2 2 3" xfId="36758"/>
    <cellStyle name="Comma 14 3 2 2 2 2 3" xfId="36759"/>
    <cellStyle name="Comma 14 3 2 2 2 2 3 2" xfId="36760"/>
    <cellStyle name="Comma 14 3 2 2 2 2 3 3" xfId="36761"/>
    <cellStyle name="Comma 14 3 2 2 2 2 4" xfId="36762"/>
    <cellStyle name="Comma 14 3 2 2 2 2 4 2" xfId="36763"/>
    <cellStyle name="Comma 14 3 2 2 2 2 5" xfId="36764"/>
    <cellStyle name="Comma 14 3 2 2 2 2 6" xfId="36765"/>
    <cellStyle name="Comma 14 3 2 2 2 3" xfId="36766"/>
    <cellStyle name="Comma 14 3 2 2 2 3 2" xfId="36767"/>
    <cellStyle name="Comma 14 3 2 2 2 3 2 2" xfId="36768"/>
    <cellStyle name="Comma 14 3 2 2 2 3 2 3" xfId="36769"/>
    <cellStyle name="Comma 14 3 2 2 2 3 3" xfId="36770"/>
    <cellStyle name="Comma 14 3 2 2 2 3 3 2" xfId="36771"/>
    <cellStyle name="Comma 14 3 2 2 2 3 3 3" xfId="36772"/>
    <cellStyle name="Comma 14 3 2 2 2 3 4" xfId="36773"/>
    <cellStyle name="Comma 14 3 2 2 2 3 4 2" xfId="36774"/>
    <cellStyle name="Comma 14 3 2 2 2 3 5" xfId="36775"/>
    <cellStyle name="Comma 14 3 2 2 2 3 6" xfId="36776"/>
    <cellStyle name="Comma 14 3 2 2 2 4" xfId="36777"/>
    <cellStyle name="Comma 14 3 2 2 2 4 2" xfId="36778"/>
    <cellStyle name="Comma 14 3 2 2 2 4 2 2" xfId="36779"/>
    <cellStyle name="Comma 14 3 2 2 2 4 2 3" xfId="36780"/>
    <cellStyle name="Comma 14 3 2 2 2 4 3" xfId="36781"/>
    <cellStyle name="Comma 14 3 2 2 2 4 3 2" xfId="36782"/>
    <cellStyle name="Comma 14 3 2 2 2 4 4" xfId="36783"/>
    <cellStyle name="Comma 14 3 2 2 2 4 5" xfId="36784"/>
    <cellStyle name="Comma 14 3 2 2 2 5" xfId="36785"/>
    <cellStyle name="Comma 14 3 2 2 2 5 2" xfId="36786"/>
    <cellStyle name="Comma 14 3 2 2 2 5 3" xfId="36787"/>
    <cellStyle name="Comma 14 3 2 2 2 6" xfId="36788"/>
    <cellStyle name="Comma 14 3 2 2 2 6 2" xfId="36789"/>
    <cellStyle name="Comma 14 3 2 2 2 6 3" xfId="36790"/>
    <cellStyle name="Comma 14 3 2 2 2 7" xfId="36791"/>
    <cellStyle name="Comma 14 3 2 2 2 7 2" xfId="36792"/>
    <cellStyle name="Comma 14 3 2 2 2 8" xfId="36793"/>
    <cellStyle name="Comma 14 3 2 2 2 9" xfId="36794"/>
    <cellStyle name="Comma 14 3 2 2 3" xfId="36795"/>
    <cellStyle name="Comma 14 3 2 2 3 2" xfId="36796"/>
    <cellStyle name="Comma 14 3 2 2 3 2 2" xfId="36797"/>
    <cellStyle name="Comma 14 3 2 2 3 2 3" xfId="36798"/>
    <cellStyle name="Comma 14 3 2 2 3 3" xfId="36799"/>
    <cellStyle name="Comma 14 3 2 2 3 3 2" xfId="36800"/>
    <cellStyle name="Comma 14 3 2 2 3 3 3" xfId="36801"/>
    <cellStyle name="Comma 14 3 2 2 3 4" xfId="36802"/>
    <cellStyle name="Comma 14 3 2 2 3 4 2" xfId="36803"/>
    <cellStyle name="Comma 14 3 2 2 3 5" xfId="36804"/>
    <cellStyle name="Comma 14 3 2 2 3 6" xfId="36805"/>
    <cellStyle name="Comma 14 3 2 2 4" xfId="36806"/>
    <cellStyle name="Comma 14 3 2 2 4 2" xfId="36807"/>
    <cellStyle name="Comma 14 3 2 2 4 2 2" xfId="36808"/>
    <cellStyle name="Comma 14 3 2 2 4 2 3" xfId="36809"/>
    <cellStyle name="Comma 14 3 2 2 4 3" xfId="36810"/>
    <cellStyle name="Comma 14 3 2 2 4 3 2" xfId="36811"/>
    <cellStyle name="Comma 14 3 2 2 4 3 3" xfId="36812"/>
    <cellStyle name="Comma 14 3 2 2 4 4" xfId="36813"/>
    <cellStyle name="Comma 14 3 2 2 4 4 2" xfId="36814"/>
    <cellStyle name="Comma 14 3 2 2 4 5" xfId="36815"/>
    <cellStyle name="Comma 14 3 2 2 4 6" xfId="36816"/>
    <cellStyle name="Comma 14 3 2 2 5" xfId="36817"/>
    <cellStyle name="Comma 14 3 2 2 5 2" xfId="36818"/>
    <cellStyle name="Comma 14 3 2 2 5 2 2" xfId="36819"/>
    <cellStyle name="Comma 14 3 2 2 5 2 3" xfId="36820"/>
    <cellStyle name="Comma 14 3 2 2 5 3" xfId="36821"/>
    <cellStyle name="Comma 14 3 2 2 5 3 2" xfId="36822"/>
    <cellStyle name="Comma 14 3 2 2 5 4" xfId="36823"/>
    <cellStyle name="Comma 14 3 2 2 5 5" xfId="36824"/>
    <cellStyle name="Comma 14 3 2 2 6" xfId="36825"/>
    <cellStyle name="Comma 14 3 2 2 6 2" xfId="36826"/>
    <cellStyle name="Comma 14 3 2 2 6 3" xfId="36827"/>
    <cellStyle name="Comma 14 3 2 2 7" xfId="36828"/>
    <cellStyle name="Comma 14 3 2 2 7 2" xfId="36829"/>
    <cellStyle name="Comma 14 3 2 2 7 3" xfId="36830"/>
    <cellStyle name="Comma 14 3 2 2 8" xfId="36831"/>
    <cellStyle name="Comma 14 3 2 2 8 2" xfId="36832"/>
    <cellStyle name="Comma 14 3 2 2 9" xfId="36833"/>
    <cellStyle name="Comma 14 3 2 3" xfId="36834"/>
    <cellStyle name="Comma 14 3 2 3 2" xfId="36835"/>
    <cellStyle name="Comma 14 3 2 3 2 2" xfId="36836"/>
    <cellStyle name="Comma 14 3 2 3 2 2 2" xfId="36837"/>
    <cellStyle name="Comma 14 3 2 3 2 2 3" xfId="36838"/>
    <cellStyle name="Comma 14 3 2 3 2 3" xfId="36839"/>
    <cellStyle name="Comma 14 3 2 3 2 3 2" xfId="36840"/>
    <cellStyle name="Comma 14 3 2 3 2 3 3" xfId="36841"/>
    <cellStyle name="Comma 14 3 2 3 2 4" xfId="36842"/>
    <cellStyle name="Comma 14 3 2 3 2 4 2" xfId="36843"/>
    <cellStyle name="Comma 14 3 2 3 2 5" xfId="36844"/>
    <cellStyle name="Comma 14 3 2 3 2 6" xfId="36845"/>
    <cellStyle name="Comma 14 3 2 3 3" xfId="36846"/>
    <cellStyle name="Comma 14 3 2 3 3 2" xfId="36847"/>
    <cellStyle name="Comma 14 3 2 3 3 2 2" xfId="36848"/>
    <cellStyle name="Comma 14 3 2 3 3 2 3" xfId="36849"/>
    <cellStyle name="Comma 14 3 2 3 3 3" xfId="36850"/>
    <cellStyle name="Comma 14 3 2 3 3 3 2" xfId="36851"/>
    <cellStyle name="Comma 14 3 2 3 3 3 3" xfId="36852"/>
    <cellStyle name="Comma 14 3 2 3 3 4" xfId="36853"/>
    <cellStyle name="Comma 14 3 2 3 3 4 2" xfId="36854"/>
    <cellStyle name="Comma 14 3 2 3 3 5" xfId="36855"/>
    <cellStyle name="Comma 14 3 2 3 3 6" xfId="36856"/>
    <cellStyle name="Comma 14 3 2 3 4" xfId="36857"/>
    <cellStyle name="Comma 14 3 2 3 4 2" xfId="36858"/>
    <cellStyle name="Comma 14 3 2 3 4 2 2" xfId="36859"/>
    <cellStyle name="Comma 14 3 2 3 4 2 3" xfId="36860"/>
    <cellStyle name="Comma 14 3 2 3 4 3" xfId="36861"/>
    <cellStyle name="Comma 14 3 2 3 4 3 2" xfId="36862"/>
    <cellStyle name="Comma 14 3 2 3 4 4" xfId="36863"/>
    <cellStyle name="Comma 14 3 2 3 4 5" xfId="36864"/>
    <cellStyle name="Comma 14 3 2 3 5" xfId="36865"/>
    <cellStyle name="Comma 14 3 2 3 5 2" xfId="36866"/>
    <cellStyle name="Comma 14 3 2 3 5 3" xfId="36867"/>
    <cellStyle name="Comma 14 3 2 3 6" xfId="36868"/>
    <cellStyle name="Comma 14 3 2 3 6 2" xfId="36869"/>
    <cellStyle name="Comma 14 3 2 3 6 3" xfId="36870"/>
    <cellStyle name="Comma 14 3 2 3 7" xfId="36871"/>
    <cellStyle name="Comma 14 3 2 3 7 2" xfId="36872"/>
    <cellStyle name="Comma 14 3 2 3 8" xfId="36873"/>
    <cellStyle name="Comma 14 3 2 3 9" xfId="36874"/>
    <cellStyle name="Comma 14 3 2 4" xfId="36875"/>
    <cellStyle name="Comma 14 3 2 4 2" xfId="36876"/>
    <cellStyle name="Comma 14 3 2 4 2 2" xfId="36877"/>
    <cellStyle name="Comma 14 3 2 4 2 2 2" xfId="36878"/>
    <cellStyle name="Comma 14 3 2 4 2 2 3" xfId="36879"/>
    <cellStyle name="Comma 14 3 2 4 2 3" xfId="36880"/>
    <cellStyle name="Comma 14 3 2 4 2 3 2" xfId="36881"/>
    <cellStyle name="Comma 14 3 2 4 2 3 3" xfId="36882"/>
    <cellStyle name="Comma 14 3 2 4 2 4" xfId="36883"/>
    <cellStyle name="Comma 14 3 2 4 2 4 2" xfId="36884"/>
    <cellStyle name="Comma 14 3 2 4 2 5" xfId="36885"/>
    <cellStyle name="Comma 14 3 2 4 2 6" xfId="36886"/>
    <cellStyle name="Comma 14 3 2 4 3" xfId="36887"/>
    <cellStyle name="Comma 14 3 2 4 3 2" xfId="36888"/>
    <cellStyle name="Comma 14 3 2 4 3 2 2" xfId="36889"/>
    <cellStyle name="Comma 14 3 2 4 3 2 3" xfId="36890"/>
    <cellStyle name="Comma 14 3 2 4 3 3" xfId="36891"/>
    <cellStyle name="Comma 14 3 2 4 3 3 2" xfId="36892"/>
    <cellStyle name="Comma 14 3 2 4 3 3 3" xfId="36893"/>
    <cellStyle name="Comma 14 3 2 4 3 4" xfId="36894"/>
    <cellStyle name="Comma 14 3 2 4 3 4 2" xfId="36895"/>
    <cellStyle name="Comma 14 3 2 4 3 5" xfId="36896"/>
    <cellStyle name="Comma 14 3 2 4 3 6" xfId="36897"/>
    <cellStyle name="Comma 14 3 2 4 4" xfId="36898"/>
    <cellStyle name="Comma 14 3 2 4 4 2" xfId="36899"/>
    <cellStyle name="Comma 14 3 2 4 4 2 2" xfId="36900"/>
    <cellStyle name="Comma 14 3 2 4 4 2 3" xfId="36901"/>
    <cellStyle name="Comma 14 3 2 4 4 3" xfId="36902"/>
    <cellStyle name="Comma 14 3 2 4 4 3 2" xfId="36903"/>
    <cellStyle name="Comma 14 3 2 4 4 4" xfId="36904"/>
    <cellStyle name="Comma 14 3 2 4 4 5" xfId="36905"/>
    <cellStyle name="Comma 14 3 2 4 5" xfId="36906"/>
    <cellStyle name="Comma 14 3 2 4 5 2" xfId="36907"/>
    <cellStyle name="Comma 14 3 2 4 5 3" xfId="36908"/>
    <cellStyle name="Comma 14 3 2 4 6" xfId="36909"/>
    <cellStyle name="Comma 14 3 2 4 6 2" xfId="36910"/>
    <cellStyle name="Comma 14 3 2 4 6 3" xfId="36911"/>
    <cellStyle name="Comma 14 3 2 4 7" xfId="36912"/>
    <cellStyle name="Comma 14 3 2 4 7 2" xfId="36913"/>
    <cellStyle name="Comma 14 3 2 4 8" xfId="36914"/>
    <cellStyle name="Comma 14 3 2 4 9" xfId="36915"/>
    <cellStyle name="Comma 14 3 2 5" xfId="36916"/>
    <cellStyle name="Comma 14 3 2 5 2" xfId="36917"/>
    <cellStyle name="Comma 14 3 2 5 2 2" xfId="36918"/>
    <cellStyle name="Comma 14 3 2 5 2 3" xfId="36919"/>
    <cellStyle name="Comma 14 3 2 5 3" xfId="36920"/>
    <cellStyle name="Comma 14 3 2 5 3 2" xfId="36921"/>
    <cellStyle name="Comma 14 3 2 5 3 3" xfId="36922"/>
    <cellStyle name="Comma 14 3 2 5 4" xfId="36923"/>
    <cellStyle name="Comma 14 3 2 5 4 2" xfId="36924"/>
    <cellStyle name="Comma 14 3 2 5 5" xfId="36925"/>
    <cellStyle name="Comma 14 3 2 5 6" xfId="36926"/>
    <cellStyle name="Comma 14 3 2 6" xfId="36927"/>
    <cellStyle name="Comma 14 3 2 6 2" xfId="36928"/>
    <cellStyle name="Comma 14 3 2 6 2 2" xfId="36929"/>
    <cellStyle name="Comma 14 3 2 6 2 3" xfId="36930"/>
    <cellStyle name="Comma 14 3 2 6 3" xfId="36931"/>
    <cellStyle name="Comma 14 3 2 6 3 2" xfId="36932"/>
    <cellStyle name="Comma 14 3 2 6 3 3" xfId="36933"/>
    <cellStyle name="Comma 14 3 2 6 4" xfId="36934"/>
    <cellStyle name="Comma 14 3 2 6 4 2" xfId="36935"/>
    <cellStyle name="Comma 14 3 2 6 5" xfId="36936"/>
    <cellStyle name="Comma 14 3 2 6 6" xfId="36937"/>
    <cellStyle name="Comma 14 3 2 7" xfId="36938"/>
    <cellStyle name="Comma 14 3 2 7 2" xfId="36939"/>
    <cellStyle name="Comma 14 3 2 7 2 2" xfId="36940"/>
    <cellStyle name="Comma 14 3 2 7 2 3" xfId="36941"/>
    <cellStyle name="Comma 14 3 2 7 3" xfId="36942"/>
    <cellStyle name="Comma 14 3 2 7 3 2" xfId="36943"/>
    <cellStyle name="Comma 14 3 2 7 4" xfId="36944"/>
    <cellStyle name="Comma 14 3 2 7 5" xfId="36945"/>
    <cellStyle name="Comma 14 3 2 8" xfId="36946"/>
    <cellStyle name="Comma 14 3 2 8 2" xfId="36947"/>
    <cellStyle name="Comma 14 3 2 8 3" xfId="36948"/>
    <cellStyle name="Comma 14 3 2 9" xfId="36949"/>
    <cellStyle name="Comma 14 3 2 9 2" xfId="36950"/>
    <cellStyle name="Comma 14 3 2 9 3" xfId="36951"/>
    <cellStyle name="Comma 14 3 3" xfId="36952"/>
    <cellStyle name="Comma 14 3 3 10" xfId="36953"/>
    <cellStyle name="Comma 14 3 3 2" xfId="36954"/>
    <cellStyle name="Comma 14 3 3 2 2" xfId="36955"/>
    <cellStyle name="Comma 14 3 3 2 2 2" xfId="36956"/>
    <cellStyle name="Comma 14 3 3 2 2 2 2" xfId="36957"/>
    <cellStyle name="Comma 14 3 3 2 2 2 3" xfId="36958"/>
    <cellStyle name="Comma 14 3 3 2 2 3" xfId="36959"/>
    <cellStyle name="Comma 14 3 3 2 2 3 2" xfId="36960"/>
    <cellStyle name="Comma 14 3 3 2 2 3 3" xfId="36961"/>
    <cellStyle name="Comma 14 3 3 2 2 4" xfId="36962"/>
    <cellStyle name="Comma 14 3 3 2 2 4 2" xfId="36963"/>
    <cellStyle name="Comma 14 3 3 2 2 5" xfId="36964"/>
    <cellStyle name="Comma 14 3 3 2 2 6" xfId="36965"/>
    <cellStyle name="Comma 14 3 3 2 3" xfId="36966"/>
    <cellStyle name="Comma 14 3 3 2 3 2" xfId="36967"/>
    <cellStyle name="Comma 14 3 3 2 3 2 2" xfId="36968"/>
    <cellStyle name="Comma 14 3 3 2 3 2 3" xfId="36969"/>
    <cellStyle name="Comma 14 3 3 2 3 3" xfId="36970"/>
    <cellStyle name="Comma 14 3 3 2 3 3 2" xfId="36971"/>
    <cellStyle name="Comma 14 3 3 2 3 3 3" xfId="36972"/>
    <cellStyle name="Comma 14 3 3 2 3 4" xfId="36973"/>
    <cellStyle name="Comma 14 3 3 2 3 4 2" xfId="36974"/>
    <cellStyle name="Comma 14 3 3 2 3 5" xfId="36975"/>
    <cellStyle name="Comma 14 3 3 2 3 6" xfId="36976"/>
    <cellStyle name="Comma 14 3 3 2 4" xfId="36977"/>
    <cellStyle name="Comma 14 3 3 2 4 2" xfId="36978"/>
    <cellStyle name="Comma 14 3 3 2 4 2 2" xfId="36979"/>
    <cellStyle name="Comma 14 3 3 2 4 2 3" xfId="36980"/>
    <cellStyle name="Comma 14 3 3 2 4 3" xfId="36981"/>
    <cellStyle name="Comma 14 3 3 2 4 3 2" xfId="36982"/>
    <cellStyle name="Comma 14 3 3 2 4 4" xfId="36983"/>
    <cellStyle name="Comma 14 3 3 2 4 5" xfId="36984"/>
    <cellStyle name="Comma 14 3 3 2 5" xfId="36985"/>
    <cellStyle name="Comma 14 3 3 2 5 2" xfId="36986"/>
    <cellStyle name="Comma 14 3 3 2 5 3" xfId="36987"/>
    <cellStyle name="Comma 14 3 3 2 6" xfId="36988"/>
    <cellStyle name="Comma 14 3 3 2 6 2" xfId="36989"/>
    <cellStyle name="Comma 14 3 3 2 6 3" xfId="36990"/>
    <cellStyle name="Comma 14 3 3 2 7" xfId="36991"/>
    <cellStyle name="Comma 14 3 3 2 7 2" xfId="36992"/>
    <cellStyle name="Comma 14 3 3 2 8" xfId="36993"/>
    <cellStyle name="Comma 14 3 3 2 9" xfId="36994"/>
    <cellStyle name="Comma 14 3 3 3" xfId="36995"/>
    <cellStyle name="Comma 14 3 3 3 2" xfId="36996"/>
    <cellStyle name="Comma 14 3 3 3 2 2" xfId="36997"/>
    <cellStyle name="Comma 14 3 3 3 2 3" xfId="36998"/>
    <cellStyle name="Comma 14 3 3 3 3" xfId="36999"/>
    <cellStyle name="Comma 14 3 3 3 3 2" xfId="37000"/>
    <cellStyle name="Comma 14 3 3 3 3 3" xfId="37001"/>
    <cellStyle name="Comma 14 3 3 3 4" xfId="37002"/>
    <cellStyle name="Comma 14 3 3 3 4 2" xfId="37003"/>
    <cellStyle name="Comma 14 3 3 3 5" xfId="37004"/>
    <cellStyle name="Comma 14 3 3 3 6" xfId="37005"/>
    <cellStyle name="Comma 14 3 3 4" xfId="37006"/>
    <cellStyle name="Comma 14 3 3 4 2" xfId="37007"/>
    <cellStyle name="Comma 14 3 3 4 2 2" xfId="37008"/>
    <cellStyle name="Comma 14 3 3 4 2 3" xfId="37009"/>
    <cellStyle name="Comma 14 3 3 4 3" xfId="37010"/>
    <cellStyle name="Comma 14 3 3 4 3 2" xfId="37011"/>
    <cellStyle name="Comma 14 3 3 4 3 3" xfId="37012"/>
    <cellStyle name="Comma 14 3 3 4 4" xfId="37013"/>
    <cellStyle name="Comma 14 3 3 4 4 2" xfId="37014"/>
    <cellStyle name="Comma 14 3 3 4 5" xfId="37015"/>
    <cellStyle name="Comma 14 3 3 4 6" xfId="37016"/>
    <cellStyle name="Comma 14 3 3 5" xfId="37017"/>
    <cellStyle name="Comma 14 3 3 5 2" xfId="37018"/>
    <cellStyle name="Comma 14 3 3 5 2 2" xfId="37019"/>
    <cellStyle name="Comma 14 3 3 5 2 3" xfId="37020"/>
    <cellStyle name="Comma 14 3 3 5 3" xfId="37021"/>
    <cellStyle name="Comma 14 3 3 5 3 2" xfId="37022"/>
    <cellStyle name="Comma 14 3 3 5 4" xfId="37023"/>
    <cellStyle name="Comma 14 3 3 5 5" xfId="37024"/>
    <cellStyle name="Comma 14 3 3 6" xfId="37025"/>
    <cellStyle name="Comma 14 3 3 6 2" xfId="37026"/>
    <cellStyle name="Comma 14 3 3 6 3" xfId="37027"/>
    <cellStyle name="Comma 14 3 3 7" xfId="37028"/>
    <cellStyle name="Comma 14 3 3 7 2" xfId="37029"/>
    <cellStyle name="Comma 14 3 3 7 3" xfId="37030"/>
    <cellStyle name="Comma 14 3 3 8" xfId="37031"/>
    <cellStyle name="Comma 14 3 3 8 2" xfId="37032"/>
    <cellStyle name="Comma 14 3 3 9" xfId="37033"/>
    <cellStyle name="Comma 14 3 4" xfId="37034"/>
    <cellStyle name="Comma 14 3 4 2" xfId="37035"/>
    <cellStyle name="Comma 14 3 4 2 2" xfId="37036"/>
    <cellStyle name="Comma 14 3 4 2 2 2" xfId="37037"/>
    <cellStyle name="Comma 14 3 4 2 2 3" xfId="37038"/>
    <cellStyle name="Comma 14 3 4 2 3" xfId="37039"/>
    <cellStyle name="Comma 14 3 4 2 3 2" xfId="37040"/>
    <cellStyle name="Comma 14 3 4 2 3 3" xfId="37041"/>
    <cellStyle name="Comma 14 3 4 2 4" xfId="37042"/>
    <cellStyle name="Comma 14 3 4 2 4 2" xfId="37043"/>
    <cellStyle name="Comma 14 3 4 2 5" xfId="37044"/>
    <cellStyle name="Comma 14 3 4 2 6" xfId="37045"/>
    <cellStyle name="Comma 14 3 4 3" xfId="37046"/>
    <cellStyle name="Comma 14 3 4 3 2" xfId="37047"/>
    <cellStyle name="Comma 14 3 4 3 2 2" xfId="37048"/>
    <cellStyle name="Comma 14 3 4 3 2 3" xfId="37049"/>
    <cellStyle name="Comma 14 3 4 3 3" xfId="37050"/>
    <cellStyle name="Comma 14 3 4 3 3 2" xfId="37051"/>
    <cellStyle name="Comma 14 3 4 3 3 3" xfId="37052"/>
    <cellStyle name="Comma 14 3 4 3 4" xfId="37053"/>
    <cellStyle name="Comma 14 3 4 3 4 2" xfId="37054"/>
    <cellStyle name="Comma 14 3 4 3 5" xfId="37055"/>
    <cellStyle name="Comma 14 3 4 3 6" xfId="37056"/>
    <cellStyle name="Comma 14 3 4 4" xfId="37057"/>
    <cellStyle name="Comma 14 3 4 4 2" xfId="37058"/>
    <cellStyle name="Comma 14 3 4 4 2 2" xfId="37059"/>
    <cellStyle name="Comma 14 3 4 4 2 3" xfId="37060"/>
    <cellStyle name="Comma 14 3 4 4 3" xfId="37061"/>
    <cellStyle name="Comma 14 3 4 4 3 2" xfId="37062"/>
    <cellStyle name="Comma 14 3 4 4 4" xfId="37063"/>
    <cellStyle name="Comma 14 3 4 4 5" xfId="37064"/>
    <cellStyle name="Comma 14 3 4 5" xfId="37065"/>
    <cellStyle name="Comma 14 3 4 5 2" xfId="37066"/>
    <cellStyle name="Comma 14 3 4 5 3" xfId="37067"/>
    <cellStyle name="Comma 14 3 4 6" xfId="37068"/>
    <cellStyle name="Comma 14 3 4 6 2" xfId="37069"/>
    <cellStyle name="Comma 14 3 4 6 3" xfId="37070"/>
    <cellStyle name="Comma 14 3 4 7" xfId="37071"/>
    <cellStyle name="Comma 14 3 4 7 2" xfId="37072"/>
    <cellStyle name="Comma 14 3 4 8" xfId="37073"/>
    <cellStyle name="Comma 14 3 4 9" xfId="37074"/>
    <cellStyle name="Comma 14 3 5" xfId="37075"/>
    <cellStyle name="Comma 14 3 5 2" xfId="37076"/>
    <cellStyle name="Comma 14 3 5 2 2" xfId="37077"/>
    <cellStyle name="Comma 14 3 5 2 2 2" xfId="37078"/>
    <cellStyle name="Comma 14 3 5 2 2 3" xfId="37079"/>
    <cellStyle name="Comma 14 3 5 2 3" xfId="37080"/>
    <cellStyle name="Comma 14 3 5 2 3 2" xfId="37081"/>
    <cellStyle name="Comma 14 3 5 2 3 3" xfId="37082"/>
    <cellStyle name="Comma 14 3 5 2 4" xfId="37083"/>
    <cellStyle name="Comma 14 3 5 2 4 2" xfId="37084"/>
    <cellStyle name="Comma 14 3 5 2 5" xfId="37085"/>
    <cellStyle name="Comma 14 3 5 2 6" xfId="37086"/>
    <cellStyle name="Comma 14 3 5 3" xfId="37087"/>
    <cellStyle name="Comma 14 3 5 3 2" xfId="37088"/>
    <cellStyle name="Comma 14 3 5 3 2 2" xfId="37089"/>
    <cellStyle name="Comma 14 3 5 3 2 3" xfId="37090"/>
    <cellStyle name="Comma 14 3 5 3 3" xfId="37091"/>
    <cellStyle name="Comma 14 3 5 3 3 2" xfId="37092"/>
    <cellStyle name="Comma 14 3 5 3 3 3" xfId="37093"/>
    <cellStyle name="Comma 14 3 5 3 4" xfId="37094"/>
    <cellStyle name="Comma 14 3 5 3 4 2" xfId="37095"/>
    <cellStyle name="Comma 14 3 5 3 5" xfId="37096"/>
    <cellStyle name="Comma 14 3 5 3 6" xfId="37097"/>
    <cellStyle name="Comma 14 3 5 4" xfId="37098"/>
    <cellStyle name="Comma 14 3 5 4 2" xfId="37099"/>
    <cellStyle name="Comma 14 3 5 4 2 2" xfId="37100"/>
    <cellStyle name="Comma 14 3 5 4 2 3" xfId="37101"/>
    <cellStyle name="Comma 14 3 5 4 3" xfId="37102"/>
    <cellStyle name="Comma 14 3 5 4 3 2" xfId="37103"/>
    <cellStyle name="Comma 14 3 5 4 4" xfId="37104"/>
    <cellStyle name="Comma 14 3 5 4 5" xfId="37105"/>
    <cellStyle name="Comma 14 3 5 5" xfId="37106"/>
    <cellStyle name="Comma 14 3 5 5 2" xfId="37107"/>
    <cellStyle name="Comma 14 3 5 5 3" xfId="37108"/>
    <cellStyle name="Comma 14 3 5 6" xfId="37109"/>
    <cellStyle name="Comma 14 3 5 6 2" xfId="37110"/>
    <cellStyle name="Comma 14 3 5 6 3" xfId="37111"/>
    <cellStyle name="Comma 14 3 5 7" xfId="37112"/>
    <cellStyle name="Comma 14 3 5 7 2" xfId="37113"/>
    <cellStyle name="Comma 14 3 5 8" xfId="37114"/>
    <cellStyle name="Comma 14 3 5 9" xfId="37115"/>
    <cellStyle name="Comma 14 3 6" xfId="37116"/>
    <cellStyle name="Comma 14 3 6 2" xfId="37117"/>
    <cellStyle name="Comma 14 3 6 2 2" xfId="37118"/>
    <cellStyle name="Comma 14 3 6 2 3" xfId="37119"/>
    <cellStyle name="Comma 14 3 6 3" xfId="37120"/>
    <cellStyle name="Comma 14 3 6 3 2" xfId="37121"/>
    <cellStyle name="Comma 14 3 6 3 3" xfId="37122"/>
    <cellStyle name="Comma 14 3 6 4" xfId="37123"/>
    <cellStyle name="Comma 14 3 6 4 2" xfId="37124"/>
    <cellStyle name="Comma 14 3 6 5" xfId="37125"/>
    <cellStyle name="Comma 14 3 6 6" xfId="37126"/>
    <cellStyle name="Comma 14 3 7" xfId="37127"/>
    <cellStyle name="Comma 14 3 7 2" xfId="37128"/>
    <cellStyle name="Comma 14 3 7 2 2" xfId="37129"/>
    <cellStyle name="Comma 14 3 7 2 3" xfId="37130"/>
    <cellStyle name="Comma 14 3 7 3" xfId="37131"/>
    <cellStyle name="Comma 14 3 7 3 2" xfId="37132"/>
    <cellStyle name="Comma 14 3 7 3 3" xfId="37133"/>
    <cellStyle name="Comma 14 3 7 4" xfId="37134"/>
    <cellStyle name="Comma 14 3 7 4 2" xfId="37135"/>
    <cellStyle name="Comma 14 3 7 5" xfId="37136"/>
    <cellStyle name="Comma 14 3 7 6" xfId="37137"/>
    <cellStyle name="Comma 14 3 8" xfId="37138"/>
    <cellStyle name="Comma 14 3 8 2" xfId="37139"/>
    <cellStyle name="Comma 14 3 8 2 2" xfId="37140"/>
    <cellStyle name="Comma 14 3 8 2 3" xfId="37141"/>
    <cellStyle name="Comma 14 3 8 3" xfId="37142"/>
    <cellStyle name="Comma 14 3 8 3 2" xfId="37143"/>
    <cellStyle name="Comma 14 3 8 4" xfId="37144"/>
    <cellStyle name="Comma 14 3 8 5" xfId="37145"/>
    <cellStyle name="Comma 14 3 9" xfId="37146"/>
    <cellStyle name="Comma 14 3 9 2" xfId="37147"/>
    <cellStyle name="Comma 14 3 9 3" xfId="37148"/>
    <cellStyle name="Comma 14 4" xfId="37149"/>
    <cellStyle name="Comma 14 4 10" xfId="37150"/>
    <cellStyle name="Comma 14 4 10 2" xfId="37151"/>
    <cellStyle name="Comma 14 4 11" xfId="37152"/>
    <cellStyle name="Comma 14 4 12" xfId="37153"/>
    <cellStyle name="Comma 14 4 2" xfId="37154"/>
    <cellStyle name="Comma 14 4 2 10" xfId="37155"/>
    <cellStyle name="Comma 14 4 2 2" xfId="37156"/>
    <cellStyle name="Comma 14 4 2 2 2" xfId="37157"/>
    <cellStyle name="Comma 14 4 2 2 2 2" xfId="37158"/>
    <cellStyle name="Comma 14 4 2 2 2 2 2" xfId="37159"/>
    <cellStyle name="Comma 14 4 2 2 2 2 3" xfId="37160"/>
    <cellStyle name="Comma 14 4 2 2 2 3" xfId="37161"/>
    <cellStyle name="Comma 14 4 2 2 2 3 2" xfId="37162"/>
    <cellStyle name="Comma 14 4 2 2 2 3 3" xfId="37163"/>
    <cellStyle name="Comma 14 4 2 2 2 4" xfId="37164"/>
    <cellStyle name="Comma 14 4 2 2 2 4 2" xfId="37165"/>
    <cellStyle name="Comma 14 4 2 2 2 5" xfId="37166"/>
    <cellStyle name="Comma 14 4 2 2 2 6" xfId="37167"/>
    <cellStyle name="Comma 14 4 2 2 3" xfId="37168"/>
    <cellStyle name="Comma 14 4 2 2 3 2" xfId="37169"/>
    <cellStyle name="Comma 14 4 2 2 3 2 2" xfId="37170"/>
    <cellStyle name="Comma 14 4 2 2 3 2 3" xfId="37171"/>
    <cellStyle name="Comma 14 4 2 2 3 3" xfId="37172"/>
    <cellStyle name="Comma 14 4 2 2 3 3 2" xfId="37173"/>
    <cellStyle name="Comma 14 4 2 2 3 3 3" xfId="37174"/>
    <cellStyle name="Comma 14 4 2 2 3 4" xfId="37175"/>
    <cellStyle name="Comma 14 4 2 2 3 4 2" xfId="37176"/>
    <cellStyle name="Comma 14 4 2 2 3 5" xfId="37177"/>
    <cellStyle name="Comma 14 4 2 2 3 6" xfId="37178"/>
    <cellStyle name="Comma 14 4 2 2 4" xfId="37179"/>
    <cellStyle name="Comma 14 4 2 2 4 2" xfId="37180"/>
    <cellStyle name="Comma 14 4 2 2 4 2 2" xfId="37181"/>
    <cellStyle name="Comma 14 4 2 2 4 2 3" xfId="37182"/>
    <cellStyle name="Comma 14 4 2 2 4 3" xfId="37183"/>
    <cellStyle name="Comma 14 4 2 2 4 3 2" xfId="37184"/>
    <cellStyle name="Comma 14 4 2 2 4 4" xfId="37185"/>
    <cellStyle name="Comma 14 4 2 2 4 5" xfId="37186"/>
    <cellStyle name="Comma 14 4 2 2 5" xfId="37187"/>
    <cellStyle name="Comma 14 4 2 2 5 2" xfId="37188"/>
    <cellStyle name="Comma 14 4 2 2 5 3" xfId="37189"/>
    <cellStyle name="Comma 14 4 2 2 6" xfId="37190"/>
    <cellStyle name="Comma 14 4 2 2 6 2" xfId="37191"/>
    <cellStyle name="Comma 14 4 2 2 6 3" xfId="37192"/>
    <cellStyle name="Comma 14 4 2 2 7" xfId="37193"/>
    <cellStyle name="Comma 14 4 2 2 7 2" xfId="37194"/>
    <cellStyle name="Comma 14 4 2 2 8" xfId="37195"/>
    <cellStyle name="Comma 14 4 2 2 9" xfId="37196"/>
    <cellStyle name="Comma 14 4 2 3" xfId="37197"/>
    <cellStyle name="Comma 14 4 2 3 2" xfId="37198"/>
    <cellStyle name="Comma 14 4 2 3 2 2" xfId="37199"/>
    <cellStyle name="Comma 14 4 2 3 2 3" xfId="37200"/>
    <cellStyle name="Comma 14 4 2 3 3" xfId="37201"/>
    <cellStyle name="Comma 14 4 2 3 3 2" xfId="37202"/>
    <cellStyle name="Comma 14 4 2 3 3 3" xfId="37203"/>
    <cellStyle name="Comma 14 4 2 3 4" xfId="37204"/>
    <cellStyle name="Comma 14 4 2 3 4 2" xfId="37205"/>
    <cellStyle name="Comma 14 4 2 3 5" xfId="37206"/>
    <cellStyle name="Comma 14 4 2 3 6" xfId="37207"/>
    <cellStyle name="Comma 14 4 2 4" xfId="37208"/>
    <cellStyle name="Comma 14 4 2 4 2" xfId="37209"/>
    <cellStyle name="Comma 14 4 2 4 2 2" xfId="37210"/>
    <cellStyle name="Comma 14 4 2 4 2 3" xfId="37211"/>
    <cellStyle name="Comma 14 4 2 4 3" xfId="37212"/>
    <cellStyle name="Comma 14 4 2 4 3 2" xfId="37213"/>
    <cellStyle name="Comma 14 4 2 4 3 3" xfId="37214"/>
    <cellStyle name="Comma 14 4 2 4 4" xfId="37215"/>
    <cellStyle name="Comma 14 4 2 4 4 2" xfId="37216"/>
    <cellStyle name="Comma 14 4 2 4 5" xfId="37217"/>
    <cellStyle name="Comma 14 4 2 4 6" xfId="37218"/>
    <cellStyle name="Comma 14 4 2 5" xfId="37219"/>
    <cellStyle name="Comma 14 4 2 5 2" xfId="37220"/>
    <cellStyle name="Comma 14 4 2 5 2 2" xfId="37221"/>
    <cellStyle name="Comma 14 4 2 5 2 3" xfId="37222"/>
    <cellStyle name="Comma 14 4 2 5 3" xfId="37223"/>
    <cellStyle name="Comma 14 4 2 5 3 2" xfId="37224"/>
    <cellStyle name="Comma 14 4 2 5 4" xfId="37225"/>
    <cellStyle name="Comma 14 4 2 5 5" xfId="37226"/>
    <cellStyle name="Comma 14 4 2 6" xfId="37227"/>
    <cellStyle name="Comma 14 4 2 6 2" xfId="37228"/>
    <cellStyle name="Comma 14 4 2 6 3" xfId="37229"/>
    <cellStyle name="Comma 14 4 2 7" xfId="37230"/>
    <cellStyle name="Comma 14 4 2 7 2" xfId="37231"/>
    <cellStyle name="Comma 14 4 2 7 3" xfId="37232"/>
    <cellStyle name="Comma 14 4 2 8" xfId="37233"/>
    <cellStyle name="Comma 14 4 2 8 2" xfId="37234"/>
    <cellStyle name="Comma 14 4 2 9" xfId="37235"/>
    <cellStyle name="Comma 14 4 3" xfId="37236"/>
    <cellStyle name="Comma 14 4 3 2" xfId="37237"/>
    <cellStyle name="Comma 14 4 3 2 2" xfId="37238"/>
    <cellStyle name="Comma 14 4 3 2 2 2" xfId="37239"/>
    <cellStyle name="Comma 14 4 3 2 2 3" xfId="37240"/>
    <cellStyle name="Comma 14 4 3 2 3" xfId="37241"/>
    <cellStyle name="Comma 14 4 3 2 3 2" xfId="37242"/>
    <cellStyle name="Comma 14 4 3 2 3 3" xfId="37243"/>
    <cellStyle name="Comma 14 4 3 2 4" xfId="37244"/>
    <cellStyle name="Comma 14 4 3 2 4 2" xfId="37245"/>
    <cellStyle name="Comma 14 4 3 2 5" xfId="37246"/>
    <cellStyle name="Comma 14 4 3 2 6" xfId="37247"/>
    <cellStyle name="Comma 14 4 3 3" xfId="37248"/>
    <cellStyle name="Comma 14 4 3 3 2" xfId="37249"/>
    <cellStyle name="Comma 14 4 3 3 2 2" xfId="37250"/>
    <cellStyle name="Comma 14 4 3 3 2 3" xfId="37251"/>
    <cellStyle name="Comma 14 4 3 3 3" xfId="37252"/>
    <cellStyle name="Comma 14 4 3 3 3 2" xfId="37253"/>
    <cellStyle name="Comma 14 4 3 3 3 3" xfId="37254"/>
    <cellStyle name="Comma 14 4 3 3 4" xfId="37255"/>
    <cellStyle name="Comma 14 4 3 3 4 2" xfId="37256"/>
    <cellStyle name="Comma 14 4 3 3 5" xfId="37257"/>
    <cellStyle name="Comma 14 4 3 3 6" xfId="37258"/>
    <cellStyle name="Comma 14 4 3 4" xfId="37259"/>
    <cellStyle name="Comma 14 4 3 4 2" xfId="37260"/>
    <cellStyle name="Comma 14 4 3 4 2 2" xfId="37261"/>
    <cellStyle name="Comma 14 4 3 4 2 3" xfId="37262"/>
    <cellStyle name="Comma 14 4 3 4 3" xfId="37263"/>
    <cellStyle name="Comma 14 4 3 4 3 2" xfId="37264"/>
    <cellStyle name="Comma 14 4 3 4 4" xfId="37265"/>
    <cellStyle name="Comma 14 4 3 4 5" xfId="37266"/>
    <cellStyle name="Comma 14 4 3 5" xfId="37267"/>
    <cellStyle name="Comma 14 4 3 5 2" xfId="37268"/>
    <cellStyle name="Comma 14 4 3 5 3" xfId="37269"/>
    <cellStyle name="Comma 14 4 3 6" xfId="37270"/>
    <cellStyle name="Comma 14 4 3 6 2" xfId="37271"/>
    <cellStyle name="Comma 14 4 3 6 3" xfId="37272"/>
    <cellStyle name="Comma 14 4 3 7" xfId="37273"/>
    <cellStyle name="Comma 14 4 3 7 2" xfId="37274"/>
    <cellStyle name="Comma 14 4 3 8" xfId="37275"/>
    <cellStyle name="Comma 14 4 3 9" xfId="37276"/>
    <cellStyle name="Comma 14 4 4" xfId="37277"/>
    <cellStyle name="Comma 14 4 4 2" xfId="37278"/>
    <cellStyle name="Comma 14 4 4 2 2" xfId="37279"/>
    <cellStyle name="Comma 14 4 4 2 2 2" xfId="37280"/>
    <cellStyle name="Comma 14 4 4 2 2 3" xfId="37281"/>
    <cellStyle name="Comma 14 4 4 2 3" xfId="37282"/>
    <cellStyle name="Comma 14 4 4 2 3 2" xfId="37283"/>
    <cellStyle name="Comma 14 4 4 2 3 3" xfId="37284"/>
    <cellStyle name="Comma 14 4 4 2 4" xfId="37285"/>
    <cellStyle name="Comma 14 4 4 2 4 2" xfId="37286"/>
    <cellStyle name="Comma 14 4 4 2 5" xfId="37287"/>
    <cellStyle name="Comma 14 4 4 2 6" xfId="37288"/>
    <cellStyle name="Comma 14 4 4 3" xfId="37289"/>
    <cellStyle name="Comma 14 4 4 3 2" xfId="37290"/>
    <cellStyle name="Comma 14 4 4 3 2 2" xfId="37291"/>
    <cellStyle name="Comma 14 4 4 3 2 3" xfId="37292"/>
    <cellStyle name="Comma 14 4 4 3 3" xfId="37293"/>
    <cellStyle name="Comma 14 4 4 3 3 2" xfId="37294"/>
    <cellStyle name="Comma 14 4 4 3 3 3" xfId="37295"/>
    <cellStyle name="Comma 14 4 4 3 4" xfId="37296"/>
    <cellStyle name="Comma 14 4 4 3 4 2" xfId="37297"/>
    <cellStyle name="Comma 14 4 4 3 5" xfId="37298"/>
    <cellStyle name="Comma 14 4 4 3 6" xfId="37299"/>
    <cellStyle name="Comma 14 4 4 4" xfId="37300"/>
    <cellStyle name="Comma 14 4 4 4 2" xfId="37301"/>
    <cellStyle name="Comma 14 4 4 4 2 2" xfId="37302"/>
    <cellStyle name="Comma 14 4 4 4 2 3" xfId="37303"/>
    <cellStyle name="Comma 14 4 4 4 3" xfId="37304"/>
    <cellStyle name="Comma 14 4 4 4 3 2" xfId="37305"/>
    <cellStyle name="Comma 14 4 4 4 4" xfId="37306"/>
    <cellStyle name="Comma 14 4 4 4 5" xfId="37307"/>
    <cellStyle name="Comma 14 4 4 5" xfId="37308"/>
    <cellStyle name="Comma 14 4 4 5 2" xfId="37309"/>
    <cellStyle name="Comma 14 4 4 5 3" xfId="37310"/>
    <cellStyle name="Comma 14 4 4 6" xfId="37311"/>
    <cellStyle name="Comma 14 4 4 6 2" xfId="37312"/>
    <cellStyle name="Comma 14 4 4 6 3" xfId="37313"/>
    <cellStyle name="Comma 14 4 4 7" xfId="37314"/>
    <cellStyle name="Comma 14 4 4 7 2" xfId="37315"/>
    <cellStyle name="Comma 14 4 4 8" xfId="37316"/>
    <cellStyle name="Comma 14 4 4 9" xfId="37317"/>
    <cellStyle name="Comma 14 4 5" xfId="37318"/>
    <cellStyle name="Comma 14 4 5 2" xfId="37319"/>
    <cellStyle name="Comma 14 4 5 2 2" xfId="37320"/>
    <cellStyle name="Comma 14 4 5 2 3" xfId="37321"/>
    <cellStyle name="Comma 14 4 5 3" xfId="37322"/>
    <cellStyle name="Comma 14 4 5 3 2" xfId="37323"/>
    <cellStyle name="Comma 14 4 5 3 3" xfId="37324"/>
    <cellStyle name="Comma 14 4 5 4" xfId="37325"/>
    <cellStyle name="Comma 14 4 5 4 2" xfId="37326"/>
    <cellStyle name="Comma 14 4 5 5" xfId="37327"/>
    <cellStyle name="Comma 14 4 5 6" xfId="37328"/>
    <cellStyle name="Comma 14 4 6" xfId="37329"/>
    <cellStyle name="Comma 14 4 6 2" xfId="37330"/>
    <cellStyle name="Comma 14 4 6 2 2" xfId="37331"/>
    <cellStyle name="Comma 14 4 6 2 3" xfId="37332"/>
    <cellStyle name="Comma 14 4 6 3" xfId="37333"/>
    <cellStyle name="Comma 14 4 6 3 2" xfId="37334"/>
    <cellStyle name="Comma 14 4 6 3 3" xfId="37335"/>
    <cellStyle name="Comma 14 4 6 4" xfId="37336"/>
    <cellStyle name="Comma 14 4 6 4 2" xfId="37337"/>
    <cellStyle name="Comma 14 4 6 5" xfId="37338"/>
    <cellStyle name="Comma 14 4 6 6" xfId="37339"/>
    <cellStyle name="Comma 14 4 7" xfId="37340"/>
    <cellStyle name="Comma 14 4 7 2" xfId="37341"/>
    <cellStyle name="Comma 14 4 7 2 2" xfId="37342"/>
    <cellStyle name="Comma 14 4 7 2 3" xfId="37343"/>
    <cellStyle name="Comma 14 4 7 3" xfId="37344"/>
    <cellStyle name="Comma 14 4 7 3 2" xfId="37345"/>
    <cellStyle name="Comma 14 4 7 4" xfId="37346"/>
    <cellStyle name="Comma 14 4 7 5" xfId="37347"/>
    <cellStyle name="Comma 14 4 8" xfId="37348"/>
    <cellStyle name="Comma 14 4 8 2" xfId="37349"/>
    <cellStyle name="Comma 14 4 8 3" xfId="37350"/>
    <cellStyle name="Comma 14 4 9" xfId="37351"/>
    <cellStyle name="Comma 14 4 9 2" xfId="37352"/>
    <cellStyle name="Comma 14 4 9 3" xfId="37353"/>
    <cellStyle name="Comma 14 5" xfId="37354"/>
    <cellStyle name="Comma 14 5 10" xfId="37355"/>
    <cellStyle name="Comma 14 5 2" xfId="37356"/>
    <cellStyle name="Comma 14 5 2 2" xfId="37357"/>
    <cellStyle name="Comma 14 5 2 2 2" xfId="37358"/>
    <cellStyle name="Comma 14 5 2 2 2 2" xfId="37359"/>
    <cellStyle name="Comma 14 5 2 2 2 3" xfId="37360"/>
    <cellStyle name="Comma 14 5 2 2 3" xfId="37361"/>
    <cellStyle name="Comma 14 5 2 2 3 2" xfId="37362"/>
    <cellStyle name="Comma 14 5 2 2 3 3" xfId="37363"/>
    <cellStyle name="Comma 14 5 2 2 4" xfId="37364"/>
    <cellStyle name="Comma 14 5 2 2 4 2" xfId="37365"/>
    <cellStyle name="Comma 14 5 2 2 5" xfId="37366"/>
    <cellStyle name="Comma 14 5 2 2 6" xfId="37367"/>
    <cellStyle name="Comma 14 5 2 3" xfId="37368"/>
    <cellStyle name="Comma 14 5 2 3 2" xfId="37369"/>
    <cellStyle name="Comma 14 5 2 3 2 2" xfId="37370"/>
    <cellStyle name="Comma 14 5 2 3 2 3" xfId="37371"/>
    <cellStyle name="Comma 14 5 2 3 3" xfId="37372"/>
    <cellStyle name="Comma 14 5 2 3 3 2" xfId="37373"/>
    <cellStyle name="Comma 14 5 2 3 3 3" xfId="37374"/>
    <cellStyle name="Comma 14 5 2 3 4" xfId="37375"/>
    <cellStyle name="Comma 14 5 2 3 4 2" xfId="37376"/>
    <cellStyle name="Comma 14 5 2 3 5" xfId="37377"/>
    <cellStyle name="Comma 14 5 2 3 6" xfId="37378"/>
    <cellStyle name="Comma 14 5 2 4" xfId="37379"/>
    <cellStyle name="Comma 14 5 2 4 2" xfId="37380"/>
    <cellStyle name="Comma 14 5 2 4 2 2" xfId="37381"/>
    <cellStyle name="Comma 14 5 2 4 2 3" xfId="37382"/>
    <cellStyle name="Comma 14 5 2 4 3" xfId="37383"/>
    <cellStyle name="Comma 14 5 2 4 3 2" xfId="37384"/>
    <cellStyle name="Comma 14 5 2 4 4" xfId="37385"/>
    <cellStyle name="Comma 14 5 2 4 5" xfId="37386"/>
    <cellStyle name="Comma 14 5 2 5" xfId="37387"/>
    <cellStyle name="Comma 14 5 2 5 2" xfId="37388"/>
    <cellStyle name="Comma 14 5 2 5 3" xfId="37389"/>
    <cellStyle name="Comma 14 5 2 6" xfId="37390"/>
    <cellStyle name="Comma 14 5 2 6 2" xfId="37391"/>
    <cellStyle name="Comma 14 5 2 6 3" xfId="37392"/>
    <cellStyle name="Comma 14 5 2 7" xfId="37393"/>
    <cellStyle name="Comma 14 5 2 7 2" xfId="37394"/>
    <cellStyle name="Comma 14 5 2 8" xfId="37395"/>
    <cellStyle name="Comma 14 5 2 9" xfId="37396"/>
    <cellStyle name="Comma 14 5 3" xfId="37397"/>
    <cellStyle name="Comma 14 5 3 2" xfId="37398"/>
    <cellStyle name="Comma 14 5 3 2 2" xfId="37399"/>
    <cellStyle name="Comma 14 5 3 2 3" xfId="37400"/>
    <cellStyle name="Comma 14 5 3 3" xfId="37401"/>
    <cellStyle name="Comma 14 5 3 3 2" xfId="37402"/>
    <cellStyle name="Comma 14 5 3 3 3" xfId="37403"/>
    <cellStyle name="Comma 14 5 3 4" xfId="37404"/>
    <cellStyle name="Comma 14 5 3 4 2" xfId="37405"/>
    <cellStyle name="Comma 14 5 3 5" xfId="37406"/>
    <cellStyle name="Comma 14 5 3 6" xfId="37407"/>
    <cellStyle name="Comma 14 5 4" xfId="37408"/>
    <cellStyle name="Comma 14 5 4 2" xfId="37409"/>
    <cellStyle name="Comma 14 5 4 2 2" xfId="37410"/>
    <cellStyle name="Comma 14 5 4 2 3" xfId="37411"/>
    <cellStyle name="Comma 14 5 4 3" xfId="37412"/>
    <cellStyle name="Comma 14 5 4 3 2" xfId="37413"/>
    <cellStyle name="Comma 14 5 4 3 3" xfId="37414"/>
    <cellStyle name="Comma 14 5 4 4" xfId="37415"/>
    <cellStyle name="Comma 14 5 4 4 2" xfId="37416"/>
    <cellStyle name="Comma 14 5 4 5" xfId="37417"/>
    <cellStyle name="Comma 14 5 4 6" xfId="37418"/>
    <cellStyle name="Comma 14 5 5" xfId="37419"/>
    <cellStyle name="Comma 14 5 5 2" xfId="37420"/>
    <cellStyle name="Comma 14 5 5 2 2" xfId="37421"/>
    <cellStyle name="Comma 14 5 5 2 3" xfId="37422"/>
    <cellStyle name="Comma 14 5 5 3" xfId="37423"/>
    <cellStyle name="Comma 14 5 5 3 2" xfId="37424"/>
    <cellStyle name="Comma 14 5 5 4" xfId="37425"/>
    <cellStyle name="Comma 14 5 5 5" xfId="37426"/>
    <cellStyle name="Comma 14 5 6" xfId="37427"/>
    <cellStyle name="Comma 14 5 6 2" xfId="37428"/>
    <cellStyle name="Comma 14 5 6 3" xfId="37429"/>
    <cellStyle name="Comma 14 5 7" xfId="37430"/>
    <cellStyle name="Comma 14 5 7 2" xfId="37431"/>
    <cellStyle name="Comma 14 5 7 3" xfId="37432"/>
    <cellStyle name="Comma 14 5 8" xfId="37433"/>
    <cellStyle name="Comma 14 5 8 2" xfId="37434"/>
    <cellStyle name="Comma 14 5 9" xfId="37435"/>
    <cellStyle name="Comma 14 6" xfId="37436"/>
    <cellStyle name="Comma 14 6 2" xfId="37437"/>
    <cellStyle name="Comma 14 6 2 2" xfId="37438"/>
    <cellStyle name="Comma 14 6 2 2 2" xfId="37439"/>
    <cellStyle name="Comma 14 6 2 2 3" xfId="37440"/>
    <cellStyle name="Comma 14 6 2 3" xfId="37441"/>
    <cellStyle name="Comma 14 6 2 3 2" xfId="37442"/>
    <cellStyle name="Comma 14 6 2 3 3" xfId="37443"/>
    <cellStyle name="Comma 14 6 2 4" xfId="37444"/>
    <cellStyle name="Comma 14 6 2 4 2" xfId="37445"/>
    <cellStyle name="Comma 14 6 2 5" xfId="37446"/>
    <cellStyle name="Comma 14 6 2 6" xfId="37447"/>
    <cellStyle name="Comma 14 6 3" xfId="37448"/>
    <cellStyle name="Comma 14 6 3 2" xfId="37449"/>
    <cellStyle name="Comma 14 6 3 2 2" xfId="37450"/>
    <cellStyle name="Comma 14 6 3 2 3" xfId="37451"/>
    <cellStyle name="Comma 14 6 3 3" xfId="37452"/>
    <cellStyle name="Comma 14 6 3 3 2" xfId="37453"/>
    <cellStyle name="Comma 14 6 3 3 3" xfId="37454"/>
    <cellStyle name="Comma 14 6 3 4" xfId="37455"/>
    <cellStyle name="Comma 14 6 3 4 2" xfId="37456"/>
    <cellStyle name="Comma 14 6 3 5" xfId="37457"/>
    <cellStyle name="Comma 14 6 3 6" xfId="37458"/>
    <cellStyle name="Comma 14 6 4" xfId="37459"/>
    <cellStyle name="Comma 14 6 4 2" xfId="37460"/>
    <cellStyle name="Comma 14 6 4 2 2" xfId="37461"/>
    <cellStyle name="Comma 14 6 4 2 3" xfId="37462"/>
    <cellStyle name="Comma 14 6 4 3" xfId="37463"/>
    <cellStyle name="Comma 14 6 4 3 2" xfId="37464"/>
    <cellStyle name="Comma 14 6 4 4" xfId="37465"/>
    <cellStyle name="Comma 14 6 4 5" xfId="37466"/>
    <cellStyle name="Comma 14 6 5" xfId="37467"/>
    <cellStyle name="Comma 14 6 5 2" xfId="37468"/>
    <cellStyle name="Comma 14 6 5 3" xfId="37469"/>
    <cellStyle name="Comma 14 6 6" xfId="37470"/>
    <cellStyle name="Comma 14 6 6 2" xfId="37471"/>
    <cellStyle name="Comma 14 6 6 3" xfId="37472"/>
    <cellStyle name="Comma 14 6 7" xfId="37473"/>
    <cellStyle name="Comma 14 6 7 2" xfId="37474"/>
    <cellStyle name="Comma 14 6 8" xfId="37475"/>
    <cellStyle name="Comma 14 6 9" xfId="37476"/>
    <cellStyle name="Comma 14 7" xfId="37477"/>
    <cellStyle name="Comma 14 7 2" xfId="37478"/>
    <cellStyle name="Comma 14 7 2 2" xfId="37479"/>
    <cellStyle name="Comma 14 7 2 2 2" xfId="37480"/>
    <cellStyle name="Comma 14 7 2 2 3" xfId="37481"/>
    <cellStyle name="Comma 14 7 2 3" xfId="37482"/>
    <cellStyle name="Comma 14 7 2 3 2" xfId="37483"/>
    <cellStyle name="Comma 14 7 2 3 3" xfId="37484"/>
    <cellStyle name="Comma 14 7 2 4" xfId="37485"/>
    <cellStyle name="Comma 14 7 2 4 2" xfId="37486"/>
    <cellStyle name="Comma 14 7 2 5" xfId="37487"/>
    <cellStyle name="Comma 14 7 2 6" xfId="37488"/>
    <cellStyle name="Comma 14 7 3" xfId="37489"/>
    <cellStyle name="Comma 14 7 3 2" xfId="37490"/>
    <cellStyle name="Comma 14 7 3 2 2" xfId="37491"/>
    <cellStyle name="Comma 14 7 3 2 3" xfId="37492"/>
    <cellStyle name="Comma 14 7 3 3" xfId="37493"/>
    <cellStyle name="Comma 14 7 3 3 2" xfId="37494"/>
    <cellStyle name="Comma 14 7 3 3 3" xfId="37495"/>
    <cellStyle name="Comma 14 7 3 4" xfId="37496"/>
    <cellStyle name="Comma 14 7 3 4 2" xfId="37497"/>
    <cellStyle name="Comma 14 7 3 5" xfId="37498"/>
    <cellStyle name="Comma 14 7 3 6" xfId="37499"/>
    <cellStyle name="Comma 14 7 4" xfId="37500"/>
    <cellStyle name="Comma 14 7 4 2" xfId="37501"/>
    <cellStyle name="Comma 14 7 4 2 2" xfId="37502"/>
    <cellStyle name="Comma 14 7 4 2 3" xfId="37503"/>
    <cellStyle name="Comma 14 7 4 3" xfId="37504"/>
    <cellStyle name="Comma 14 7 4 3 2" xfId="37505"/>
    <cellStyle name="Comma 14 7 4 4" xfId="37506"/>
    <cellStyle name="Comma 14 7 4 5" xfId="37507"/>
    <cellStyle name="Comma 14 7 5" xfId="37508"/>
    <cellStyle name="Comma 14 7 5 2" xfId="37509"/>
    <cellStyle name="Comma 14 7 5 3" xfId="37510"/>
    <cellStyle name="Comma 14 7 6" xfId="37511"/>
    <cellStyle name="Comma 14 7 6 2" xfId="37512"/>
    <cellStyle name="Comma 14 7 6 3" xfId="37513"/>
    <cellStyle name="Comma 14 7 7" xfId="37514"/>
    <cellStyle name="Comma 14 7 7 2" xfId="37515"/>
    <cellStyle name="Comma 14 7 8" xfId="37516"/>
    <cellStyle name="Comma 14 7 9" xfId="37517"/>
    <cellStyle name="Comma 14 8" xfId="37518"/>
    <cellStyle name="Comma 14 8 2" xfId="37519"/>
    <cellStyle name="Comma 14 8 2 2" xfId="37520"/>
    <cellStyle name="Comma 14 8 2 3" xfId="37521"/>
    <cellStyle name="Comma 14 8 3" xfId="37522"/>
    <cellStyle name="Comma 14 8 3 2" xfId="37523"/>
    <cellStyle name="Comma 14 8 3 3" xfId="37524"/>
    <cellStyle name="Comma 14 8 4" xfId="37525"/>
    <cellStyle name="Comma 14 8 4 2" xfId="37526"/>
    <cellStyle name="Comma 14 8 5" xfId="37527"/>
    <cellStyle name="Comma 14 8 6" xfId="37528"/>
    <cellStyle name="Comma 14 9" xfId="37529"/>
    <cellStyle name="Comma 14 9 2" xfId="37530"/>
    <cellStyle name="Comma 14 9 2 2" xfId="37531"/>
    <cellStyle name="Comma 14 9 2 3" xfId="37532"/>
    <cellStyle name="Comma 14 9 3" xfId="37533"/>
    <cellStyle name="Comma 14 9 3 2" xfId="37534"/>
    <cellStyle name="Comma 14 9 3 3" xfId="37535"/>
    <cellStyle name="Comma 14 9 4" xfId="37536"/>
    <cellStyle name="Comma 14 9 4 2" xfId="37537"/>
    <cellStyle name="Comma 14 9 5" xfId="37538"/>
    <cellStyle name="Comma 14 9 6" xfId="37539"/>
    <cellStyle name="Comma 15" xfId="3242"/>
    <cellStyle name="Comma 15 10" xfId="37540"/>
    <cellStyle name="Comma 15 10 2" xfId="37541"/>
    <cellStyle name="Comma 15 10 2 2" xfId="37542"/>
    <cellStyle name="Comma 15 10 2 3" xfId="37543"/>
    <cellStyle name="Comma 15 10 3" xfId="37544"/>
    <cellStyle name="Comma 15 10 3 2" xfId="37545"/>
    <cellStyle name="Comma 15 10 4" xfId="37546"/>
    <cellStyle name="Comma 15 10 5" xfId="37547"/>
    <cellStyle name="Comma 15 11" xfId="37548"/>
    <cellStyle name="Comma 15 11 2" xfId="37549"/>
    <cellStyle name="Comma 15 11 3" xfId="37550"/>
    <cellStyle name="Comma 15 12" xfId="37551"/>
    <cellStyle name="Comma 15 12 2" xfId="37552"/>
    <cellStyle name="Comma 15 12 3" xfId="37553"/>
    <cellStyle name="Comma 15 13" xfId="37554"/>
    <cellStyle name="Comma 15 13 2" xfId="37555"/>
    <cellStyle name="Comma 15 14" xfId="37556"/>
    <cellStyle name="Comma 15 15" xfId="37557"/>
    <cellStyle name="Comma 15 16" xfId="37558"/>
    <cellStyle name="Comma 15 2" xfId="8228"/>
    <cellStyle name="Comma 15 2 10" xfId="37559"/>
    <cellStyle name="Comma 15 2 10 2" xfId="37560"/>
    <cellStyle name="Comma 15 2 10 3" xfId="37561"/>
    <cellStyle name="Comma 15 2 11" xfId="37562"/>
    <cellStyle name="Comma 15 2 11 2" xfId="37563"/>
    <cellStyle name="Comma 15 2 11 3" xfId="37564"/>
    <cellStyle name="Comma 15 2 12" xfId="37565"/>
    <cellStyle name="Comma 15 2 12 2" xfId="37566"/>
    <cellStyle name="Comma 15 2 13" xfId="37567"/>
    <cellStyle name="Comma 15 2 14" xfId="37568"/>
    <cellStyle name="Comma 15 2 15" xfId="37569"/>
    <cellStyle name="Comma 15 2 2" xfId="37570"/>
    <cellStyle name="Comma 15 2 2 10" xfId="37571"/>
    <cellStyle name="Comma 15 2 2 10 2" xfId="37572"/>
    <cellStyle name="Comma 15 2 2 10 3" xfId="37573"/>
    <cellStyle name="Comma 15 2 2 11" xfId="37574"/>
    <cellStyle name="Comma 15 2 2 11 2" xfId="37575"/>
    <cellStyle name="Comma 15 2 2 12" xfId="37576"/>
    <cellStyle name="Comma 15 2 2 13" xfId="37577"/>
    <cellStyle name="Comma 15 2 2 2" xfId="37578"/>
    <cellStyle name="Comma 15 2 2 2 10" xfId="37579"/>
    <cellStyle name="Comma 15 2 2 2 10 2" xfId="37580"/>
    <cellStyle name="Comma 15 2 2 2 11" xfId="37581"/>
    <cellStyle name="Comma 15 2 2 2 12" xfId="37582"/>
    <cellStyle name="Comma 15 2 2 2 2" xfId="37583"/>
    <cellStyle name="Comma 15 2 2 2 2 10" xfId="37584"/>
    <cellStyle name="Comma 15 2 2 2 2 2" xfId="37585"/>
    <cellStyle name="Comma 15 2 2 2 2 2 2" xfId="37586"/>
    <cellStyle name="Comma 15 2 2 2 2 2 2 2" xfId="37587"/>
    <cellStyle name="Comma 15 2 2 2 2 2 2 2 2" xfId="37588"/>
    <cellStyle name="Comma 15 2 2 2 2 2 2 2 3" xfId="37589"/>
    <cellStyle name="Comma 15 2 2 2 2 2 2 3" xfId="37590"/>
    <cellStyle name="Comma 15 2 2 2 2 2 2 3 2" xfId="37591"/>
    <cellStyle name="Comma 15 2 2 2 2 2 2 3 3" xfId="37592"/>
    <cellStyle name="Comma 15 2 2 2 2 2 2 4" xfId="37593"/>
    <cellStyle name="Comma 15 2 2 2 2 2 2 4 2" xfId="37594"/>
    <cellStyle name="Comma 15 2 2 2 2 2 2 5" xfId="37595"/>
    <cellStyle name="Comma 15 2 2 2 2 2 2 6" xfId="37596"/>
    <cellStyle name="Comma 15 2 2 2 2 2 3" xfId="37597"/>
    <cellStyle name="Comma 15 2 2 2 2 2 3 2" xfId="37598"/>
    <cellStyle name="Comma 15 2 2 2 2 2 3 2 2" xfId="37599"/>
    <cellStyle name="Comma 15 2 2 2 2 2 3 2 3" xfId="37600"/>
    <cellStyle name="Comma 15 2 2 2 2 2 3 3" xfId="37601"/>
    <cellStyle name="Comma 15 2 2 2 2 2 3 3 2" xfId="37602"/>
    <cellStyle name="Comma 15 2 2 2 2 2 3 3 3" xfId="37603"/>
    <cellStyle name="Comma 15 2 2 2 2 2 3 4" xfId="37604"/>
    <cellStyle name="Comma 15 2 2 2 2 2 3 4 2" xfId="37605"/>
    <cellStyle name="Comma 15 2 2 2 2 2 3 5" xfId="37606"/>
    <cellStyle name="Comma 15 2 2 2 2 2 3 6" xfId="37607"/>
    <cellStyle name="Comma 15 2 2 2 2 2 4" xfId="37608"/>
    <cellStyle name="Comma 15 2 2 2 2 2 4 2" xfId="37609"/>
    <cellStyle name="Comma 15 2 2 2 2 2 4 2 2" xfId="37610"/>
    <cellStyle name="Comma 15 2 2 2 2 2 4 2 3" xfId="37611"/>
    <cellStyle name="Comma 15 2 2 2 2 2 4 3" xfId="37612"/>
    <cellStyle name="Comma 15 2 2 2 2 2 4 3 2" xfId="37613"/>
    <cellStyle name="Comma 15 2 2 2 2 2 4 4" xfId="37614"/>
    <cellStyle name="Comma 15 2 2 2 2 2 4 5" xfId="37615"/>
    <cellStyle name="Comma 15 2 2 2 2 2 5" xfId="37616"/>
    <cellStyle name="Comma 15 2 2 2 2 2 5 2" xfId="37617"/>
    <cellStyle name="Comma 15 2 2 2 2 2 5 3" xfId="37618"/>
    <cellStyle name="Comma 15 2 2 2 2 2 6" xfId="37619"/>
    <cellStyle name="Comma 15 2 2 2 2 2 6 2" xfId="37620"/>
    <cellStyle name="Comma 15 2 2 2 2 2 6 3" xfId="37621"/>
    <cellStyle name="Comma 15 2 2 2 2 2 7" xfId="37622"/>
    <cellStyle name="Comma 15 2 2 2 2 2 7 2" xfId="37623"/>
    <cellStyle name="Comma 15 2 2 2 2 2 8" xfId="37624"/>
    <cellStyle name="Comma 15 2 2 2 2 2 9" xfId="37625"/>
    <cellStyle name="Comma 15 2 2 2 2 3" xfId="37626"/>
    <cellStyle name="Comma 15 2 2 2 2 3 2" xfId="37627"/>
    <cellStyle name="Comma 15 2 2 2 2 3 2 2" xfId="37628"/>
    <cellStyle name="Comma 15 2 2 2 2 3 2 3" xfId="37629"/>
    <cellStyle name="Comma 15 2 2 2 2 3 3" xfId="37630"/>
    <cellStyle name="Comma 15 2 2 2 2 3 3 2" xfId="37631"/>
    <cellStyle name="Comma 15 2 2 2 2 3 3 3" xfId="37632"/>
    <cellStyle name="Comma 15 2 2 2 2 3 4" xfId="37633"/>
    <cellStyle name="Comma 15 2 2 2 2 3 4 2" xfId="37634"/>
    <cellStyle name="Comma 15 2 2 2 2 3 5" xfId="37635"/>
    <cellStyle name="Comma 15 2 2 2 2 3 6" xfId="37636"/>
    <cellStyle name="Comma 15 2 2 2 2 4" xfId="37637"/>
    <cellStyle name="Comma 15 2 2 2 2 4 2" xfId="37638"/>
    <cellStyle name="Comma 15 2 2 2 2 4 2 2" xfId="37639"/>
    <cellStyle name="Comma 15 2 2 2 2 4 2 3" xfId="37640"/>
    <cellStyle name="Comma 15 2 2 2 2 4 3" xfId="37641"/>
    <cellStyle name="Comma 15 2 2 2 2 4 3 2" xfId="37642"/>
    <cellStyle name="Comma 15 2 2 2 2 4 3 3" xfId="37643"/>
    <cellStyle name="Comma 15 2 2 2 2 4 4" xfId="37644"/>
    <cellStyle name="Comma 15 2 2 2 2 4 4 2" xfId="37645"/>
    <cellStyle name="Comma 15 2 2 2 2 4 5" xfId="37646"/>
    <cellStyle name="Comma 15 2 2 2 2 4 6" xfId="37647"/>
    <cellStyle name="Comma 15 2 2 2 2 5" xfId="37648"/>
    <cellStyle name="Comma 15 2 2 2 2 5 2" xfId="37649"/>
    <cellStyle name="Comma 15 2 2 2 2 5 2 2" xfId="37650"/>
    <cellStyle name="Comma 15 2 2 2 2 5 2 3" xfId="37651"/>
    <cellStyle name="Comma 15 2 2 2 2 5 3" xfId="37652"/>
    <cellStyle name="Comma 15 2 2 2 2 5 3 2" xfId="37653"/>
    <cellStyle name="Comma 15 2 2 2 2 5 4" xfId="37654"/>
    <cellStyle name="Comma 15 2 2 2 2 5 5" xfId="37655"/>
    <cellStyle name="Comma 15 2 2 2 2 6" xfId="37656"/>
    <cellStyle name="Comma 15 2 2 2 2 6 2" xfId="37657"/>
    <cellStyle name="Comma 15 2 2 2 2 6 3" xfId="37658"/>
    <cellStyle name="Comma 15 2 2 2 2 7" xfId="37659"/>
    <cellStyle name="Comma 15 2 2 2 2 7 2" xfId="37660"/>
    <cellStyle name="Comma 15 2 2 2 2 7 3" xfId="37661"/>
    <cellStyle name="Comma 15 2 2 2 2 8" xfId="37662"/>
    <cellStyle name="Comma 15 2 2 2 2 8 2" xfId="37663"/>
    <cellStyle name="Comma 15 2 2 2 2 9" xfId="37664"/>
    <cellStyle name="Comma 15 2 2 2 3" xfId="37665"/>
    <cellStyle name="Comma 15 2 2 2 3 2" xfId="37666"/>
    <cellStyle name="Comma 15 2 2 2 3 2 2" xfId="37667"/>
    <cellStyle name="Comma 15 2 2 2 3 2 2 2" xfId="37668"/>
    <cellStyle name="Comma 15 2 2 2 3 2 2 3" xfId="37669"/>
    <cellStyle name="Comma 15 2 2 2 3 2 3" xfId="37670"/>
    <cellStyle name="Comma 15 2 2 2 3 2 3 2" xfId="37671"/>
    <cellStyle name="Comma 15 2 2 2 3 2 3 3" xfId="37672"/>
    <cellStyle name="Comma 15 2 2 2 3 2 4" xfId="37673"/>
    <cellStyle name="Comma 15 2 2 2 3 2 4 2" xfId="37674"/>
    <cellStyle name="Comma 15 2 2 2 3 2 5" xfId="37675"/>
    <cellStyle name="Comma 15 2 2 2 3 2 6" xfId="37676"/>
    <cellStyle name="Comma 15 2 2 2 3 3" xfId="37677"/>
    <cellStyle name="Comma 15 2 2 2 3 3 2" xfId="37678"/>
    <cellStyle name="Comma 15 2 2 2 3 3 2 2" xfId="37679"/>
    <cellStyle name="Comma 15 2 2 2 3 3 2 3" xfId="37680"/>
    <cellStyle name="Comma 15 2 2 2 3 3 3" xfId="37681"/>
    <cellStyle name="Comma 15 2 2 2 3 3 3 2" xfId="37682"/>
    <cellStyle name="Comma 15 2 2 2 3 3 3 3" xfId="37683"/>
    <cellStyle name="Comma 15 2 2 2 3 3 4" xfId="37684"/>
    <cellStyle name="Comma 15 2 2 2 3 3 4 2" xfId="37685"/>
    <cellStyle name="Comma 15 2 2 2 3 3 5" xfId="37686"/>
    <cellStyle name="Comma 15 2 2 2 3 3 6" xfId="37687"/>
    <cellStyle name="Comma 15 2 2 2 3 4" xfId="37688"/>
    <cellStyle name="Comma 15 2 2 2 3 4 2" xfId="37689"/>
    <cellStyle name="Comma 15 2 2 2 3 4 2 2" xfId="37690"/>
    <cellStyle name="Comma 15 2 2 2 3 4 2 3" xfId="37691"/>
    <cellStyle name="Comma 15 2 2 2 3 4 3" xfId="37692"/>
    <cellStyle name="Comma 15 2 2 2 3 4 3 2" xfId="37693"/>
    <cellStyle name="Comma 15 2 2 2 3 4 4" xfId="37694"/>
    <cellStyle name="Comma 15 2 2 2 3 4 5" xfId="37695"/>
    <cellStyle name="Comma 15 2 2 2 3 5" xfId="37696"/>
    <cellStyle name="Comma 15 2 2 2 3 5 2" xfId="37697"/>
    <cellStyle name="Comma 15 2 2 2 3 5 3" xfId="37698"/>
    <cellStyle name="Comma 15 2 2 2 3 6" xfId="37699"/>
    <cellStyle name="Comma 15 2 2 2 3 6 2" xfId="37700"/>
    <cellStyle name="Comma 15 2 2 2 3 6 3" xfId="37701"/>
    <cellStyle name="Comma 15 2 2 2 3 7" xfId="37702"/>
    <cellStyle name="Comma 15 2 2 2 3 7 2" xfId="37703"/>
    <cellStyle name="Comma 15 2 2 2 3 8" xfId="37704"/>
    <cellStyle name="Comma 15 2 2 2 3 9" xfId="37705"/>
    <cellStyle name="Comma 15 2 2 2 4" xfId="37706"/>
    <cellStyle name="Comma 15 2 2 2 4 2" xfId="37707"/>
    <cellStyle name="Comma 15 2 2 2 4 2 2" xfId="37708"/>
    <cellStyle name="Comma 15 2 2 2 4 2 2 2" xfId="37709"/>
    <cellStyle name="Comma 15 2 2 2 4 2 2 3" xfId="37710"/>
    <cellStyle name="Comma 15 2 2 2 4 2 3" xfId="37711"/>
    <cellStyle name="Comma 15 2 2 2 4 2 3 2" xfId="37712"/>
    <cellStyle name="Comma 15 2 2 2 4 2 3 3" xfId="37713"/>
    <cellStyle name="Comma 15 2 2 2 4 2 4" xfId="37714"/>
    <cellStyle name="Comma 15 2 2 2 4 2 4 2" xfId="37715"/>
    <cellStyle name="Comma 15 2 2 2 4 2 5" xfId="37716"/>
    <cellStyle name="Comma 15 2 2 2 4 2 6" xfId="37717"/>
    <cellStyle name="Comma 15 2 2 2 4 3" xfId="37718"/>
    <cellStyle name="Comma 15 2 2 2 4 3 2" xfId="37719"/>
    <cellStyle name="Comma 15 2 2 2 4 3 2 2" xfId="37720"/>
    <cellStyle name="Comma 15 2 2 2 4 3 2 3" xfId="37721"/>
    <cellStyle name="Comma 15 2 2 2 4 3 3" xfId="37722"/>
    <cellStyle name="Comma 15 2 2 2 4 3 3 2" xfId="37723"/>
    <cellStyle name="Comma 15 2 2 2 4 3 3 3" xfId="37724"/>
    <cellStyle name="Comma 15 2 2 2 4 3 4" xfId="37725"/>
    <cellStyle name="Comma 15 2 2 2 4 3 4 2" xfId="37726"/>
    <cellStyle name="Comma 15 2 2 2 4 3 5" xfId="37727"/>
    <cellStyle name="Comma 15 2 2 2 4 3 6" xfId="37728"/>
    <cellStyle name="Comma 15 2 2 2 4 4" xfId="37729"/>
    <cellStyle name="Comma 15 2 2 2 4 4 2" xfId="37730"/>
    <cellStyle name="Comma 15 2 2 2 4 4 2 2" xfId="37731"/>
    <cellStyle name="Comma 15 2 2 2 4 4 2 3" xfId="37732"/>
    <cellStyle name="Comma 15 2 2 2 4 4 3" xfId="37733"/>
    <cellStyle name="Comma 15 2 2 2 4 4 3 2" xfId="37734"/>
    <cellStyle name="Comma 15 2 2 2 4 4 4" xfId="37735"/>
    <cellStyle name="Comma 15 2 2 2 4 4 5" xfId="37736"/>
    <cellStyle name="Comma 15 2 2 2 4 5" xfId="37737"/>
    <cellStyle name="Comma 15 2 2 2 4 5 2" xfId="37738"/>
    <cellStyle name="Comma 15 2 2 2 4 5 3" xfId="37739"/>
    <cellStyle name="Comma 15 2 2 2 4 6" xfId="37740"/>
    <cellStyle name="Comma 15 2 2 2 4 6 2" xfId="37741"/>
    <cellStyle name="Comma 15 2 2 2 4 6 3" xfId="37742"/>
    <cellStyle name="Comma 15 2 2 2 4 7" xfId="37743"/>
    <cellStyle name="Comma 15 2 2 2 4 7 2" xfId="37744"/>
    <cellStyle name="Comma 15 2 2 2 4 8" xfId="37745"/>
    <cellStyle name="Comma 15 2 2 2 4 9" xfId="37746"/>
    <cellStyle name="Comma 15 2 2 2 5" xfId="37747"/>
    <cellStyle name="Comma 15 2 2 2 5 2" xfId="37748"/>
    <cellStyle name="Comma 15 2 2 2 5 2 2" xfId="37749"/>
    <cellStyle name="Comma 15 2 2 2 5 2 3" xfId="37750"/>
    <cellStyle name="Comma 15 2 2 2 5 3" xfId="37751"/>
    <cellStyle name="Comma 15 2 2 2 5 3 2" xfId="37752"/>
    <cellStyle name="Comma 15 2 2 2 5 3 3" xfId="37753"/>
    <cellStyle name="Comma 15 2 2 2 5 4" xfId="37754"/>
    <cellStyle name="Comma 15 2 2 2 5 4 2" xfId="37755"/>
    <cellStyle name="Comma 15 2 2 2 5 5" xfId="37756"/>
    <cellStyle name="Comma 15 2 2 2 5 6" xfId="37757"/>
    <cellStyle name="Comma 15 2 2 2 6" xfId="37758"/>
    <cellStyle name="Comma 15 2 2 2 6 2" xfId="37759"/>
    <cellStyle name="Comma 15 2 2 2 6 2 2" xfId="37760"/>
    <cellStyle name="Comma 15 2 2 2 6 2 3" xfId="37761"/>
    <cellStyle name="Comma 15 2 2 2 6 3" xfId="37762"/>
    <cellStyle name="Comma 15 2 2 2 6 3 2" xfId="37763"/>
    <cellStyle name="Comma 15 2 2 2 6 3 3" xfId="37764"/>
    <cellStyle name="Comma 15 2 2 2 6 4" xfId="37765"/>
    <cellStyle name="Comma 15 2 2 2 6 4 2" xfId="37766"/>
    <cellStyle name="Comma 15 2 2 2 6 5" xfId="37767"/>
    <cellStyle name="Comma 15 2 2 2 6 6" xfId="37768"/>
    <cellStyle name="Comma 15 2 2 2 7" xfId="37769"/>
    <cellStyle name="Comma 15 2 2 2 7 2" xfId="37770"/>
    <cellStyle name="Comma 15 2 2 2 7 2 2" xfId="37771"/>
    <cellStyle name="Comma 15 2 2 2 7 2 3" xfId="37772"/>
    <cellStyle name="Comma 15 2 2 2 7 3" xfId="37773"/>
    <cellStyle name="Comma 15 2 2 2 7 3 2" xfId="37774"/>
    <cellStyle name="Comma 15 2 2 2 7 4" xfId="37775"/>
    <cellStyle name="Comma 15 2 2 2 7 5" xfId="37776"/>
    <cellStyle name="Comma 15 2 2 2 8" xfId="37777"/>
    <cellStyle name="Comma 15 2 2 2 8 2" xfId="37778"/>
    <cellStyle name="Comma 15 2 2 2 8 3" xfId="37779"/>
    <cellStyle name="Comma 15 2 2 2 9" xfId="37780"/>
    <cellStyle name="Comma 15 2 2 2 9 2" xfId="37781"/>
    <cellStyle name="Comma 15 2 2 2 9 3" xfId="37782"/>
    <cellStyle name="Comma 15 2 2 3" xfId="37783"/>
    <cellStyle name="Comma 15 2 2 3 10" xfId="37784"/>
    <cellStyle name="Comma 15 2 2 3 2" xfId="37785"/>
    <cellStyle name="Comma 15 2 2 3 2 2" xfId="37786"/>
    <cellStyle name="Comma 15 2 2 3 2 2 2" xfId="37787"/>
    <cellStyle name="Comma 15 2 2 3 2 2 2 2" xfId="37788"/>
    <cellStyle name="Comma 15 2 2 3 2 2 2 3" xfId="37789"/>
    <cellStyle name="Comma 15 2 2 3 2 2 3" xfId="37790"/>
    <cellStyle name="Comma 15 2 2 3 2 2 3 2" xfId="37791"/>
    <cellStyle name="Comma 15 2 2 3 2 2 3 3" xfId="37792"/>
    <cellStyle name="Comma 15 2 2 3 2 2 4" xfId="37793"/>
    <cellStyle name="Comma 15 2 2 3 2 2 4 2" xfId="37794"/>
    <cellStyle name="Comma 15 2 2 3 2 2 5" xfId="37795"/>
    <cellStyle name="Comma 15 2 2 3 2 2 6" xfId="37796"/>
    <cellStyle name="Comma 15 2 2 3 2 3" xfId="37797"/>
    <cellStyle name="Comma 15 2 2 3 2 3 2" xfId="37798"/>
    <cellStyle name="Comma 15 2 2 3 2 3 2 2" xfId="37799"/>
    <cellStyle name="Comma 15 2 2 3 2 3 2 3" xfId="37800"/>
    <cellStyle name="Comma 15 2 2 3 2 3 3" xfId="37801"/>
    <cellStyle name="Comma 15 2 2 3 2 3 3 2" xfId="37802"/>
    <cellStyle name="Comma 15 2 2 3 2 3 3 3" xfId="37803"/>
    <cellStyle name="Comma 15 2 2 3 2 3 4" xfId="37804"/>
    <cellStyle name="Comma 15 2 2 3 2 3 4 2" xfId="37805"/>
    <cellStyle name="Comma 15 2 2 3 2 3 5" xfId="37806"/>
    <cellStyle name="Comma 15 2 2 3 2 3 6" xfId="37807"/>
    <cellStyle name="Comma 15 2 2 3 2 4" xfId="37808"/>
    <cellStyle name="Comma 15 2 2 3 2 4 2" xfId="37809"/>
    <cellStyle name="Comma 15 2 2 3 2 4 2 2" xfId="37810"/>
    <cellStyle name="Comma 15 2 2 3 2 4 2 3" xfId="37811"/>
    <cellStyle name="Comma 15 2 2 3 2 4 3" xfId="37812"/>
    <cellStyle name="Comma 15 2 2 3 2 4 3 2" xfId="37813"/>
    <cellStyle name="Comma 15 2 2 3 2 4 4" xfId="37814"/>
    <cellStyle name="Comma 15 2 2 3 2 4 5" xfId="37815"/>
    <cellStyle name="Comma 15 2 2 3 2 5" xfId="37816"/>
    <cellStyle name="Comma 15 2 2 3 2 5 2" xfId="37817"/>
    <cellStyle name="Comma 15 2 2 3 2 5 3" xfId="37818"/>
    <cellStyle name="Comma 15 2 2 3 2 6" xfId="37819"/>
    <cellStyle name="Comma 15 2 2 3 2 6 2" xfId="37820"/>
    <cellStyle name="Comma 15 2 2 3 2 6 3" xfId="37821"/>
    <cellStyle name="Comma 15 2 2 3 2 7" xfId="37822"/>
    <cellStyle name="Comma 15 2 2 3 2 7 2" xfId="37823"/>
    <cellStyle name="Comma 15 2 2 3 2 8" xfId="37824"/>
    <cellStyle name="Comma 15 2 2 3 2 9" xfId="37825"/>
    <cellStyle name="Comma 15 2 2 3 3" xfId="37826"/>
    <cellStyle name="Comma 15 2 2 3 3 2" xfId="37827"/>
    <cellStyle name="Comma 15 2 2 3 3 2 2" xfId="37828"/>
    <cellStyle name="Comma 15 2 2 3 3 2 3" xfId="37829"/>
    <cellStyle name="Comma 15 2 2 3 3 3" xfId="37830"/>
    <cellStyle name="Comma 15 2 2 3 3 3 2" xfId="37831"/>
    <cellStyle name="Comma 15 2 2 3 3 3 3" xfId="37832"/>
    <cellStyle name="Comma 15 2 2 3 3 4" xfId="37833"/>
    <cellStyle name="Comma 15 2 2 3 3 4 2" xfId="37834"/>
    <cellStyle name="Comma 15 2 2 3 3 5" xfId="37835"/>
    <cellStyle name="Comma 15 2 2 3 3 6" xfId="37836"/>
    <cellStyle name="Comma 15 2 2 3 4" xfId="37837"/>
    <cellStyle name="Comma 15 2 2 3 4 2" xfId="37838"/>
    <cellStyle name="Comma 15 2 2 3 4 2 2" xfId="37839"/>
    <cellStyle name="Comma 15 2 2 3 4 2 3" xfId="37840"/>
    <cellStyle name="Comma 15 2 2 3 4 3" xfId="37841"/>
    <cellStyle name="Comma 15 2 2 3 4 3 2" xfId="37842"/>
    <cellStyle name="Comma 15 2 2 3 4 3 3" xfId="37843"/>
    <cellStyle name="Comma 15 2 2 3 4 4" xfId="37844"/>
    <cellStyle name="Comma 15 2 2 3 4 4 2" xfId="37845"/>
    <cellStyle name="Comma 15 2 2 3 4 5" xfId="37846"/>
    <cellStyle name="Comma 15 2 2 3 4 6" xfId="37847"/>
    <cellStyle name="Comma 15 2 2 3 5" xfId="37848"/>
    <cellStyle name="Comma 15 2 2 3 5 2" xfId="37849"/>
    <cellStyle name="Comma 15 2 2 3 5 2 2" xfId="37850"/>
    <cellStyle name="Comma 15 2 2 3 5 2 3" xfId="37851"/>
    <cellStyle name="Comma 15 2 2 3 5 3" xfId="37852"/>
    <cellStyle name="Comma 15 2 2 3 5 3 2" xfId="37853"/>
    <cellStyle name="Comma 15 2 2 3 5 4" xfId="37854"/>
    <cellStyle name="Comma 15 2 2 3 5 5" xfId="37855"/>
    <cellStyle name="Comma 15 2 2 3 6" xfId="37856"/>
    <cellStyle name="Comma 15 2 2 3 6 2" xfId="37857"/>
    <cellStyle name="Comma 15 2 2 3 6 3" xfId="37858"/>
    <cellStyle name="Comma 15 2 2 3 7" xfId="37859"/>
    <cellStyle name="Comma 15 2 2 3 7 2" xfId="37860"/>
    <cellStyle name="Comma 15 2 2 3 7 3" xfId="37861"/>
    <cellStyle name="Comma 15 2 2 3 8" xfId="37862"/>
    <cellStyle name="Comma 15 2 2 3 8 2" xfId="37863"/>
    <cellStyle name="Comma 15 2 2 3 9" xfId="37864"/>
    <cellStyle name="Comma 15 2 2 4" xfId="37865"/>
    <cellStyle name="Comma 15 2 2 4 2" xfId="37866"/>
    <cellStyle name="Comma 15 2 2 4 2 2" xfId="37867"/>
    <cellStyle name="Comma 15 2 2 4 2 2 2" xfId="37868"/>
    <cellStyle name="Comma 15 2 2 4 2 2 3" xfId="37869"/>
    <cellStyle name="Comma 15 2 2 4 2 3" xfId="37870"/>
    <cellStyle name="Comma 15 2 2 4 2 3 2" xfId="37871"/>
    <cellStyle name="Comma 15 2 2 4 2 3 3" xfId="37872"/>
    <cellStyle name="Comma 15 2 2 4 2 4" xfId="37873"/>
    <cellStyle name="Comma 15 2 2 4 2 4 2" xfId="37874"/>
    <cellStyle name="Comma 15 2 2 4 2 5" xfId="37875"/>
    <cellStyle name="Comma 15 2 2 4 2 6" xfId="37876"/>
    <cellStyle name="Comma 15 2 2 4 3" xfId="37877"/>
    <cellStyle name="Comma 15 2 2 4 3 2" xfId="37878"/>
    <cellStyle name="Comma 15 2 2 4 3 2 2" xfId="37879"/>
    <cellStyle name="Comma 15 2 2 4 3 2 3" xfId="37880"/>
    <cellStyle name="Comma 15 2 2 4 3 3" xfId="37881"/>
    <cellStyle name="Comma 15 2 2 4 3 3 2" xfId="37882"/>
    <cellStyle name="Comma 15 2 2 4 3 3 3" xfId="37883"/>
    <cellStyle name="Comma 15 2 2 4 3 4" xfId="37884"/>
    <cellStyle name="Comma 15 2 2 4 3 4 2" xfId="37885"/>
    <cellStyle name="Comma 15 2 2 4 3 5" xfId="37886"/>
    <cellStyle name="Comma 15 2 2 4 3 6" xfId="37887"/>
    <cellStyle name="Comma 15 2 2 4 4" xfId="37888"/>
    <cellStyle name="Comma 15 2 2 4 4 2" xfId="37889"/>
    <cellStyle name="Comma 15 2 2 4 4 2 2" xfId="37890"/>
    <cellStyle name="Comma 15 2 2 4 4 2 3" xfId="37891"/>
    <cellStyle name="Comma 15 2 2 4 4 3" xfId="37892"/>
    <cellStyle name="Comma 15 2 2 4 4 3 2" xfId="37893"/>
    <cellStyle name="Comma 15 2 2 4 4 4" xfId="37894"/>
    <cellStyle name="Comma 15 2 2 4 4 5" xfId="37895"/>
    <cellStyle name="Comma 15 2 2 4 5" xfId="37896"/>
    <cellStyle name="Comma 15 2 2 4 5 2" xfId="37897"/>
    <cellStyle name="Comma 15 2 2 4 5 3" xfId="37898"/>
    <cellStyle name="Comma 15 2 2 4 6" xfId="37899"/>
    <cellStyle name="Comma 15 2 2 4 6 2" xfId="37900"/>
    <cellStyle name="Comma 15 2 2 4 6 3" xfId="37901"/>
    <cellStyle name="Comma 15 2 2 4 7" xfId="37902"/>
    <cellStyle name="Comma 15 2 2 4 7 2" xfId="37903"/>
    <cellStyle name="Comma 15 2 2 4 8" xfId="37904"/>
    <cellStyle name="Comma 15 2 2 4 9" xfId="37905"/>
    <cellStyle name="Comma 15 2 2 5" xfId="37906"/>
    <cellStyle name="Comma 15 2 2 5 2" xfId="37907"/>
    <cellStyle name="Comma 15 2 2 5 2 2" xfId="37908"/>
    <cellStyle name="Comma 15 2 2 5 2 2 2" xfId="37909"/>
    <cellStyle name="Comma 15 2 2 5 2 2 3" xfId="37910"/>
    <cellStyle name="Comma 15 2 2 5 2 3" xfId="37911"/>
    <cellStyle name="Comma 15 2 2 5 2 3 2" xfId="37912"/>
    <cellStyle name="Comma 15 2 2 5 2 3 3" xfId="37913"/>
    <cellStyle name="Comma 15 2 2 5 2 4" xfId="37914"/>
    <cellStyle name="Comma 15 2 2 5 2 4 2" xfId="37915"/>
    <cellStyle name="Comma 15 2 2 5 2 5" xfId="37916"/>
    <cellStyle name="Comma 15 2 2 5 2 6" xfId="37917"/>
    <cellStyle name="Comma 15 2 2 5 3" xfId="37918"/>
    <cellStyle name="Comma 15 2 2 5 3 2" xfId="37919"/>
    <cellStyle name="Comma 15 2 2 5 3 2 2" xfId="37920"/>
    <cellStyle name="Comma 15 2 2 5 3 2 3" xfId="37921"/>
    <cellStyle name="Comma 15 2 2 5 3 3" xfId="37922"/>
    <cellStyle name="Comma 15 2 2 5 3 3 2" xfId="37923"/>
    <cellStyle name="Comma 15 2 2 5 3 3 3" xfId="37924"/>
    <cellStyle name="Comma 15 2 2 5 3 4" xfId="37925"/>
    <cellStyle name="Comma 15 2 2 5 3 4 2" xfId="37926"/>
    <cellStyle name="Comma 15 2 2 5 3 5" xfId="37927"/>
    <cellStyle name="Comma 15 2 2 5 3 6" xfId="37928"/>
    <cellStyle name="Comma 15 2 2 5 4" xfId="37929"/>
    <cellStyle name="Comma 15 2 2 5 4 2" xfId="37930"/>
    <cellStyle name="Comma 15 2 2 5 4 2 2" xfId="37931"/>
    <cellStyle name="Comma 15 2 2 5 4 2 3" xfId="37932"/>
    <cellStyle name="Comma 15 2 2 5 4 3" xfId="37933"/>
    <cellStyle name="Comma 15 2 2 5 4 3 2" xfId="37934"/>
    <cellStyle name="Comma 15 2 2 5 4 4" xfId="37935"/>
    <cellStyle name="Comma 15 2 2 5 4 5" xfId="37936"/>
    <cellStyle name="Comma 15 2 2 5 5" xfId="37937"/>
    <cellStyle name="Comma 15 2 2 5 5 2" xfId="37938"/>
    <cellStyle name="Comma 15 2 2 5 5 3" xfId="37939"/>
    <cellStyle name="Comma 15 2 2 5 6" xfId="37940"/>
    <cellStyle name="Comma 15 2 2 5 6 2" xfId="37941"/>
    <cellStyle name="Comma 15 2 2 5 6 3" xfId="37942"/>
    <cellStyle name="Comma 15 2 2 5 7" xfId="37943"/>
    <cellStyle name="Comma 15 2 2 5 7 2" xfId="37944"/>
    <cellStyle name="Comma 15 2 2 5 8" xfId="37945"/>
    <cellStyle name="Comma 15 2 2 5 9" xfId="37946"/>
    <cellStyle name="Comma 15 2 2 6" xfId="37947"/>
    <cellStyle name="Comma 15 2 2 6 2" xfId="37948"/>
    <cellStyle name="Comma 15 2 2 6 2 2" xfId="37949"/>
    <cellStyle name="Comma 15 2 2 6 2 3" xfId="37950"/>
    <cellStyle name="Comma 15 2 2 6 3" xfId="37951"/>
    <cellStyle name="Comma 15 2 2 6 3 2" xfId="37952"/>
    <cellStyle name="Comma 15 2 2 6 3 3" xfId="37953"/>
    <cellStyle name="Comma 15 2 2 6 4" xfId="37954"/>
    <cellStyle name="Comma 15 2 2 6 4 2" xfId="37955"/>
    <cellStyle name="Comma 15 2 2 6 5" xfId="37956"/>
    <cellStyle name="Comma 15 2 2 6 6" xfId="37957"/>
    <cellStyle name="Comma 15 2 2 7" xfId="37958"/>
    <cellStyle name="Comma 15 2 2 7 2" xfId="37959"/>
    <cellStyle name="Comma 15 2 2 7 2 2" xfId="37960"/>
    <cellStyle name="Comma 15 2 2 7 2 3" xfId="37961"/>
    <cellStyle name="Comma 15 2 2 7 3" xfId="37962"/>
    <cellStyle name="Comma 15 2 2 7 3 2" xfId="37963"/>
    <cellStyle name="Comma 15 2 2 7 3 3" xfId="37964"/>
    <cellStyle name="Comma 15 2 2 7 4" xfId="37965"/>
    <cellStyle name="Comma 15 2 2 7 4 2" xfId="37966"/>
    <cellStyle name="Comma 15 2 2 7 5" xfId="37967"/>
    <cellStyle name="Comma 15 2 2 7 6" xfId="37968"/>
    <cellStyle name="Comma 15 2 2 8" xfId="37969"/>
    <cellStyle name="Comma 15 2 2 8 2" xfId="37970"/>
    <cellStyle name="Comma 15 2 2 8 2 2" xfId="37971"/>
    <cellStyle name="Comma 15 2 2 8 2 3" xfId="37972"/>
    <cellStyle name="Comma 15 2 2 8 3" xfId="37973"/>
    <cellStyle name="Comma 15 2 2 8 3 2" xfId="37974"/>
    <cellStyle name="Comma 15 2 2 8 4" xfId="37975"/>
    <cellStyle name="Comma 15 2 2 8 5" xfId="37976"/>
    <cellStyle name="Comma 15 2 2 9" xfId="37977"/>
    <cellStyle name="Comma 15 2 2 9 2" xfId="37978"/>
    <cellStyle name="Comma 15 2 2 9 3" xfId="37979"/>
    <cellStyle name="Comma 15 2 3" xfId="37980"/>
    <cellStyle name="Comma 15 2 3 10" xfId="37981"/>
    <cellStyle name="Comma 15 2 3 10 2" xfId="37982"/>
    <cellStyle name="Comma 15 2 3 11" xfId="37983"/>
    <cellStyle name="Comma 15 2 3 12" xfId="37984"/>
    <cellStyle name="Comma 15 2 3 2" xfId="37985"/>
    <cellStyle name="Comma 15 2 3 2 10" xfId="37986"/>
    <cellStyle name="Comma 15 2 3 2 2" xfId="37987"/>
    <cellStyle name="Comma 15 2 3 2 2 2" xfId="37988"/>
    <cellStyle name="Comma 15 2 3 2 2 2 2" xfId="37989"/>
    <cellStyle name="Comma 15 2 3 2 2 2 2 2" xfId="37990"/>
    <cellStyle name="Comma 15 2 3 2 2 2 2 3" xfId="37991"/>
    <cellStyle name="Comma 15 2 3 2 2 2 3" xfId="37992"/>
    <cellStyle name="Comma 15 2 3 2 2 2 3 2" xfId="37993"/>
    <cellStyle name="Comma 15 2 3 2 2 2 3 3" xfId="37994"/>
    <cellStyle name="Comma 15 2 3 2 2 2 4" xfId="37995"/>
    <cellStyle name="Comma 15 2 3 2 2 2 4 2" xfId="37996"/>
    <cellStyle name="Comma 15 2 3 2 2 2 5" xfId="37997"/>
    <cellStyle name="Comma 15 2 3 2 2 2 6" xfId="37998"/>
    <cellStyle name="Comma 15 2 3 2 2 3" xfId="37999"/>
    <cellStyle name="Comma 15 2 3 2 2 3 2" xfId="38000"/>
    <cellStyle name="Comma 15 2 3 2 2 3 2 2" xfId="38001"/>
    <cellStyle name="Comma 15 2 3 2 2 3 2 3" xfId="38002"/>
    <cellStyle name="Comma 15 2 3 2 2 3 3" xfId="38003"/>
    <cellStyle name="Comma 15 2 3 2 2 3 3 2" xfId="38004"/>
    <cellStyle name="Comma 15 2 3 2 2 3 3 3" xfId="38005"/>
    <cellStyle name="Comma 15 2 3 2 2 3 4" xfId="38006"/>
    <cellStyle name="Comma 15 2 3 2 2 3 4 2" xfId="38007"/>
    <cellStyle name="Comma 15 2 3 2 2 3 5" xfId="38008"/>
    <cellStyle name="Comma 15 2 3 2 2 3 6" xfId="38009"/>
    <cellStyle name="Comma 15 2 3 2 2 4" xfId="38010"/>
    <cellStyle name="Comma 15 2 3 2 2 4 2" xfId="38011"/>
    <cellStyle name="Comma 15 2 3 2 2 4 2 2" xfId="38012"/>
    <cellStyle name="Comma 15 2 3 2 2 4 2 3" xfId="38013"/>
    <cellStyle name="Comma 15 2 3 2 2 4 3" xfId="38014"/>
    <cellStyle name="Comma 15 2 3 2 2 4 3 2" xfId="38015"/>
    <cellStyle name="Comma 15 2 3 2 2 4 4" xfId="38016"/>
    <cellStyle name="Comma 15 2 3 2 2 4 5" xfId="38017"/>
    <cellStyle name="Comma 15 2 3 2 2 5" xfId="38018"/>
    <cellStyle name="Comma 15 2 3 2 2 5 2" xfId="38019"/>
    <cellStyle name="Comma 15 2 3 2 2 5 3" xfId="38020"/>
    <cellStyle name="Comma 15 2 3 2 2 6" xfId="38021"/>
    <cellStyle name="Comma 15 2 3 2 2 6 2" xfId="38022"/>
    <cellStyle name="Comma 15 2 3 2 2 6 3" xfId="38023"/>
    <cellStyle name="Comma 15 2 3 2 2 7" xfId="38024"/>
    <cellStyle name="Comma 15 2 3 2 2 7 2" xfId="38025"/>
    <cellStyle name="Comma 15 2 3 2 2 8" xfId="38026"/>
    <cellStyle name="Comma 15 2 3 2 2 9" xfId="38027"/>
    <cellStyle name="Comma 15 2 3 2 3" xfId="38028"/>
    <cellStyle name="Comma 15 2 3 2 3 2" xfId="38029"/>
    <cellStyle name="Comma 15 2 3 2 3 2 2" xfId="38030"/>
    <cellStyle name="Comma 15 2 3 2 3 2 3" xfId="38031"/>
    <cellStyle name="Comma 15 2 3 2 3 3" xfId="38032"/>
    <cellStyle name="Comma 15 2 3 2 3 3 2" xfId="38033"/>
    <cellStyle name="Comma 15 2 3 2 3 3 3" xfId="38034"/>
    <cellStyle name="Comma 15 2 3 2 3 4" xfId="38035"/>
    <cellStyle name="Comma 15 2 3 2 3 4 2" xfId="38036"/>
    <cellStyle name="Comma 15 2 3 2 3 5" xfId="38037"/>
    <cellStyle name="Comma 15 2 3 2 3 6" xfId="38038"/>
    <cellStyle name="Comma 15 2 3 2 4" xfId="38039"/>
    <cellStyle name="Comma 15 2 3 2 4 2" xfId="38040"/>
    <cellStyle name="Comma 15 2 3 2 4 2 2" xfId="38041"/>
    <cellStyle name="Comma 15 2 3 2 4 2 3" xfId="38042"/>
    <cellStyle name="Comma 15 2 3 2 4 3" xfId="38043"/>
    <cellStyle name="Comma 15 2 3 2 4 3 2" xfId="38044"/>
    <cellStyle name="Comma 15 2 3 2 4 3 3" xfId="38045"/>
    <cellStyle name="Comma 15 2 3 2 4 4" xfId="38046"/>
    <cellStyle name="Comma 15 2 3 2 4 4 2" xfId="38047"/>
    <cellStyle name="Comma 15 2 3 2 4 5" xfId="38048"/>
    <cellStyle name="Comma 15 2 3 2 4 6" xfId="38049"/>
    <cellStyle name="Comma 15 2 3 2 5" xfId="38050"/>
    <cellStyle name="Comma 15 2 3 2 5 2" xfId="38051"/>
    <cellStyle name="Comma 15 2 3 2 5 2 2" xfId="38052"/>
    <cellStyle name="Comma 15 2 3 2 5 2 3" xfId="38053"/>
    <cellStyle name="Comma 15 2 3 2 5 3" xfId="38054"/>
    <cellStyle name="Comma 15 2 3 2 5 3 2" xfId="38055"/>
    <cellStyle name="Comma 15 2 3 2 5 4" xfId="38056"/>
    <cellStyle name="Comma 15 2 3 2 5 5" xfId="38057"/>
    <cellStyle name="Comma 15 2 3 2 6" xfId="38058"/>
    <cellStyle name="Comma 15 2 3 2 6 2" xfId="38059"/>
    <cellStyle name="Comma 15 2 3 2 6 3" xfId="38060"/>
    <cellStyle name="Comma 15 2 3 2 7" xfId="38061"/>
    <cellStyle name="Comma 15 2 3 2 7 2" xfId="38062"/>
    <cellStyle name="Comma 15 2 3 2 7 3" xfId="38063"/>
    <cellStyle name="Comma 15 2 3 2 8" xfId="38064"/>
    <cellStyle name="Comma 15 2 3 2 8 2" xfId="38065"/>
    <cellStyle name="Comma 15 2 3 2 9" xfId="38066"/>
    <cellStyle name="Comma 15 2 3 3" xfId="38067"/>
    <cellStyle name="Comma 15 2 3 3 2" xfId="38068"/>
    <cellStyle name="Comma 15 2 3 3 2 2" xfId="38069"/>
    <cellStyle name="Comma 15 2 3 3 2 2 2" xfId="38070"/>
    <cellStyle name="Comma 15 2 3 3 2 2 3" xfId="38071"/>
    <cellStyle name="Comma 15 2 3 3 2 3" xfId="38072"/>
    <cellStyle name="Comma 15 2 3 3 2 3 2" xfId="38073"/>
    <cellStyle name="Comma 15 2 3 3 2 3 3" xfId="38074"/>
    <cellStyle name="Comma 15 2 3 3 2 4" xfId="38075"/>
    <cellStyle name="Comma 15 2 3 3 2 4 2" xfId="38076"/>
    <cellStyle name="Comma 15 2 3 3 2 5" xfId="38077"/>
    <cellStyle name="Comma 15 2 3 3 2 6" xfId="38078"/>
    <cellStyle name="Comma 15 2 3 3 3" xfId="38079"/>
    <cellStyle name="Comma 15 2 3 3 3 2" xfId="38080"/>
    <cellStyle name="Comma 15 2 3 3 3 2 2" xfId="38081"/>
    <cellStyle name="Comma 15 2 3 3 3 2 3" xfId="38082"/>
    <cellStyle name="Comma 15 2 3 3 3 3" xfId="38083"/>
    <cellStyle name="Comma 15 2 3 3 3 3 2" xfId="38084"/>
    <cellStyle name="Comma 15 2 3 3 3 3 3" xfId="38085"/>
    <cellStyle name="Comma 15 2 3 3 3 4" xfId="38086"/>
    <cellStyle name="Comma 15 2 3 3 3 4 2" xfId="38087"/>
    <cellStyle name="Comma 15 2 3 3 3 5" xfId="38088"/>
    <cellStyle name="Comma 15 2 3 3 3 6" xfId="38089"/>
    <cellStyle name="Comma 15 2 3 3 4" xfId="38090"/>
    <cellStyle name="Comma 15 2 3 3 4 2" xfId="38091"/>
    <cellStyle name="Comma 15 2 3 3 4 2 2" xfId="38092"/>
    <cellStyle name="Comma 15 2 3 3 4 2 3" xfId="38093"/>
    <cellStyle name="Comma 15 2 3 3 4 3" xfId="38094"/>
    <cellStyle name="Comma 15 2 3 3 4 3 2" xfId="38095"/>
    <cellStyle name="Comma 15 2 3 3 4 4" xfId="38096"/>
    <cellStyle name="Comma 15 2 3 3 4 5" xfId="38097"/>
    <cellStyle name="Comma 15 2 3 3 5" xfId="38098"/>
    <cellStyle name="Comma 15 2 3 3 5 2" xfId="38099"/>
    <cellStyle name="Comma 15 2 3 3 5 3" xfId="38100"/>
    <cellStyle name="Comma 15 2 3 3 6" xfId="38101"/>
    <cellStyle name="Comma 15 2 3 3 6 2" xfId="38102"/>
    <cellStyle name="Comma 15 2 3 3 6 3" xfId="38103"/>
    <cellStyle name="Comma 15 2 3 3 7" xfId="38104"/>
    <cellStyle name="Comma 15 2 3 3 7 2" xfId="38105"/>
    <cellStyle name="Comma 15 2 3 3 8" xfId="38106"/>
    <cellStyle name="Comma 15 2 3 3 9" xfId="38107"/>
    <cellStyle name="Comma 15 2 3 4" xfId="38108"/>
    <cellStyle name="Comma 15 2 3 4 2" xfId="38109"/>
    <cellStyle name="Comma 15 2 3 4 2 2" xfId="38110"/>
    <cellStyle name="Comma 15 2 3 4 2 2 2" xfId="38111"/>
    <cellStyle name="Comma 15 2 3 4 2 2 3" xfId="38112"/>
    <cellStyle name="Comma 15 2 3 4 2 3" xfId="38113"/>
    <cellStyle name="Comma 15 2 3 4 2 3 2" xfId="38114"/>
    <cellStyle name="Comma 15 2 3 4 2 3 3" xfId="38115"/>
    <cellStyle name="Comma 15 2 3 4 2 4" xfId="38116"/>
    <cellStyle name="Comma 15 2 3 4 2 4 2" xfId="38117"/>
    <cellStyle name="Comma 15 2 3 4 2 5" xfId="38118"/>
    <cellStyle name="Comma 15 2 3 4 2 6" xfId="38119"/>
    <cellStyle name="Comma 15 2 3 4 3" xfId="38120"/>
    <cellStyle name="Comma 15 2 3 4 3 2" xfId="38121"/>
    <cellStyle name="Comma 15 2 3 4 3 2 2" xfId="38122"/>
    <cellStyle name="Comma 15 2 3 4 3 2 3" xfId="38123"/>
    <cellStyle name="Comma 15 2 3 4 3 3" xfId="38124"/>
    <cellStyle name="Comma 15 2 3 4 3 3 2" xfId="38125"/>
    <cellStyle name="Comma 15 2 3 4 3 3 3" xfId="38126"/>
    <cellStyle name="Comma 15 2 3 4 3 4" xfId="38127"/>
    <cellStyle name="Comma 15 2 3 4 3 4 2" xfId="38128"/>
    <cellStyle name="Comma 15 2 3 4 3 5" xfId="38129"/>
    <cellStyle name="Comma 15 2 3 4 3 6" xfId="38130"/>
    <cellStyle name="Comma 15 2 3 4 4" xfId="38131"/>
    <cellStyle name="Comma 15 2 3 4 4 2" xfId="38132"/>
    <cellStyle name="Comma 15 2 3 4 4 2 2" xfId="38133"/>
    <cellStyle name="Comma 15 2 3 4 4 2 3" xfId="38134"/>
    <cellStyle name="Comma 15 2 3 4 4 3" xfId="38135"/>
    <cellStyle name="Comma 15 2 3 4 4 3 2" xfId="38136"/>
    <cellStyle name="Comma 15 2 3 4 4 4" xfId="38137"/>
    <cellStyle name="Comma 15 2 3 4 4 5" xfId="38138"/>
    <cellStyle name="Comma 15 2 3 4 5" xfId="38139"/>
    <cellStyle name="Comma 15 2 3 4 5 2" xfId="38140"/>
    <cellStyle name="Comma 15 2 3 4 5 3" xfId="38141"/>
    <cellStyle name="Comma 15 2 3 4 6" xfId="38142"/>
    <cellStyle name="Comma 15 2 3 4 6 2" xfId="38143"/>
    <cellStyle name="Comma 15 2 3 4 6 3" xfId="38144"/>
    <cellStyle name="Comma 15 2 3 4 7" xfId="38145"/>
    <cellStyle name="Comma 15 2 3 4 7 2" xfId="38146"/>
    <cellStyle name="Comma 15 2 3 4 8" xfId="38147"/>
    <cellStyle name="Comma 15 2 3 4 9" xfId="38148"/>
    <cellStyle name="Comma 15 2 3 5" xfId="38149"/>
    <cellStyle name="Comma 15 2 3 5 2" xfId="38150"/>
    <cellStyle name="Comma 15 2 3 5 2 2" xfId="38151"/>
    <cellStyle name="Comma 15 2 3 5 2 3" xfId="38152"/>
    <cellStyle name="Comma 15 2 3 5 3" xfId="38153"/>
    <cellStyle name="Comma 15 2 3 5 3 2" xfId="38154"/>
    <cellStyle name="Comma 15 2 3 5 3 3" xfId="38155"/>
    <cellStyle name="Comma 15 2 3 5 4" xfId="38156"/>
    <cellStyle name="Comma 15 2 3 5 4 2" xfId="38157"/>
    <cellStyle name="Comma 15 2 3 5 5" xfId="38158"/>
    <cellStyle name="Comma 15 2 3 5 6" xfId="38159"/>
    <cellStyle name="Comma 15 2 3 6" xfId="38160"/>
    <cellStyle name="Comma 15 2 3 6 2" xfId="38161"/>
    <cellStyle name="Comma 15 2 3 6 2 2" xfId="38162"/>
    <cellStyle name="Comma 15 2 3 6 2 3" xfId="38163"/>
    <cellStyle name="Comma 15 2 3 6 3" xfId="38164"/>
    <cellStyle name="Comma 15 2 3 6 3 2" xfId="38165"/>
    <cellStyle name="Comma 15 2 3 6 3 3" xfId="38166"/>
    <cellStyle name="Comma 15 2 3 6 4" xfId="38167"/>
    <cellStyle name="Comma 15 2 3 6 4 2" xfId="38168"/>
    <cellStyle name="Comma 15 2 3 6 5" xfId="38169"/>
    <cellStyle name="Comma 15 2 3 6 6" xfId="38170"/>
    <cellStyle name="Comma 15 2 3 7" xfId="38171"/>
    <cellStyle name="Comma 15 2 3 7 2" xfId="38172"/>
    <cellStyle name="Comma 15 2 3 7 2 2" xfId="38173"/>
    <cellStyle name="Comma 15 2 3 7 2 3" xfId="38174"/>
    <cellStyle name="Comma 15 2 3 7 3" xfId="38175"/>
    <cellStyle name="Comma 15 2 3 7 3 2" xfId="38176"/>
    <cellStyle name="Comma 15 2 3 7 4" xfId="38177"/>
    <cellStyle name="Comma 15 2 3 7 5" xfId="38178"/>
    <cellStyle name="Comma 15 2 3 8" xfId="38179"/>
    <cellStyle name="Comma 15 2 3 8 2" xfId="38180"/>
    <cellStyle name="Comma 15 2 3 8 3" xfId="38181"/>
    <cellStyle name="Comma 15 2 3 9" xfId="38182"/>
    <cellStyle name="Comma 15 2 3 9 2" xfId="38183"/>
    <cellStyle name="Comma 15 2 3 9 3" xfId="38184"/>
    <cellStyle name="Comma 15 2 4" xfId="38185"/>
    <cellStyle name="Comma 15 2 4 10" xfId="38186"/>
    <cellStyle name="Comma 15 2 4 2" xfId="38187"/>
    <cellStyle name="Comma 15 2 4 2 2" xfId="38188"/>
    <cellStyle name="Comma 15 2 4 2 2 2" xfId="38189"/>
    <cellStyle name="Comma 15 2 4 2 2 2 2" xfId="38190"/>
    <cellStyle name="Comma 15 2 4 2 2 2 3" xfId="38191"/>
    <cellStyle name="Comma 15 2 4 2 2 3" xfId="38192"/>
    <cellStyle name="Comma 15 2 4 2 2 3 2" xfId="38193"/>
    <cellStyle name="Comma 15 2 4 2 2 3 3" xfId="38194"/>
    <cellStyle name="Comma 15 2 4 2 2 4" xfId="38195"/>
    <cellStyle name="Comma 15 2 4 2 2 4 2" xfId="38196"/>
    <cellStyle name="Comma 15 2 4 2 2 5" xfId="38197"/>
    <cellStyle name="Comma 15 2 4 2 2 6" xfId="38198"/>
    <cellStyle name="Comma 15 2 4 2 3" xfId="38199"/>
    <cellStyle name="Comma 15 2 4 2 3 2" xfId="38200"/>
    <cellStyle name="Comma 15 2 4 2 3 2 2" xfId="38201"/>
    <cellStyle name="Comma 15 2 4 2 3 2 3" xfId="38202"/>
    <cellStyle name="Comma 15 2 4 2 3 3" xfId="38203"/>
    <cellStyle name="Comma 15 2 4 2 3 3 2" xfId="38204"/>
    <cellStyle name="Comma 15 2 4 2 3 3 3" xfId="38205"/>
    <cellStyle name="Comma 15 2 4 2 3 4" xfId="38206"/>
    <cellStyle name="Comma 15 2 4 2 3 4 2" xfId="38207"/>
    <cellStyle name="Comma 15 2 4 2 3 5" xfId="38208"/>
    <cellStyle name="Comma 15 2 4 2 3 6" xfId="38209"/>
    <cellStyle name="Comma 15 2 4 2 4" xfId="38210"/>
    <cellStyle name="Comma 15 2 4 2 4 2" xfId="38211"/>
    <cellStyle name="Comma 15 2 4 2 4 2 2" xfId="38212"/>
    <cellStyle name="Comma 15 2 4 2 4 2 3" xfId="38213"/>
    <cellStyle name="Comma 15 2 4 2 4 3" xfId="38214"/>
    <cellStyle name="Comma 15 2 4 2 4 3 2" xfId="38215"/>
    <cellStyle name="Comma 15 2 4 2 4 4" xfId="38216"/>
    <cellStyle name="Comma 15 2 4 2 4 5" xfId="38217"/>
    <cellStyle name="Comma 15 2 4 2 5" xfId="38218"/>
    <cellStyle name="Comma 15 2 4 2 5 2" xfId="38219"/>
    <cellStyle name="Comma 15 2 4 2 5 3" xfId="38220"/>
    <cellStyle name="Comma 15 2 4 2 6" xfId="38221"/>
    <cellStyle name="Comma 15 2 4 2 6 2" xfId="38222"/>
    <cellStyle name="Comma 15 2 4 2 6 3" xfId="38223"/>
    <cellStyle name="Comma 15 2 4 2 7" xfId="38224"/>
    <cellStyle name="Comma 15 2 4 2 7 2" xfId="38225"/>
    <cellStyle name="Comma 15 2 4 2 8" xfId="38226"/>
    <cellStyle name="Comma 15 2 4 2 9" xfId="38227"/>
    <cellStyle name="Comma 15 2 4 3" xfId="38228"/>
    <cellStyle name="Comma 15 2 4 3 2" xfId="38229"/>
    <cellStyle name="Comma 15 2 4 3 2 2" xfId="38230"/>
    <cellStyle name="Comma 15 2 4 3 2 3" xfId="38231"/>
    <cellStyle name="Comma 15 2 4 3 3" xfId="38232"/>
    <cellStyle name="Comma 15 2 4 3 3 2" xfId="38233"/>
    <cellStyle name="Comma 15 2 4 3 3 3" xfId="38234"/>
    <cellStyle name="Comma 15 2 4 3 4" xfId="38235"/>
    <cellStyle name="Comma 15 2 4 3 4 2" xfId="38236"/>
    <cellStyle name="Comma 15 2 4 3 5" xfId="38237"/>
    <cellStyle name="Comma 15 2 4 3 6" xfId="38238"/>
    <cellStyle name="Comma 15 2 4 4" xfId="38239"/>
    <cellStyle name="Comma 15 2 4 4 2" xfId="38240"/>
    <cellStyle name="Comma 15 2 4 4 2 2" xfId="38241"/>
    <cellStyle name="Comma 15 2 4 4 2 3" xfId="38242"/>
    <cellStyle name="Comma 15 2 4 4 3" xfId="38243"/>
    <cellStyle name="Comma 15 2 4 4 3 2" xfId="38244"/>
    <cellStyle name="Comma 15 2 4 4 3 3" xfId="38245"/>
    <cellStyle name="Comma 15 2 4 4 4" xfId="38246"/>
    <cellStyle name="Comma 15 2 4 4 4 2" xfId="38247"/>
    <cellStyle name="Comma 15 2 4 4 5" xfId="38248"/>
    <cellStyle name="Comma 15 2 4 4 6" xfId="38249"/>
    <cellStyle name="Comma 15 2 4 5" xfId="38250"/>
    <cellStyle name="Comma 15 2 4 5 2" xfId="38251"/>
    <cellStyle name="Comma 15 2 4 5 2 2" xfId="38252"/>
    <cellStyle name="Comma 15 2 4 5 2 3" xfId="38253"/>
    <cellStyle name="Comma 15 2 4 5 3" xfId="38254"/>
    <cellStyle name="Comma 15 2 4 5 3 2" xfId="38255"/>
    <cellStyle name="Comma 15 2 4 5 4" xfId="38256"/>
    <cellStyle name="Comma 15 2 4 5 5" xfId="38257"/>
    <cellStyle name="Comma 15 2 4 6" xfId="38258"/>
    <cellStyle name="Comma 15 2 4 6 2" xfId="38259"/>
    <cellStyle name="Comma 15 2 4 6 3" xfId="38260"/>
    <cellStyle name="Comma 15 2 4 7" xfId="38261"/>
    <cellStyle name="Comma 15 2 4 7 2" xfId="38262"/>
    <cellStyle name="Comma 15 2 4 7 3" xfId="38263"/>
    <cellStyle name="Comma 15 2 4 8" xfId="38264"/>
    <cellStyle name="Comma 15 2 4 8 2" xfId="38265"/>
    <cellStyle name="Comma 15 2 4 9" xfId="38266"/>
    <cellStyle name="Comma 15 2 5" xfId="38267"/>
    <cellStyle name="Comma 15 2 5 2" xfId="38268"/>
    <cellStyle name="Comma 15 2 5 2 2" xfId="38269"/>
    <cellStyle name="Comma 15 2 5 2 2 2" xfId="38270"/>
    <cellStyle name="Comma 15 2 5 2 2 3" xfId="38271"/>
    <cellStyle name="Comma 15 2 5 2 3" xfId="38272"/>
    <cellStyle name="Comma 15 2 5 2 3 2" xfId="38273"/>
    <cellStyle name="Comma 15 2 5 2 3 3" xfId="38274"/>
    <cellStyle name="Comma 15 2 5 2 4" xfId="38275"/>
    <cellStyle name="Comma 15 2 5 2 4 2" xfId="38276"/>
    <cellStyle name="Comma 15 2 5 2 5" xfId="38277"/>
    <cellStyle name="Comma 15 2 5 2 6" xfId="38278"/>
    <cellStyle name="Comma 15 2 5 3" xfId="38279"/>
    <cellStyle name="Comma 15 2 5 3 2" xfId="38280"/>
    <cellStyle name="Comma 15 2 5 3 2 2" xfId="38281"/>
    <cellStyle name="Comma 15 2 5 3 2 3" xfId="38282"/>
    <cellStyle name="Comma 15 2 5 3 3" xfId="38283"/>
    <cellStyle name="Comma 15 2 5 3 3 2" xfId="38284"/>
    <cellStyle name="Comma 15 2 5 3 3 3" xfId="38285"/>
    <cellStyle name="Comma 15 2 5 3 4" xfId="38286"/>
    <cellStyle name="Comma 15 2 5 3 4 2" xfId="38287"/>
    <cellStyle name="Comma 15 2 5 3 5" xfId="38288"/>
    <cellStyle name="Comma 15 2 5 3 6" xfId="38289"/>
    <cellStyle name="Comma 15 2 5 4" xfId="38290"/>
    <cellStyle name="Comma 15 2 5 4 2" xfId="38291"/>
    <cellStyle name="Comma 15 2 5 4 2 2" xfId="38292"/>
    <cellStyle name="Comma 15 2 5 4 2 3" xfId="38293"/>
    <cellStyle name="Comma 15 2 5 4 3" xfId="38294"/>
    <cellStyle name="Comma 15 2 5 4 3 2" xfId="38295"/>
    <cellStyle name="Comma 15 2 5 4 4" xfId="38296"/>
    <cellStyle name="Comma 15 2 5 4 5" xfId="38297"/>
    <cellStyle name="Comma 15 2 5 5" xfId="38298"/>
    <cellStyle name="Comma 15 2 5 5 2" xfId="38299"/>
    <cellStyle name="Comma 15 2 5 5 3" xfId="38300"/>
    <cellStyle name="Comma 15 2 5 6" xfId="38301"/>
    <cellStyle name="Comma 15 2 5 6 2" xfId="38302"/>
    <cellStyle name="Comma 15 2 5 6 3" xfId="38303"/>
    <cellStyle name="Comma 15 2 5 7" xfId="38304"/>
    <cellStyle name="Comma 15 2 5 7 2" xfId="38305"/>
    <cellStyle name="Comma 15 2 5 8" xfId="38306"/>
    <cellStyle name="Comma 15 2 5 9" xfId="38307"/>
    <cellStyle name="Comma 15 2 6" xfId="38308"/>
    <cellStyle name="Comma 15 2 6 2" xfId="38309"/>
    <cellStyle name="Comma 15 2 6 2 2" xfId="38310"/>
    <cellStyle name="Comma 15 2 6 2 2 2" xfId="38311"/>
    <cellStyle name="Comma 15 2 6 2 2 3" xfId="38312"/>
    <cellStyle name="Comma 15 2 6 2 3" xfId="38313"/>
    <cellStyle name="Comma 15 2 6 2 3 2" xfId="38314"/>
    <cellStyle name="Comma 15 2 6 2 3 3" xfId="38315"/>
    <cellStyle name="Comma 15 2 6 2 4" xfId="38316"/>
    <cellStyle name="Comma 15 2 6 2 4 2" xfId="38317"/>
    <cellStyle name="Comma 15 2 6 2 5" xfId="38318"/>
    <cellStyle name="Comma 15 2 6 2 6" xfId="38319"/>
    <cellStyle name="Comma 15 2 6 3" xfId="38320"/>
    <cellStyle name="Comma 15 2 6 3 2" xfId="38321"/>
    <cellStyle name="Comma 15 2 6 3 2 2" xfId="38322"/>
    <cellStyle name="Comma 15 2 6 3 2 3" xfId="38323"/>
    <cellStyle name="Comma 15 2 6 3 3" xfId="38324"/>
    <cellStyle name="Comma 15 2 6 3 3 2" xfId="38325"/>
    <cellStyle name="Comma 15 2 6 3 3 3" xfId="38326"/>
    <cellStyle name="Comma 15 2 6 3 4" xfId="38327"/>
    <cellStyle name="Comma 15 2 6 3 4 2" xfId="38328"/>
    <cellStyle name="Comma 15 2 6 3 5" xfId="38329"/>
    <cellStyle name="Comma 15 2 6 3 6" xfId="38330"/>
    <cellStyle name="Comma 15 2 6 4" xfId="38331"/>
    <cellStyle name="Comma 15 2 6 4 2" xfId="38332"/>
    <cellStyle name="Comma 15 2 6 4 2 2" xfId="38333"/>
    <cellStyle name="Comma 15 2 6 4 2 3" xfId="38334"/>
    <cellStyle name="Comma 15 2 6 4 3" xfId="38335"/>
    <cellStyle name="Comma 15 2 6 4 3 2" xfId="38336"/>
    <cellStyle name="Comma 15 2 6 4 4" xfId="38337"/>
    <cellStyle name="Comma 15 2 6 4 5" xfId="38338"/>
    <cellStyle name="Comma 15 2 6 5" xfId="38339"/>
    <cellStyle name="Comma 15 2 6 5 2" xfId="38340"/>
    <cellStyle name="Comma 15 2 6 5 3" xfId="38341"/>
    <cellStyle name="Comma 15 2 6 6" xfId="38342"/>
    <cellStyle name="Comma 15 2 6 6 2" xfId="38343"/>
    <cellStyle name="Comma 15 2 6 6 3" xfId="38344"/>
    <cellStyle name="Comma 15 2 6 7" xfId="38345"/>
    <cellStyle name="Comma 15 2 6 7 2" xfId="38346"/>
    <cellStyle name="Comma 15 2 6 8" xfId="38347"/>
    <cellStyle name="Comma 15 2 6 9" xfId="38348"/>
    <cellStyle name="Comma 15 2 7" xfId="38349"/>
    <cellStyle name="Comma 15 2 7 2" xfId="38350"/>
    <cellStyle name="Comma 15 2 7 2 2" xfId="38351"/>
    <cellStyle name="Comma 15 2 7 2 3" xfId="38352"/>
    <cellStyle name="Comma 15 2 7 3" xfId="38353"/>
    <cellStyle name="Comma 15 2 7 3 2" xfId="38354"/>
    <cellStyle name="Comma 15 2 7 3 3" xfId="38355"/>
    <cellStyle name="Comma 15 2 7 4" xfId="38356"/>
    <cellStyle name="Comma 15 2 7 4 2" xfId="38357"/>
    <cellStyle name="Comma 15 2 7 5" xfId="38358"/>
    <cellStyle name="Comma 15 2 7 6" xfId="38359"/>
    <cellStyle name="Comma 15 2 8" xfId="38360"/>
    <cellStyle name="Comma 15 2 8 2" xfId="38361"/>
    <cellStyle name="Comma 15 2 8 2 2" xfId="38362"/>
    <cellStyle name="Comma 15 2 8 2 3" xfId="38363"/>
    <cellStyle name="Comma 15 2 8 3" xfId="38364"/>
    <cellStyle name="Comma 15 2 8 3 2" xfId="38365"/>
    <cellStyle name="Comma 15 2 8 3 3" xfId="38366"/>
    <cellStyle name="Comma 15 2 8 4" xfId="38367"/>
    <cellStyle name="Comma 15 2 8 4 2" xfId="38368"/>
    <cellStyle name="Comma 15 2 8 5" xfId="38369"/>
    <cellStyle name="Comma 15 2 8 6" xfId="38370"/>
    <cellStyle name="Comma 15 2 9" xfId="38371"/>
    <cellStyle name="Comma 15 2 9 2" xfId="38372"/>
    <cellStyle name="Comma 15 2 9 2 2" xfId="38373"/>
    <cellStyle name="Comma 15 2 9 2 3" xfId="38374"/>
    <cellStyle name="Comma 15 2 9 3" xfId="38375"/>
    <cellStyle name="Comma 15 2 9 3 2" xfId="38376"/>
    <cellStyle name="Comma 15 2 9 4" xfId="38377"/>
    <cellStyle name="Comma 15 2 9 5" xfId="38378"/>
    <cellStyle name="Comma 15 3" xfId="38379"/>
    <cellStyle name="Comma 15 3 10" xfId="38380"/>
    <cellStyle name="Comma 15 3 10 2" xfId="38381"/>
    <cellStyle name="Comma 15 3 10 3" xfId="38382"/>
    <cellStyle name="Comma 15 3 11" xfId="38383"/>
    <cellStyle name="Comma 15 3 11 2" xfId="38384"/>
    <cellStyle name="Comma 15 3 12" xfId="38385"/>
    <cellStyle name="Comma 15 3 13" xfId="38386"/>
    <cellStyle name="Comma 15 3 2" xfId="38387"/>
    <cellStyle name="Comma 15 3 2 10" xfId="38388"/>
    <cellStyle name="Comma 15 3 2 10 2" xfId="38389"/>
    <cellStyle name="Comma 15 3 2 11" xfId="38390"/>
    <cellStyle name="Comma 15 3 2 12" xfId="38391"/>
    <cellStyle name="Comma 15 3 2 2" xfId="38392"/>
    <cellStyle name="Comma 15 3 2 2 10" xfId="38393"/>
    <cellStyle name="Comma 15 3 2 2 2" xfId="38394"/>
    <cellStyle name="Comma 15 3 2 2 2 2" xfId="38395"/>
    <cellStyle name="Comma 15 3 2 2 2 2 2" xfId="38396"/>
    <cellStyle name="Comma 15 3 2 2 2 2 2 2" xfId="38397"/>
    <cellStyle name="Comma 15 3 2 2 2 2 2 3" xfId="38398"/>
    <cellStyle name="Comma 15 3 2 2 2 2 3" xfId="38399"/>
    <cellStyle name="Comma 15 3 2 2 2 2 3 2" xfId="38400"/>
    <cellStyle name="Comma 15 3 2 2 2 2 3 3" xfId="38401"/>
    <cellStyle name="Comma 15 3 2 2 2 2 4" xfId="38402"/>
    <cellStyle name="Comma 15 3 2 2 2 2 4 2" xfId="38403"/>
    <cellStyle name="Comma 15 3 2 2 2 2 5" xfId="38404"/>
    <cellStyle name="Comma 15 3 2 2 2 2 6" xfId="38405"/>
    <cellStyle name="Comma 15 3 2 2 2 3" xfId="38406"/>
    <cellStyle name="Comma 15 3 2 2 2 3 2" xfId="38407"/>
    <cellStyle name="Comma 15 3 2 2 2 3 2 2" xfId="38408"/>
    <cellStyle name="Comma 15 3 2 2 2 3 2 3" xfId="38409"/>
    <cellStyle name="Comma 15 3 2 2 2 3 3" xfId="38410"/>
    <cellStyle name="Comma 15 3 2 2 2 3 3 2" xfId="38411"/>
    <cellStyle name="Comma 15 3 2 2 2 3 3 3" xfId="38412"/>
    <cellStyle name="Comma 15 3 2 2 2 3 4" xfId="38413"/>
    <cellStyle name="Comma 15 3 2 2 2 3 4 2" xfId="38414"/>
    <cellStyle name="Comma 15 3 2 2 2 3 5" xfId="38415"/>
    <cellStyle name="Comma 15 3 2 2 2 3 6" xfId="38416"/>
    <cellStyle name="Comma 15 3 2 2 2 4" xfId="38417"/>
    <cellStyle name="Comma 15 3 2 2 2 4 2" xfId="38418"/>
    <cellStyle name="Comma 15 3 2 2 2 4 2 2" xfId="38419"/>
    <cellStyle name="Comma 15 3 2 2 2 4 2 3" xfId="38420"/>
    <cellStyle name="Comma 15 3 2 2 2 4 3" xfId="38421"/>
    <cellStyle name="Comma 15 3 2 2 2 4 3 2" xfId="38422"/>
    <cellStyle name="Comma 15 3 2 2 2 4 4" xfId="38423"/>
    <cellStyle name="Comma 15 3 2 2 2 4 5" xfId="38424"/>
    <cellStyle name="Comma 15 3 2 2 2 5" xfId="38425"/>
    <cellStyle name="Comma 15 3 2 2 2 5 2" xfId="38426"/>
    <cellStyle name="Comma 15 3 2 2 2 5 3" xfId="38427"/>
    <cellStyle name="Comma 15 3 2 2 2 6" xfId="38428"/>
    <cellStyle name="Comma 15 3 2 2 2 6 2" xfId="38429"/>
    <cellStyle name="Comma 15 3 2 2 2 6 3" xfId="38430"/>
    <cellStyle name="Comma 15 3 2 2 2 7" xfId="38431"/>
    <cellStyle name="Comma 15 3 2 2 2 7 2" xfId="38432"/>
    <cellStyle name="Comma 15 3 2 2 2 8" xfId="38433"/>
    <cellStyle name="Comma 15 3 2 2 2 9" xfId="38434"/>
    <cellStyle name="Comma 15 3 2 2 3" xfId="38435"/>
    <cellStyle name="Comma 15 3 2 2 3 2" xfId="38436"/>
    <cellStyle name="Comma 15 3 2 2 3 2 2" xfId="38437"/>
    <cellStyle name="Comma 15 3 2 2 3 2 3" xfId="38438"/>
    <cellStyle name="Comma 15 3 2 2 3 3" xfId="38439"/>
    <cellStyle name="Comma 15 3 2 2 3 3 2" xfId="38440"/>
    <cellStyle name="Comma 15 3 2 2 3 3 3" xfId="38441"/>
    <cellStyle name="Comma 15 3 2 2 3 4" xfId="38442"/>
    <cellStyle name="Comma 15 3 2 2 3 4 2" xfId="38443"/>
    <cellStyle name="Comma 15 3 2 2 3 5" xfId="38444"/>
    <cellStyle name="Comma 15 3 2 2 3 6" xfId="38445"/>
    <cellStyle name="Comma 15 3 2 2 4" xfId="38446"/>
    <cellStyle name="Comma 15 3 2 2 4 2" xfId="38447"/>
    <cellStyle name="Comma 15 3 2 2 4 2 2" xfId="38448"/>
    <cellStyle name="Comma 15 3 2 2 4 2 3" xfId="38449"/>
    <cellStyle name="Comma 15 3 2 2 4 3" xfId="38450"/>
    <cellStyle name="Comma 15 3 2 2 4 3 2" xfId="38451"/>
    <cellStyle name="Comma 15 3 2 2 4 3 3" xfId="38452"/>
    <cellStyle name="Comma 15 3 2 2 4 4" xfId="38453"/>
    <cellStyle name="Comma 15 3 2 2 4 4 2" xfId="38454"/>
    <cellStyle name="Comma 15 3 2 2 4 5" xfId="38455"/>
    <cellStyle name="Comma 15 3 2 2 4 6" xfId="38456"/>
    <cellStyle name="Comma 15 3 2 2 5" xfId="38457"/>
    <cellStyle name="Comma 15 3 2 2 5 2" xfId="38458"/>
    <cellStyle name="Comma 15 3 2 2 5 2 2" xfId="38459"/>
    <cellStyle name="Comma 15 3 2 2 5 2 3" xfId="38460"/>
    <cellStyle name="Comma 15 3 2 2 5 3" xfId="38461"/>
    <cellStyle name="Comma 15 3 2 2 5 3 2" xfId="38462"/>
    <cellStyle name="Comma 15 3 2 2 5 4" xfId="38463"/>
    <cellStyle name="Comma 15 3 2 2 5 5" xfId="38464"/>
    <cellStyle name="Comma 15 3 2 2 6" xfId="38465"/>
    <cellStyle name="Comma 15 3 2 2 6 2" xfId="38466"/>
    <cellStyle name="Comma 15 3 2 2 6 3" xfId="38467"/>
    <cellStyle name="Comma 15 3 2 2 7" xfId="38468"/>
    <cellStyle name="Comma 15 3 2 2 7 2" xfId="38469"/>
    <cellStyle name="Comma 15 3 2 2 7 3" xfId="38470"/>
    <cellStyle name="Comma 15 3 2 2 8" xfId="38471"/>
    <cellStyle name="Comma 15 3 2 2 8 2" xfId="38472"/>
    <cellStyle name="Comma 15 3 2 2 9" xfId="38473"/>
    <cellStyle name="Comma 15 3 2 3" xfId="38474"/>
    <cellStyle name="Comma 15 3 2 3 2" xfId="38475"/>
    <cellStyle name="Comma 15 3 2 3 2 2" xfId="38476"/>
    <cellStyle name="Comma 15 3 2 3 2 2 2" xfId="38477"/>
    <cellStyle name="Comma 15 3 2 3 2 2 3" xfId="38478"/>
    <cellStyle name="Comma 15 3 2 3 2 3" xfId="38479"/>
    <cellStyle name="Comma 15 3 2 3 2 3 2" xfId="38480"/>
    <cellStyle name="Comma 15 3 2 3 2 3 3" xfId="38481"/>
    <cellStyle name="Comma 15 3 2 3 2 4" xfId="38482"/>
    <cellStyle name="Comma 15 3 2 3 2 4 2" xfId="38483"/>
    <cellStyle name="Comma 15 3 2 3 2 5" xfId="38484"/>
    <cellStyle name="Comma 15 3 2 3 2 6" xfId="38485"/>
    <cellStyle name="Comma 15 3 2 3 3" xfId="38486"/>
    <cellStyle name="Comma 15 3 2 3 3 2" xfId="38487"/>
    <cellStyle name="Comma 15 3 2 3 3 2 2" xfId="38488"/>
    <cellStyle name="Comma 15 3 2 3 3 2 3" xfId="38489"/>
    <cellStyle name="Comma 15 3 2 3 3 3" xfId="38490"/>
    <cellStyle name="Comma 15 3 2 3 3 3 2" xfId="38491"/>
    <cellStyle name="Comma 15 3 2 3 3 3 3" xfId="38492"/>
    <cellStyle name="Comma 15 3 2 3 3 4" xfId="38493"/>
    <cellStyle name="Comma 15 3 2 3 3 4 2" xfId="38494"/>
    <cellStyle name="Comma 15 3 2 3 3 5" xfId="38495"/>
    <cellStyle name="Comma 15 3 2 3 3 6" xfId="38496"/>
    <cellStyle name="Comma 15 3 2 3 4" xfId="38497"/>
    <cellStyle name="Comma 15 3 2 3 4 2" xfId="38498"/>
    <cellStyle name="Comma 15 3 2 3 4 2 2" xfId="38499"/>
    <cellStyle name="Comma 15 3 2 3 4 2 3" xfId="38500"/>
    <cellStyle name="Comma 15 3 2 3 4 3" xfId="38501"/>
    <cellStyle name="Comma 15 3 2 3 4 3 2" xfId="38502"/>
    <cellStyle name="Comma 15 3 2 3 4 4" xfId="38503"/>
    <cellStyle name="Comma 15 3 2 3 4 5" xfId="38504"/>
    <cellStyle name="Comma 15 3 2 3 5" xfId="38505"/>
    <cellStyle name="Comma 15 3 2 3 5 2" xfId="38506"/>
    <cellStyle name="Comma 15 3 2 3 5 3" xfId="38507"/>
    <cellStyle name="Comma 15 3 2 3 6" xfId="38508"/>
    <cellStyle name="Comma 15 3 2 3 6 2" xfId="38509"/>
    <cellStyle name="Comma 15 3 2 3 6 3" xfId="38510"/>
    <cellStyle name="Comma 15 3 2 3 7" xfId="38511"/>
    <cellStyle name="Comma 15 3 2 3 7 2" xfId="38512"/>
    <cellStyle name="Comma 15 3 2 3 8" xfId="38513"/>
    <cellStyle name="Comma 15 3 2 3 9" xfId="38514"/>
    <cellStyle name="Comma 15 3 2 4" xfId="38515"/>
    <cellStyle name="Comma 15 3 2 4 2" xfId="38516"/>
    <cellStyle name="Comma 15 3 2 4 2 2" xfId="38517"/>
    <cellStyle name="Comma 15 3 2 4 2 2 2" xfId="38518"/>
    <cellStyle name="Comma 15 3 2 4 2 2 3" xfId="38519"/>
    <cellStyle name="Comma 15 3 2 4 2 3" xfId="38520"/>
    <cellStyle name="Comma 15 3 2 4 2 3 2" xfId="38521"/>
    <cellStyle name="Comma 15 3 2 4 2 3 3" xfId="38522"/>
    <cellStyle name="Comma 15 3 2 4 2 4" xfId="38523"/>
    <cellStyle name="Comma 15 3 2 4 2 4 2" xfId="38524"/>
    <cellStyle name="Comma 15 3 2 4 2 5" xfId="38525"/>
    <cellStyle name="Comma 15 3 2 4 2 6" xfId="38526"/>
    <cellStyle name="Comma 15 3 2 4 3" xfId="38527"/>
    <cellStyle name="Comma 15 3 2 4 3 2" xfId="38528"/>
    <cellStyle name="Comma 15 3 2 4 3 2 2" xfId="38529"/>
    <cellStyle name="Comma 15 3 2 4 3 2 3" xfId="38530"/>
    <cellStyle name="Comma 15 3 2 4 3 3" xfId="38531"/>
    <cellStyle name="Comma 15 3 2 4 3 3 2" xfId="38532"/>
    <cellStyle name="Comma 15 3 2 4 3 3 3" xfId="38533"/>
    <cellStyle name="Comma 15 3 2 4 3 4" xfId="38534"/>
    <cellStyle name="Comma 15 3 2 4 3 4 2" xfId="38535"/>
    <cellStyle name="Comma 15 3 2 4 3 5" xfId="38536"/>
    <cellStyle name="Comma 15 3 2 4 3 6" xfId="38537"/>
    <cellStyle name="Comma 15 3 2 4 4" xfId="38538"/>
    <cellStyle name="Comma 15 3 2 4 4 2" xfId="38539"/>
    <cellStyle name="Comma 15 3 2 4 4 2 2" xfId="38540"/>
    <cellStyle name="Comma 15 3 2 4 4 2 3" xfId="38541"/>
    <cellStyle name="Comma 15 3 2 4 4 3" xfId="38542"/>
    <cellStyle name="Comma 15 3 2 4 4 3 2" xfId="38543"/>
    <cellStyle name="Comma 15 3 2 4 4 4" xfId="38544"/>
    <cellStyle name="Comma 15 3 2 4 4 5" xfId="38545"/>
    <cellStyle name="Comma 15 3 2 4 5" xfId="38546"/>
    <cellStyle name="Comma 15 3 2 4 5 2" xfId="38547"/>
    <cellStyle name="Comma 15 3 2 4 5 3" xfId="38548"/>
    <cellStyle name="Comma 15 3 2 4 6" xfId="38549"/>
    <cellStyle name="Comma 15 3 2 4 6 2" xfId="38550"/>
    <cellStyle name="Comma 15 3 2 4 6 3" xfId="38551"/>
    <cellStyle name="Comma 15 3 2 4 7" xfId="38552"/>
    <cellStyle name="Comma 15 3 2 4 7 2" xfId="38553"/>
    <cellStyle name="Comma 15 3 2 4 8" xfId="38554"/>
    <cellStyle name="Comma 15 3 2 4 9" xfId="38555"/>
    <cellStyle name="Comma 15 3 2 5" xfId="38556"/>
    <cellStyle name="Comma 15 3 2 5 2" xfId="38557"/>
    <cellStyle name="Comma 15 3 2 5 2 2" xfId="38558"/>
    <cellStyle name="Comma 15 3 2 5 2 3" xfId="38559"/>
    <cellStyle name="Comma 15 3 2 5 3" xfId="38560"/>
    <cellStyle name="Comma 15 3 2 5 3 2" xfId="38561"/>
    <cellStyle name="Comma 15 3 2 5 3 3" xfId="38562"/>
    <cellStyle name="Comma 15 3 2 5 4" xfId="38563"/>
    <cellStyle name="Comma 15 3 2 5 4 2" xfId="38564"/>
    <cellStyle name="Comma 15 3 2 5 5" xfId="38565"/>
    <cellStyle name="Comma 15 3 2 5 6" xfId="38566"/>
    <cellStyle name="Comma 15 3 2 6" xfId="38567"/>
    <cellStyle name="Comma 15 3 2 6 2" xfId="38568"/>
    <cellStyle name="Comma 15 3 2 6 2 2" xfId="38569"/>
    <cellStyle name="Comma 15 3 2 6 2 3" xfId="38570"/>
    <cellStyle name="Comma 15 3 2 6 3" xfId="38571"/>
    <cellStyle name="Comma 15 3 2 6 3 2" xfId="38572"/>
    <cellStyle name="Comma 15 3 2 6 3 3" xfId="38573"/>
    <cellStyle name="Comma 15 3 2 6 4" xfId="38574"/>
    <cellStyle name="Comma 15 3 2 6 4 2" xfId="38575"/>
    <cellStyle name="Comma 15 3 2 6 5" xfId="38576"/>
    <cellStyle name="Comma 15 3 2 6 6" xfId="38577"/>
    <cellStyle name="Comma 15 3 2 7" xfId="38578"/>
    <cellStyle name="Comma 15 3 2 7 2" xfId="38579"/>
    <cellStyle name="Comma 15 3 2 7 2 2" xfId="38580"/>
    <cellStyle name="Comma 15 3 2 7 2 3" xfId="38581"/>
    <cellStyle name="Comma 15 3 2 7 3" xfId="38582"/>
    <cellStyle name="Comma 15 3 2 7 3 2" xfId="38583"/>
    <cellStyle name="Comma 15 3 2 7 4" xfId="38584"/>
    <cellStyle name="Comma 15 3 2 7 5" xfId="38585"/>
    <cellStyle name="Comma 15 3 2 8" xfId="38586"/>
    <cellStyle name="Comma 15 3 2 8 2" xfId="38587"/>
    <cellStyle name="Comma 15 3 2 8 3" xfId="38588"/>
    <cellStyle name="Comma 15 3 2 9" xfId="38589"/>
    <cellStyle name="Comma 15 3 2 9 2" xfId="38590"/>
    <cellStyle name="Comma 15 3 2 9 3" xfId="38591"/>
    <cellStyle name="Comma 15 3 3" xfId="38592"/>
    <cellStyle name="Comma 15 3 3 10" xfId="38593"/>
    <cellStyle name="Comma 15 3 3 2" xfId="38594"/>
    <cellStyle name="Comma 15 3 3 2 2" xfId="38595"/>
    <cellStyle name="Comma 15 3 3 2 2 2" xfId="38596"/>
    <cellStyle name="Comma 15 3 3 2 2 2 2" xfId="38597"/>
    <cellStyle name="Comma 15 3 3 2 2 2 3" xfId="38598"/>
    <cellStyle name="Comma 15 3 3 2 2 3" xfId="38599"/>
    <cellStyle name="Comma 15 3 3 2 2 3 2" xfId="38600"/>
    <cellStyle name="Comma 15 3 3 2 2 3 3" xfId="38601"/>
    <cellStyle name="Comma 15 3 3 2 2 4" xfId="38602"/>
    <cellStyle name="Comma 15 3 3 2 2 4 2" xfId="38603"/>
    <cellStyle name="Comma 15 3 3 2 2 5" xfId="38604"/>
    <cellStyle name="Comma 15 3 3 2 2 6" xfId="38605"/>
    <cellStyle name="Comma 15 3 3 2 3" xfId="38606"/>
    <cellStyle name="Comma 15 3 3 2 3 2" xfId="38607"/>
    <cellStyle name="Comma 15 3 3 2 3 2 2" xfId="38608"/>
    <cellStyle name="Comma 15 3 3 2 3 2 3" xfId="38609"/>
    <cellStyle name="Comma 15 3 3 2 3 3" xfId="38610"/>
    <cellStyle name="Comma 15 3 3 2 3 3 2" xfId="38611"/>
    <cellStyle name="Comma 15 3 3 2 3 3 3" xfId="38612"/>
    <cellStyle name="Comma 15 3 3 2 3 4" xfId="38613"/>
    <cellStyle name="Comma 15 3 3 2 3 4 2" xfId="38614"/>
    <cellStyle name="Comma 15 3 3 2 3 5" xfId="38615"/>
    <cellStyle name="Comma 15 3 3 2 3 6" xfId="38616"/>
    <cellStyle name="Comma 15 3 3 2 4" xfId="38617"/>
    <cellStyle name="Comma 15 3 3 2 4 2" xfId="38618"/>
    <cellStyle name="Comma 15 3 3 2 4 2 2" xfId="38619"/>
    <cellStyle name="Comma 15 3 3 2 4 2 3" xfId="38620"/>
    <cellStyle name="Comma 15 3 3 2 4 3" xfId="38621"/>
    <cellStyle name="Comma 15 3 3 2 4 3 2" xfId="38622"/>
    <cellStyle name="Comma 15 3 3 2 4 4" xfId="38623"/>
    <cellStyle name="Comma 15 3 3 2 4 5" xfId="38624"/>
    <cellStyle name="Comma 15 3 3 2 5" xfId="38625"/>
    <cellStyle name="Comma 15 3 3 2 5 2" xfId="38626"/>
    <cellStyle name="Comma 15 3 3 2 5 3" xfId="38627"/>
    <cellStyle name="Comma 15 3 3 2 6" xfId="38628"/>
    <cellStyle name="Comma 15 3 3 2 6 2" xfId="38629"/>
    <cellStyle name="Comma 15 3 3 2 6 3" xfId="38630"/>
    <cellStyle name="Comma 15 3 3 2 7" xfId="38631"/>
    <cellStyle name="Comma 15 3 3 2 7 2" xfId="38632"/>
    <cellStyle name="Comma 15 3 3 2 8" xfId="38633"/>
    <cellStyle name="Comma 15 3 3 2 9" xfId="38634"/>
    <cellStyle name="Comma 15 3 3 3" xfId="38635"/>
    <cellStyle name="Comma 15 3 3 3 2" xfId="38636"/>
    <cellStyle name="Comma 15 3 3 3 2 2" xfId="38637"/>
    <cellStyle name="Comma 15 3 3 3 2 3" xfId="38638"/>
    <cellStyle name="Comma 15 3 3 3 3" xfId="38639"/>
    <cellStyle name="Comma 15 3 3 3 3 2" xfId="38640"/>
    <cellStyle name="Comma 15 3 3 3 3 3" xfId="38641"/>
    <cellStyle name="Comma 15 3 3 3 4" xfId="38642"/>
    <cellStyle name="Comma 15 3 3 3 4 2" xfId="38643"/>
    <cellStyle name="Comma 15 3 3 3 5" xfId="38644"/>
    <cellStyle name="Comma 15 3 3 3 6" xfId="38645"/>
    <cellStyle name="Comma 15 3 3 4" xfId="38646"/>
    <cellStyle name="Comma 15 3 3 4 2" xfId="38647"/>
    <cellStyle name="Comma 15 3 3 4 2 2" xfId="38648"/>
    <cellStyle name="Comma 15 3 3 4 2 3" xfId="38649"/>
    <cellStyle name="Comma 15 3 3 4 3" xfId="38650"/>
    <cellStyle name="Comma 15 3 3 4 3 2" xfId="38651"/>
    <cellStyle name="Comma 15 3 3 4 3 3" xfId="38652"/>
    <cellStyle name="Comma 15 3 3 4 4" xfId="38653"/>
    <cellStyle name="Comma 15 3 3 4 4 2" xfId="38654"/>
    <cellStyle name="Comma 15 3 3 4 5" xfId="38655"/>
    <cellStyle name="Comma 15 3 3 4 6" xfId="38656"/>
    <cellStyle name="Comma 15 3 3 5" xfId="38657"/>
    <cellStyle name="Comma 15 3 3 5 2" xfId="38658"/>
    <cellStyle name="Comma 15 3 3 5 2 2" xfId="38659"/>
    <cellStyle name="Comma 15 3 3 5 2 3" xfId="38660"/>
    <cellStyle name="Comma 15 3 3 5 3" xfId="38661"/>
    <cellStyle name="Comma 15 3 3 5 3 2" xfId="38662"/>
    <cellStyle name="Comma 15 3 3 5 4" xfId="38663"/>
    <cellStyle name="Comma 15 3 3 5 5" xfId="38664"/>
    <cellStyle name="Comma 15 3 3 6" xfId="38665"/>
    <cellStyle name="Comma 15 3 3 6 2" xfId="38666"/>
    <cellStyle name="Comma 15 3 3 6 3" xfId="38667"/>
    <cellStyle name="Comma 15 3 3 7" xfId="38668"/>
    <cellStyle name="Comma 15 3 3 7 2" xfId="38669"/>
    <cellStyle name="Comma 15 3 3 7 3" xfId="38670"/>
    <cellStyle name="Comma 15 3 3 8" xfId="38671"/>
    <cellStyle name="Comma 15 3 3 8 2" xfId="38672"/>
    <cellStyle name="Comma 15 3 3 9" xfId="38673"/>
    <cellStyle name="Comma 15 3 4" xfId="38674"/>
    <cellStyle name="Comma 15 3 4 2" xfId="38675"/>
    <cellStyle name="Comma 15 3 4 2 2" xfId="38676"/>
    <cellStyle name="Comma 15 3 4 2 2 2" xfId="38677"/>
    <cellStyle name="Comma 15 3 4 2 2 3" xfId="38678"/>
    <cellStyle name="Comma 15 3 4 2 3" xfId="38679"/>
    <cellStyle name="Comma 15 3 4 2 3 2" xfId="38680"/>
    <cellStyle name="Comma 15 3 4 2 3 3" xfId="38681"/>
    <cellStyle name="Comma 15 3 4 2 4" xfId="38682"/>
    <cellStyle name="Comma 15 3 4 2 4 2" xfId="38683"/>
    <cellStyle name="Comma 15 3 4 2 5" xfId="38684"/>
    <cellStyle name="Comma 15 3 4 2 6" xfId="38685"/>
    <cellStyle name="Comma 15 3 4 3" xfId="38686"/>
    <cellStyle name="Comma 15 3 4 3 2" xfId="38687"/>
    <cellStyle name="Comma 15 3 4 3 2 2" xfId="38688"/>
    <cellStyle name="Comma 15 3 4 3 2 3" xfId="38689"/>
    <cellStyle name="Comma 15 3 4 3 3" xfId="38690"/>
    <cellStyle name="Comma 15 3 4 3 3 2" xfId="38691"/>
    <cellStyle name="Comma 15 3 4 3 3 3" xfId="38692"/>
    <cellStyle name="Comma 15 3 4 3 4" xfId="38693"/>
    <cellStyle name="Comma 15 3 4 3 4 2" xfId="38694"/>
    <cellStyle name="Comma 15 3 4 3 5" xfId="38695"/>
    <cellStyle name="Comma 15 3 4 3 6" xfId="38696"/>
    <cellStyle name="Comma 15 3 4 4" xfId="38697"/>
    <cellStyle name="Comma 15 3 4 4 2" xfId="38698"/>
    <cellStyle name="Comma 15 3 4 4 2 2" xfId="38699"/>
    <cellStyle name="Comma 15 3 4 4 2 3" xfId="38700"/>
    <cellStyle name="Comma 15 3 4 4 3" xfId="38701"/>
    <cellStyle name="Comma 15 3 4 4 3 2" xfId="38702"/>
    <cellStyle name="Comma 15 3 4 4 4" xfId="38703"/>
    <cellStyle name="Comma 15 3 4 4 5" xfId="38704"/>
    <cellStyle name="Comma 15 3 4 5" xfId="38705"/>
    <cellStyle name="Comma 15 3 4 5 2" xfId="38706"/>
    <cellStyle name="Comma 15 3 4 5 3" xfId="38707"/>
    <cellStyle name="Comma 15 3 4 6" xfId="38708"/>
    <cellStyle name="Comma 15 3 4 6 2" xfId="38709"/>
    <cellStyle name="Comma 15 3 4 6 3" xfId="38710"/>
    <cellStyle name="Comma 15 3 4 7" xfId="38711"/>
    <cellStyle name="Comma 15 3 4 7 2" xfId="38712"/>
    <cellStyle name="Comma 15 3 4 8" xfId="38713"/>
    <cellStyle name="Comma 15 3 4 9" xfId="38714"/>
    <cellStyle name="Comma 15 3 5" xfId="38715"/>
    <cellStyle name="Comma 15 3 5 2" xfId="38716"/>
    <cellStyle name="Comma 15 3 5 2 2" xfId="38717"/>
    <cellStyle name="Comma 15 3 5 2 2 2" xfId="38718"/>
    <cellStyle name="Comma 15 3 5 2 2 3" xfId="38719"/>
    <cellStyle name="Comma 15 3 5 2 3" xfId="38720"/>
    <cellStyle name="Comma 15 3 5 2 3 2" xfId="38721"/>
    <cellStyle name="Comma 15 3 5 2 3 3" xfId="38722"/>
    <cellStyle name="Comma 15 3 5 2 4" xfId="38723"/>
    <cellStyle name="Comma 15 3 5 2 4 2" xfId="38724"/>
    <cellStyle name="Comma 15 3 5 2 5" xfId="38725"/>
    <cellStyle name="Comma 15 3 5 2 6" xfId="38726"/>
    <cellStyle name="Comma 15 3 5 3" xfId="38727"/>
    <cellStyle name="Comma 15 3 5 3 2" xfId="38728"/>
    <cellStyle name="Comma 15 3 5 3 2 2" xfId="38729"/>
    <cellStyle name="Comma 15 3 5 3 2 3" xfId="38730"/>
    <cellStyle name="Comma 15 3 5 3 3" xfId="38731"/>
    <cellStyle name="Comma 15 3 5 3 3 2" xfId="38732"/>
    <cellStyle name="Comma 15 3 5 3 3 3" xfId="38733"/>
    <cellStyle name="Comma 15 3 5 3 4" xfId="38734"/>
    <cellStyle name="Comma 15 3 5 3 4 2" xfId="38735"/>
    <cellStyle name="Comma 15 3 5 3 5" xfId="38736"/>
    <cellStyle name="Comma 15 3 5 3 6" xfId="38737"/>
    <cellStyle name="Comma 15 3 5 4" xfId="38738"/>
    <cellStyle name="Comma 15 3 5 4 2" xfId="38739"/>
    <cellStyle name="Comma 15 3 5 4 2 2" xfId="38740"/>
    <cellStyle name="Comma 15 3 5 4 2 3" xfId="38741"/>
    <cellStyle name="Comma 15 3 5 4 3" xfId="38742"/>
    <cellStyle name="Comma 15 3 5 4 3 2" xfId="38743"/>
    <cellStyle name="Comma 15 3 5 4 4" xfId="38744"/>
    <cellStyle name="Comma 15 3 5 4 5" xfId="38745"/>
    <cellStyle name="Comma 15 3 5 5" xfId="38746"/>
    <cellStyle name="Comma 15 3 5 5 2" xfId="38747"/>
    <cellStyle name="Comma 15 3 5 5 3" xfId="38748"/>
    <cellStyle name="Comma 15 3 5 6" xfId="38749"/>
    <cellStyle name="Comma 15 3 5 6 2" xfId="38750"/>
    <cellStyle name="Comma 15 3 5 6 3" xfId="38751"/>
    <cellStyle name="Comma 15 3 5 7" xfId="38752"/>
    <cellStyle name="Comma 15 3 5 7 2" xfId="38753"/>
    <cellStyle name="Comma 15 3 5 8" xfId="38754"/>
    <cellStyle name="Comma 15 3 5 9" xfId="38755"/>
    <cellStyle name="Comma 15 3 6" xfId="38756"/>
    <cellStyle name="Comma 15 3 6 2" xfId="38757"/>
    <cellStyle name="Comma 15 3 6 2 2" xfId="38758"/>
    <cellStyle name="Comma 15 3 6 2 3" xfId="38759"/>
    <cellStyle name="Comma 15 3 6 3" xfId="38760"/>
    <cellStyle name="Comma 15 3 6 3 2" xfId="38761"/>
    <cellStyle name="Comma 15 3 6 3 3" xfId="38762"/>
    <cellStyle name="Comma 15 3 6 4" xfId="38763"/>
    <cellStyle name="Comma 15 3 6 4 2" xfId="38764"/>
    <cellStyle name="Comma 15 3 6 5" xfId="38765"/>
    <cellStyle name="Comma 15 3 6 6" xfId="38766"/>
    <cellStyle name="Comma 15 3 7" xfId="38767"/>
    <cellStyle name="Comma 15 3 7 2" xfId="38768"/>
    <cellStyle name="Comma 15 3 7 2 2" xfId="38769"/>
    <cellStyle name="Comma 15 3 7 2 3" xfId="38770"/>
    <cellStyle name="Comma 15 3 7 3" xfId="38771"/>
    <cellStyle name="Comma 15 3 7 3 2" xfId="38772"/>
    <cellStyle name="Comma 15 3 7 3 3" xfId="38773"/>
    <cellStyle name="Comma 15 3 7 4" xfId="38774"/>
    <cellStyle name="Comma 15 3 7 4 2" xfId="38775"/>
    <cellStyle name="Comma 15 3 7 5" xfId="38776"/>
    <cellStyle name="Comma 15 3 7 6" xfId="38777"/>
    <cellStyle name="Comma 15 3 8" xfId="38778"/>
    <cellStyle name="Comma 15 3 8 2" xfId="38779"/>
    <cellStyle name="Comma 15 3 8 2 2" xfId="38780"/>
    <cellStyle name="Comma 15 3 8 2 3" xfId="38781"/>
    <cellStyle name="Comma 15 3 8 3" xfId="38782"/>
    <cellStyle name="Comma 15 3 8 3 2" xfId="38783"/>
    <cellStyle name="Comma 15 3 8 4" xfId="38784"/>
    <cellStyle name="Comma 15 3 8 5" xfId="38785"/>
    <cellStyle name="Comma 15 3 9" xfId="38786"/>
    <cellStyle name="Comma 15 3 9 2" xfId="38787"/>
    <cellStyle name="Comma 15 3 9 3" xfId="38788"/>
    <cellStyle name="Comma 15 4" xfId="38789"/>
    <cellStyle name="Comma 15 4 10" xfId="38790"/>
    <cellStyle name="Comma 15 4 10 2" xfId="38791"/>
    <cellStyle name="Comma 15 4 11" xfId="38792"/>
    <cellStyle name="Comma 15 4 12" xfId="38793"/>
    <cellStyle name="Comma 15 4 2" xfId="38794"/>
    <cellStyle name="Comma 15 4 2 10" xfId="38795"/>
    <cellStyle name="Comma 15 4 2 2" xfId="38796"/>
    <cellStyle name="Comma 15 4 2 2 2" xfId="38797"/>
    <cellStyle name="Comma 15 4 2 2 2 2" xfId="38798"/>
    <cellStyle name="Comma 15 4 2 2 2 2 2" xfId="38799"/>
    <cellStyle name="Comma 15 4 2 2 2 2 3" xfId="38800"/>
    <cellStyle name="Comma 15 4 2 2 2 3" xfId="38801"/>
    <cellStyle name="Comma 15 4 2 2 2 3 2" xfId="38802"/>
    <cellStyle name="Comma 15 4 2 2 2 3 3" xfId="38803"/>
    <cellStyle name="Comma 15 4 2 2 2 4" xfId="38804"/>
    <cellStyle name="Comma 15 4 2 2 2 4 2" xfId="38805"/>
    <cellStyle name="Comma 15 4 2 2 2 5" xfId="38806"/>
    <cellStyle name="Comma 15 4 2 2 2 6" xfId="38807"/>
    <cellStyle name="Comma 15 4 2 2 3" xfId="38808"/>
    <cellStyle name="Comma 15 4 2 2 3 2" xfId="38809"/>
    <cellStyle name="Comma 15 4 2 2 3 2 2" xfId="38810"/>
    <cellStyle name="Comma 15 4 2 2 3 2 3" xfId="38811"/>
    <cellStyle name="Comma 15 4 2 2 3 3" xfId="38812"/>
    <cellStyle name="Comma 15 4 2 2 3 3 2" xfId="38813"/>
    <cellStyle name="Comma 15 4 2 2 3 3 3" xfId="38814"/>
    <cellStyle name="Comma 15 4 2 2 3 4" xfId="38815"/>
    <cellStyle name="Comma 15 4 2 2 3 4 2" xfId="38816"/>
    <cellStyle name="Comma 15 4 2 2 3 5" xfId="38817"/>
    <cellStyle name="Comma 15 4 2 2 3 6" xfId="38818"/>
    <cellStyle name="Comma 15 4 2 2 4" xfId="38819"/>
    <cellStyle name="Comma 15 4 2 2 4 2" xfId="38820"/>
    <cellStyle name="Comma 15 4 2 2 4 2 2" xfId="38821"/>
    <cellStyle name="Comma 15 4 2 2 4 2 3" xfId="38822"/>
    <cellStyle name="Comma 15 4 2 2 4 3" xfId="38823"/>
    <cellStyle name="Comma 15 4 2 2 4 3 2" xfId="38824"/>
    <cellStyle name="Comma 15 4 2 2 4 4" xfId="38825"/>
    <cellStyle name="Comma 15 4 2 2 4 5" xfId="38826"/>
    <cellStyle name="Comma 15 4 2 2 5" xfId="38827"/>
    <cellStyle name="Comma 15 4 2 2 5 2" xfId="38828"/>
    <cellStyle name="Comma 15 4 2 2 5 3" xfId="38829"/>
    <cellStyle name="Comma 15 4 2 2 6" xfId="38830"/>
    <cellStyle name="Comma 15 4 2 2 6 2" xfId="38831"/>
    <cellStyle name="Comma 15 4 2 2 6 3" xfId="38832"/>
    <cellStyle name="Comma 15 4 2 2 7" xfId="38833"/>
    <cellStyle name="Comma 15 4 2 2 7 2" xfId="38834"/>
    <cellStyle name="Comma 15 4 2 2 8" xfId="38835"/>
    <cellStyle name="Comma 15 4 2 2 9" xfId="38836"/>
    <cellStyle name="Comma 15 4 2 3" xfId="38837"/>
    <cellStyle name="Comma 15 4 2 3 2" xfId="38838"/>
    <cellStyle name="Comma 15 4 2 3 2 2" xfId="38839"/>
    <cellStyle name="Comma 15 4 2 3 2 3" xfId="38840"/>
    <cellStyle name="Comma 15 4 2 3 3" xfId="38841"/>
    <cellStyle name="Comma 15 4 2 3 3 2" xfId="38842"/>
    <cellStyle name="Comma 15 4 2 3 3 3" xfId="38843"/>
    <cellStyle name="Comma 15 4 2 3 4" xfId="38844"/>
    <cellStyle name="Comma 15 4 2 3 4 2" xfId="38845"/>
    <cellStyle name="Comma 15 4 2 3 5" xfId="38846"/>
    <cellStyle name="Comma 15 4 2 3 6" xfId="38847"/>
    <cellStyle name="Comma 15 4 2 4" xfId="38848"/>
    <cellStyle name="Comma 15 4 2 4 2" xfId="38849"/>
    <cellStyle name="Comma 15 4 2 4 2 2" xfId="38850"/>
    <cellStyle name="Comma 15 4 2 4 2 3" xfId="38851"/>
    <cellStyle name="Comma 15 4 2 4 3" xfId="38852"/>
    <cellStyle name="Comma 15 4 2 4 3 2" xfId="38853"/>
    <cellStyle name="Comma 15 4 2 4 3 3" xfId="38854"/>
    <cellStyle name="Comma 15 4 2 4 4" xfId="38855"/>
    <cellStyle name="Comma 15 4 2 4 4 2" xfId="38856"/>
    <cellStyle name="Comma 15 4 2 4 5" xfId="38857"/>
    <cellStyle name="Comma 15 4 2 4 6" xfId="38858"/>
    <cellStyle name="Comma 15 4 2 5" xfId="38859"/>
    <cellStyle name="Comma 15 4 2 5 2" xfId="38860"/>
    <cellStyle name="Comma 15 4 2 5 2 2" xfId="38861"/>
    <cellStyle name="Comma 15 4 2 5 2 3" xfId="38862"/>
    <cellStyle name="Comma 15 4 2 5 3" xfId="38863"/>
    <cellStyle name="Comma 15 4 2 5 3 2" xfId="38864"/>
    <cellStyle name="Comma 15 4 2 5 4" xfId="38865"/>
    <cellStyle name="Comma 15 4 2 5 5" xfId="38866"/>
    <cellStyle name="Comma 15 4 2 6" xfId="38867"/>
    <cellStyle name="Comma 15 4 2 6 2" xfId="38868"/>
    <cellStyle name="Comma 15 4 2 6 3" xfId="38869"/>
    <cellStyle name="Comma 15 4 2 7" xfId="38870"/>
    <cellStyle name="Comma 15 4 2 7 2" xfId="38871"/>
    <cellStyle name="Comma 15 4 2 7 3" xfId="38872"/>
    <cellStyle name="Comma 15 4 2 8" xfId="38873"/>
    <cellStyle name="Comma 15 4 2 8 2" xfId="38874"/>
    <cellStyle name="Comma 15 4 2 9" xfId="38875"/>
    <cellStyle name="Comma 15 4 3" xfId="38876"/>
    <cellStyle name="Comma 15 4 3 2" xfId="38877"/>
    <cellStyle name="Comma 15 4 3 2 2" xfId="38878"/>
    <cellStyle name="Comma 15 4 3 2 2 2" xfId="38879"/>
    <cellStyle name="Comma 15 4 3 2 2 3" xfId="38880"/>
    <cellStyle name="Comma 15 4 3 2 3" xfId="38881"/>
    <cellStyle name="Comma 15 4 3 2 3 2" xfId="38882"/>
    <cellStyle name="Comma 15 4 3 2 3 3" xfId="38883"/>
    <cellStyle name="Comma 15 4 3 2 4" xfId="38884"/>
    <cellStyle name="Comma 15 4 3 2 4 2" xfId="38885"/>
    <cellStyle name="Comma 15 4 3 2 5" xfId="38886"/>
    <cellStyle name="Comma 15 4 3 2 6" xfId="38887"/>
    <cellStyle name="Comma 15 4 3 3" xfId="38888"/>
    <cellStyle name="Comma 15 4 3 3 2" xfId="38889"/>
    <cellStyle name="Comma 15 4 3 3 2 2" xfId="38890"/>
    <cellStyle name="Comma 15 4 3 3 2 3" xfId="38891"/>
    <cellStyle name="Comma 15 4 3 3 3" xfId="38892"/>
    <cellStyle name="Comma 15 4 3 3 3 2" xfId="38893"/>
    <cellStyle name="Comma 15 4 3 3 3 3" xfId="38894"/>
    <cellStyle name="Comma 15 4 3 3 4" xfId="38895"/>
    <cellStyle name="Comma 15 4 3 3 4 2" xfId="38896"/>
    <cellStyle name="Comma 15 4 3 3 5" xfId="38897"/>
    <cellStyle name="Comma 15 4 3 3 6" xfId="38898"/>
    <cellStyle name="Comma 15 4 3 4" xfId="38899"/>
    <cellStyle name="Comma 15 4 3 4 2" xfId="38900"/>
    <cellStyle name="Comma 15 4 3 4 2 2" xfId="38901"/>
    <cellStyle name="Comma 15 4 3 4 2 3" xfId="38902"/>
    <cellStyle name="Comma 15 4 3 4 3" xfId="38903"/>
    <cellStyle name="Comma 15 4 3 4 3 2" xfId="38904"/>
    <cellStyle name="Comma 15 4 3 4 4" xfId="38905"/>
    <cellStyle name="Comma 15 4 3 4 5" xfId="38906"/>
    <cellStyle name="Comma 15 4 3 5" xfId="38907"/>
    <cellStyle name="Comma 15 4 3 5 2" xfId="38908"/>
    <cellStyle name="Comma 15 4 3 5 3" xfId="38909"/>
    <cellStyle name="Comma 15 4 3 6" xfId="38910"/>
    <cellStyle name="Comma 15 4 3 6 2" xfId="38911"/>
    <cellStyle name="Comma 15 4 3 6 3" xfId="38912"/>
    <cellStyle name="Comma 15 4 3 7" xfId="38913"/>
    <cellStyle name="Comma 15 4 3 7 2" xfId="38914"/>
    <cellStyle name="Comma 15 4 3 8" xfId="38915"/>
    <cellStyle name="Comma 15 4 3 9" xfId="38916"/>
    <cellStyle name="Comma 15 4 4" xfId="38917"/>
    <cellStyle name="Comma 15 4 4 2" xfId="38918"/>
    <cellStyle name="Comma 15 4 4 2 2" xfId="38919"/>
    <cellStyle name="Comma 15 4 4 2 2 2" xfId="38920"/>
    <cellStyle name="Comma 15 4 4 2 2 3" xfId="38921"/>
    <cellStyle name="Comma 15 4 4 2 3" xfId="38922"/>
    <cellStyle name="Comma 15 4 4 2 3 2" xfId="38923"/>
    <cellStyle name="Comma 15 4 4 2 3 3" xfId="38924"/>
    <cellStyle name="Comma 15 4 4 2 4" xfId="38925"/>
    <cellStyle name="Comma 15 4 4 2 4 2" xfId="38926"/>
    <cellStyle name="Comma 15 4 4 2 5" xfId="38927"/>
    <cellStyle name="Comma 15 4 4 2 6" xfId="38928"/>
    <cellStyle name="Comma 15 4 4 3" xfId="38929"/>
    <cellStyle name="Comma 15 4 4 3 2" xfId="38930"/>
    <cellStyle name="Comma 15 4 4 3 2 2" xfId="38931"/>
    <cellStyle name="Comma 15 4 4 3 2 3" xfId="38932"/>
    <cellStyle name="Comma 15 4 4 3 3" xfId="38933"/>
    <cellStyle name="Comma 15 4 4 3 3 2" xfId="38934"/>
    <cellStyle name="Comma 15 4 4 3 3 3" xfId="38935"/>
    <cellStyle name="Comma 15 4 4 3 4" xfId="38936"/>
    <cellStyle name="Comma 15 4 4 3 4 2" xfId="38937"/>
    <cellStyle name="Comma 15 4 4 3 5" xfId="38938"/>
    <cellStyle name="Comma 15 4 4 3 6" xfId="38939"/>
    <cellStyle name="Comma 15 4 4 4" xfId="38940"/>
    <cellStyle name="Comma 15 4 4 4 2" xfId="38941"/>
    <cellStyle name="Comma 15 4 4 4 2 2" xfId="38942"/>
    <cellStyle name="Comma 15 4 4 4 2 3" xfId="38943"/>
    <cellStyle name="Comma 15 4 4 4 3" xfId="38944"/>
    <cellStyle name="Comma 15 4 4 4 3 2" xfId="38945"/>
    <cellStyle name="Comma 15 4 4 4 4" xfId="38946"/>
    <cellStyle name="Comma 15 4 4 4 5" xfId="38947"/>
    <cellStyle name="Comma 15 4 4 5" xfId="38948"/>
    <cellStyle name="Comma 15 4 4 5 2" xfId="38949"/>
    <cellStyle name="Comma 15 4 4 5 3" xfId="38950"/>
    <cellStyle name="Comma 15 4 4 6" xfId="38951"/>
    <cellStyle name="Comma 15 4 4 6 2" xfId="38952"/>
    <cellStyle name="Comma 15 4 4 6 3" xfId="38953"/>
    <cellStyle name="Comma 15 4 4 7" xfId="38954"/>
    <cellStyle name="Comma 15 4 4 7 2" xfId="38955"/>
    <cellStyle name="Comma 15 4 4 8" xfId="38956"/>
    <cellStyle name="Comma 15 4 4 9" xfId="38957"/>
    <cellStyle name="Comma 15 4 5" xfId="38958"/>
    <cellStyle name="Comma 15 4 5 2" xfId="38959"/>
    <cellStyle name="Comma 15 4 5 2 2" xfId="38960"/>
    <cellStyle name="Comma 15 4 5 2 3" xfId="38961"/>
    <cellStyle name="Comma 15 4 5 3" xfId="38962"/>
    <cellStyle name="Comma 15 4 5 3 2" xfId="38963"/>
    <cellStyle name="Comma 15 4 5 3 3" xfId="38964"/>
    <cellStyle name="Comma 15 4 5 4" xfId="38965"/>
    <cellStyle name="Comma 15 4 5 4 2" xfId="38966"/>
    <cellStyle name="Comma 15 4 5 5" xfId="38967"/>
    <cellStyle name="Comma 15 4 5 6" xfId="38968"/>
    <cellStyle name="Comma 15 4 6" xfId="38969"/>
    <cellStyle name="Comma 15 4 6 2" xfId="38970"/>
    <cellStyle name="Comma 15 4 6 2 2" xfId="38971"/>
    <cellStyle name="Comma 15 4 6 2 3" xfId="38972"/>
    <cellStyle name="Comma 15 4 6 3" xfId="38973"/>
    <cellStyle name="Comma 15 4 6 3 2" xfId="38974"/>
    <cellStyle name="Comma 15 4 6 3 3" xfId="38975"/>
    <cellStyle name="Comma 15 4 6 4" xfId="38976"/>
    <cellStyle name="Comma 15 4 6 4 2" xfId="38977"/>
    <cellStyle name="Comma 15 4 6 5" xfId="38978"/>
    <cellStyle name="Comma 15 4 6 6" xfId="38979"/>
    <cellStyle name="Comma 15 4 7" xfId="38980"/>
    <cellStyle name="Comma 15 4 7 2" xfId="38981"/>
    <cellStyle name="Comma 15 4 7 2 2" xfId="38982"/>
    <cellStyle name="Comma 15 4 7 2 3" xfId="38983"/>
    <cellStyle name="Comma 15 4 7 3" xfId="38984"/>
    <cellStyle name="Comma 15 4 7 3 2" xfId="38985"/>
    <cellStyle name="Comma 15 4 7 4" xfId="38986"/>
    <cellStyle name="Comma 15 4 7 5" xfId="38987"/>
    <cellStyle name="Comma 15 4 8" xfId="38988"/>
    <cellStyle name="Comma 15 4 8 2" xfId="38989"/>
    <cellStyle name="Comma 15 4 8 3" xfId="38990"/>
    <cellStyle name="Comma 15 4 9" xfId="38991"/>
    <cellStyle name="Comma 15 4 9 2" xfId="38992"/>
    <cellStyle name="Comma 15 4 9 3" xfId="38993"/>
    <cellStyle name="Comma 15 5" xfId="38994"/>
    <cellStyle name="Comma 15 5 10" xfId="38995"/>
    <cellStyle name="Comma 15 5 2" xfId="38996"/>
    <cellStyle name="Comma 15 5 2 2" xfId="38997"/>
    <cellStyle name="Comma 15 5 2 2 2" xfId="38998"/>
    <cellStyle name="Comma 15 5 2 2 2 2" xfId="38999"/>
    <cellStyle name="Comma 15 5 2 2 2 3" xfId="39000"/>
    <cellStyle name="Comma 15 5 2 2 3" xfId="39001"/>
    <cellStyle name="Comma 15 5 2 2 3 2" xfId="39002"/>
    <cellStyle name="Comma 15 5 2 2 3 3" xfId="39003"/>
    <cellStyle name="Comma 15 5 2 2 4" xfId="39004"/>
    <cellStyle name="Comma 15 5 2 2 4 2" xfId="39005"/>
    <cellStyle name="Comma 15 5 2 2 5" xfId="39006"/>
    <cellStyle name="Comma 15 5 2 2 6" xfId="39007"/>
    <cellStyle name="Comma 15 5 2 3" xfId="39008"/>
    <cellStyle name="Comma 15 5 2 3 2" xfId="39009"/>
    <cellStyle name="Comma 15 5 2 3 2 2" xfId="39010"/>
    <cellStyle name="Comma 15 5 2 3 2 3" xfId="39011"/>
    <cellStyle name="Comma 15 5 2 3 3" xfId="39012"/>
    <cellStyle name="Comma 15 5 2 3 3 2" xfId="39013"/>
    <cellStyle name="Comma 15 5 2 3 3 3" xfId="39014"/>
    <cellStyle name="Comma 15 5 2 3 4" xfId="39015"/>
    <cellStyle name="Comma 15 5 2 3 4 2" xfId="39016"/>
    <cellStyle name="Comma 15 5 2 3 5" xfId="39017"/>
    <cellStyle name="Comma 15 5 2 3 6" xfId="39018"/>
    <cellStyle name="Comma 15 5 2 4" xfId="39019"/>
    <cellStyle name="Comma 15 5 2 4 2" xfId="39020"/>
    <cellStyle name="Comma 15 5 2 4 2 2" xfId="39021"/>
    <cellStyle name="Comma 15 5 2 4 2 3" xfId="39022"/>
    <cellStyle name="Comma 15 5 2 4 3" xfId="39023"/>
    <cellStyle name="Comma 15 5 2 4 3 2" xfId="39024"/>
    <cellStyle name="Comma 15 5 2 4 4" xfId="39025"/>
    <cellStyle name="Comma 15 5 2 4 5" xfId="39026"/>
    <cellStyle name="Comma 15 5 2 5" xfId="39027"/>
    <cellStyle name="Comma 15 5 2 5 2" xfId="39028"/>
    <cellStyle name="Comma 15 5 2 5 3" xfId="39029"/>
    <cellStyle name="Comma 15 5 2 6" xfId="39030"/>
    <cellStyle name="Comma 15 5 2 6 2" xfId="39031"/>
    <cellStyle name="Comma 15 5 2 6 3" xfId="39032"/>
    <cellStyle name="Comma 15 5 2 7" xfId="39033"/>
    <cellStyle name="Comma 15 5 2 7 2" xfId="39034"/>
    <cellStyle name="Comma 15 5 2 8" xfId="39035"/>
    <cellStyle name="Comma 15 5 2 9" xfId="39036"/>
    <cellStyle name="Comma 15 5 3" xfId="39037"/>
    <cellStyle name="Comma 15 5 3 2" xfId="39038"/>
    <cellStyle name="Comma 15 5 3 2 2" xfId="39039"/>
    <cellStyle name="Comma 15 5 3 2 3" xfId="39040"/>
    <cellStyle name="Comma 15 5 3 3" xfId="39041"/>
    <cellStyle name="Comma 15 5 3 3 2" xfId="39042"/>
    <cellStyle name="Comma 15 5 3 3 3" xfId="39043"/>
    <cellStyle name="Comma 15 5 3 4" xfId="39044"/>
    <cellStyle name="Comma 15 5 3 4 2" xfId="39045"/>
    <cellStyle name="Comma 15 5 3 5" xfId="39046"/>
    <cellStyle name="Comma 15 5 3 6" xfId="39047"/>
    <cellStyle name="Comma 15 5 4" xfId="39048"/>
    <cellStyle name="Comma 15 5 4 2" xfId="39049"/>
    <cellStyle name="Comma 15 5 4 2 2" xfId="39050"/>
    <cellStyle name="Comma 15 5 4 2 3" xfId="39051"/>
    <cellStyle name="Comma 15 5 4 3" xfId="39052"/>
    <cellStyle name="Comma 15 5 4 3 2" xfId="39053"/>
    <cellStyle name="Comma 15 5 4 3 3" xfId="39054"/>
    <cellStyle name="Comma 15 5 4 4" xfId="39055"/>
    <cellStyle name="Comma 15 5 4 4 2" xfId="39056"/>
    <cellStyle name="Comma 15 5 4 5" xfId="39057"/>
    <cellStyle name="Comma 15 5 4 6" xfId="39058"/>
    <cellStyle name="Comma 15 5 5" xfId="39059"/>
    <cellStyle name="Comma 15 5 5 2" xfId="39060"/>
    <cellStyle name="Comma 15 5 5 2 2" xfId="39061"/>
    <cellStyle name="Comma 15 5 5 2 3" xfId="39062"/>
    <cellStyle name="Comma 15 5 5 3" xfId="39063"/>
    <cellStyle name="Comma 15 5 5 3 2" xfId="39064"/>
    <cellStyle name="Comma 15 5 5 4" xfId="39065"/>
    <cellStyle name="Comma 15 5 5 5" xfId="39066"/>
    <cellStyle name="Comma 15 5 6" xfId="39067"/>
    <cellStyle name="Comma 15 5 6 2" xfId="39068"/>
    <cellStyle name="Comma 15 5 6 3" xfId="39069"/>
    <cellStyle name="Comma 15 5 7" xfId="39070"/>
    <cellStyle name="Comma 15 5 7 2" xfId="39071"/>
    <cellStyle name="Comma 15 5 7 3" xfId="39072"/>
    <cellStyle name="Comma 15 5 8" xfId="39073"/>
    <cellStyle name="Comma 15 5 8 2" xfId="39074"/>
    <cellStyle name="Comma 15 5 9" xfId="39075"/>
    <cellStyle name="Comma 15 6" xfId="39076"/>
    <cellStyle name="Comma 15 6 2" xfId="39077"/>
    <cellStyle name="Comma 15 6 2 2" xfId="39078"/>
    <cellStyle name="Comma 15 6 2 2 2" xfId="39079"/>
    <cellStyle name="Comma 15 6 2 2 3" xfId="39080"/>
    <cellStyle name="Comma 15 6 2 3" xfId="39081"/>
    <cellStyle name="Comma 15 6 2 3 2" xfId="39082"/>
    <cellStyle name="Comma 15 6 2 3 3" xfId="39083"/>
    <cellStyle name="Comma 15 6 2 4" xfId="39084"/>
    <cellStyle name="Comma 15 6 2 4 2" xfId="39085"/>
    <cellStyle name="Comma 15 6 2 5" xfId="39086"/>
    <cellStyle name="Comma 15 6 2 6" xfId="39087"/>
    <cellStyle name="Comma 15 6 3" xfId="39088"/>
    <cellStyle name="Comma 15 6 3 2" xfId="39089"/>
    <cellStyle name="Comma 15 6 3 2 2" xfId="39090"/>
    <cellStyle name="Comma 15 6 3 2 3" xfId="39091"/>
    <cellStyle name="Comma 15 6 3 3" xfId="39092"/>
    <cellStyle name="Comma 15 6 3 3 2" xfId="39093"/>
    <cellStyle name="Comma 15 6 3 3 3" xfId="39094"/>
    <cellStyle name="Comma 15 6 3 4" xfId="39095"/>
    <cellStyle name="Comma 15 6 3 4 2" xfId="39096"/>
    <cellStyle name="Comma 15 6 3 5" xfId="39097"/>
    <cellStyle name="Comma 15 6 3 6" xfId="39098"/>
    <cellStyle name="Comma 15 6 4" xfId="39099"/>
    <cellStyle name="Comma 15 6 4 2" xfId="39100"/>
    <cellStyle name="Comma 15 6 4 2 2" xfId="39101"/>
    <cellStyle name="Comma 15 6 4 2 3" xfId="39102"/>
    <cellStyle name="Comma 15 6 4 3" xfId="39103"/>
    <cellStyle name="Comma 15 6 4 3 2" xfId="39104"/>
    <cellStyle name="Comma 15 6 4 4" xfId="39105"/>
    <cellStyle name="Comma 15 6 4 5" xfId="39106"/>
    <cellStyle name="Comma 15 6 5" xfId="39107"/>
    <cellStyle name="Comma 15 6 5 2" xfId="39108"/>
    <cellStyle name="Comma 15 6 5 3" xfId="39109"/>
    <cellStyle name="Comma 15 6 6" xfId="39110"/>
    <cellStyle name="Comma 15 6 6 2" xfId="39111"/>
    <cellStyle name="Comma 15 6 6 3" xfId="39112"/>
    <cellStyle name="Comma 15 6 7" xfId="39113"/>
    <cellStyle name="Comma 15 6 7 2" xfId="39114"/>
    <cellStyle name="Comma 15 6 8" xfId="39115"/>
    <cellStyle name="Comma 15 6 9" xfId="39116"/>
    <cellStyle name="Comma 15 7" xfId="39117"/>
    <cellStyle name="Comma 15 7 2" xfId="39118"/>
    <cellStyle name="Comma 15 7 2 2" xfId="39119"/>
    <cellStyle name="Comma 15 7 2 2 2" xfId="39120"/>
    <cellStyle name="Comma 15 7 2 2 3" xfId="39121"/>
    <cellStyle name="Comma 15 7 2 3" xfId="39122"/>
    <cellStyle name="Comma 15 7 2 3 2" xfId="39123"/>
    <cellStyle name="Comma 15 7 2 3 3" xfId="39124"/>
    <cellStyle name="Comma 15 7 2 4" xfId="39125"/>
    <cellStyle name="Comma 15 7 2 4 2" xfId="39126"/>
    <cellStyle name="Comma 15 7 2 5" xfId="39127"/>
    <cellStyle name="Comma 15 7 2 6" xfId="39128"/>
    <cellStyle name="Comma 15 7 3" xfId="39129"/>
    <cellStyle name="Comma 15 7 3 2" xfId="39130"/>
    <cellStyle name="Comma 15 7 3 2 2" xfId="39131"/>
    <cellStyle name="Comma 15 7 3 2 3" xfId="39132"/>
    <cellStyle name="Comma 15 7 3 3" xfId="39133"/>
    <cellStyle name="Comma 15 7 3 3 2" xfId="39134"/>
    <cellStyle name="Comma 15 7 3 3 3" xfId="39135"/>
    <cellStyle name="Comma 15 7 3 4" xfId="39136"/>
    <cellStyle name="Comma 15 7 3 4 2" xfId="39137"/>
    <cellStyle name="Comma 15 7 3 5" xfId="39138"/>
    <cellStyle name="Comma 15 7 3 6" xfId="39139"/>
    <cellStyle name="Comma 15 7 4" xfId="39140"/>
    <cellStyle name="Comma 15 7 4 2" xfId="39141"/>
    <cellStyle name="Comma 15 7 4 2 2" xfId="39142"/>
    <cellStyle name="Comma 15 7 4 2 3" xfId="39143"/>
    <cellStyle name="Comma 15 7 4 3" xfId="39144"/>
    <cellStyle name="Comma 15 7 4 3 2" xfId="39145"/>
    <cellStyle name="Comma 15 7 4 4" xfId="39146"/>
    <cellStyle name="Comma 15 7 4 5" xfId="39147"/>
    <cellStyle name="Comma 15 7 5" xfId="39148"/>
    <cellStyle name="Comma 15 7 5 2" xfId="39149"/>
    <cellStyle name="Comma 15 7 5 3" xfId="39150"/>
    <cellStyle name="Comma 15 7 6" xfId="39151"/>
    <cellStyle name="Comma 15 7 6 2" xfId="39152"/>
    <cellStyle name="Comma 15 7 6 3" xfId="39153"/>
    <cellStyle name="Comma 15 7 7" xfId="39154"/>
    <cellStyle name="Comma 15 7 7 2" xfId="39155"/>
    <cellStyle name="Comma 15 7 8" xfId="39156"/>
    <cellStyle name="Comma 15 7 9" xfId="39157"/>
    <cellStyle name="Comma 15 8" xfId="39158"/>
    <cellStyle name="Comma 15 8 2" xfId="39159"/>
    <cellStyle name="Comma 15 8 2 2" xfId="39160"/>
    <cellStyle name="Comma 15 8 2 3" xfId="39161"/>
    <cellStyle name="Comma 15 8 3" xfId="39162"/>
    <cellStyle name="Comma 15 8 3 2" xfId="39163"/>
    <cellStyle name="Comma 15 8 3 3" xfId="39164"/>
    <cellStyle name="Comma 15 8 4" xfId="39165"/>
    <cellStyle name="Comma 15 8 4 2" xfId="39166"/>
    <cellStyle name="Comma 15 8 5" xfId="39167"/>
    <cellStyle name="Comma 15 8 6" xfId="39168"/>
    <cellStyle name="Comma 15 9" xfId="39169"/>
    <cellStyle name="Comma 15 9 2" xfId="39170"/>
    <cellStyle name="Comma 15 9 2 2" xfId="39171"/>
    <cellStyle name="Comma 15 9 2 3" xfId="39172"/>
    <cellStyle name="Comma 15 9 3" xfId="39173"/>
    <cellStyle name="Comma 15 9 3 2" xfId="39174"/>
    <cellStyle name="Comma 15 9 3 3" xfId="39175"/>
    <cellStyle name="Comma 15 9 4" xfId="39176"/>
    <cellStyle name="Comma 15 9 4 2" xfId="39177"/>
    <cellStyle name="Comma 15 9 5" xfId="39178"/>
    <cellStyle name="Comma 15 9 6" xfId="39179"/>
    <cellStyle name="Comma 16" xfId="3243"/>
    <cellStyle name="Comma 16 10" xfId="39180"/>
    <cellStyle name="Comma 16 10 2" xfId="39181"/>
    <cellStyle name="Comma 16 10 2 2" xfId="39182"/>
    <cellStyle name="Comma 16 10 2 3" xfId="39183"/>
    <cellStyle name="Comma 16 10 3" xfId="39184"/>
    <cellStyle name="Comma 16 10 3 2" xfId="39185"/>
    <cellStyle name="Comma 16 10 4" xfId="39186"/>
    <cellStyle name="Comma 16 10 5" xfId="39187"/>
    <cellStyle name="Comma 16 11" xfId="39188"/>
    <cellStyle name="Comma 16 11 2" xfId="39189"/>
    <cellStyle name="Comma 16 11 3" xfId="39190"/>
    <cellStyle name="Comma 16 12" xfId="39191"/>
    <cellStyle name="Comma 16 12 2" xfId="39192"/>
    <cellStyle name="Comma 16 12 3" xfId="39193"/>
    <cellStyle name="Comma 16 13" xfId="39194"/>
    <cellStyle name="Comma 16 13 2" xfId="39195"/>
    <cellStyle name="Comma 16 14" xfId="39196"/>
    <cellStyle name="Comma 16 15" xfId="39197"/>
    <cellStyle name="Comma 16 16" xfId="39198"/>
    <cellStyle name="Comma 16 2" xfId="3244"/>
    <cellStyle name="Comma 16 2 10" xfId="39199"/>
    <cellStyle name="Comma 16 2 10 2" xfId="39200"/>
    <cellStyle name="Comma 16 2 10 3" xfId="39201"/>
    <cellStyle name="Comma 16 2 11" xfId="39202"/>
    <cellStyle name="Comma 16 2 11 2" xfId="39203"/>
    <cellStyle name="Comma 16 2 11 3" xfId="39204"/>
    <cellStyle name="Comma 16 2 12" xfId="39205"/>
    <cellStyle name="Comma 16 2 12 2" xfId="39206"/>
    <cellStyle name="Comma 16 2 13" xfId="39207"/>
    <cellStyle name="Comma 16 2 14" xfId="39208"/>
    <cellStyle name="Comma 16 2 2" xfId="39209"/>
    <cellStyle name="Comma 16 2 2 10" xfId="39210"/>
    <cellStyle name="Comma 16 2 2 10 2" xfId="39211"/>
    <cellStyle name="Comma 16 2 2 10 3" xfId="39212"/>
    <cellStyle name="Comma 16 2 2 11" xfId="39213"/>
    <cellStyle name="Comma 16 2 2 11 2" xfId="39214"/>
    <cellStyle name="Comma 16 2 2 12" xfId="39215"/>
    <cellStyle name="Comma 16 2 2 13" xfId="39216"/>
    <cellStyle name="Comma 16 2 2 2" xfId="39217"/>
    <cellStyle name="Comma 16 2 2 2 10" xfId="39218"/>
    <cellStyle name="Comma 16 2 2 2 10 2" xfId="39219"/>
    <cellStyle name="Comma 16 2 2 2 11" xfId="39220"/>
    <cellStyle name="Comma 16 2 2 2 12" xfId="39221"/>
    <cellStyle name="Comma 16 2 2 2 2" xfId="39222"/>
    <cellStyle name="Comma 16 2 2 2 2 10" xfId="39223"/>
    <cellStyle name="Comma 16 2 2 2 2 2" xfId="39224"/>
    <cellStyle name="Comma 16 2 2 2 2 2 2" xfId="39225"/>
    <cellStyle name="Comma 16 2 2 2 2 2 2 2" xfId="39226"/>
    <cellStyle name="Comma 16 2 2 2 2 2 2 2 2" xfId="39227"/>
    <cellStyle name="Comma 16 2 2 2 2 2 2 2 3" xfId="39228"/>
    <cellStyle name="Comma 16 2 2 2 2 2 2 3" xfId="39229"/>
    <cellStyle name="Comma 16 2 2 2 2 2 2 3 2" xfId="39230"/>
    <cellStyle name="Comma 16 2 2 2 2 2 2 3 3" xfId="39231"/>
    <cellStyle name="Comma 16 2 2 2 2 2 2 4" xfId="39232"/>
    <cellStyle name="Comma 16 2 2 2 2 2 2 4 2" xfId="39233"/>
    <cellStyle name="Comma 16 2 2 2 2 2 2 5" xfId="39234"/>
    <cellStyle name="Comma 16 2 2 2 2 2 2 6" xfId="39235"/>
    <cellStyle name="Comma 16 2 2 2 2 2 3" xfId="39236"/>
    <cellStyle name="Comma 16 2 2 2 2 2 3 2" xfId="39237"/>
    <cellStyle name="Comma 16 2 2 2 2 2 3 2 2" xfId="39238"/>
    <cellStyle name="Comma 16 2 2 2 2 2 3 2 3" xfId="39239"/>
    <cellStyle name="Comma 16 2 2 2 2 2 3 3" xfId="39240"/>
    <cellStyle name="Comma 16 2 2 2 2 2 3 3 2" xfId="39241"/>
    <cellStyle name="Comma 16 2 2 2 2 2 3 3 3" xfId="39242"/>
    <cellStyle name="Comma 16 2 2 2 2 2 3 4" xfId="39243"/>
    <cellStyle name="Comma 16 2 2 2 2 2 3 4 2" xfId="39244"/>
    <cellStyle name="Comma 16 2 2 2 2 2 3 5" xfId="39245"/>
    <cellStyle name="Comma 16 2 2 2 2 2 3 6" xfId="39246"/>
    <cellStyle name="Comma 16 2 2 2 2 2 4" xfId="39247"/>
    <cellStyle name="Comma 16 2 2 2 2 2 4 2" xfId="39248"/>
    <cellStyle name="Comma 16 2 2 2 2 2 4 2 2" xfId="39249"/>
    <cellStyle name="Comma 16 2 2 2 2 2 4 2 3" xfId="39250"/>
    <cellStyle name="Comma 16 2 2 2 2 2 4 3" xfId="39251"/>
    <cellStyle name="Comma 16 2 2 2 2 2 4 3 2" xfId="39252"/>
    <cellStyle name="Comma 16 2 2 2 2 2 4 4" xfId="39253"/>
    <cellStyle name="Comma 16 2 2 2 2 2 4 5" xfId="39254"/>
    <cellStyle name="Comma 16 2 2 2 2 2 5" xfId="39255"/>
    <cellStyle name="Comma 16 2 2 2 2 2 5 2" xfId="39256"/>
    <cellStyle name="Comma 16 2 2 2 2 2 5 3" xfId="39257"/>
    <cellStyle name="Comma 16 2 2 2 2 2 6" xfId="39258"/>
    <cellStyle name="Comma 16 2 2 2 2 2 6 2" xfId="39259"/>
    <cellStyle name="Comma 16 2 2 2 2 2 6 3" xfId="39260"/>
    <cellStyle name="Comma 16 2 2 2 2 2 7" xfId="39261"/>
    <cellStyle name="Comma 16 2 2 2 2 2 7 2" xfId="39262"/>
    <cellStyle name="Comma 16 2 2 2 2 2 8" xfId="39263"/>
    <cellStyle name="Comma 16 2 2 2 2 2 9" xfId="39264"/>
    <cellStyle name="Comma 16 2 2 2 2 3" xfId="39265"/>
    <cellStyle name="Comma 16 2 2 2 2 3 2" xfId="39266"/>
    <cellStyle name="Comma 16 2 2 2 2 3 2 2" xfId="39267"/>
    <cellStyle name="Comma 16 2 2 2 2 3 2 3" xfId="39268"/>
    <cellStyle name="Comma 16 2 2 2 2 3 3" xfId="39269"/>
    <cellStyle name="Comma 16 2 2 2 2 3 3 2" xfId="39270"/>
    <cellStyle name="Comma 16 2 2 2 2 3 3 3" xfId="39271"/>
    <cellStyle name="Comma 16 2 2 2 2 3 4" xfId="39272"/>
    <cellStyle name="Comma 16 2 2 2 2 3 4 2" xfId="39273"/>
    <cellStyle name="Comma 16 2 2 2 2 3 5" xfId="39274"/>
    <cellStyle name="Comma 16 2 2 2 2 3 6" xfId="39275"/>
    <cellStyle name="Comma 16 2 2 2 2 4" xfId="39276"/>
    <cellStyle name="Comma 16 2 2 2 2 4 2" xfId="39277"/>
    <cellStyle name="Comma 16 2 2 2 2 4 2 2" xfId="39278"/>
    <cellStyle name="Comma 16 2 2 2 2 4 2 3" xfId="39279"/>
    <cellStyle name="Comma 16 2 2 2 2 4 3" xfId="39280"/>
    <cellStyle name="Comma 16 2 2 2 2 4 3 2" xfId="39281"/>
    <cellStyle name="Comma 16 2 2 2 2 4 3 3" xfId="39282"/>
    <cellStyle name="Comma 16 2 2 2 2 4 4" xfId="39283"/>
    <cellStyle name="Comma 16 2 2 2 2 4 4 2" xfId="39284"/>
    <cellStyle name="Comma 16 2 2 2 2 4 5" xfId="39285"/>
    <cellStyle name="Comma 16 2 2 2 2 4 6" xfId="39286"/>
    <cellStyle name="Comma 16 2 2 2 2 5" xfId="39287"/>
    <cellStyle name="Comma 16 2 2 2 2 5 2" xfId="39288"/>
    <cellStyle name="Comma 16 2 2 2 2 5 2 2" xfId="39289"/>
    <cellStyle name="Comma 16 2 2 2 2 5 2 3" xfId="39290"/>
    <cellStyle name="Comma 16 2 2 2 2 5 3" xfId="39291"/>
    <cellStyle name="Comma 16 2 2 2 2 5 3 2" xfId="39292"/>
    <cellStyle name="Comma 16 2 2 2 2 5 4" xfId="39293"/>
    <cellStyle name="Comma 16 2 2 2 2 5 5" xfId="39294"/>
    <cellStyle name="Comma 16 2 2 2 2 6" xfId="39295"/>
    <cellStyle name="Comma 16 2 2 2 2 6 2" xfId="39296"/>
    <cellStyle name="Comma 16 2 2 2 2 6 3" xfId="39297"/>
    <cellStyle name="Comma 16 2 2 2 2 7" xfId="39298"/>
    <cellStyle name="Comma 16 2 2 2 2 7 2" xfId="39299"/>
    <cellStyle name="Comma 16 2 2 2 2 7 3" xfId="39300"/>
    <cellStyle name="Comma 16 2 2 2 2 8" xfId="39301"/>
    <cellStyle name="Comma 16 2 2 2 2 8 2" xfId="39302"/>
    <cellStyle name="Comma 16 2 2 2 2 9" xfId="39303"/>
    <cellStyle name="Comma 16 2 2 2 3" xfId="39304"/>
    <cellStyle name="Comma 16 2 2 2 3 2" xfId="39305"/>
    <cellStyle name="Comma 16 2 2 2 3 2 2" xfId="39306"/>
    <cellStyle name="Comma 16 2 2 2 3 2 2 2" xfId="39307"/>
    <cellStyle name="Comma 16 2 2 2 3 2 2 3" xfId="39308"/>
    <cellStyle name="Comma 16 2 2 2 3 2 3" xfId="39309"/>
    <cellStyle name="Comma 16 2 2 2 3 2 3 2" xfId="39310"/>
    <cellStyle name="Comma 16 2 2 2 3 2 3 3" xfId="39311"/>
    <cellStyle name="Comma 16 2 2 2 3 2 4" xfId="39312"/>
    <cellStyle name="Comma 16 2 2 2 3 2 4 2" xfId="39313"/>
    <cellStyle name="Comma 16 2 2 2 3 2 5" xfId="39314"/>
    <cellStyle name="Comma 16 2 2 2 3 2 6" xfId="39315"/>
    <cellStyle name="Comma 16 2 2 2 3 3" xfId="39316"/>
    <cellStyle name="Comma 16 2 2 2 3 3 2" xfId="39317"/>
    <cellStyle name="Comma 16 2 2 2 3 3 2 2" xfId="39318"/>
    <cellStyle name="Comma 16 2 2 2 3 3 2 3" xfId="39319"/>
    <cellStyle name="Comma 16 2 2 2 3 3 3" xfId="39320"/>
    <cellStyle name="Comma 16 2 2 2 3 3 3 2" xfId="39321"/>
    <cellStyle name="Comma 16 2 2 2 3 3 3 3" xfId="39322"/>
    <cellStyle name="Comma 16 2 2 2 3 3 4" xfId="39323"/>
    <cellStyle name="Comma 16 2 2 2 3 3 4 2" xfId="39324"/>
    <cellStyle name="Comma 16 2 2 2 3 3 5" xfId="39325"/>
    <cellStyle name="Comma 16 2 2 2 3 3 6" xfId="39326"/>
    <cellStyle name="Comma 16 2 2 2 3 4" xfId="39327"/>
    <cellStyle name="Comma 16 2 2 2 3 4 2" xfId="39328"/>
    <cellStyle name="Comma 16 2 2 2 3 4 2 2" xfId="39329"/>
    <cellStyle name="Comma 16 2 2 2 3 4 2 3" xfId="39330"/>
    <cellStyle name="Comma 16 2 2 2 3 4 3" xfId="39331"/>
    <cellStyle name="Comma 16 2 2 2 3 4 3 2" xfId="39332"/>
    <cellStyle name="Comma 16 2 2 2 3 4 4" xfId="39333"/>
    <cellStyle name="Comma 16 2 2 2 3 4 5" xfId="39334"/>
    <cellStyle name="Comma 16 2 2 2 3 5" xfId="39335"/>
    <cellStyle name="Comma 16 2 2 2 3 5 2" xfId="39336"/>
    <cellStyle name="Comma 16 2 2 2 3 5 3" xfId="39337"/>
    <cellStyle name="Comma 16 2 2 2 3 6" xfId="39338"/>
    <cellStyle name="Comma 16 2 2 2 3 6 2" xfId="39339"/>
    <cellStyle name="Comma 16 2 2 2 3 6 3" xfId="39340"/>
    <cellStyle name="Comma 16 2 2 2 3 7" xfId="39341"/>
    <cellStyle name="Comma 16 2 2 2 3 7 2" xfId="39342"/>
    <cellStyle name="Comma 16 2 2 2 3 8" xfId="39343"/>
    <cellStyle name="Comma 16 2 2 2 3 9" xfId="39344"/>
    <cellStyle name="Comma 16 2 2 2 4" xfId="39345"/>
    <cellStyle name="Comma 16 2 2 2 4 2" xfId="39346"/>
    <cellStyle name="Comma 16 2 2 2 4 2 2" xfId="39347"/>
    <cellStyle name="Comma 16 2 2 2 4 2 2 2" xfId="39348"/>
    <cellStyle name="Comma 16 2 2 2 4 2 2 3" xfId="39349"/>
    <cellStyle name="Comma 16 2 2 2 4 2 3" xfId="39350"/>
    <cellStyle name="Comma 16 2 2 2 4 2 3 2" xfId="39351"/>
    <cellStyle name="Comma 16 2 2 2 4 2 3 3" xfId="39352"/>
    <cellStyle name="Comma 16 2 2 2 4 2 4" xfId="39353"/>
    <cellStyle name="Comma 16 2 2 2 4 2 4 2" xfId="39354"/>
    <cellStyle name="Comma 16 2 2 2 4 2 5" xfId="39355"/>
    <cellStyle name="Comma 16 2 2 2 4 2 6" xfId="39356"/>
    <cellStyle name="Comma 16 2 2 2 4 3" xfId="39357"/>
    <cellStyle name="Comma 16 2 2 2 4 3 2" xfId="39358"/>
    <cellStyle name="Comma 16 2 2 2 4 3 2 2" xfId="39359"/>
    <cellStyle name="Comma 16 2 2 2 4 3 2 3" xfId="39360"/>
    <cellStyle name="Comma 16 2 2 2 4 3 3" xfId="39361"/>
    <cellStyle name="Comma 16 2 2 2 4 3 3 2" xfId="39362"/>
    <cellStyle name="Comma 16 2 2 2 4 3 3 3" xfId="39363"/>
    <cellStyle name="Comma 16 2 2 2 4 3 4" xfId="39364"/>
    <cellStyle name="Comma 16 2 2 2 4 3 4 2" xfId="39365"/>
    <cellStyle name="Comma 16 2 2 2 4 3 5" xfId="39366"/>
    <cellStyle name="Comma 16 2 2 2 4 3 6" xfId="39367"/>
    <cellStyle name="Comma 16 2 2 2 4 4" xfId="39368"/>
    <cellStyle name="Comma 16 2 2 2 4 4 2" xfId="39369"/>
    <cellStyle name="Comma 16 2 2 2 4 4 2 2" xfId="39370"/>
    <cellStyle name="Comma 16 2 2 2 4 4 2 3" xfId="39371"/>
    <cellStyle name="Comma 16 2 2 2 4 4 3" xfId="39372"/>
    <cellStyle name="Comma 16 2 2 2 4 4 3 2" xfId="39373"/>
    <cellStyle name="Comma 16 2 2 2 4 4 4" xfId="39374"/>
    <cellStyle name="Comma 16 2 2 2 4 4 5" xfId="39375"/>
    <cellStyle name="Comma 16 2 2 2 4 5" xfId="39376"/>
    <cellStyle name="Comma 16 2 2 2 4 5 2" xfId="39377"/>
    <cellStyle name="Comma 16 2 2 2 4 5 3" xfId="39378"/>
    <cellStyle name="Comma 16 2 2 2 4 6" xfId="39379"/>
    <cellStyle name="Comma 16 2 2 2 4 6 2" xfId="39380"/>
    <cellStyle name="Comma 16 2 2 2 4 6 3" xfId="39381"/>
    <cellStyle name="Comma 16 2 2 2 4 7" xfId="39382"/>
    <cellStyle name="Comma 16 2 2 2 4 7 2" xfId="39383"/>
    <cellStyle name="Comma 16 2 2 2 4 8" xfId="39384"/>
    <cellStyle name="Comma 16 2 2 2 4 9" xfId="39385"/>
    <cellStyle name="Comma 16 2 2 2 5" xfId="39386"/>
    <cellStyle name="Comma 16 2 2 2 5 2" xfId="39387"/>
    <cellStyle name="Comma 16 2 2 2 5 2 2" xfId="39388"/>
    <cellStyle name="Comma 16 2 2 2 5 2 3" xfId="39389"/>
    <cellStyle name="Comma 16 2 2 2 5 3" xfId="39390"/>
    <cellStyle name="Comma 16 2 2 2 5 3 2" xfId="39391"/>
    <cellStyle name="Comma 16 2 2 2 5 3 3" xfId="39392"/>
    <cellStyle name="Comma 16 2 2 2 5 4" xfId="39393"/>
    <cellStyle name="Comma 16 2 2 2 5 4 2" xfId="39394"/>
    <cellStyle name="Comma 16 2 2 2 5 5" xfId="39395"/>
    <cellStyle name="Comma 16 2 2 2 5 6" xfId="39396"/>
    <cellStyle name="Comma 16 2 2 2 6" xfId="39397"/>
    <cellStyle name="Comma 16 2 2 2 6 2" xfId="39398"/>
    <cellStyle name="Comma 16 2 2 2 6 2 2" xfId="39399"/>
    <cellStyle name="Comma 16 2 2 2 6 2 3" xfId="39400"/>
    <cellStyle name="Comma 16 2 2 2 6 3" xfId="39401"/>
    <cellStyle name="Comma 16 2 2 2 6 3 2" xfId="39402"/>
    <cellStyle name="Comma 16 2 2 2 6 3 3" xfId="39403"/>
    <cellStyle name="Comma 16 2 2 2 6 4" xfId="39404"/>
    <cellStyle name="Comma 16 2 2 2 6 4 2" xfId="39405"/>
    <cellStyle name="Comma 16 2 2 2 6 5" xfId="39406"/>
    <cellStyle name="Comma 16 2 2 2 6 6" xfId="39407"/>
    <cellStyle name="Comma 16 2 2 2 7" xfId="39408"/>
    <cellStyle name="Comma 16 2 2 2 7 2" xfId="39409"/>
    <cellStyle name="Comma 16 2 2 2 7 2 2" xfId="39410"/>
    <cellStyle name="Comma 16 2 2 2 7 2 3" xfId="39411"/>
    <cellStyle name="Comma 16 2 2 2 7 3" xfId="39412"/>
    <cellStyle name="Comma 16 2 2 2 7 3 2" xfId="39413"/>
    <cellStyle name="Comma 16 2 2 2 7 4" xfId="39414"/>
    <cellStyle name="Comma 16 2 2 2 7 5" xfId="39415"/>
    <cellStyle name="Comma 16 2 2 2 8" xfId="39416"/>
    <cellStyle name="Comma 16 2 2 2 8 2" xfId="39417"/>
    <cellStyle name="Comma 16 2 2 2 8 3" xfId="39418"/>
    <cellStyle name="Comma 16 2 2 2 9" xfId="39419"/>
    <cellStyle name="Comma 16 2 2 2 9 2" xfId="39420"/>
    <cellStyle name="Comma 16 2 2 2 9 3" xfId="39421"/>
    <cellStyle name="Comma 16 2 2 3" xfId="39422"/>
    <cellStyle name="Comma 16 2 2 3 10" xfId="39423"/>
    <cellStyle name="Comma 16 2 2 3 2" xfId="39424"/>
    <cellStyle name="Comma 16 2 2 3 2 2" xfId="39425"/>
    <cellStyle name="Comma 16 2 2 3 2 2 2" xfId="39426"/>
    <cellStyle name="Comma 16 2 2 3 2 2 2 2" xfId="39427"/>
    <cellStyle name="Comma 16 2 2 3 2 2 2 3" xfId="39428"/>
    <cellStyle name="Comma 16 2 2 3 2 2 3" xfId="39429"/>
    <cellStyle name="Comma 16 2 2 3 2 2 3 2" xfId="39430"/>
    <cellStyle name="Comma 16 2 2 3 2 2 3 3" xfId="39431"/>
    <cellStyle name="Comma 16 2 2 3 2 2 4" xfId="39432"/>
    <cellStyle name="Comma 16 2 2 3 2 2 4 2" xfId="39433"/>
    <cellStyle name="Comma 16 2 2 3 2 2 5" xfId="39434"/>
    <cellStyle name="Comma 16 2 2 3 2 2 6" xfId="39435"/>
    <cellStyle name="Comma 16 2 2 3 2 3" xfId="39436"/>
    <cellStyle name="Comma 16 2 2 3 2 3 2" xfId="39437"/>
    <cellStyle name="Comma 16 2 2 3 2 3 2 2" xfId="39438"/>
    <cellStyle name="Comma 16 2 2 3 2 3 2 3" xfId="39439"/>
    <cellStyle name="Comma 16 2 2 3 2 3 3" xfId="39440"/>
    <cellStyle name="Comma 16 2 2 3 2 3 3 2" xfId="39441"/>
    <cellStyle name="Comma 16 2 2 3 2 3 3 3" xfId="39442"/>
    <cellStyle name="Comma 16 2 2 3 2 3 4" xfId="39443"/>
    <cellStyle name="Comma 16 2 2 3 2 3 4 2" xfId="39444"/>
    <cellStyle name="Comma 16 2 2 3 2 3 5" xfId="39445"/>
    <cellStyle name="Comma 16 2 2 3 2 3 6" xfId="39446"/>
    <cellStyle name="Comma 16 2 2 3 2 4" xfId="39447"/>
    <cellStyle name="Comma 16 2 2 3 2 4 2" xfId="39448"/>
    <cellStyle name="Comma 16 2 2 3 2 4 2 2" xfId="39449"/>
    <cellStyle name="Comma 16 2 2 3 2 4 2 3" xfId="39450"/>
    <cellStyle name="Comma 16 2 2 3 2 4 3" xfId="39451"/>
    <cellStyle name="Comma 16 2 2 3 2 4 3 2" xfId="39452"/>
    <cellStyle name="Comma 16 2 2 3 2 4 4" xfId="39453"/>
    <cellStyle name="Comma 16 2 2 3 2 4 5" xfId="39454"/>
    <cellStyle name="Comma 16 2 2 3 2 5" xfId="39455"/>
    <cellStyle name="Comma 16 2 2 3 2 5 2" xfId="39456"/>
    <cellStyle name="Comma 16 2 2 3 2 5 3" xfId="39457"/>
    <cellStyle name="Comma 16 2 2 3 2 6" xfId="39458"/>
    <cellStyle name="Comma 16 2 2 3 2 6 2" xfId="39459"/>
    <cellStyle name="Comma 16 2 2 3 2 6 3" xfId="39460"/>
    <cellStyle name="Comma 16 2 2 3 2 7" xfId="39461"/>
    <cellStyle name="Comma 16 2 2 3 2 7 2" xfId="39462"/>
    <cellStyle name="Comma 16 2 2 3 2 8" xfId="39463"/>
    <cellStyle name="Comma 16 2 2 3 2 9" xfId="39464"/>
    <cellStyle name="Comma 16 2 2 3 3" xfId="39465"/>
    <cellStyle name="Comma 16 2 2 3 3 2" xfId="39466"/>
    <cellStyle name="Comma 16 2 2 3 3 2 2" xfId="39467"/>
    <cellStyle name="Comma 16 2 2 3 3 2 3" xfId="39468"/>
    <cellStyle name="Comma 16 2 2 3 3 3" xfId="39469"/>
    <cellStyle name="Comma 16 2 2 3 3 3 2" xfId="39470"/>
    <cellStyle name="Comma 16 2 2 3 3 3 3" xfId="39471"/>
    <cellStyle name="Comma 16 2 2 3 3 4" xfId="39472"/>
    <cellStyle name="Comma 16 2 2 3 3 4 2" xfId="39473"/>
    <cellStyle name="Comma 16 2 2 3 3 5" xfId="39474"/>
    <cellStyle name="Comma 16 2 2 3 3 6" xfId="39475"/>
    <cellStyle name="Comma 16 2 2 3 4" xfId="39476"/>
    <cellStyle name="Comma 16 2 2 3 4 2" xfId="39477"/>
    <cellStyle name="Comma 16 2 2 3 4 2 2" xfId="39478"/>
    <cellStyle name="Comma 16 2 2 3 4 2 3" xfId="39479"/>
    <cellStyle name="Comma 16 2 2 3 4 3" xfId="39480"/>
    <cellStyle name="Comma 16 2 2 3 4 3 2" xfId="39481"/>
    <cellStyle name="Comma 16 2 2 3 4 3 3" xfId="39482"/>
    <cellStyle name="Comma 16 2 2 3 4 4" xfId="39483"/>
    <cellStyle name="Comma 16 2 2 3 4 4 2" xfId="39484"/>
    <cellStyle name="Comma 16 2 2 3 4 5" xfId="39485"/>
    <cellStyle name="Comma 16 2 2 3 4 6" xfId="39486"/>
    <cellStyle name="Comma 16 2 2 3 5" xfId="39487"/>
    <cellStyle name="Comma 16 2 2 3 5 2" xfId="39488"/>
    <cellStyle name="Comma 16 2 2 3 5 2 2" xfId="39489"/>
    <cellStyle name="Comma 16 2 2 3 5 2 3" xfId="39490"/>
    <cellStyle name="Comma 16 2 2 3 5 3" xfId="39491"/>
    <cellStyle name="Comma 16 2 2 3 5 3 2" xfId="39492"/>
    <cellStyle name="Comma 16 2 2 3 5 4" xfId="39493"/>
    <cellStyle name="Comma 16 2 2 3 5 5" xfId="39494"/>
    <cellStyle name="Comma 16 2 2 3 6" xfId="39495"/>
    <cellStyle name="Comma 16 2 2 3 6 2" xfId="39496"/>
    <cellStyle name="Comma 16 2 2 3 6 3" xfId="39497"/>
    <cellStyle name="Comma 16 2 2 3 7" xfId="39498"/>
    <cellStyle name="Comma 16 2 2 3 7 2" xfId="39499"/>
    <cellStyle name="Comma 16 2 2 3 7 3" xfId="39500"/>
    <cellStyle name="Comma 16 2 2 3 8" xfId="39501"/>
    <cellStyle name="Comma 16 2 2 3 8 2" xfId="39502"/>
    <cellStyle name="Comma 16 2 2 3 9" xfId="39503"/>
    <cellStyle name="Comma 16 2 2 4" xfId="39504"/>
    <cellStyle name="Comma 16 2 2 4 2" xfId="39505"/>
    <cellStyle name="Comma 16 2 2 4 2 2" xfId="39506"/>
    <cellStyle name="Comma 16 2 2 4 2 2 2" xfId="39507"/>
    <cellStyle name="Comma 16 2 2 4 2 2 3" xfId="39508"/>
    <cellStyle name="Comma 16 2 2 4 2 3" xfId="39509"/>
    <cellStyle name="Comma 16 2 2 4 2 3 2" xfId="39510"/>
    <cellStyle name="Comma 16 2 2 4 2 3 3" xfId="39511"/>
    <cellStyle name="Comma 16 2 2 4 2 4" xfId="39512"/>
    <cellStyle name="Comma 16 2 2 4 2 4 2" xfId="39513"/>
    <cellStyle name="Comma 16 2 2 4 2 5" xfId="39514"/>
    <cellStyle name="Comma 16 2 2 4 2 6" xfId="39515"/>
    <cellStyle name="Comma 16 2 2 4 3" xfId="39516"/>
    <cellStyle name="Comma 16 2 2 4 3 2" xfId="39517"/>
    <cellStyle name="Comma 16 2 2 4 3 2 2" xfId="39518"/>
    <cellStyle name="Comma 16 2 2 4 3 2 3" xfId="39519"/>
    <cellStyle name="Comma 16 2 2 4 3 3" xfId="39520"/>
    <cellStyle name="Comma 16 2 2 4 3 3 2" xfId="39521"/>
    <cellStyle name="Comma 16 2 2 4 3 3 3" xfId="39522"/>
    <cellStyle name="Comma 16 2 2 4 3 4" xfId="39523"/>
    <cellStyle name="Comma 16 2 2 4 3 4 2" xfId="39524"/>
    <cellStyle name="Comma 16 2 2 4 3 5" xfId="39525"/>
    <cellStyle name="Comma 16 2 2 4 3 6" xfId="39526"/>
    <cellStyle name="Comma 16 2 2 4 4" xfId="39527"/>
    <cellStyle name="Comma 16 2 2 4 4 2" xfId="39528"/>
    <cellStyle name="Comma 16 2 2 4 4 2 2" xfId="39529"/>
    <cellStyle name="Comma 16 2 2 4 4 2 3" xfId="39530"/>
    <cellStyle name="Comma 16 2 2 4 4 3" xfId="39531"/>
    <cellStyle name="Comma 16 2 2 4 4 3 2" xfId="39532"/>
    <cellStyle name="Comma 16 2 2 4 4 4" xfId="39533"/>
    <cellStyle name="Comma 16 2 2 4 4 5" xfId="39534"/>
    <cellStyle name="Comma 16 2 2 4 5" xfId="39535"/>
    <cellStyle name="Comma 16 2 2 4 5 2" xfId="39536"/>
    <cellStyle name="Comma 16 2 2 4 5 3" xfId="39537"/>
    <cellStyle name="Comma 16 2 2 4 6" xfId="39538"/>
    <cellStyle name="Comma 16 2 2 4 6 2" xfId="39539"/>
    <cellStyle name="Comma 16 2 2 4 6 3" xfId="39540"/>
    <cellStyle name="Comma 16 2 2 4 7" xfId="39541"/>
    <cellStyle name="Comma 16 2 2 4 7 2" xfId="39542"/>
    <cellStyle name="Comma 16 2 2 4 8" xfId="39543"/>
    <cellStyle name="Comma 16 2 2 4 9" xfId="39544"/>
    <cellStyle name="Comma 16 2 2 5" xfId="39545"/>
    <cellStyle name="Comma 16 2 2 5 2" xfId="39546"/>
    <cellStyle name="Comma 16 2 2 5 2 2" xfId="39547"/>
    <cellStyle name="Comma 16 2 2 5 2 2 2" xfId="39548"/>
    <cellStyle name="Comma 16 2 2 5 2 2 3" xfId="39549"/>
    <cellStyle name="Comma 16 2 2 5 2 3" xfId="39550"/>
    <cellStyle name="Comma 16 2 2 5 2 3 2" xfId="39551"/>
    <cellStyle name="Comma 16 2 2 5 2 3 3" xfId="39552"/>
    <cellStyle name="Comma 16 2 2 5 2 4" xfId="39553"/>
    <cellStyle name="Comma 16 2 2 5 2 4 2" xfId="39554"/>
    <cellStyle name="Comma 16 2 2 5 2 5" xfId="39555"/>
    <cellStyle name="Comma 16 2 2 5 2 6" xfId="39556"/>
    <cellStyle name="Comma 16 2 2 5 3" xfId="39557"/>
    <cellStyle name="Comma 16 2 2 5 3 2" xfId="39558"/>
    <cellStyle name="Comma 16 2 2 5 3 2 2" xfId="39559"/>
    <cellStyle name="Comma 16 2 2 5 3 2 3" xfId="39560"/>
    <cellStyle name="Comma 16 2 2 5 3 3" xfId="39561"/>
    <cellStyle name="Comma 16 2 2 5 3 3 2" xfId="39562"/>
    <cellStyle name="Comma 16 2 2 5 3 3 3" xfId="39563"/>
    <cellStyle name="Comma 16 2 2 5 3 4" xfId="39564"/>
    <cellStyle name="Comma 16 2 2 5 3 4 2" xfId="39565"/>
    <cellStyle name="Comma 16 2 2 5 3 5" xfId="39566"/>
    <cellStyle name="Comma 16 2 2 5 3 6" xfId="39567"/>
    <cellStyle name="Comma 16 2 2 5 4" xfId="39568"/>
    <cellStyle name="Comma 16 2 2 5 4 2" xfId="39569"/>
    <cellStyle name="Comma 16 2 2 5 4 2 2" xfId="39570"/>
    <cellStyle name="Comma 16 2 2 5 4 2 3" xfId="39571"/>
    <cellStyle name="Comma 16 2 2 5 4 3" xfId="39572"/>
    <cellStyle name="Comma 16 2 2 5 4 3 2" xfId="39573"/>
    <cellStyle name="Comma 16 2 2 5 4 4" xfId="39574"/>
    <cellStyle name="Comma 16 2 2 5 4 5" xfId="39575"/>
    <cellStyle name="Comma 16 2 2 5 5" xfId="39576"/>
    <cellStyle name="Comma 16 2 2 5 5 2" xfId="39577"/>
    <cellStyle name="Comma 16 2 2 5 5 3" xfId="39578"/>
    <cellStyle name="Comma 16 2 2 5 6" xfId="39579"/>
    <cellStyle name="Comma 16 2 2 5 6 2" xfId="39580"/>
    <cellStyle name="Comma 16 2 2 5 6 3" xfId="39581"/>
    <cellStyle name="Comma 16 2 2 5 7" xfId="39582"/>
    <cellStyle name="Comma 16 2 2 5 7 2" xfId="39583"/>
    <cellStyle name="Comma 16 2 2 5 8" xfId="39584"/>
    <cellStyle name="Comma 16 2 2 5 9" xfId="39585"/>
    <cellStyle name="Comma 16 2 2 6" xfId="39586"/>
    <cellStyle name="Comma 16 2 2 6 2" xfId="39587"/>
    <cellStyle name="Comma 16 2 2 6 2 2" xfId="39588"/>
    <cellStyle name="Comma 16 2 2 6 2 3" xfId="39589"/>
    <cellStyle name="Comma 16 2 2 6 3" xfId="39590"/>
    <cellStyle name="Comma 16 2 2 6 3 2" xfId="39591"/>
    <cellStyle name="Comma 16 2 2 6 3 3" xfId="39592"/>
    <cellStyle name="Comma 16 2 2 6 4" xfId="39593"/>
    <cellStyle name="Comma 16 2 2 6 4 2" xfId="39594"/>
    <cellStyle name="Comma 16 2 2 6 5" xfId="39595"/>
    <cellStyle name="Comma 16 2 2 6 6" xfId="39596"/>
    <cellStyle name="Comma 16 2 2 7" xfId="39597"/>
    <cellStyle name="Comma 16 2 2 7 2" xfId="39598"/>
    <cellStyle name="Comma 16 2 2 7 2 2" xfId="39599"/>
    <cellStyle name="Comma 16 2 2 7 2 3" xfId="39600"/>
    <cellStyle name="Comma 16 2 2 7 3" xfId="39601"/>
    <cellStyle name="Comma 16 2 2 7 3 2" xfId="39602"/>
    <cellStyle name="Comma 16 2 2 7 3 3" xfId="39603"/>
    <cellStyle name="Comma 16 2 2 7 4" xfId="39604"/>
    <cellStyle name="Comma 16 2 2 7 4 2" xfId="39605"/>
    <cellStyle name="Comma 16 2 2 7 5" xfId="39606"/>
    <cellStyle name="Comma 16 2 2 7 6" xfId="39607"/>
    <cellStyle name="Comma 16 2 2 8" xfId="39608"/>
    <cellStyle name="Comma 16 2 2 8 2" xfId="39609"/>
    <cellStyle name="Comma 16 2 2 8 2 2" xfId="39610"/>
    <cellStyle name="Comma 16 2 2 8 2 3" xfId="39611"/>
    <cellStyle name="Comma 16 2 2 8 3" xfId="39612"/>
    <cellStyle name="Comma 16 2 2 8 3 2" xfId="39613"/>
    <cellStyle name="Comma 16 2 2 8 4" xfId="39614"/>
    <cellStyle name="Comma 16 2 2 8 5" xfId="39615"/>
    <cellStyle name="Comma 16 2 2 9" xfId="39616"/>
    <cellStyle name="Comma 16 2 2 9 2" xfId="39617"/>
    <cellStyle name="Comma 16 2 2 9 3" xfId="39618"/>
    <cellStyle name="Comma 16 2 3" xfId="39619"/>
    <cellStyle name="Comma 16 2 3 10" xfId="39620"/>
    <cellStyle name="Comma 16 2 3 10 2" xfId="39621"/>
    <cellStyle name="Comma 16 2 3 11" xfId="39622"/>
    <cellStyle name="Comma 16 2 3 12" xfId="39623"/>
    <cellStyle name="Comma 16 2 3 2" xfId="39624"/>
    <cellStyle name="Comma 16 2 3 2 10" xfId="39625"/>
    <cellStyle name="Comma 16 2 3 2 2" xfId="39626"/>
    <cellStyle name="Comma 16 2 3 2 2 2" xfId="39627"/>
    <cellStyle name="Comma 16 2 3 2 2 2 2" xfId="39628"/>
    <cellStyle name="Comma 16 2 3 2 2 2 2 2" xfId="39629"/>
    <cellStyle name="Comma 16 2 3 2 2 2 2 3" xfId="39630"/>
    <cellStyle name="Comma 16 2 3 2 2 2 3" xfId="39631"/>
    <cellStyle name="Comma 16 2 3 2 2 2 3 2" xfId="39632"/>
    <cellStyle name="Comma 16 2 3 2 2 2 3 3" xfId="39633"/>
    <cellStyle name="Comma 16 2 3 2 2 2 4" xfId="39634"/>
    <cellStyle name="Comma 16 2 3 2 2 2 4 2" xfId="39635"/>
    <cellStyle name="Comma 16 2 3 2 2 2 5" xfId="39636"/>
    <cellStyle name="Comma 16 2 3 2 2 2 6" xfId="39637"/>
    <cellStyle name="Comma 16 2 3 2 2 3" xfId="39638"/>
    <cellStyle name="Comma 16 2 3 2 2 3 2" xfId="39639"/>
    <cellStyle name="Comma 16 2 3 2 2 3 2 2" xfId="39640"/>
    <cellStyle name="Comma 16 2 3 2 2 3 2 3" xfId="39641"/>
    <cellStyle name="Comma 16 2 3 2 2 3 3" xfId="39642"/>
    <cellStyle name="Comma 16 2 3 2 2 3 3 2" xfId="39643"/>
    <cellStyle name="Comma 16 2 3 2 2 3 3 3" xfId="39644"/>
    <cellStyle name="Comma 16 2 3 2 2 3 4" xfId="39645"/>
    <cellStyle name="Comma 16 2 3 2 2 3 4 2" xfId="39646"/>
    <cellStyle name="Comma 16 2 3 2 2 3 5" xfId="39647"/>
    <cellStyle name="Comma 16 2 3 2 2 3 6" xfId="39648"/>
    <cellStyle name="Comma 16 2 3 2 2 4" xfId="39649"/>
    <cellStyle name="Comma 16 2 3 2 2 4 2" xfId="39650"/>
    <cellStyle name="Comma 16 2 3 2 2 4 2 2" xfId="39651"/>
    <cellStyle name="Comma 16 2 3 2 2 4 2 3" xfId="39652"/>
    <cellStyle name="Comma 16 2 3 2 2 4 3" xfId="39653"/>
    <cellStyle name="Comma 16 2 3 2 2 4 3 2" xfId="39654"/>
    <cellStyle name="Comma 16 2 3 2 2 4 4" xfId="39655"/>
    <cellStyle name="Comma 16 2 3 2 2 4 5" xfId="39656"/>
    <cellStyle name="Comma 16 2 3 2 2 5" xfId="39657"/>
    <cellStyle name="Comma 16 2 3 2 2 5 2" xfId="39658"/>
    <cellStyle name="Comma 16 2 3 2 2 5 3" xfId="39659"/>
    <cellStyle name="Comma 16 2 3 2 2 6" xfId="39660"/>
    <cellStyle name="Comma 16 2 3 2 2 6 2" xfId="39661"/>
    <cellStyle name="Comma 16 2 3 2 2 6 3" xfId="39662"/>
    <cellStyle name="Comma 16 2 3 2 2 7" xfId="39663"/>
    <cellStyle name="Comma 16 2 3 2 2 7 2" xfId="39664"/>
    <cellStyle name="Comma 16 2 3 2 2 8" xfId="39665"/>
    <cellStyle name="Comma 16 2 3 2 2 9" xfId="39666"/>
    <cellStyle name="Comma 16 2 3 2 3" xfId="39667"/>
    <cellStyle name="Comma 16 2 3 2 3 2" xfId="39668"/>
    <cellStyle name="Comma 16 2 3 2 3 2 2" xfId="39669"/>
    <cellStyle name="Comma 16 2 3 2 3 2 3" xfId="39670"/>
    <cellStyle name="Comma 16 2 3 2 3 3" xfId="39671"/>
    <cellStyle name="Comma 16 2 3 2 3 3 2" xfId="39672"/>
    <cellStyle name="Comma 16 2 3 2 3 3 3" xfId="39673"/>
    <cellStyle name="Comma 16 2 3 2 3 4" xfId="39674"/>
    <cellStyle name="Comma 16 2 3 2 3 4 2" xfId="39675"/>
    <cellStyle name="Comma 16 2 3 2 3 5" xfId="39676"/>
    <cellStyle name="Comma 16 2 3 2 3 6" xfId="39677"/>
    <cellStyle name="Comma 16 2 3 2 4" xfId="39678"/>
    <cellStyle name="Comma 16 2 3 2 4 2" xfId="39679"/>
    <cellStyle name="Comma 16 2 3 2 4 2 2" xfId="39680"/>
    <cellStyle name="Comma 16 2 3 2 4 2 3" xfId="39681"/>
    <cellStyle name="Comma 16 2 3 2 4 3" xfId="39682"/>
    <cellStyle name="Comma 16 2 3 2 4 3 2" xfId="39683"/>
    <cellStyle name="Comma 16 2 3 2 4 3 3" xfId="39684"/>
    <cellStyle name="Comma 16 2 3 2 4 4" xfId="39685"/>
    <cellStyle name="Comma 16 2 3 2 4 4 2" xfId="39686"/>
    <cellStyle name="Comma 16 2 3 2 4 5" xfId="39687"/>
    <cellStyle name="Comma 16 2 3 2 4 6" xfId="39688"/>
    <cellStyle name="Comma 16 2 3 2 5" xfId="39689"/>
    <cellStyle name="Comma 16 2 3 2 5 2" xfId="39690"/>
    <cellStyle name="Comma 16 2 3 2 5 2 2" xfId="39691"/>
    <cellStyle name="Comma 16 2 3 2 5 2 3" xfId="39692"/>
    <cellStyle name="Comma 16 2 3 2 5 3" xfId="39693"/>
    <cellStyle name="Comma 16 2 3 2 5 3 2" xfId="39694"/>
    <cellStyle name="Comma 16 2 3 2 5 4" xfId="39695"/>
    <cellStyle name="Comma 16 2 3 2 5 5" xfId="39696"/>
    <cellStyle name="Comma 16 2 3 2 6" xfId="39697"/>
    <cellStyle name="Comma 16 2 3 2 6 2" xfId="39698"/>
    <cellStyle name="Comma 16 2 3 2 6 3" xfId="39699"/>
    <cellStyle name="Comma 16 2 3 2 7" xfId="39700"/>
    <cellStyle name="Comma 16 2 3 2 7 2" xfId="39701"/>
    <cellStyle name="Comma 16 2 3 2 7 3" xfId="39702"/>
    <cellStyle name="Comma 16 2 3 2 8" xfId="39703"/>
    <cellStyle name="Comma 16 2 3 2 8 2" xfId="39704"/>
    <cellStyle name="Comma 16 2 3 2 9" xfId="39705"/>
    <cellStyle name="Comma 16 2 3 3" xfId="39706"/>
    <cellStyle name="Comma 16 2 3 3 2" xfId="39707"/>
    <cellStyle name="Comma 16 2 3 3 2 2" xfId="39708"/>
    <cellStyle name="Comma 16 2 3 3 2 2 2" xfId="39709"/>
    <cellStyle name="Comma 16 2 3 3 2 2 3" xfId="39710"/>
    <cellStyle name="Comma 16 2 3 3 2 3" xfId="39711"/>
    <cellStyle name="Comma 16 2 3 3 2 3 2" xfId="39712"/>
    <cellStyle name="Comma 16 2 3 3 2 3 3" xfId="39713"/>
    <cellStyle name="Comma 16 2 3 3 2 4" xfId="39714"/>
    <cellStyle name="Comma 16 2 3 3 2 4 2" xfId="39715"/>
    <cellStyle name="Comma 16 2 3 3 2 5" xfId="39716"/>
    <cellStyle name="Comma 16 2 3 3 2 6" xfId="39717"/>
    <cellStyle name="Comma 16 2 3 3 3" xfId="39718"/>
    <cellStyle name="Comma 16 2 3 3 3 2" xfId="39719"/>
    <cellStyle name="Comma 16 2 3 3 3 2 2" xfId="39720"/>
    <cellStyle name="Comma 16 2 3 3 3 2 3" xfId="39721"/>
    <cellStyle name="Comma 16 2 3 3 3 3" xfId="39722"/>
    <cellStyle name="Comma 16 2 3 3 3 3 2" xfId="39723"/>
    <cellStyle name="Comma 16 2 3 3 3 3 3" xfId="39724"/>
    <cellStyle name="Comma 16 2 3 3 3 4" xfId="39725"/>
    <cellStyle name="Comma 16 2 3 3 3 4 2" xfId="39726"/>
    <cellStyle name="Comma 16 2 3 3 3 5" xfId="39727"/>
    <cellStyle name="Comma 16 2 3 3 3 6" xfId="39728"/>
    <cellStyle name="Comma 16 2 3 3 4" xfId="39729"/>
    <cellStyle name="Comma 16 2 3 3 4 2" xfId="39730"/>
    <cellStyle name="Comma 16 2 3 3 4 2 2" xfId="39731"/>
    <cellStyle name="Comma 16 2 3 3 4 2 3" xfId="39732"/>
    <cellStyle name="Comma 16 2 3 3 4 3" xfId="39733"/>
    <cellStyle name="Comma 16 2 3 3 4 3 2" xfId="39734"/>
    <cellStyle name="Comma 16 2 3 3 4 4" xfId="39735"/>
    <cellStyle name="Comma 16 2 3 3 4 5" xfId="39736"/>
    <cellStyle name="Comma 16 2 3 3 5" xfId="39737"/>
    <cellStyle name="Comma 16 2 3 3 5 2" xfId="39738"/>
    <cellStyle name="Comma 16 2 3 3 5 3" xfId="39739"/>
    <cellStyle name="Comma 16 2 3 3 6" xfId="39740"/>
    <cellStyle name="Comma 16 2 3 3 6 2" xfId="39741"/>
    <cellStyle name="Comma 16 2 3 3 6 3" xfId="39742"/>
    <cellStyle name="Comma 16 2 3 3 7" xfId="39743"/>
    <cellStyle name="Comma 16 2 3 3 7 2" xfId="39744"/>
    <cellStyle name="Comma 16 2 3 3 8" xfId="39745"/>
    <cellStyle name="Comma 16 2 3 3 9" xfId="39746"/>
    <cellStyle name="Comma 16 2 3 4" xfId="39747"/>
    <cellStyle name="Comma 16 2 3 4 2" xfId="39748"/>
    <cellStyle name="Comma 16 2 3 4 2 2" xfId="39749"/>
    <cellStyle name="Comma 16 2 3 4 2 2 2" xfId="39750"/>
    <cellStyle name="Comma 16 2 3 4 2 2 3" xfId="39751"/>
    <cellStyle name="Comma 16 2 3 4 2 3" xfId="39752"/>
    <cellStyle name="Comma 16 2 3 4 2 3 2" xfId="39753"/>
    <cellStyle name="Comma 16 2 3 4 2 3 3" xfId="39754"/>
    <cellStyle name="Comma 16 2 3 4 2 4" xfId="39755"/>
    <cellStyle name="Comma 16 2 3 4 2 4 2" xfId="39756"/>
    <cellStyle name="Comma 16 2 3 4 2 5" xfId="39757"/>
    <cellStyle name="Comma 16 2 3 4 2 6" xfId="39758"/>
    <cellStyle name="Comma 16 2 3 4 3" xfId="39759"/>
    <cellStyle name="Comma 16 2 3 4 3 2" xfId="39760"/>
    <cellStyle name="Comma 16 2 3 4 3 2 2" xfId="39761"/>
    <cellStyle name="Comma 16 2 3 4 3 2 3" xfId="39762"/>
    <cellStyle name="Comma 16 2 3 4 3 3" xfId="39763"/>
    <cellStyle name="Comma 16 2 3 4 3 3 2" xfId="39764"/>
    <cellStyle name="Comma 16 2 3 4 3 3 3" xfId="39765"/>
    <cellStyle name="Comma 16 2 3 4 3 4" xfId="39766"/>
    <cellStyle name="Comma 16 2 3 4 3 4 2" xfId="39767"/>
    <cellStyle name="Comma 16 2 3 4 3 5" xfId="39768"/>
    <cellStyle name="Comma 16 2 3 4 3 6" xfId="39769"/>
    <cellStyle name="Comma 16 2 3 4 4" xfId="39770"/>
    <cellStyle name="Comma 16 2 3 4 4 2" xfId="39771"/>
    <cellStyle name="Comma 16 2 3 4 4 2 2" xfId="39772"/>
    <cellStyle name="Comma 16 2 3 4 4 2 3" xfId="39773"/>
    <cellStyle name="Comma 16 2 3 4 4 3" xfId="39774"/>
    <cellStyle name="Comma 16 2 3 4 4 3 2" xfId="39775"/>
    <cellStyle name="Comma 16 2 3 4 4 4" xfId="39776"/>
    <cellStyle name="Comma 16 2 3 4 4 5" xfId="39777"/>
    <cellStyle name="Comma 16 2 3 4 5" xfId="39778"/>
    <cellStyle name="Comma 16 2 3 4 5 2" xfId="39779"/>
    <cellStyle name="Comma 16 2 3 4 5 3" xfId="39780"/>
    <cellStyle name="Comma 16 2 3 4 6" xfId="39781"/>
    <cellStyle name="Comma 16 2 3 4 6 2" xfId="39782"/>
    <cellStyle name="Comma 16 2 3 4 6 3" xfId="39783"/>
    <cellStyle name="Comma 16 2 3 4 7" xfId="39784"/>
    <cellStyle name="Comma 16 2 3 4 7 2" xfId="39785"/>
    <cellStyle name="Comma 16 2 3 4 8" xfId="39786"/>
    <cellStyle name="Comma 16 2 3 4 9" xfId="39787"/>
    <cellStyle name="Comma 16 2 3 5" xfId="39788"/>
    <cellStyle name="Comma 16 2 3 5 2" xfId="39789"/>
    <cellStyle name="Comma 16 2 3 5 2 2" xfId="39790"/>
    <cellStyle name="Comma 16 2 3 5 2 3" xfId="39791"/>
    <cellStyle name="Comma 16 2 3 5 3" xfId="39792"/>
    <cellStyle name="Comma 16 2 3 5 3 2" xfId="39793"/>
    <cellStyle name="Comma 16 2 3 5 3 3" xfId="39794"/>
    <cellStyle name="Comma 16 2 3 5 4" xfId="39795"/>
    <cellStyle name="Comma 16 2 3 5 4 2" xfId="39796"/>
    <cellStyle name="Comma 16 2 3 5 5" xfId="39797"/>
    <cellStyle name="Comma 16 2 3 5 6" xfId="39798"/>
    <cellStyle name="Comma 16 2 3 6" xfId="39799"/>
    <cellStyle name="Comma 16 2 3 6 2" xfId="39800"/>
    <cellStyle name="Comma 16 2 3 6 2 2" xfId="39801"/>
    <cellStyle name="Comma 16 2 3 6 2 3" xfId="39802"/>
    <cellStyle name="Comma 16 2 3 6 3" xfId="39803"/>
    <cellStyle name="Comma 16 2 3 6 3 2" xfId="39804"/>
    <cellStyle name="Comma 16 2 3 6 3 3" xfId="39805"/>
    <cellStyle name="Comma 16 2 3 6 4" xfId="39806"/>
    <cellStyle name="Comma 16 2 3 6 4 2" xfId="39807"/>
    <cellStyle name="Comma 16 2 3 6 5" xfId="39808"/>
    <cellStyle name="Comma 16 2 3 6 6" xfId="39809"/>
    <cellStyle name="Comma 16 2 3 7" xfId="39810"/>
    <cellStyle name="Comma 16 2 3 7 2" xfId="39811"/>
    <cellStyle name="Comma 16 2 3 7 2 2" xfId="39812"/>
    <cellStyle name="Comma 16 2 3 7 2 3" xfId="39813"/>
    <cellStyle name="Comma 16 2 3 7 3" xfId="39814"/>
    <cellStyle name="Comma 16 2 3 7 3 2" xfId="39815"/>
    <cellStyle name="Comma 16 2 3 7 4" xfId="39816"/>
    <cellStyle name="Comma 16 2 3 7 5" xfId="39817"/>
    <cellStyle name="Comma 16 2 3 8" xfId="39818"/>
    <cellStyle name="Comma 16 2 3 8 2" xfId="39819"/>
    <cellStyle name="Comma 16 2 3 8 3" xfId="39820"/>
    <cellStyle name="Comma 16 2 3 9" xfId="39821"/>
    <cellStyle name="Comma 16 2 3 9 2" xfId="39822"/>
    <cellStyle name="Comma 16 2 3 9 3" xfId="39823"/>
    <cellStyle name="Comma 16 2 4" xfId="39824"/>
    <cellStyle name="Comma 16 2 4 10" xfId="39825"/>
    <cellStyle name="Comma 16 2 4 2" xfId="39826"/>
    <cellStyle name="Comma 16 2 4 2 2" xfId="39827"/>
    <cellStyle name="Comma 16 2 4 2 2 2" xfId="39828"/>
    <cellStyle name="Comma 16 2 4 2 2 2 2" xfId="39829"/>
    <cellStyle name="Comma 16 2 4 2 2 2 3" xfId="39830"/>
    <cellStyle name="Comma 16 2 4 2 2 3" xfId="39831"/>
    <cellStyle name="Comma 16 2 4 2 2 3 2" xfId="39832"/>
    <cellStyle name="Comma 16 2 4 2 2 3 3" xfId="39833"/>
    <cellStyle name="Comma 16 2 4 2 2 4" xfId="39834"/>
    <cellStyle name="Comma 16 2 4 2 2 4 2" xfId="39835"/>
    <cellStyle name="Comma 16 2 4 2 2 5" xfId="39836"/>
    <cellStyle name="Comma 16 2 4 2 2 6" xfId="39837"/>
    <cellStyle name="Comma 16 2 4 2 3" xfId="39838"/>
    <cellStyle name="Comma 16 2 4 2 3 2" xfId="39839"/>
    <cellStyle name="Comma 16 2 4 2 3 2 2" xfId="39840"/>
    <cellStyle name="Comma 16 2 4 2 3 2 3" xfId="39841"/>
    <cellStyle name="Comma 16 2 4 2 3 3" xfId="39842"/>
    <cellStyle name="Comma 16 2 4 2 3 3 2" xfId="39843"/>
    <cellStyle name="Comma 16 2 4 2 3 3 3" xfId="39844"/>
    <cellStyle name="Comma 16 2 4 2 3 4" xfId="39845"/>
    <cellStyle name="Comma 16 2 4 2 3 4 2" xfId="39846"/>
    <cellStyle name="Comma 16 2 4 2 3 5" xfId="39847"/>
    <cellStyle name="Comma 16 2 4 2 3 6" xfId="39848"/>
    <cellStyle name="Comma 16 2 4 2 4" xfId="39849"/>
    <cellStyle name="Comma 16 2 4 2 4 2" xfId="39850"/>
    <cellStyle name="Comma 16 2 4 2 4 2 2" xfId="39851"/>
    <cellStyle name="Comma 16 2 4 2 4 2 3" xfId="39852"/>
    <cellStyle name="Comma 16 2 4 2 4 3" xfId="39853"/>
    <cellStyle name="Comma 16 2 4 2 4 3 2" xfId="39854"/>
    <cellStyle name="Comma 16 2 4 2 4 4" xfId="39855"/>
    <cellStyle name="Comma 16 2 4 2 4 5" xfId="39856"/>
    <cellStyle name="Comma 16 2 4 2 5" xfId="39857"/>
    <cellStyle name="Comma 16 2 4 2 5 2" xfId="39858"/>
    <cellStyle name="Comma 16 2 4 2 5 3" xfId="39859"/>
    <cellStyle name="Comma 16 2 4 2 6" xfId="39860"/>
    <cellStyle name="Comma 16 2 4 2 6 2" xfId="39861"/>
    <cellStyle name="Comma 16 2 4 2 6 3" xfId="39862"/>
    <cellStyle name="Comma 16 2 4 2 7" xfId="39863"/>
    <cellStyle name="Comma 16 2 4 2 7 2" xfId="39864"/>
    <cellStyle name="Comma 16 2 4 2 8" xfId="39865"/>
    <cellStyle name="Comma 16 2 4 2 9" xfId="39866"/>
    <cellStyle name="Comma 16 2 4 3" xfId="39867"/>
    <cellStyle name="Comma 16 2 4 3 2" xfId="39868"/>
    <cellStyle name="Comma 16 2 4 3 2 2" xfId="39869"/>
    <cellStyle name="Comma 16 2 4 3 2 3" xfId="39870"/>
    <cellStyle name="Comma 16 2 4 3 3" xfId="39871"/>
    <cellStyle name="Comma 16 2 4 3 3 2" xfId="39872"/>
    <cellStyle name="Comma 16 2 4 3 3 3" xfId="39873"/>
    <cellStyle name="Comma 16 2 4 3 4" xfId="39874"/>
    <cellStyle name="Comma 16 2 4 3 4 2" xfId="39875"/>
    <cellStyle name="Comma 16 2 4 3 5" xfId="39876"/>
    <cellStyle name="Comma 16 2 4 3 6" xfId="39877"/>
    <cellStyle name="Comma 16 2 4 4" xfId="39878"/>
    <cellStyle name="Comma 16 2 4 4 2" xfId="39879"/>
    <cellStyle name="Comma 16 2 4 4 2 2" xfId="39880"/>
    <cellStyle name="Comma 16 2 4 4 2 3" xfId="39881"/>
    <cellStyle name="Comma 16 2 4 4 3" xfId="39882"/>
    <cellStyle name="Comma 16 2 4 4 3 2" xfId="39883"/>
    <cellStyle name="Comma 16 2 4 4 3 3" xfId="39884"/>
    <cellStyle name="Comma 16 2 4 4 4" xfId="39885"/>
    <cellStyle name="Comma 16 2 4 4 4 2" xfId="39886"/>
    <cellStyle name="Comma 16 2 4 4 5" xfId="39887"/>
    <cellStyle name="Comma 16 2 4 4 6" xfId="39888"/>
    <cellStyle name="Comma 16 2 4 5" xfId="39889"/>
    <cellStyle name="Comma 16 2 4 5 2" xfId="39890"/>
    <cellStyle name="Comma 16 2 4 5 2 2" xfId="39891"/>
    <cellStyle name="Comma 16 2 4 5 2 3" xfId="39892"/>
    <cellStyle name="Comma 16 2 4 5 3" xfId="39893"/>
    <cellStyle name="Comma 16 2 4 5 3 2" xfId="39894"/>
    <cellStyle name="Comma 16 2 4 5 4" xfId="39895"/>
    <cellStyle name="Comma 16 2 4 5 5" xfId="39896"/>
    <cellStyle name="Comma 16 2 4 6" xfId="39897"/>
    <cellStyle name="Comma 16 2 4 6 2" xfId="39898"/>
    <cellStyle name="Comma 16 2 4 6 3" xfId="39899"/>
    <cellStyle name="Comma 16 2 4 7" xfId="39900"/>
    <cellStyle name="Comma 16 2 4 7 2" xfId="39901"/>
    <cellStyle name="Comma 16 2 4 7 3" xfId="39902"/>
    <cellStyle name="Comma 16 2 4 8" xfId="39903"/>
    <cellStyle name="Comma 16 2 4 8 2" xfId="39904"/>
    <cellStyle name="Comma 16 2 4 9" xfId="39905"/>
    <cellStyle name="Comma 16 2 5" xfId="39906"/>
    <cellStyle name="Comma 16 2 5 2" xfId="39907"/>
    <cellStyle name="Comma 16 2 5 2 2" xfId="39908"/>
    <cellStyle name="Comma 16 2 5 2 2 2" xfId="39909"/>
    <cellStyle name="Comma 16 2 5 2 2 3" xfId="39910"/>
    <cellStyle name="Comma 16 2 5 2 3" xfId="39911"/>
    <cellStyle name="Comma 16 2 5 2 3 2" xfId="39912"/>
    <cellStyle name="Comma 16 2 5 2 3 3" xfId="39913"/>
    <cellStyle name="Comma 16 2 5 2 4" xfId="39914"/>
    <cellStyle name="Comma 16 2 5 2 4 2" xfId="39915"/>
    <cellStyle name="Comma 16 2 5 2 5" xfId="39916"/>
    <cellStyle name="Comma 16 2 5 2 6" xfId="39917"/>
    <cellStyle name="Comma 16 2 5 3" xfId="39918"/>
    <cellStyle name="Comma 16 2 5 3 2" xfId="39919"/>
    <cellStyle name="Comma 16 2 5 3 2 2" xfId="39920"/>
    <cellStyle name="Comma 16 2 5 3 2 3" xfId="39921"/>
    <cellStyle name="Comma 16 2 5 3 3" xfId="39922"/>
    <cellStyle name="Comma 16 2 5 3 3 2" xfId="39923"/>
    <cellStyle name="Comma 16 2 5 3 3 3" xfId="39924"/>
    <cellStyle name="Comma 16 2 5 3 4" xfId="39925"/>
    <cellStyle name="Comma 16 2 5 3 4 2" xfId="39926"/>
    <cellStyle name="Comma 16 2 5 3 5" xfId="39927"/>
    <cellStyle name="Comma 16 2 5 3 6" xfId="39928"/>
    <cellStyle name="Comma 16 2 5 4" xfId="39929"/>
    <cellStyle name="Comma 16 2 5 4 2" xfId="39930"/>
    <cellStyle name="Comma 16 2 5 4 2 2" xfId="39931"/>
    <cellStyle name="Comma 16 2 5 4 2 3" xfId="39932"/>
    <cellStyle name="Comma 16 2 5 4 3" xfId="39933"/>
    <cellStyle name="Comma 16 2 5 4 3 2" xfId="39934"/>
    <cellStyle name="Comma 16 2 5 4 4" xfId="39935"/>
    <cellStyle name="Comma 16 2 5 4 5" xfId="39936"/>
    <cellStyle name="Comma 16 2 5 5" xfId="39937"/>
    <cellStyle name="Comma 16 2 5 5 2" xfId="39938"/>
    <cellStyle name="Comma 16 2 5 5 3" xfId="39939"/>
    <cellStyle name="Comma 16 2 5 6" xfId="39940"/>
    <cellStyle name="Comma 16 2 5 6 2" xfId="39941"/>
    <cellStyle name="Comma 16 2 5 6 3" xfId="39942"/>
    <cellStyle name="Comma 16 2 5 7" xfId="39943"/>
    <cellStyle name="Comma 16 2 5 7 2" xfId="39944"/>
    <cellStyle name="Comma 16 2 5 8" xfId="39945"/>
    <cellStyle name="Comma 16 2 5 9" xfId="39946"/>
    <cellStyle name="Comma 16 2 6" xfId="39947"/>
    <cellStyle name="Comma 16 2 6 2" xfId="39948"/>
    <cellStyle name="Comma 16 2 6 2 2" xfId="39949"/>
    <cellStyle name="Comma 16 2 6 2 2 2" xfId="39950"/>
    <cellStyle name="Comma 16 2 6 2 2 3" xfId="39951"/>
    <cellStyle name="Comma 16 2 6 2 3" xfId="39952"/>
    <cellStyle name="Comma 16 2 6 2 3 2" xfId="39953"/>
    <cellStyle name="Comma 16 2 6 2 3 3" xfId="39954"/>
    <cellStyle name="Comma 16 2 6 2 4" xfId="39955"/>
    <cellStyle name="Comma 16 2 6 2 4 2" xfId="39956"/>
    <cellStyle name="Comma 16 2 6 2 5" xfId="39957"/>
    <cellStyle name="Comma 16 2 6 2 6" xfId="39958"/>
    <cellStyle name="Comma 16 2 6 3" xfId="39959"/>
    <cellStyle name="Comma 16 2 6 3 2" xfId="39960"/>
    <cellStyle name="Comma 16 2 6 3 2 2" xfId="39961"/>
    <cellStyle name="Comma 16 2 6 3 2 3" xfId="39962"/>
    <cellStyle name="Comma 16 2 6 3 3" xfId="39963"/>
    <cellStyle name="Comma 16 2 6 3 3 2" xfId="39964"/>
    <cellStyle name="Comma 16 2 6 3 3 3" xfId="39965"/>
    <cellStyle name="Comma 16 2 6 3 4" xfId="39966"/>
    <cellStyle name="Comma 16 2 6 3 4 2" xfId="39967"/>
    <cellStyle name="Comma 16 2 6 3 5" xfId="39968"/>
    <cellStyle name="Comma 16 2 6 3 6" xfId="39969"/>
    <cellStyle name="Comma 16 2 6 4" xfId="39970"/>
    <cellStyle name="Comma 16 2 6 4 2" xfId="39971"/>
    <cellStyle name="Comma 16 2 6 4 2 2" xfId="39972"/>
    <cellStyle name="Comma 16 2 6 4 2 3" xfId="39973"/>
    <cellStyle name="Comma 16 2 6 4 3" xfId="39974"/>
    <cellStyle name="Comma 16 2 6 4 3 2" xfId="39975"/>
    <cellStyle name="Comma 16 2 6 4 4" xfId="39976"/>
    <cellStyle name="Comma 16 2 6 4 5" xfId="39977"/>
    <cellStyle name="Comma 16 2 6 5" xfId="39978"/>
    <cellStyle name="Comma 16 2 6 5 2" xfId="39979"/>
    <cellStyle name="Comma 16 2 6 5 3" xfId="39980"/>
    <cellStyle name="Comma 16 2 6 6" xfId="39981"/>
    <cellStyle name="Comma 16 2 6 6 2" xfId="39982"/>
    <cellStyle name="Comma 16 2 6 6 3" xfId="39983"/>
    <cellStyle name="Comma 16 2 6 7" xfId="39984"/>
    <cellStyle name="Comma 16 2 6 7 2" xfId="39985"/>
    <cellStyle name="Comma 16 2 6 8" xfId="39986"/>
    <cellStyle name="Comma 16 2 6 9" xfId="39987"/>
    <cellStyle name="Comma 16 2 7" xfId="39988"/>
    <cellStyle name="Comma 16 2 7 2" xfId="39989"/>
    <cellStyle name="Comma 16 2 7 2 2" xfId="39990"/>
    <cellStyle name="Comma 16 2 7 2 3" xfId="39991"/>
    <cellStyle name="Comma 16 2 7 3" xfId="39992"/>
    <cellStyle name="Comma 16 2 7 3 2" xfId="39993"/>
    <cellStyle name="Comma 16 2 7 3 3" xfId="39994"/>
    <cellStyle name="Comma 16 2 7 4" xfId="39995"/>
    <cellStyle name="Comma 16 2 7 4 2" xfId="39996"/>
    <cellStyle name="Comma 16 2 7 5" xfId="39997"/>
    <cellStyle name="Comma 16 2 7 6" xfId="39998"/>
    <cellStyle name="Comma 16 2 8" xfId="39999"/>
    <cellStyle name="Comma 16 2 8 2" xfId="40000"/>
    <cellStyle name="Comma 16 2 8 2 2" xfId="40001"/>
    <cellStyle name="Comma 16 2 8 2 3" xfId="40002"/>
    <cellStyle name="Comma 16 2 8 3" xfId="40003"/>
    <cellStyle name="Comma 16 2 8 3 2" xfId="40004"/>
    <cellStyle name="Comma 16 2 8 3 3" xfId="40005"/>
    <cellStyle name="Comma 16 2 8 4" xfId="40006"/>
    <cellStyle name="Comma 16 2 8 4 2" xfId="40007"/>
    <cellStyle name="Comma 16 2 8 5" xfId="40008"/>
    <cellStyle name="Comma 16 2 8 6" xfId="40009"/>
    <cellStyle name="Comma 16 2 9" xfId="40010"/>
    <cellStyle name="Comma 16 2 9 2" xfId="40011"/>
    <cellStyle name="Comma 16 2 9 2 2" xfId="40012"/>
    <cellStyle name="Comma 16 2 9 2 3" xfId="40013"/>
    <cellStyle name="Comma 16 2 9 3" xfId="40014"/>
    <cellStyle name="Comma 16 2 9 3 2" xfId="40015"/>
    <cellStyle name="Comma 16 2 9 4" xfId="40016"/>
    <cellStyle name="Comma 16 2 9 5" xfId="40017"/>
    <cellStyle name="Comma 16 3" xfId="40018"/>
    <cellStyle name="Comma 16 3 10" xfId="40019"/>
    <cellStyle name="Comma 16 3 10 2" xfId="40020"/>
    <cellStyle name="Comma 16 3 10 3" xfId="40021"/>
    <cellStyle name="Comma 16 3 11" xfId="40022"/>
    <cellStyle name="Comma 16 3 11 2" xfId="40023"/>
    <cellStyle name="Comma 16 3 12" xfId="40024"/>
    <cellStyle name="Comma 16 3 13" xfId="40025"/>
    <cellStyle name="Comma 16 3 2" xfId="40026"/>
    <cellStyle name="Comma 16 3 2 10" xfId="40027"/>
    <cellStyle name="Comma 16 3 2 10 2" xfId="40028"/>
    <cellStyle name="Comma 16 3 2 11" xfId="40029"/>
    <cellStyle name="Comma 16 3 2 12" xfId="40030"/>
    <cellStyle name="Comma 16 3 2 2" xfId="40031"/>
    <cellStyle name="Comma 16 3 2 2 10" xfId="40032"/>
    <cellStyle name="Comma 16 3 2 2 2" xfId="40033"/>
    <cellStyle name="Comma 16 3 2 2 2 2" xfId="40034"/>
    <cellStyle name="Comma 16 3 2 2 2 2 2" xfId="40035"/>
    <cellStyle name="Comma 16 3 2 2 2 2 2 2" xfId="40036"/>
    <cellStyle name="Comma 16 3 2 2 2 2 2 3" xfId="40037"/>
    <cellStyle name="Comma 16 3 2 2 2 2 3" xfId="40038"/>
    <cellStyle name="Comma 16 3 2 2 2 2 3 2" xfId="40039"/>
    <cellStyle name="Comma 16 3 2 2 2 2 3 3" xfId="40040"/>
    <cellStyle name="Comma 16 3 2 2 2 2 4" xfId="40041"/>
    <cellStyle name="Comma 16 3 2 2 2 2 4 2" xfId="40042"/>
    <cellStyle name="Comma 16 3 2 2 2 2 5" xfId="40043"/>
    <cellStyle name="Comma 16 3 2 2 2 2 6" xfId="40044"/>
    <cellStyle name="Comma 16 3 2 2 2 3" xfId="40045"/>
    <cellStyle name="Comma 16 3 2 2 2 3 2" xfId="40046"/>
    <cellStyle name="Comma 16 3 2 2 2 3 2 2" xfId="40047"/>
    <cellStyle name="Comma 16 3 2 2 2 3 2 3" xfId="40048"/>
    <cellStyle name="Comma 16 3 2 2 2 3 3" xfId="40049"/>
    <cellStyle name="Comma 16 3 2 2 2 3 3 2" xfId="40050"/>
    <cellStyle name="Comma 16 3 2 2 2 3 3 3" xfId="40051"/>
    <cellStyle name="Comma 16 3 2 2 2 3 4" xfId="40052"/>
    <cellStyle name="Comma 16 3 2 2 2 3 4 2" xfId="40053"/>
    <cellStyle name="Comma 16 3 2 2 2 3 5" xfId="40054"/>
    <cellStyle name="Comma 16 3 2 2 2 3 6" xfId="40055"/>
    <cellStyle name="Comma 16 3 2 2 2 4" xfId="40056"/>
    <cellStyle name="Comma 16 3 2 2 2 4 2" xfId="40057"/>
    <cellStyle name="Comma 16 3 2 2 2 4 2 2" xfId="40058"/>
    <cellStyle name="Comma 16 3 2 2 2 4 2 3" xfId="40059"/>
    <cellStyle name="Comma 16 3 2 2 2 4 3" xfId="40060"/>
    <cellStyle name="Comma 16 3 2 2 2 4 3 2" xfId="40061"/>
    <cellStyle name="Comma 16 3 2 2 2 4 4" xfId="40062"/>
    <cellStyle name="Comma 16 3 2 2 2 4 5" xfId="40063"/>
    <cellStyle name="Comma 16 3 2 2 2 5" xfId="40064"/>
    <cellStyle name="Comma 16 3 2 2 2 5 2" xfId="40065"/>
    <cellStyle name="Comma 16 3 2 2 2 5 3" xfId="40066"/>
    <cellStyle name="Comma 16 3 2 2 2 6" xfId="40067"/>
    <cellStyle name="Comma 16 3 2 2 2 6 2" xfId="40068"/>
    <cellStyle name="Comma 16 3 2 2 2 6 3" xfId="40069"/>
    <cellStyle name="Comma 16 3 2 2 2 7" xfId="40070"/>
    <cellStyle name="Comma 16 3 2 2 2 7 2" xfId="40071"/>
    <cellStyle name="Comma 16 3 2 2 2 8" xfId="40072"/>
    <cellStyle name="Comma 16 3 2 2 2 9" xfId="40073"/>
    <cellStyle name="Comma 16 3 2 2 3" xfId="40074"/>
    <cellStyle name="Comma 16 3 2 2 3 2" xfId="40075"/>
    <cellStyle name="Comma 16 3 2 2 3 2 2" xfId="40076"/>
    <cellStyle name="Comma 16 3 2 2 3 2 3" xfId="40077"/>
    <cellStyle name="Comma 16 3 2 2 3 3" xfId="40078"/>
    <cellStyle name="Comma 16 3 2 2 3 3 2" xfId="40079"/>
    <cellStyle name="Comma 16 3 2 2 3 3 3" xfId="40080"/>
    <cellStyle name="Comma 16 3 2 2 3 4" xfId="40081"/>
    <cellStyle name="Comma 16 3 2 2 3 4 2" xfId="40082"/>
    <cellStyle name="Comma 16 3 2 2 3 5" xfId="40083"/>
    <cellStyle name="Comma 16 3 2 2 3 6" xfId="40084"/>
    <cellStyle name="Comma 16 3 2 2 4" xfId="40085"/>
    <cellStyle name="Comma 16 3 2 2 4 2" xfId="40086"/>
    <cellStyle name="Comma 16 3 2 2 4 2 2" xfId="40087"/>
    <cellStyle name="Comma 16 3 2 2 4 2 3" xfId="40088"/>
    <cellStyle name="Comma 16 3 2 2 4 3" xfId="40089"/>
    <cellStyle name="Comma 16 3 2 2 4 3 2" xfId="40090"/>
    <cellStyle name="Comma 16 3 2 2 4 3 3" xfId="40091"/>
    <cellStyle name="Comma 16 3 2 2 4 4" xfId="40092"/>
    <cellStyle name="Comma 16 3 2 2 4 4 2" xfId="40093"/>
    <cellStyle name="Comma 16 3 2 2 4 5" xfId="40094"/>
    <cellStyle name="Comma 16 3 2 2 4 6" xfId="40095"/>
    <cellStyle name="Comma 16 3 2 2 5" xfId="40096"/>
    <cellStyle name="Comma 16 3 2 2 5 2" xfId="40097"/>
    <cellStyle name="Comma 16 3 2 2 5 2 2" xfId="40098"/>
    <cellStyle name="Comma 16 3 2 2 5 2 3" xfId="40099"/>
    <cellStyle name="Comma 16 3 2 2 5 3" xfId="40100"/>
    <cellStyle name="Comma 16 3 2 2 5 3 2" xfId="40101"/>
    <cellStyle name="Comma 16 3 2 2 5 4" xfId="40102"/>
    <cellStyle name="Comma 16 3 2 2 5 5" xfId="40103"/>
    <cellStyle name="Comma 16 3 2 2 6" xfId="40104"/>
    <cellStyle name="Comma 16 3 2 2 6 2" xfId="40105"/>
    <cellStyle name="Comma 16 3 2 2 6 3" xfId="40106"/>
    <cellStyle name="Comma 16 3 2 2 7" xfId="40107"/>
    <cellStyle name="Comma 16 3 2 2 7 2" xfId="40108"/>
    <cellStyle name="Comma 16 3 2 2 7 3" xfId="40109"/>
    <cellStyle name="Comma 16 3 2 2 8" xfId="40110"/>
    <cellStyle name="Comma 16 3 2 2 8 2" xfId="40111"/>
    <cellStyle name="Comma 16 3 2 2 9" xfId="40112"/>
    <cellStyle name="Comma 16 3 2 3" xfId="40113"/>
    <cellStyle name="Comma 16 3 2 3 2" xfId="40114"/>
    <cellStyle name="Comma 16 3 2 3 2 2" xfId="40115"/>
    <cellStyle name="Comma 16 3 2 3 2 2 2" xfId="40116"/>
    <cellStyle name="Comma 16 3 2 3 2 2 3" xfId="40117"/>
    <cellStyle name="Comma 16 3 2 3 2 3" xfId="40118"/>
    <cellStyle name="Comma 16 3 2 3 2 3 2" xfId="40119"/>
    <cellStyle name="Comma 16 3 2 3 2 3 3" xfId="40120"/>
    <cellStyle name="Comma 16 3 2 3 2 4" xfId="40121"/>
    <cellStyle name="Comma 16 3 2 3 2 4 2" xfId="40122"/>
    <cellStyle name="Comma 16 3 2 3 2 5" xfId="40123"/>
    <cellStyle name="Comma 16 3 2 3 2 6" xfId="40124"/>
    <cellStyle name="Comma 16 3 2 3 3" xfId="40125"/>
    <cellStyle name="Comma 16 3 2 3 3 2" xfId="40126"/>
    <cellStyle name="Comma 16 3 2 3 3 2 2" xfId="40127"/>
    <cellStyle name="Comma 16 3 2 3 3 2 3" xfId="40128"/>
    <cellStyle name="Comma 16 3 2 3 3 3" xfId="40129"/>
    <cellStyle name="Comma 16 3 2 3 3 3 2" xfId="40130"/>
    <cellStyle name="Comma 16 3 2 3 3 3 3" xfId="40131"/>
    <cellStyle name="Comma 16 3 2 3 3 4" xfId="40132"/>
    <cellStyle name="Comma 16 3 2 3 3 4 2" xfId="40133"/>
    <cellStyle name="Comma 16 3 2 3 3 5" xfId="40134"/>
    <cellStyle name="Comma 16 3 2 3 3 6" xfId="40135"/>
    <cellStyle name="Comma 16 3 2 3 4" xfId="40136"/>
    <cellStyle name="Comma 16 3 2 3 4 2" xfId="40137"/>
    <cellStyle name="Comma 16 3 2 3 4 2 2" xfId="40138"/>
    <cellStyle name="Comma 16 3 2 3 4 2 3" xfId="40139"/>
    <cellStyle name="Comma 16 3 2 3 4 3" xfId="40140"/>
    <cellStyle name="Comma 16 3 2 3 4 3 2" xfId="40141"/>
    <cellStyle name="Comma 16 3 2 3 4 4" xfId="40142"/>
    <cellStyle name="Comma 16 3 2 3 4 5" xfId="40143"/>
    <cellStyle name="Comma 16 3 2 3 5" xfId="40144"/>
    <cellStyle name="Comma 16 3 2 3 5 2" xfId="40145"/>
    <cellStyle name="Comma 16 3 2 3 5 3" xfId="40146"/>
    <cellStyle name="Comma 16 3 2 3 6" xfId="40147"/>
    <cellStyle name="Comma 16 3 2 3 6 2" xfId="40148"/>
    <cellStyle name="Comma 16 3 2 3 6 3" xfId="40149"/>
    <cellStyle name="Comma 16 3 2 3 7" xfId="40150"/>
    <cellStyle name="Comma 16 3 2 3 7 2" xfId="40151"/>
    <cellStyle name="Comma 16 3 2 3 8" xfId="40152"/>
    <cellStyle name="Comma 16 3 2 3 9" xfId="40153"/>
    <cellStyle name="Comma 16 3 2 4" xfId="40154"/>
    <cellStyle name="Comma 16 3 2 4 2" xfId="40155"/>
    <cellStyle name="Comma 16 3 2 4 2 2" xfId="40156"/>
    <cellStyle name="Comma 16 3 2 4 2 2 2" xfId="40157"/>
    <cellStyle name="Comma 16 3 2 4 2 2 3" xfId="40158"/>
    <cellStyle name="Comma 16 3 2 4 2 3" xfId="40159"/>
    <cellStyle name="Comma 16 3 2 4 2 3 2" xfId="40160"/>
    <cellStyle name="Comma 16 3 2 4 2 3 3" xfId="40161"/>
    <cellStyle name="Comma 16 3 2 4 2 4" xfId="40162"/>
    <cellStyle name="Comma 16 3 2 4 2 4 2" xfId="40163"/>
    <cellStyle name="Comma 16 3 2 4 2 5" xfId="40164"/>
    <cellStyle name="Comma 16 3 2 4 2 6" xfId="40165"/>
    <cellStyle name="Comma 16 3 2 4 3" xfId="40166"/>
    <cellStyle name="Comma 16 3 2 4 3 2" xfId="40167"/>
    <cellStyle name="Comma 16 3 2 4 3 2 2" xfId="40168"/>
    <cellStyle name="Comma 16 3 2 4 3 2 3" xfId="40169"/>
    <cellStyle name="Comma 16 3 2 4 3 3" xfId="40170"/>
    <cellStyle name="Comma 16 3 2 4 3 3 2" xfId="40171"/>
    <cellStyle name="Comma 16 3 2 4 3 3 3" xfId="40172"/>
    <cellStyle name="Comma 16 3 2 4 3 4" xfId="40173"/>
    <cellStyle name="Comma 16 3 2 4 3 4 2" xfId="40174"/>
    <cellStyle name="Comma 16 3 2 4 3 5" xfId="40175"/>
    <cellStyle name="Comma 16 3 2 4 3 6" xfId="40176"/>
    <cellStyle name="Comma 16 3 2 4 4" xfId="40177"/>
    <cellStyle name="Comma 16 3 2 4 4 2" xfId="40178"/>
    <cellStyle name="Comma 16 3 2 4 4 2 2" xfId="40179"/>
    <cellStyle name="Comma 16 3 2 4 4 2 3" xfId="40180"/>
    <cellStyle name="Comma 16 3 2 4 4 3" xfId="40181"/>
    <cellStyle name="Comma 16 3 2 4 4 3 2" xfId="40182"/>
    <cellStyle name="Comma 16 3 2 4 4 4" xfId="40183"/>
    <cellStyle name="Comma 16 3 2 4 4 5" xfId="40184"/>
    <cellStyle name="Comma 16 3 2 4 5" xfId="40185"/>
    <cellStyle name="Comma 16 3 2 4 5 2" xfId="40186"/>
    <cellStyle name="Comma 16 3 2 4 5 3" xfId="40187"/>
    <cellStyle name="Comma 16 3 2 4 6" xfId="40188"/>
    <cellStyle name="Comma 16 3 2 4 6 2" xfId="40189"/>
    <cellStyle name="Comma 16 3 2 4 6 3" xfId="40190"/>
    <cellStyle name="Comma 16 3 2 4 7" xfId="40191"/>
    <cellStyle name="Comma 16 3 2 4 7 2" xfId="40192"/>
    <cellStyle name="Comma 16 3 2 4 8" xfId="40193"/>
    <cellStyle name="Comma 16 3 2 4 9" xfId="40194"/>
    <cellStyle name="Comma 16 3 2 5" xfId="40195"/>
    <cellStyle name="Comma 16 3 2 5 2" xfId="40196"/>
    <cellStyle name="Comma 16 3 2 5 2 2" xfId="40197"/>
    <cellStyle name="Comma 16 3 2 5 2 3" xfId="40198"/>
    <cellStyle name="Comma 16 3 2 5 3" xfId="40199"/>
    <cellStyle name="Comma 16 3 2 5 3 2" xfId="40200"/>
    <cellStyle name="Comma 16 3 2 5 3 3" xfId="40201"/>
    <cellStyle name="Comma 16 3 2 5 4" xfId="40202"/>
    <cellStyle name="Comma 16 3 2 5 4 2" xfId="40203"/>
    <cellStyle name="Comma 16 3 2 5 5" xfId="40204"/>
    <cellStyle name="Comma 16 3 2 5 6" xfId="40205"/>
    <cellStyle name="Comma 16 3 2 6" xfId="40206"/>
    <cellStyle name="Comma 16 3 2 6 2" xfId="40207"/>
    <cellStyle name="Comma 16 3 2 6 2 2" xfId="40208"/>
    <cellStyle name="Comma 16 3 2 6 2 3" xfId="40209"/>
    <cellStyle name="Comma 16 3 2 6 3" xfId="40210"/>
    <cellStyle name="Comma 16 3 2 6 3 2" xfId="40211"/>
    <cellStyle name="Comma 16 3 2 6 3 3" xfId="40212"/>
    <cellStyle name="Comma 16 3 2 6 4" xfId="40213"/>
    <cellStyle name="Comma 16 3 2 6 4 2" xfId="40214"/>
    <cellStyle name="Comma 16 3 2 6 5" xfId="40215"/>
    <cellStyle name="Comma 16 3 2 6 6" xfId="40216"/>
    <cellStyle name="Comma 16 3 2 7" xfId="40217"/>
    <cellStyle name="Comma 16 3 2 7 2" xfId="40218"/>
    <cellStyle name="Comma 16 3 2 7 2 2" xfId="40219"/>
    <cellStyle name="Comma 16 3 2 7 2 3" xfId="40220"/>
    <cellStyle name="Comma 16 3 2 7 3" xfId="40221"/>
    <cellStyle name="Comma 16 3 2 7 3 2" xfId="40222"/>
    <cellStyle name="Comma 16 3 2 7 4" xfId="40223"/>
    <cellStyle name="Comma 16 3 2 7 5" xfId="40224"/>
    <cellStyle name="Comma 16 3 2 8" xfId="40225"/>
    <cellStyle name="Comma 16 3 2 8 2" xfId="40226"/>
    <cellStyle name="Comma 16 3 2 8 3" xfId="40227"/>
    <cellStyle name="Comma 16 3 2 9" xfId="40228"/>
    <cellStyle name="Comma 16 3 2 9 2" xfId="40229"/>
    <cellStyle name="Comma 16 3 2 9 3" xfId="40230"/>
    <cellStyle name="Comma 16 3 3" xfId="40231"/>
    <cellStyle name="Comma 16 3 3 10" xfId="40232"/>
    <cellStyle name="Comma 16 3 3 2" xfId="40233"/>
    <cellStyle name="Comma 16 3 3 2 2" xfId="40234"/>
    <cellStyle name="Comma 16 3 3 2 2 2" xfId="40235"/>
    <cellStyle name="Comma 16 3 3 2 2 2 2" xfId="40236"/>
    <cellStyle name="Comma 16 3 3 2 2 2 3" xfId="40237"/>
    <cellStyle name="Comma 16 3 3 2 2 3" xfId="40238"/>
    <cellStyle name="Comma 16 3 3 2 2 3 2" xfId="40239"/>
    <cellStyle name="Comma 16 3 3 2 2 3 3" xfId="40240"/>
    <cellStyle name="Comma 16 3 3 2 2 4" xfId="40241"/>
    <cellStyle name="Comma 16 3 3 2 2 4 2" xfId="40242"/>
    <cellStyle name="Comma 16 3 3 2 2 5" xfId="40243"/>
    <cellStyle name="Comma 16 3 3 2 2 6" xfId="40244"/>
    <cellStyle name="Comma 16 3 3 2 3" xfId="40245"/>
    <cellStyle name="Comma 16 3 3 2 3 2" xfId="40246"/>
    <cellStyle name="Comma 16 3 3 2 3 2 2" xfId="40247"/>
    <cellStyle name="Comma 16 3 3 2 3 2 3" xfId="40248"/>
    <cellStyle name="Comma 16 3 3 2 3 3" xfId="40249"/>
    <cellStyle name="Comma 16 3 3 2 3 3 2" xfId="40250"/>
    <cellStyle name="Comma 16 3 3 2 3 3 3" xfId="40251"/>
    <cellStyle name="Comma 16 3 3 2 3 4" xfId="40252"/>
    <cellStyle name="Comma 16 3 3 2 3 4 2" xfId="40253"/>
    <cellStyle name="Comma 16 3 3 2 3 5" xfId="40254"/>
    <cellStyle name="Comma 16 3 3 2 3 6" xfId="40255"/>
    <cellStyle name="Comma 16 3 3 2 4" xfId="40256"/>
    <cellStyle name="Comma 16 3 3 2 4 2" xfId="40257"/>
    <cellStyle name="Comma 16 3 3 2 4 2 2" xfId="40258"/>
    <cellStyle name="Comma 16 3 3 2 4 2 3" xfId="40259"/>
    <cellStyle name="Comma 16 3 3 2 4 3" xfId="40260"/>
    <cellStyle name="Comma 16 3 3 2 4 3 2" xfId="40261"/>
    <cellStyle name="Comma 16 3 3 2 4 4" xfId="40262"/>
    <cellStyle name="Comma 16 3 3 2 4 5" xfId="40263"/>
    <cellStyle name="Comma 16 3 3 2 5" xfId="40264"/>
    <cellStyle name="Comma 16 3 3 2 5 2" xfId="40265"/>
    <cellStyle name="Comma 16 3 3 2 5 3" xfId="40266"/>
    <cellStyle name="Comma 16 3 3 2 6" xfId="40267"/>
    <cellStyle name="Comma 16 3 3 2 6 2" xfId="40268"/>
    <cellStyle name="Comma 16 3 3 2 6 3" xfId="40269"/>
    <cellStyle name="Comma 16 3 3 2 7" xfId="40270"/>
    <cellStyle name="Comma 16 3 3 2 7 2" xfId="40271"/>
    <cellStyle name="Comma 16 3 3 2 8" xfId="40272"/>
    <cellStyle name="Comma 16 3 3 2 9" xfId="40273"/>
    <cellStyle name="Comma 16 3 3 3" xfId="40274"/>
    <cellStyle name="Comma 16 3 3 3 2" xfId="40275"/>
    <cellStyle name="Comma 16 3 3 3 2 2" xfId="40276"/>
    <cellStyle name="Comma 16 3 3 3 2 3" xfId="40277"/>
    <cellStyle name="Comma 16 3 3 3 3" xfId="40278"/>
    <cellStyle name="Comma 16 3 3 3 3 2" xfId="40279"/>
    <cellStyle name="Comma 16 3 3 3 3 3" xfId="40280"/>
    <cellStyle name="Comma 16 3 3 3 4" xfId="40281"/>
    <cellStyle name="Comma 16 3 3 3 4 2" xfId="40282"/>
    <cellStyle name="Comma 16 3 3 3 5" xfId="40283"/>
    <cellStyle name="Comma 16 3 3 3 6" xfId="40284"/>
    <cellStyle name="Comma 16 3 3 4" xfId="40285"/>
    <cellStyle name="Comma 16 3 3 4 2" xfId="40286"/>
    <cellStyle name="Comma 16 3 3 4 2 2" xfId="40287"/>
    <cellStyle name="Comma 16 3 3 4 2 3" xfId="40288"/>
    <cellStyle name="Comma 16 3 3 4 3" xfId="40289"/>
    <cellStyle name="Comma 16 3 3 4 3 2" xfId="40290"/>
    <cellStyle name="Comma 16 3 3 4 3 3" xfId="40291"/>
    <cellStyle name="Comma 16 3 3 4 4" xfId="40292"/>
    <cellStyle name="Comma 16 3 3 4 4 2" xfId="40293"/>
    <cellStyle name="Comma 16 3 3 4 5" xfId="40294"/>
    <cellStyle name="Comma 16 3 3 4 6" xfId="40295"/>
    <cellStyle name="Comma 16 3 3 5" xfId="40296"/>
    <cellStyle name="Comma 16 3 3 5 2" xfId="40297"/>
    <cellStyle name="Comma 16 3 3 5 2 2" xfId="40298"/>
    <cellStyle name="Comma 16 3 3 5 2 3" xfId="40299"/>
    <cellStyle name="Comma 16 3 3 5 3" xfId="40300"/>
    <cellStyle name="Comma 16 3 3 5 3 2" xfId="40301"/>
    <cellStyle name="Comma 16 3 3 5 4" xfId="40302"/>
    <cellStyle name="Comma 16 3 3 5 5" xfId="40303"/>
    <cellStyle name="Comma 16 3 3 6" xfId="40304"/>
    <cellStyle name="Comma 16 3 3 6 2" xfId="40305"/>
    <cellStyle name="Comma 16 3 3 6 3" xfId="40306"/>
    <cellStyle name="Comma 16 3 3 7" xfId="40307"/>
    <cellStyle name="Comma 16 3 3 7 2" xfId="40308"/>
    <cellStyle name="Comma 16 3 3 7 3" xfId="40309"/>
    <cellStyle name="Comma 16 3 3 8" xfId="40310"/>
    <cellStyle name="Comma 16 3 3 8 2" xfId="40311"/>
    <cellStyle name="Comma 16 3 3 9" xfId="40312"/>
    <cellStyle name="Comma 16 3 4" xfId="40313"/>
    <cellStyle name="Comma 16 3 4 2" xfId="40314"/>
    <cellStyle name="Comma 16 3 4 2 2" xfId="40315"/>
    <cellStyle name="Comma 16 3 4 2 2 2" xfId="40316"/>
    <cellStyle name="Comma 16 3 4 2 2 3" xfId="40317"/>
    <cellStyle name="Comma 16 3 4 2 3" xfId="40318"/>
    <cellStyle name="Comma 16 3 4 2 3 2" xfId="40319"/>
    <cellStyle name="Comma 16 3 4 2 3 3" xfId="40320"/>
    <cellStyle name="Comma 16 3 4 2 4" xfId="40321"/>
    <cellStyle name="Comma 16 3 4 2 4 2" xfId="40322"/>
    <cellStyle name="Comma 16 3 4 2 5" xfId="40323"/>
    <cellStyle name="Comma 16 3 4 2 6" xfId="40324"/>
    <cellStyle name="Comma 16 3 4 3" xfId="40325"/>
    <cellStyle name="Comma 16 3 4 3 2" xfId="40326"/>
    <cellStyle name="Comma 16 3 4 3 2 2" xfId="40327"/>
    <cellStyle name="Comma 16 3 4 3 2 3" xfId="40328"/>
    <cellStyle name="Comma 16 3 4 3 3" xfId="40329"/>
    <cellStyle name="Comma 16 3 4 3 3 2" xfId="40330"/>
    <cellStyle name="Comma 16 3 4 3 3 3" xfId="40331"/>
    <cellStyle name="Comma 16 3 4 3 4" xfId="40332"/>
    <cellStyle name="Comma 16 3 4 3 4 2" xfId="40333"/>
    <cellStyle name="Comma 16 3 4 3 5" xfId="40334"/>
    <cellStyle name="Comma 16 3 4 3 6" xfId="40335"/>
    <cellStyle name="Comma 16 3 4 4" xfId="40336"/>
    <cellStyle name="Comma 16 3 4 4 2" xfId="40337"/>
    <cellStyle name="Comma 16 3 4 4 2 2" xfId="40338"/>
    <cellStyle name="Comma 16 3 4 4 2 3" xfId="40339"/>
    <cellStyle name="Comma 16 3 4 4 3" xfId="40340"/>
    <cellStyle name="Comma 16 3 4 4 3 2" xfId="40341"/>
    <cellStyle name="Comma 16 3 4 4 4" xfId="40342"/>
    <cellStyle name="Comma 16 3 4 4 5" xfId="40343"/>
    <cellStyle name="Comma 16 3 4 5" xfId="40344"/>
    <cellStyle name="Comma 16 3 4 5 2" xfId="40345"/>
    <cellStyle name="Comma 16 3 4 5 3" xfId="40346"/>
    <cellStyle name="Comma 16 3 4 6" xfId="40347"/>
    <cellStyle name="Comma 16 3 4 6 2" xfId="40348"/>
    <cellStyle name="Comma 16 3 4 6 3" xfId="40349"/>
    <cellStyle name="Comma 16 3 4 7" xfId="40350"/>
    <cellStyle name="Comma 16 3 4 7 2" xfId="40351"/>
    <cellStyle name="Comma 16 3 4 8" xfId="40352"/>
    <cellStyle name="Comma 16 3 4 9" xfId="40353"/>
    <cellStyle name="Comma 16 3 5" xfId="40354"/>
    <cellStyle name="Comma 16 3 5 2" xfId="40355"/>
    <cellStyle name="Comma 16 3 5 2 2" xfId="40356"/>
    <cellStyle name="Comma 16 3 5 2 2 2" xfId="40357"/>
    <cellStyle name="Comma 16 3 5 2 2 3" xfId="40358"/>
    <cellStyle name="Comma 16 3 5 2 3" xfId="40359"/>
    <cellStyle name="Comma 16 3 5 2 3 2" xfId="40360"/>
    <cellStyle name="Comma 16 3 5 2 3 3" xfId="40361"/>
    <cellStyle name="Comma 16 3 5 2 4" xfId="40362"/>
    <cellStyle name="Comma 16 3 5 2 4 2" xfId="40363"/>
    <cellStyle name="Comma 16 3 5 2 5" xfId="40364"/>
    <cellStyle name="Comma 16 3 5 2 6" xfId="40365"/>
    <cellStyle name="Comma 16 3 5 3" xfId="40366"/>
    <cellStyle name="Comma 16 3 5 3 2" xfId="40367"/>
    <cellStyle name="Comma 16 3 5 3 2 2" xfId="40368"/>
    <cellStyle name="Comma 16 3 5 3 2 3" xfId="40369"/>
    <cellStyle name="Comma 16 3 5 3 3" xfId="40370"/>
    <cellStyle name="Comma 16 3 5 3 3 2" xfId="40371"/>
    <cellStyle name="Comma 16 3 5 3 3 3" xfId="40372"/>
    <cellStyle name="Comma 16 3 5 3 4" xfId="40373"/>
    <cellStyle name="Comma 16 3 5 3 4 2" xfId="40374"/>
    <cellStyle name="Comma 16 3 5 3 5" xfId="40375"/>
    <cellStyle name="Comma 16 3 5 3 6" xfId="40376"/>
    <cellStyle name="Comma 16 3 5 4" xfId="40377"/>
    <cellStyle name="Comma 16 3 5 4 2" xfId="40378"/>
    <cellStyle name="Comma 16 3 5 4 2 2" xfId="40379"/>
    <cellStyle name="Comma 16 3 5 4 2 3" xfId="40380"/>
    <cellStyle name="Comma 16 3 5 4 3" xfId="40381"/>
    <cellStyle name="Comma 16 3 5 4 3 2" xfId="40382"/>
    <cellStyle name="Comma 16 3 5 4 4" xfId="40383"/>
    <cellStyle name="Comma 16 3 5 4 5" xfId="40384"/>
    <cellStyle name="Comma 16 3 5 5" xfId="40385"/>
    <cellStyle name="Comma 16 3 5 5 2" xfId="40386"/>
    <cellStyle name="Comma 16 3 5 5 3" xfId="40387"/>
    <cellStyle name="Comma 16 3 5 6" xfId="40388"/>
    <cellStyle name="Comma 16 3 5 6 2" xfId="40389"/>
    <cellStyle name="Comma 16 3 5 6 3" xfId="40390"/>
    <cellStyle name="Comma 16 3 5 7" xfId="40391"/>
    <cellStyle name="Comma 16 3 5 7 2" xfId="40392"/>
    <cellStyle name="Comma 16 3 5 8" xfId="40393"/>
    <cellStyle name="Comma 16 3 5 9" xfId="40394"/>
    <cellStyle name="Comma 16 3 6" xfId="40395"/>
    <cellStyle name="Comma 16 3 6 2" xfId="40396"/>
    <cellStyle name="Comma 16 3 6 2 2" xfId="40397"/>
    <cellStyle name="Comma 16 3 6 2 3" xfId="40398"/>
    <cellStyle name="Comma 16 3 6 3" xfId="40399"/>
    <cellStyle name="Comma 16 3 6 3 2" xfId="40400"/>
    <cellStyle name="Comma 16 3 6 3 3" xfId="40401"/>
    <cellStyle name="Comma 16 3 6 4" xfId="40402"/>
    <cellStyle name="Comma 16 3 6 4 2" xfId="40403"/>
    <cellStyle name="Comma 16 3 6 5" xfId="40404"/>
    <cellStyle name="Comma 16 3 6 6" xfId="40405"/>
    <cellStyle name="Comma 16 3 7" xfId="40406"/>
    <cellStyle name="Comma 16 3 7 2" xfId="40407"/>
    <cellStyle name="Comma 16 3 7 2 2" xfId="40408"/>
    <cellStyle name="Comma 16 3 7 2 3" xfId="40409"/>
    <cellStyle name="Comma 16 3 7 3" xfId="40410"/>
    <cellStyle name="Comma 16 3 7 3 2" xfId="40411"/>
    <cellStyle name="Comma 16 3 7 3 3" xfId="40412"/>
    <cellStyle name="Comma 16 3 7 4" xfId="40413"/>
    <cellStyle name="Comma 16 3 7 4 2" xfId="40414"/>
    <cellStyle name="Comma 16 3 7 5" xfId="40415"/>
    <cellStyle name="Comma 16 3 7 6" xfId="40416"/>
    <cellStyle name="Comma 16 3 8" xfId="40417"/>
    <cellStyle name="Comma 16 3 8 2" xfId="40418"/>
    <cellStyle name="Comma 16 3 8 2 2" xfId="40419"/>
    <cellStyle name="Comma 16 3 8 2 3" xfId="40420"/>
    <cellStyle name="Comma 16 3 8 3" xfId="40421"/>
    <cellStyle name="Comma 16 3 8 3 2" xfId="40422"/>
    <cellStyle name="Comma 16 3 8 4" xfId="40423"/>
    <cellStyle name="Comma 16 3 8 5" xfId="40424"/>
    <cellStyle name="Comma 16 3 9" xfId="40425"/>
    <cellStyle name="Comma 16 3 9 2" xfId="40426"/>
    <cellStyle name="Comma 16 3 9 3" xfId="40427"/>
    <cellStyle name="Comma 16 4" xfId="40428"/>
    <cellStyle name="Comma 16 4 10" xfId="40429"/>
    <cellStyle name="Comma 16 4 10 2" xfId="40430"/>
    <cellStyle name="Comma 16 4 11" xfId="40431"/>
    <cellStyle name="Comma 16 4 12" xfId="40432"/>
    <cellStyle name="Comma 16 4 2" xfId="40433"/>
    <cellStyle name="Comma 16 4 2 10" xfId="40434"/>
    <cellStyle name="Comma 16 4 2 2" xfId="40435"/>
    <cellStyle name="Comma 16 4 2 2 2" xfId="40436"/>
    <cellStyle name="Comma 16 4 2 2 2 2" xfId="40437"/>
    <cellStyle name="Comma 16 4 2 2 2 2 2" xfId="40438"/>
    <cellStyle name="Comma 16 4 2 2 2 2 3" xfId="40439"/>
    <cellStyle name="Comma 16 4 2 2 2 3" xfId="40440"/>
    <cellStyle name="Comma 16 4 2 2 2 3 2" xfId="40441"/>
    <cellStyle name="Comma 16 4 2 2 2 3 3" xfId="40442"/>
    <cellStyle name="Comma 16 4 2 2 2 4" xfId="40443"/>
    <cellStyle name="Comma 16 4 2 2 2 4 2" xfId="40444"/>
    <cellStyle name="Comma 16 4 2 2 2 5" xfId="40445"/>
    <cellStyle name="Comma 16 4 2 2 2 6" xfId="40446"/>
    <cellStyle name="Comma 16 4 2 2 3" xfId="40447"/>
    <cellStyle name="Comma 16 4 2 2 3 2" xfId="40448"/>
    <cellStyle name="Comma 16 4 2 2 3 2 2" xfId="40449"/>
    <cellStyle name="Comma 16 4 2 2 3 2 3" xfId="40450"/>
    <cellStyle name="Comma 16 4 2 2 3 3" xfId="40451"/>
    <cellStyle name="Comma 16 4 2 2 3 3 2" xfId="40452"/>
    <cellStyle name="Comma 16 4 2 2 3 3 3" xfId="40453"/>
    <cellStyle name="Comma 16 4 2 2 3 4" xfId="40454"/>
    <cellStyle name="Comma 16 4 2 2 3 4 2" xfId="40455"/>
    <cellStyle name="Comma 16 4 2 2 3 5" xfId="40456"/>
    <cellStyle name="Comma 16 4 2 2 3 6" xfId="40457"/>
    <cellStyle name="Comma 16 4 2 2 4" xfId="40458"/>
    <cellStyle name="Comma 16 4 2 2 4 2" xfId="40459"/>
    <cellStyle name="Comma 16 4 2 2 4 2 2" xfId="40460"/>
    <cellStyle name="Comma 16 4 2 2 4 2 3" xfId="40461"/>
    <cellStyle name="Comma 16 4 2 2 4 3" xfId="40462"/>
    <cellStyle name="Comma 16 4 2 2 4 3 2" xfId="40463"/>
    <cellStyle name="Comma 16 4 2 2 4 4" xfId="40464"/>
    <cellStyle name="Comma 16 4 2 2 4 5" xfId="40465"/>
    <cellStyle name="Comma 16 4 2 2 5" xfId="40466"/>
    <cellStyle name="Comma 16 4 2 2 5 2" xfId="40467"/>
    <cellStyle name="Comma 16 4 2 2 5 3" xfId="40468"/>
    <cellStyle name="Comma 16 4 2 2 6" xfId="40469"/>
    <cellStyle name="Comma 16 4 2 2 6 2" xfId="40470"/>
    <cellStyle name="Comma 16 4 2 2 6 3" xfId="40471"/>
    <cellStyle name="Comma 16 4 2 2 7" xfId="40472"/>
    <cellStyle name="Comma 16 4 2 2 7 2" xfId="40473"/>
    <cellStyle name="Comma 16 4 2 2 8" xfId="40474"/>
    <cellStyle name="Comma 16 4 2 2 9" xfId="40475"/>
    <cellStyle name="Comma 16 4 2 3" xfId="40476"/>
    <cellStyle name="Comma 16 4 2 3 2" xfId="40477"/>
    <cellStyle name="Comma 16 4 2 3 2 2" xfId="40478"/>
    <cellStyle name="Comma 16 4 2 3 2 3" xfId="40479"/>
    <cellStyle name="Comma 16 4 2 3 3" xfId="40480"/>
    <cellStyle name="Comma 16 4 2 3 3 2" xfId="40481"/>
    <cellStyle name="Comma 16 4 2 3 3 3" xfId="40482"/>
    <cellStyle name="Comma 16 4 2 3 4" xfId="40483"/>
    <cellStyle name="Comma 16 4 2 3 4 2" xfId="40484"/>
    <cellStyle name="Comma 16 4 2 3 5" xfId="40485"/>
    <cellStyle name="Comma 16 4 2 3 6" xfId="40486"/>
    <cellStyle name="Comma 16 4 2 4" xfId="40487"/>
    <cellStyle name="Comma 16 4 2 4 2" xfId="40488"/>
    <cellStyle name="Comma 16 4 2 4 2 2" xfId="40489"/>
    <cellStyle name="Comma 16 4 2 4 2 3" xfId="40490"/>
    <cellStyle name="Comma 16 4 2 4 3" xfId="40491"/>
    <cellStyle name="Comma 16 4 2 4 3 2" xfId="40492"/>
    <cellStyle name="Comma 16 4 2 4 3 3" xfId="40493"/>
    <cellStyle name="Comma 16 4 2 4 4" xfId="40494"/>
    <cellStyle name="Comma 16 4 2 4 4 2" xfId="40495"/>
    <cellStyle name="Comma 16 4 2 4 5" xfId="40496"/>
    <cellStyle name="Comma 16 4 2 4 6" xfId="40497"/>
    <cellStyle name="Comma 16 4 2 5" xfId="40498"/>
    <cellStyle name="Comma 16 4 2 5 2" xfId="40499"/>
    <cellStyle name="Comma 16 4 2 5 2 2" xfId="40500"/>
    <cellStyle name="Comma 16 4 2 5 2 3" xfId="40501"/>
    <cellStyle name="Comma 16 4 2 5 3" xfId="40502"/>
    <cellStyle name="Comma 16 4 2 5 3 2" xfId="40503"/>
    <cellStyle name="Comma 16 4 2 5 4" xfId="40504"/>
    <cellStyle name="Comma 16 4 2 5 5" xfId="40505"/>
    <cellStyle name="Comma 16 4 2 6" xfId="40506"/>
    <cellStyle name="Comma 16 4 2 6 2" xfId="40507"/>
    <cellStyle name="Comma 16 4 2 6 3" xfId="40508"/>
    <cellStyle name="Comma 16 4 2 7" xfId="40509"/>
    <cellStyle name="Comma 16 4 2 7 2" xfId="40510"/>
    <cellStyle name="Comma 16 4 2 7 3" xfId="40511"/>
    <cellStyle name="Comma 16 4 2 8" xfId="40512"/>
    <cellStyle name="Comma 16 4 2 8 2" xfId="40513"/>
    <cellStyle name="Comma 16 4 2 9" xfId="40514"/>
    <cellStyle name="Comma 16 4 3" xfId="40515"/>
    <cellStyle name="Comma 16 4 3 2" xfId="40516"/>
    <cellStyle name="Comma 16 4 3 2 2" xfId="40517"/>
    <cellStyle name="Comma 16 4 3 2 2 2" xfId="40518"/>
    <cellStyle name="Comma 16 4 3 2 2 3" xfId="40519"/>
    <cellStyle name="Comma 16 4 3 2 3" xfId="40520"/>
    <cellStyle name="Comma 16 4 3 2 3 2" xfId="40521"/>
    <cellStyle name="Comma 16 4 3 2 3 3" xfId="40522"/>
    <cellStyle name="Comma 16 4 3 2 4" xfId="40523"/>
    <cellStyle name="Comma 16 4 3 2 4 2" xfId="40524"/>
    <cellStyle name="Comma 16 4 3 2 5" xfId="40525"/>
    <cellStyle name="Comma 16 4 3 2 6" xfId="40526"/>
    <cellStyle name="Comma 16 4 3 3" xfId="40527"/>
    <cellStyle name="Comma 16 4 3 3 2" xfId="40528"/>
    <cellStyle name="Comma 16 4 3 3 2 2" xfId="40529"/>
    <cellStyle name="Comma 16 4 3 3 2 3" xfId="40530"/>
    <cellStyle name="Comma 16 4 3 3 3" xfId="40531"/>
    <cellStyle name="Comma 16 4 3 3 3 2" xfId="40532"/>
    <cellStyle name="Comma 16 4 3 3 3 3" xfId="40533"/>
    <cellStyle name="Comma 16 4 3 3 4" xfId="40534"/>
    <cellStyle name="Comma 16 4 3 3 4 2" xfId="40535"/>
    <cellStyle name="Comma 16 4 3 3 5" xfId="40536"/>
    <cellStyle name="Comma 16 4 3 3 6" xfId="40537"/>
    <cellStyle name="Comma 16 4 3 4" xfId="40538"/>
    <cellStyle name="Comma 16 4 3 4 2" xfId="40539"/>
    <cellStyle name="Comma 16 4 3 4 2 2" xfId="40540"/>
    <cellStyle name="Comma 16 4 3 4 2 3" xfId="40541"/>
    <cellStyle name="Comma 16 4 3 4 3" xfId="40542"/>
    <cellStyle name="Comma 16 4 3 4 3 2" xfId="40543"/>
    <cellStyle name="Comma 16 4 3 4 4" xfId="40544"/>
    <cellStyle name="Comma 16 4 3 4 5" xfId="40545"/>
    <cellStyle name="Comma 16 4 3 5" xfId="40546"/>
    <cellStyle name="Comma 16 4 3 5 2" xfId="40547"/>
    <cellStyle name="Comma 16 4 3 5 3" xfId="40548"/>
    <cellStyle name="Comma 16 4 3 6" xfId="40549"/>
    <cellStyle name="Comma 16 4 3 6 2" xfId="40550"/>
    <cellStyle name="Comma 16 4 3 6 3" xfId="40551"/>
    <cellStyle name="Comma 16 4 3 7" xfId="40552"/>
    <cellStyle name="Comma 16 4 3 7 2" xfId="40553"/>
    <cellStyle name="Comma 16 4 3 8" xfId="40554"/>
    <cellStyle name="Comma 16 4 3 9" xfId="40555"/>
    <cellStyle name="Comma 16 4 4" xfId="40556"/>
    <cellStyle name="Comma 16 4 4 2" xfId="40557"/>
    <cellStyle name="Comma 16 4 4 2 2" xfId="40558"/>
    <cellStyle name="Comma 16 4 4 2 2 2" xfId="40559"/>
    <cellStyle name="Comma 16 4 4 2 2 3" xfId="40560"/>
    <cellStyle name="Comma 16 4 4 2 3" xfId="40561"/>
    <cellStyle name="Comma 16 4 4 2 3 2" xfId="40562"/>
    <cellStyle name="Comma 16 4 4 2 3 3" xfId="40563"/>
    <cellStyle name="Comma 16 4 4 2 4" xfId="40564"/>
    <cellStyle name="Comma 16 4 4 2 4 2" xfId="40565"/>
    <cellStyle name="Comma 16 4 4 2 5" xfId="40566"/>
    <cellStyle name="Comma 16 4 4 2 6" xfId="40567"/>
    <cellStyle name="Comma 16 4 4 3" xfId="40568"/>
    <cellStyle name="Comma 16 4 4 3 2" xfId="40569"/>
    <cellStyle name="Comma 16 4 4 3 2 2" xfId="40570"/>
    <cellStyle name="Comma 16 4 4 3 2 3" xfId="40571"/>
    <cellStyle name="Comma 16 4 4 3 3" xfId="40572"/>
    <cellStyle name="Comma 16 4 4 3 3 2" xfId="40573"/>
    <cellStyle name="Comma 16 4 4 3 3 3" xfId="40574"/>
    <cellStyle name="Comma 16 4 4 3 4" xfId="40575"/>
    <cellStyle name="Comma 16 4 4 3 4 2" xfId="40576"/>
    <cellStyle name="Comma 16 4 4 3 5" xfId="40577"/>
    <cellStyle name="Comma 16 4 4 3 6" xfId="40578"/>
    <cellStyle name="Comma 16 4 4 4" xfId="40579"/>
    <cellStyle name="Comma 16 4 4 4 2" xfId="40580"/>
    <cellStyle name="Comma 16 4 4 4 2 2" xfId="40581"/>
    <cellStyle name="Comma 16 4 4 4 2 3" xfId="40582"/>
    <cellStyle name="Comma 16 4 4 4 3" xfId="40583"/>
    <cellStyle name="Comma 16 4 4 4 3 2" xfId="40584"/>
    <cellStyle name="Comma 16 4 4 4 4" xfId="40585"/>
    <cellStyle name="Comma 16 4 4 4 5" xfId="40586"/>
    <cellStyle name="Comma 16 4 4 5" xfId="40587"/>
    <cellStyle name="Comma 16 4 4 5 2" xfId="40588"/>
    <cellStyle name="Comma 16 4 4 5 3" xfId="40589"/>
    <cellStyle name="Comma 16 4 4 6" xfId="40590"/>
    <cellStyle name="Comma 16 4 4 6 2" xfId="40591"/>
    <cellStyle name="Comma 16 4 4 6 3" xfId="40592"/>
    <cellStyle name="Comma 16 4 4 7" xfId="40593"/>
    <cellStyle name="Comma 16 4 4 7 2" xfId="40594"/>
    <cellStyle name="Comma 16 4 4 8" xfId="40595"/>
    <cellStyle name="Comma 16 4 4 9" xfId="40596"/>
    <cellStyle name="Comma 16 4 5" xfId="40597"/>
    <cellStyle name="Comma 16 4 5 2" xfId="40598"/>
    <cellStyle name="Comma 16 4 5 2 2" xfId="40599"/>
    <cellStyle name="Comma 16 4 5 2 3" xfId="40600"/>
    <cellStyle name="Comma 16 4 5 3" xfId="40601"/>
    <cellStyle name="Comma 16 4 5 3 2" xfId="40602"/>
    <cellStyle name="Comma 16 4 5 3 3" xfId="40603"/>
    <cellStyle name="Comma 16 4 5 4" xfId="40604"/>
    <cellStyle name="Comma 16 4 5 4 2" xfId="40605"/>
    <cellStyle name="Comma 16 4 5 5" xfId="40606"/>
    <cellStyle name="Comma 16 4 5 6" xfId="40607"/>
    <cellStyle name="Comma 16 4 6" xfId="40608"/>
    <cellStyle name="Comma 16 4 6 2" xfId="40609"/>
    <cellStyle name="Comma 16 4 6 2 2" xfId="40610"/>
    <cellStyle name="Comma 16 4 6 2 3" xfId="40611"/>
    <cellStyle name="Comma 16 4 6 3" xfId="40612"/>
    <cellStyle name="Comma 16 4 6 3 2" xfId="40613"/>
    <cellStyle name="Comma 16 4 6 3 3" xfId="40614"/>
    <cellStyle name="Comma 16 4 6 4" xfId="40615"/>
    <cellStyle name="Comma 16 4 6 4 2" xfId="40616"/>
    <cellStyle name="Comma 16 4 6 5" xfId="40617"/>
    <cellStyle name="Comma 16 4 6 6" xfId="40618"/>
    <cellStyle name="Comma 16 4 7" xfId="40619"/>
    <cellStyle name="Comma 16 4 7 2" xfId="40620"/>
    <cellStyle name="Comma 16 4 7 2 2" xfId="40621"/>
    <cellStyle name="Comma 16 4 7 2 3" xfId="40622"/>
    <cellStyle name="Comma 16 4 7 3" xfId="40623"/>
    <cellStyle name="Comma 16 4 7 3 2" xfId="40624"/>
    <cellStyle name="Comma 16 4 7 4" xfId="40625"/>
    <cellStyle name="Comma 16 4 7 5" xfId="40626"/>
    <cellStyle name="Comma 16 4 8" xfId="40627"/>
    <cellStyle name="Comma 16 4 8 2" xfId="40628"/>
    <cellStyle name="Comma 16 4 8 3" xfId="40629"/>
    <cellStyle name="Comma 16 4 9" xfId="40630"/>
    <cellStyle name="Comma 16 4 9 2" xfId="40631"/>
    <cellStyle name="Comma 16 4 9 3" xfId="40632"/>
    <cellStyle name="Comma 16 5" xfId="40633"/>
    <cellStyle name="Comma 16 5 10" xfId="40634"/>
    <cellStyle name="Comma 16 5 2" xfId="40635"/>
    <cellStyle name="Comma 16 5 2 2" xfId="40636"/>
    <cellStyle name="Comma 16 5 2 2 2" xfId="40637"/>
    <cellStyle name="Comma 16 5 2 2 2 2" xfId="40638"/>
    <cellStyle name="Comma 16 5 2 2 2 3" xfId="40639"/>
    <cellStyle name="Comma 16 5 2 2 3" xfId="40640"/>
    <cellStyle name="Comma 16 5 2 2 3 2" xfId="40641"/>
    <cellStyle name="Comma 16 5 2 2 3 3" xfId="40642"/>
    <cellStyle name="Comma 16 5 2 2 4" xfId="40643"/>
    <cellStyle name="Comma 16 5 2 2 4 2" xfId="40644"/>
    <cellStyle name="Comma 16 5 2 2 5" xfId="40645"/>
    <cellStyle name="Comma 16 5 2 2 6" xfId="40646"/>
    <cellStyle name="Comma 16 5 2 3" xfId="40647"/>
    <cellStyle name="Comma 16 5 2 3 2" xfId="40648"/>
    <cellStyle name="Comma 16 5 2 3 2 2" xfId="40649"/>
    <cellStyle name="Comma 16 5 2 3 2 3" xfId="40650"/>
    <cellStyle name="Comma 16 5 2 3 3" xfId="40651"/>
    <cellStyle name="Comma 16 5 2 3 3 2" xfId="40652"/>
    <cellStyle name="Comma 16 5 2 3 3 3" xfId="40653"/>
    <cellStyle name="Comma 16 5 2 3 4" xfId="40654"/>
    <cellStyle name="Comma 16 5 2 3 4 2" xfId="40655"/>
    <cellStyle name="Comma 16 5 2 3 5" xfId="40656"/>
    <cellStyle name="Comma 16 5 2 3 6" xfId="40657"/>
    <cellStyle name="Comma 16 5 2 4" xfId="40658"/>
    <cellStyle name="Comma 16 5 2 4 2" xfId="40659"/>
    <cellStyle name="Comma 16 5 2 4 2 2" xfId="40660"/>
    <cellStyle name="Comma 16 5 2 4 2 3" xfId="40661"/>
    <cellStyle name="Comma 16 5 2 4 3" xfId="40662"/>
    <cellStyle name="Comma 16 5 2 4 3 2" xfId="40663"/>
    <cellStyle name="Comma 16 5 2 4 4" xfId="40664"/>
    <cellStyle name="Comma 16 5 2 4 5" xfId="40665"/>
    <cellStyle name="Comma 16 5 2 5" xfId="40666"/>
    <cellStyle name="Comma 16 5 2 5 2" xfId="40667"/>
    <cellStyle name="Comma 16 5 2 5 3" xfId="40668"/>
    <cellStyle name="Comma 16 5 2 6" xfId="40669"/>
    <cellStyle name="Comma 16 5 2 6 2" xfId="40670"/>
    <cellStyle name="Comma 16 5 2 6 3" xfId="40671"/>
    <cellStyle name="Comma 16 5 2 7" xfId="40672"/>
    <cellStyle name="Comma 16 5 2 7 2" xfId="40673"/>
    <cellStyle name="Comma 16 5 2 8" xfId="40674"/>
    <cellStyle name="Comma 16 5 2 9" xfId="40675"/>
    <cellStyle name="Comma 16 5 3" xfId="40676"/>
    <cellStyle name="Comma 16 5 3 2" xfId="40677"/>
    <cellStyle name="Comma 16 5 3 2 2" xfId="40678"/>
    <cellStyle name="Comma 16 5 3 2 3" xfId="40679"/>
    <cellStyle name="Comma 16 5 3 3" xfId="40680"/>
    <cellStyle name="Comma 16 5 3 3 2" xfId="40681"/>
    <cellStyle name="Comma 16 5 3 3 3" xfId="40682"/>
    <cellStyle name="Comma 16 5 3 4" xfId="40683"/>
    <cellStyle name="Comma 16 5 3 4 2" xfId="40684"/>
    <cellStyle name="Comma 16 5 3 5" xfId="40685"/>
    <cellStyle name="Comma 16 5 3 6" xfId="40686"/>
    <cellStyle name="Comma 16 5 4" xfId="40687"/>
    <cellStyle name="Comma 16 5 4 2" xfId="40688"/>
    <cellStyle name="Comma 16 5 4 2 2" xfId="40689"/>
    <cellStyle name="Comma 16 5 4 2 3" xfId="40690"/>
    <cellStyle name="Comma 16 5 4 3" xfId="40691"/>
    <cellStyle name="Comma 16 5 4 3 2" xfId="40692"/>
    <cellStyle name="Comma 16 5 4 3 3" xfId="40693"/>
    <cellStyle name="Comma 16 5 4 4" xfId="40694"/>
    <cellStyle name="Comma 16 5 4 4 2" xfId="40695"/>
    <cellStyle name="Comma 16 5 4 5" xfId="40696"/>
    <cellStyle name="Comma 16 5 4 6" xfId="40697"/>
    <cellStyle name="Comma 16 5 5" xfId="40698"/>
    <cellStyle name="Comma 16 5 5 2" xfId="40699"/>
    <cellStyle name="Comma 16 5 5 2 2" xfId="40700"/>
    <cellStyle name="Comma 16 5 5 2 3" xfId="40701"/>
    <cellStyle name="Comma 16 5 5 3" xfId="40702"/>
    <cellStyle name="Comma 16 5 5 3 2" xfId="40703"/>
    <cellStyle name="Comma 16 5 5 4" xfId="40704"/>
    <cellStyle name="Comma 16 5 5 5" xfId="40705"/>
    <cellStyle name="Comma 16 5 6" xfId="40706"/>
    <cellStyle name="Comma 16 5 6 2" xfId="40707"/>
    <cellStyle name="Comma 16 5 6 3" xfId="40708"/>
    <cellStyle name="Comma 16 5 7" xfId="40709"/>
    <cellStyle name="Comma 16 5 7 2" xfId="40710"/>
    <cellStyle name="Comma 16 5 7 3" xfId="40711"/>
    <cellStyle name="Comma 16 5 8" xfId="40712"/>
    <cellStyle name="Comma 16 5 8 2" xfId="40713"/>
    <cellStyle name="Comma 16 5 9" xfId="40714"/>
    <cellStyle name="Comma 16 6" xfId="40715"/>
    <cellStyle name="Comma 16 6 2" xfId="40716"/>
    <cellStyle name="Comma 16 6 2 2" xfId="40717"/>
    <cellStyle name="Comma 16 6 2 2 2" xfId="40718"/>
    <cellStyle name="Comma 16 6 2 2 3" xfId="40719"/>
    <cellStyle name="Comma 16 6 2 3" xfId="40720"/>
    <cellStyle name="Comma 16 6 2 3 2" xfId="40721"/>
    <cellStyle name="Comma 16 6 2 3 3" xfId="40722"/>
    <cellStyle name="Comma 16 6 2 4" xfId="40723"/>
    <cellStyle name="Comma 16 6 2 4 2" xfId="40724"/>
    <cellStyle name="Comma 16 6 2 5" xfId="40725"/>
    <cellStyle name="Comma 16 6 2 6" xfId="40726"/>
    <cellStyle name="Comma 16 6 3" xfId="40727"/>
    <cellStyle name="Comma 16 6 3 2" xfId="40728"/>
    <cellStyle name="Comma 16 6 3 2 2" xfId="40729"/>
    <cellStyle name="Comma 16 6 3 2 3" xfId="40730"/>
    <cellStyle name="Comma 16 6 3 3" xfId="40731"/>
    <cellStyle name="Comma 16 6 3 3 2" xfId="40732"/>
    <cellStyle name="Comma 16 6 3 3 3" xfId="40733"/>
    <cellStyle name="Comma 16 6 3 4" xfId="40734"/>
    <cellStyle name="Comma 16 6 3 4 2" xfId="40735"/>
    <cellStyle name="Comma 16 6 3 5" xfId="40736"/>
    <cellStyle name="Comma 16 6 3 6" xfId="40737"/>
    <cellStyle name="Comma 16 6 4" xfId="40738"/>
    <cellStyle name="Comma 16 6 4 2" xfId="40739"/>
    <cellStyle name="Comma 16 6 4 2 2" xfId="40740"/>
    <cellStyle name="Comma 16 6 4 2 3" xfId="40741"/>
    <cellStyle name="Comma 16 6 4 3" xfId="40742"/>
    <cellStyle name="Comma 16 6 4 3 2" xfId="40743"/>
    <cellStyle name="Comma 16 6 4 4" xfId="40744"/>
    <cellStyle name="Comma 16 6 4 5" xfId="40745"/>
    <cellStyle name="Comma 16 6 5" xfId="40746"/>
    <cellStyle name="Comma 16 6 5 2" xfId="40747"/>
    <cellStyle name="Comma 16 6 5 3" xfId="40748"/>
    <cellStyle name="Comma 16 6 6" xfId="40749"/>
    <cellStyle name="Comma 16 6 6 2" xfId="40750"/>
    <cellStyle name="Comma 16 6 6 3" xfId="40751"/>
    <cellStyle name="Comma 16 6 7" xfId="40752"/>
    <cellStyle name="Comma 16 6 7 2" xfId="40753"/>
    <cellStyle name="Comma 16 6 8" xfId="40754"/>
    <cellStyle name="Comma 16 6 9" xfId="40755"/>
    <cellStyle name="Comma 16 7" xfId="40756"/>
    <cellStyle name="Comma 16 7 2" xfId="40757"/>
    <cellStyle name="Comma 16 7 2 2" xfId="40758"/>
    <cellStyle name="Comma 16 7 2 2 2" xfId="40759"/>
    <cellStyle name="Comma 16 7 2 2 3" xfId="40760"/>
    <cellStyle name="Comma 16 7 2 3" xfId="40761"/>
    <cellStyle name="Comma 16 7 2 3 2" xfId="40762"/>
    <cellStyle name="Comma 16 7 2 3 3" xfId="40763"/>
    <cellStyle name="Comma 16 7 2 4" xfId="40764"/>
    <cellStyle name="Comma 16 7 2 4 2" xfId="40765"/>
    <cellStyle name="Comma 16 7 2 5" xfId="40766"/>
    <cellStyle name="Comma 16 7 2 6" xfId="40767"/>
    <cellStyle name="Comma 16 7 3" xfId="40768"/>
    <cellStyle name="Comma 16 7 3 2" xfId="40769"/>
    <cellStyle name="Comma 16 7 3 2 2" xfId="40770"/>
    <cellStyle name="Comma 16 7 3 2 3" xfId="40771"/>
    <cellStyle name="Comma 16 7 3 3" xfId="40772"/>
    <cellStyle name="Comma 16 7 3 3 2" xfId="40773"/>
    <cellStyle name="Comma 16 7 3 3 3" xfId="40774"/>
    <cellStyle name="Comma 16 7 3 4" xfId="40775"/>
    <cellStyle name="Comma 16 7 3 4 2" xfId="40776"/>
    <cellStyle name="Comma 16 7 3 5" xfId="40777"/>
    <cellStyle name="Comma 16 7 3 6" xfId="40778"/>
    <cellStyle name="Comma 16 7 4" xfId="40779"/>
    <cellStyle name="Comma 16 7 4 2" xfId="40780"/>
    <cellStyle name="Comma 16 7 4 2 2" xfId="40781"/>
    <cellStyle name="Comma 16 7 4 2 3" xfId="40782"/>
    <cellStyle name="Comma 16 7 4 3" xfId="40783"/>
    <cellStyle name="Comma 16 7 4 3 2" xfId="40784"/>
    <cellStyle name="Comma 16 7 4 4" xfId="40785"/>
    <cellStyle name="Comma 16 7 4 5" xfId="40786"/>
    <cellStyle name="Comma 16 7 5" xfId="40787"/>
    <cellStyle name="Comma 16 7 5 2" xfId="40788"/>
    <cellStyle name="Comma 16 7 5 3" xfId="40789"/>
    <cellStyle name="Comma 16 7 6" xfId="40790"/>
    <cellStyle name="Comma 16 7 6 2" xfId="40791"/>
    <cellStyle name="Comma 16 7 6 3" xfId="40792"/>
    <cellStyle name="Comma 16 7 7" xfId="40793"/>
    <cellStyle name="Comma 16 7 7 2" xfId="40794"/>
    <cellStyle name="Comma 16 7 8" xfId="40795"/>
    <cellStyle name="Comma 16 7 9" xfId="40796"/>
    <cellStyle name="Comma 16 8" xfId="40797"/>
    <cellStyle name="Comma 16 8 2" xfId="40798"/>
    <cellStyle name="Comma 16 8 2 2" xfId="40799"/>
    <cellStyle name="Comma 16 8 2 3" xfId="40800"/>
    <cellStyle name="Comma 16 8 3" xfId="40801"/>
    <cellStyle name="Comma 16 8 3 2" xfId="40802"/>
    <cellStyle name="Comma 16 8 3 3" xfId="40803"/>
    <cellStyle name="Comma 16 8 4" xfId="40804"/>
    <cellStyle name="Comma 16 8 4 2" xfId="40805"/>
    <cellStyle name="Comma 16 8 5" xfId="40806"/>
    <cellStyle name="Comma 16 8 6" xfId="40807"/>
    <cellStyle name="Comma 16 9" xfId="40808"/>
    <cellStyle name="Comma 16 9 2" xfId="40809"/>
    <cellStyle name="Comma 16 9 2 2" xfId="40810"/>
    <cellStyle name="Comma 16 9 2 3" xfId="40811"/>
    <cellStyle name="Comma 16 9 3" xfId="40812"/>
    <cellStyle name="Comma 16 9 3 2" xfId="40813"/>
    <cellStyle name="Comma 16 9 3 3" xfId="40814"/>
    <cellStyle name="Comma 16 9 4" xfId="40815"/>
    <cellStyle name="Comma 16 9 4 2" xfId="40816"/>
    <cellStyle name="Comma 16 9 5" xfId="40817"/>
    <cellStyle name="Comma 16 9 6" xfId="40818"/>
    <cellStyle name="Comma 17" xfId="3245"/>
    <cellStyle name="Comma 17 10" xfId="40819"/>
    <cellStyle name="Comma 17 10 2" xfId="40820"/>
    <cellStyle name="Comma 17 10 2 2" xfId="40821"/>
    <cellStyle name="Comma 17 10 2 3" xfId="40822"/>
    <cellStyle name="Comma 17 10 3" xfId="40823"/>
    <cellStyle name="Comma 17 10 3 2" xfId="40824"/>
    <cellStyle name="Comma 17 10 4" xfId="40825"/>
    <cellStyle name="Comma 17 10 5" xfId="40826"/>
    <cellStyle name="Comma 17 11" xfId="40827"/>
    <cellStyle name="Comma 17 11 2" xfId="40828"/>
    <cellStyle name="Comma 17 11 3" xfId="40829"/>
    <cellStyle name="Comma 17 12" xfId="40830"/>
    <cellStyle name="Comma 17 12 2" xfId="40831"/>
    <cellStyle name="Comma 17 12 3" xfId="40832"/>
    <cellStyle name="Comma 17 13" xfId="40833"/>
    <cellStyle name="Comma 17 13 2" xfId="40834"/>
    <cellStyle name="Comma 17 14" xfId="40835"/>
    <cellStyle name="Comma 17 15" xfId="40836"/>
    <cellStyle name="Comma 17 16" xfId="40837"/>
    <cellStyle name="Comma 17 2" xfId="3246"/>
    <cellStyle name="Comma 17 2 10" xfId="40838"/>
    <cellStyle name="Comma 17 2 10 2" xfId="40839"/>
    <cellStyle name="Comma 17 2 10 3" xfId="40840"/>
    <cellStyle name="Comma 17 2 11" xfId="40841"/>
    <cellStyle name="Comma 17 2 11 2" xfId="40842"/>
    <cellStyle name="Comma 17 2 11 3" xfId="40843"/>
    <cellStyle name="Comma 17 2 12" xfId="40844"/>
    <cellStyle name="Comma 17 2 12 2" xfId="40845"/>
    <cellStyle name="Comma 17 2 13" xfId="40846"/>
    <cellStyle name="Comma 17 2 14" xfId="40847"/>
    <cellStyle name="Comma 17 2 2" xfId="40848"/>
    <cellStyle name="Comma 17 2 2 10" xfId="40849"/>
    <cellStyle name="Comma 17 2 2 10 2" xfId="40850"/>
    <cellStyle name="Comma 17 2 2 10 3" xfId="40851"/>
    <cellStyle name="Comma 17 2 2 11" xfId="40852"/>
    <cellStyle name="Comma 17 2 2 11 2" xfId="40853"/>
    <cellStyle name="Comma 17 2 2 12" xfId="40854"/>
    <cellStyle name="Comma 17 2 2 13" xfId="40855"/>
    <cellStyle name="Comma 17 2 2 2" xfId="40856"/>
    <cellStyle name="Comma 17 2 2 2 10" xfId="40857"/>
    <cellStyle name="Comma 17 2 2 2 10 2" xfId="40858"/>
    <cellStyle name="Comma 17 2 2 2 11" xfId="40859"/>
    <cellStyle name="Comma 17 2 2 2 12" xfId="40860"/>
    <cellStyle name="Comma 17 2 2 2 2" xfId="40861"/>
    <cellStyle name="Comma 17 2 2 2 2 10" xfId="40862"/>
    <cellStyle name="Comma 17 2 2 2 2 2" xfId="40863"/>
    <cellStyle name="Comma 17 2 2 2 2 2 2" xfId="40864"/>
    <cellStyle name="Comma 17 2 2 2 2 2 2 2" xfId="40865"/>
    <cellStyle name="Comma 17 2 2 2 2 2 2 2 2" xfId="40866"/>
    <cellStyle name="Comma 17 2 2 2 2 2 2 2 3" xfId="40867"/>
    <cellStyle name="Comma 17 2 2 2 2 2 2 3" xfId="40868"/>
    <cellStyle name="Comma 17 2 2 2 2 2 2 3 2" xfId="40869"/>
    <cellStyle name="Comma 17 2 2 2 2 2 2 3 3" xfId="40870"/>
    <cellStyle name="Comma 17 2 2 2 2 2 2 4" xfId="40871"/>
    <cellStyle name="Comma 17 2 2 2 2 2 2 4 2" xfId="40872"/>
    <cellStyle name="Comma 17 2 2 2 2 2 2 5" xfId="40873"/>
    <cellStyle name="Comma 17 2 2 2 2 2 2 6" xfId="40874"/>
    <cellStyle name="Comma 17 2 2 2 2 2 3" xfId="40875"/>
    <cellStyle name="Comma 17 2 2 2 2 2 3 2" xfId="40876"/>
    <cellStyle name="Comma 17 2 2 2 2 2 3 2 2" xfId="40877"/>
    <cellStyle name="Comma 17 2 2 2 2 2 3 2 3" xfId="40878"/>
    <cellStyle name="Comma 17 2 2 2 2 2 3 3" xfId="40879"/>
    <cellStyle name="Comma 17 2 2 2 2 2 3 3 2" xfId="40880"/>
    <cellStyle name="Comma 17 2 2 2 2 2 3 3 3" xfId="40881"/>
    <cellStyle name="Comma 17 2 2 2 2 2 3 4" xfId="40882"/>
    <cellStyle name="Comma 17 2 2 2 2 2 3 4 2" xfId="40883"/>
    <cellStyle name="Comma 17 2 2 2 2 2 3 5" xfId="40884"/>
    <cellStyle name="Comma 17 2 2 2 2 2 3 6" xfId="40885"/>
    <cellStyle name="Comma 17 2 2 2 2 2 4" xfId="40886"/>
    <cellStyle name="Comma 17 2 2 2 2 2 4 2" xfId="40887"/>
    <cellStyle name="Comma 17 2 2 2 2 2 4 2 2" xfId="40888"/>
    <cellStyle name="Comma 17 2 2 2 2 2 4 2 3" xfId="40889"/>
    <cellStyle name="Comma 17 2 2 2 2 2 4 3" xfId="40890"/>
    <cellStyle name="Comma 17 2 2 2 2 2 4 3 2" xfId="40891"/>
    <cellStyle name="Comma 17 2 2 2 2 2 4 4" xfId="40892"/>
    <cellStyle name="Comma 17 2 2 2 2 2 4 5" xfId="40893"/>
    <cellStyle name="Comma 17 2 2 2 2 2 5" xfId="40894"/>
    <cellStyle name="Comma 17 2 2 2 2 2 5 2" xfId="40895"/>
    <cellStyle name="Comma 17 2 2 2 2 2 5 3" xfId="40896"/>
    <cellStyle name="Comma 17 2 2 2 2 2 6" xfId="40897"/>
    <cellStyle name="Comma 17 2 2 2 2 2 6 2" xfId="40898"/>
    <cellStyle name="Comma 17 2 2 2 2 2 6 3" xfId="40899"/>
    <cellStyle name="Comma 17 2 2 2 2 2 7" xfId="40900"/>
    <cellStyle name="Comma 17 2 2 2 2 2 7 2" xfId="40901"/>
    <cellStyle name="Comma 17 2 2 2 2 2 8" xfId="40902"/>
    <cellStyle name="Comma 17 2 2 2 2 2 9" xfId="40903"/>
    <cellStyle name="Comma 17 2 2 2 2 3" xfId="40904"/>
    <cellStyle name="Comma 17 2 2 2 2 3 2" xfId="40905"/>
    <cellStyle name="Comma 17 2 2 2 2 3 2 2" xfId="40906"/>
    <cellStyle name="Comma 17 2 2 2 2 3 2 3" xfId="40907"/>
    <cellStyle name="Comma 17 2 2 2 2 3 3" xfId="40908"/>
    <cellStyle name="Comma 17 2 2 2 2 3 3 2" xfId="40909"/>
    <cellStyle name="Comma 17 2 2 2 2 3 3 3" xfId="40910"/>
    <cellStyle name="Comma 17 2 2 2 2 3 4" xfId="40911"/>
    <cellStyle name="Comma 17 2 2 2 2 3 4 2" xfId="40912"/>
    <cellStyle name="Comma 17 2 2 2 2 3 5" xfId="40913"/>
    <cellStyle name="Comma 17 2 2 2 2 3 6" xfId="40914"/>
    <cellStyle name="Comma 17 2 2 2 2 4" xfId="40915"/>
    <cellStyle name="Comma 17 2 2 2 2 4 2" xfId="40916"/>
    <cellStyle name="Comma 17 2 2 2 2 4 2 2" xfId="40917"/>
    <cellStyle name="Comma 17 2 2 2 2 4 2 3" xfId="40918"/>
    <cellStyle name="Comma 17 2 2 2 2 4 3" xfId="40919"/>
    <cellStyle name="Comma 17 2 2 2 2 4 3 2" xfId="40920"/>
    <cellStyle name="Comma 17 2 2 2 2 4 3 3" xfId="40921"/>
    <cellStyle name="Comma 17 2 2 2 2 4 4" xfId="40922"/>
    <cellStyle name="Comma 17 2 2 2 2 4 4 2" xfId="40923"/>
    <cellStyle name="Comma 17 2 2 2 2 4 5" xfId="40924"/>
    <cellStyle name="Comma 17 2 2 2 2 4 6" xfId="40925"/>
    <cellStyle name="Comma 17 2 2 2 2 5" xfId="40926"/>
    <cellStyle name="Comma 17 2 2 2 2 5 2" xfId="40927"/>
    <cellStyle name="Comma 17 2 2 2 2 5 2 2" xfId="40928"/>
    <cellStyle name="Comma 17 2 2 2 2 5 2 3" xfId="40929"/>
    <cellStyle name="Comma 17 2 2 2 2 5 3" xfId="40930"/>
    <cellStyle name="Comma 17 2 2 2 2 5 3 2" xfId="40931"/>
    <cellStyle name="Comma 17 2 2 2 2 5 4" xfId="40932"/>
    <cellStyle name="Comma 17 2 2 2 2 5 5" xfId="40933"/>
    <cellStyle name="Comma 17 2 2 2 2 6" xfId="40934"/>
    <cellStyle name="Comma 17 2 2 2 2 6 2" xfId="40935"/>
    <cellStyle name="Comma 17 2 2 2 2 6 3" xfId="40936"/>
    <cellStyle name="Comma 17 2 2 2 2 7" xfId="40937"/>
    <cellStyle name="Comma 17 2 2 2 2 7 2" xfId="40938"/>
    <cellStyle name="Comma 17 2 2 2 2 7 3" xfId="40939"/>
    <cellStyle name="Comma 17 2 2 2 2 8" xfId="40940"/>
    <cellStyle name="Comma 17 2 2 2 2 8 2" xfId="40941"/>
    <cellStyle name="Comma 17 2 2 2 2 9" xfId="40942"/>
    <cellStyle name="Comma 17 2 2 2 3" xfId="40943"/>
    <cellStyle name="Comma 17 2 2 2 3 2" xfId="40944"/>
    <cellStyle name="Comma 17 2 2 2 3 2 2" xfId="40945"/>
    <cellStyle name="Comma 17 2 2 2 3 2 2 2" xfId="40946"/>
    <cellStyle name="Comma 17 2 2 2 3 2 2 3" xfId="40947"/>
    <cellStyle name="Comma 17 2 2 2 3 2 3" xfId="40948"/>
    <cellStyle name="Comma 17 2 2 2 3 2 3 2" xfId="40949"/>
    <cellStyle name="Comma 17 2 2 2 3 2 3 3" xfId="40950"/>
    <cellStyle name="Comma 17 2 2 2 3 2 4" xfId="40951"/>
    <cellStyle name="Comma 17 2 2 2 3 2 4 2" xfId="40952"/>
    <cellStyle name="Comma 17 2 2 2 3 2 5" xfId="40953"/>
    <cellStyle name="Comma 17 2 2 2 3 2 6" xfId="40954"/>
    <cellStyle name="Comma 17 2 2 2 3 3" xfId="40955"/>
    <cellStyle name="Comma 17 2 2 2 3 3 2" xfId="40956"/>
    <cellStyle name="Comma 17 2 2 2 3 3 2 2" xfId="40957"/>
    <cellStyle name="Comma 17 2 2 2 3 3 2 3" xfId="40958"/>
    <cellStyle name="Comma 17 2 2 2 3 3 3" xfId="40959"/>
    <cellStyle name="Comma 17 2 2 2 3 3 3 2" xfId="40960"/>
    <cellStyle name="Comma 17 2 2 2 3 3 3 3" xfId="40961"/>
    <cellStyle name="Comma 17 2 2 2 3 3 4" xfId="40962"/>
    <cellStyle name="Comma 17 2 2 2 3 3 4 2" xfId="40963"/>
    <cellStyle name="Comma 17 2 2 2 3 3 5" xfId="40964"/>
    <cellStyle name="Comma 17 2 2 2 3 3 6" xfId="40965"/>
    <cellStyle name="Comma 17 2 2 2 3 4" xfId="40966"/>
    <cellStyle name="Comma 17 2 2 2 3 4 2" xfId="40967"/>
    <cellStyle name="Comma 17 2 2 2 3 4 2 2" xfId="40968"/>
    <cellStyle name="Comma 17 2 2 2 3 4 2 3" xfId="40969"/>
    <cellStyle name="Comma 17 2 2 2 3 4 3" xfId="40970"/>
    <cellStyle name="Comma 17 2 2 2 3 4 3 2" xfId="40971"/>
    <cellStyle name="Comma 17 2 2 2 3 4 4" xfId="40972"/>
    <cellStyle name="Comma 17 2 2 2 3 4 5" xfId="40973"/>
    <cellStyle name="Comma 17 2 2 2 3 5" xfId="40974"/>
    <cellStyle name="Comma 17 2 2 2 3 5 2" xfId="40975"/>
    <cellStyle name="Comma 17 2 2 2 3 5 3" xfId="40976"/>
    <cellStyle name="Comma 17 2 2 2 3 6" xfId="40977"/>
    <cellStyle name="Comma 17 2 2 2 3 6 2" xfId="40978"/>
    <cellStyle name="Comma 17 2 2 2 3 6 3" xfId="40979"/>
    <cellStyle name="Comma 17 2 2 2 3 7" xfId="40980"/>
    <cellStyle name="Comma 17 2 2 2 3 7 2" xfId="40981"/>
    <cellStyle name="Comma 17 2 2 2 3 8" xfId="40982"/>
    <cellStyle name="Comma 17 2 2 2 3 9" xfId="40983"/>
    <cellStyle name="Comma 17 2 2 2 4" xfId="40984"/>
    <cellStyle name="Comma 17 2 2 2 4 2" xfId="40985"/>
    <cellStyle name="Comma 17 2 2 2 4 2 2" xfId="40986"/>
    <cellStyle name="Comma 17 2 2 2 4 2 2 2" xfId="40987"/>
    <cellStyle name="Comma 17 2 2 2 4 2 2 3" xfId="40988"/>
    <cellStyle name="Comma 17 2 2 2 4 2 3" xfId="40989"/>
    <cellStyle name="Comma 17 2 2 2 4 2 3 2" xfId="40990"/>
    <cellStyle name="Comma 17 2 2 2 4 2 3 3" xfId="40991"/>
    <cellStyle name="Comma 17 2 2 2 4 2 4" xfId="40992"/>
    <cellStyle name="Comma 17 2 2 2 4 2 4 2" xfId="40993"/>
    <cellStyle name="Comma 17 2 2 2 4 2 5" xfId="40994"/>
    <cellStyle name="Comma 17 2 2 2 4 2 6" xfId="40995"/>
    <cellStyle name="Comma 17 2 2 2 4 3" xfId="40996"/>
    <cellStyle name="Comma 17 2 2 2 4 3 2" xfId="40997"/>
    <cellStyle name="Comma 17 2 2 2 4 3 2 2" xfId="40998"/>
    <cellStyle name="Comma 17 2 2 2 4 3 2 3" xfId="40999"/>
    <cellStyle name="Comma 17 2 2 2 4 3 3" xfId="41000"/>
    <cellStyle name="Comma 17 2 2 2 4 3 3 2" xfId="41001"/>
    <cellStyle name="Comma 17 2 2 2 4 3 3 3" xfId="41002"/>
    <cellStyle name="Comma 17 2 2 2 4 3 4" xfId="41003"/>
    <cellStyle name="Comma 17 2 2 2 4 3 4 2" xfId="41004"/>
    <cellStyle name="Comma 17 2 2 2 4 3 5" xfId="41005"/>
    <cellStyle name="Comma 17 2 2 2 4 3 6" xfId="41006"/>
    <cellStyle name="Comma 17 2 2 2 4 4" xfId="41007"/>
    <cellStyle name="Comma 17 2 2 2 4 4 2" xfId="41008"/>
    <cellStyle name="Comma 17 2 2 2 4 4 2 2" xfId="41009"/>
    <cellStyle name="Comma 17 2 2 2 4 4 2 3" xfId="41010"/>
    <cellStyle name="Comma 17 2 2 2 4 4 3" xfId="41011"/>
    <cellStyle name="Comma 17 2 2 2 4 4 3 2" xfId="41012"/>
    <cellStyle name="Comma 17 2 2 2 4 4 4" xfId="41013"/>
    <cellStyle name="Comma 17 2 2 2 4 4 5" xfId="41014"/>
    <cellStyle name="Comma 17 2 2 2 4 5" xfId="41015"/>
    <cellStyle name="Comma 17 2 2 2 4 5 2" xfId="41016"/>
    <cellStyle name="Comma 17 2 2 2 4 5 3" xfId="41017"/>
    <cellStyle name="Comma 17 2 2 2 4 6" xfId="41018"/>
    <cellStyle name="Comma 17 2 2 2 4 6 2" xfId="41019"/>
    <cellStyle name="Comma 17 2 2 2 4 6 3" xfId="41020"/>
    <cellStyle name="Comma 17 2 2 2 4 7" xfId="41021"/>
    <cellStyle name="Comma 17 2 2 2 4 7 2" xfId="41022"/>
    <cellStyle name="Comma 17 2 2 2 4 8" xfId="41023"/>
    <cellStyle name="Comma 17 2 2 2 4 9" xfId="41024"/>
    <cellStyle name="Comma 17 2 2 2 5" xfId="41025"/>
    <cellStyle name="Comma 17 2 2 2 5 2" xfId="41026"/>
    <cellStyle name="Comma 17 2 2 2 5 2 2" xfId="41027"/>
    <cellStyle name="Comma 17 2 2 2 5 2 3" xfId="41028"/>
    <cellStyle name="Comma 17 2 2 2 5 3" xfId="41029"/>
    <cellStyle name="Comma 17 2 2 2 5 3 2" xfId="41030"/>
    <cellStyle name="Comma 17 2 2 2 5 3 3" xfId="41031"/>
    <cellStyle name="Comma 17 2 2 2 5 4" xfId="41032"/>
    <cellStyle name="Comma 17 2 2 2 5 4 2" xfId="41033"/>
    <cellStyle name="Comma 17 2 2 2 5 5" xfId="41034"/>
    <cellStyle name="Comma 17 2 2 2 5 6" xfId="41035"/>
    <cellStyle name="Comma 17 2 2 2 6" xfId="41036"/>
    <cellStyle name="Comma 17 2 2 2 6 2" xfId="41037"/>
    <cellStyle name="Comma 17 2 2 2 6 2 2" xfId="41038"/>
    <cellStyle name="Comma 17 2 2 2 6 2 3" xfId="41039"/>
    <cellStyle name="Comma 17 2 2 2 6 3" xfId="41040"/>
    <cellStyle name="Comma 17 2 2 2 6 3 2" xfId="41041"/>
    <cellStyle name="Comma 17 2 2 2 6 3 3" xfId="41042"/>
    <cellStyle name="Comma 17 2 2 2 6 4" xfId="41043"/>
    <cellStyle name="Comma 17 2 2 2 6 4 2" xfId="41044"/>
    <cellStyle name="Comma 17 2 2 2 6 5" xfId="41045"/>
    <cellStyle name="Comma 17 2 2 2 6 6" xfId="41046"/>
    <cellStyle name="Comma 17 2 2 2 7" xfId="41047"/>
    <cellStyle name="Comma 17 2 2 2 7 2" xfId="41048"/>
    <cellStyle name="Comma 17 2 2 2 7 2 2" xfId="41049"/>
    <cellStyle name="Comma 17 2 2 2 7 2 3" xfId="41050"/>
    <cellStyle name="Comma 17 2 2 2 7 3" xfId="41051"/>
    <cellStyle name="Comma 17 2 2 2 7 3 2" xfId="41052"/>
    <cellStyle name="Comma 17 2 2 2 7 4" xfId="41053"/>
    <cellStyle name="Comma 17 2 2 2 7 5" xfId="41054"/>
    <cellStyle name="Comma 17 2 2 2 8" xfId="41055"/>
    <cellStyle name="Comma 17 2 2 2 8 2" xfId="41056"/>
    <cellStyle name="Comma 17 2 2 2 8 3" xfId="41057"/>
    <cellStyle name="Comma 17 2 2 2 9" xfId="41058"/>
    <cellStyle name="Comma 17 2 2 2 9 2" xfId="41059"/>
    <cellStyle name="Comma 17 2 2 2 9 3" xfId="41060"/>
    <cellStyle name="Comma 17 2 2 3" xfId="41061"/>
    <cellStyle name="Comma 17 2 2 3 10" xfId="41062"/>
    <cellStyle name="Comma 17 2 2 3 2" xfId="41063"/>
    <cellStyle name="Comma 17 2 2 3 2 2" xfId="41064"/>
    <cellStyle name="Comma 17 2 2 3 2 2 2" xfId="41065"/>
    <cellStyle name="Comma 17 2 2 3 2 2 2 2" xfId="41066"/>
    <cellStyle name="Comma 17 2 2 3 2 2 2 3" xfId="41067"/>
    <cellStyle name="Comma 17 2 2 3 2 2 3" xfId="41068"/>
    <cellStyle name="Comma 17 2 2 3 2 2 3 2" xfId="41069"/>
    <cellStyle name="Comma 17 2 2 3 2 2 3 3" xfId="41070"/>
    <cellStyle name="Comma 17 2 2 3 2 2 4" xfId="41071"/>
    <cellStyle name="Comma 17 2 2 3 2 2 4 2" xfId="41072"/>
    <cellStyle name="Comma 17 2 2 3 2 2 5" xfId="41073"/>
    <cellStyle name="Comma 17 2 2 3 2 2 6" xfId="41074"/>
    <cellStyle name="Comma 17 2 2 3 2 3" xfId="41075"/>
    <cellStyle name="Comma 17 2 2 3 2 3 2" xfId="41076"/>
    <cellStyle name="Comma 17 2 2 3 2 3 2 2" xfId="41077"/>
    <cellStyle name="Comma 17 2 2 3 2 3 2 3" xfId="41078"/>
    <cellStyle name="Comma 17 2 2 3 2 3 3" xfId="41079"/>
    <cellStyle name="Comma 17 2 2 3 2 3 3 2" xfId="41080"/>
    <cellStyle name="Comma 17 2 2 3 2 3 3 3" xfId="41081"/>
    <cellStyle name="Comma 17 2 2 3 2 3 4" xfId="41082"/>
    <cellStyle name="Comma 17 2 2 3 2 3 4 2" xfId="41083"/>
    <cellStyle name="Comma 17 2 2 3 2 3 5" xfId="41084"/>
    <cellStyle name="Comma 17 2 2 3 2 3 6" xfId="41085"/>
    <cellStyle name="Comma 17 2 2 3 2 4" xfId="41086"/>
    <cellStyle name="Comma 17 2 2 3 2 4 2" xfId="41087"/>
    <cellStyle name="Comma 17 2 2 3 2 4 2 2" xfId="41088"/>
    <cellStyle name="Comma 17 2 2 3 2 4 2 3" xfId="41089"/>
    <cellStyle name="Comma 17 2 2 3 2 4 3" xfId="41090"/>
    <cellStyle name="Comma 17 2 2 3 2 4 3 2" xfId="41091"/>
    <cellStyle name="Comma 17 2 2 3 2 4 4" xfId="41092"/>
    <cellStyle name="Comma 17 2 2 3 2 4 5" xfId="41093"/>
    <cellStyle name="Comma 17 2 2 3 2 5" xfId="41094"/>
    <cellStyle name="Comma 17 2 2 3 2 5 2" xfId="41095"/>
    <cellStyle name="Comma 17 2 2 3 2 5 3" xfId="41096"/>
    <cellStyle name="Comma 17 2 2 3 2 6" xfId="41097"/>
    <cellStyle name="Comma 17 2 2 3 2 6 2" xfId="41098"/>
    <cellStyle name="Comma 17 2 2 3 2 6 3" xfId="41099"/>
    <cellStyle name="Comma 17 2 2 3 2 7" xfId="41100"/>
    <cellStyle name="Comma 17 2 2 3 2 7 2" xfId="41101"/>
    <cellStyle name="Comma 17 2 2 3 2 8" xfId="41102"/>
    <cellStyle name="Comma 17 2 2 3 2 9" xfId="41103"/>
    <cellStyle name="Comma 17 2 2 3 3" xfId="41104"/>
    <cellStyle name="Comma 17 2 2 3 3 2" xfId="41105"/>
    <cellStyle name="Comma 17 2 2 3 3 2 2" xfId="41106"/>
    <cellStyle name="Comma 17 2 2 3 3 2 3" xfId="41107"/>
    <cellStyle name="Comma 17 2 2 3 3 3" xfId="41108"/>
    <cellStyle name="Comma 17 2 2 3 3 3 2" xfId="41109"/>
    <cellStyle name="Comma 17 2 2 3 3 3 3" xfId="41110"/>
    <cellStyle name="Comma 17 2 2 3 3 4" xfId="41111"/>
    <cellStyle name="Comma 17 2 2 3 3 4 2" xfId="41112"/>
    <cellStyle name="Comma 17 2 2 3 3 5" xfId="41113"/>
    <cellStyle name="Comma 17 2 2 3 3 6" xfId="41114"/>
    <cellStyle name="Comma 17 2 2 3 4" xfId="41115"/>
    <cellStyle name="Comma 17 2 2 3 4 2" xfId="41116"/>
    <cellStyle name="Comma 17 2 2 3 4 2 2" xfId="41117"/>
    <cellStyle name="Comma 17 2 2 3 4 2 3" xfId="41118"/>
    <cellStyle name="Comma 17 2 2 3 4 3" xfId="41119"/>
    <cellStyle name="Comma 17 2 2 3 4 3 2" xfId="41120"/>
    <cellStyle name="Comma 17 2 2 3 4 3 3" xfId="41121"/>
    <cellStyle name="Comma 17 2 2 3 4 4" xfId="41122"/>
    <cellStyle name="Comma 17 2 2 3 4 4 2" xfId="41123"/>
    <cellStyle name="Comma 17 2 2 3 4 5" xfId="41124"/>
    <cellStyle name="Comma 17 2 2 3 4 6" xfId="41125"/>
    <cellStyle name="Comma 17 2 2 3 5" xfId="41126"/>
    <cellStyle name="Comma 17 2 2 3 5 2" xfId="41127"/>
    <cellStyle name="Comma 17 2 2 3 5 2 2" xfId="41128"/>
    <cellStyle name="Comma 17 2 2 3 5 2 3" xfId="41129"/>
    <cellStyle name="Comma 17 2 2 3 5 3" xfId="41130"/>
    <cellStyle name="Comma 17 2 2 3 5 3 2" xfId="41131"/>
    <cellStyle name="Comma 17 2 2 3 5 4" xfId="41132"/>
    <cellStyle name="Comma 17 2 2 3 5 5" xfId="41133"/>
    <cellStyle name="Comma 17 2 2 3 6" xfId="41134"/>
    <cellStyle name="Comma 17 2 2 3 6 2" xfId="41135"/>
    <cellStyle name="Comma 17 2 2 3 6 3" xfId="41136"/>
    <cellStyle name="Comma 17 2 2 3 7" xfId="41137"/>
    <cellStyle name="Comma 17 2 2 3 7 2" xfId="41138"/>
    <cellStyle name="Comma 17 2 2 3 7 3" xfId="41139"/>
    <cellStyle name="Comma 17 2 2 3 8" xfId="41140"/>
    <cellStyle name="Comma 17 2 2 3 8 2" xfId="41141"/>
    <cellStyle name="Comma 17 2 2 3 9" xfId="41142"/>
    <cellStyle name="Comma 17 2 2 4" xfId="41143"/>
    <cellStyle name="Comma 17 2 2 4 2" xfId="41144"/>
    <cellStyle name="Comma 17 2 2 4 2 2" xfId="41145"/>
    <cellStyle name="Comma 17 2 2 4 2 2 2" xfId="41146"/>
    <cellStyle name="Comma 17 2 2 4 2 2 3" xfId="41147"/>
    <cellStyle name="Comma 17 2 2 4 2 3" xfId="41148"/>
    <cellStyle name="Comma 17 2 2 4 2 3 2" xfId="41149"/>
    <cellStyle name="Comma 17 2 2 4 2 3 3" xfId="41150"/>
    <cellStyle name="Comma 17 2 2 4 2 4" xfId="41151"/>
    <cellStyle name="Comma 17 2 2 4 2 4 2" xfId="41152"/>
    <cellStyle name="Comma 17 2 2 4 2 5" xfId="41153"/>
    <cellStyle name="Comma 17 2 2 4 2 6" xfId="41154"/>
    <cellStyle name="Comma 17 2 2 4 3" xfId="41155"/>
    <cellStyle name="Comma 17 2 2 4 3 2" xfId="41156"/>
    <cellStyle name="Comma 17 2 2 4 3 2 2" xfId="41157"/>
    <cellStyle name="Comma 17 2 2 4 3 2 3" xfId="41158"/>
    <cellStyle name="Comma 17 2 2 4 3 3" xfId="41159"/>
    <cellStyle name="Comma 17 2 2 4 3 3 2" xfId="41160"/>
    <cellStyle name="Comma 17 2 2 4 3 3 3" xfId="41161"/>
    <cellStyle name="Comma 17 2 2 4 3 4" xfId="41162"/>
    <cellStyle name="Comma 17 2 2 4 3 4 2" xfId="41163"/>
    <cellStyle name="Comma 17 2 2 4 3 5" xfId="41164"/>
    <cellStyle name="Comma 17 2 2 4 3 6" xfId="41165"/>
    <cellStyle name="Comma 17 2 2 4 4" xfId="41166"/>
    <cellStyle name="Comma 17 2 2 4 4 2" xfId="41167"/>
    <cellStyle name="Comma 17 2 2 4 4 2 2" xfId="41168"/>
    <cellStyle name="Comma 17 2 2 4 4 2 3" xfId="41169"/>
    <cellStyle name="Comma 17 2 2 4 4 3" xfId="41170"/>
    <cellStyle name="Comma 17 2 2 4 4 3 2" xfId="41171"/>
    <cellStyle name="Comma 17 2 2 4 4 4" xfId="41172"/>
    <cellStyle name="Comma 17 2 2 4 4 5" xfId="41173"/>
    <cellStyle name="Comma 17 2 2 4 5" xfId="41174"/>
    <cellStyle name="Comma 17 2 2 4 5 2" xfId="41175"/>
    <cellStyle name="Comma 17 2 2 4 5 3" xfId="41176"/>
    <cellStyle name="Comma 17 2 2 4 6" xfId="41177"/>
    <cellStyle name="Comma 17 2 2 4 6 2" xfId="41178"/>
    <cellStyle name="Comma 17 2 2 4 6 3" xfId="41179"/>
    <cellStyle name="Comma 17 2 2 4 7" xfId="41180"/>
    <cellStyle name="Comma 17 2 2 4 7 2" xfId="41181"/>
    <cellStyle name="Comma 17 2 2 4 8" xfId="41182"/>
    <cellStyle name="Comma 17 2 2 4 9" xfId="41183"/>
    <cellStyle name="Comma 17 2 2 5" xfId="41184"/>
    <cellStyle name="Comma 17 2 2 5 2" xfId="41185"/>
    <cellStyle name="Comma 17 2 2 5 2 2" xfId="41186"/>
    <cellStyle name="Comma 17 2 2 5 2 2 2" xfId="41187"/>
    <cellStyle name="Comma 17 2 2 5 2 2 3" xfId="41188"/>
    <cellStyle name="Comma 17 2 2 5 2 3" xfId="41189"/>
    <cellStyle name="Comma 17 2 2 5 2 3 2" xfId="41190"/>
    <cellStyle name="Comma 17 2 2 5 2 3 3" xfId="41191"/>
    <cellStyle name="Comma 17 2 2 5 2 4" xfId="41192"/>
    <cellStyle name="Comma 17 2 2 5 2 4 2" xfId="41193"/>
    <cellStyle name="Comma 17 2 2 5 2 5" xfId="41194"/>
    <cellStyle name="Comma 17 2 2 5 2 6" xfId="41195"/>
    <cellStyle name="Comma 17 2 2 5 3" xfId="41196"/>
    <cellStyle name="Comma 17 2 2 5 3 2" xfId="41197"/>
    <cellStyle name="Comma 17 2 2 5 3 2 2" xfId="41198"/>
    <cellStyle name="Comma 17 2 2 5 3 2 3" xfId="41199"/>
    <cellStyle name="Comma 17 2 2 5 3 3" xfId="41200"/>
    <cellStyle name="Comma 17 2 2 5 3 3 2" xfId="41201"/>
    <cellStyle name="Comma 17 2 2 5 3 3 3" xfId="41202"/>
    <cellStyle name="Comma 17 2 2 5 3 4" xfId="41203"/>
    <cellStyle name="Comma 17 2 2 5 3 4 2" xfId="41204"/>
    <cellStyle name="Comma 17 2 2 5 3 5" xfId="41205"/>
    <cellStyle name="Comma 17 2 2 5 3 6" xfId="41206"/>
    <cellStyle name="Comma 17 2 2 5 4" xfId="41207"/>
    <cellStyle name="Comma 17 2 2 5 4 2" xfId="41208"/>
    <cellStyle name="Comma 17 2 2 5 4 2 2" xfId="41209"/>
    <cellStyle name="Comma 17 2 2 5 4 2 3" xfId="41210"/>
    <cellStyle name="Comma 17 2 2 5 4 3" xfId="41211"/>
    <cellStyle name="Comma 17 2 2 5 4 3 2" xfId="41212"/>
    <cellStyle name="Comma 17 2 2 5 4 4" xfId="41213"/>
    <cellStyle name="Comma 17 2 2 5 4 5" xfId="41214"/>
    <cellStyle name="Comma 17 2 2 5 5" xfId="41215"/>
    <cellStyle name="Comma 17 2 2 5 5 2" xfId="41216"/>
    <cellStyle name="Comma 17 2 2 5 5 3" xfId="41217"/>
    <cellStyle name="Comma 17 2 2 5 6" xfId="41218"/>
    <cellStyle name="Comma 17 2 2 5 6 2" xfId="41219"/>
    <cellStyle name="Comma 17 2 2 5 6 3" xfId="41220"/>
    <cellStyle name="Comma 17 2 2 5 7" xfId="41221"/>
    <cellStyle name="Comma 17 2 2 5 7 2" xfId="41222"/>
    <cellStyle name="Comma 17 2 2 5 8" xfId="41223"/>
    <cellStyle name="Comma 17 2 2 5 9" xfId="41224"/>
    <cellStyle name="Comma 17 2 2 6" xfId="41225"/>
    <cellStyle name="Comma 17 2 2 6 2" xfId="41226"/>
    <cellStyle name="Comma 17 2 2 6 2 2" xfId="41227"/>
    <cellStyle name="Comma 17 2 2 6 2 3" xfId="41228"/>
    <cellStyle name="Comma 17 2 2 6 3" xfId="41229"/>
    <cellStyle name="Comma 17 2 2 6 3 2" xfId="41230"/>
    <cellStyle name="Comma 17 2 2 6 3 3" xfId="41231"/>
    <cellStyle name="Comma 17 2 2 6 4" xfId="41232"/>
    <cellStyle name="Comma 17 2 2 6 4 2" xfId="41233"/>
    <cellStyle name="Comma 17 2 2 6 5" xfId="41234"/>
    <cellStyle name="Comma 17 2 2 6 6" xfId="41235"/>
    <cellStyle name="Comma 17 2 2 7" xfId="41236"/>
    <cellStyle name="Comma 17 2 2 7 2" xfId="41237"/>
    <cellStyle name="Comma 17 2 2 7 2 2" xfId="41238"/>
    <cellStyle name="Comma 17 2 2 7 2 3" xfId="41239"/>
    <cellStyle name="Comma 17 2 2 7 3" xfId="41240"/>
    <cellStyle name="Comma 17 2 2 7 3 2" xfId="41241"/>
    <cellStyle name="Comma 17 2 2 7 3 3" xfId="41242"/>
    <cellStyle name="Comma 17 2 2 7 4" xfId="41243"/>
    <cellStyle name="Comma 17 2 2 7 4 2" xfId="41244"/>
    <cellStyle name="Comma 17 2 2 7 5" xfId="41245"/>
    <cellStyle name="Comma 17 2 2 7 6" xfId="41246"/>
    <cellStyle name="Comma 17 2 2 8" xfId="41247"/>
    <cellStyle name="Comma 17 2 2 8 2" xfId="41248"/>
    <cellStyle name="Comma 17 2 2 8 2 2" xfId="41249"/>
    <cellStyle name="Comma 17 2 2 8 2 3" xfId="41250"/>
    <cellStyle name="Comma 17 2 2 8 3" xfId="41251"/>
    <cellStyle name="Comma 17 2 2 8 3 2" xfId="41252"/>
    <cellStyle name="Comma 17 2 2 8 4" xfId="41253"/>
    <cellStyle name="Comma 17 2 2 8 5" xfId="41254"/>
    <cellStyle name="Comma 17 2 2 9" xfId="41255"/>
    <cellStyle name="Comma 17 2 2 9 2" xfId="41256"/>
    <cellStyle name="Comma 17 2 2 9 3" xfId="41257"/>
    <cellStyle name="Comma 17 2 3" xfId="41258"/>
    <cellStyle name="Comma 17 2 3 10" xfId="41259"/>
    <cellStyle name="Comma 17 2 3 10 2" xfId="41260"/>
    <cellStyle name="Comma 17 2 3 11" xfId="41261"/>
    <cellStyle name="Comma 17 2 3 12" xfId="41262"/>
    <cellStyle name="Comma 17 2 3 2" xfId="41263"/>
    <cellStyle name="Comma 17 2 3 2 10" xfId="41264"/>
    <cellStyle name="Comma 17 2 3 2 2" xfId="41265"/>
    <cellStyle name="Comma 17 2 3 2 2 2" xfId="41266"/>
    <cellStyle name="Comma 17 2 3 2 2 2 2" xfId="41267"/>
    <cellStyle name="Comma 17 2 3 2 2 2 2 2" xfId="41268"/>
    <cellStyle name="Comma 17 2 3 2 2 2 2 3" xfId="41269"/>
    <cellStyle name="Comma 17 2 3 2 2 2 3" xfId="41270"/>
    <cellStyle name="Comma 17 2 3 2 2 2 3 2" xfId="41271"/>
    <cellStyle name="Comma 17 2 3 2 2 2 3 3" xfId="41272"/>
    <cellStyle name="Comma 17 2 3 2 2 2 4" xfId="41273"/>
    <cellStyle name="Comma 17 2 3 2 2 2 4 2" xfId="41274"/>
    <cellStyle name="Comma 17 2 3 2 2 2 5" xfId="41275"/>
    <cellStyle name="Comma 17 2 3 2 2 2 6" xfId="41276"/>
    <cellStyle name="Comma 17 2 3 2 2 3" xfId="41277"/>
    <cellStyle name="Comma 17 2 3 2 2 3 2" xfId="41278"/>
    <cellStyle name="Comma 17 2 3 2 2 3 2 2" xfId="41279"/>
    <cellStyle name="Comma 17 2 3 2 2 3 2 3" xfId="41280"/>
    <cellStyle name="Comma 17 2 3 2 2 3 3" xfId="41281"/>
    <cellStyle name="Comma 17 2 3 2 2 3 3 2" xfId="41282"/>
    <cellStyle name="Comma 17 2 3 2 2 3 3 3" xfId="41283"/>
    <cellStyle name="Comma 17 2 3 2 2 3 4" xfId="41284"/>
    <cellStyle name="Comma 17 2 3 2 2 3 4 2" xfId="41285"/>
    <cellStyle name="Comma 17 2 3 2 2 3 5" xfId="41286"/>
    <cellStyle name="Comma 17 2 3 2 2 3 6" xfId="41287"/>
    <cellStyle name="Comma 17 2 3 2 2 4" xfId="41288"/>
    <cellStyle name="Comma 17 2 3 2 2 4 2" xfId="41289"/>
    <cellStyle name="Comma 17 2 3 2 2 4 2 2" xfId="41290"/>
    <cellStyle name="Comma 17 2 3 2 2 4 2 3" xfId="41291"/>
    <cellStyle name="Comma 17 2 3 2 2 4 3" xfId="41292"/>
    <cellStyle name="Comma 17 2 3 2 2 4 3 2" xfId="41293"/>
    <cellStyle name="Comma 17 2 3 2 2 4 4" xfId="41294"/>
    <cellStyle name="Comma 17 2 3 2 2 4 5" xfId="41295"/>
    <cellStyle name="Comma 17 2 3 2 2 5" xfId="41296"/>
    <cellStyle name="Comma 17 2 3 2 2 5 2" xfId="41297"/>
    <cellStyle name="Comma 17 2 3 2 2 5 3" xfId="41298"/>
    <cellStyle name="Comma 17 2 3 2 2 6" xfId="41299"/>
    <cellStyle name="Comma 17 2 3 2 2 6 2" xfId="41300"/>
    <cellStyle name="Comma 17 2 3 2 2 6 3" xfId="41301"/>
    <cellStyle name="Comma 17 2 3 2 2 7" xfId="41302"/>
    <cellStyle name="Comma 17 2 3 2 2 7 2" xfId="41303"/>
    <cellStyle name="Comma 17 2 3 2 2 8" xfId="41304"/>
    <cellStyle name="Comma 17 2 3 2 2 9" xfId="41305"/>
    <cellStyle name="Comma 17 2 3 2 3" xfId="41306"/>
    <cellStyle name="Comma 17 2 3 2 3 2" xfId="41307"/>
    <cellStyle name="Comma 17 2 3 2 3 2 2" xfId="41308"/>
    <cellStyle name="Comma 17 2 3 2 3 2 3" xfId="41309"/>
    <cellStyle name="Comma 17 2 3 2 3 3" xfId="41310"/>
    <cellStyle name="Comma 17 2 3 2 3 3 2" xfId="41311"/>
    <cellStyle name="Comma 17 2 3 2 3 3 3" xfId="41312"/>
    <cellStyle name="Comma 17 2 3 2 3 4" xfId="41313"/>
    <cellStyle name="Comma 17 2 3 2 3 4 2" xfId="41314"/>
    <cellStyle name="Comma 17 2 3 2 3 5" xfId="41315"/>
    <cellStyle name="Comma 17 2 3 2 3 6" xfId="41316"/>
    <cellStyle name="Comma 17 2 3 2 4" xfId="41317"/>
    <cellStyle name="Comma 17 2 3 2 4 2" xfId="41318"/>
    <cellStyle name="Comma 17 2 3 2 4 2 2" xfId="41319"/>
    <cellStyle name="Comma 17 2 3 2 4 2 3" xfId="41320"/>
    <cellStyle name="Comma 17 2 3 2 4 3" xfId="41321"/>
    <cellStyle name="Comma 17 2 3 2 4 3 2" xfId="41322"/>
    <cellStyle name="Comma 17 2 3 2 4 3 3" xfId="41323"/>
    <cellStyle name="Comma 17 2 3 2 4 4" xfId="41324"/>
    <cellStyle name="Comma 17 2 3 2 4 4 2" xfId="41325"/>
    <cellStyle name="Comma 17 2 3 2 4 5" xfId="41326"/>
    <cellStyle name="Comma 17 2 3 2 4 6" xfId="41327"/>
    <cellStyle name="Comma 17 2 3 2 5" xfId="41328"/>
    <cellStyle name="Comma 17 2 3 2 5 2" xfId="41329"/>
    <cellStyle name="Comma 17 2 3 2 5 2 2" xfId="41330"/>
    <cellStyle name="Comma 17 2 3 2 5 2 3" xfId="41331"/>
    <cellStyle name="Comma 17 2 3 2 5 3" xfId="41332"/>
    <cellStyle name="Comma 17 2 3 2 5 3 2" xfId="41333"/>
    <cellStyle name="Comma 17 2 3 2 5 4" xfId="41334"/>
    <cellStyle name="Comma 17 2 3 2 5 5" xfId="41335"/>
    <cellStyle name="Comma 17 2 3 2 6" xfId="41336"/>
    <cellStyle name="Comma 17 2 3 2 6 2" xfId="41337"/>
    <cellStyle name="Comma 17 2 3 2 6 3" xfId="41338"/>
    <cellStyle name="Comma 17 2 3 2 7" xfId="41339"/>
    <cellStyle name="Comma 17 2 3 2 7 2" xfId="41340"/>
    <cellStyle name="Comma 17 2 3 2 7 3" xfId="41341"/>
    <cellStyle name="Comma 17 2 3 2 8" xfId="41342"/>
    <cellStyle name="Comma 17 2 3 2 8 2" xfId="41343"/>
    <cellStyle name="Comma 17 2 3 2 9" xfId="41344"/>
    <cellStyle name="Comma 17 2 3 3" xfId="41345"/>
    <cellStyle name="Comma 17 2 3 3 2" xfId="41346"/>
    <cellStyle name="Comma 17 2 3 3 2 2" xfId="41347"/>
    <cellStyle name="Comma 17 2 3 3 2 2 2" xfId="41348"/>
    <cellStyle name="Comma 17 2 3 3 2 2 3" xfId="41349"/>
    <cellStyle name="Comma 17 2 3 3 2 3" xfId="41350"/>
    <cellStyle name="Comma 17 2 3 3 2 3 2" xfId="41351"/>
    <cellStyle name="Comma 17 2 3 3 2 3 3" xfId="41352"/>
    <cellStyle name="Comma 17 2 3 3 2 4" xfId="41353"/>
    <cellStyle name="Comma 17 2 3 3 2 4 2" xfId="41354"/>
    <cellStyle name="Comma 17 2 3 3 2 5" xfId="41355"/>
    <cellStyle name="Comma 17 2 3 3 2 6" xfId="41356"/>
    <cellStyle name="Comma 17 2 3 3 3" xfId="41357"/>
    <cellStyle name="Comma 17 2 3 3 3 2" xfId="41358"/>
    <cellStyle name="Comma 17 2 3 3 3 2 2" xfId="41359"/>
    <cellStyle name="Comma 17 2 3 3 3 2 3" xfId="41360"/>
    <cellStyle name="Comma 17 2 3 3 3 3" xfId="41361"/>
    <cellStyle name="Comma 17 2 3 3 3 3 2" xfId="41362"/>
    <cellStyle name="Comma 17 2 3 3 3 3 3" xfId="41363"/>
    <cellStyle name="Comma 17 2 3 3 3 4" xfId="41364"/>
    <cellStyle name="Comma 17 2 3 3 3 4 2" xfId="41365"/>
    <cellStyle name="Comma 17 2 3 3 3 5" xfId="41366"/>
    <cellStyle name="Comma 17 2 3 3 3 6" xfId="41367"/>
    <cellStyle name="Comma 17 2 3 3 4" xfId="41368"/>
    <cellStyle name="Comma 17 2 3 3 4 2" xfId="41369"/>
    <cellStyle name="Comma 17 2 3 3 4 2 2" xfId="41370"/>
    <cellStyle name="Comma 17 2 3 3 4 2 3" xfId="41371"/>
    <cellStyle name="Comma 17 2 3 3 4 3" xfId="41372"/>
    <cellStyle name="Comma 17 2 3 3 4 3 2" xfId="41373"/>
    <cellStyle name="Comma 17 2 3 3 4 4" xfId="41374"/>
    <cellStyle name="Comma 17 2 3 3 4 5" xfId="41375"/>
    <cellStyle name="Comma 17 2 3 3 5" xfId="41376"/>
    <cellStyle name="Comma 17 2 3 3 5 2" xfId="41377"/>
    <cellStyle name="Comma 17 2 3 3 5 3" xfId="41378"/>
    <cellStyle name="Comma 17 2 3 3 6" xfId="41379"/>
    <cellStyle name="Comma 17 2 3 3 6 2" xfId="41380"/>
    <cellStyle name="Comma 17 2 3 3 6 3" xfId="41381"/>
    <cellStyle name="Comma 17 2 3 3 7" xfId="41382"/>
    <cellStyle name="Comma 17 2 3 3 7 2" xfId="41383"/>
    <cellStyle name="Comma 17 2 3 3 8" xfId="41384"/>
    <cellStyle name="Comma 17 2 3 3 9" xfId="41385"/>
    <cellStyle name="Comma 17 2 3 4" xfId="41386"/>
    <cellStyle name="Comma 17 2 3 4 2" xfId="41387"/>
    <cellStyle name="Comma 17 2 3 4 2 2" xfId="41388"/>
    <cellStyle name="Comma 17 2 3 4 2 2 2" xfId="41389"/>
    <cellStyle name="Comma 17 2 3 4 2 2 3" xfId="41390"/>
    <cellStyle name="Comma 17 2 3 4 2 3" xfId="41391"/>
    <cellStyle name="Comma 17 2 3 4 2 3 2" xfId="41392"/>
    <cellStyle name="Comma 17 2 3 4 2 3 3" xfId="41393"/>
    <cellStyle name="Comma 17 2 3 4 2 4" xfId="41394"/>
    <cellStyle name="Comma 17 2 3 4 2 4 2" xfId="41395"/>
    <cellStyle name="Comma 17 2 3 4 2 5" xfId="41396"/>
    <cellStyle name="Comma 17 2 3 4 2 6" xfId="41397"/>
    <cellStyle name="Comma 17 2 3 4 3" xfId="41398"/>
    <cellStyle name="Comma 17 2 3 4 3 2" xfId="41399"/>
    <cellStyle name="Comma 17 2 3 4 3 2 2" xfId="41400"/>
    <cellStyle name="Comma 17 2 3 4 3 2 3" xfId="41401"/>
    <cellStyle name="Comma 17 2 3 4 3 3" xfId="41402"/>
    <cellStyle name="Comma 17 2 3 4 3 3 2" xfId="41403"/>
    <cellStyle name="Comma 17 2 3 4 3 3 3" xfId="41404"/>
    <cellStyle name="Comma 17 2 3 4 3 4" xfId="41405"/>
    <cellStyle name="Comma 17 2 3 4 3 4 2" xfId="41406"/>
    <cellStyle name="Comma 17 2 3 4 3 5" xfId="41407"/>
    <cellStyle name="Comma 17 2 3 4 3 6" xfId="41408"/>
    <cellStyle name="Comma 17 2 3 4 4" xfId="41409"/>
    <cellStyle name="Comma 17 2 3 4 4 2" xfId="41410"/>
    <cellStyle name="Comma 17 2 3 4 4 2 2" xfId="41411"/>
    <cellStyle name="Comma 17 2 3 4 4 2 3" xfId="41412"/>
    <cellStyle name="Comma 17 2 3 4 4 3" xfId="41413"/>
    <cellStyle name="Comma 17 2 3 4 4 3 2" xfId="41414"/>
    <cellStyle name="Comma 17 2 3 4 4 4" xfId="41415"/>
    <cellStyle name="Comma 17 2 3 4 4 5" xfId="41416"/>
    <cellStyle name="Comma 17 2 3 4 5" xfId="41417"/>
    <cellStyle name="Comma 17 2 3 4 5 2" xfId="41418"/>
    <cellStyle name="Comma 17 2 3 4 5 3" xfId="41419"/>
    <cellStyle name="Comma 17 2 3 4 6" xfId="41420"/>
    <cellStyle name="Comma 17 2 3 4 6 2" xfId="41421"/>
    <cellStyle name="Comma 17 2 3 4 6 3" xfId="41422"/>
    <cellStyle name="Comma 17 2 3 4 7" xfId="41423"/>
    <cellStyle name="Comma 17 2 3 4 7 2" xfId="41424"/>
    <cellStyle name="Comma 17 2 3 4 8" xfId="41425"/>
    <cellStyle name="Comma 17 2 3 4 9" xfId="41426"/>
    <cellStyle name="Comma 17 2 3 5" xfId="41427"/>
    <cellStyle name="Comma 17 2 3 5 2" xfId="41428"/>
    <cellStyle name="Comma 17 2 3 5 2 2" xfId="41429"/>
    <cellStyle name="Comma 17 2 3 5 2 3" xfId="41430"/>
    <cellStyle name="Comma 17 2 3 5 3" xfId="41431"/>
    <cellStyle name="Comma 17 2 3 5 3 2" xfId="41432"/>
    <cellStyle name="Comma 17 2 3 5 3 3" xfId="41433"/>
    <cellStyle name="Comma 17 2 3 5 4" xfId="41434"/>
    <cellStyle name="Comma 17 2 3 5 4 2" xfId="41435"/>
    <cellStyle name="Comma 17 2 3 5 5" xfId="41436"/>
    <cellStyle name="Comma 17 2 3 5 6" xfId="41437"/>
    <cellStyle name="Comma 17 2 3 6" xfId="41438"/>
    <cellStyle name="Comma 17 2 3 6 2" xfId="41439"/>
    <cellStyle name="Comma 17 2 3 6 2 2" xfId="41440"/>
    <cellStyle name="Comma 17 2 3 6 2 3" xfId="41441"/>
    <cellStyle name="Comma 17 2 3 6 3" xfId="41442"/>
    <cellStyle name="Comma 17 2 3 6 3 2" xfId="41443"/>
    <cellStyle name="Comma 17 2 3 6 3 3" xfId="41444"/>
    <cellStyle name="Comma 17 2 3 6 4" xfId="41445"/>
    <cellStyle name="Comma 17 2 3 6 4 2" xfId="41446"/>
    <cellStyle name="Comma 17 2 3 6 5" xfId="41447"/>
    <cellStyle name="Comma 17 2 3 6 6" xfId="41448"/>
    <cellStyle name="Comma 17 2 3 7" xfId="41449"/>
    <cellStyle name="Comma 17 2 3 7 2" xfId="41450"/>
    <cellStyle name="Comma 17 2 3 7 2 2" xfId="41451"/>
    <cellStyle name="Comma 17 2 3 7 2 3" xfId="41452"/>
    <cellStyle name="Comma 17 2 3 7 3" xfId="41453"/>
    <cellStyle name="Comma 17 2 3 7 3 2" xfId="41454"/>
    <cellStyle name="Comma 17 2 3 7 4" xfId="41455"/>
    <cellStyle name="Comma 17 2 3 7 5" xfId="41456"/>
    <cellStyle name="Comma 17 2 3 8" xfId="41457"/>
    <cellStyle name="Comma 17 2 3 8 2" xfId="41458"/>
    <cellStyle name="Comma 17 2 3 8 3" xfId="41459"/>
    <cellStyle name="Comma 17 2 3 9" xfId="41460"/>
    <cellStyle name="Comma 17 2 3 9 2" xfId="41461"/>
    <cellStyle name="Comma 17 2 3 9 3" xfId="41462"/>
    <cellStyle name="Comma 17 2 4" xfId="41463"/>
    <cellStyle name="Comma 17 2 4 10" xfId="41464"/>
    <cellStyle name="Comma 17 2 4 2" xfId="41465"/>
    <cellStyle name="Comma 17 2 4 2 2" xfId="41466"/>
    <cellStyle name="Comma 17 2 4 2 2 2" xfId="41467"/>
    <cellStyle name="Comma 17 2 4 2 2 2 2" xfId="41468"/>
    <cellStyle name="Comma 17 2 4 2 2 2 3" xfId="41469"/>
    <cellStyle name="Comma 17 2 4 2 2 3" xfId="41470"/>
    <cellStyle name="Comma 17 2 4 2 2 3 2" xfId="41471"/>
    <cellStyle name="Comma 17 2 4 2 2 3 3" xfId="41472"/>
    <cellStyle name="Comma 17 2 4 2 2 4" xfId="41473"/>
    <cellStyle name="Comma 17 2 4 2 2 4 2" xfId="41474"/>
    <cellStyle name="Comma 17 2 4 2 2 5" xfId="41475"/>
    <cellStyle name="Comma 17 2 4 2 2 6" xfId="41476"/>
    <cellStyle name="Comma 17 2 4 2 3" xfId="41477"/>
    <cellStyle name="Comma 17 2 4 2 3 2" xfId="41478"/>
    <cellStyle name="Comma 17 2 4 2 3 2 2" xfId="41479"/>
    <cellStyle name="Comma 17 2 4 2 3 2 3" xfId="41480"/>
    <cellStyle name="Comma 17 2 4 2 3 3" xfId="41481"/>
    <cellStyle name="Comma 17 2 4 2 3 3 2" xfId="41482"/>
    <cellStyle name="Comma 17 2 4 2 3 3 3" xfId="41483"/>
    <cellStyle name="Comma 17 2 4 2 3 4" xfId="41484"/>
    <cellStyle name="Comma 17 2 4 2 3 4 2" xfId="41485"/>
    <cellStyle name="Comma 17 2 4 2 3 5" xfId="41486"/>
    <cellStyle name="Comma 17 2 4 2 3 6" xfId="41487"/>
    <cellStyle name="Comma 17 2 4 2 4" xfId="41488"/>
    <cellStyle name="Comma 17 2 4 2 4 2" xfId="41489"/>
    <cellStyle name="Comma 17 2 4 2 4 2 2" xfId="41490"/>
    <cellStyle name="Comma 17 2 4 2 4 2 3" xfId="41491"/>
    <cellStyle name="Comma 17 2 4 2 4 3" xfId="41492"/>
    <cellStyle name="Comma 17 2 4 2 4 3 2" xfId="41493"/>
    <cellStyle name="Comma 17 2 4 2 4 4" xfId="41494"/>
    <cellStyle name="Comma 17 2 4 2 4 5" xfId="41495"/>
    <cellStyle name="Comma 17 2 4 2 5" xfId="41496"/>
    <cellStyle name="Comma 17 2 4 2 5 2" xfId="41497"/>
    <cellStyle name="Comma 17 2 4 2 5 3" xfId="41498"/>
    <cellStyle name="Comma 17 2 4 2 6" xfId="41499"/>
    <cellStyle name="Comma 17 2 4 2 6 2" xfId="41500"/>
    <cellStyle name="Comma 17 2 4 2 6 3" xfId="41501"/>
    <cellStyle name="Comma 17 2 4 2 7" xfId="41502"/>
    <cellStyle name="Comma 17 2 4 2 7 2" xfId="41503"/>
    <cellStyle name="Comma 17 2 4 2 8" xfId="41504"/>
    <cellStyle name="Comma 17 2 4 2 9" xfId="41505"/>
    <cellStyle name="Comma 17 2 4 3" xfId="41506"/>
    <cellStyle name="Comma 17 2 4 3 2" xfId="41507"/>
    <cellStyle name="Comma 17 2 4 3 2 2" xfId="41508"/>
    <cellStyle name="Comma 17 2 4 3 2 3" xfId="41509"/>
    <cellStyle name="Comma 17 2 4 3 3" xfId="41510"/>
    <cellStyle name="Comma 17 2 4 3 3 2" xfId="41511"/>
    <cellStyle name="Comma 17 2 4 3 3 3" xfId="41512"/>
    <cellStyle name="Comma 17 2 4 3 4" xfId="41513"/>
    <cellStyle name="Comma 17 2 4 3 4 2" xfId="41514"/>
    <cellStyle name="Comma 17 2 4 3 5" xfId="41515"/>
    <cellStyle name="Comma 17 2 4 3 6" xfId="41516"/>
    <cellStyle name="Comma 17 2 4 4" xfId="41517"/>
    <cellStyle name="Comma 17 2 4 4 2" xfId="41518"/>
    <cellStyle name="Comma 17 2 4 4 2 2" xfId="41519"/>
    <cellStyle name="Comma 17 2 4 4 2 3" xfId="41520"/>
    <cellStyle name="Comma 17 2 4 4 3" xfId="41521"/>
    <cellStyle name="Comma 17 2 4 4 3 2" xfId="41522"/>
    <cellStyle name="Comma 17 2 4 4 3 3" xfId="41523"/>
    <cellStyle name="Comma 17 2 4 4 4" xfId="41524"/>
    <cellStyle name="Comma 17 2 4 4 4 2" xfId="41525"/>
    <cellStyle name="Comma 17 2 4 4 5" xfId="41526"/>
    <cellStyle name="Comma 17 2 4 4 6" xfId="41527"/>
    <cellStyle name="Comma 17 2 4 5" xfId="41528"/>
    <cellStyle name="Comma 17 2 4 5 2" xfId="41529"/>
    <cellStyle name="Comma 17 2 4 5 2 2" xfId="41530"/>
    <cellStyle name="Comma 17 2 4 5 2 3" xfId="41531"/>
    <cellStyle name="Comma 17 2 4 5 3" xfId="41532"/>
    <cellStyle name="Comma 17 2 4 5 3 2" xfId="41533"/>
    <cellStyle name="Comma 17 2 4 5 4" xfId="41534"/>
    <cellStyle name="Comma 17 2 4 5 5" xfId="41535"/>
    <cellStyle name="Comma 17 2 4 6" xfId="41536"/>
    <cellStyle name="Comma 17 2 4 6 2" xfId="41537"/>
    <cellStyle name="Comma 17 2 4 6 3" xfId="41538"/>
    <cellStyle name="Comma 17 2 4 7" xfId="41539"/>
    <cellStyle name="Comma 17 2 4 7 2" xfId="41540"/>
    <cellStyle name="Comma 17 2 4 7 3" xfId="41541"/>
    <cellStyle name="Comma 17 2 4 8" xfId="41542"/>
    <cellStyle name="Comma 17 2 4 8 2" xfId="41543"/>
    <cellStyle name="Comma 17 2 4 9" xfId="41544"/>
    <cellStyle name="Comma 17 2 5" xfId="41545"/>
    <cellStyle name="Comma 17 2 5 2" xfId="41546"/>
    <cellStyle name="Comma 17 2 5 2 2" xfId="41547"/>
    <cellStyle name="Comma 17 2 5 2 2 2" xfId="41548"/>
    <cellStyle name="Comma 17 2 5 2 2 3" xfId="41549"/>
    <cellStyle name="Comma 17 2 5 2 3" xfId="41550"/>
    <cellStyle name="Comma 17 2 5 2 3 2" xfId="41551"/>
    <cellStyle name="Comma 17 2 5 2 3 3" xfId="41552"/>
    <cellStyle name="Comma 17 2 5 2 4" xfId="41553"/>
    <cellStyle name="Comma 17 2 5 2 4 2" xfId="41554"/>
    <cellStyle name="Comma 17 2 5 2 5" xfId="41555"/>
    <cellStyle name="Comma 17 2 5 2 6" xfId="41556"/>
    <cellStyle name="Comma 17 2 5 3" xfId="41557"/>
    <cellStyle name="Comma 17 2 5 3 2" xfId="41558"/>
    <cellStyle name="Comma 17 2 5 3 2 2" xfId="41559"/>
    <cellStyle name="Comma 17 2 5 3 2 3" xfId="41560"/>
    <cellStyle name="Comma 17 2 5 3 3" xfId="41561"/>
    <cellStyle name="Comma 17 2 5 3 3 2" xfId="41562"/>
    <cellStyle name="Comma 17 2 5 3 3 3" xfId="41563"/>
    <cellStyle name="Comma 17 2 5 3 4" xfId="41564"/>
    <cellStyle name="Comma 17 2 5 3 4 2" xfId="41565"/>
    <cellStyle name="Comma 17 2 5 3 5" xfId="41566"/>
    <cellStyle name="Comma 17 2 5 3 6" xfId="41567"/>
    <cellStyle name="Comma 17 2 5 4" xfId="41568"/>
    <cellStyle name="Comma 17 2 5 4 2" xfId="41569"/>
    <cellStyle name="Comma 17 2 5 4 2 2" xfId="41570"/>
    <cellStyle name="Comma 17 2 5 4 2 3" xfId="41571"/>
    <cellStyle name="Comma 17 2 5 4 3" xfId="41572"/>
    <cellStyle name="Comma 17 2 5 4 3 2" xfId="41573"/>
    <cellStyle name="Comma 17 2 5 4 4" xfId="41574"/>
    <cellStyle name="Comma 17 2 5 4 5" xfId="41575"/>
    <cellStyle name="Comma 17 2 5 5" xfId="41576"/>
    <cellStyle name="Comma 17 2 5 5 2" xfId="41577"/>
    <cellStyle name="Comma 17 2 5 5 3" xfId="41578"/>
    <cellStyle name="Comma 17 2 5 6" xfId="41579"/>
    <cellStyle name="Comma 17 2 5 6 2" xfId="41580"/>
    <cellStyle name="Comma 17 2 5 6 3" xfId="41581"/>
    <cellStyle name="Comma 17 2 5 7" xfId="41582"/>
    <cellStyle name="Comma 17 2 5 7 2" xfId="41583"/>
    <cellStyle name="Comma 17 2 5 8" xfId="41584"/>
    <cellStyle name="Comma 17 2 5 9" xfId="41585"/>
    <cellStyle name="Comma 17 2 6" xfId="41586"/>
    <cellStyle name="Comma 17 2 6 2" xfId="41587"/>
    <cellStyle name="Comma 17 2 6 2 2" xfId="41588"/>
    <cellStyle name="Comma 17 2 6 2 2 2" xfId="41589"/>
    <cellStyle name="Comma 17 2 6 2 2 3" xfId="41590"/>
    <cellStyle name="Comma 17 2 6 2 3" xfId="41591"/>
    <cellStyle name="Comma 17 2 6 2 3 2" xfId="41592"/>
    <cellStyle name="Comma 17 2 6 2 3 3" xfId="41593"/>
    <cellStyle name="Comma 17 2 6 2 4" xfId="41594"/>
    <cellStyle name="Comma 17 2 6 2 4 2" xfId="41595"/>
    <cellStyle name="Comma 17 2 6 2 5" xfId="41596"/>
    <cellStyle name="Comma 17 2 6 2 6" xfId="41597"/>
    <cellStyle name="Comma 17 2 6 3" xfId="41598"/>
    <cellStyle name="Comma 17 2 6 3 2" xfId="41599"/>
    <cellStyle name="Comma 17 2 6 3 2 2" xfId="41600"/>
    <cellStyle name="Comma 17 2 6 3 2 3" xfId="41601"/>
    <cellStyle name="Comma 17 2 6 3 3" xfId="41602"/>
    <cellStyle name="Comma 17 2 6 3 3 2" xfId="41603"/>
    <cellStyle name="Comma 17 2 6 3 3 3" xfId="41604"/>
    <cellStyle name="Comma 17 2 6 3 4" xfId="41605"/>
    <cellStyle name="Comma 17 2 6 3 4 2" xfId="41606"/>
    <cellStyle name="Comma 17 2 6 3 5" xfId="41607"/>
    <cellStyle name="Comma 17 2 6 3 6" xfId="41608"/>
    <cellStyle name="Comma 17 2 6 4" xfId="41609"/>
    <cellStyle name="Comma 17 2 6 4 2" xfId="41610"/>
    <cellStyle name="Comma 17 2 6 4 2 2" xfId="41611"/>
    <cellStyle name="Comma 17 2 6 4 2 3" xfId="41612"/>
    <cellStyle name="Comma 17 2 6 4 3" xfId="41613"/>
    <cellStyle name="Comma 17 2 6 4 3 2" xfId="41614"/>
    <cellStyle name="Comma 17 2 6 4 4" xfId="41615"/>
    <cellStyle name="Comma 17 2 6 4 5" xfId="41616"/>
    <cellStyle name="Comma 17 2 6 5" xfId="41617"/>
    <cellStyle name="Comma 17 2 6 5 2" xfId="41618"/>
    <cellStyle name="Comma 17 2 6 5 3" xfId="41619"/>
    <cellStyle name="Comma 17 2 6 6" xfId="41620"/>
    <cellStyle name="Comma 17 2 6 6 2" xfId="41621"/>
    <cellStyle name="Comma 17 2 6 6 3" xfId="41622"/>
    <cellStyle name="Comma 17 2 6 7" xfId="41623"/>
    <cellStyle name="Comma 17 2 6 7 2" xfId="41624"/>
    <cellStyle name="Comma 17 2 6 8" xfId="41625"/>
    <cellStyle name="Comma 17 2 6 9" xfId="41626"/>
    <cellStyle name="Comma 17 2 7" xfId="41627"/>
    <cellStyle name="Comma 17 2 7 2" xfId="41628"/>
    <cellStyle name="Comma 17 2 7 2 2" xfId="41629"/>
    <cellStyle name="Comma 17 2 7 2 3" xfId="41630"/>
    <cellStyle name="Comma 17 2 7 3" xfId="41631"/>
    <cellStyle name="Comma 17 2 7 3 2" xfId="41632"/>
    <cellStyle name="Comma 17 2 7 3 3" xfId="41633"/>
    <cellStyle name="Comma 17 2 7 4" xfId="41634"/>
    <cellStyle name="Comma 17 2 7 4 2" xfId="41635"/>
    <cellStyle name="Comma 17 2 7 5" xfId="41636"/>
    <cellStyle name="Comma 17 2 7 6" xfId="41637"/>
    <cellStyle name="Comma 17 2 8" xfId="41638"/>
    <cellStyle name="Comma 17 2 8 2" xfId="41639"/>
    <cellStyle name="Comma 17 2 8 2 2" xfId="41640"/>
    <cellStyle name="Comma 17 2 8 2 3" xfId="41641"/>
    <cellStyle name="Comma 17 2 8 3" xfId="41642"/>
    <cellStyle name="Comma 17 2 8 3 2" xfId="41643"/>
    <cellStyle name="Comma 17 2 8 3 3" xfId="41644"/>
    <cellStyle name="Comma 17 2 8 4" xfId="41645"/>
    <cellStyle name="Comma 17 2 8 4 2" xfId="41646"/>
    <cellStyle name="Comma 17 2 8 5" xfId="41647"/>
    <cellStyle name="Comma 17 2 8 6" xfId="41648"/>
    <cellStyle name="Comma 17 2 9" xfId="41649"/>
    <cellStyle name="Comma 17 2 9 2" xfId="41650"/>
    <cellStyle name="Comma 17 2 9 2 2" xfId="41651"/>
    <cellStyle name="Comma 17 2 9 2 3" xfId="41652"/>
    <cellStyle name="Comma 17 2 9 3" xfId="41653"/>
    <cellStyle name="Comma 17 2 9 3 2" xfId="41654"/>
    <cellStyle name="Comma 17 2 9 4" xfId="41655"/>
    <cellStyle name="Comma 17 2 9 5" xfId="41656"/>
    <cellStyle name="Comma 17 3" xfId="41657"/>
    <cellStyle name="Comma 17 3 10" xfId="41658"/>
    <cellStyle name="Comma 17 3 10 2" xfId="41659"/>
    <cellStyle name="Comma 17 3 10 3" xfId="41660"/>
    <cellStyle name="Comma 17 3 11" xfId="41661"/>
    <cellStyle name="Comma 17 3 11 2" xfId="41662"/>
    <cellStyle name="Comma 17 3 12" xfId="41663"/>
    <cellStyle name="Comma 17 3 13" xfId="41664"/>
    <cellStyle name="Comma 17 3 2" xfId="41665"/>
    <cellStyle name="Comma 17 3 2 10" xfId="41666"/>
    <cellStyle name="Comma 17 3 2 10 2" xfId="41667"/>
    <cellStyle name="Comma 17 3 2 11" xfId="41668"/>
    <cellStyle name="Comma 17 3 2 12" xfId="41669"/>
    <cellStyle name="Comma 17 3 2 2" xfId="41670"/>
    <cellStyle name="Comma 17 3 2 2 10" xfId="41671"/>
    <cellStyle name="Comma 17 3 2 2 2" xfId="41672"/>
    <cellStyle name="Comma 17 3 2 2 2 2" xfId="41673"/>
    <cellStyle name="Comma 17 3 2 2 2 2 2" xfId="41674"/>
    <cellStyle name="Comma 17 3 2 2 2 2 2 2" xfId="41675"/>
    <cellStyle name="Comma 17 3 2 2 2 2 2 3" xfId="41676"/>
    <cellStyle name="Comma 17 3 2 2 2 2 3" xfId="41677"/>
    <cellStyle name="Comma 17 3 2 2 2 2 3 2" xfId="41678"/>
    <cellStyle name="Comma 17 3 2 2 2 2 3 3" xfId="41679"/>
    <cellStyle name="Comma 17 3 2 2 2 2 4" xfId="41680"/>
    <cellStyle name="Comma 17 3 2 2 2 2 4 2" xfId="41681"/>
    <cellStyle name="Comma 17 3 2 2 2 2 5" xfId="41682"/>
    <cellStyle name="Comma 17 3 2 2 2 2 6" xfId="41683"/>
    <cellStyle name="Comma 17 3 2 2 2 3" xfId="41684"/>
    <cellStyle name="Comma 17 3 2 2 2 3 2" xfId="41685"/>
    <cellStyle name="Comma 17 3 2 2 2 3 2 2" xfId="41686"/>
    <cellStyle name="Comma 17 3 2 2 2 3 2 3" xfId="41687"/>
    <cellStyle name="Comma 17 3 2 2 2 3 3" xfId="41688"/>
    <cellStyle name="Comma 17 3 2 2 2 3 3 2" xfId="41689"/>
    <cellStyle name="Comma 17 3 2 2 2 3 3 3" xfId="41690"/>
    <cellStyle name="Comma 17 3 2 2 2 3 4" xfId="41691"/>
    <cellStyle name="Comma 17 3 2 2 2 3 4 2" xfId="41692"/>
    <cellStyle name="Comma 17 3 2 2 2 3 5" xfId="41693"/>
    <cellStyle name="Comma 17 3 2 2 2 3 6" xfId="41694"/>
    <cellStyle name="Comma 17 3 2 2 2 4" xfId="41695"/>
    <cellStyle name="Comma 17 3 2 2 2 4 2" xfId="41696"/>
    <cellStyle name="Comma 17 3 2 2 2 4 2 2" xfId="41697"/>
    <cellStyle name="Comma 17 3 2 2 2 4 2 3" xfId="41698"/>
    <cellStyle name="Comma 17 3 2 2 2 4 3" xfId="41699"/>
    <cellStyle name="Comma 17 3 2 2 2 4 3 2" xfId="41700"/>
    <cellStyle name="Comma 17 3 2 2 2 4 4" xfId="41701"/>
    <cellStyle name="Comma 17 3 2 2 2 4 5" xfId="41702"/>
    <cellStyle name="Comma 17 3 2 2 2 5" xfId="41703"/>
    <cellStyle name="Comma 17 3 2 2 2 5 2" xfId="41704"/>
    <cellStyle name="Comma 17 3 2 2 2 5 3" xfId="41705"/>
    <cellStyle name="Comma 17 3 2 2 2 6" xfId="41706"/>
    <cellStyle name="Comma 17 3 2 2 2 6 2" xfId="41707"/>
    <cellStyle name="Comma 17 3 2 2 2 6 3" xfId="41708"/>
    <cellStyle name="Comma 17 3 2 2 2 7" xfId="41709"/>
    <cellStyle name="Comma 17 3 2 2 2 7 2" xfId="41710"/>
    <cellStyle name="Comma 17 3 2 2 2 8" xfId="41711"/>
    <cellStyle name="Comma 17 3 2 2 2 9" xfId="41712"/>
    <cellStyle name="Comma 17 3 2 2 3" xfId="41713"/>
    <cellStyle name="Comma 17 3 2 2 3 2" xfId="41714"/>
    <cellStyle name="Comma 17 3 2 2 3 2 2" xfId="41715"/>
    <cellStyle name="Comma 17 3 2 2 3 2 3" xfId="41716"/>
    <cellStyle name="Comma 17 3 2 2 3 3" xfId="41717"/>
    <cellStyle name="Comma 17 3 2 2 3 3 2" xfId="41718"/>
    <cellStyle name="Comma 17 3 2 2 3 3 3" xfId="41719"/>
    <cellStyle name="Comma 17 3 2 2 3 4" xfId="41720"/>
    <cellStyle name="Comma 17 3 2 2 3 4 2" xfId="41721"/>
    <cellStyle name="Comma 17 3 2 2 3 5" xfId="41722"/>
    <cellStyle name="Comma 17 3 2 2 3 6" xfId="41723"/>
    <cellStyle name="Comma 17 3 2 2 4" xfId="41724"/>
    <cellStyle name="Comma 17 3 2 2 4 2" xfId="41725"/>
    <cellStyle name="Comma 17 3 2 2 4 2 2" xfId="41726"/>
    <cellStyle name="Comma 17 3 2 2 4 2 3" xfId="41727"/>
    <cellStyle name="Comma 17 3 2 2 4 3" xfId="41728"/>
    <cellStyle name="Comma 17 3 2 2 4 3 2" xfId="41729"/>
    <cellStyle name="Comma 17 3 2 2 4 3 3" xfId="41730"/>
    <cellStyle name="Comma 17 3 2 2 4 4" xfId="41731"/>
    <cellStyle name="Comma 17 3 2 2 4 4 2" xfId="41732"/>
    <cellStyle name="Comma 17 3 2 2 4 5" xfId="41733"/>
    <cellStyle name="Comma 17 3 2 2 4 6" xfId="41734"/>
    <cellStyle name="Comma 17 3 2 2 5" xfId="41735"/>
    <cellStyle name="Comma 17 3 2 2 5 2" xfId="41736"/>
    <cellStyle name="Comma 17 3 2 2 5 2 2" xfId="41737"/>
    <cellStyle name="Comma 17 3 2 2 5 2 3" xfId="41738"/>
    <cellStyle name="Comma 17 3 2 2 5 3" xfId="41739"/>
    <cellStyle name="Comma 17 3 2 2 5 3 2" xfId="41740"/>
    <cellStyle name="Comma 17 3 2 2 5 4" xfId="41741"/>
    <cellStyle name="Comma 17 3 2 2 5 5" xfId="41742"/>
    <cellStyle name="Comma 17 3 2 2 6" xfId="41743"/>
    <cellStyle name="Comma 17 3 2 2 6 2" xfId="41744"/>
    <cellStyle name="Comma 17 3 2 2 6 3" xfId="41745"/>
    <cellStyle name="Comma 17 3 2 2 7" xfId="41746"/>
    <cellStyle name="Comma 17 3 2 2 7 2" xfId="41747"/>
    <cellStyle name="Comma 17 3 2 2 7 3" xfId="41748"/>
    <cellStyle name="Comma 17 3 2 2 8" xfId="41749"/>
    <cellStyle name="Comma 17 3 2 2 8 2" xfId="41750"/>
    <cellStyle name="Comma 17 3 2 2 9" xfId="41751"/>
    <cellStyle name="Comma 17 3 2 3" xfId="41752"/>
    <cellStyle name="Comma 17 3 2 3 2" xfId="41753"/>
    <cellStyle name="Comma 17 3 2 3 2 2" xfId="41754"/>
    <cellStyle name="Comma 17 3 2 3 2 2 2" xfId="41755"/>
    <cellStyle name="Comma 17 3 2 3 2 2 3" xfId="41756"/>
    <cellStyle name="Comma 17 3 2 3 2 3" xfId="41757"/>
    <cellStyle name="Comma 17 3 2 3 2 3 2" xfId="41758"/>
    <cellStyle name="Comma 17 3 2 3 2 3 3" xfId="41759"/>
    <cellStyle name="Comma 17 3 2 3 2 4" xfId="41760"/>
    <cellStyle name="Comma 17 3 2 3 2 4 2" xfId="41761"/>
    <cellStyle name="Comma 17 3 2 3 2 5" xfId="41762"/>
    <cellStyle name="Comma 17 3 2 3 2 6" xfId="41763"/>
    <cellStyle name="Comma 17 3 2 3 3" xfId="41764"/>
    <cellStyle name="Comma 17 3 2 3 3 2" xfId="41765"/>
    <cellStyle name="Comma 17 3 2 3 3 2 2" xfId="41766"/>
    <cellStyle name="Comma 17 3 2 3 3 2 3" xfId="41767"/>
    <cellStyle name="Comma 17 3 2 3 3 3" xfId="41768"/>
    <cellStyle name="Comma 17 3 2 3 3 3 2" xfId="41769"/>
    <cellStyle name="Comma 17 3 2 3 3 3 3" xfId="41770"/>
    <cellStyle name="Comma 17 3 2 3 3 4" xfId="41771"/>
    <cellStyle name="Comma 17 3 2 3 3 4 2" xfId="41772"/>
    <cellStyle name="Comma 17 3 2 3 3 5" xfId="41773"/>
    <cellStyle name="Comma 17 3 2 3 3 6" xfId="41774"/>
    <cellStyle name="Comma 17 3 2 3 4" xfId="41775"/>
    <cellStyle name="Comma 17 3 2 3 4 2" xfId="41776"/>
    <cellStyle name="Comma 17 3 2 3 4 2 2" xfId="41777"/>
    <cellStyle name="Comma 17 3 2 3 4 2 3" xfId="41778"/>
    <cellStyle name="Comma 17 3 2 3 4 3" xfId="41779"/>
    <cellStyle name="Comma 17 3 2 3 4 3 2" xfId="41780"/>
    <cellStyle name="Comma 17 3 2 3 4 4" xfId="41781"/>
    <cellStyle name="Comma 17 3 2 3 4 5" xfId="41782"/>
    <cellStyle name="Comma 17 3 2 3 5" xfId="41783"/>
    <cellStyle name="Comma 17 3 2 3 5 2" xfId="41784"/>
    <cellStyle name="Comma 17 3 2 3 5 3" xfId="41785"/>
    <cellStyle name="Comma 17 3 2 3 6" xfId="41786"/>
    <cellStyle name="Comma 17 3 2 3 6 2" xfId="41787"/>
    <cellStyle name="Comma 17 3 2 3 6 3" xfId="41788"/>
    <cellStyle name="Comma 17 3 2 3 7" xfId="41789"/>
    <cellStyle name="Comma 17 3 2 3 7 2" xfId="41790"/>
    <cellStyle name="Comma 17 3 2 3 8" xfId="41791"/>
    <cellStyle name="Comma 17 3 2 3 9" xfId="41792"/>
    <cellStyle name="Comma 17 3 2 4" xfId="41793"/>
    <cellStyle name="Comma 17 3 2 4 2" xfId="41794"/>
    <cellStyle name="Comma 17 3 2 4 2 2" xfId="41795"/>
    <cellStyle name="Comma 17 3 2 4 2 2 2" xfId="41796"/>
    <cellStyle name="Comma 17 3 2 4 2 2 3" xfId="41797"/>
    <cellStyle name="Comma 17 3 2 4 2 3" xfId="41798"/>
    <cellStyle name="Comma 17 3 2 4 2 3 2" xfId="41799"/>
    <cellStyle name="Comma 17 3 2 4 2 3 3" xfId="41800"/>
    <cellStyle name="Comma 17 3 2 4 2 4" xfId="41801"/>
    <cellStyle name="Comma 17 3 2 4 2 4 2" xfId="41802"/>
    <cellStyle name="Comma 17 3 2 4 2 5" xfId="41803"/>
    <cellStyle name="Comma 17 3 2 4 2 6" xfId="41804"/>
    <cellStyle name="Comma 17 3 2 4 3" xfId="41805"/>
    <cellStyle name="Comma 17 3 2 4 3 2" xfId="41806"/>
    <cellStyle name="Comma 17 3 2 4 3 2 2" xfId="41807"/>
    <cellStyle name="Comma 17 3 2 4 3 2 3" xfId="41808"/>
    <cellStyle name="Comma 17 3 2 4 3 3" xfId="41809"/>
    <cellStyle name="Comma 17 3 2 4 3 3 2" xfId="41810"/>
    <cellStyle name="Comma 17 3 2 4 3 3 3" xfId="41811"/>
    <cellStyle name="Comma 17 3 2 4 3 4" xfId="41812"/>
    <cellStyle name="Comma 17 3 2 4 3 4 2" xfId="41813"/>
    <cellStyle name="Comma 17 3 2 4 3 5" xfId="41814"/>
    <cellStyle name="Comma 17 3 2 4 3 6" xfId="41815"/>
    <cellStyle name="Comma 17 3 2 4 4" xfId="41816"/>
    <cellStyle name="Comma 17 3 2 4 4 2" xfId="41817"/>
    <cellStyle name="Comma 17 3 2 4 4 2 2" xfId="41818"/>
    <cellStyle name="Comma 17 3 2 4 4 2 3" xfId="41819"/>
    <cellStyle name="Comma 17 3 2 4 4 3" xfId="41820"/>
    <cellStyle name="Comma 17 3 2 4 4 3 2" xfId="41821"/>
    <cellStyle name="Comma 17 3 2 4 4 4" xfId="41822"/>
    <cellStyle name="Comma 17 3 2 4 4 5" xfId="41823"/>
    <cellStyle name="Comma 17 3 2 4 5" xfId="41824"/>
    <cellStyle name="Comma 17 3 2 4 5 2" xfId="41825"/>
    <cellStyle name="Comma 17 3 2 4 5 3" xfId="41826"/>
    <cellStyle name="Comma 17 3 2 4 6" xfId="41827"/>
    <cellStyle name="Comma 17 3 2 4 6 2" xfId="41828"/>
    <cellStyle name="Comma 17 3 2 4 6 3" xfId="41829"/>
    <cellStyle name="Comma 17 3 2 4 7" xfId="41830"/>
    <cellStyle name="Comma 17 3 2 4 7 2" xfId="41831"/>
    <cellStyle name="Comma 17 3 2 4 8" xfId="41832"/>
    <cellStyle name="Comma 17 3 2 4 9" xfId="41833"/>
    <cellStyle name="Comma 17 3 2 5" xfId="41834"/>
    <cellStyle name="Comma 17 3 2 5 2" xfId="41835"/>
    <cellStyle name="Comma 17 3 2 5 2 2" xfId="41836"/>
    <cellStyle name="Comma 17 3 2 5 2 3" xfId="41837"/>
    <cellStyle name="Comma 17 3 2 5 3" xfId="41838"/>
    <cellStyle name="Comma 17 3 2 5 3 2" xfId="41839"/>
    <cellStyle name="Comma 17 3 2 5 3 3" xfId="41840"/>
    <cellStyle name="Comma 17 3 2 5 4" xfId="41841"/>
    <cellStyle name="Comma 17 3 2 5 4 2" xfId="41842"/>
    <cellStyle name="Comma 17 3 2 5 5" xfId="41843"/>
    <cellStyle name="Comma 17 3 2 5 6" xfId="41844"/>
    <cellStyle name="Comma 17 3 2 6" xfId="41845"/>
    <cellStyle name="Comma 17 3 2 6 2" xfId="41846"/>
    <cellStyle name="Comma 17 3 2 6 2 2" xfId="41847"/>
    <cellStyle name="Comma 17 3 2 6 2 3" xfId="41848"/>
    <cellStyle name="Comma 17 3 2 6 3" xfId="41849"/>
    <cellStyle name="Comma 17 3 2 6 3 2" xfId="41850"/>
    <cellStyle name="Comma 17 3 2 6 3 3" xfId="41851"/>
    <cellStyle name="Comma 17 3 2 6 4" xfId="41852"/>
    <cellStyle name="Comma 17 3 2 6 4 2" xfId="41853"/>
    <cellStyle name="Comma 17 3 2 6 5" xfId="41854"/>
    <cellStyle name="Comma 17 3 2 6 6" xfId="41855"/>
    <cellStyle name="Comma 17 3 2 7" xfId="41856"/>
    <cellStyle name="Comma 17 3 2 7 2" xfId="41857"/>
    <cellStyle name="Comma 17 3 2 7 2 2" xfId="41858"/>
    <cellStyle name="Comma 17 3 2 7 2 3" xfId="41859"/>
    <cellStyle name="Comma 17 3 2 7 3" xfId="41860"/>
    <cellStyle name="Comma 17 3 2 7 3 2" xfId="41861"/>
    <cellStyle name="Comma 17 3 2 7 4" xfId="41862"/>
    <cellStyle name="Comma 17 3 2 7 5" xfId="41863"/>
    <cellStyle name="Comma 17 3 2 8" xfId="41864"/>
    <cellStyle name="Comma 17 3 2 8 2" xfId="41865"/>
    <cellStyle name="Comma 17 3 2 8 3" xfId="41866"/>
    <cellStyle name="Comma 17 3 2 9" xfId="41867"/>
    <cellStyle name="Comma 17 3 2 9 2" xfId="41868"/>
    <cellStyle name="Comma 17 3 2 9 3" xfId="41869"/>
    <cellStyle name="Comma 17 3 3" xfId="41870"/>
    <cellStyle name="Comma 17 3 3 10" xfId="41871"/>
    <cellStyle name="Comma 17 3 3 2" xfId="41872"/>
    <cellStyle name="Comma 17 3 3 2 2" xfId="41873"/>
    <cellStyle name="Comma 17 3 3 2 2 2" xfId="41874"/>
    <cellStyle name="Comma 17 3 3 2 2 2 2" xfId="41875"/>
    <cellStyle name="Comma 17 3 3 2 2 2 3" xfId="41876"/>
    <cellStyle name="Comma 17 3 3 2 2 3" xfId="41877"/>
    <cellStyle name="Comma 17 3 3 2 2 3 2" xfId="41878"/>
    <cellStyle name="Comma 17 3 3 2 2 3 3" xfId="41879"/>
    <cellStyle name="Comma 17 3 3 2 2 4" xfId="41880"/>
    <cellStyle name="Comma 17 3 3 2 2 4 2" xfId="41881"/>
    <cellStyle name="Comma 17 3 3 2 2 5" xfId="41882"/>
    <cellStyle name="Comma 17 3 3 2 2 6" xfId="41883"/>
    <cellStyle name="Comma 17 3 3 2 3" xfId="41884"/>
    <cellStyle name="Comma 17 3 3 2 3 2" xfId="41885"/>
    <cellStyle name="Comma 17 3 3 2 3 2 2" xfId="41886"/>
    <cellStyle name="Comma 17 3 3 2 3 2 3" xfId="41887"/>
    <cellStyle name="Comma 17 3 3 2 3 3" xfId="41888"/>
    <cellStyle name="Comma 17 3 3 2 3 3 2" xfId="41889"/>
    <cellStyle name="Comma 17 3 3 2 3 3 3" xfId="41890"/>
    <cellStyle name="Comma 17 3 3 2 3 4" xfId="41891"/>
    <cellStyle name="Comma 17 3 3 2 3 4 2" xfId="41892"/>
    <cellStyle name="Comma 17 3 3 2 3 5" xfId="41893"/>
    <cellStyle name="Comma 17 3 3 2 3 6" xfId="41894"/>
    <cellStyle name="Comma 17 3 3 2 4" xfId="41895"/>
    <cellStyle name="Comma 17 3 3 2 4 2" xfId="41896"/>
    <cellStyle name="Comma 17 3 3 2 4 2 2" xfId="41897"/>
    <cellStyle name="Comma 17 3 3 2 4 2 3" xfId="41898"/>
    <cellStyle name="Comma 17 3 3 2 4 3" xfId="41899"/>
    <cellStyle name="Comma 17 3 3 2 4 3 2" xfId="41900"/>
    <cellStyle name="Comma 17 3 3 2 4 4" xfId="41901"/>
    <cellStyle name="Comma 17 3 3 2 4 5" xfId="41902"/>
    <cellStyle name="Comma 17 3 3 2 5" xfId="41903"/>
    <cellStyle name="Comma 17 3 3 2 5 2" xfId="41904"/>
    <cellStyle name="Comma 17 3 3 2 5 3" xfId="41905"/>
    <cellStyle name="Comma 17 3 3 2 6" xfId="41906"/>
    <cellStyle name="Comma 17 3 3 2 6 2" xfId="41907"/>
    <cellStyle name="Comma 17 3 3 2 6 3" xfId="41908"/>
    <cellStyle name="Comma 17 3 3 2 7" xfId="41909"/>
    <cellStyle name="Comma 17 3 3 2 7 2" xfId="41910"/>
    <cellStyle name="Comma 17 3 3 2 8" xfId="41911"/>
    <cellStyle name="Comma 17 3 3 2 9" xfId="41912"/>
    <cellStyle name="Comma 17 3 3 3" xfId="41913"/>
    <cellStyle name="Comma 17 3 3 3 2" xfId="41914"/>
    <cellStyle name="Comma 17 3 3 3 2 2" xfId="41915"/>
    <cellStyle name="Comma 17 3 3 3 2 3" xfId="41916"/>
    <cellStyle name="Comma 17 3 3 3 3" xfId="41917"/>
    <cellStyle name="Comma 17 3 3 3 3 2" xfId="41918"/>
    <cellStyle name="Comma 17 3 3 3 3 3" xfId="41919"/>
    <cellStyle name="Comma 17 3 3 3 4" xfId="41920"/>
    <cellStyle name="Comma 17 3 3 3 4 2" xfId="41921"/>
    <cellStyle name="Comma 17 3 3 3 5" xfId="41922"/>
    <cellStyle name="Comma 17 3 3 3 6" xfId="41923"/>
    <cellStyle name="Comma 17 3 3 4" xfId="41924"/>
    <cellStyle name="Comma 17 3 3 4 2" xfId="41925"/>
    <cellStyle name="Comma 17 3 3 4 2 2" xfId="41926"/>
    <cellStyle name="Comma 17 3 3 4 2 3" xfId="41927"/>
    <cellStyle name="Comma 17 3 3 4 3" xfId="41928"/>
    <cellStyle name="Comma 17 3 3 4 3 2" xfId="41929"/>
    <cellStyle name="Comma 17 3 3 4 3 3" xfId="41930"/>
    <cellStyle name="Comma 17 3 3 4 4" xfId="41931"/>
    <cellStyle name="Comma 17 3 3 4 4 2" xfId="41932"/>
    <cellStyle name="Comma 17 3 3 4 5" xfId="41933"/>
    <cellStyle name="Comma 17 3 3 4 6" xfId="41934"/>
    <cellStyle name="Comma 17 3 3 5" xfId="41935"/>
    <cellStyle name="Comma 17 3 3 5 2" xfId="41936"/>
    <cellStyle name="Comma 17 3 3 5 2 2" xfId="41937"/>
    <cellStyle name="Comma 17 3 3 5 2 3" xfId="41938"/>
    <cellStyle name="Comma 17 3 3 5 3" xfId="41939"/>
    <cellStyle name="Comma 17 3 3 5 3 2" xfId="41940"/>
    <cellStyle name="Comma 17 3 3 5 4" xfId="41941"/>
    <cellStyle name="Comma 17 3 3 5 5" xfId="41942"/>
    <cellStyle name="Comma 17 3 3 6" xfId="41943"/>
    <cellStyle name="Comma 17 3 3 6 2" xfId="41944"/>
    <cellStyle name="Comma 17 3 3 6 3" xfId="41945"/>
    <cellStyle name="Comma 17 3 3 7" xfId="41946"/>
    <cellStyle name="Comma 17 3 3 7 2" xfId="41947"/>
    <cellStyle name="Comma 17 3 3 7 3" xfId="41948"/>
    <cellStyle name="Comma 17 3 3 8" xfId="41949"/>
    <cellStyle name="Comma 17 3 3 8 2" xfId="41950"/>
    <cellStyle name="Comma 17 3 3 9" xfId="41951"/>
    <cellStyle name="Comma 17 3 4" xfId="41952"/>
    <cellStyle name="Comma 17 3 4 2" xfId="41953"/>
    <cellStyle name="Comma 17 3 4 2 2" xfId="41954"/>
    <cellStyle name="Comma 17 3 4 2 2 2" xfId="41955"/>
    <cellStyle name="Comma 17 3 4 2 2 3" xfId="41956"/>
    <cellStyle name="Comma 17 3 4 2 3" xfId="41957"/>
    <cellStyle name="Comma 17 3 4 2 3 2" xfId="41958"/>
    <cellStyle name="Comma 17 3 4 2 3 3" xfId="41959"/>
    <cellStyle name="Comma 17 3 4 2 4" xfId="41960"/>
    <cellStyle name="Comma 17 3 4 2 4 2" xfId="41961"/>
    <cellStyle name="Comma 17 3 4 2 5" xfId="41962"/>
    <cellStyle name="Comma 17 3 4 2 6" xfId="41963"/>
    <cellStyle name="Comma 17 3 4 3" xfId="41964"/>
    <cellStyle name="Comma 17 3 4 3 2" xfId="41965"/>
    <cellStyle name="Comma 17 3 4 3 2 2" xfId="41966"/>
    <cellStyle name="Comma 17 3 4 3 2 3" xfId="41967"/>
    <cellStyle name="Comma 17 3 4 3 3" xfId="41968"/>
    <cellStyle name="Comma 17 3 4 3 3 2" xfId="41969"/>
    <cellStyle name="Comma 17 3 4 3 3 3" xfId="41970"/>
    <cellStyle name="Comma 17 3 4 3 4" xfId="41971"/>
    <cellStyle name="Comma 17 3 4 3 4 2" xfId="41972"/>
    <cellStyle name="Comma 17 3 4 3 5" xfId="41973"/>
    <cellStyle name="Comma 17 3 4 3 6" xfId="41974"/>
    <cellStyle name="Comma 17 3 4 4" xfId="41975"/>
    <cellStyle name="Comma 17 3 4 4 2" xfId="41976"/>
    <cellStyle name="Comma 17 3 4 4 2 2" xfId="41977"/>
    <cellStyle name="Comma 17 3 4 4 2 3" xfId="41978"/>
    <cellStyle name="Comma 17 3 4 4 3" xfId="41979"/>
    <cellStyle name="Comma 17 3 4 4 3 2" xfId="41980"/>
    <cellStyle name="Comma 17 3 4 4 4" xfId="41981"/>
    <cellStyle name="Comma 17 3 4 4 5" xfId="41982"/>
    <cellStyle name="Comma 17 3 4 5" xfId="41983"/>
    <cellStyle name="Comma 17 3 4 5 2" xfId="41984"/>
    <cellStyle name="Comma 17 3 4 5 3" xfId="41985"/>
    <cellStyle name="Comma 17 3 4 6" xfId="41986"/>
    <cellStyle name="Comma 17 3 4 6 2" xfId="41987"/>
    <cellStyle name="Comma 17 3 4 6 3" xfId="41988"/>
    <cellStyle name="Comma 17 3 4 7" xfId="41989"/>
    <cellStyle name="Comma 17 3 4 7 2" xfId="41990"/>
    <cellStyle name="Comma 17 3 4 8" xfId="41991"/>
    <cellStyle name="Comma 17 3 4 9" xfId="41992"/>
    <cellStyle name="Comma 17 3 5" xfId="41993"/>
    <cellStyle name="Comma 17 3 5 2" xfId="41994"/>
    <cellStyle name="Comma 17 3 5 2 2" xfId="41995"/>
    <cellStyle name="Comma 17 3 5 2 2 2" xfId="41996"/>
    <cellStyle name="Comma 17 3 5 2 2 3" xfId="41997"/>
    <cellStyle name="Comma 17 3 5 2 3" xfId="41998"/>
    <cellStyle name="Comma 17 3 5 2 3 2" xfId="41999"/>
    <cellStyle name="Comma 17 3 5 2 3 3" xfId="42000"/>
    <cellStyle name="Comma 17 3 5 2 4" xfId="42001"/>
    <cellStyle name="Comma 17 3 5 2 4 2" xfId="42002"/>
    <cellStyle name="Comma 17 3 5 2 5" xfId="42003"/>
    <cellStyle name="Comma 17 3 5 2 6" xfId="42004"/>
    <cellStyle name="Comma 17 3 5 3" xfId="42005"/>
    <cellStyle name="Comma 17 3 5 3 2" xfId="42006"/>
    <cellStyle name="Comma 17 3 5 3 2 2" xfId="42007"/>
    <cellStyle name="Comma 17 3 5 3 2 3" xfId="42008"/>
    <cellStyle name="Comma 17 3 5 3 3" xfId="42009"/>
    <cellStyle name="Comma 17 3 5 3 3 2" xfId="42010"/>
    <cellStyle name="Comma 17 3 5 3 3 3" xfId="42011"/>
    <cellStyle name="Comma 17 3 5 3 4" xfId="42012"/>
    <cellStyle name="Comma 17 3 5 3 4 2" xfId="42013"/>
    <cellStyle name="Comma 17 3 5 3 5" xfId="42014"/>
    <cellStyle name="Comma 17 3 5 3 6" xfId="42015"/>
    <cellStyle name="Comma 17 3 5 4" xfId="42016"/>
    <cellStyle name="Comma 17 3 5 4 2" xfId="42017"/>
    <cellStyle name="Comma 17 3 5 4 2 2" xfId="42018"/>
    <cellStyle name="Comma 17 3 5 4 2 3" xfId="42019"/>
    <cellStyle name="Comma 17 3 5 4 3" xfId="42020"/>
    <cellStyle name="Comma 17 3 5 4 3 2" xfId="42021"/>
    <cellStyle name="Comma 17 3 5 4 4" xfId="42022"/>
    <cellStyle name="Comma 17 3 5 4 5" xfId="42023"/>
    <cellStyle name="Comma 17 3 5 5" xfId="42024"/>
    <cellStyle name="Comma 17 3 5 5 2" xfId="42025"/>
    <cellStyle name="Comma 17 3 5 5 3" xfId="42026"/>
    <cellStyle name="Comma 17 3 5 6" xfId="42027"/>
    <cellStyle name="Comma 17 3 5 6 2" xfId="42028"/>
    <cellStyle name="Comma 17 3 5 6 3" xfId="42029"/>
    <cellStyle name="Comma 17 3 5 7" xfId="42030"/>
    <cellStyle name="Comma 17 3 5 7 2" xfId="42031"/>
    <cellStyle name="Comma 17 3 5 8" xfId="42032"/>
    <cellStyle name="Comma 17 3 5 9" xfId="42033"/>
    <cellStyle name="Comma 17 3 6" xfId="42034"/>
    <cellStyle name="Comma 17 3 6 2" xfId="42035"/>
    <cellStyle name="Comma 17 3 6 2 2" xfId="42036"/>
    <cellStyle name="Comma 17 3 6 2 3" xfId="42037"/>
    <cellStyle name="Comma 17 3 6 3" xfId="42038"/>
    <cellStyle name="Comma 17 3 6 3 2" xfId="42039"/>
    <cellStyle name="Comma 17 3 6 3 3" xfId="42040"/>
    <cellStyle name="Comma 17 3 6 4" xfId="42041"/>
    <cellStyle name="Comma 17 3 6 4 2" xfId="42042"/>
    <cellStyle name="Comma 17 3 6 5" xfId="42043"/>
    <cellStyle name="Comma 17 3 6 6" xfId="42044"/>
    <cellStyle name="Comma 17 3 7" xfId="42045"/>
    <cellStyle name="Comma 17 3 7 2" xfId="42046"/>
    <cellStyle name="Comma 17 3 7 2 2" xfId="42047"/>
    <cellStyle name="Comma 17 3 7 2 3" xfId="42048"/>
    <cellStyle name="Comma 17 3 7 3" xfId="42049"/>
    <cellStyle name="Comma 17 3 7 3 2" xfId="42050"/>
    <cellStyle name="Comma 17 3 7 3 3" xfId="42051"/>
    <cellStyle name="Comma 17 3 7 4" xfId="42052"/>
    <cellStyle name="Comma 17 3 7 4 2" xfId="42053"/>
    <cellStyle name="Comma 17 3 7 5" xfId="42054"/>
    <cellStyle name="Comma 17 3 7 6" xfId="42055"/>
    <cellStyle name="Comma 17 3 8" xfId="42056"/>
    <cellStyle name="Comma 17 3 8 2" xfId="42057"/>
    <cellStyle name="Comma 17 3 8 2 2" xfId="42058"/>
    <cellStyle name="Comma 17 3 8 2 3" xfId="42059"/>
    <cellStyle name="Comma 17 3 8 3" xfId="42060"/>
    <cellStyle name="Comma 17 3 8 3 2" xfId="42061"/>
    <cellStyle name="Comma 17 3 8 4" xfId="42062"/>
    <cellStyle name="Comma 17 3 8 5" xfId="42063"/>
    <cellStyle name="Comma 17 3 9" xfId="42064"/>
    <cellStyle name="Comma 17 3 9 2" xfId="42065"/>
    <cellStyle name="Comma 17 3 9 3" xfId="42066"/>
    <cellStyle name="Comma 17 4" xfId="42067"/>
    <cellStyle name="Comma 17 4 10" xfId="42068"/>
    <cellStyle name="Comma 17 4 10 2" xfId="42069"/>
    <cellStyle name="Comma 17 4 11" xfId="42070"/>
    <cellStyle name="Comma 17 4 12" xfId="42071"/>
    <cellStyle name="Comma 17 4 2" xfId="42072"/>
    <cellStyle name="Comma 17 4 2 10" xfId="42073"/>
    <cellStyle name="Comma 17 4 2 2" xfId="42074"/>
    <cellStyle name="Comma 17 4 2 2 2" xfId="42075"/>
    <cellStyle name="Comma 17 4 2 2 2 2" xfId="42076"/>
    <cellStyle name="Comma 17 4 2 2 2 2 2" xfId="42077"/>
    <cellStyle name="Comma 17 4 2 2 2 2 3" xfId="42078"/>
    <cellStyle name="Comma 17 4 2 2 2 3" xfId="42079"/>
    <cellStyle name="Comma 17 4 2 2 2 3 2" xfId="42080"/>
    <cellStyle name="Comma 17 4 2 2 2 3 3" xfId="42081"/>
    <cellStyle name="Comma 17 4 2 2 2 4" xfId="42082"/>
    <cellStyle name="Comma 17 4 2 2 2 4 2" xfId="42083"/>
    <cellStyle name="Comma 17 4 2 2 2 5" xfId="42084"/>
    <cellStyle name="Comma 17 4 2 2 2 6" xfId="42085"/>
    <cellStyle name="Comma 17 4 2 2 3" xfId="42086"/>
    <cellStyle name="Comma 17 4 2 2 3 2" xfId="42087"/>
    <cellStyle name="Comma 17 4 2 2 3 2 2" xfId="42088"/>
    <cellStyle name="Comma 17 4 2 2 3 2 3" xfId="42089"/>
    <cellStyle name="Comma 17 4 2 2 3 3" xfId="42090"/>
    <cellStyle name="Comma 17 4 2 2 3 3 2" xfId="42091"/>
    <cellStyle name="Comma 17 4 2 2 3 3 3" xfId="42092"/>
    <cellStyle name="Comma 17 4 2 2 3 4" xfId="42093"/>
    <cellStyle name="Comma 17 4 2 2 3 4 2" xfId="42094"/>
    <cellStyle name="Comma 17 4 2 2 3 5" xfId="42095"/>
    <cellStyle name="Comma 17 4 2 2 3 6" xfId="42096"/>
    <cellStyle name="Comma 17 4 2 2 4" xfId="42097"/>
    <cellStyle name="Comma 17 4 2 2 4 2" xfId="42098"/>
    <cellStyle name="Comma 17 4 2 2 4 2 2" xfId="42099"/>
    <cellStyle name="Comma 17 4 2 2 4 2 3" xfId="42100"/>
    <cellStyle name="Comma 17 4 2 2 4 3" xfId="42101"/>
    <cellStyle name="Comma 17 4 2 2 4 3 2" xfId="42102"/>
    <cellStyle name="Comma 17 4 2 2 4 4" xfId="42103"/>
    <cellStyle name="Comma 17 4 2 2 4 5" xfId="42104"/>
    <cellStyle name="Comma 17 4 2 2 5" xfId="42105"/>
    <cellStyle name="Comma 17 4 2 2 5 2" xfId="42106"/>
    <cellStyle name="Comma 17 4 2 2 5 3" xfId="42107"/>
    <cellStyle name="Comma 17 4 2 2 6" xfId="42108"/>
    <cellStyle name="Comma 17 4 2 2 6 2" xfId="42109"/>
    <cellStyle name="Comma 17 4 2 2 6 3" xfId="42110"/>
    <cellStyle name="Comma 17 4 2 2 7" xfId="42111"/>
    <cellStyle name="Comma 17 4 2 2 7 2" xfId="42112"/>
    <cellStyle name="Comma 17 4 2 2 8" xfId="42113"/>
    <cellStyle name="Comma 17 4 2 2 9" xfId="42114"/>
    <cellStyle name="Comma 17 4 2 3" xfId="42115"/>
    <cellStyle name="Comma 17 4 2 3 2" xfId="42116"/>
    <cellStyle name="Comma 17 4 2 3 2 2" xfId="42117"/>
    <cellStyle name="Comma 17 4 2 3 2 3" xfId="42118"/>
    <cellStyle name="Comma 17 4 2 3 3" xfId="42119"/>
    <cellStyle name="Comma 17 4 2 3 3 2" xfId="42120"/>
    <cellStyle name="Comma 17 4 2 3 3 3" xfId="42121"/>
    <cellStyle name="Comma 17 4 2 3 4" xfId="42122"/>
    <cellStyle name="Comma 17 4 2 3 4 2" xfId="42123"/>
    <cellStyle name="Comma 17 4 2 3 5" xfId="42124"/>
    <cellStyle name="Comma 17 4 2 3 6" xfId="42125"/>
    <cellStyle name="Comma 17 4 2 4" xfId="42126"/>
    <cellStyle name="Comma 17 4 2 4 2" xfId="42127"/>
    <cellStyle name="Comma 17 4 2 4 2 2" xfId="42128"/>
    <cellStyle name="Comma 17 4 2 4 2 3" xfId="42129"/>
    <cellStyle name="Comma 17 4 2 4 3" xfId="42130"/>
    <cellStyle name="Comma 17 4 2 4 3 2" xfId="42131"/>
    <cellStyle name="Comma 17 4 2 4 3 3" xfId="42132"/>
    <cellStyle name="Comma 17 4 2 4 4" xfId="42133"/>
    <cellStyle name="Comma 17 4 2 4 4 2" xfId="42134"/>
    <cellStyle name="Comma 17 4 2 4 5" xfId="42135"/>
    <cellStyle name="Comma 17 4 2 4 6" xfId="42136"/>
    <cellStyle name="Comma 17 4 2 5" xfId="42137"/>
    <cellStyle name="Comma 17 4 2 5 2" xfId="42138"/>
    <cellStyle name="Comma 17 4 2 5 2 2" xfId="42139"/>
    <cellStyle name="Comma 17 4 2 5 2 3" xfId="42140"/>
    <cellStyle name="Comma 17 4 2 5 3" xfId="42141"/>
    <cellStyle name="Comma 17 4 2 5 3 2" xfId="42142"/>
    <cellStyle name="Comma 17 4 2 5 4" xfId="42143"/>
    <cellStyle name="Comma 17 4 2 5 5" xfId="42144"/>
    <cellStyle name="Comma 17 4 2 6" xfId="42145"/>
    <cellStyle name="Comma 17 4 2 6 2" xfId="42146"/>
    <cellStyle name="Comma 17 4 2 6 3" xfId="42147"/>
    <cellStyle name="Comma 17 4 2 7" xfId="42148"/>
    <cellStyle name="Comma 17 4 2 7 2" xfId="42149"/>
    <cellStyle name="Comma 17 4 2 7 3" xfId="42150"/>
    <cellStyle name="Comma 17 4 2 8" xfId="42151"/>
    <cellStyle name="Comma 17 4 2 8 2" xfId="42152"/>
    <cellStyle name="Comma 17 4 2 9" xfId="42153"/>
    <cellStyle name="Comma 17 4 3" xfId="42154"/>
    <cellStyle name="Comma 17 4 3 2" xfId="42155"/>
    <cellStyle name="Comma 17 4 3 2 2" xfId="42156"/>
    <cellStyle name="Comma 17 4 3 2 2 2" xfId="42157"/>
    <cellStyle name="Comma 17 4 3 2 2 3" xfId="42158"/>
    <cellStyle name="Comma 17 4 3 2 3" xfId="42159"/>
    <cellStyle name="Comma 17 4 3 2 3 2" xfId="42160"/>
    <cellStyle name="Comma 17 4 3 2 3 3" xfId="42161"/>
    <cellStyle name="Comma 17 4 3 2 4" xfId="42162"/>
    <cellStyle name="Comma 17 4 3 2 4 2" xfId="42163"/>
    <cellStyle name="Comma 17 4 3 2 5" xfId="42164"/>
    <cellStyle name="Comma 17 4 3 2 6" xfId="42165"/>
    <cellStyle name="Comma 17 4 3 3" xfId="42166"/>
    <cellStyle name="Comma 17 4 3 3 2" xfId="42167"/>
    <cellStyle name="Comma 17 4 3 3 2 2" xfId="42168"/>
    <cellStyle name="Comma 17 4 3 3 2 3" xfId="42169"/>
    <cellStyle name="Comma 17 4 3 3 3" xfId="42170"/>
    <cellStyle name="Comma 17 4 3 3 3 2" xfId="42171"/>
    <cellStyle name="Comma 17 4 3 3 3 3" xfId="42172"/>
    <cellStyle name="Comma 17 4 3 3 4" xfId="42173"/>
    <cellStyle name="Comma 17 4 3 3 4 2" xfId="42174"/>
    <cellStyle name="Comma 17 4 3 3 5" xfId="42175"/>
    <cellStyle name="Comma 17 4 3 3 6" xfId="42176"/>
    <cellStyle name="Comma 17 4 3 4" xfId="42177"/>
    <cellStyle name="Comma 17 4 3 4 2" xfId="42178"/>
    <cellStyle name="Comma 17 4 3 4 2 2" xfId="42179"/>
    <cellStyle name="Comma 17 4 3 4 2 3" xfId="42180"/>
    <cellStyle name="Comma 17 4 3 4 3" xfId="42181"/>
    <cellStyle name="Comma 17 4 3 4 3 2" xfId="42182"/>
    <cellStyle name="Comma 17 4 3 4 4" xfId="42183"/>
    <cellStyle name="Comma 17 4 3 4 5" xfId="42184"/>
    <cellStyle name="Comma 17 4 3 5" xfId="42185"/>
    <cellStyle name="Comma 17 4 3 5 2" xfId="42186"/>
    <cellStyle name="Comma 17 4 3 5 3" xfId="42187"/>
    <cellStyle name="Comma 17 4 3 6" xfId="42188"/>
    <cellStyle name="Comma 17 4 3 6 2" xfId="42189"/>
    <cellStyle name="Comma 17 4 3 6 3" xfId="42190"/>
    <cellStyle name="Comma 17 4 3 7" xfId="42191"/>
    <cellStyle name="Comma 17 4 3 7 2" xfId="42192"/>
    <cellStyle name="Comma 17 4 3 8" xfId="42193"/>
    <cellStyle name="Comma 17 4 3 9" xfId="42194"/>
    <cellStyle name="Comma 17 4 4" xfId="42195"/>
    <cellStyle name="Comma 17 4 4 2" xfId="42196"/>
    <cellStyle name="Comma 17 4 4 2 2" xfId="42197"/>
    <cellStyle name="Comma 17 4 4 2 2 2" xfId="42198"/>
    <cellStyle name="Comma 17 4 4 2 2 3" xfId="42199"/>
    <cellStyle name="Comma 17 4 4 2 3" xfId="42200"/>
    <cellStyle name="Comma 17 4 4 2 3 2" xfId="42201"/>
    <cellStyle name="Comma 17 4 4 2 3 3" xfId="42202"/>
    <cellStyle name="Comma 17 4 4 2 4" xfId="42203"/>
    <cellStyle name="Comma 17 4 4 2 4 2" xfId="42204"/>
    <cellStyle name="Comma 17 4 4 2 5" xfId="42205"/>
    <cellStyle name="Comma 17 4 4 2 6" xfId="42206"/>
    <cellStyle name="Comma 17 4 4 3" xfId="42207"/>
    <cellStyle name="Comma 17 4 4 3 2" xfId="42208"/>
    <cellStyle name="Comma 17 4 4 3 2 2" xfId="42209"/>
    <cellStyle name="Comma 17 4 4 3 2 3" xfId="42210"/>
    <cellStyle name="Comma 17 4 4 3 3" xfId="42211"/>
    <cellStyle name="Comma 17 4 4 3 3 2" xfId="42212"/>
    <cellStyle name="Comma 17 4 4 3 3 3" xfId="42213"/>
    <cellStyle name="Comma 17 4 4 3 4" xfId="42214"/>
    <cellStyle name="Comma 17 4 4 3 4 2" xfId="42215"/>
    <cellStyle name="Comma 17 4 4 3 5" xfId="42216"/>
    <cellStyle name="Comma 17 4 4 3 6" xfId="42217"/>
    <cellStyle name="Comma 17 4 4 4" xfId="42218"/>
    <cellStyle name="Comma 17 4 4 4 2" xfId="42219"/>
    <cellStyle name="Comma 17 4 4 4 2 2" xfId="42220"/>
    <cellStyle name="Comma 17 4 4 4 2 3" xfId="42221"/>
    <cellStyle name="Comma 17 4 4 4 3" xfId="42222"/>
    <cellStyle name="Comma 17 4 4 4 3 2" xfId="42223"/>
    <cellStyle name="Comma 17 4 4 4 4" xfId="42224"/>
    <cellStyle name="Comma 17 4 4 4 5" xfId="42225"/>
    <cellStyle name="Comma 17 4 4 5" xfId="42226"/>
    <cellStyle name="Comma 17 4 4 5 2" xfId="42227"/>
    <cellStyle name="Comma 17 4 4 5 3" xfId="42228"/>
    <cellStyle name="Comma 17 4 4 6" xfId="42229"/>
    <cellStyle name="Comma 17 4 4 6 2" xfId="42230"/>
    <cellStyle name="Comma 17 4 4 6 3" xfId="42231"/>
    <cellStyle name="Comma 17 4 4 7" xfId="42232"/>
    <cellStyle name="Comma 17 4 4 7 2" xfId="42233"/>
    <cellStyle name="Comma 17 4 4 8" xfId="42234"/>
    <cellStyle name="Comma 17 4 4 9" xfId="42235"/>
    <cellStyle name="Comma 17 4 5" xfId="42236"/>
    <cellStyle name="Comma 17 4 5 2" xfId="42237"/>
    <cellStyle name="Comma 17 4 5 2 2" xfId="42238"/>
    <cellStyle name="Comma 17 4 5 2 3" xfId="42239"/>
    <cellStyle name="Comma 17 4 5 3" xfId="42240"/>
    <cellStyle name="Comma 17 4 5 3 2" xfId="42241"/>
    <cellStyle name="Comma 17 4 5 3 3" xfId="42242"/>
    <cellStyle name="Comma 17 4 5 4" xfId="42243"/>
    <cellStyle name="Comma 17 4 5 4 2" xfId="42244"/>
    <cellStyle name="Comma 17 4 5 5" xfId="42245"/>
    <cellStyle name="Comma 17 4 5 6" xfId="42246"/>
    <cellStyle name="Comma 17 4 6" xfId="42247"/>
    <cellStyle name="Comma 17 4 6 2" xfId="42248"/>
    <cellStyle name="Comma 17 4 6 2 2" xfId="42249"/>
    <cellStyle name="Comma 17 4 6 2 3" xfId="42250"/>
    <cellStyle name="Comma 17 4 6 3" xfId="42251"/>
    <cellStyle name="Comma 17 4 6 3 2" xfId="42252"/>
    <cellStyle name="Comma 17 4 6 3 3" xfId="42253"/>
    <cellStyle name="Comma 17 4 6 4" xfId="42254"/>
    <cellStyle name="Comma 17 4 6 4 2" xfId="42255"/>
    <cellStyle name="Comma 17 4 6 5" xfId="42256"/>
    <cellStyle name="Comma 17 4 6 6" xfId="42257"/>
    <cellStyle name="Comma 17 4 7" xfId="42258"/>
    <cellStyle name="Comma 17 4 7 2" xfId="42259"/>
    <cellStyle name="Comma 17 4 7 2 2" xfId="42260"/>
    <cellStyle name="Comma 17 4 7 2 3" xfId="42261"/>
    <cellStyle name="Comma 17 4 7 3" xfId="42262"/>
    <cellStyle name="Comma 17 4 7 3 2" xfId="42263"/>
    <cellStyle name="Comma 17 4 7 4" xfId="42264"/>
    <cellStyle name="Comma 17 4 7 5" xfId="42265"/>
    <cellStyle name="Comma 17 4 8" xfId="42266"/>
    <cellStyle name="Comma 17 4 8 2" xfId="42267"/>
    <cellStyle name="Comma 17 4 8 3" xfId="42268"/>
    <cellStyle name="Comma 17 4 9" xfId="42269"/>
    <cellStyle name="Comma 17 4 9 2" xfId="42270"/>
    <cellStyle name="Comma 17 4 9 3" xfId="42271"/>
    <cellStyle name="Comma 17 5" xfId="42272"/>
    <cellStyle name="Comma 17 5 10" xfId="42273"/>
    <cellStyle name="Comma 17 5 2" xfId="42274"/>
    <cellStyle name="Comma 17 5 2 2" xfId="42275"/>
    <cellStyle name="Comma 17 5 2 2 2" xfId="42276"/>
    <cellStyle name="Comma 17 5 2 2 2 2" xfId="42277"/>
    <cellStyle name="Comma 17 5 2 2 2 3" xfId="42278"/>
    <cellStyle name="Comma 17 5 2 2 3" xfId="42279"/>
    <cellStyle name="Comma 17 5 2 2 3 2" xfId="42280"/>
    <cellStyle name="Comma 17 5 2 2 3 3" xfId="42281"/>
    <cellStyle name="Comma 17 5 2 2 4" xfId="42282"/>
    <cellStyle name="Comma 17 5 2 2 4 2" xfId="42283"/>
    <cellStyle name="Comma 17 5 2 2 5" xfId="42284"/>
    <cellStyle name="Comma 17 5 2 2 6" xfId="42285"/>
    <cellStyle name="Comma 17 5 2 3" xfId="42286"/>
    <cellStyle name="Comma 17 5 2 3 2" xfId="42287"/>
    <cellStyle name="Comma 17 5 2 3 2 2" xfId="42288"/>
    <cellStyle name="Comma 17 5 2 3 2 3" xfId="42289"/>
    <cellStyle name="Comma 17 5 2 3 3" xfId="42290"/>
    <cellStyle name="Comma 17 5 2 3 3 2" xfId="42291"/>
    <cellStyle name="Comma 17 5 2 3 3 3" xfId="42292"/>
    <cellStyle name="Comma 17 5 2 3 4" xfId="42293"/>
    <cellStyle name="Comma 17 5 2 3 4 2" xfId="42294"/>
    <cellStyle name="Comma 17 5 2 3 5" xfId="42295"/>
    <cellStyle name="Comma 17 5 2 3 6" xfId="42296"/>
    <cellStyle name="Comma 17 5 2 4" xfId="42297"/>
    <cellStyle name="Comma 17 5 2 4 2" xfId="42298"/>
    <cellStyle name="Comma 17 5 2 4 2 2" xfId="42299"/>
    <cellStyle name="Comma 17 5 2 4 2 3" xfId="42300"/>
    <cellStyle name="Comma 17 5 2 4 3" xfId="42301"/>
    <cellStyle name="Comma 17 5 2 4 3 2" xfId="42302"/>
    <cellStyle name="Comma 17 5 2 4 4" xfId="42303"/>
    <cellStyle name="Comma 17 5 2 4 5" xfId="42304"/>
    <cellStyle name="Comma 17 5 2 5" xfId="42305"/>
    <cellStyle name="Comma 17 5 2 5 2" xfId="42306"/>
    <cellStyle name="Comma 17 5 2 5 3" xfId="42307"/>
    <cellStyle name="Comma 17 5 2 6" xfId="42308"/>
    <cellStyle name="Comma 17 5 2 6 2" xfId="42309"/>
    <cellStyle name="Comma 17 5 2 6 3" xfId="42310"/>
    <cellStyle name="Comma 17 5 2 7" xfId="42311"/>
    <cellStyle name="Comma 17 5 2 7 2" xfId="42312"/>
    <cellStyle name="Comma 17 5 2 8" xfId="42313"/>
    <cellStyle name="Comma 17 5 2 9" xfId="42314"/>
    <cellStyle name="Comma 17 5 3" xfId="42315"/>
    <cellStyle name="Comma 17 5 3 2" xfId="42316"/>
    <cellStyle name="Comma 17 5 3 2 2" xfId="42317"/>
    <cellStyle name="Comma 17 5 3 2 3" xfId="42318"/>
    <cellStyle name="Comma 17 5 3 3" xfId="42319"/>
    <cellStyle name="Comma 17 5 3 3 2" xfId="42320"/>
    <cellStyle name="Comma 17 5 3 3 3" xfId="42321"/>
    <cellStyle name="Comma 17 5 3 4" xfId="42322"/>
    <cellStyle name="Comma 17 5 3 4 2" xfId="42323"/>
    <cellStyle name="Comma 17 5 3 5" xfId="42324"/>
    <cellStyle name="Comma 17 5 3 6" xfId="42325"/>
    <cellStyle name="Comma 17 5 4" xfId="42326"/>
    <cellStyle name="Comma 17 5 4 2" xfId="42327"/>
    <cellStyle name="Comma 17 5 4 2 2" xfId="42328"/>
    <cellStyle name="Comma 17 5 4 2 3" xfId="42329"/>
    <cellStyle name="Comma 17 5 4 3" xfId="42330"/>
    <cellStyle name="Comma 17 5 4 3 2" xfId="42331"/>
    <cellStyle name="Comma 17 5 4 3 3" xfId="42332"/>
    <cellStyle name="Comma 17 5 4 4" xfId="42333"/>
    <cellStyle name="Comma 17 5 4 4 2" xfId="42334"/>
    <cellStyle name="Comma 17 5 4 5" xfId="42335"/>
    <cellStyle name="Comma 17 5 4 6" xfId="42336"/>
    <cellStyle name="Comma 17 5 5" xfId="42337"/>
    <cellStyle name="Comma 17 5 5 2" xfId="42338"/>
    <cellStyle name="Comma 17 5 5 2 2" xfId="42339"/>
    <cellStyle name="Comma 17 5 5 2 3" xfId="42340"/>
    <cellStyle name="Comma 17 5 5 3" xfId="42341"/>
    <cellStyle name="Comma 17 5 5 3 2" xfId="42342"/>
    <cellStyle name="Comma 17 5 5 4" xfId="42343"/>
    <cellStyle name="Comma 17 5 5 5" xfId="42344"/>
    <cellStyle name="Comma 17 5 6" xfId="42345"/>
    <cellStyle name="Comma 17 5 6 2" xfId="42346"/>
    <cellStyle name="Comma 17 5 6 3" xfId="42347"/>
    <cellStyle name="Comma 17 5 7" xfId="42348"/>
    <cellStyle name="Comma 17 5 7 2" xfId="42349"/>
    <cellStyle name="Comma 17 5 7 3" xfId="42350"/>
    <cellStyle name="Comma 17 5 8" xfId="42351"/>
    <cellStyle name="Comma 17 5 8 2" xfId="42352"/>
    <cellStyle name="Comma 17 5 9" xfId="42353"/>
    <cellStyle name="Comma 17 6" xfId="42354"/>
    <cellStyle name="Comma 17 6 2" xfId="42355"/>
    <cellStyle name="Comma 17 6 2 2" xfId="42356"/>
    <cellStyle name="Comma 17 6 2 2 2" xfId="42357"/>
    <cellStyle name="Comma 17 6 2 2 3" xfId="42358"/>
    <cellStyle name="Comma 17 6 2 3" xfId="42359"/>
    <cellStyle name="Comma 17 6 2 3 2" xfId="42360"/>
    <cellStyle name="Comma 17 6 2 3 3" xfId="42361"/>
    <cellStyle name="Comma 17 6 2 4" xfId="42362"/>
    <cellStyle name="Comma 17 6 2 4 2" xfId="42363"/>
    <cellStyle name="Comma 17 6 2 5" xfId="42364"/>
    <cellStyle name="Comma 17 6 2 6" xfId="42365"/>
    <cellStyle name="Comma 17 6 3" xfId="42366"/>
    <cellStyle name="Comma 17 6 3 2" xfId="42367"/>
    <cellStyle name="Comma 17 6 3 2 2" xfId="42368"/>
    <cellStyle name="Comma 17 6 3 2 3" xfId="42369"/>
    <cellStyle name="Comma 17 6 3 3" xfId="42370"/>
    <cellStyle name="Comma 17 6 3 3 2" xfId="42371"/>
    <cellStyle name="Comma 17 6 3 3 3" xfId="42372"/>
    <cellStyle name="Comma 17 6 3 4" xfId="42373"/>
    <cellStyle name="Comma 17 6 3 4 2" xfId="42374"/>
    <cellStyle name="Comma 17 6 3 5" xfId="42375"/>
    <cellStyle name="Comma 17 6 3 6" xfId="42376"/>
    <cellStyle name="Comma 17 6 4" xfId="42377"/>
    <cellStyle name="Comma 17 6 4 2" xfId="42378"/>
    <cellStyle name="Comma 17 6 4 2 2" xfId="42379"/>
    <cellStyle name="Comma 17 6 4 2 3" xfId="42380"/>
    <cellStyle name="Comma 17 6 4 3" xfId="42381"/>
    <cellStyle name="Comma 17 6 4 3 2" xfId="42382"/>
    <cellStyle name="Comma 17 6 4 4" xfId="42383"/>
    <cellStyle name="Comma 17 6 4 5" xfId="42384"/>
    <cellStyle name="Comma 17 6 5" xfId="42385"/>
    <cellStyle name="Comma 17 6 5 2" xfId="42386"/>
    <cellStyle name="Comma 17 6 5 3" xfId="42387"/>
    <cellStyle name="Comma 17 6 6" xfId="42388"/>
    <cellStyle name="Comma 17 6 6 2" xfId="42389"/>
    <cellStyle name="Comma 17 6 6 3" xfId="42390"/>
    <cellStyle name="Comma 17 6 7" xfId="42391"/>
    <cellStyle name="Comma 17 6 7 2" xfId="42392"/>
    <cellStyle name="Comma 17 6 8" xfId="42393"/>
    <cellStyle name="Comma 17 6 9" xfId="42394"/>
    <cellStyle name="Comma 17 7" xfId="42395"/>
    <cellStyle name="Comma 17 7 2" xfId="42396"/>
    <cellStyle name="Comma 17 7 2 2" xfId="42397"/>
    <cellStyle name="Comma 17 7 2 2 2" xfId="42398"/>
    <cellStyle name="Comma 17 7 2 2 3" xfId="42399"/>
    <cellStyle name="Comma 17 7 2 3" xfId="42400"/>
    <cellStyle name="Comma 17 7 2 3 2" xfId="42401"/>
    <cellStyle name="Comma 17 7 2 3 3" xfId="42402"/>
    <cellStyle name="Comma 17 7 2 4" xfId="42403"/>
    <cellStyle name="Comma 17 7 2 4 2" xfId="42404"/>
    <cellStyle name="Comma 17 7 2 5" xfId="42405"/>
    <cellStyle name="Comma 17 7 2 6" xfId="42406"/>
    <cellStyle name="Comma 17 7 3" xfId="42407"/>
    <cellStyle name="Comma 17 7 3 2" xfId="42408"/>
    <cellStyle name="Comma 17 7 3 2 2" xfId="42409"/>
    <cellStyle name="Comma 17 7 3 2 3" xfId="42410"/>
    <cellStyle name="Comma 17 7 3 3" xfId="42411"/>
    <cellStyle name="Comma 17 7 3 3 2" xfId="42412"/>
    <cellStyle name="Comma 17 7 3 3 3" xfId="42413"/>
    <cellStyle name="Comma 17 7 3 4" xfId="42414"/>
    <cellStyle name="Comma 17 7 3 4 2" xfId="42415"/>
    <cellStyle name="Comma 17 7 3 5" xfId="42416"/>
    <cellStyle name="Comma 17 7 3 6" xfId="42417"/>
    <cellStyle name="Comma 17 7 4" xfId="42418"/>
    <cellStyle name="Comma 17 7 4 2" xfId="42419"/>
    <cellStyle name="Comma 17 7 4 2 2" xfId="42420"/>
    <cellStyle name="Comma 17 7 4 2 3" xfId="42421"/>
    <cellStyle name="Comma 17 7 4 3" xfId="42422"/>
    <cellStyle name="Comma 17 7 4 3 2" xfId="42423"/>
    <cellStyle name="Comma 17 7 4 4" xfId="42424"/>
    <cellStyle name="Comma 17 7 4 5" xfId="42425"/>
    <cellStyle name="Comma 17 7 5" xfId="42426"/>
    <cellStyle name="Comma 17 7 5 2" xfId="42427"/>
    <cellStyle name="Comma 17 7 5 3" xfId="42428"/>
    <cellStyle name="Comma 17 7 6" xfId="42429"/>
    <cellStyle name="Comma 17 7 6 2" xfId="42430"/>
    <cellStyle name="Comma 17 7 6 3" xfId="42431"/>
    <cellStyle name="Comma 17 7 7" xfId="42432"/>
    <cellStyle name="Comma 17 7 7 2" xfId="42433"/>
    <cellStyle name="Comma 17 7 8" xfId="42434"/>
    <cellStyle name="Comma 17 7 9" xfId="42435"/>
    <cellStyle name="Comma 17 8" xfId="42436"/>
    <cellStyle name="Comma 17 8 2" xfId="42437"/>
    <cellStyle name="Comma 17 8 2 2" xfId="42438"/>
    <cellStyle name="Comma 17 8 2 3" xfId="42439"/>
    <cellStyle name="Comma 17 8 3" xfId="42440"/>
    <cellStyle name="Comma 17 8 3 2" xfId="42441"/>
    <cellStyle name="Comma 17 8 3 3" xfId="42442"/>
    <cellStyle name="Comma 17 8 4" xfId="42443"/>
    <cellStyle name="Comma 17 8 4 2" xfId="42444"/>
    <cellStyle name="Comma 17 8 5" xfId="42445"/>
    <cellStyle name="Comma 17 8 6" xfId="42446"/>
    <cellStyle name="Comma 17 9" xfId="42447"/>
    <cellStyle name="Comma 17 9 2" xfId="42448"/>
    <cellStyle name="Comma 17 9 2 2" xfId="42449"/>
    <cellStyle name="Comma 17 9 2 3" xfId="42450"/>
    <cellStyle name="Comma 17 9 3" xfId="42451"/>
    <cellStyle name="Comma 17 9 3 2" xfId="42452"/>
    <cellStyle name="Comma 17 9 3 3" xfId="42453"/>
    <cellStyle name="Comma 17 9 4" xfId="42454"/>
    <cellStyle name="Comma 17 9 4 2" xfId="42455"/>
    <cellStyle name="Comma 17 9 5" xfId="42456"/>
    <cellStyle name="Comma 17 9 6" xfId="42457"/>
    <cellStyle name="Comma 18" xfId="3247"/>
    <cellStyle name="Comma 18 10" xfId="42458"/>
    <cellStyle name="Comma 18 10 2" xfId="42459"/>
    <cellStyle name="Comma 18 10 2 2" xfId="42460"/>
    <cellStyle name="Comma 18 10 2 3" xfId="42461"/>
    <cellStyle name="Comma 18 10 3" xfId="42462"/>
    <cellStyle name="Comma 18 10 3 2" xfId="42463"/>
    <cellStyle name="Comma 18 10 4" xfId="42464"/>
    <cellStyle name="Comma 18 10 5" xfId="42465"/>
    <cellStyle name="Comma 18 11" xfId="42466"/>
    <cellStyle name="Comma 18 11 2" xfId="42467"/>
    <cellStyle name="Comma 18 11 3" xfId="42468"/>
    <cellStyle name="Comma 18 12" xfId="42469"/>
    <cellStyle name="Comma 18 12 2" xfId="42470"/>
    <cellStyle name="Comma 18 12 3" xfId="42471"/>
    <cellStyle name="Comma 18 13" xfId="42472"/>
    <cellStyle name="Comma 18 13 2" xfId="42473"/>
    <cellStyle name="Comma 18 14" xfId="42474"/>
    <cellStyle name="Comma 18 15" xfId="42475"/>
    <cellStyle name="Comma 18 16" xfId="42476"/>
    <cellStyle name="Comma 18 2" xfId="3248"/>
    <cellStyle name="Comma 18 2 10" xfId="42477"/>
    <cellStyle name="Comma 18 2 10 2" xfId="42478"/>
    <cellStyle name="Comma 18 2 10 3" xfId="42479"/>
    <cellStyle name="Comma 18 2 11" xfId="42480"/>
    <cellStyle name="Comma 18 2 11 2" xfId="42481"/>
    <cellStyle name="Comma 18 2 11 3" xfId="42482"/>
    <cellStyle name="Comma 18 2 12" xfId="42483"/>
    <cellStyle name="Comma 18 2 12 2" xfId="42484"/>
    <cellStyle name="Comma 18 2 13" xfId="42485"/>
    <cellStyle name="Comma 18 2 14" xfId="42486"/>
    <cellStyle name="Comma 18 2 2" xfId="42487"/>
    <cellStyle name="Comma 18 2 2 10" xfId="42488"/>
    <cellStyle name="Comma 18 2 2 10 2" xfId="42489"/>
    <cellStyle name="Comma 18 2 2 10 3" xfId="42490"/>
    <cellStyle name="Comma 18 2 2 11" xfId="42491"/>
    <cellStyle name="Comma 18 2 2 11 2" xfId="42492"/>
    <cellStyle name="Comma 18 2 2 12" xfId="42493"/>
    <cellStyle name="Comma 18 2 2 13" xfId="42494"/>
    <cellStyle name="Comma 18 2 2 2" xfId="42495"/>
    <cellStyle name="Comma 18 2 2 2 10" xfId="42496"/>
    <cellStyle name="Comma 18 2 2 2 10 2" xfId="42497"/>
    <cellStyle name="Comma 18 2 2 2 11" xfId="42498"/>
    <cellStyle name="Comma 18 2 2 2 12" xfId="42499"/>
    <cellStyle name="Comma 18 2 2 2 2" xfId="42500"/>
    <cellStyle name="Comma 18 2 2 2 2 10" xfId="42501"/>
    <cellStyle name="Comma 18 2 2 2 2 2" xfId="42502"/>
    <cellStyle name="Comma 18 2 2 2 2 2 2" xfId="42503"/>
    <cellStyle name="Comma 18 2 2 2 2 2 2 2" xfId="42504"/>
    <cellStyle name="Comma 18 2 2 2 2 2 2 2 2" xfId="42505"/>
    <cellStyle name="Comma 18 2 2 2 2 2 2 2 3" xfId="42506"/>
    <cellStyle name="Comma 18 2 2 2 2 2 2 3" xfId="42507"/>
    <cellStyle name="Comma 18 2 2 2 2 2 2 3 2" xfId="42508"/>
    <cellStyle name="Comma 18 2 2 2 2 2 2 3 3" xfId="42509"/>
    <cellStyle name="Comma 18 2 2 2 2 2 2 4" xfId="42510"/>
    <cellStyle name="Comma 18 2 2 2 2 2 2 4 2" xfId="42511"/>
    <cellStyle name="Comma 18 2 2 2 2 2 2 5" xfId="42512"/>
    <cellStyle name="Comma 18 2 2 2 2 2 2 6" xfId="42513"/>
    <cellStyle name="Comma 18 2 2 2 2 2 3" xfId="42514"/>
    <cellStyle name="Comma 18 2 2 2 2 2 3 2" xfId="42515"/>
    <cellStyle name="Comma 18 2 2 2 2 2 3 2 2" xfId="42516"/>
    <cellStyle name="Comma 18 2 2 2 2 2 3 2 3" xfId="42517"/>
    <cellStyle name="Comma 18 2 2 2 2 2 3 3" xfId="42518"/>
    <cellStyle name="Comma 18 2 2 2 2 2 3 3 2" xfId="42519"/>
    <cellStyle name="Comma 18 2 2 2 2 2 3 3 3" xfId="42520"/>
    <cellStyle name="Comma 18 2 2 2 2 2 3 4" xfId="42521"/>
    <cellStyle name="Comma 18 2 2 2 2 2 3 4 2" xfId="42522"/>
    <cellStyle name="Comma 18 2 2 2 2 2 3 5" xfId="42523"/>
    <cellStyle name="Comma 18 2 2 2 2 2 3 6" xfId="42524"/>
    <cellStyle name="Comma 18 2 2 2 2 2 4" xfId="42525"/>
    <cellStyle name="Comma 18 2 2 2 2 2 4 2" xfId="42526"/>
    <cellStyle name="Comma 18 2 2 2 2 2 4 2 2" xfId="42527"/>
    <cellStyle name="Comma 18 2 2 2 2 2 4 2 3" xfId="42528"/>
    <cellStyle name="Comma 18 2 2 2 2 2 4 3" xfId="42529"/>
    <cellStyle name="Comma 18 2 2 2 2 2 4 3 2" xfId="42530"/>
    <cellStyle name="Comma 18 2 2 2 2 2 4 4" xfId="42531"/>
    <cellStyle name="Comma 18 2 2 2 2 2 4 5" xfId="42532"/>
    <cellStyle name="Comma 18 2 2 2 2 2 5" xfId="42533"/>
    <cellStyle name="Comma 18 2 2 2 2 2 5 2" xfId="42534"/>
    <cellStyle name="Comma 18 2 2 2 2 2 5 3" xfId="42535"/>
    <cellStyle name="Comma 18 2 2 2 2 2 6" xfId="42536"/>
    <cellStyle name="Comma 18 2 2 2 2 2 6 2" xfId="42537"/>
    <cellStyle name="Comma 18 2 2 2 2 2 6 3" xfId="42538"/>
    <cellStyle name="Comma 18 2 2 2 2 2 7" xfId="42539"/>
    <cellStyle name="Comma 18 2 2 2 2 2 7 2" xfId="42540"/>
    <cellStyle name="Comma 18 2 2 2 2 2 8" xfId="42541"/>
    <cellStyle name="Comma 18 2 2 2 2 2 9" xfId="42542"/>
    <cellStyle name="Comma 18 2 2 2 2 3" xfId="42543"/>
    <cellStyle name="Comma 18 2 2 2 2 3 2" xfId="42544"/>
    <cellStyle name="Comma 18 2 2 2 2 3 2 2" xfId="42545"/>
    <cellStyle name="Comma 18 2 2 2 2 3 2 3" xfId="42546"/>
    <cellStyle name="Comma 18 2 2 2 2 3 3" xfId="42547"/>
    <cellStyle name="Comma 18 2 2 2 2 3 3 2" xfId="42548"/>
    <cellStyle name="Comma 18 2 2 2 2 3 3 3" xfId="42549"/>
    <cellStyle name="Comma 18 2 2 2 2 3 4" xfId="42550"/>
    <cellStyle name="Comma 18 2 2 2 2 3 4 2" xfId="42551"/>
    <cellStyle name="Comma 18 2 2 2 2 3 5" xfId="42552"/>
    <cellStyle name="Comma 18 2 2 2 2 3 6" xfId="42553"/>
    <cellStyle name="Comma 18 2 2 2 2 4" xfId="42554"/>
    <cellStyle name="Comma 18 2 2 2 2 4 2" xfId="42555"/>
    <cellStyle name="Comma 18 2 2 2 2 4 2 2" xfId="42556"/>
    <cellStyle name="Comma 18 2 2 2 2 4 2 3" xfId="42557"/>
    <cellStyle name="Comma 18 2 2 2 2 4 3" xfId="42558"/>
    <cellStyle name="Comma 18 2 2 2 2 4 3 2" xfId="42559"/>
    <cellStyle name="Comma 18 2 2 2 2 4 3 3" xfId="42560"/>
    <cellStyle name="Comma 18 2 2 2 2 4 4" xfId="42561"/>
    <cellStyle name="Comma 18 2 2 2 2 4 4 2" xfId="42562"/>
    <cellStyle name="Comma 18 2 2 2 2 4 5" xfId="42563"/>
    <cellStyle name="Comma 18 2 2 2 2 4 6" xfId="42564"/>
    <cellStyle name="Comma 18 2 2 2 2 5" xfId="42565"/>
    <cellStyle name="Comma 18 2 2 2 2 5 2" xfId="42566"/>
    <cellStyle name="Comma 18 2 2 2 2 5 2 2" xfId="42567"/>
    <cellStyle name="Comma 18 2 2 2 2 5 2 3" xfId="42568"/>
    <cellStyle name="Comma 18 2 2 2 2 5 3" xfId="42569"/>
    <cellStyle name="Comma 18 2 2 2 2 5 3 2" xfId="42570"/>
    <cellStyle name="Comma 18 2 2 2 2 5 4" xfId="42571"/>
    <cellStyle name="Comma 18 2 2 2 2 5 5" xfId="42572"/>
    <cellStyle name="Comma 18 2 2 2 2 6" xfId="42573"/>
    <cellStyle name="Comma 18 2 2 2 2 6 2" xfId="42574"/>
    <cellStyle name="Comma 18 2 2 2 2 6 3" xfId="42575"/>
    <cellStyle name="Comma 18 2 2 2 2 7" xfId="42576"/>
    <cellStyle name="Comma 18 2 2 2 2 7 2" xfId="42577"/>
    <cellStyle name="Comma 18 2 2 2 2 7 3" xfId="42578"/>
    <cellStyle name="Comma 18 2 2 2 2 8" xfId="42579"/>
    <cellStyle name="Comma 18 2 2 2 2 8 2" xfId="42580"/>
    <cellStyle name="Comma 18 2 2 2 2 9" xfId="42581"/>
    <cellStyle name="Comma 18 2 2 2 3" xfId="42582"/>
    <cellStyle name="Comma 18 2 2 2 3 2" xfId="42583"/>
    <cellStyle name="Comma 18 2 2 2 3 2 2" xfId="42584"/>
    <cellStyle name="Comma 18 2 2 2 3 2 2 2" xfId="42585"/>
    <cellStyle name="Comma 18 2 2 2 3 2 2 3" xfId="42586"/>
    <cellStyle name="Comma 18 2 2 2 3 2 3" xfId="42587"/>
    <cellStyle name="Comma 18 2 2 2 3 2 3 2" xfId="42588"/>
    <cellStyle name="Comma 18 2 2 2 3 2 3 3" xfId="42589"/>
    <cellStyle name="Comma 18 2 2 2 3 2 4" xfId="42590"/>
    <cellStyle name="Comma 18 2 2 2 3 2 4 2" xfId="42591"/>
    <cellStyle name="Comma 18 2 2 2 3 2 5" xfId="42592"/>
    <cellStyle name="Comma 18 2 2 2 3 2 6" xfId="42593"/>
    <cellStyle name="Comma 18 2 2 2 3 3" xfId="42594"/>
    <cellStyle name="Comma 18 2 2 2 3 3 2" xfId="42595"/>
    <cellStyle name="Comma 18 2 2 2 3 3 2 2" xfId="42596"/>
    <cellStyle name="Comma 18 2 2 2 3 3 2 3" xfId="42597"/>
    <cellStyle name="Comma 18 2 2 2 3 3 3" xfId="42598"/>
    <cellStyle name="Comma 18 2 2 2 3 3 3 2" xfId="42599"/>
    <cellStyle name="Comma 18 2 2 2 3 3 3 3" xfId="42600"/>
    <cellStyle name="Comma 18 2 2 2 3 3 4" xfId="42601"/>
    <cellStyle name="Comma 18 2 2 2 3 3 4 2" xfId="42602"/>
    <cellStyle name="Comma 18 2 2 2 3 3 5" xfId="42603"/>
    <cellStyle name="Comma 18 2 2 2 3 3 6" xfId="42604"/>
    <cellStyle name="Comma 18 2 2 2 3 4" xfId="42605"/>
    <cellStyle name="Comma 18 2 2 2 3 4 2" xfId="42606"/>
    <cellStyle name="Comma 18 2 2 2 3 4 2 2" xfId="42607"/>
    <cellStyle name="Comma 18 2 2 2 3 4 2 3" xfId="42608"/>
    <cellStyle name="Comma 18 2 2 2 3 4 3" xfId="42609"/>
    <cellStyle name="Comma 18 2 2 2 3 4 3 2" xfId="42610"/>
    <cellStyle name="Comma 18 2 2 2 3 4 4" xfId="42611"/>
    <cellStyle name="Comma 18 2 2 2 3 4 5" xfId="42612"/>
    <cellStyle name="Comma 18 2 2 2 3 5" xfId="42613"/>
    <cellStyle name="Comma 18 2 2 2 3 5 2" xfId="42614"/>
    <cellStyle name="Comma 18 2 2 2 3 5 3" xfId="42615"/>
    <cellStyle name="Comma 18 2 2 2 3 6" xfId="42616"/>
    <cellStyle name="Comma 18 2 2 2 3 6 2" xfId="42617"/>
    <cellStyle name="Comma 18 2 2 2 3 6 3" xfId="42618"/>
    <cellStyle name="Comma 18 2 2 2 3 7" xfId="42619"/>
    <cellStyle name="Comma 18 2 2 2 3 7 2" xfId="42620"/>
    <cellStyle name="Comma 18 2 2 2 3 8" xfId="42621"/>
    <cellStyle name="Comma 18 2 2 2 3 9" xfId="42622"/>
    <cellStyle name="Comma 18 2 2 2 4" xfId="42623"/>
    <cellStyle name="Comma 18 2 2 2 4 2" xfId="42624"/>
    <cellStyle name="Comma 18 2 2 2 4 2 2" xfId="42625"/>
    <cellStyle name="Comma 18 2 2 2 4 2 2 2" xfId="42626"/>
    <cellStyle name="Comma 18 2 2 2 4 2 2 3" xfId="42627"/>
    <cellStyle name="Comma 18 2 2 2 4 2 3" xfId="42628"/>
    <cellStyle name="Comma 18 2 2 2 4 2 3 2" xfId="42629"/>
    <cellStyle name="Comma 18 2 2 2 4 2 3 3" xfId="42630"/>
    <cellStyle name="Comma 18 2 2 2 4 2 4" xfId="42631"/>
    <cellStyle name="Comma 18 2 2 2 4 2 4 2" xfId="42632"/>
    <cellStyle name="Comma 18 2 2 2 4 2 5" xfId="42633"/>
    <cellStyle name="Comma 18 2 2 2 4 2 6" xfId="42634"/>
    <cellStyle name="Comma 18 2 2 2 4 3" xfId="42635"/>
    <cellStyle name="Comma 18 2 2 2 4 3 2" xfId="42636"/>
    <cellStyle name="Comma 18 2 2 2 4 3 2 2" xfId="42637"/>
    <cellStyle name="Comma 18 2 2 2 4 3 2 3" xfId="42638"/>
    <cellStyle name="Comma 18 2 2 2 4 3 3" xfId="42639"/>
    <cellStyle name="Comma 18 2 2 2 4 3 3 2" xfId="42640"/>
    <cellStyle name="Comma 18 2 2 2 4 3 3 3" xfId="42641"/>
    <cellStyle name="Comma 18 2 2 2 4 3 4" xfId="42642"/>
    <cellStyle name="Comma 18 2 2 2 4 3 4 2" xfId="42643"/>
    <cellStyle name="Comma 18 2 2 2 4 3 5" xfId="42644"/>
    <cellStyle name="Comma 18 2 2 2 4 3 6" xfId="42645"/>
    <cellStyle name="Comma 18 2 2 2 4 4" xfId="42646"/>
    <cellStyle name="Comma 18 2 2 2 4 4 2" xfId="42647"/>
    <cellStyle name="Comma 18 2 2 2 4 4 2 2" xfId="42648"/>
    <cellStyle name="Comma 18 2 2 2 4 4 2 3" xfId="42649"/>
    <cellStyle name="Comma 18 2 2 2 4 4 3" xfId="42650"/>
    <cellStyle name="Comma 18 2 2 2 4 4 3 2" xfId="42651"/>
    <cellStyle name="Comma 18 2 2 2 4 4 4" xfId="42652"/>
    <cellStyle name="Comma 18 2 2 2 4 4 5" xfId="42653"/>
    <cellStyle name="Comma 18 2 2 2 4 5" xfId="42654"/>
    <cellStyle name="Comma 18 2 2 2 4 5 2" xfId="42655"/>
    <cellStyle name="Comma 18 2 2 2 4 5 3" xfId="42656"/>
    <cellStyle name="Comma 18 2 2 2 4 6" xfId="42657"/>
    <cellStyle name="Comma 18 2 2 2 4 6 2" xfId="42658"/>
    <cellStyle name="Comma 18 2 2 2 4 6 3" xfId="42659"/>
    <cellStyle name="Comma 18 2 2 2 4 7" xfId="42660"/>
    <cellStyle name="Comma 18 2 2 2 4 7 2" xfId="42661"/>
    <cellStyle name="Comma 18 2 2 2 4 8" xfId="42662"/>
    <cellStyle name="Comma 18 2 2 2 4 9" xfId="42663"/>
    <cellStyle name="Comma 18 2 2 2 5" xfId="42664"/>
    <cellStyle name="Comma 18 2 2 2 5 2" xfId="42665"/>
    <cellStyle name="Comma 18 2 2 2 5 2 2" xfId="42666"/>
    <cellStyle name="Comma 18 2 2 2 5 2 3" xfId="42667"/>
    <cellStyle name="Comma 18 2 2 2 5 3" xfId="42668"/>
    <cellStyle name="Comma 18 2 2 2 5 3 2" xfId="42669"/>
    <cellStyle name="Comma 18 2 2 2 5 3 3" xfId="42670"/>
    <cellStyle name="Comma 18 2 2 2 5 4" xfId="42671"/>
    <cellStyle name="Comma 18 2 2 2 5 4 2" xfId="42672"/>
    <cellStyle name="Comma 18 2 2 2 5 5" xfId="42673"/>
    <cellStyle name="Comma 18 2 2 2 5 6" xfId="42674"/>
    <cellStyle name="Comma 18 2 2 2 6" xfId="42675"/>
    <cellStyle name="Comma 18 2 2 2 6 2" xfId="42676"/>
    <cellStyle name="Comma 18 2 2 2 6 2 2" xfId="42677"/>
    <cellStyle name="Comma 18 2 2 2 6 2 3" xfId="42678"/>
    <cellStyle name="Comma 18 2 2 2 6 3" xfId="42679"/>
    <cellStyle name="Comma 18 2 2 2 6 3 2" xfId="42680"/>
    <cellStyle name="Comma 18 2 2 2 6 3 3" xfId="42681"/>
    <cellStyle name="Comma 18 2 2 2 6 4" xfId="42682"/>
    <cellStyle name="Comma 18 2 2 2 6 4 2" xfId="42683"/>
    <cellStyle name="Comma 18 2 2 2 6 5" xfId="42684"/>
    <cellStyle name="Comma 18 2 2 2 6 6" xfId="42685"/>
    <cellStyle name="Comma 18 2 2 2 7" xfId="42686"/>
    <cellStyle name="Comma 18 2 2 2 7 2" xfId="42687"/>
    <cellStyle name="Comma 18 2 2 2 7 2 2" xfId="42688"/>
    <cellStyle name="Comma 18 2 2 2 7 2 3" xfId="42689"/>
    <cellStyle name="Comma 18 2 2 2 7 3" xfId="42690"/>
    <cellStyle name="Comma 18 2 2 2 7 3 2" xfId="42691"/>
    <cellStyle name="Comma 18 2 2 2 7 4" xfId="42692"/>
    <cellStyle name="Comma 18 2 2 2 7 5" xfId="42693"/>
    <cellStyle name="Comma 18 2 2 2 8" xfId="42694"/>
    <cellStyle name="Comma 18 2 2 2 8 2" xfId="42695"/>
    <cellStyle name="Comma 18 2 2 2 8 3" xfId="42696"/>
    <cellStyle name="Comma 18 2 2 2 9" xfId="42697"/>
    <cellStyle name="Comma 18 2 2 2 9 2" xfId="42698"/>
    <cellStyle name="Comma 18 2 2 2 9 3" xfId="42699"/>
    <cellStyle name="Comma 18 2 2 3" xfId="42700"/>
    <cellStyle name="Comma 18 2 2 3 10" xfId="42701"/>
    <cellStyle name="Comma 18 2 2 3 2" xfId="42702"/>
    <cellStyle name="Comma 18 2 2 3 2 2" xfId="42703"/>
    <cellStyle name="Comma 18 2 2 3 2 2 2" xfId="42704"/>
    <cellStyle name="Comma 18 2 2 3 2 2 2 2" xfId="42705"/>
    <cellStyle name="Comma 18 2 2 3 2 2 2 3" xfId="42706"/>
    <cellStyle name="Comma 18 2 2 3 2 2 3" xfId="42707"/>
    <cellStyle name="Comma 18 2 2 3 2 2 3 2" xfId="42708"/>
    <cellStyle name="Comma 18 2 2 3 2 2 3 3" xfId="42709"/>
    <cellStyle name="Comma 18 2 2 3 2 2 4" xfId="42710"/>
    <cellStyle name="Comma 18 2 2 3 2 2 4 2" xfId="42711"/>
    <cellStyle name="Comma 18 2 2 3 2 2 5" xfId="42712"/>
    <cellStyle name="Comma 18 2 2 3 2 2 6" xfId="42713"/>
    <cellStyle name="Comma 18 2 2 3 2 3" xfId="42714"/>
    <cellStyle name="Comma 18 2 2 3 2 3 2" xfId="42715"/>
    <cellStyle name="Comma 18 2 2 3 2 3 2 2" xfId="42716"/>
    <cellStyle name="Comma 18 2 2 3 2 3 2 3" xfId="42717"/>
    <cellStyle name="Comma 18 2 2 3 2 3 3" xfId="42718"/>
    <cellStyle name="Comma 18 2 2 3 2 3 3 2" xfId="42719"/>
    <cellStyle name="Comma 18 2 2 3 2 3 3 3" xfId="42720"/>
    <cellStyle name="Comma 18 2 2 3 2 3 4" xfId="42721"/>
    <cellStyle name="Comma 18 2 2 3 2 3 4 2" xfId="42722"/>
    <cellStyle name="Comma 18 2 2 3 2 3 5" xfId="42723"/>
    <cellStyle name="Comma 18 2 2 3 2 3 6" xfId="42724"/>
    <cellStyle name="Comma 18 2 2 3 2 4" xfId="42725"/>
    <cellStyle name="Comma 18 2 2 3 2 4 2" xfId="42726"/>
    <cellStyle name="Comma 18 2 2 3 2 4 2 2" xfId="42727"/>
    <cellStyle name="Comma 18 2 2 3 2 4 2 3" xfId="42728"/>
    <cellStyle name="Comma 18 2 2 3 2 4 3" xfId="42729"/>
    <cellStyle name="Comma 18 2 2 3 2 4 3 2" xfId="42730"/>
    <cellStyle name="Comma 18 2 2 3 2 4 4" xfId="42731"/>
    <cellStyle name="Comma 18 2 2 3 2 4 5" xfId="42732"/>
    <cellStyle name="Comma 18 2 2 3 2 5" xfId="42733"/>
    <cellStyle name="Comma 18 2 2 3 2 5 2" xfId="42734"/>
    <cellStyle name="Comma 18 2 2 3 2 5 3" xfId="42735"/>
    <cellStyle name="Comma 18 2 2 3 2 6" xfId="42736"/>
    <cellStyle name="Comma 18 2 2 3 2 6 2" xfId="42737"/>
    <cellStyle name="Comma 18 2 2 3 2 6 3" xfId="42738"/>
    <cellStyle name="Comma 18 2 2 3 2 7" xfId="42739"/>
    <cellStyle name="Comma 18 2 2 3 2 7 2" xfId="42740"/>
    <cellStyle name="Comma 18 2 2 3 2 8" xfId="42741"/>
    <cellStyle name="Comma 18 2 2 3 2 9" xfId="42742"/>
    <cellStyle name="Comma 18 2 2 3 3" xfId="42743"/>
    <cellStyle name="Comma 18 2 2 3 3 2" xfId="42744"/>
    <cellStyle name="Comma 18 2 2 3 3 2 2" xfId="42745"/>
    <cellStyle name="Comma 18 2 2 3 3 2 3" xfId="42746"/>
    <cellStyle name="Comma 18 2 2 3 3 3" xfId="42747"/>
    <cellStyle name="Comma 18 2 2 3 3 3 2" xfId="42748"/>
    <cellStyle name="Comma 18 2 2 3 3 3 3" xfId="42749"/>
    <cellStyle name="Comma 18 2 2 3 3 4" xfId="42750"/>
    <cellStyle name="Comma 18 2 2 3 3 4 2" xfId="42751"/>
    <cellStyle name="Comma 18 2 2 3 3 5" xfId="42752"/>
    <cellStyle name="Comma 18 2 2 3 3 6" xfId="42753"/>
    <cellStyle name="Comma 18 2 2 3 4" xfId="42754"/>
    <cellStyle name="Comma 18 2 2 3 4 2" xfId="42755"/>
    <cellStyle name="Comma 18 2 2 3 4 2 2" xfId="42756"/>
    <cellStyle name="Comma 18 2 2 3 4 2 3" xfId="42757"/>
    <cellStyle name="Comma 18 2 2 3 4 3" xfId="42758"/>
    <cellStyle name="Comma 18 2 2 3 4 3 2" xfId="42759"/>
    <cellStyle name="Comma 18 2 2 3 4 3 3" xfId="42760"/>
    <cellStyle name="Comma 18 2 2 3 4 4" xfId="42761"/>
    <cellStyle name="Comma 18 2 2 3 4 4 2" xfId="42762"/>
    <cellStyle name="Comma 18 2 2 3 4 5" xfId="42763"/>
    <cellStyle name="Comma 18 2 2 3 4 6" xfId="42764"/>
    <cellStyle name="Comma 18 2 2 3 5" xfId="42765"/>
    <cellStyle name="Comma 18 2 2 3 5 2" xfId="42766"/>
    <cellStyle name="Comma 18 2 2 3 5 2 2" xfId="42767"/>
    <cellStyle name="Comma 18 2 2 3 5 2 3" xfId="42768"/>
    <cellStyle name="Comma 18 2 2 3 5 3" xfId="42769"/>
    <cellStyle name="Comma 18 2 2 3 5 3 2" xfId="42770"/>
    <cellStyle name="Comma 18 2 2 3 5 4" xfId="42771"/>
    <cellStyle name="Comma 18 2 2 3 5 5" xfId="42772"/>
    <cellStyle name="Comma 18 2 2 3 6" xfId="42773"/>
    <cellStyle name="Comma 18 2 2 3 6 2" xfId="42774"/>
    <cellStyle name="Comma 18 2 2 3 6 3" xfId="42775"/>
    <cellStyle name="Comma 18 2 2 3 7" xfId="42776"/>
    <cellStyle name="Comma 18 2 2 3 7 2" xfId="42777"/>
    <cellStyle name="Comma 18 2 2 3 7 3" xfId="42778"/>
    <cellStyle name="Comma 18 2 2 3 8" xfId="42779"/>
    <cellStyle name="Comma 18 2 2 3 8 2" xfId="42780"/>
    <cellStyle name="Comma 18 2 2 3 9" xfId="42781"/>
    <cellStyle name="Comma 18 2 2 4" xfId="42782"/>
    <cellStyle name="Comma 18 2 2 4 2" xfId="42783"/>
    <cellStyle name="Comma 18 2 2 4 2 2" xfId="42784"/>
    <cellStyle name="Comma 18 2 2 4 2 2 2" xfId="42785"/>
    <cellStyle name="Comma 18 2 2 4 2 2 3" xfId="42786"/>
    <cellStyle name="Comma 18 2 2 4 2 3" xfId="42787"/>
    <cellStyle name="Comma 18 2 2 4 2 3 2" xfId="42788"/>
    <cellStyle name="Comma 18 2 2 4 2 3 3" xfId="42789"/>
    <cellStyle name="Comma 18 2 2 4 2 4" xfId="42790"/>
    <cellStyle name="Comma 18 2 2 4 2 4 2" xfId="42791"/>
    <cellStyle name="Comma 18 2 2 4 2 5" xfId="42792"/>
    <cellStyle name="Comma 18 2 2 4 2 6" xfId="42793"/>
    <cellStyle name="Comma 18 2 2 4 3" xfId="42794"/>
    <cellStyle name="Comma 18 2 2 4 3 2" xfId="42795"/>
    <cellStyle name="Comma 18 2 2 4 3 2 2" xfId="42796"/>
    <cellStyle name="Comma 18 2 2 4 3 2 3" xfId="42797"/>
    <cellStyle name="Comma 18 2 2 4 3 3" xfId="42798"/>
    <cellStyle name="Comma 18 2 2 4 3 3 2" xfId="42799"/>
    <cellStyle name="Comma 18 2 2 4 3 3 3" xfId="42800"/>
    <cellStyle name="Comma 18 2 2 4 3 4" xfId="42801"/>
    <cellStyle name="Comma 18 2 2 4 3 4 2" xfId="42802"/>
    <cellStyle name="Comma 18 2 2 4 3 5" xfId="42803"/>
    <cellStyle name="Comma 18 2 2 4 3 6" xfId="42804"/>
    <cellStyle name="Comma 18 2 2 4 4" xfId="42805"/>
    <cellStyle name="Comma 18 2 2 4 4 2" xfId="42806"/>
    <cellStyle name="Comma 18 2 2 4 4 2 2" xfId="42807"/>
    <cellStyle name="Comma 18 2 2 4 4 2 3" xfId="42808"/>
    <cellStyle name="Comma 18 2 2 4 4 3" xfId="42809"/>
    <cellStyle name="Comma 18 2 2 4 4 3 2" xfId="42810"/>
    <cellStyle name="Comma 18 2 2 4 4 4" xfId="42811"/>
    <cellStyle name="Comma 18 2 2 4 4 5" xfId="42812"/>
    <cellStyle name="Comma 18 2 2 4 5" xfId="42813"/>
    <cellStyle name="Comma 18 2 2 4 5 2" xfId="42814"/>
    <cellStyle name="Comma 18 2 2 4 5 3" xfId="42815"/>
    <cellStyle name="Comma 18 2 2 4 6" xfId="42816"/>
    <cellStyle name="Comma 18 2 2 4 6 2" xfId="42817"/>
    <cellStyle name="Comma 18 2 2 4 6 3" xfId="42818"/>
    <cellStyle name="Comma 18 2 2 4 7" xfId="42819"/>
    <cellStyle name="Comma 18 2 2 4 7 2" xfId="42820"/>
    <cellStyle name="Comma 18 2 2 4 8" xfId="42821"/>
    <cellStyle name="Comma 18 2 2 4 9" xfId="42822"/>
    <cellStyle name="Comma 18 2 2 5" xfId="42823"/>
    <cellStyle name="Comma 18 2 2 5 2" xfId="42824"/>
    <cellStyle name="Comma 18 2 2 5 2 2" xfId="42825"/>
    <cellStyle name="Comma 18 2 2 5 2 2 2" xfId="42826"/>
    <cellStyle name="Comma 18 2 2 5 2 2 3" xfId="42827"/>
    <cellStyle name="Comma 18 2 2 5 2 3" xfId="42828"/>
    <cellStyle name="Comma 18 2 2 5 2 3 2" xfId="42829"/>
    <cellStyle name="Comma 18 2 2 5 2 3 3" xfId="42830"/>
    <cellStyle name="Comma 18 2 2 5 2 4" xfId="42831"/>
    <cellStyle name="Comma 18 2 2 5 2 4 2" xfId="42832"/>
    <cellStyle name="Comma 18 2 2 5 2 5" xfId="42833"/>
    <cellStyle name="Comma 18 2 2 5 2 6" xfId="42834"/>
    <cellStyle name="Comma 18 2 2 5 3" xfId="42835"/>
    <cellStyle name="Comma 18 2 2 5 3 2" xfId="42836"/>
    <cellStyle name="Comma 18 2 2 5 3 2 2" xfId="42837"/>
    <cellStyle name="Comma 18 2 2 5 3 2 3" xfId="42838"/>
    <cellStyle name="Comma 18 2 2 5 3 3" xfId="42839"/>
    <cellStyle name="Comma 18 2 2 5 3 3 2" xfId="42840"/>
    <cellStyle name="Comma 18 2 2 5 3 3 3" xfId="42841"/>
    <cellStyle name="Comma 18 2 2 5 3 4" xfId="42842"/>
    <cellStyle name="Comma 18 2 2 5 3 4 2" xfId="42843"/>
    <cellStyle name="Comma 18 2 2 5 3 5" xfId="42844"/>
    <cellStyle name="Comma 18 2 2 5 3 6" xfId="42845"/>
    <cellStyle name="Comma 18 2 2 5 4" xfId="42846"/>
    <cellStyle name="Comma 18 2 2 5 4 2" xfId="42847"/>
    <cellStyle name="Comma 18 2 2 5 4 2 2" xfId="42848"/>
    <cellStyle name="Comma 18 2 2 5 4 2 3" xfId="42849"/>
    <cellStyle name="Comma 18 2 2 5 4 3" xfId="42850"/>
    <cellStyle name="Comma 18 2 2 5 4 3 2" xfId="42851"/>
    <cellStyle name="Comma 18 2 2 5 4 4" xfId="42852"/>
    <cellStyle name="Comma 18 2 2 5 4 5" xfId="42853"/>
    <cellStyle name="Comma 18 2 2 5 5" xfId="42854"/>
    <cellStyle name="Comma 18 2 2 5 5 2" xfId="42855"/>
    <cellStyle name="Comma 18 2 2 5 5 3" xfId="42856"/>
    <cellStyle name="Comma 18 2 2 5 6" xfId="42857"/>
    <cellStyle name="Comma 18 2 2 5 6 2" xfId="42858"/>
    <cellStyle name="Comma 18 2 2 5 6 3" xfId="42859"/>
    <cellStyle name="Comma 18 2 2 5 7" xfId="42860"/>
    <cellStyle name="Comma 18 2 2 5 7 2" xfId="42861"/>
    <cellStyle name="Comma 18 2 2 5 8" xfId="42862"/>
    <cellStyle name="Comma 18 2 2 5 9" xfId="42863"/>
    <cellStyle name="Comma 18 2 2 6" xfId="42864"/>
    <cellStyle name="Comma 18 2 2 6 2" xfId="42865"/>
    <cellStyle name="Comma 18 2 2 6 2 2" xfId="42866"/>
    <cellStyle name="Comma 18 2 2 6 2 3" xfId="42867"/>
    <cellStyle name="Comma 18 2 2 6 3" xfId="42868"/>
    <cellStyle name="Comma 18 2 2 6 3 2" xfId="42869"/>
    <cellStyle name="Comma 18 2 2 6 3 3" xfId="42870"/>
    <cellStyle name="Comma 18 2 2 6 4" xfId="42871"/>
    <cellStyle name="Comma 18 2 2 6 4 2" xfId="42872"/>
    <cellStyle name="Comma 18 2 2 6 5" xfId="42873"/>
    <cellStyle name="Comma 18 2 2 6 6" xfId="42874"/>
    <cellStyle name="Comma 18 2 2 7" xfId="42875"/>
    <cellStyle name="Comma 18 2 2 7 2" xfId="42876"/>
    <cellStyle name="Comma 18 2 2 7 2 2" xfId="42877"/>
    <cellStyle name="Comma 18 2 2 7 2 3" xfId="42878"/>
    <cellStyle name="Comma 18 2 2 7 3" xfId="42879"/>
    <cellStyle name="Comma 18 2 2 7 3 2" xfId="42880"/>
    <cellStyle name="Comma 18 2 2 7 3 3" xfId="42881"/>
    <cellStyle name="Comma 18 2 2 7 4" xfId="42882"/>
    <cellStyle name="Comma 18 2 2 7 4 2" xfId="42883"/>
    <cellStyle name="Comma 18 2 2 7 5" xfId="42884"/>
    <cellStyle name="Comma 18 2 2 7 6" xfId="42885"/>
    <cellStyle name="Comma 18 2 2 8" xfId="42886"/>
    <cellStyle name="Comma 18 2 2 8 2" xfId="42887"/>
    <cellStyle name="Comma 18 2 2 8 2 2" xfId="42888"/>
    <cellStyle name="Comma 18 2 2 8 2 3" xfId="42889"/>
    <cellStyle name="Comma 18 2 2 8 3" xfId="42890"/>
    <cellStyle name="Comma 18 2 2 8 3 2" xfId="42891"/>
    <cellStyle name="Comma 18 2 2 8 4" xfId="42892"/>
    <cellStyle name="Comma 18 2 2 8 5" xfId="42893"/>
    <cellStyle name="Comma 18 2 2 9" xfId="42894"/>
    <cellStyle name="Comma 18 2 2 9 2" xfId="42895"/>
    <cellStyle name="Comma 18 2 2 9 3" xfId="42896"/>
    <cellStyle name="Comma 18 2 3" xfId="42897"/>
    <cellStyle name="Comma 18 2 3 10" xfId="42898"/>
    <cellStyle name="Comma 18 2 3 10 2" xfId="42899"/>
    <cellStyle name="Comma 18 2 3 11" xfId="42900"/>
    <cellStyle name="Comma 18 2 3 12" xfId="42901"/>
    <cellStyle name="Comma 18 2 3 2" xfId="42902"/>
    <cellStyle name="Comma 18 2 3 2 10" xfId="42903"/>
    <cellStyle name="Comma 18 2 3 2 2" xfId="42904"/>
    <cellStyle name="Comma 18 2 3 2 2 2" xfId="42905"/>
    <cellStyle name="Comma 18 2 3 2 2 2 2" xfId="42906"/>
    <cellStyle name="Comma 18 2 3 2 2 2 2 2" xfId="42907"/>
    <cellStyle name="Comma 18 2 3 2 2 2 2 3" xfId="42908"/>
    <cellStyle name="Comma 18 2 3 2 2 2 3" xfId="42909"/>
    <cellStyle name="Comma 18 2 3 2 2 2 3 2" xfId="42910"/>
    <cellStyle name="Comma 18 2 3 2 2 2 3 3" xfId="42911"/>
    <cellStyle name="Comma 18 2 3 2 2 2 4" xfId="42912"/>
    <cellStyle name="Comma 18 2 3 2 2 2 4 2" xfId="42913"/>
    <cellStyle name="Comma 18 2 3 2 2 2 5" xfId="42914"/>
    <cellStyle name="Comma 18 2 3 2 2 2 6" xfId="42915"/>
    <cellStyle name="Comma 18 2 3 2 2 3" xfId="42916"/>
    <cellStyle name="Comma 18 2 3 2 2 3 2" xfId="42917"/>
    <cellStyle name="Comma 18 2 3 2 2 3 2 2" xfId="42918"/>
    <cellStyle name="Comma 18 2 3 2 2 3 2 3" xfId="42919"/>
    <cellStyle name="Comma 18 2 3 2 2 3 3" xfId="42920"/>
    <cellStyle name="Comma 18 2 3 2 2 3 3 2" xfId="42921"/>
    <cellStyle name="Comma 18 2 3 2 2 3 3 3" xfId="42922"/>
    <cellStyle name="Comma 18 2 3 2 2 3 4" xfId="42923"/>
    <cellStyle name="Comma 18 2 3 2 2 3 4 2" xfId="42924"/>
    <cellStyle name="Comma 18 2 3 2 2 3 5" xfId="42925"/>
    <cellStyle name="Comma 18 2 3 2 2 3 6" xfId="42926"/>
    <cellStyle name="Comma 18 2 3 2 2 4" xfId="42927"/>
    <cellStyle name="Comma 18 2 3 2 2 4 2" xfId="42928"/>
    <cellStyle name="Comma 18 2 3 2 2 4 2 2" xfId="42929"/>
    <cellStyle name="Comma 18 2 3 2 2 4 2 3" xfId="42930"/>
    <cellStyle name="Comma 18 2 3 2 2 4 3" xfId="42931"/>
    <cellStyle name="Comma 18 2 3 2 2 4 3 2" xfId="42932"/>
    <cellStyle name="Comma 18 2 3 2 2 4 4" xfId="42933"/>
    <cellStyle name="Comma 18 2 3 2 2 4 5" xfId="42934"/>
    <cellStyle name="Comma 18 2 3 2 2 5" xfId="42935"/>
    <cellStyle name="Comma 18 2 3 2 2 5 2" xfId="42936"/>
    <cellStyle name="Comma 18 2 3 2 2 5 3" xfId="42937"/>
    <cellStyle name="Comma 18 2 3 2 2 6" xfId="42938"/>
    <cellStyle name="Comma 18 2 3 2 2 6 2" xfId="42939"/>
    <cellStyle name="Comma 18 2 3 2 2 6 3" xfId="42940"/>
    <cellStyle name="Comma 18 2 3 2 2 7" xfId="42941"/>
    <cellStyle name="Comma 18 2 3 2 2 7 2" xfId="42942"/>
    <cellStyle name="Comma 18 2 3 2 2 8" xfId="42943"/>
    <cellStyle name="Comma 18 2 3 2 2 9" xfId="42944"/>
    <cellStyle name="Comma 18 2 3 2 3" xfId="42945"/>
    <cellStyle name="Comma 18 2 3 2 3 2" xfId="42946"/>
    <cellStyle name="Comma 18 2 3 2 3 2 2" xfId="42947"/>
    <cellStyle name="Comma 18 2 3 2 3 2 3" xfId="42948"/>
    <cellStyle name="Comma 18 2 3 2 3 3" xfId="42949"/>
    <cellStyle name="Comma 18 2 3 2 3 3 2" xfId="42950"/>
    <cellStyle name="Comma 18 2 3 2 3 3 3" xfId="42951"/>
    <cellStyle name="Comma 18 2 3 2 3 4" xfId="42952"/>
    <cellStyle name="Comma 18 2 3 2 3 4 2" xfId="42953"/>
    <cellStyle name="Comma 18 2 3 2 3 5" xfId="42954"/>
    <cellStyle name="Comma 18 2 3 2 3 6" xfId="42955"/>
    <cellStyle name="Comma 18 2 3 2 4" xfId="42956"/>
    <cellStyle name="Comma 18 2 3 2 4 2" xfId="42957"/>
    <cellStyle name="Comma 18 2 3 2 4 2 2" xfId="42958"/>
    <cellStyle name="Comma 18 2 3 2 4 2 3" xfId="42959"/>
    <cellStyle name="Comma 18 2 3 2 4 3" xfId="42960"/>
    <cellStyle name="Comma 18 2 3 2 4 3 2" xfId="42961"/>
    <cellStyle name="Comma 18 2 3 2 4 3 3" xfId="42962"/>
    <cellStyle name="Comma 18 2 3 2 4 4" xfId="42963"/>
    <cellStyle name="Comma 18 2 3 2 4 4 2" xfId="42964"/>
    <cellStyle name="Comma 18 2 3 2 4 5" xfId="42965"/>
    <cellStyle name="Comma 18 2 3 2 4 6" xfId="42966"/>
    <cellStyle name="Comma 18 2 3 2 5" xfId="42967"/>
    <cellStyle name="Comma 18 2 3 2 5 2" xfId="42968"/>
    <cellStyle name="Comma 18 2 3 2 5 2 2" xfId="42969"/>
    <cellStyle name="Comma 18 2 3 2 5 2 3" xfId="42970"/>
    <cellStyle name="Comma 18 2 3 2 5 3" xfId="42971"/>
    <cellStyle name="Comma 18 2 3 2 5 3 2" xfId="42972"/>
    <cellStyle name="Comma 18 2 3 2 5 4" xfId="42973"/>
    <cellStyle name="Comma 18 2 3 2 5 5" xfId="42974"/>
    <cellStyle name="Comma 18 2 3 2 6" xfId="42975"/>
    <cellStyle name="Comma 18 2 3 2 6 2" xfId="42976"/>
    <cellStyle name="Comma 18 2 3 2 6 3" xfId="42977"/>
    <cellStyle name="Comma 18 2 3 2 7" xfId="42978"/>
    <cellStyle name="Comma 18 2 3 2 7 2" xfId="42979"/>
    <cellStyle name="Comma 18 2 3 2 7 3" xfId="42980"/>
    <cellStyle name="Comma 18 2 3 2 8" xfId="42981"/>
    <cellStyle name="Comma 18 2 3 2 8 2" xfId="42982"/>
    <cellStyle name="Comma 18 2 3 2 9" xfId="42983"/>
    <cellStyle name="Comma 18 2 3 3" xfId="42984"/>
    <cellStyle name="Comma 18 2 3 3 2" xfId="42985"/>
    <cellStyle name="Comma 18 2 3 3 2 2" xfId="42986"/>
    <cellStyle name="Comma 18 2 3 3 2 2 2" xfId="42987"/>
    <cellStyle name="Comma 18 2 3 3 2 2 3" xfId="42988"/>
    <cellStyle name="Comma 18 2 3 3 2 3" xfId="42989"/>
    <cellStyle name="Comma 18 2 3 3 2 3 2" xfId="42990"/>
    <cellStyle name="Comma 18 2 3 3 2 3 3" xfId="42991"/>
    <cellStyle name="Comma 18 2 3 3 2 4" xfId="42992"/>
    <cellStyle name="Comma 18 2 3 3 2 4 2" xfId="42993"/>
    <cellStyle name="Comma 18 2 3 3 2 5" xfId="42994"/>
    <cellStyle name="Comma 18 2 3 3 2 6" xfId="42995"/>
    <cellStyle name="Comma 18 2 3 3 3" xfId="42996"/>
    <cellStyle name="Comma 18 2 3 3 3 2" xfId="42997"/>
    <cellStyle name="Comma 18 2 3 3 3 2 2" xfId="42998"/>
    <cellStyle name="Comma 18 2 3 3 3 2 3" xfId="42999"/>
    <cellStyle name="Comma 18 2 3 3 3 3" xfId="43000"/>
    <cellStyle name="Comma 18 2 3 3 3 3 2" xfId="43001"/>
    <cellStyle name="Comma 18 2 3 3 3 3 3" xfId="43002"/>
    <cellStyle name="Comma 18 2 3 3 3 4" xfId="43003"/>
    <cellStyle name="Comma 18 2 3 3 3 4 2" xfId="43004"/>
    <cellStyle name="Comma 18 2 3 3 3 5" xfId="43005"/>
    <cellStyle name="Comma 18 2 3 3 3 6" xfId="43006"/>
    <cellStyle name="Comma 18 2 3 3 4" xfId="43007"/>
    <cellStyle name="Comma 18 2 3 3 4 2" xfId="43008"/>
    <cellStyle name="Comma 18 2 3 3 4 2 2" xfId="43009"/>
    <cellStyle name="Comma 18 2 3 3 4 2 3" xfId="43010"/>
    <cellStyle name="Comma 18 2 3 3 4 3" xfId="43011"/>
    <cellStyle name="Comma 18 2 3 3 4 3 2" xfId="43012"/>
    <cellStyle name="Comma 18 2 3 3 4 4" xfId="43013"/>
    <cellStyle name="Comma 18 2 3 3 4 5" xfId="43014"/>
    <cellStyle name="Comma 18 2 3 3 5" xfId="43015"/>
    <cellStyle name="Comma 18 2 3 3 5 2" xfId="43016"/>
    <cellStyle name="Comma 18 2 3 3 5 3" xfId="43017"/>
    <cellStyle name="Comma 18 2 3 3 6" xfId="43018"/>
    <cellStyle name="Comma 18 2 3 3 6 2" xfId="43019"/>
    <cellStyle name="Comma 18 2 3 3 6 3" xfId="43020"/>
    <cellStyle name="Comma 18 2 3 3 7" xfId="43021"/>
    <cellStyle name="Comma 18 2 3 3 7 2" xfId="43022"/>
    <cellStyle name="Comma 18 2 3 3 8" xfId="43023"/>
    <cellStyle name="Comma 18 2 3 3 9" xfId="43024"/>
    <cellStyle name="Comma 18 2 3 4" xfId="43025"/>
    <cellStyle name="Comma 18 2 3 4 2" xfId="43026"/>
    <cellStyle name="Comma 18 2 3 4 2 2" xfId="43027"/>
    <cellStyle name="Comma 18 2 3 4 2 2 2" xfId="43028"/>
    <cellStyle name="Comma 18 2 3 4 2 2 3" xfId="43029"/>
    <cellStyle name="Comma 18 2 3 4 2 3" xfId="43030"/>
    <cellStyle name="Comma 18 2 3 4 2 3 2" xfId="43031"/>
    <cellStyle name="Comma 18 2 3 4 2 3 3" xfId="43032"/>
    <cellStyle name="Comma 18 2 3 4 2 4" xfId="43033"/>
    <cellStyle name="Comma 18 2 3 4 2 4 2" xfId="43034"/>
    <cellStyle name="Comma 18 2 3 4 2 5" xfId="43035"/>
    <cellStyle name="Comma 18 2 3 4 2 6" xfId="43036"/>
    <cellStyle name="Comma 18 2 3 4 3" xfId="43037"/>
    <cellStyle name="Comma 18 2 3 4 3 2" xfId="43038"/>
    <cellStyle name="Comma 18 2 3 4 3 2 2" xfId="43039"/>
    <cellStyle name="Comma 18 2 3 4 3 2 3" xfId="43040"/>
    <cellStyle name="Comma 18 2 3 4 3 3" xfId="43041"/>
    <cellStyle name="Comma 18 2 3 4 3 3 2" xfId="43042"/>
    <cellStyle name="Comma 18 2 3 4 3 3 3" xfId="43043"/>
    <cellStyle name="Comma 18 2 3 4 3 4" xfId="43044"/>
    <cellStyle name="Comma 18 2 3 4 3 4 2" xfId="43045"/>
    <cellStyle name="Comma 18 2 3 4 3 5" xfId="43046"/>
    <cellStyle name="Comma 18 2 3 4 3 6" xfId="43047"/>
    <cellStyle name="Comma 18 2 3 4 4" xfId="43048"/>
    <cellStyle name="Comma 18 2 3 4 4 2" xfId="43049"/>
    <cellStyle name="Comma 18 2 3 4 4 2 2" xfId="43050"/>
    <cellStyle name="Comma 18 2 3 4 4 2 3" xfId="43051"/>
    <cellStyle name="Comma 18 2 3 4 4 3" xfId="43052"/>
    <cellStyle name="Comma 18 2 3 4 4 3 2" xfId="43053"/>
    <cellStyle name="Comma 18 2 3 4 4 4" xfId="43054"/>
    <cellStyle name="Comma 18 2 3 4 4 5" xfId="43055"/>
    <cellStyle name="Comma 18 2 3 4 5" xfId="43056"/>
    <cellStyle name="Comma 18 2 3 4 5 2" xfId="43057"/>
    <cellStyle name="Comma 18 2 3 4 5 3" xfId="43058"/>
    <cellStyle name="Comma 18 2 3 4 6" xfId="43059"/>
    <cellStyle name="Comma 18 2 3 4 6 2" xfId="43060"/>
    <cellStyle name="Comma 18 2 3 4 6 3" xfId="43061"/>
    <cellStyle name="Comma 18 2 3 4 7" xfId="43062"/>
    <cellStyle name="Comma 18 2 3 4 7 2" xfId="43063"/>
    <cellStyle name="Comma 18 2 3 4 8" xfId="43064"/>
    <cellStyle name="Comma 18 2 3 4 9" xfId="43065"/>
    <cellStyle name="Comma 18 2 3 5" xfId="43066"/>
    <cellStyle name="Comma 18 2 3 5 2" xfId="43067"/>
    <cellStyle name="Comma 18 2 3 5 2 2" xfId="43068"/>
    <cellStyle name="Comma 18 2 3 5 2 3" xfId="43069"/>
    <cellStyle name="Comma 18 2 3 5 3" xfId="43070"/>
    <cellStyle name="Comma 18 2 3 5 3 2" xfId="43071"/>
    <cellStyle name="Comma 18 2 3 5 3 3" xfId="43072"/>
    <cellStyle name="Comma 18 2 3 5 4" xfId="43073"/>
    <cellStyle name="Comma 18 2 3 5 4 2" xfId="43074"/>
    <cellStyle name="Comma 18 2 3 5 5" xfId="43075"/>
    <cellStyle name="Comma 18 2 3 5 6" xfId="43076"/>
    <cellStyle name="Comma 18 2 3 6" xfId="43077"/>
    <cellStyle name="Comma 18 2 3 6 2" xfId="43078"/>
    <cellStyle name="Comma 18 2 3 6 2 2" xfId="43079"/>
    <cellStyle name="Comma 18 2 3 6 2 3" xfId="43080"/>
    <cellStyle name="Comma 18 2 3 6 3" xfId="43081"/>
    <cellStyle name="Comma 18 2 3 6 3 2" xfId="43082"/>
    <cellStyle name="Comma 18 2 3 6 3 3" xfId="43083"/>
    <cellStyle name="Comma 18 2 3 6 4" xfId="43084"/>
    <cellStyle name="Comma 18 2 3 6 4 2" xfId="43085"/>
    <cellStyle name="Comma 18 2 3 6 5" xfId="43086"/>
    <cellStyle name="Comma 18 2 3 6 6" xfId="43087"/>
    <cellStyle name="Comma 18 2 3 7" xfId="43088"/>
    <cellStyle name="Comma 18 2 3 7 2" xfId="43089"/>
    <cellStyle name="Comma 18 2 3 7 2 2" xfId="43090"/>
    <cellStyle name="Comma 18 2 3 7 2 3" xfId="43091"/>
    <cellStyle name="Comma 18 2 3 7 3" xfId="43092"/>
    <cellStyle name="Comma 18 2 3 7 3 2" xfId="43093"/>
    <cellStyle name="Comma 18 2 3 7 4" xfId="43094"/>
    <cellStyle name="Comma 18 2 3 7 5" xfId="43095"/>
    <cellStyle name="Comma 18 2 3 8" xfId="43096"/>
    <cellStyle name="Comma 18 2 3 8 2" xfId="43097"/>
    <cellStyle name="Comma 18 2 3 8 3" xfId="43098"/>
    <cellStyle name="Comma 18 2 3 9" xfId="43099"/>
    <cellStyle name="Comma 18 2 3 9 2" xfId="43100"/>
    <cellStyle name="Comma 18 2 3 9 3" xfId="43101"/>
    <cellStyle name="Comma 18 2 4" xfId="43102"/>
    <cellStyle name="Comma 18 2 4 10" xfId="43103"/>
    <cellStyle name="Comma 18 2 4 2" xfId="43104"/>
    <cellStyle name="Comma 18 2 4 2 2" xfId="43105"/>
    <cellStyle name="Comma 18 2 4 2 2 2" xfId="43106"/>
    <cellStyle name="Comma 18 2 4 2 2 2 2" xfId="43107"/>
    <cellStyle name="Comma 18 2 4 2 2 2 3" xfId="43108"/>
    <cellStyle name="Comma 18 2 4 2 2 3" xfId="43109"/>
    <cellStyle name="Comma 18 2 4 2 2 3 2" xfId="43110"/>
    <cellStyle name="Comma 18 2 4 2 2 3 3" xfId="43111"/>
    <cellStyle name="Comma 18 2 4 2 2 4" xfId="43112"/>
    <cellStyle name="Comma 18 2 4 2 2 4 2" xfId="43113"/>
    <cellStyle name="Comma 18 2 4 2 2 5" xfId="43114"/>
    <cellStyle name="Comma 18 2 4 2 2 6" xfId="43115"/>
    <cellStyle name="Comma 18 2 4 2 3" xfId="43116"/>
    <cellStyle name="Comma 18 2 4 2 3 2" xfId="43117"/>
    <cellStyle name="Comma 18 2 4 2 3 2 2" xfId="43118"/>
    <cellStyle name="Comma 18 2 4 2 3 2 3" xfId="43119"/>
    <cellStyle name="Comma 18 2 4 2 3 3" xfId="43120"/>
    <cellStyle name="Comma 18 2 4 2 3 3 2" xfId="43121"/>
    <cellStyle name="Comma 18 2 4 2 3 3 3" xfId="43122"/>
    <cellStyle name="Comma 18 2 4 2 3 4" xfId="43123"/>
    <cellStyle name="Comma 18 2 4 2 3 4 2" xfId="43124"/>
    <cellStyle name="Comma 18 2 4 2 3 5" xfId="43125"/>
    <cellStyle name="Comma 18 2 4 2 3 6" xfId="43126"/>
    <cellStyle name="Comma 18 2 4 2 4" xfId="43127"/>
    <cellStyle name="Comma 18 2 4 2 4 2" xfId="43128"/>
    <cellStyle name="Comma 18 2 4 2 4 2 2" xfId="43129"/>
    <cellStyle name="Comma 18 2 4 2 4 2 3" xfId="43130"/>
    <cellStyle name="Comma 18 2 4 2 4 3" xfId="43131"/>
    <cellStyle name="Comma 18 2 4 2 4 3 2" xfId="43132"/>
    <cellStyle name="Comma 18 2 4 2 4 4" xfId="43133"/>
    <cellStyle name="Comma 18 2 4 2 4 5" xfId="43134"/>
    <cellStyle name="Comma 18 2 4 2 5" xfId="43135"/>
    <cellStyle name="Comma 18 2 4 2 5 2" xfId="43136"/>
    <cellStyle name="Comma 18 2 4 2 5 3" xfId="43137"/>
    <cellStyle name="Comma 18 2 4 2 6" xfId="43138"/>
    <cellStyle name="Comma 18 2 4 2 6 2" xfId="43139"/>
    <cellStyle name="Comma 18 2 4 2 6 3" xfId="43140"/>
    <cellStyle name="Comma 18 2 4 2 7" xfId="43141"/>
    <cellStyle name="Comma 18 2 4 2 7 2" xfId="43142"/>
    <cellStyle name="Comma 18 2 4 2 8" xfId="43143"/>
    <cellStyle name="Comma 18 2 4 2 9" xfId="43144"/>
    <cellStyle name="Comma 18 2 4 3" xfId="43145"/>
    <cellStyle name="Comma 18 2 4 3 2" xfId="43146"/>
    <cellStyle name="Comma 18 2 4 3 2 2" xfId="43147"/>
    <cellStyle name="Comma 18 2 4 3 2 3" xfId="43148"/>
    <cellStyle name="Comma 18 2 4 3 3" xfId="43149"/>
    <cellStyle name="Comma 18 2 4 3 3 2" xfId="43150"/>
    <cellStyle name="Comma 18 2 4 3 3 3" xfId="43151"/>
    <cellStyle name="Comma 18 2 4 3 4" xfId="43152"/>
    <cellStyle name="Comma 18 2 4 3 4 2" xfId="43153"/>
    <cellStyle name="Comma 18 2 4 3 5" xfId="43154"/>
    <cellStyle name="Comma 18 2 4 3 6" xfId="43155"/>
    <cellStyle name="Comma 18 2 4 4" xfId="43156"/>
    <cellStyle name="Comma 18 2 4 4 2" xfId="43157"/>
    <cellStyle name="Comma 18 2 4 4 2 2" xfId="43158"/>
    <cellStyle name="Comma 18 2 4 4 2 3" xfId="43159"/>
    <cellStyle name="Comma 18 2 4 4 3" xfId="43160"/>
    <cellStyle name="Comma 18 2 4 4 3 2" xfId="43161"/>
    <cellStyle name="Comma 18 2 4 4 3 3" xfId="43162"/>
    <cellStyle name="Comma 18 2 4 4 4" xfId="43163"/>
    <cellStyle name="Comma 18 2 4 4 4 2" xfId="43164"/>
    <cellStyle name="Comma 18 2 4 4 5" xfId="43165"/>
    <cellStyle name="Comma 18 2 4 4 6" xfId="43166"/>
    <cellStyle name="Comma 18 2 4 5" xfId="43167"/>
    <cellStyle name="Comma 18 2 4 5 2" xfId="43168"/>
    <cellStyle name="Comma 18 2 4 5 2 2" xfId="43169"/>
    <cellStyle name="Comma 18 2 4 5 2 3" xfId="43170"/>
    <cellStyle name="Comma 18 2 4 5 3" xfId="43171"/>
    <cellStyle name="Comma 18 2 4 5 3 2" xfId="43172"/>
    <cellStyle name="Comma 18 2 4 5 4" xfId="43173"/>
    <cellStyle name="Comma 18 2 4 5 5" xfId="43174"/>
    <cellStyle name="Comma 18 2 4 6" xfId="43175"/>
    <cellStyle name="Comma 18 2 4 6 2" xfId="43176"/>
    <cellStyle name="Comma 18 2 4 6 3" xfId="43177"/>
    <cellStyle name="Comma 18 2 4 7" xfId="43178"/>
    <cellStyle name="Comma 18 2 4 7 2" xfId="43179"/>
    <cellStyle name="Comma 18 2 4 7 3" xfId="43180"/>
    <cellStyle name="Comma 18 2 4 8" xfId="43181"/>
    <cellStyle name="Comma 18 2 4 8 2" xfId="43182"/>
    <cellStyle name="Comma 18 2 4 9" xfId="43183"/>
    <cellStyle name="Comma 18 2 5" xfId="43184"/>
    <cellStyle name="Comma 18 2 5 2" xfId="43185"/>
    <cellStyle name="Comma 18 2 5 2 2" xfId="43186"/>
    <cellStyle name="Comma 18 2 5 2 2 2" xfId="43187"/>
    <cellStyle name="Comma 18 2 5 2 2 3" xfId="43188"/>
    <cellStyle name="Comma 18 2 5 2 3" xfId="43189"/>
    <cellStyle name="Comma 18 2 5 2 3 2" xfId="43190"/>
    <cellStyle name="Comma 18 2 5 2 3 3" xfId="43191"/>
    <cellStyle name="Comma 18 2 5 2 4" xfId="43192"/>
    <cellStyle name="Comma 18 2 5 2 4 2" xfId="43193"/>
    <cellStyle name="Comma 18 2 5 2 5" xfId="43194"/>
    <cellStyle name="Comma 18 2 5 2 6" xfId="43195"/>
    <cellStyle name="Comma 18 2 5 3" xfId="43196"/>
    <cellStyle name="Comma 18 2 5 3 2" xfId="43197"/>
    <cellStyle name="Comma 18 2 5 3 2 2" xfId="43198"/>
    <cellStyle name="Comma 18 2 5 3 2 3" xfId="43199"/>
    <cellStyle name="Comma 18 2 5 3 3" xfId="43200"/>
    <cellStyle name="Comma 18 2 5 3 3 2" xfId="43201"/>
    <cellStyle name="Comma 18 2 5 3 3 3" xfId="43202"/>
    <cellStyle name="Comma 18 2 5 3 4" xfId="43203"/>
    <cellStyle name="Comma 18 2 5 3 4 2" xfId="43204"/>
    <cellStyle name="Comma 18 2 5 3 5" xfId="43205"/>
    <cellStyle name="Comma 18 2 5 3 6" xfId="43206"/>
    <cellStyle name="Comma 18 2 5 4" xfId="43207"/>
    <cellStyle name="Comma 18 2 5 4 2" xfId="43208"/>
    <cellStyle name="Comma 18 2 5 4 2 2" xfId="43209"/>
    <cellStyle name="Comma 18 2 5 4 2 3" xfId="43210"/>
    <cellStyle name="Comma 18 2 5 4 3" xfId="43211"/>
    <cellStyle name="Comma 18 2 5 4 3 2" xfId="43212"/>
    <cellStyle name="Comma 18 2 5 4 4" xfId="43213"/>
    <cellStyle name="Comma 18 2 5 4 5" xfId="43214"/>
    <cellStyle name="Comma 18 2 5 5" xfId="43215"/>
    <cellStyle name="Comma 18 2 5 5 2" xfId="43216"/>
    <cellStyle name="Comma 18 2 5 5 3" xfId="43217"/>
    <cellStyle name="Comma 18 2 5 6" xfId="43218"/>
    <cellStyle name="Comma 18 2 5 6 2" xfId="43219"/>
    <cellStyle name="Comma 18 2 5 6 3" xfId="43220"/>
    <cellStyle name="Comma 18 2 5 7" xfId="43221"/>
    <cellStyle name="Comma 18 2 5 7 2" xfId="43222"/>
    <cellStyle name="Comma 18 2 5 8" xfId="43223"/>
    <cellStyle name="Comma 18 2 5 9" xfId="43224"/>
    <cellStyle name="Comma 18 2 6" xfId="43225"/>
    <cellStyle name="Comma 18 2 6 2" xfId="43226"/>
    <cellStyle name="Comma 18 2 6 2 2" xfId="43227"/>
    <cellStyle name="Comma 18 2 6 2 2 2" xfId="43228"/>
    <cellStyle name="Comma 18 2 6 2 2 3" xfId="43229"/>
    <cellStyle name="Comma 18 2 6 2 3" xfId="43230"/>
    <cellStyle name="Comma 18 2 6 2 3 2" xfId="43231"/>
    <cellStyle name="Comma 18 2 6 2 3 3" xfId="43232"/>
    <cellStyle name="Comma 18 2 6 2 4" xfId="43233"/>
    <cellStyle name="Comma 18 2 6 2 4 2" xfId="43234"/>
    <cellStyle name="Comma 18 2 6 2 5" xfId="43235"/>
    <cellStyle name="Comma 18 2 6 2 6" xfId="43236"/>
    <cellStyle name="Comma 18 2 6 3" xfId="43237"/>
    <cellStyle name="Comma 18 2 6 3 2" xfId="43238"/>
    <cellStyle name="Comma 18 2 6 3 2 2" xfId="43239"/>
    <cellStyle name="Comma 18 2 6 3 2 3" xfId="43240"/>
    <cellStyle name="Comma 18 2 6 3 3" xfId="43241"/>
    <cellStyle name="Comma 18 2 6 3 3 2" xfId="43242"/>
    <cellStyle name="Comma 18 2 6 3 3 3" xfId="43243"/>
    <cellStyle name="Comma 18 2 6 3 4" xfId="43244"/>
    <cellStyle name="Comma 18 2 6 3 4 2" xfId="43245"/>
    <cellStyle name="Comma 18 2 6 3 5" xfId="43246"/>
    <cellStyle name="Comma 18 2 6 3 6" xfId="43247"/>
    <cellStyle name="Comma 18 2 6 4" xfId="43248"/>
    <cellStyle name="Comma 18 2 6 4 2" xfId="43249"/>
    <cellStyle name="Comma 18 2 6 4 2 2" xfId="43250"/>
    <cellStyle name="Comma 18 2 6 4 2 3" xfId="43251"/>
    <cellStyle name="Comma 18 2 6 4 3" xfId="43252"/>
    <cellStyle name="Comma 18 2 6 4 3 2" xfId="43253"/>
    <cellStyle name="Comma 18 2 6 4 4" xfId="43254"/>
    <cellStyle name="Comma 18 2 6 4 5" xfId="43255"/>
    <cellStyle name="Comma 18 2 6 5" xfId="43256"/>
    <cellStyle name="Comma 18 2 6 5 2" xfId="43257"/>
    <cellStyle name="Comma 18 2 6 5 3" xfId="43258"/>
    <cellStyle name="Comma 18 2 6 6" xfId="43259"/>
    <cellStyle name="Comma 18 2 6 6 2" xfId="43260"/>
    <cellStyle name="Comma 18 2 6 6 3" xfId="43261"/>
    <cellStyle name="Comma 18 2 6 7" xfId="43262"/>
    <cellStyle name="Comma 18 2 6 7 2" xfId="43263"/>
    <cellStyle name="Comma 18 2 6 8" xfId="43264"/>
    <cellStyle name="Comma 18 2 6 9" xfId="43265"/>
    <cellStyle name="Comma 18 2 7" xfId="43266"/>
    <cellStyle name="Comma 18 2 7 2" xfId="43267"/>
    <cellStyle name="Comma 18 2 7 2 2" xfId="43268"/>
    <cellStyle name="Comma 18 2 7 2 3" xfId="43269"/>
    <cellStyle name="Comma 18 2 7 3" xfId="43270"/>
    <cellStyle name="Comma 18 2 7 3 2" xfId="43271"/>
    <cellStyle name="Comma 18 2 7 3 3" xfId="43272"/>
    <cellStyle name="Comma 18 2 7 4" xfId="43273"/>
    <cellStyle name="Comma 18 2 7 4 2" xfId="43274"/>
    <cellStyle name="Comma 18 2 7 5" xfId="43275"/>
    <cellStyle name="Comma 18 2 7 6" xfId="43276"/>
    <cellStyle name="Comma 18 2 8" xfId="43277"/>
    <cellStyle name="Comma 18 2 8 2" xfId="43278"/>
    <cellStyle name="Comma 18 2 8 2 2" xfId="43279"/>
    <cellStyle name="Comma 18 2 8 2 3" xfId="43280"/>
    <cellStyle name="Comma 18 2 8 3" xfId="43281"/>
    <cellStyle name="Comma 18 2 8 3 2" xfId="43282"/>
    <cellStyle name="Comma 18 2 8 3 3" xfId="43283"/>
    <cellStyle name="Comma 18 2 8 4" xfId="43284"/>
    <cellStyle name="Comma 18 2 8 4 2" xfId="43285"/>
    <cellStyle name="Comma 18 2 8 5" xfId="43286"/>
    <cellStyle name="Comma 18 2 8 6" xfId="43287"/>
    <cellStyle name="Comma 18 2 9" xfId="43288"/>
    <cellStyle name="Comma 18 2 9 2" xfId="43289"/>
    <cellStyle name="Comma 18 2 9 2 2" xfId="43290"/>
    <cellStyle name="Comma 18 2 9 2 3" xfId="43291"/>
    <cellStyle name="Comma 18 2 9 3" xfId="43292"/>
    <cellStyle name="Comma 18 2 9 3 2" xfId="43293"/>
    <cellStyle name="Comma 18 2 9 4" xfId="43294"/>
    <cellStyle name="Comma 18 2 9 5" xfId="43295"/>
    <cellStyle name="Comma 18 3" xfId="43296"/>
    <cellStyle name="Comma 18 3 10" xfId="43297"/>
    <cellStyle name="Comma 18 3 10 2" xfId="43298"/>
    <cellStyle name="Comma 18 3 10 3" xfId="43299"/>
    <cellStyle name="Comma 18 3 11" xfId="43300"/>
    <cellStyle name="Comma 18 3 11 2" xfId="43301"/>
    <cellStyle name="Comma 18 3 12" xfId="43302"/>
    <cellStyle name="Comma 18 3 13" xfId="43303"/>
    <cellStyle name="Comma 18 3 2" xfId="43304"/>
    <cellStyle name="Comma 18 3 2 10" xfId="43305"/>
    <cellStyle name="Comma 18 3 2 10 2" xfId="43306"/>
    <cellStyle name="Comma 18 3 2 11" xfId="43307"/>
    <cellStyle name="Comma 18 3 2 12" xfId="43308"/>
    <cellStyle name="Comma 18 3 2 2" xfId="43309"/>
    <cellStyle name="Comma 18 3 2 2 10" xfId="43310"/>
    <cellStyle name="Comma 18 3 2 2 2" xfId="43311"/>
    <cellStyle name="Comma 18 3 2 2 2 2" xfId="43312"/>
    <cellStyle name="Comma 18 3 2 2 2 2 2" xfId="43313"/>
    <cellStyle name="Comma 18 3 2 2 2 2 2 2" xfId="43314"/>
    <cellStyle name="Comma 18 3 2 2 2 2 2 3" xfId="43315"/>
    <cellStyle name="Comma 18 3 2 2 2 2 3" xfId="43316"/>
    <cellStyle name="Comma 18 3 2 2 2 2 3 2" xfId="43317"/>
    <cellStyle name="Comma 18 3 2 2 2 2 3 3" xfId="43318"/>
    <cellStyle name="Comma 18 3 2 2 2 2 4" xfId="43319"/>
    <cellStyle name="Comma 18 3 2 2 2 2 4 2" xfId="43320"/>
    <cellStyle name="Comma 18 3 2 2 2 2 5" xfId="43321"/>
    <cellStyle name="Comma 18 3 2 2 2 2 6" xfId="43322"/>
    <cellStyle name="Comma 18 3 2 2 2 3" xfId="43323"/>
    <cellStyle name="Comma 18 3 2 2 2 3 2" xfId="43324"/>
    <cellStyle name="Comma 18 3 2 2 2 3 2 2" xfId="43325"/>
    <cellStyle name="Comma 18 3 2 2 2 3 2 3" xfId="43326"/>
    <cellStyle name="Comma 18 3 2 2 2 3 3" xfId="43327"/>
    <cellStyle name="Comma 18 3 2 2 2 3 3 2" xfId="43328"/>
    <cellStyle name="Comma 18 3 2 2 2 3 3 3" xfId="43329"/>
    <cellStyle name="Comma 18 3 2 2 2 3 4" xfId="43330"/>
    <cellStyle name="Comma 18 3 2 2 2 3 4 2" xfId="43331"/>
    <cellStyle name="Comma 18 3 2 2 2 3 5" xfId="43332"/>
    <cellStyle name="Comma 18 3 2 2 2 3 6" xfId="43333"/>
    <cellStyle name="Comma 18 3 2 2 2 4" xfId="43334"/>
    <cellStyle name="Comma 18 3 2 2 2 4 2" xfId="43335"/>
    <cellStyle name="Comma 18 3 2 2 2 4 2 2" xfId="43336"/>
    <cellStyle name="Comma 18 3 2 2 2 4 2 3" xfId="43337"/>
    <cellStyle name="Comma 18 3 2 2 2 4 3" xfId="43338"/>
    <cellStyle name="Comma 18 3 2 2 2 4 3 2" xfId="43339"/>
    <cellStyle name="Comma 18 3 2 2 2 4 4" xfId="43340"/>
    <cellStyle name="Comma 18 3 2 2 2 4 5" xfId="43341"/>
    <cellStyle name="Comma 18 3 2 2 2 5" xfId="43342"/>
    <cellStyle name="Comma 18 3 2 2 2 5 2" xfId="43343"/>
    <cellStyle name="Comma 18 3 2 2 2 5 3" xfId="43344"/>
    <cellStyle name="Comma 18 3 2 2 2 6" xfId="43345"/>
    <cellStyle name="Comma 18 3 2 2 2 6 2" xfId="43346"/>
    <cellStyle name="Comma 18 3 2 2 2 6 3" xfId="43347"/>
    <cellStyle name="Comma 18 3 2 2 2 7" xfId="43348"/>
    <cellStyle name="Comma 18 3 2 2 2 7 2" xfId="43349"/>
    <cellStyle name="Comma 18 3 2 2 2 8" xfId="43350"/>
    <cellStyle name="Comma 18 3 2 2 2 9" xfId="43351"/>
    <cellStyle name="Comma 18 3 2 2 3" xfId="43352"/>
    <cellStyle name="Comma 18 3 2 2 3 2" xfId="43353"/>
    <cellStyle name="Comma 18 3 2 2 3 2 2" xfId="43354"/>
    <cellStyle name="Comma 18 3 2 2 3 2 3" xfId="43355"/>
    <cellStyle name="Comma 18 3 2 2 3 3" xfId="43356"/>
    <cellStyle name="Comma 18 3 2 2 3 3 2" xfId="43357"/>
    <cellStyle name="Comma 18 3 2 2 3 3 3" xfId="43358"/>
    <cellStyle name="Comma 18 3 2 2 3 4" xfId="43359"/>
    <cellStyle name="Comma 18 3 2 2 3 4 2" xfId="43360"/>
    <cellStyle name="Comma 18 3 2 2 3 5" xfId="43361"/>
    <cellStyle name="Comma 18 3 2 2 3 6" xfId="43362"/>
    <cellStyle name="Comma 18 3 2 2 4" xfId="43363"/>
    <cellStyle name="Comma 18 3 2 2 4 2" xfId="43364"/>
    <cellStyle name="Comma 18 3 2 2 4 2 2" xfId="43365"/>
    <cellStyle name="Comma 18 3 2 2 4 2 3" xfId="43366"/>
    <cellStyle name="Comma 18 3 2 2 4 3" xfId="43367"/>
    <cellStyle name="Comma 18 3 2 2 4 3 2" xfId="43368"/>
    <cellStyle name="Comma 18 3 2 2 4 3 3" xfId="43369"/>
    <cellStyle name="Comma 18 3 2 2 4 4" xfId="43370"/>
    <cellStyle name="Comma 18 3 2 2 4 4 2" xfId="43371"/>
    <cellStyle name="Comma 18 3 2 2 4 5" xfId="43372"/>
    <cellStyle name="Comma 18 3 2 2 4 6" xfId="43373"/>
    <cellStyle name="Comma 18 3 2 2 5" xfId="43374"/>
    <cellStyle name="Comma 18 3 2 2 5 2" xfId="43375"/>
    <cellStyle name="Comma 18 3 2 2 5 2 2" xfId="43376"/>
    <cellStyle name="Comma 18 3 2 2 5 2 3" xfId="43377"/>
    <cellStyle name="Comma 18 3 2 2 5 3" xfId="43378"/>
    <cellStyle name="Comma 18 3 2 2 5 3 2" xfId="43379"/>
    <cellStyle name="Comma 18 3 2 2 5 4" xfId="43380"/>
    <cellStyle name="Comma 18 3 2 2 5 5" xfId="43381"/>
    <cellStyle name="Comma 18 3 2 2 6" xfId="43382"/>
    <cellStyle name="Comma 18 3 2 2 6 2" xfId="43383"/>
    <cellStyle name="Comma 18 3 2 2 6 3" xfId="43384"/>
    <cellStyle name="Comma 18 3 2 2 7" xfId="43385"/>
    <cellStyle name="Comma 18 3 2 2 7 2" xfId="43386"/>
    <cellStyle name="Comma 18 3 2 2 7 3" xfId="43387"/>
    <cellStyle name="Comma 18 3 2 2 8" xfId="43388"/>
    <cellStyle name="Comma 18 3 2 2 8 2" xfId="43389"/>
    <cellStyle name="Comma 18 3 2 2 9" xfId="43390"/>
    <cellStyle name="Comma 18 3 2 3" xfId="43391"/>
    <cellStyle name="Comma 18 3 2 3 2" xfId="43392"/>
    <cellStyle name="Comma 18 3 2 3 2 2" xfId="43393"/>
    <cellStyle name="Comma 18 3 2 3 2 2 2" xfId="43394"/>
    <cellStyle name="Comma 18 3 2 3 2 2 3" xfId="43395"/>
    <cellStyle name="Comma 18 3 2 3 2 3" xfId="43396"/>
    <cellStyle name="Comma 18 3 2 3 2 3 2" xfId="43397"/>
    <cellStyle name="Comma 18 3 2 3 2 3 3" xfId="43398"/>
    <cellStyle name="Comma 18 3 2 3 2 4" xfId="43399"/>
    <cellStyle name="Comma 18 3 2 3 2 4 2" xfId="43400"/>
    <cellStyle name="Comma 18 3 2 3 2 5" xfId="43401"/>
    <cellStyle name="Comma 18 3 2 3 2 6" xfId="43402"/>
    <cellStyle name="Comma 18 3 2 3 3" xfId="43403"/>
    <cellStyle name="Comma 18 3 2 3 3 2" xfId="43404"/>
    <cellStyle name="Comma 18 3 2 3 3 2 2" xfId="43405"/>
    <cellStyle name="Comma 18 3 2 3 3 2 3" xfId="43406"/>
    <cellStyle name="Comma 18 3 2 3 3 3" xfId="43407"/>
    <cellStyle name="Comma 18 3 2 3 3 3 2" xfId="43408"/>
    <cellStyle name="Comma 18 3 2 3 3 3 3" xfId="43409"/>
    <cellStyle name="Comma 18 3 2 3 3 4" xfId="43410"/>
    <cellStyle name="Comma 18 3 2 3 3 4 2" xfId="43411"/>
    <cellStyle name="Comma 18 3 2 3 3 5" xfId="43412"/>
    <cellStyle name="Comma 18 3 2 3 3 6" xfId="43413"/>
    <cellStyle name="Comma 18 3 2 3 4" xfId="43414"/>
    <cellStyle name="Comma 18 3 2 3 4 2" xfId="43415"/>
    <cellStyle name="Comma 18 3 2 3 4 2 2" xfId="43416"/>
    <cellStyle name="Comma 18 3 2 3 4 2 3" xfId="43417"/>
    <cellStyle name="Comma 18 3 2 3 4 3" xfId="43418"/>
    <cellStyle name="Comma 18 3 2 3 4 3 2" xfId="43419"/>
    <cellStyle name="Comma 18 3 2 3 4 4" xfId="43420"/>
    <cellStyle name="Comma 18 3 2 3 4 5" xfId="43421"/>
    <cellStyle name="Comma 18 3 2 3 5" xfId="43422"/>
    <cellStyle name="Comma 18 3 2 3 5 2" xfId="43423"/>
    <cellStyle name="Comma 18 3 2 3 5 3" xfId="43424"/>
    <cellStyle name="Comma 18 3 2 3 6" xfId="43425"/>
    <cellStyle name="Comma 18 3 2 3 6 2" xfId="43426"/>
    <cellStyle name="Comma 18 3 2 3 6 3" xfId="43427"/>
    <cellStyle name="Comma 18 3 2 3 7" xfId="43428"/>
    <cellStyle name="Comma 18 3 2 3 7 2" xfId="43429"/>
    <cellStyle name="Comma 18 3 2 3 8" xfId="43430"/>
    <cellStyle name="Comma 18 3 2 3 9" xfId="43431"/>
    <cellStyle name="Comma 18 3 2 4" xfId="43432"/>
    <cellStyle name="Comma 18 3 2 4 2" xfId="43433"/>
    <cellStyle name="Comma 18 3 2 4 2 2" xfId="43434"/>
    <cellStyle name="Comma 18 3 2 4 2 2 2" xfId="43435"/>
    <cellStyle name="Comma 18 3 2 4 2 2 3" xfId="43436"/>
    <cellStyle name="Comma 18 3 2 4 2 3" xfId="43437"/>
    <cellStyle name="Comma 18 3 2 4 2 3 2" xfId="43438"/>
    <cellStyle name="Comma 18 3 2 4 2 3 3" xfId="43439"/>
    <cellStyle name="Comma 18 3 2 4 2 4" xfId="43440"/>
    <cellStyle name="Comma 18 3 2 4 2 4 2" xfId="43441"/>
    <cellStyle name="Comma 18 3 2 4 2 5" xfId="43442"/>
    <cellStyle name="Comma 18 3 2 4 2 6" xfId="43443"/>
    <cellStyle name="Comma 18 3 2 4 3" xfId="43444"/>
    <cellStyle name="Comma 18 3 2 4 3 2" xfId="43445"/>
    <cellStyle name="Comma 18 3 2 4 3 2 2" xfId="43446"/>
    <cellStyle name="Comma 18 3 2 4 3 2 3" xfId="43447"/>
    <cellStyle name="Comma 18 3 2 4 3 3" xfId="43448"/>
    <cellStyle name="Comma 18 3 2 4 3 3 2" xfId="43449"/>
    <cellStyle name="Comma 18 3 2 4 3 3 3" xfId="43450"/>
    <cellStyle name="Comma 18 3 2 4 3 4" xfId="43451"/>
    <cellStyle name="Comma 18 3 2 4 3 4 2" xfId="43452"/>
    <cellStyle name="Comma 18 3 2 4 3 5" xfId="43453"/>
    <cellStyle name="Comma 18 3 2 4 3 6" xfId="43454"/>
    <cellStyle name="Comma 18 3 2 4 4" xfId="43455"/>
    <cellStyle name="Comma 18 3 2 4 4 2" xfId="43456"/>
    <cellStyle name="Comma 18 3 2 4 4 2 2" xfId="43457"/>
    <cellStyle name="Comma 18 3 2 4 4 2 3" xfId="43458"/>
    <cellStyle name="Comma 18 3 2 4 4 3" xfId="43459"/>
    <cellStyle name="Comma 18 3 2 4 4 3 2" xfId="43460"/>
    <cellStyle name="Comma 18 3 2 4 4 4" xfId="43461"/>
    <cellStyle name="Comma 18 3 2 4 4 5" xfId="43462"/>
    <cellStyle name="Comma 18 3 2 4 5" xfId="43463"/>
    <cellStyle name="Comma 18 3 2 4 5 2" xfId="43464"/>
    <cellStyle name="Comma 18 3 2 4 5 3" xfId="43465"/>
    <cellStyle name="Comma 18 3 2 4 6" xfId="43466"/>
    <cellStyle name="Comma 18 3 2 4 6 2" xfId="43467"/>
    <cellStyle name="Comma 18 3 2 4 6 3" xfId="43468"/>
    <cellStyle name="Comma 18 3 2 4 7" xfId="43469"/>
    <cellStyle name="Comma 18 3 2 4 7 2" xfId="43470"/>
    <cellStyle name="Comma 18 3 2 4 8" xfId="43471"/>
    <cellStyle name="Comma 18 3 2 4 9" xfId="43472"/>
    <cellStyle name="Comma 18 3 2 5" xfId="43473"/>
    <cellStyle name="Comma 18 3 2 5 2" xfId="43474"/>
    <cellStyle name="Comma 18 3 2 5 2 2" xfId="43475"/>
    <cellStyle name="Comma 18 3 2 5 2 3" xfId="43476"/>
    <cellStyle name="Comma 18 3 2 5 3" xfId="43477"/>
    <cellStyle name="Comma 18 3 2 5 3 2" xfId="43478"/>
    <cellStyle name="Comma 18 3 2 5 3 3" xfId="43479"/>
    <cellStyle name="Comma 18 3 2 5 4" xfId="43480"/>
    <cellStyle name="Comma 18 3 2 5 4 2" xfId="43481"/>
    <cellStyle name="Comma 18 3 2 5 5" xfId="43482"/>
    <cellStyle name="Comma 18 3 2 5 6" xfId="43483"/>
    <cellStyle name="Comma 18 3 2 6" xfId="43484"/>
    <cellStyle name="Comma 18 3 2 6 2" xfId="43485"/>
    <cellStyle name="Comma 18 3 2 6 2 2" xfId="43486"/>
    <cellStyle name="Comma 18 3 2 6 2 3" xfId="43487"/>
    <cellStyle name="Comma 18 3 2 6 3" xfId="43488"/>
    <cellStyle name="Comma 18 3 2 6 3 2" xfId="43489"/>
    <cellStyle name="Comma 18 3 2 6 3 3" xfId="43490"/>
    <cellStyle name="Comma 18 3 2 6 4" xfId="43491"/>
    <cellStyle name="Comma 18 3 2 6 4 2" xfId="43492"/>
    <cellStyle name="Comma 18 3 2 6 5" xfId="43493"/>
    <cellStyle name="Comma 18 3 2 6 6" xfId="43494"/>
    <cellStyle name="Comma 18 3 2 7" xfId="43495"/>
    <cellStyle name="Comma 18 3 2 7 2" xfId="43496"/>
    <cellStyle name="Comma 18 3 2 7 2 2" xfId="43497"/>
    <cellStyle name="Comma 18 3 2 7 2 3" xfId="43498"/>
    <cellStyle name="Comma 18 3 2 7 3" xfId="43499"/>
    <cellStyle name="Comma 18 3 2 7 3 2" xfId="43500"/>
    <cellStyle name="Comma 18 3 2 7 4" xfId="43501"/>
    <cellStyle name="Comma 18 3 2 7 5" xfId="43502"/>
    <cellStyle name="Comma 18 3 2 8" xfId="43503"/>
    <cellStyle name="Comma 18 3 2 8 2" xfId="43504"/>
    <cellStyle name="Comma 18 3 2 8 3" xfId="43505"/>
    <cellStyle name="Comma 18 3 2 9" xfId="43506"/>
    <cellStyle name="Comma 18 3 2 9 2" xfId="43507"/>
    <cellStyle name="Comma 18 3 2 9 3" xfId="43508"/>
    <cellStyle name="Comma 18 3 3" xfId="43509"/>
    <cellStyle name="Comma 18 3 3 10" xfId="43510"/>
    <cellStyle name="Comma 18 3 3 2" xfId="43511"/>
    <cellStyle name="Comma 18 3 3 2 2" xfId="43512"/>
    <cellStyle name="Comma 18 3 3 2 2 2" xfId="43513"/>
    <cellStyle name="Comma 18 3 3 2 2 2 2" xfId="43514"/>
    <cellStyle name="Comma 18 3 3 2 2 2 3" xfId="43515"/>
    <cellStyle name="Comma 18 3 3 2 2 3" xfId="43516"/>
    <cellStyle name="Comma 18 3 3 2 2 3 2" xfId="43517"/>
    <cellStyle name="Comma 18 3 3 2 2 3 3" xfId="43518"/>
    <cellStyle name="Comma 18 3 3 2 2 4" xfId="43519"/>
    <cellStyle name="Comma 18 3 3 2 2 4 2" xfId="43520"/>
    <cellStyle name="Comma 18 3 3 2 2 5" xfId="43521"/>
    <cellStyle name="Comma 18 3 3 2 2 6" xfId="43522"/>
    <cellStyle name="Comma 18 3 3 2 3" xfId="43523"/>
    <cellStyle name="Comma 18 3 3 2 3 2" xfId="43524"/>
    <cellStyle name="Comma 18 3 3 2 3 2 2" xfId="43525"/>
    <cellStyle name="Comma 18 3 3 2 3 2 3" xfId="43526"/>
    <cellStyle name="Comma 18 3 3 2 3 3" xfId="43527"/>
    <cellStyle name="Comma 18 3 3 2 3 3 2" xfId="43528"/>
    <cellStyle name="Comma 18 3 3 2 3 3 3" xfId="43529"/>
    <cellStyle name="Comma 18 3 3 2 3 4" xfId="43530"/>
    <cellStyle name="Comma 18 3 3 2 3 4 2" xfId="43531"/>
    <cellStyle name="Comma 18 3 3 2 3 5" xfId="43532"/>
    <cellStyle name="Comma 18 3 3 2 3 6" xfId="43533"/>
    <cellStyle name="Comma 18 3 3 2 4" xfId="43534"/>
    <cellStyle name="Comma 18 3 3 2 4 2" xfId="43535"/>
    <cellStyle name="Comma 18 3 3 2 4 2 2" xfId="43536"/>
    <cellStyle name="Comma 18 3 3 2 4 2 3" xfId="43537"/>
    <cellStyle name="Comma 18 3 3 2 4 3" xfId="43538"/>
    <cellStyle name="Comma 18 3 3 2 4 3 2" xfId="43539"/>
    <cellStyle name="Comma 18 3 3 2 4 4" xfId="43540"/>
    <cellStyle name="Comma 18 3 3 2 4 5" xfId="43541"/>
    <cellStyle name="Comma 18 3 3 2 5" xfId="43542"/>
    <cellStyle name="Comma 18 3 3 2 5 2" xfId="43543"/>
    <cellStyle name="Comma 18 3 3 2 5 3" xfId="43544"/>
    <cellStyle name="Comma 18 3 3 2 6" xfId="43545"/>
    <cellStyle name="Comma 18 3 3 2 6 2" xfId="43546"/>
    <cellStyle name="Comma 18 3 3 2 6 3" xfId="43547"/>
    <cellStyle name="Comma 18 3 3 2 7" xfId="43548"/>
    <cellStyle name="Comma 18 3 3 2 7 2" xfId="43549"/>
    <cellStyle name="Comma 18 3 3 2 8" xfId="43550"/>
    <cellStyle name="Comma 18 3 3 2 9" xfId="43551"/>
    <cellStyle name="Comma 18 3 3 3" xfId="43552"/>
    <cellStyle name="Comma 18 3 3 3 2" xfId="43553"/>
    <cellStyle name="Comma 18 3 3 3 2 2" xfId="43554"/>
    <cellStyle name="Comma 18 3 3 3 2 3" xfId="43555"/>
    <cellStyle name="Comma 18 3 3 3 3" xfId="43556"/>
    <cellStyle name="Comma 18 3 3 3 3 2" xfId="43557"/>
    <cellStyle name="Comma 18 3 3 3 3 3" xfId="43558"/>
    <cellStyle name="Comma 18 3 3 3 4" xfId="43559"/>
    <cellStyle name="Comma 18 3 3 3 4 2" xfId="43560"/>
    <cellStyle name="Comma 18 3 3 3 5" xfId="43561"/>
    <cellStyle name="Comma 18 3 3 3 6" xfId="43562"/>
    <cellStyle name="Comma 18 3 3 4" xfId="43563"/>
    <cellStyle name="Comma 18 3 3 4 2" xfId="43564"/>
    <cellStyle name="Comma 18 3 3 4 2 2" xfId="43565"/>
    <cellStyle name="Comma 18 3 3 4 2 3" xfId="43566"/>
    <cellStyle name="Comma 18 3 3 4 3" xfId="43567"/>
    <cellStyle name="Comma 18 3 3 4 3 2" xfId="43568"/>
    <cellStyle name="Comma 18 3 3 4 3 3" xfId="43569"/>
    <cellStyle name="Comma 18 3 3 4 4" xfId="43570"/>
    <cellStyle name="Comma 18 3 3 4 4 2" xfId="43571"/>
    <cellStyle name="Comma 18 3 3 4 5" xfId="43572"/>
    <cellStyle name="Comma 18 3 3 4 6" xfId="43573"/>
    <cellStyle name="Comma 18 3 3 5" xfId="43574"/>
    <cellStyle name="Comma 18 3 3 5 2" xfId="43575"/>
    <cellStyle name="Comma 18 3 3 5 2 2" xfId="43576"/>
    <cellStyle name="Comma 18 3 3 5 2 3" xfId="43577"/>
    <cellStyle name="Comma 18 3 3 5 3" xfId="43578"/>
    <cellStyle name="Comma 18 3 3 5 3 2" xfId="43579"/>
    <cellStyle name="Comma 18 3 3 5 4" xfId="43580"/>
    <cellStyle name="Comma 18 3 3 5 5" xfId="43581"/>
    <cellStyle name="Comma 18 3 3 6" xfId="43582"/>
    <cellStyle name="Comma 18 3 3 6 2" xfId="43583"/>
    <cellStyle name="Comma 18 3 3 6 3" xfId="43584"/>
    <cellStyle name="Comma 18 3 3 7" xfId="43585"/>
    <cellStyle name="Comma 18 3 3 7 2" xfId="43586"/>
    <cellStyle name="Comma 18 3 3 7 3" xfId="43587"/>
    <cellStyle name="Comma 18 3 3 8" xfId="43588"/>
    <cellStyle name="Comma 18 3 3 8 2" xfId="43589"/>
    <cellStyle name="Comma 18 3 3 9" xfId="43590"/>
    <cellStyle name="Comma 18 3 4" xfId="43591"/>
    <cellStyle name="Comma 18 3 4 2" xfId="43592"/>
    <cellStyle name="Comma 18 3 4 2 2" xfId="43593"/>
    <cellStyle name="Comma 18 3 4 2 2 2" xfId="43594"/>
    <cellStyle name="Comma 18 3 4 2 2 3" xfId="43595"/>
    <cellStyle name="Comma 18 3 4 2 3" xfId="43596"/>
    <cellStyle name="Comma 18 3 4 2 3 2" xfId="43597"/>
    <cellStyle name="Comma 18 3 4 2 3 3" xfId="43598"/>
    <cellStyle name="Comma 18 3 4 2 4" xfId="43599"/>
    <cellStyle name="Comma 18 3 4 2 4 2" xfId="43600"/>
    <cellStyle name="Comma 18 3 4 2 5" xfId="43601"/>
    <cellStyle name="Comma 18 3 4 2 6" xfId="43602"/>
    <cellStyle name="Comma 18 3 4 3" xfId="43603"/>
    <cellStyle name="Comma 18 3 4 3 2" xfId="43604"/>
    <cellStyle name="Comma 18 3 4 3 2 2" xfId="43605"/>
    <cellStyle name="Comma 18 3 4 3 2 3" xfId="43606"/>
    <cellStyle name="Comma 18 3 4 3 3" xfId="43607"/>
    <cellStyle name="Comma 18 3 4 3 3 2" xfId="43608"/>
    <cellStyle name="Comma 18 3 4 3 3 3" xfId="43609"/>
    <cellStyle name="Comma 18 3 4 3 4" xfId="43610"/>
    <cellStyle name="Comma 18 3 4 3 4 2" xfId="43611"/>
    <cellStyle name="Comma 18 3 4 3 5" xfId="43612"/>
    <cellStyle name="Comma 18 3 4 3 6" xfId="43613"/>
    <cellStyle name="Comma 18 3 4 4" xfId="43614"/>
    <cellStyle name="Comma 18 3 4 4 2" xfId="43615"/>
    <cellStyle name="Comma 18 3 4 4 2 2" xfId="43616"/>
    <cellStyle name="Comma 18 3 4 4 2 3" xfId="43617"/>
    <cellStyle name="Comma 18 3 4 4 3" xfId="43618"/>
    <cellStyle name="Comma 18 3 4 4 3 2" xfId="43619"/>
    <cellStyle name="Comma 18 3 4 4 4" xfId="43620"/>
    <cellStyle name="Comma 18 3 4 4 5" xfId="43621"/>
    <cellStyle name="Comma 18 3 4 5" xfId="43622"/>
    <cellStyle name="Comma 18 3 4 5 2" xfId="43623"/>
    <cellStyle name="Comma 18 3 4 5 3" xfId="43624"/>
    <cellStyle name="Comma 18 3 4 6" xfId="43625"/>
    <cellStyle name="Comma 18 3 4 6 2" xfId="43626"/>
    <cellStyle name="Comma 18 3 4 6 3" xfId="43627"/>
    <cellStyle name="Comma 18 3 4 7" xfId="43628"/>
    <cellStyle name="Comma 18 3 4 7 2" xfId="43629"/>
    <cellStyle name="Comma 18 3 4 8" xfId="43630"/>
    <cellStyle name="Comma 18 3 4 9" xfId="43631"/>
    <cellStyle name="Comma 18 3 5" xfId="43632"/>
    <cellStyle name="Comma 18 3 5 2" xfId="43633"/>
    <cellStyle name="Comma 18 3 5 2 2" xfId="43634"/>
    <cellStyle name="Comma 18 3 5 2 2 2" xfId="43635"/>
    <cellStyle name="Comma 18 3 5 2 2 3" xfId="43636"/>
    <cellStyle name="Comma 18 3 5 2 3" xfId="43637"/>
    <cellStyle name="Comma 18 3 5 2 3 2" xfId="43638"/>
    <cellStyle name="Comma 18 3 5 2 3 3" xfId="43639"/>
    <cellStyle name="Comma 18 3 5 2 4" xfId="43640"/>
    <cellStyle name="Comma 18 3 5 2 4 2" xfId="43641"/>
    <cellStyle name="Comma 18 3 5 2 5" xfId="43642"/>
    <cellStyle name="Comma 18 3 5 2 6" xfId="43643"/>
    <cellStyle name="Comma 18 3 5 3" xfId="43644"/>
    <cellStyle name="Comma 18 3 5 3 2" xfId="43645"/>
    <cellStyle name="Comma 18 3 5 3 2 2" xfId="43646"/>
    <cellStyle name="Comma 18 3 5 3 2 3" xfId="43647"/>
    <cellStyle name="Comma 18 3 5 3 3" xfId="43648"/>
    <cellStyle name="Comma 18 3 5 3 3 2" xfId="43649"/>
    <cellStyle name="Comma 18 3 5 3 3 3" xfId="43650"/>
    <cellStyle name="Comma 18 3 5 3 4" xfId="43651"/>
    <cellStyle name="Comma 18 3 5 3 4 2" xfId="43652"/>
    <cellStyle name="Comma 18 3 5 3 5" xfId="43653"/>
    <cellStyle name="Comma 18 3 5 3 6" xfId="43654"/>
    <cellStyle name="Comma 18 3 5 4" xfId="43655"/>
    <cellStyle name="Comma 18 3 5 4 2" xfId="43656"/>
    <cellStyle name="Comma 18 3 5 4 2 2" xfId="43657"/>
    <cellStyle name="Comma 18 3 5 4 2 3" xfId="43658"/>
    <cellStyle name="Comma 18 3 5 4 3" xfId="43659"/>
    <cellStyle name="Comma 18 3 5 4 3 2" xfId="43660"/>
    <cellStyle name="Comma 18 3 5 4 4" xfId="43661"/>
    <cellStyle name="Comma 18 3 5 4 5" xfId="43662"/>
    <cellStyle name="Comma 18 3 5 5" xfId="43663"/>
    <cellStyle name="Comma 18 3 5 5 2" xfId="43664"/>
    <cellStyle name="Comma 18 3 5 5 3" xfId="43665"/>
    <cellStyle name="Comma 18 3 5 6" xfId="43666"/>
    <cellStyle name="Comma 18 3 5 6 2" xfId="43667"/>
    <cellStyle name="Comma 18 3 5 6 3" xfId="43668"/>
    <cellStyle name="Comma 18 3 5 7" xfId="43669"/>
    <cellStyle name="Comma 18 3 5 7 2" xfId="43670"/>
    <cellStyle name="Comma 18 3 5 8" xfId="43671"/>
    <cellStyle name="Comma 18 3 5 9" xfId="43672"/>
    <cellStyle name="Comma 18 3 6" xfId="43673"/>
    <cellStyle name="Comma 18 3 6 2" xfId="43674"/>
    <cellStyle name="Comma 18 3 6 2 2" xfId="43675"/>
    <cellStyle name="Comma 18 3 6 2 3" xfId="43676"/>
    <cellStyle name="Comma 18 3 6 3" xfId="43677"/>
    <cellStyle name="Comma 18 3 6 3 2" xfId="43678"/>
    <cellStyle name="Comma 18 3 6 3 3" xfId="43679"/>
    <cellStyle name="Comma 18 3 6 4" xfId="43680"/>
    <cellStyle name="Comma 18 3 6 4 2" xfId="43681"/>
    <cellStyle name="Comma 18 3 6 5" xfId="43682"/>
    <cellStyle name="Comma 18 3 6 6" xfId="43683"/>
    <cellStyle name="Comma 18 3 7" xfId="43684"/>
    <cellStyle name="Comma 18 3 7 2" xfId="43685"/>
    <cellStyle name="Comma 18 3 7 2 2" xfId="43686"/>
    <cellStyle name="Comma 18 3 7 2 3" xfId="43687"/>
    <cellStyle name="Comma 18 3 7 3" xfId="43688"/>
    <cellStyle name="Comma 18 3 7 3 2" xfId="43689"/>
    <cellStyle name="Comma 18 3 7 3 3" xfId="43690"/>
    <cellStyle name="Comma 18 3 7 4" xfId="43691"/>
    <cellStyle name="Comma 18 3 7 4 2" xfId="43692"/>
    <cellStyle name="Comma 18 3 7 5" xfId="43693"/>
    <cellStyle name="Comma 18 3 7 6" xfId="43694"/>
    <cellStyle name="Comma 18 3 8" xfId="43695"/>
    <cellStyle name="Comma 18 3 8 2" xfId="43696"/>
    <cellStyle name="Comma 18 3 8 2 2" xfId="43697"/>
    <cellStyle name="Comma 18 3 8 2 3" xfId="43698"/>
    <cellStyle name="Comma 18 3 8 3" xfId="43699"/>
    <cellStyle name="Comma 18 3 8 3 2" xfId="43700"/>
    <cellStyle name="Comma 18 3 8 4" xfId="43701"/>
    <cellStyle name="Comma 18 3 8 5" xfId="43702"/>
    <cellStyle name="Comma 18 3 9" xfId="43703"/>
    <cellStyle name="Comma 18 3 9 2" xfId="43704"/>
    <cellStyle name="Comma 18 3 9 3" xfId="43705"/>
    <cellStyle name="Comma 18 4" xfId="43706"/>
    <cellStyle name="Comma 18 4 10" xfId="43707"/>
    <cellStyle name="Comma 18 4 10 2" xfId="43708"/>
    <cellStyle name="Comma 18 4 11" xfId="43709"/>
    <cellStyle name="Comma 18 4 12" xfId="43710"/>
    <cellStyle name="Comma 18 4 2" xfId="43711"/>
    <cellStyle name="Comma 18 4 2 10" xfId="43712"/>
    <cellStyle name="Comma 18 4 2 2" xfId="43713"/>
    <cellStyle name="Comma 18 4 2 2 2" xfId="43714"/>
    <cellStyle name="Comma 18 4 2 2 2 2" xfId="43715"/>
    <cellStyle name="Comma 18 4 2 2 2 2 2" xfId="43716"/>
    <cellStyle name="Comma 18 4 2 2 2 2 3" xfId="43717"/>
    <cellStyle name="Comma 18 4 2 2 2 3" xfId="43718"/>
    <cellStyle name="Comma 18 4 2 2 2 3 2" xfId="43719"/>
    <cellStyle name="Comma 18 4 2 2 2 3 3" xfId="43720"/>
    <cellStyle name="Comma 18 4 2 2 2 4" xfId="43721"/>
    <cellStyle name="Comma 18 4 2 2 2 4 2" xfId="43722"/>
    <cellStyle name="Comma 18 4 2 2 2 5" xfId="43723"/>
    <cellStyle name="Comma 18 4 2 2 2 6" xfId="43724"/>
    <cellStyle name="Comma 18 4 2 2 3" xfId="43725"/>
    <cellStyle name="Comma 18 4 2 2 3 2" xfId="43726"/>
    <cellStyle name="Comma 18 4 2 2 3 2 2" xfId="43727"/>
    <cellStyle name="Comma 18 4 2 2 3 2 3" xfId="43728"/>
    <cellStyle name="Comma 18 4 2 2 3 3" xfId="43729"/>
    <cellStyle name="Comma 18 4 2 2 3 3 2" xfId="43730"/>
    <cellStyle name="Comma 18 4 2 2 3 3 3" xfId="43731"/>
    <cellStyle name="Comma 18 4 2 2 3 4" xfId="43732"/>
    <cellStyle name="Comma 18 4 2 2 3 4 2" xfId="43733"/>
    <cellStyle name="Comma 18 4 2 2 3 5" xfId="43734"/>
    <cellStyle name="Comma 18 4 2 2 3 6" xfId="43735"/>
    <cellStyle name="Comma 18 4 2 2 4" xfId="43736"/>
    <cellStyle name="Comma 18 4 2 2 4 2" xfId="43737"/>
    <cellStyle name="Comma 18 4 2 2 4 2 2" xfId="43738"/>
    <cellStyle name="Comma 18 4 2 2 4 2 3" xfId="43739"/>
    <cellStyle name="Comma 18 4 2 2 4 3" xfId="43740"/>
    <cellStyle name="Comma 18 4 2 2 4 3 2" xfId="43741"/>
    <cellStyle name="Comma 18 4 2 2 4 4" xfId="43742"/>
    <cellStyle name="Comma 18 4 2 2 4 5" xfId="43743"/>
    <cellStyle name="Comma 18 4 2 2 5" xfId="43744"/>
    <cellStyle name="Comma 18 4 2 2 5 2" xfId="43745"/>
    <cellStyle name="Comma 18 4 2 2 5 3" xfId="43746"/>
    <cellStyle name="Comma 18 4 2 2 6" xfId="43747"/>
    <cellStyle name="Comma 18 4 2 2 6 2" xfId="43748"/>
    <cellStyle name="Comma 18 4 2 2 6 3" xfId="43749"/>
    <cellStyle name="Comma 18 4 2 2 7" xfId="43750"/>
    <cellStyle name="Comma 18 4 2 2 7 2" xfId="43751"/>
    <cellStyle name="Comma 18 4 2 2 8" xfId="43752"/>
    <cellStyle name="Comma 18 4 2 2 9" xfId="43753"/>
    <cellStyle name="Comma 18 4 2 3" xfId="43754"/>
    <cellStyle name="Comma 18 4 2 3 2" xfId="43755"/>
    <cellStyle name="Comma 18 4 2 3 2 2" xfId="43756"/>
    <cellStyle name="Comma 18 4 2 3 2 3" xfId="43757"/>
    <cellStyle name="Comma 18 4 2 3 3" xfId="43758"/>
    <cellStyle name="Comma 18 4 2 3 3 2" xfId="43759"/>
    <cellStyle name="Comma 18 4 2 3 3 3" xfId="43760"/>
    <cellStyle name="Comma 18 4 2 3 4" xfId="43761"/>
    <cellStyle name="Comma 18 4 2 3 4 2" xfId="43762"/>
    <cellStyle name="Comma 18 4 2 3 5" xfId="43763"/>
    <cellStyle name="Comma 18 4 2 3 6" xfId="43764"/>
    <cellStyle name="Comma 18 4 2 4" xfId="43765"/>
    <cellStyle name="Comma 18 4 2 4 2" xfId="43766"/>
    <cellStyle name="Comma 18 4 2 4 2 2" xfId="43767"/>
    <cellStyle name="Comma 18 4 2 4 2 3" xfId="43768"/>
    <cellStyle name="Comma 18 4 2 4 3" xfId="43769"/>
    <cellStyle name="Comma 18 4 2 4 3 2" xfId="43770"/>
    <cellStyle name="Comma 18 4 2 4 3 3" xfId="43771"/>
    <cellStyle name="Comma 18 4 2 4 4" xfId="43772"/>
    <cellStyle name="Comma 18 4 2 4 4 2" xfId="43773"/>
    <cellStyle name="Comma 18 4 2 4 5" xfId="43774"/>
    <cellStyle name="Comma 18 4 2 4 6" xfId="43775"/>
    <cellStyle name="Comma 18 4 2 5" xfId="43776"/>
    <cellStyle name="Comma 18 4 2 5 2" xfId="43777"/>
    <cellStyle name="Comma 18 4 2 5 2 2" xfId="43778"/>
    <cellStyle name="Comma 18 4 2 5 2 3" xfId="43779"/>
    <cellStyle name="Comma 18 4 2 5 3" xfId="43780"/>
    <cellStyle name="Comma 18 4 2 5 3 2" xfId="43781"/>
    <cellStyle name="Comma 18 4 2 5 4" xfId="43782"/>
    <cellStyle name="Comma 18 4 2 5 5" xfId="43783"/>
    <cellStyle name="Comma 18 4 2 6" xfId="43784"/>
    <cellStyle name="Comma 18 4 2 6 2" xfId="43785"/>
    <cellStyle name="Comma 18 4 2 6 3" xfId="43786"/>
    <cellStyle name="Comma 18 4 2 7" xfId="43787"/>
    <cellStyle name="Comma 18 4 2 7 2" xfId="43788"/>
    <cellStyle name="Comma 18 4 2 7 3" xfId="43789"/>
    <cellStyle name="Comma 18 4 2 8" xfId="43790"/>
    <cellStyle name="Comma 18 4 2 8 2" xfId="43791"/>
    <cellStyle name="Comma 18 4 2 9" xfId="43792"/>
    <cellStyle name="Comma 18 4 3" xfId="43793"/>
    <cellStyle name="Comma 18 4 3 2" xfId="43794"/>
    <cellStyle name="Comma 18 4 3 2 2" xfId="43795"/>
    <cellStyle name="Comma 18 4 3 2 2 2" xfId="43796"/>
    <cellStyle name="Comma 18 4 3 2 2 3" xfId="43797"/>
    <cellStyle name="Comma 18 4 3 2 3" xfId="43798"/>
    <cellStyle name="Comma 18 4 3 2 3 2" xfId="43799"/>
    <cellStyle name="Comma 18 4 3 2 3 3" xfId="43800"/>
    <cellStyle name="Comma 18 4 3 2 4" xfId="43801"/>
    <cellStyle name="Comma 18 4 3 2 4 2" xfId="43802"/>
    <cellStyle name="Comma 18 4 3 2 5" xfId="43803"/>
    <cellStyle name="Comma 18 4 3 2 6" xfId="43804"/>
    <cellStyle name="Comma 18 4 3 3" xfId="43805"/>
    <cellStyle name="Comma 18 4 3 3 2" xfId="43806"/>
    <cellStyle name="Comma 18 4 3 3 2 2" xfId="43807"/>
    <cellStyle name="Comma 18 4 3 3 2 3" xfId="43808"/>
    <cellStyle name="Comma 18 4 3 3 3" xfId="43809"/>
    <cellStyle name="Comma 18 4 3 3 3 2" xfId="43810"/>
    <cellStyle name="Comma 18 4 3 3 3 3" xfId="43811"/>
    <cellStyle name="Comma 18 4 3 3 4" xfId="43812"/>
    <cellStyle name="Comma 18 4 3 3 4 2" xfId="43813"/>
    <cellStyle name="Comma 18 4 3 3 5" xfId="43814"/>
    <cellStyle name="Comma 18 4 3 3 6" xfId="43815"/>
    <cellStyle name="Comma 18 4 3 4" xfId="43816"/>
    <cellStyle name="Comma 18 4 3 4 2" xfId="43817"/>
    <cellStyle name="Comma 18 4 3 4 2 2" xfId="43818"/>
    <cellStyle name="Comma 18 4 3 4 2 3" xfId="43819"/>
    <cellStyle name="Comma 18 4 3 4 3" xfId="43820"/>
    <cellStyle name="Comma 18 4 3 4 3 2" xfId="43821"/>
    <cellStyle name="Comma 18 4 3 4 4" xfId="43822"/>
    <cellStyle name="Comma 18 4 3 4 5" xfId="43823"/>
    <cellStyle name="Comma 18 4 3 5" xfId="43824"/>
    <cellStyle name="Comma 18 4 3 5 2" xfId="43825"/>
    <cellStyle name="Comma 18 4 3 5 3" xfId="43826"/>
    <cellStyle name="Comma 18 4 3 6" xfId="43827"/>
    <cellStyle name="Comma 18 4 3 6 2" xfId="43828"/>
    <cellStyle name="Comma 18 4 3 6 3" xfId="43829"/>
    <cellStyle name="Comma 18 4 3 7" xfId="43830"/>
    <cellStyle name="Comma 18 4 3 7 2" xfId="43831"/>
    <cellStyle name="Comma 18 4 3 8" xfId="43832"/>
    <cellStyle name="Comma 18 4 3 9" xfId="43833"/>
    <cellStyle name="Comma 18 4 4" xfId="43834"/>
    <cellStyle name="Comma 18 4 4 2" xfId="43835"/>
    <cellStyle name="Comma 18 4 4 2 2" xfId="43836"/>
    <cellStyle name="Comma 18 4 4 2 2 2" xfId="43837"/>
    <cellStyle name="Comma 18 4 4 2 2 3" xfId="43838"/>
    <cellStyle name="Comma 18 4 4 2 3" xfId="43839"/>
    <cellStyle name="Comma 18 4 4 2 3 2" xfId="43840"/>
    <cellStyle name="Comma 18 4 4 2 3 3" xfId="43841"/>
    <cellStyle name="Comma 18 4 4 2 4" xfId="43842"/>
    <cellStyle name="Comma 18 4 4 2 4 2" xfId="43843"/>
    <cellStyle name="Comma 18 4 4 2 5" xfId="43844"/>
    <cellStyle name="Comma 18 4 4 2 6" xfId="43845"/>
    <cellStyle name="Comma 18 4 4 3" xfId="43846"/>
    <cellStyle name="Comma 18 4 4 3 2" xfId="43847"/>
    <cellStyle name="Comma 18 4 4 3 2 2" xfId="43848"/>
    <cellStyle name="Comma 18 4 4 3 2 3" xfId="43849"/>
    <cellStyle name="Comma 18 4 4 3 3" xfId="43850"/>
    <cellStyle name="Comma 18 4 4 3 3 2" xfId="43851"/>
    <cellStyle name="Comma 18 4 4 3 3 3" xfId="43852"/>
    <cellStyle name="Comma 18 4 4 3 4" xfId="43853"/>
    <cellStyle name="Comma 18 4 4 3 4 2" xfId="43854"/>
    <cellStyle name="Comma 18 4 4 3 5" xfId="43855"/>
    <cellStyle name="Comma 18 4 4 3 6" xfId="43856"/>
    <cellStyle name="Comma 18 4 4 4" xfId="43857"/>
    <cellStyle name="Comma 18 4 4 4 2" xfId="43858"/>
    <cellStyle name="Comma 18 4 4 4 2 2" xfId="43859"/>
    <cellStyle name="Comma 18 4 4 4 2 3" xfId="43860"/>
    <cellStyle name="Comma 18 4 4 4 3" xfId="43861"/>
    <cellStyle name="Comma 18 4 4 4 3 2" xfId="43862"/>
    <cellStyle name="Comma 18 4 4 4 4" xfId="43863"/>
    <cellStyle name="Comma 18 4 4 4 5" xfId="43864"/>
    <cellStyle name="Comma 18 4 4 5" xfId="43865"/>
    <cellStyle name="Comma 18 4 4 5 2" xfId="43866"/>
    <cellStyle name="Comma 18 4 4 5 3" xfId="43867"/>
    <cellStyle name="Comma 18 4 4 6" xfId="43868"/>
    <cellStyle name="Comma 18 4 4 6 2" xfId="43869"/>
    <cellStyle name="Comma 18 4 4 6 3" xfId="43870"/>
    <cellStyle name="Comma 18 4 4 7" xfId="43871"/>
    <cellStyle name="Comma 18 4 4 7 2" xfId="43872"/>
    <cellStyle name="Comma 18 4 4 8" xfId="43873"/>
    <cellStyle name="Comma 18 4 4 9" xfId="43874"/>
    <cellStyle name="Comma 18 4 5" xfId="43875"/>
    <cellStyle name="Comma 18 4 5 2" xfId="43876"/>
    <cellStyle name="Comma 18 4 5 2 2" xfId="43877"/>
    <cellStyle name="Comma 18 4 5 2 3" xfId="43878"/>
    <cellStyle name="Comma 18 4 5 3" xfId="43879"/>
    <cellStyle name="Comma 18 4 5 3 2" xfId="43880"/>
    <cellStyle name="Comma 18 4 5 3 3" xfId="43881"/>
    <cellStyle name="Comma 18 4 5 4" xfId="43882"/>
    <cellStyle name="Comma 18 4 5 4 2" xfId="43883"/>
    <cellStyle name="Comma 18 4 5 5" xfId="43884"/>
    <cellStyle name="Comma 18 4 5 6" xfId="43885"/>
    <cellStyle name="Comma 18 4 6" xfId="43886"/>
    <cellStyle name="Comma 18 4 6 2" xfId="43887"/>
    <cellStyle name="Comma 18 4 6 2 2" xfId="43888"/>
    <cellStyle name="Comma 18 4 6 2 3" xfId="43889"/>
    <cellStyle name="Comma 18 4 6 3" xfId="43890"/>
    <cellStyle name="Comma 18 4 6 3 2" xfId="43891"/>
    <cellStyle name="Comma 18 4 6 3 3" xfId="43892"/>
    <cellStyle name="Comma 18 4 6 4" xfId="43893"/>
    <cellStyle name="Comma 18 4 6 4 2" xfId="43894"/>
    <cellStyle name="Comma 18 4 6 5" xfId="43895"/>
    <cellStyle name="Comma 18 4 6 6" xfId="43896"/>
    <cellStyle name="Comma 18 4 7" xfId="43897"/>
    <cellStyle name="Comma 18 4 7 2" xfId="43898"/>
    <cellStyle name="Comma 18 4 7 2 2" xfId="43899"/>
    <cellStyle name="Comma 18 4 7 2 3" xfId="43900"/>
    <cellStyle name="Comma 18 4 7 3" xfId="43901"/>
    <cellStyle name="Comma 18 4 7 3 2" xfId="43902"/>
    <cellStyle name="Comma 18 4 7 4" xfId="43903"/>
    <cellStyle name="Comma 18 4 7 5" xfId="43904"/>
    <cellStyle name="Comma 18 4 8" xfId="43905"/>
    <cellStyle name="Comma 18 4 8 2" xfId="43906"/>
    <cellStyle name="Comma 18 4 8 3" xfId="43907"/>
    <cellStyle name="Comma 18 4 9" xfId="43908"/>
    <cellStyle name="Comma 18 4 9 2" xfId="43909"/>
    <cellStyle name="Comma 18 4 9 3" xfId="43910"/>
    <cellStyle name="Comma 18 5" xfId="43911"/>
    <cellStyle name="Comma 18 5 10" xfId="43912"/>
    <cellStyle name="Comma 18 5 2" xfId="43913"/>
    <cellStyle name="Comma 18 5 2 2" xfId="43914"/>
    <cellStyle name="Comma 18 5 2 2 2" xfId="43915"/>
    <cellStyle name="Comma 18 5 2 2 2 2" xfId="43916"/>
    <cellStyle name="Comma 18 5 2 2 2 3" xfId="43917"/>
    <cellStyle name="Comma 18 5 2 2 3" xfId="43918"/>
    <cellStyle name="Comma 18 5 2 2 3 2" xfId="43919"/>
    <cellStyle name="Comma 18 5 2 2 3 3" xfId="43920"/>
    <cellStyle name="Comma 18 5 2 2 4" xfId="43921"/>
    <cellStyle name="Comma 18 5 2 2 4 2" xfId="43922"/>
    <cellStyle name="Comma 18 5 2 2 5" xfId="43923"/>
    <cellStyle name="Comma 18 5 2 2 6" xfId="43924"/>
    <cellStyle name="Comma 18 5 2 3" xfId="43925"/>
    <cellStyle name="Comma 18 5 2 3 2" xfId="43926"/>
    <cellStyle name="Comma 18 5 2 3 2 2" xfId="43927"/>
    <cellStyle name="Comma 18 5 2 3 2 3" xfId="43928"/>
    <cellStyle name="Comma 18 5 2 3 3" xfId="43929"/>
    <cellStyle name="Comma 18 5 2 3 3 2" xfId="43930"/>
    <cellStyle name="Comma 18 5 2 3 3 3" xfId="43931"/>
    <cellStyle name="Comma 18 5 2 3 4" xfId="43932"/>
    <cellStyle name="Comma 18 5 2 3 4 2" xfId="43933"/>
    <cellStyle name="Comma 18 5 2 3 5" xfId="43934"/>
    <cellStyle name="Comma 18 5 2 3 6" xfId="43935"/>
    <cellStyle name="Comma 18 5 2 4" xfId="43936"/>
    <cellStyle name="Comma 18 5 2 4 2" xfId="43937"/>
    <cellStyle name="Comma 18 5 2 4 2 2" xfId="43938"/>
    <cellStyle name="Comma 18 5 2 4 2 3" xfId="43939"/>
    <cellStyle name="Comma 18 5 2 4 3" xfId="43940"/>
    <cellStyle name="Comma 18 5 2 4 3 2" xfId="43941"/>
    <cellStyle name="Comma 18 5 2 4 4" xfId="43942"/>
    <cellStyle name="Comma 18 5 2 4 5" xfId="43943"/>
    <cellStyle name="Comma 18 5 2 5" xfId="43944"/>
    <cellStyle name="Comma 18 5 2 5 2" xfId="43945"/>
    <cellStyle name="Comma 18 5 2 5 3" xfId="43946"/>
    <cellStyle name="Comma 18 5 2 6" xfId="43947"/>
    <cellStyle name="Comma 18 5 2 6 2" xfId="43948"/>
    <cellStyle name="Comma 18 5 2 6 3" xfId="43949"/>
    <cellStyle name="Comma 18 5 2 7" xfId="43950"/>
    <cellStyle name="Comma 18 5 2 7 2" xfId="43951"/>
    <cellStyle name="Comma 18 5 2 8" xfId="43952"/>
    <cellStyle name="Comma 18 5 2 9" xfId="43953"/>
    <cellStyle name="Comma 18 5 3" xfId="43954"/>
    <cellStyle name="Comma 18 5 3 2" xfId="43955"/>
    <cellStyle name="Comma 18 5 3 2 2" xfId="43956"/>
    <cellStyle name="Comma 18 5 3 2 3" xfId="43957"/>
    <cellStyle name="Comma 18 5 3 3" xfId="43958"/>
    <cellStyle name="Comma 18 5 3 3 2" xfId="43959"/>
    <cellStyle name="Comma 18 5 3 3 3" xfId="43960"/>
    <cellStyle name="Comma 18 5 3 4" xfId="43961"/>
    <cellStyle name="Comma 18 5 3 4 2" xfId="43962"/>
    <cellStyle name="Comma 18 5 3 5" xfId="43963"/>
    <cellStyle name="Comma 18 5 3 6" xfId="43964"/>
    <cellStyle name="Comma 18 5 4" xfId="43965"/>
    <cellStyle name="Comma 18 5 4 2" xfId="43966"/>
    <cellStyle name="Comma 18 5 4 2 2" xfId="43967"/>
    <cellStyle name="Comma 18 5 4 2 3" xfId="43968"/>
    <cellStyle name="Comma 18 5 4 3" xfId="43969"/>
    <cellStyle name="Comma 18 5 4 3 2" xfId="43970"/>
    <cellStyle name="Comma 18 5 4 3 3" xfId="43971"/>
    <cellStyle name="Comma 18 5 4 4" xfId="43972"/>
    <cellStyle name="Comma 18 5 4 4 2" xfId="43973"/>
    <cellStyle name="Comma 18 5 4 5" xfId="43974"/>
    <cellStyle name="Comma 18 5 4 6" xfId="43975"/>
    <cellStyle name="Comma 18 5 5" xfId="43976"/>
    <cellStyle name="Comma 18 5 5 2" xfId="43977"/>
    <cellStyle name="Comma 18 5 5 2 2" xfId="43978"/>
    <cellStyle name="Comma 18 5 5 2 3" xfId="43979"/>
    <cellStyle name="Comma 18 5 5 3" xfId="43980"/>
    <cellStyle name="Comma 18 5 5 3 2" xfId="43981"/>
    <cellStyle name="Comma 18 5 5 4" xfId="43982"/>
    <cellStyle name="Comma 18 5 5 5" xfId="43983"/>
    <cellStyle name="Comma 18 5 6" xfId="43984"/>
    <cellStyle name="Comma 18 5 6 2" xfId="43985"/>
    <cellStyle name="Comma 18 5 6 3" xfId="43986"/>
    <cellStyle name="Comma 18 5 7" xfId="43987"/>
    <cellStyle name="Comma 18 5 7 2" xfId="43988"/>
    <cellStyle name="Comma 18 5 7 3" xfId="43989"/>
    <cellStyle name="Comma 18 5 8" xfId="43990"/>
    <cellStyle name="Comma 18 5 8 2" xfId="43991"/>
    <cellStyle name="Comma 18 5 9" xfId="43992"/>
    <cellStyle name="Comma 18 6" xfId="43993"/>
    <cellStyle name="Comma 18 6 2" xfId="43994"/>
    <cellStyle name="Comma 18 6 2 2" xfId="43995"/>
    <cellStyle name="Comma 18 6 2 2 2" xfId="43996"/>
    <cellStyle name="Comma 18 6 2 2 3" xfId="43997"/>
    <cellStyle name="Comma 18 6 2 3" xfId="43998"/>
    <cellStyle name="Comma 18 6 2 3 2" xfId="43999"/>
    <cellStyle name="Comma 18 6 2 3 3" xfId="44000"/>
    <cellStyle name="Comma 18 6 2 4" xfId="44001"/>
    <cellStyle name="Comma 18 6 2 4 2" xfId="44002"/>
    <cellStyle name="Comma 18 6 2 5" xfId="44003"/>
    <cellStyle name="Comma 18 6 2 6" xfId="44004"/>
    <cellStyle name="Comma 18 6 3" xfId="44005"/>
    <cellStyle name="Comma 18 6 3 2" xfId="44006"/>
    <cellStyle name="Comma 18 6 3 2 2" xfId="44007"/>
    <cellStyle name="Comma 18 6 3 2 3" xfId="44008"/>
    <cellStyle name="Comma 18 6 3 3" xfId="44009"/>
    <cellStyle name="Comma 18 6 3 3 2" xfId="44010"/>
    <cellStyle name="Comma 18 6 3 3 3" xfId="44011"/>
    <cellStyle name="Comma 18 6 3 4" xfId="44012"/>
    <cellStyle name="Comma 18 6 3 4 2" xfId="44013"/>
    <cellStyle name="Comma 18 6 3 5" xfId="44014"/>
    <cellStyle name="Comma 18 6 3 6" xfId="44015"/>
    <cellStyle name="Comma 18 6 4" xfId="44016"/>
    <cellStyle name="Comma 18 6 4 2" xfId="44017"/>
    <cellStyle name="Comma 18 6 4 2 2" xfId="44018"/>
    <cellStyle name="Comma 18 6 4 2 3" xfId="44019"/>
    <cellStyle name="Comma 18 6 4 3" xfId="44020"/>
    <cellStyle name="Comma 18 6 4 3 2" xfId="44021"/>
    <cellStyle name="Comma 18 6 4 4" xfId="44022"/>
    <cellStyle name="Comma 18 6 4 5" xfId="44023"/>
    <cellStyle name="Comma 18 6 5" xfId="44024"/>
    <cellStyle name="Comma 18 6 5 2" xfId="44025"/>
    <cellStyle name="Comma 18 6 5 3" xfId="44026"/>
    <cellStyle name="Comma 18 6 6" xfId="44027"/>
    <cellStyle name="Comma 18 6 6 2" xfId="44028"/>
    <cellStyle name="Comma 18 6 6 3" xfId="44029"/>
    <cellStyle name="Comma 18 6 7" xfId="44030"/>
    <cellStyle name="Comma 18 6 7 2" xfId="44031"/>
    <cellStyle name="Comma 18 6 8" xfId="44032"/>
    <cellStyle name="Comma 18 6 9" xfId="44033"/>
    <cellStyle name="Comma 18 7" xfId="44034"/>
    <cellStyle name="Comma 18 7 2" xfId="44035"/>
    <cellStyle name="Comma 18 7 2 2" xfId="44036"/>
    <cellStyle name="Comma 18 7 2 2 2" xfId="44037"/>
    <cellStyle name="Comma 18 7 2 2 3" xfId="44038"/>
    <cellStyle name="Comma 18 7 2 3" xfId="44039"/>
    <cellStyle name="Comma 18 7 2 3 2" xfId="44040"/>
    <cellStyle name="Comma 18 7 2 3 3" xfId="44041"/>
    <cellStyle name="Comma 18 7 2 4" xfId="44042"/>
    <cellStyle name="Comma 18 7 2 4 2" xfId="44043"/>
    <cellStyle name="Comma 18 7 2 5" xfId="44044"/>
    <cellStyle name="Comma 18 7 2 6" xfId="44045"/>
    <cellStyle name="Comma 18 7 3" xfId="44046"/>
    <cellStyle name="Comma 18 7 3 2" xfId="44047"/>
    <cellStyle name="Comma 18 7 3 2 2" xfId="44048"/>
    <cellStyle name="Comma 18 7 3 2 3" xfId="44049"/>
    <cellStyle name="Comma 18 7 3 3" xfId="44050"/>
    <cellStyle name="Comma 18 7 3 3 2" xfId="44051"/>
    <cellStyle name="Comma 18 7 3 3 3" xfId="44052"/>
    <cellStyle name="Comma 18 7 3 4" xfId="44053"/>
    <cellStyle name="Comma 18 7 3 4 2" xfId="44054"/>
    <cellStyle name="Comma 18 7 3 5" xfId="44055"/>
    <cellStyle name="Comma 18 7 3 6" xfId="44056"/>
    <cellStyle name="Comma 18 7 4" xfId="44057"/>
    <cellStyle name="Comma 18 7 4 2" xfId="44058"/>
    <cellStyle name="Comma 18 7 4 2 2" xfId="44059"/>
    <cellStyle name="Comma 18 7 4 2 3" xfId="44060"/>
    <cellStyle name="Comma 18 7 4 3" xfId="44061"/>
    <cellStyle name="Comma 18 7 4 3 2" xfId="44062"/>
    <cellStyle name="Comma 18 7 4 4" xfId="44063"/>
    <cellStyle name="Comma 18 7 4 5" xfId="44064"/>
    <cellStyle name="Comma 18 7 5" xfId="44065"/>
    <cellStyle name="Comma 18 7 5 2" xfId="44066"/>
    <cellStyle name="Comma 18 7 5 3" xfId="44067"/>
    <cellStyle name="Comma 18 7 6" xfId="44068"/>
    <cellStyle name="Comma 18 7 6 2" xfId="44069"/>
    <cellStyle name="Comma 18 7 6 3" xfId="44070"/>
    <cellStyle name="Comma 18 7 7" xfId="44071"/>
    <cellStyle name="Comma 18 7 7 2" xfId="44072"/>
    <cellStyle name="Comma 18 7 8" xfId="44073"/>
    <cellStyle name="Comma 18 7 9" xfId="44074"/>
    <cellStyle name="Comma 18 8" xfId="44075"/>
    <cellStyle name="Comma 18 8 2" xfId="44076"/>
    <cellStyle name="Comma 18 8 2 2" xfId="44077"/>
    <cellStyle name="Comma 18 8 2 3" xfId="44078"/>
    <cellStyle name="Comma 18 8 3" xfId="44079"/>
    <cellStyle name="Comma 18 8 3 2" xfId="44080"/>
    <cellStyle name="Comma 18 8 3 3" xfId="44081"/>
    <cellStyle name="Comma 18 8 4" xfId="44082"/>
    <cellStyle name="Comma 18 8 4 2" xfId="44083"/>
    <cellStyle name="Comma 18 8 5" xfId="44084"/>
    <cellStyle name="Comma 18 8 6" xfId="44085"/>
    <cellStyle name="Comma 18 9" xfId="44086"/>
    <cellStyle name="Comma 18 9 2" xfId="44087"/>
    <cellStyle name="Comma 18 9 2 2" xfId="44088"/>
    <cellStyle name="Comma 18 9 2 3" xfId="44089"/>
    <cellStyle name="Comma 18 9 3" xfId="44090"/>
    <cellStyle name="Comma 18 9 3 2" xfId="44091"/>
    <cellStyle name="Comma 18 9 3 3" xfId="44092"/>
    <cellStyle name="Comma 18 9 4" xfId="44093"/>
    <cellStyle name="Comma 18 9 4 2" xfId="44094"/>
    <cellStyle name="Comma 18 9 5" xfId="44095"/>
    <cellStyle name="Comma 18 9 6" xfId="44096"/>
    <cellStyle name="Comma 19" xfId="3249"/>
    <cellStyle name="Comma 19 2" xfId="3250"/>
    <cellStyle name="Comma 19 2 2" xfId="44097"/>
    <cellStyle name="Comma 19 2 2 2" xfId="44098"/>
    <cellStyle name="Comma 19 2 3" xfId="44099"/>
    <cellStyle name="Comma 19 3" xfId="44100"/>
    <cellStyle name="Comma 19 3 2" xfId="44101"/>
    <cellStyle name="Comma 19 4" xfId="44102"/>
    <cellStyle name="Comma 19 4 2" xfId="44103"/>
    <cellStyle name="Comma 19 5" xfId="44104"/>
    <cellStyle name="Comma 19 6" xfId="44105"/>
    <cellStyle name="Comma 2" xfId="3251"/>
    <cellStyle name="Comma 2 10" xfId="3252"/>
    <cellStyle name="Comma 2 10 2" xfId="3253"/>
    <cellStyle name="Comma 2 10 2 2" xfId="3254"/>
    <cellStyle name="Comma 2 10 2 2 2" xfId="58471"/>
    <cellStyle name="Comma 2 10 2 3" xfId="58472"/>
    <cellStyle name="Comma 2 10 2 4" xfId="58473"/>
    <cellStyle name="Comma 2 10 2 5" xfId="58474"/>
    <cellStyle name="Comma 2 10 3" xfId="3255"/>
    <cellStyle name="Comma 2 10 3 2" xfId="58475"/>
    <cellStyle name="Comma 2 10 3 2 2" xfId="58476"/>
    <cellStyle name="Comma 2 10 3 3" xfId="58477"/>
    <cellStyle name="Comma 2 10 3 4" xfId="58478"/>
    <cellStyle name="Comma 2 10 3 5" xfId="58479"/>
    <cellStyle name="Comma 2 10 4" xfId="58480"/>
    <cellStyle name="Comma 2 11" xfId="3256"/>
    <cellStyle name="Comma 2 11 2" xfId="3257"/>
    <cellStyle name="Comma 2 11 2 2" xfId="58481"/>
    <cellStyle name="Comma 2 11 2 2 2" xfId="58482"/>
    <cellStyle name="Comma 2 11 2 3" xfId="58483"/>
    <cellStyle name="Comma 2 11 2 4" xfId="58484"/>
    <cellStyle name="Comma 2 11 2 5" xfId="58485"/>
    <cellStyle name="Comma 2 11 2 6" xfId="58486"/>
    <cellStyle name="Comma 2 11 3" xfId="58487"/>
    <cellStyle name="Comma 2 12" xfId="3258"/>
    <cellStyle name="Comma 2 12 2" xfId="3259"/>
    <cellStyle name="Comma 2 12 3" xfId="58488"/>
    <cellStyle name="Comma 2 13" xfId="3260"/>
    <cellStyle name="Comma 2 13 2" xfId="58489"/>
    <cellStyle name="Comma 2 14" xfId="3261"/>
    <cellStyle name="Comma 2 14 2" xfId="58490"/>
    <cellStyle name="Comma 2 15" xfId="3262"/>
    <cellStyle name="Comma 2 15 2" xfId="58491"/>
    <cellStyle name="Comma 2 16" xfId="61976"/>
    <cellStyle name="Comma 2 2" xfId="2"/>
    <cellStyle name="Comma 2 2 2" xfId="3263"/>
    <cellStyle name="Comma 2 2 2 2" xfId="3264"/>
    <cellStyle name="Comma 2 2 2 2 2" xfId="3265"/>
    <cellStyle name="Comma 2 2 2 2 2 2" xfId="58492"/>
    <cellStyle name="Comma 2 2 2 2 2 2 2" xfId="58493"/>
    <cellStyle name="Comma 2 2 2 2 2 3" xfId="58494"/>
    <cellStyle name="Comma 2 2 2 2 2 4" xfId="58495"/>
    <cellStyle name="Comma 2 2 2 2 3" xfId="44106"/>
    <cellStyle name="Comma 2 2 2 2 3 2" xfId="58496"/>
    <cellStyle name="Comma 2 2 2 2 4" xfId="58497"/>
    <cellStyle name="Comma 2 2 2 2 5" xfId="58498"/>
    <cellStyle name="Comma 2 2 2 2 6" xfId="58499"/>
    <cellStyle name="Comma 2 2 2 3" xfId="3266"/>
    <cellStyle name="Comma 2 2 2 3 2" xfId="44107"/>
    <cellStyle name="Comma 2 2 2 3 2 2" xfId="58500"/>
    <cellStyle name="Comma 2 2 2 3 3" xfId="58501"/>
    <cellStyle name="Comma 2 2 2 3 4" xfId="58502"/>
    <cellStyle name="Comma 2 2 2 4" xfId="3267"/>
    <cellStyle name="Comma 2 2 2 4 2" xfId="58503"/>
    <cellStyle name="Comma 2 2 2 5" xfId="44108"/>
    <cellStyle name="Comma 2 2 2 5 2" xfId="58504"/>
    <cellStyle name="Comma 2 2 2 6" xfId="58505"/>
    <cellStyle name="Comma 2 2 2 7" xfId="58506"/>
    <cellStyle name="Comma 2 2 2 8" xfId="58507"/>
    <cellStyle name="Comma 2 2 3" xfId="3268"/>
    <cellStyle name="Comma 2 2 3 2" xfId="8229"/>
    <cellStyle name="Comma 2 2 3 2 2" xfId="44109"/>
    <cellStyle name="Comma 2 2 3 3" xfId="44110"/>
    <cellStyle name="Comma 2 2 3 3 2" xfId="44111"/>
    <cellStyle name="Comma 2 2 4" xfId="9606"/>
    <cellStyle name="Comma 2 2 4 2" xfId="44112"/>
    <cellStyle name="Comma 2 2 4 2 2" xfId="44113"/>
    <cellStyle name="Comma 2 2 4 3" xfId="44114"/>
    <cellStyle name="Comma 2 2 5" xfId="44115"/>
    <cellStyle name="Comma 2 2 5 2" xfId="44116"/>
    <cellStyle name="Comma 2 2 6" xfId="44117"/>
    <cellStyle name="Comma 2 2 6 2" xfId="44118"/>
    <cellStyle name="Comma 2 3" xfId="3269"/>
    <cellStyle name="Comma 2 3 2" xfId="3270"/>
    <cellStyle name="Comma 2 3 2 2" xfId="3271"/>
    <cellStyle name="Comma 2 3 2 2 2" xfId="3272"/>
    <cellStyle name="Comma 2 3 2 2 2 2" xfId="3273"/>
    <cellStyle name="Comma 2 3 2 2 2 2 2" xfId="3274"/>
    <cellStyle name="Comma 2 3 2 2 2 3" xfId="3275"/>
    <cellStyle name="Comma 2 3 2 2 3" xfId="3276"/>
    <cellStyle name="Comma 2 3 2 2 3 2" xfId="3277"/>
    <cellStyle name="Comma 2 3 2 2 4" xfId="3278"/>
    <cellStyle name="Comma 2 3 2 2 5" xfId="3279"/>
    <cellStyle name="Comma 2 3 2 2 6" xfId="58508"/>
    <cellStyle name="Comma 2 3 2 3" xfId="3280"/>
    <cellStyle name="Comma 2 3 2 3 2" xfId="3281"/>
    <cellStyle name="Comma 2 3 2 3 2 2" xfId="3282"/>
    <cellStyle name="Comma 2 3 2 3 3" xfId="3283"/>
    <cellStyle name="Comma 2 3 2 3 4" xfId="3284"/>
    <cellStyle name="Comma 2 3 2 4" xfId="3285"/>
    <cellStyle name="Comma 2 3 2 4 2" xfId="3286"/>
    <cellStyle name="Comma 2 3 2 5" xfId="3287"/>
    <cellStyle name="Comma 2 3 2 5 2" xfId="58509"/>
    <cellStyle name="Comma 2 3 2 6" xfId="3288"/>
    <cellStyle name="Comma 2 3 2 7" xfId="58510"/>
    <cellStyle name="Comma 2 3 2 8" xfId="58511"/>
    <cellStyle name="Comma 2 3 3" xfId="3289"/>
    <cellStyle name="Comma 2 3 3 2" xfId="3290"/>
    <cellStyle name="Comma 2 3 3 2 2" xfId="3291"/>
    <cellStyle name="Comma 2 3 3 2 2 2" xfId="3292"/>
    <cellStyle name="Comma 2 3 3 2 3" xfId="3293"/>
    <cellStyle name="Comma 2 3 3 3" xfId="3294"/>
    <cellStyle name="Comma 2 3 3 3 2" xfId="3295"/>
    <cellStyle name="Comma 2 3 3 4" xfId="3296"/>
    <cellStyle name="Comma 2 3 3 5" xfId="3297"/>
    <cellStyle name="Comma 2 3 3 6" xfId="58512"/>
    <cellStyle name="Comma 2 3 4" xfId="3298"/>
    <cellStyle name="Comma 2 3 4 2" xfId="3299"/>
    <cellStyle name="Comma 2 3 4 2 2" xfId="3300"/>
    <cellStyle name="Comma 2 3 4 3" xfId="3301"/>
    <cellStyle name="Comma 2 3 4 4" xfId="3302"/>
    <cellStyle name="Comma 2 3 5" xfId="3303"/>
    <cellStyle name="Comma 2 3 5 2" xfId="3304"/>
    <cellStyle name="Comma 2 3 6" xfId="3305"/>
    <cellStyle name="Comma 2 3 7" xfId="3306"/>
    <cellStyle name="Comma 2 3 8" xfId="9050"/>
    <cellStyle name="Comma 2 4" xfId="3307"/>
    <cellStyle name="Comma 2 4 2" xfId="3308"/>
    <cellStyle name="Comma 2 4 2 10" xfId="58513"/>
    <cellStyle name="Comma 2 4 2 2" xfId="3309"/>
    <cellStyle name="Comma 2 4 2 2 2" xfId="3310"/>
    <cellStyle name="Comma 2 4 2 2 2 2" xfId="3311"/>
    <cellStyle name="Comma 2 4 2 2 2 2 2" xfId="3312"/>
    <cellStyle name="Comma 2 4 2 2 2 2 2 2" xfId="8230"/>
    <cellStyle name="Comma 2 4 2 2 2 2 2 3" xfId="58514"/>
    <cellStyle name="Comma 2 4 2 2 2 2 3" xfId="8231"/>
    <cellStyle name="Comma 2 4 2 2 2 2 3 2" xfId="58515"/>
    <cellStyle name="Comma 2 4 2 2 2 2 4" xfId="58516"/>
    <cellStyle name="Comma 2 4 2 2 2 2 5" xfId="58517"/>
    <cellStyle name="Comma 2 4 2 2 2 3" xfId="3313"/>
    <cellStyle name="Comma 2 4 2 2 2 3 2" xfId="8232"/>
    <cellStyle name="Comma 2 4 2 2 2 3 3" xfId="58518"/>
    <cellStyle name="Comma 2 4 2 2 2 4" xfId="8233"/>
    <cellStyle name="Comma 2 4 2 2 2 4 2" xfId="58519"/>
    <cellStyle name="Comma 2 4 2 2 2 5" xfId="58520"/>
    <cellStyle name="Comma 2 4 2 2 2 6" xfId="58521"/>
    <cellStyle name="Comma 2 4 2 2 3" xfId="3314"/>
    <cellStyle name="Comma 2 4 2 2 3 2" xfId="3315"/>
    <cellStyle name="Comma 2 4 2 2 3 2 2" xfId="8234"/>
    <cellStyle name="Comma 2 4 2 2 3 2 2 2" xfId="58522"/>
    <cellStyle name="Comma 2 4 2 2 3 2 3" xfId="58523"/>
    <cellStyle name="Comma 2 4 2 2 3 2 4" xfId="58524"/>
    <cellStyle name="Comma 2 4 2 2 3 2 5" xfId="58525"/>
    <cellStyle name="Comma 2 4 2 2 3 3" xfId="8235"/>
    <cellStyle name="Comma 2 4 2 2 3 3 2" xfId="58526"/>
    <cellStyle name="Comma 2 4 2 2 3 4" xfId="58527"/>
    <cellStyle name="Comma 2 4 2 2 3 5" xfId="58528"/>
    <cellStyle name="Comma 2 4 2 2 3 6" xfId="58529"/>
    <cellStyle name="Comma 2 4 2 2 4" xfId="3316"/>
    <cellStyle name="Comma 2 4 2 2 4 2" xfId="8236"/>
    <cellStyle name="Comma 2 4 2 2 4 2 2" xfId="58530"/>
    <cellStyle name="Comma 2 4 2 2 4 3" xfId="58531"/>
    <cellStyle name="Comma 2 4 2 2 4 4" xfId="58532"/>
    <cellStyle name="Comma 2 4 2 2 4 5" xfId="58533"/>
    <cellStyle name="Comma 2 4 2 2 5" xfId="8237"/>
    <cellStyle name="Comma 2 4 2 2 5 2" xfId="8238"/>
    <cellStyle name="Comma 2 4 2 2 5 2 2" xfId="58534"/>
    <cellStyle name="Comma 2 4 2 2 5 3" xfId="58535"/>
    <cellStyle name="Comma 2 4 2 2 5 4" xfId="58536"/>
    <cellStyle name="Comma 2 4 2 2 5 5" xfId="58537"/>
    <cellStyle name="Comma 2 4 2 2 6" xfId="8239"/>
    <cellStyle name="Comma 2 4 2 2 6 2" xfId="58538"/>
    <cellStyle name="Comma 2 4 2 2 7" xfId="58539"/>
    <cellStyle name="Comma 2 4 2 2 8" xfId="58540"/>
    <cellStyle name="Comma 2 4 2 2 9" xfId="58541"/>
    <cellStyle name="Comma 2 4 2 3" xfId="3317"/>
    <cellStyle name="Comma 2 4 2 3 2" xfId="3318"/>
    <cellStyle name="Comma 2 4 2 3 2 2" xfId="3319"/>
    <cellStyle name="Comma 2 4 2 3 2 2 2" xfId="8240"/>
    <cellStyle name="Comma 2 4 2 3 2 2 3" xfId="58542"/>
    <cellStyle name="Comma 2 4 2 3 2 3" xfId="8241"/>
    <cellStyle name="Comma 2 4 2 3 2 3 2" xfId="58543"/>
    <cellStyle name="Comma 2 4 2 3 2 4" xfId="58544"/>
    <cellStyle name="Comma 2 4 2 3 2 5" xfId="58545"/>
    <cellStyle name="Comma 2 4 2 3 3" xfId="3320"/>
    <cellStyle name="Comma 2 4 2 3 3 2" xfId="8242"/>
    <cellStyle name="Comma 2 4 2 3 3 3" xfId="58546"/>
    <cellStyle name="Comma 2 4 2 3 4" xfId="8243"/>
    <cellStyle name="Comma 2 4 2 3 4 2" xfId="58547"/>
    <cellStyle name="Comma 2 4 2 3 5" xfId="58548"/>
    <cellStyle name="Comma 2 4 2 3 6" xfId="58549"/>
    <cellStyle name="Comma 2 4 2 4" xfId="3321"/>
    <cellStyle name="Comma 2 4 2 4 2" xfId="3322"/>
    <cellStyle name="Comma 2 4 2 4 2 2" xfId="8244"/>
    <cellStyle name="Comma 2 4 2 4 2 2 2" xfId="58550"/>
    <cellStyle name="Comma 2 4 2 4 2 3" xfId="58551"/>
    <cellStyle name="Comma 2 4 2 4 2 4" xfId="58552"/>
    <cellStyle name="Comma 2 4 2 4 2 5" xfId="58553"/>
    <cellStyle name="Comma 2 4 2 4 3" xfId="8245"/>
    <cellStyle name="Comma 2 4 2 4 3 2" xfId="58554"/>
    <cellStyle name="Comma 2 4 2 4 4" xfId="58555"/>
    <cellStyle name="Comma 2 4 2 4 5" xfId="58556"/>
    <cellStyle name="Comma 2 4 2 4 6" xfId="58557"/>
    <cellStyle name="Comma 2 4 2 5" xfId="3323"/>
    <cellStyle name="Comma 2 4 2 5 2" xfId="8246"/>
    <cellStyle name="Comma 2 4 2 5 2 2" xfId="58558"/>
    <cellStyle name="Comma 2 4 2 5 3" xfId="58559"/>
    <cellStyle name="Comma 2 4 2 5 4" xfId="58560"/>
    <cellStyle name="Comma 2 4 2 5 5" xfId="58561"/>
    <cellStyle name="Comma 2 4 2 6" xfId="8247"/>
    <cellStyle name="Comma 2 4 2 6 2" xfId="8248"/>
    <cellStyle name="Comma 2 4 2 6 2 2" xfId="58562"/>
    <cellStyle name="Comma 2 4 2 6 3" xfId="58563"/>
    <cellStyle name="Comma 2 4 2 6 4" xfId="58564"/>
    <cellStyle name="Comma 2 4 2 6 5" xfId="58565"/>
    <cellStyle name="Comma 2 4 2 7" xfId="8249"/>
    <cellStyle name="Comma 2 4 2 7 2" xfId="58566"/>
    <cellStyle name="Comma 2 4 2 8" xfId="44119"/>
    <cellStyle name="Comma 2 4 2 9" xfId="58567"/>
    <cellStyle name="Comma 2 4 3" xfId="3324"/>
    <cellStyle name="Comma 2 4 3 2" xfId="3325"/>
    <cellStyle name="Comma 2 4 3 2 2" xfId="3326"/>
    <cellStyle name="Comma 2 4 3 2 2 2" xfId="3327"/>
    <cellStyle name="Comma 2 4 3 2 2 2 2" xfId="8250"/>
    <cellStyle name="Comma 2 4 3 2 2 2 3" xfId="58568"/>
    <cellStyle name="Comma 2 4 3 2 2 3" xfId="8251"/>
    <cellStyle name="Comma 2 4 3 2 2 3 2" xfId="58569"/>
    <cellStyle name="Comma 2 4 3 2 2 4" xfId="58570"/>
    <cellStyle name="Comma 2 4 3 2 2 5" xfId="58571"/>
    <cellStyle name="Comma 2 4 3 2 3" xfId="3328"/>
    <cellStyle name="Comma 2 4 3 2 3 2" xfId="8252"/>
    <cellStyle name="Comma 2 4 3 2 3 3" xfId="58572"/>
    <cellStyle name="Comma 2 4 3 2 4" xfId="8253"/>
    <cellStyle name="Comma 2 4 3 2 4 2" xfId="58573"/>
    <cellStyle name="Comma 2 4 3 2 5" xfId="58574"/>
    <cellStyle name="Comma 2 4 3 2 6" xfId="58575"/>
    <cellStyle name="Comma 2 4 3 3" xfId="3329"/>
    <cellStyle name="Comma 2 4 3 3 2" xfId="3330"/>
    <cellStyle name="Comma 2 4 3 3 2 2" xfId="8254"/>
    <cellStyle name="Comma 2 4 3 3 2 2 2" xfId="58576"/>
    <cellStyle name="Comma 2 4 3 3 2 3" xfId="58577"/>
    <cellStyle name="Comma 2 4 3 3 2 4" xfId="58578"/>
    <cellStyle name="Comma 2 4 3 3 2 5" xfId="58579"/>
    <cellStyle name="Comma 2 4 3 3 3" xfId="8255"/>
    <cellStyle name="Comma 2 4 3 3 3 2" xfId="58580"/>
    <cellStyle name="Comma 2 4 3 3 4" xfId="58581"/>
    <cellStyle name="Comma 2 4 3 3 5" xfId="58582"/>
    <cellStyle name="Comma 2 4 3 3 6" xfId="58583"/>
    <cellStyle name="Comma 2 4 3 4" xfId="3331"/>
    <cellStyle name="Comma 2 4 3 4 2" xfId="8256"/>
    <cellStyle name="Comma 2 4 3 4 2 2" xfId="58584"/>
    <cellStyle name="Comma 2 4 3 4 3" xfId="58585"/>
    <cellStyle name="Comma 2 4 3 4 4" xfId="58586"/>
    <cellStyle name="Comma 2 4 3 4 5" xfId="58587"/>
    <cellStyle name="Comma 2 4 3 5" xfId="8257"/>
    <cellStyle name="Comma 2 4 3 5 2" xfId="8258"/>
    <cellStyle name="Comma 2 4 3 5 2 2" xfId="58588"/>
    <cellStyle name="Comma 2 4 3 5 3" xfId="58589"/>
    <cellStyle name="Comma 2 4 3 5 4" xfId="58590"/>
    <cellStyle name="Comma 2 4 3 5 5" xfId="58591"/>
    <cellStyle name="Comma 2 4 3 6" xfId="8259"/>
    <cellStyle name="Comma 2 4 3 6 2" xfId="58592"/>
    <cellStyle name="Comma 2 4 3 7" xfId="44120"/>
    <cellStyle name="Comma 2 4 3 8" xfId="58593"/>
    <cellStyle name="Comma 2 4 3 9" xfId="58594"/>
    <cellStyle name="Comma 2 4 4" xfId="3332"/>
    <cellStyle name="Comma 2 4 4 2" xfId="3333"/>
    <cellStyle name="Comma 2 4 4 2 2" xfId="3334"/>
    <cellStyle name="Comma 2 4 4 2 2 2" xfId="8260"/>
    <cellStyle name="Comma 2 4 4 2 2 3" xfId="58595"/>
    <cellStyle name="Comma 2 4 4 2 3" xfId="8261"/>
    <cellStyle name="Comma 2 4 4 2 3 2" xfId="58596"/>
    <cellStyle name="Comma 2 4 4 2 4" xfId="58597"/>
    <cellStyle name="Comma 2 4 4 2 5" xfId="58598"/>
    <cellStyle name="Comma 2 4 4 3" xfId="3335"/>
    <cellStyle name="Comma 2 4 4 3 2" xfId="8262"/>
    <cellStyle name="Comma 2 4 4 3 3" xfId="58599"/>
    <cellStyle name="Comma 2 4 4 4" xfId="8263"/>
    <cellStyle name="Comma 2 4 4 4 2" xfId="58600"/>
    <cellStyle name="Comma 2 4 4 5" xfId="58601"/>
    <cellStyle name="Comma 2 4 4 6" xfId="58602"/>
    <cellStyle name="Comma 2 4 5" xfId="3336"/>
    <cellStyle name="Comma 2 4 5 2" xfId="3337"/>
    <cellStyle name="Comma 2 4 5 2 2" xfId="8264"/>
    <cellStyle name="Comma 2 4 5 2 2 2" xfId="58603"/>
    <cellStyle name="Comma 2 4 5 2 3" xfId="58604"/>
    <cellStyle name="Comma 2 4 5 2 4" xfId="58605"/>
    <cellStyle name="Comma 2 4 5 2 5" xfId="58606"/>
    <cellStyle name="Comma 2 4 5 3" xfId="8265"/>
    <cellStyle name="Comma 2 4 5 3 2" xfId="58607"/>
    <cellStyle name="Comma 2 4 5 4" xfId="58608"/>
    <cellStyle name="Comma 2 4 5 5" xfId="58609"/>
    <cellStyle name="Comma 2 4 5 6" xfId="58610"/>
    <cellStyle name="Comma 2 4 6" xfId="3338"/>
    <cellStyle name="Comma 2 4 6 2" xfId="8266"/>
    <cellStyle name="Comma 2 4 6 2 2" xfId="58611"/>
    <cellStyle name="Comma 2 4 6 3" xfId="58612"/>
    <cellStyle name="Comma 2 4 6 4" xfId="58613"/>
    <cellStyle name="Comma 2 4 6 5" xfId="58614"/>
    <cellStyle name="Comma 2 4 7" xfId="8267"/>
    <cellStyle name="Comma 2 4 7 2" xfId="8268"/>
    <cellStyle name="Comma 2 4 7 2 2" xfId="58615"/>
    <cellStyle name="Comma 2 4 7 3" xfId="58616"/>
    <cellStyle name="Comma 2 4 7 4" xfId="58617"/>
    <cellStyle name="Comma 2 4 7 5" xfId="58618"/>
    <cellStyle name="Comma 2 4 8" xfId="8269"/>
    <cellStyle name="Comma 2 4 8 2" xfId="58619"/>
    <cellStyle name="Comma 2 4 8 2 2" xfId="58620"/>
    <cellStyle name="Comma 2 4 8 3" xfId="58621"/>
    <cellStyle name="Comma 2 4 8 4" xfId="58622"/>
    <cellStyle name="Comma 2 4 8 5" xfId="58623"/>
    <cellStyle name="Comma 2 4 9" xfId="58624"/>
    <cellStyle name="Comma 2 5" xfId="3339"/>
    <cellStyle name="Comma 2 5 2" xfId="3340"/>
    <cellStyle name="Comma 2 5 2 10" xfId="58625"/>
    <cellStyle name="Comma 2 5 2 2" xfId="3341"/>
    <cellStyle name="Comma 2 5 2 2 2" xfId="3342"/>
    <cellStyle name="Comma 2 5 2 2 2 2" xfId="3343"/>
    <cellStyle name="Comma 2 5 2 2 2 2 2" xfId="8270"/>
    <cellStyle name="Comma 2 5 2 2 2 2 2 2" xfId="8271"/>
    <cellStyle name="Comma 2 5 2 2 2 2 2 3" xfId="58626"/>
    <cellStyle name="Comma 2 5 2 2 2 2 3" xfId="8272"/>
    <cellStyle name="Comma 2 5 2 2 2 2 3 2" xfId="58627"/>
    <cellStyle name="Comma 2 5 2 2 2 2 4" xfId="58628"/>
    <cellStyle name="Comma 2 5 2 2 2 2 5" xfId="58629"/>
    <cellStyle name="Comma 2 5 2 2 2 3" xfId="8273"/>
    <cellStyle name="Comma 2 5 2 2 2 3 2" xfId="8274"/>
    <cellStyle name="Comma 2 5 2 2 2 3 3" xfId="58630"/>
    <cellStyle name="Comma 2 5 2 2 2 4" xfId="8275"/>
    <cellStyle name="Comma 2 5 2 2 2 4 2" xfId="58631"/>
    <cellStyle name="Comma 2 5 2 2 2 5" xfId="58632"/>
    <cellStyle name="Comma 2 5 2 2 2 6" xfId="58633"/>
    <cellStyle name="Comma 2 5 2 2 3" xfId="3344"/>
    <cellStyle name="Comma 2 5 2 2 3 2" xfId="8276"/>
    <cellStyle name="Comma 2 5 2 2 3 2 2" xfId="8277"/>
    <cellStyle name="Comma 2 5 2 2 3 2 2 2" xfId="58634"/>
    <cellStyle name="Comma 2 5 2 2 3 2 3" xfId="58635"/>
    <cellStyle name="Comma 2 5 2 2 3 2 4" xfId="58636"/>
    <cellStyle name="Comma 2 5 2 2 3 2 5" xfId="58637"/>
    <cellStyle name="Comma 2 5 2 2 3 3" xfId="8278"/>
    <cellStyle name="Comma 2 5 2 2 3 3 2" xfId="58638"/>
    <cellStyle name="Comma 2 5 2 2 3 4" xfId="58639"/>
    <cellStyle name="Comma 2 5 2 2 3 5" xfId="58640"/>
    <cellStyle name="Comma 2 5 2 2 3 6" xfId="58641"/>
    <cellStyle name="Comma 2 5 2 2 4" xfId="8279"/>
    <cellStyle name="Comma 2 5 2 2 4 2" xfId="8280"/>
    <cellStyle name="Comma 2 5 2 2 4 2 2" xfId="58642"/>
    <cellStyle name="Comma 2 5 2 2 4 3" xfId="58643"/>
    <cellStyle name="Comma 2 5 2 2 4 4" xfId="58644"/>
    <cellStyle name="Comma 2 5 2 2 4 5" xfId="58645"/>
    <cellStyle name="Comma 2 5 2 2 5" xfId="8281"/>
    <cellStyle name="Comma 2 5 2 2 5 2" xfId="8282"/>
    <cellStyle name="Comma 2 5 2 2 5 2 2" xfId="58646"/>
    <cellStyle name="Comma 2 5 2 2 5 3" xfId="58647"/>
    <cellStyle name="Comma 2 5 2 2 5 4" xfId="58648"/>
    <cellStyle name="Comma 2 5 2 2 5 5" xfId="58649"/>
    <cellStyle name="Comma 2 5 2 2 6" xfId="8283"/>
    <cellStyle name="Comma 2 5 2 2 6 2" xfId="58650"/>
    <cellStyle name="Comma 2 5 2 2 7" xfId="58651"/>
    <cellStyle name="Comma 2 5 2 2 8" xfId="58652"/>
    <cellStyle name="Comma 2 5 2 2 9" xfId="58653"/>
    <cellStyle name="Comma 2 5 2 3" xfId="3345"/>
    <cellStyle name="Comma 2 5 2 3 2" xfId="3346"/>
    <cellStyle name="Comma 2 5 2 3 2 2" xfId="8284"/>
    <cellStyle name="Comma 2 5 2 3 2 2 2" xfId="8285"/>
    <cellStyle name="Comma 2 5 2 3 2 2 3" xfId="58654"/>
    <cellStyle name="Comma 2 5 2 3 2 3" xfId="8286"/>
    <cellStyle name="Comma 2 5 2 3 2 3 2" xfId="58655"/>
    <cellStyle name="Comma 2 5 2 3 2 4" xfId="58656"/>
    <cellStyle name="Comma 2 5 2 3 2 5" xfId="58657"/>
    <cellStyle name="Comma 2 5 2 3 3" xfId="8287"/>
    <cellStyle name="Comma 2 5 2 3 3 2" xfId="8288"/>
    <cellStyle name="Comma 2 5 2 3 3 3" xfId="58658"/>
    <cellStyle name="Comma 2 5 2 3 4" xfId="8289"/>
    <cellStyle name="Comma 2 5 2 3 4 2" xfId="58659"/>
    <cellStyle name="Comma 2 5 2 3 5" xfId="58660"/>
    <cellStyle name="Comma 2 5 2 3 6" xfId="58661"/>
    <cellStyle name="Comma 2 5 2 4" xfId="3347"/>
    <cellStyle name="Comma 2 5 2 4 2" xfId="8290"/>
    <cellStyle name="Comma 2 5 2 4 2 2" xfId="8291"/>
    <cellStyle name="Comma 2 5 2 4 2 2 2" xfId="58662"/>
    <cellStyle name="Comma 2 5 2 4 2 3" xfId="58663"/>
    <cellStyle name="Comma 2 5 2 4 2 4" xfId="58664"/>
    <cellStyle name="Comma 2 5 2 4 2 5" xfId="58665"/>
    <cellStyle name="Comma 2 5 2 4 3" xfId="8292"/>
    <cellStyle name="Comma 2 5 2 4 3 2" xfId="58666"/>
    <cellStyle name="Comma 2 5 2 4 4" xfId="58667"/>
    <cellStyle name="Comma 2 5 2 4 5" xfId="58668"/>
    <cellStyle name="Comma 2 5 2 4 6" xfId="58669"/>
    <cellStyle name="Comma 2 5 2 5" xfId="8293"/>
    <cellStyle name="Comma 2 5 2 5 2" xfId="8294"/>
    <cellStyle name="Comma 2 5 2 5 2 2" xfId="58670"/>
    <cellStyle name="Comma 2 5 2 5 3" xfId="58671"/>
    <cellStyle name="Comma 2 5 2 5 4" xfId="58672"/>
    <cellStyle name="Comma 2 5 2 5 5" xfId="58673"/>
    <cellStyle name="Comma 2 5 2 6" xfId="8295"/>
    <cellStyle name="Comma 2 5 2 6 2" xfId="8296"/>
    <cellStyle name="Comma 2 5 2 6 2 2" xfId="58674"/>
    <cellStyle name="Comma 2 5 2 6 3" xfId="58675"/>
    <cellStyle name="Comma 2 5 2 6 4" xfId="58676"/>
    <cellStyle name="Comma 2 5 2 6 5" xfId="58677"/>
    <cellStyle name="Comma 2 5 2 7" xfId="8297"/>
    <cellStyle name="Comma 2 5 2 7 2" xfId="58678"/>
    <cellStyle name="Comma 2 5 2 8" xfId="44121"/>
    <cellStyle name="Comma 2 5 2 9" xfId="58679"/>
    <cellStyle name="Comma 2 5 3" xfId="3348"/>
    <cellStyle name="Comma 2 5 3 2" xfId="3349"/>
    <cellStyle name="Comma 2 5 3 2 2" xfId="3350"/>
    <cellStyle name="Comma 2 5 3 2 2 2" xfId="8298"/>
    <cellStyle name="Comma 2 5 3 2 2 2 2" xfId="8299"/>
    <cellStyle name="Comma 2 5 3 2 2 2 3" xfId="58680"/>
    <cellStyle name="Comma 2 5 3 2 2 3" xfId="8300"/>
    <cellStyle name="Comma 2 5 3 2 2 3 2" xfId="58681"/>
    <cellStyle name="Comma 2 5 3 2 2 4" xfId="58682"/>
    <cellStyle name="Comma 2 5 3 2 2 5" xfId="58683"/>
    <cellStyle name="Comma 2 5 3 2 3" xfId="8301"/>
    <cellStyle name="Comma 2 5 3 2 3 2" xfId="8302"/>
    <cellStyle name="Comma 2 5 3 2 3 3" xfId="58684"/>
    <cellStyle name="Comma 2 5 3 2 4" xfId="8303"/>
    <cellStyle name="Comma 2 5 3 2 4 2" xfId="58685"/>
    <cellStyle name="Comma 2 5 3 2 5" xfId="58686"/>
    <cellStyle name="Comma 2 5 3 2 6" xfId="58687"/>
    <cellStyle name="Comma 2 5 3 3" xfId="3351"/>
    <cellStyle name="Comma 2 5 3 3 2" xfId="8304"/>
    <cellStyle name="Comma 2 5 3 3 2 2" xfId="8305"/>
    <cellStyle name="Comma 2 5 3 3 2 2 2" xfId="58688"/>
    <cellStyle name="Comma 2 5 3 3 2 3" xfId="58689"/>
    <cellStyle name="Comma 2 5 3 3 2 4" xfId="58690"/>
    <cellStyle name="Comma 2 5 3 3 2 5" xfId="58691"/>
    <cellStyle name="Comma 2 5 3 3 3" xfId="8306"/>
    <cellStyle name="Comma 2 5 3 3 3 2" xfId="58692"/>
    <cellStyle name="Comma 2 5 3 3 4" xfId="58693"/>
    <cellStyle name="Comma 2 5 3 3 5" xfId="58694"/>
    <cellStyle name="Comma 2 5 3 3 6" xfId="58695"/>
    <cellStyle name="Comma 2 5 3 4" xfId="8307"/>
    <cellStyle name="Comma 2 5 3 4 2" xfId="8308"/>
    <cellStyle name="Comma 2 5 3 4 2 2" xfId="58696"/>
    <cellStyle name="Comma 2 5 3 4 3" xfId="58697"/>
    <cellStyle name="Comma 2 5 3 4 4" xfId="58698"/>
    <cellStyle name="Comma 2 5 3 4 5" xfId="58699"/>
    <cellStyle name="Comma 2 5 3 5" xfId="8309"/>
    <cellStyle name="Comma 2 5 3 5 2" xfId="8310"/>
    <cellStyle name="Comma 2 5 3 5 2 2" xfId="58700"/>
    <cellStyle name="Comma 2 5 3 5 3" xfId="58701"/>
    <cellStyle name="Comma 2 5 3 5 4" xfId="58702"/>
    <cellStyle name="Comma 2 5 3 5 5" xfId="58703"/>
    <cellStyle name="Comma 2 5 3 6" xfId="8311"/>
    <cellStyle name="Comma 2 5 3 6 2" xfId="58704"/>
    <cellStyle name="Comma 2 5 3 7" xfId="58705"/>
    <cellStyle name="Comma 2 5 3 8" xfId="58706"/>
    <cellStyle name="Comma 2 5 3 9" xfId="58707"/>
    <cellStyle name="Comma 2 5 4" xfId="3352"/>
    <cellStyle name="Comma 2 5 4 2" xfId="3353"/>
    <cellStyle name="Comma 2 5 4 2 2" xfId="8312"/>
    <cellStyle name="Comma 2 5 4 2 2 2" xfId="8313"/>
    <cellStyle name="Comma 2 5 4 2 2 3" xfId="58708"/>
    <cellStyle name="Comma 2 5 4 2 3" xfId="8314"/>
    <cellStyle name="Comma 2 5 4 2 3 2" xfId="58709"/>
    <cellStyle name="Comma 2 5 4 2 4" xfId="58710"/>
    <cellStyle name="Comma 2 5 4 2 5" xfId="58711"/>
    <cellStyle name="Comma 2 5 4 3" xfId="8315"/>
    <cellStyle name="Comma 2 5 4 3 2" xfId="8316"/>
    <cellStyle name="Comma 2 5 4 3 3" xfId="58712"/>
    <cellStyle name="Comma 2 5 4 4" xfId="8317"/>
    <cellStyle name="Comma 2 5 4 4 2" xfId="58713"/>
    <cellStyle name="Comma 2 5 4 5" xfId="58714"/>
    <cellStyle name="Comma 2 5 4 6" xfId="58715"/>
    <cellStyle name="Comma 2 5 5" xfId="3354"/>
    <cellStyle name="Comma 2 5 5 2" xfId="8318"/>
    <cellStyle name="Comma 2 5 5 2 2" xfId="8319"/>
    <cellStyle name="Comma 2 5 5 2 2 2" xfId="58716"/>
    <cellStyle name="Comma 2 5 5 2 3" xfId="58717"/>
    <cellStyle name="Comma 2 5 5 2 4" xfId="58718"/>
    <cellStyle name="Comma 2 5 5 2 5" xfId="58719"/>
    <cellStyle name="Comma 2 5 5 3" xfId="8320"/>
    <cellStyle name="Comma 2 5 5 3 2" xfId="58720"/>
    <cellStyle name="Comma 2 5 5 4" xfId="58721"/>
    <cellStyle name="Comma 2 5 5 5" xfId="58722"/>
    <cellStyle name="Comma 2 5 5 6" xfId="58723"/>
    <cellStyle name="Comma 2 5 6" xfId="8321"/>
    <cellStyle name="Comma 2 5 6 2" xfId="8322"/>
    <cellStyle name="Comma 2 5 6 2 2" xfId="58724"/>
    <cellStyle name="Comma 2 5 6 3" xfId="58725"/>
    <cellStyle name="Comma 2 5 6 4" xfId="58726"/>
    <cellStyle name="Comma 2 5 6 5" xfId="58727"/>
    <cellStyle name="Comma 2 5 7" xfId="8323"/>
    <cellStyle name="Comma 2 5 7 2" xfId="8324"/>
    <cellStyle name="Comma 2 5 7 2 2" xfId="58728"/>
    <cellStyle name="Comma 2 5 7 3" xfId="58729"/>
    <cellStyle name="Comma 2 5 7 4" xfId="58730"/>
    <cellStyle name="Comma 2 5 7 5" xfId="58731"/>
    <cellStyle name="Comma 2 5 8" xfId="8325"/>
    <cellStyle name="Comma 2 5 8 2" xfId="58732"/>
    <cellStyle name="Comma 2 5 8 2 2" xfId="58733"/>
    <cellStyle name="Comma 2 5 8 3" xfId="58734"/>
    <cellStyle name="Comma 2 5 8 4" xfId="58735"/>
    <cellStyle name="Comma 2 5 8 5" xfId="58736"/>
    <cellStyle name="Comma 2 5 9" xfId="44122"/>
    <cellStyle name="Comma 2 6" xfId="3355"/>
    <cellStyle name="Comma 2 6 2" xfId="3356"/>
    <cellStyle name="Comma 2 6 2 2" xfId="3357"/>
    <cellStyle name="Comma 2 6 2 2 2" xfId="3358"/>
    <cellStyle name="Comma 2 6 2 2 2 2" xfId="8326"/>
    <cellStyle name="Comma 2 6 2 2 2 2 2" xfId="8327"/>
    <cellStyle name="Comma 2 6 2 2 2 2 3" xfId="58737"/>
    <cellStyle name="Comma 2 6 2 2 2 3" xfId="8328"/>
    <cellStyle name="Comma 2 6 2 2 2 3 2" xfId="58738"/>
    <cellStyle name="Comma 2 6 2 2 2 4" xfId="58739"/>
    <cellStyle name="Comma 2 6 2 2 2 5" xfId="58740"/>
    <cellStyle name="Comma 2 6 2 2 3" xfId="8329"/>
    <cellStyle name="Comma 2 6 2 2 3 2" xfId="8330"/>
    <cellStyle name="Comma 2 6 2 2 3 3" xfId="58741"/>
    <cellStyle name="Comma 2 6 2 2 4" xfId="8331"/>
    <cellStyle name="Comma 2 6 2 2 4 2" xfId="58742"/>
    <cellStyle name="Comma 2 6 2 2 5" xfId="58743"/>
    <cellStyle name="Comma 2 6 2 2 6" xfId="58744"/>
    <cellStyle name="Comma 2 6 2 3" xfId="3359"/>
    <cellStyle name="Comma 2 6 2 3 2" xfId="8332"/>
    <cellStyle name="Comma 2 6 2 3 2 2" xfId="8333"/>
    <cellStyle name="Comma 2 6 2 3 2 2 2" xfId="58745"/>
    <cellStyle name="Comma 2 6 2 3 2 3" xfId="58746"/>
    <cellStyle name="Comma 2 6 2 3 2 4" xfId="58747"/>
    <cellStyle name="Comma 2 6 2 3 2 5" xfId="58748"/>
    <cellStyle name="Comma 2 6 2 3 3" xfId="8334"/>
    <cellStyle name="Comma 2 6 2 3 3 2" xfId="58749"/>
    <cellStyle name="Comma 2 6 2 3 4" xfId="58750"/>
    <cellStyle name="Comma 2 6 2 3 5" xfId="58751"/>
    <cellStyle name="Comma 2 6 2 3 6" xfId="58752"/>
    <cellStyle name="Comma 2 6 2 4" xfId="8335"/>
    <cellStyle name="Comma 2 6 2 4 2" xfId="8336"/>
    <cellStyle name="Comma 2 6 2 4 2 2" xfId="58753"/>
    <cellStyle name="Comma 2 6 2 4 3" xfId="58754"/>
    <cellStyle name="Comma 2 6 2 4 4" xfId="58755"/>
    <cellStyle name="Comma 2 6 2 4 5" xfId="58756"/>
    <cellStyle name="Comma 2 6 2 5" xfId="8337"/>
    <cellStyle name="Comma 2 6 2 5 2" xfId="8338"/>
    <cellStyle name="Comma 2 6 2 5 2 2" xfId="58757"/>
    <cellStyle name="Comma 2 6 2 5 3" xfId="58758"/>
    <cellStyle name="Comma 2 6 2 5 4" xfId="58759"/>
    <cellStyle name="Comma 2 6 2 5 5" xfId="58760"/>
    <cellStyle name="Comma 2 6 2 6" xfId="8339"/>
    <cellStyle name="Comma 2 6 2 6 2" xfId="58761"/>
    <cellStyle name="Comma 2 6 2 7" xfId="44123"/>
    <cellStyle name="Comma 2 6 2 8" xfId="58762"/>
    <cellStyle name="Comma 2 6 2 9" xfId="58763"/>
    <cellStyle name="Comma 2 6 3" xfId="3360"/>
    <cellStyle name="Comma 2 6 3 2" xfId="3361"/>
    <cellStyle name="Comma 2 6 3 2 2" xfId="8340"/>
    <cellStyle name="Comma 2 6 3 2 2 2" xfId="8341"/>
    <cellStyle name="Comma 2 6 3 2 2 3" xfId="58764"/>
    <cellStyle name="Comma 2 6 3 2 3" xfId="8342"/>
    <cellStyle name="Comma 2 6 3 2 3 2" xfId="58765"/>
    <cellStyle name="Comma 2 6 3 2 4" xfId="58766"/>
    <cellStyle name="Comma 2 6 3 2 5" xfId="58767"/>
    <cellStyle name="Comma 2 6 3 3" xfId="8343"/>
    <cellStyle name="Comma 2 6 3 3 2" xfId="8344"/>
    <cellStyle name="Comma 2 6 3 3 3" xfId="58768"/>
    <cellStyle name="Comma 2 6 3 4" xfId="8345"/>
    <cellStyle name="Comma 2 6 3 4 2" xfId="58769"/>
    <cellStyle name="Comma 2 6 3 5" xfId="58770"/>
    <cellStyle name="Comma 2 6 3 6" xfId="58771"/>
    <cellStyle name="Comma 2 6 4" xfId="3362"/>
    <cellStyle name="Comma 2 6 4 2" xfId="8346"/>
    <cellStyle name="Comma 2 6 4 2 2" xfId="8347"/>
    <cellStyle name="Comma 2 6 4 2 2 2" xfId="58772"/>
    <cellStyle name="Comma 2 6 4 2 3" xfId="58773"/>
    <cellStyle name="Comma 2 6 4 2 4" xfId="58774"/>
    <cellStyle name="Comma 2 6 4 2 5" xfId="58775"/>
    <cellStyle name="Comma 2 6 4 3" xfId="8348"/>
    <cellStyle name="Comma 2 6 4 3 2" xfId="58776"/>
    <cellStyle name="Comma 2 6 4 4" xfId="58777"/>
    <cellStyle name="Comma 2 6 4 5" xfId="58778"/>
    <cellStyle name="Comma 2 6 4 6" xfId="58779"/>
    <cellStyle name="Comma 2 6 5" xfId="8349"/>
    <cellStyle name="Comma 2 6 5 2" xfId="8350"/>
    <cellStyle name="Comma 2 6 5 2 2" xfId="58780"/>
    <cellStyle name="Comma 2 6 5 3" xfId="58781"/>
    <cellStyle name="Comma 2 6 5 4" xfId="58782"/>
    <cellStyle name="Comma 2 6 5 5" xfId="58783"/>
    <cellStyle name="Comma 2 6 6" xfId="8351"/>
    <cellStyle name="Comma 2 6 6 2" xfId="8352"/>
    <cellStyle name="Comma 2 6 6 2 2" xfId="58784"/>
    <cellStyle name="Comma 2 6 6 3" xfId="58785"/>
    <cellStyle name="Comma 2 6 6 4" xfId="58786"/>
    <cellStyle name="Comma 2 6 6 5" xfId="58787"/>
    <cellStyle name="Comma 2 6 7" xfId="8353"/>
    <cellStyle name="Comma 2 6 7 2" xfId="58788"/>
    <cellStyle name="Comma 2 6 7 2 2" xfId="58789"/>
    <cellStyle name="Comma 2 6 7 3" xfId="58790"/>
    <cellStyle name="Comma 2 6 7 4" xfId="58791"/>
    <cellStyle name="Comma 2 6 7 5" xfId="58792"/>
    <cellStyle name="Comma 2 6 8" xfId="44124"/>
    <cellStyle name="Comma 2 7" xfId="3363"/>
    <cellStyle name="Comma 2 7 2" xfId="3364"/>
    <cellStyle name="Comma 2 7 2 2" xfId="3365"/>
    <cellStyle name="Comma 2 7 2 2 2" xfId="3366"/>
    <cellStyle name="Comma 2 7 2 2 2 2" xfId="8354"/>
    <cellStyle name="Comma 2 7 2 2 2 3" xfId="58793"/>
    <cellStyle name="Comma 2 7 2 2 3" xfId="8355"/>
    <cellStyle name="Comma 2 7 2 2 3 2" xfId="58794"/>
    <cellStyle name="Comma 2 7 2 2 4" xfId="58795"/>
    <cellStyle name="Comma 2 7 2 2 5" xfId="58796"/>
    <cellStyle name="Comma 2 7 2 3" xfId="3367"/>
    <cellStyle name="Comma 2 7 2 3 2" xfId="8356"/>
    <cellStyle name="Comma 2 7 2 3 3" xfId="58797"/>
    <cellStyle name="Comma 2 7 2 4" xfId="8357"/>
    <cellStyle name="Comma 2 7 2 4 2" xfId="58798"/>
    <cellStyle name="Comma 2 7 2 5" xfId="58799"/>
    <cellStyle name="Comma 2 7 2 6" xfId="58800"/>
    <cellStyle name="Comma 2 7 3" xfId="3368"/>
    <cellStyle name="Comma 2 7 3 2" xfId="3369"/>
    <cellStyle name="Comma 2 7 3 2 2" xfId="8358"/>
    <cellStyle name="Comma 2 7 3 2 2 2" xfId="58801"/>
    <cellStyle name="Comma 2 7 3 2 3" xfId="58802"/>
    <cellStyle name="Comma 2 7 3 2 4" xfId="58803"/>
    <cellStyle name="Comma 2 7 3 2 5" xfId="58804"/>
    <cellStyle name="Comma 2 7 3 3" xfId="8359"/>
    <cellStyle name="Comma 2 7 3 3 2" xfId="58805"/>
    <cellStyle name="Comma 2 7 3 4" xfId="58806"/>
    <cellStyle name="Comma 2 7 3 5" xfId="58807"/>
    <cellStyle name="Comma 2 7 3 6" xfId="58808"/>
    <cellStyle name="Comma 2 7 4" xfId="3370"/>
    <cellStyle name="Comma 2 7 4 2" xfId="8360"/>
    <cellStyle name="Comma 2 7 4 2 2" xfId="58809"/>
    <cellStyle name="Comma 2 7 4 3" xfId="58810"/>
    <cellStyle name="Comma 2 7 4 4" xfId="58811"/>
    <cellStyle name="Comma 2 7 4 5" xfId="58812"/>
    <cellStyle name="Comma 2 7 5" xfId="8361"/>
    <cellStyle name="Comma 2 7 5 2" xfId="8362"/>
    <cellStyle name="Comma 2 7 5 2 2" xfId="58813"/>
    <cellStyle name="Comma 2 7 5 3" xfId="58814"/>
    <cellStyle name="Comma 2 7 5 4" xfId="58815"/>
    <cellStyle name="Comma 2 7 5 5" xfId="58816"/>
    <cellStyle name="Comma 2 7 6" xfId="8363"/>
    <cellStyle name="Comma 2 7 6 2" xfId="58817"/>
    <cellStyle name="Comma 2 7 6 2 2" xfId="58818"/>
    <cellStyle name="Comma 2 7 6 3" xfId="58819"/>
    <cellStyle name="Comma 2 7 6 4" xfId="58820"/>
    <cellStyle name="Comma 2 7 6 5" xfId="58821"/>
    <cellStyle name="Comma 2 7 7" xfId="44125"/>
    <cellStyle name="Comma 2 8" xfId="3371"/>
    <cellStyle name="Comma 2 8 2" xfId="3372"/>
    <cellStyle name="Comma 2 8 2 2" xfId="3373"/>
    <cellStyle name="Comma 2 8 2 2 2" xfId="3374"/>
    <cellStyle name="Comma 2 8 2 2 3" xfId="58822"/>
    <cellStyle name="Comma 2 8 2 3" xfId="3375"/>
    <cellStyle name="Comma 2 8 2 3 2" xfId="58823"/>
    <cellStyle name="Comma 2 8 2 4" xfId="58824"/>
    <cellStyle name="Comma 2 8 2 5" xfId="58825"/>
    <cellStyle name="Comma 2 8 3" xfId="3376"/>
    <cellStyle name="Comma 2 8 3 2" xfId="3377"/>
    <cellStyle name="Comma 2 8 3 2 2" xfId="58826"/>
    <cellStyle name="Comma 2 8 3 3" xfId="58827"/>
    <cellStyle name="Comma 2 8 3 4" xfId="58828"/>
    <cellStyle name="Comma 2 8 3 5" xfId="58829"/>
    <cellStyle name="Comma 2 8 4" xfId="3378"/>
    <cellStyle name="Comma 2 8 4 2" xfId="58830"/>
    <cellStyle name="Comma 2 8 4 2 2" xfId="58831"/>
    <cellStyle name="Comma 2 8 4 3" xfId="58832"/>
    <cellStyle name="Comma 2 8 4 4" xfId="58833"/>
    <cellStyle name="Comma 2 8 4 5" xfId="58834"/>
    <cellStyle name="Comma 2 8 5" xfId="44126"/>
    <cellStyle name="Comma 2 9" xfId="3379"/>
    <cellStyle name="Comma 2 9 2" xfId="3380"/>
    <cellStyle name="Comma 2 9 2 2" xfId="3381"/>
    <cellStyle name="Comma 2 9 2 2 2" xfId="58835"/>
    <cellStyle name="Comma 2 9 2 3" xfId="58836"/>
    <cellStyle name="Comma 2 9 2 4" xfId="58837"/>
    <cellStyle name="Comma 2 9 2 5" xfId="58838"/>
    <cellStyle name="Comma 2 9 3" xfId="3382"/>
    <cellStyle name="Comma 2 9 3 2" xfId="58839"/>
    <cellStyle name="Comma 2 9 3 2 2" xfId="58840"/>
    <cellStyle name="Comma 2 9 3 3" xfId="58841"/>
    <cellStyle name="Comma 2 9 3 4" xfId="58842"/>
    <cellStyle name="Comma 2 9 3 5" xfId="58843"/>
    <cellStyle name="Comma 2 9 4" xfId="58844"/>
    <cellStyle name="Comma 20" xfId="3383"/>
    <cellStyle name="Comma 20 2" xfId="44127"/>
    <cellStyle name="Comma 20 2 2" xfId="44128"/>
    <cellStyle name="Comma 20 3" xfId="44129"/>
    <cellStyle name="Comma 20 3 2" xfId="44130"/>
    <cellStyle name="Comma 20 4" xfId="44131"/>
    <cellStyle name="Comma 20 4 2" xfId="44132"/>
    <cellStyle name="Comma 20 5" xfId="44133"/>
    <cellStyle name="Comma 20 6" xfId="44134"/>
    <cellStyle name="Comma 20 7" xfId="44135"/>
    <cellStyle name="Comma 21" xfId="3384"/>
    <cellStyle name="Comma 21 2" xfId="44136"/>
    <cellStyle name="Comma 21 2 2" xfId="44137"/>
    <cellStyle name="Comma 21 2 3" xfId="44138"/>
    <cellStyle name="Comma 21 3" xfId="44139"/>
    <cellStyle name="Comma 21 3 2" xfId="44140"/>
    <cellStyle name="Comma 21 4" xfId="44141"/>
    <cellStyle name="Comma 21 5" xfId="44142"/>
    <cellStyle name="Comma 22" xfId="3385"/>
    <cellStyle name="Comma 22 2" xfId="44143"/>
    <cellStyle name="Comma 22 2 2" xfId="44144"/>
    <cellStyle name="Comma 22 3" xfId="44145"/>
    <cellStyle name="Comma 22 4" xfId="44146"/>
    <cellStyle name="Comma 23" xfId="3386"/>
    <cellStyle name="Comma 23 2" xfId="44147"/>
    <cellStyle name="Comma 23 3" xfId="44148"/>
    <cellStyle name="Comma 24" xfId="3387"/>
    <cellStyle name="Comma 24 10" xfId="44149"/>
    <cellStyle name="Comma 24 10 2" xfId="44150"/>
    <cellStyle name="Comma 24 11" xfId="44151"/>
    <cellStyle name="Comma 24 12" xfId="44152"/>
    <cellStyle name="Comma 24 13" xfId="44153"/>
    <cellStyle name="Comma 24 2" xfId="44154"/>
    <cellStyle name="Comma 24 2 10" xfId="44155"/>
    <cellStyle name="Comma 24 2 2" xfId="44156"/>
    <cellStyle name="Comma 24 2 2 2" xfId="44157"/>
    <cellStyle name="Comma 24 2 2 2 2" xfId="44158"/>
    <cellStyle name="Comma 24 2 2 2 2 2" xfId="44159"/>
    <cellStyle name="Comma 24 2 2 2 2 3" xfId="44160"/>
    <cellStyle name="Comma 24 2 2 2 3" xfId="44161"/>
    <cellStyle name="Comma 24 2 2 2 3 2" xfId="44162"/>
    <cellStyle name="Comma 24 2 2 2 3 3" xfId="44163"/>
    <cellStyle name="Comma 24 2 2 2 4" xfId="44164"/>
    <cellStyle name="Comma 24 2 2 2 4 2" xfId="44165"/>
    <cellStyle name="Comma 24 2 2 2 5" xfId="44166"/>
    <cellStyle name="Comma 24 2 2 2 6" xfId="44167"/>
    <cellStyle name="Comma 24 2 2 3" xfId="44168"/>
    <cellStyle name="Comma 24 2 2 3 2" xfId="44169"/>
    <cellStyle name="Comma 24 2 2 3 2 2" xfId="44170"/>
    <cellStyle name="Comma 24 2 2 3 2 3" xfId="44171"/>
    <cellStyle name="Comma 24 2 2 3 3" xfId="44172"/>
    <cellStyle name="Comma 24 2 2 3 3 2" xfId="44173"/>
    <cellStyle name="Comma 24 2 2 3 3 3" xfId="44174"/>
    <cellStyle name="Comma 24 2 2 3 4" xfId="44175"/>
    <cellStyle name="Comma 24 2 2 3 4 2" xfId="44176"/>
    <cellStyle name="Comma 24 2 2 3 5" xfId="44177"/>
    <cellStyle name="Comma 24 2 2 3 6" xfId="44178"/>
    <cellStyle name="Comma 24 2 2 4" xfId="44179"/>
    <cellStyle name="Comma 24 2 2 4 2" xfId="44180"/>
    <cellStyle name="Comma 24 2 2 4 2 2" xfId="44181"/>
    <cellStyle name="Comma 24 2 2 4 2 3" xfId="44182"/>
    <cellStyle name="Comma 24 2 2 4 3" xfId="44183"/>
    <cellStyle name="Comma 24 2 2 4 3 2" xfId="44184"/>
    <cellStyle name="Comma 24 2 2 4 4" xfId="44185"/>
    <cellStyle name="Comma 24 2 2 4 5" xfId="44186"/>
    <cellStyle name="Comma 24 2 2 5" xfId="44187"/>
    <cellStyle name="Comma 24 2 2 5 2" xfId="44188"/>
    <cellStyle name="Comma 24 2 2 5 3" xfId="44189"/>
    <cellStyle name="Comma 24 2 2 6" xfId="44190"/>
    <cellStyle name="Comma 24 2 2 6 2" xfId="44191"/>
    <cellStyle name="Comma 24 2 2 6 3" xfId="44192"/>
    <cellStyle name="Comma 24 2 2 7" xfId="44193"/>
    <cellStyle name="Comma 24 2 2 7 2" xfId="44194"/>
    <cellStyle name="Comma 24 2 2 8" xfId="44195"/>
    <cellStyle name="Comma 24 2 2 9" xfId="44196"/>
    <cellStyle name="Comma 24 2 3" xfId="44197"/>
    <cellStyle name="Comma 24 2 3 2" xfId="44198"/>
    <cellStyle name="Comma 24 2 3 2 2" xfId="44199"/>
    <cellStyle name="Comma 24 2 3 2 3" xfId="44200"/>
    <cellStyle name="Comma 24 2 3 3" xfId="44201"/>
    <cellStyle name="Comma 24 2 3 3 2" xfId="44202"/>
    <cellStyle name="Comma 24 2 3 3 3" xfId="44203"/>
    <cellStyle name="Comma 24 2 3 4" xfId="44204"/>
    <cellStyle name="Comma 24 2 3 4 2" xfId="44205"/>
    <cellStyle name="Comma 24 2 3 5" xfId="44206"/>
    <cellStyle name="Comma 24 2 3 6" xfId="44207"/>
    <cellStyle name="Comma 24 2 4" xfId="44208"/>
    <cellStyle name="Comma 24 2 4 2" xfId="44209"/>
    <cellStyle name="Comma 24 2 4 2 2" xfId="44210"/>
    <cellStyle name="Comma 24 2 4 2 3" xfId="44211"/>
    <cellStyle name="Comma 24 2 4 3" xfId="44212"/>
    <cellStyle name="Comma 24 2 4 3 2" xfId="44213"/>
    <cellStyle name="Comma 24 2 4 3 3" xfId="44214"/>
    <cellStyle name="Comma 24 2 4 4" xfId="44215"/>
    <cellStyle name="Comma 24 2 4 4 2" xfId="44216"/>
    <cellStyle name="Comma 24 2 4 5" xfId="44217"/>
    <cellStyle name="Comma 24 2 4 6" xfId="44218"/>
    <cellStyle name="Comma 24 2 5" xfId="44219"/>
    <cellStyle name="Comma 24 2 5 2" xfId="44220"/>
    <cellStyle name="Comma 24 2 5 2 2" xfId="44221"/>
    <cellStyle name="Comma 24 2 5 2 3" xfId="44222"/>
    <cellStyle name="Comma 24 2 5 3" xfId="44223"/>
    <cellStyle name="Comma 24 2 5 3 2" xfId="44224"/>
    <cellStyle name="Comma 24 2 5 4" xfId="44225"/>
    <cellStyle name="Comma 24 2 5 5" xfId="44226"/>
    <cellStyle name="Comma 24 2 6" xfId="44227"/>
    <cellStyle name="Comma 24 2 6 2" xfId="44228"/>
    <cellStyle name="Comma 24 2 6 3" xfId="44229"/>
    <cellStyle name="Comma 24 2 7" xfId="44230"/>
    <cellStyle name="Comma 24 2 7 2" xfId="44231"/>
    <cellStyle name="Comma 24 2 7 3" xfId="44232"/>
    <cellStyle name="Comma 24 2 8" xfId="44233"/>
    <cellStyle name="Comma 24 2 8 2" xfId="44234"/>
    <cellStyle name="Comma 24 2 9" xfId="44235"/>
    <cellStyle name="Comma 24 3" xfId="44236"/>
    <cellStyle name="Comma 24 3 2" xfId="44237"/>
    <cellStyle name="Comma 24 3 2 2" xfId="44238"/>
    <cellStyle name="Comma 24 3 2 2 2" xfId="44239"/>
    <cellStyle name="Comma 24 3 2 2 3" xfId="44240"/>
    <cellStyle name="Comma 24 3 2 3" xfId="44241"/>
    <cellStyle name="Comma 24 3 2 3 2" xfId="44242"/>
    <cellStyle name="Comma 24 3 2 3 3" xfId="44243"/>
    <cellStyle name="Comma 24 3 2 4" xfId="44244"/>
    <cellStyle name="Comma 24 3 2 4 2" xfId="44245"/>
    <cellStyle name="Comma 24 3 2 5" xfId="44246"/>
    <cellStyle name="Comma 24 3 2 6" xfId="44247"/>
    <cellStyle name="Comma 24 3 3" xfId="44248"/>
    <cellStyle name="Comma 24 3 3 2" xfId="44249"/>
    <cellStyle name="Comma 24 3 3 2 2" xfId="44250"/>
    <cellStyle name="Comma 24 3 3 2 3" xfId="44251"/>
    <cellStyle name="Comma 24 3 3 3" xfId="44252"/>
    <cellStyle name="Comma 24 3 3 3 2" xfId="44253"/>
    <cellStyle name="Comma 24 3 3 3 3" xfId="44254"/>
    <cellStyle name="Comma 24 3 3 4" xfId="44255"/>
    <cellStyle name="Comma 24 3 3 4 2" xfId="44256"/>
    <cellStyle name="Comma 24 3 3 5" xfId="44257"/>
    <cellStyle name="Comma 24 3 3 6" xfId="44258"/>
    <cellStyle name="Comma 24 3 4" xfId="44259"/>
    <cellStyle name="Comma 24 3 4 2" xfId="44260"/>
    <cellStyle name="Comma 24 3 4 2 2" xfId="44261"/>
    <cellStyle name="Comma 24 3 4 2 3" xfId="44262"/>
    <cellStyle name="Comma 24 3 4 3" xfId="44263"/>
    <cellStyle name="Comma 24 3 4 3 2" xfId="44264"/>
    <cellStyle name="Comma 24 3 4 4" xfId="44265"/>
    <cellStyle name="Comma 24 3 4 5" xfId="44266"/>
    <cellStyle name="Comma 24 3 5" xfId="44267"/>
    <cellStyle name="Comma 24 3 5 2" xfId="44268"/>
    <cellStyle name="Comma 24 3 5 3" xfId="44269"/>
    <cellStyle name="Comma 24 3 6" xfId="44270"/>
    <cellStyle name="Comma 24 3 6 2" xfId="44271"/>
    <cellStyle name="Comma 24 3 6 3" xfId="44272"/>
    <cellStyle name="Comma 24 3 7" xfId="44273"/>
    <cellStyle name="Comma 24 3 7 2" xfId="44274"/>
    <cellStyle name="Comma 24 3 8" xfId="44275"/>
    <cellStyle name="Comma 24 3 9" xfId="44276"/>
    <cellStyle name="Comma 24 4" xfId="44277"/>
    <cellStyle name="Comma 24 4 2" xfId="44278"/>
    <cellStyle name="Comma 24 4 2 2" xfId="44279"/>
    <cellStyle name="Comma 24 4 2 2 2" xfId="44280"/>
    <cellStyle name="Comma 24 4 2 2 3" xfId="44281"/>
    <cellStyle name="Comma 24 4 2 3" xfId="44282"/>
    <cellStyle name="Comma 24 4 2 3 2" xfId="44283"/>
    <cellStyle name="Comma 24 4 2 3 3" xfId="44284"/>
    <cellStyle name="Comma 24 4 2 4" xfId="44285"/>
    <cellStyle name="Comma 24 4 2 4 2" xfId="44286"/>
    <cellStyle name="Comma 24 4 2 5" xfId="44287"/>
    <cellStyle name="Comma 24 4 2 6" xfId="44288"/>
    <cellStyle name="Comma 24 4 3" xfId="44289"/>
    <cellStyle name="Comma 24 4 3 2" xfId="44290"/>
    <cellStyle name="Comma 24 4 3 2 2" xfId="44291"/>
    <cellStyle name="Comma 24 4 3 2 3" xfId="44292"/>
    <cellStyle name="Comma 24 4 3 3" xfId="44293"/>
    <cellStyle name="Comma 24 4 3 3 2" xfId="44294"/>
    <cellStyle name="Comma 24 4 3 3 3" xfId="44295"/>
    <cellStyle name="Comma 24 4 3 4" xfId="44296"/>
    <cellStyle name="Comma 24 4 3 4 2" xfId="44297"/>
    <cellStyle name="Comma 24 4 3 5" xfId="44298"/>
    <cellStyle name="Comma 24 4 3 6" xfId="44299"/>
    <cellStyle name="Comma 24 4 4" xfId="44300"/>
    <cellStyle name="Comma 24 4 4 2" xfId="44301"/>
    <cellStyle name="Comma 24 4 4 2 2" xfId="44302"/>
    <cellStyle name="Comma 24 4 4 2 3" xfId="44303"/>
    <cellStyle name="Comma 24 4 4 3" xfId="44304"/>
    <cellStyle name="Comma 24 4 4 3 2" xfId="44305"/>
    <cellStyle name="Comma 24 4 4 4" xfId="44306"/>
    <cellStyle name="Comma 24 4 4 5" xfId="44307"/>
    <cellStyle name="Comma 24 4 5" xfId="44308"/>
    <cellStyle name="Comma 24 4 5 2" xfId="44309"/>
    <cellStyle name="Comma 24 4 5 3" xfId="44310"/>
    <cellStyle name="Comma 24 4 6" xfId="44311"/>
    <cellStyle name="Comma 24 4 6 2" xfId="44312"/>
    <cellStyle name="Comma 24 4 6 3" xfId="44313"/>
    <cellStyle name="Comma 24 4 7" xfId="44314"/>
    <cellStyle name="Comma 24 4 7 2" xfId="44315"/>
    <cellStyle name="Comma 24 4 8" xfId="44316"/>
    <cellStyle name="Comma 24 4 9" xfId="44317"/>
    <cellStyle name="Comma 24 5" xfId="44318"/>
    <cellStyle name="Comma 24 5 2" xfId="44319"/>
    <cellStyle name="Comma 24 5 2 2" xfId="44320"/>
    <cellStyle name="Comma 24 5 2 3" xfId="44321"/>
    <cellStyle name="Comma 24 5 3" xfId="44322"/>
    <cellStyle name="Comma 24 5 3 2" xfId="44323"/>
    <cellStyle name="Comma 24 5 3 3" xfId="44324"/>
    <cellStyle name="Comma 24 5 4" xfId="44325"/>
    <cellStyle name="Comma 24 5 4 2" xfId="44326"/>
    <cellStyle name="Comma 24 5 5" xfId="44327"/>
    <cellStyle name="Comma 24 5 6" xfId="44328"/>
    <cellStyle name="Comma 24 6" xfId="44329"/>
    <cellStyle name="Comma 24 6 2" xfId="44330"/>
    <cellStyle name="Comma 24 6 2 2" xfId="44331"/>
    <cellStyle name="Comma 24 6 2 3" xfId="44332"/>
    <cellStyle name="Comma 24 6 3" xfId="44333"/>
    <cellStyle name="Comma 24 6 3 2" xfId="44334"/>
    <cellStyle name="Comma 24 6 3 3" xfId="44335"/>
    <cellStyle name="Comma 24 6 4" xfId="44336"/>
    <cellStyle name="Comma 24 6 4 2" xfId="44337"/>
    <cellStyle name="Comma 24 6 5" xfId="44338"/>
    <cellStyle name="Comma 24 6 6" xfId="44339"/>
    <cellStyle name="Comma 24 7" xfId="44340"/>
    <cellStyle name="Comma 24 7 2" xfId="44341"/>
    <cellStyle name="Comma 24 7 2 2" xfId="44342"/>
    <cellStyle name="Comma 24 7 2 3" xfId="44343"/>
    <cellStyle name="Comma 24 7 3" xfId="44344"/>
    <cellStyle name="Comma 24 7 3 2" xfId="44345"/>
    <cellStyle name="Comma 24 7 4" xfId="44346"/>
    <cellStyle name="Comma 24 7 5" xfId="44347"/>
    <cellStyle name="Comma 24 8" xfId="44348"/>
    <cellStyle name="Comma 24 8 2" xfId="44349"/>
    <cellStyle name="Comma 24 8 3" xfId="44350"/>
    <cellStyle name="Comma 24 9" xfId="44351"/>
    <cellStyle name="Comma 24 9 2" xfId="44352"/>
    <cellStyle name="Comma 24 9 3" xfId="44353"/>
    <cellStyle name="Comma 25" xfId="3388"/>
    <cellStyle name="Comma 25 2" xfId="44354"/>
    <cellStyle name="Comma 25 3" xfId="44355"/>
    <cellStyle name="Comma 26" xfId="3389"/>
    <cellStyle name="Comma 26 10" xfId="44356"/>
    <cellStyle name="Comma 26 10 2" xfId="44357"/>
    <cellStyle name="Comma 26 11" xfId="44358"/>
    <cellStyle name="Comma 26 12" xfId="44359"/>
    <cellStyle name="Comma 26 13" xfId="44360"/>
    <cellStyle name="Comma 26 2" xfId="44361"/>
    <cellStyle name="Comma 26 2 10" xfId="44362"/>
    <cellStyle name="Comma 26 2 2" xfId="44363"/>
    <cellStyle name="Comma 26 2 2 2" xfId="44364"/>
    <cellStyle name="Comma 26 2 2 2 2" xfId="44365"/>
    <cellStyle name="Comma 26 2 2 2 2 2" xfId="44366"/>
    <cellStyle name="Comma 26 2 2 2 2 3" xfId="44367"/>
    <cellStyle name="Comma 26 2 2 2 3" xfId="44368"/>
    <cellStyle name="Comma 26 2 2 2 3 2" xfId="44369"/>
    <cellStyle name="Comma 26 2 2 2 3 3" xfId="44370"/>
    <cellStyle name="Comma 26 2 2 2 4" xfId="44371"/>
    <cellStyle name="Comma 26 2 2 2 4 2" xfId="44372"/>
    <cellStyle name="Comma 26 2 2 2 5" xfId="44373"/>
    <cellStyle name="Comma 26 2 2 2 6" xfId="44374"/>
    <cellStyle name="Comma 26 2 2 3" xfId="44375"/>
    <cellStyle name="Comma 26 2 2 3 2" xfId="44376"/>
    <cellStyle name="Comma 26 2 2 3 2 2" xfId="44377"/>
    <cellStyle name="Comma 26 2 2 3 2 3" xfId="44378"/>
    <cellStyle name="Comma 26 2 2 3 3" xfId="44379"/>
    <cellStyle name="Comma 26 2 2 3 3 2" xfId="44380"/>
    <cellStyle name="Comma 26 2 2 3 3 3" xfId="44381"/>
    <cellStyle name="Comma 26 2 2 3 4" xfId="44382"/>
    <cellStyle name="Comma 26 2 2 3 4 2" xfId="44383"/>
    <cellStyle name="Comma 26 2 2 3 5" xfId="44384"/>
    <cellStyle name="Comma 26 2 2 3 6" xfId="44385"/>
    <cellStyle name="Comma 26 2 2 4" xfId="44386"/>
    <cellStyle name="Comma 26 2 2 4 2" xfId="44387"/>
    <cellStyle name="Comma 26 2 2 4 2 2" xfId="44388"/>
    <cellStyle name="Comma 26 2 2 4 2 3" xfId="44389"/>
    <cellStyle name="Comma 26 2 2 4 3" xfId="44390"/>
    <cellStyle name="Comma 26 2 2 4 3 2" xfId="44391"/>
    <cellStyle name="Comma 26 2 2 4 4" xfId="44392"/>
    <cellStyle name="Comma 26 2 2 4 5" xfId="44393"/>
    <cellStyle name="Comma 26 2 2 5" xfId="44394"/>
    <cellStyle name="Comma 26 2 2 5 2" xfId="44395"/>
    <cellStyle name="Comma 26 2 2 5 3" xfId="44396"/>
    <cellStyle name="Comma 26 2 2 6" xfId="44397"/>
    <cellStyle name="Comma 26 2 2 6 2" xfId="44398"/>
    <cellStyle name="Comma 26 2 2 6 3" xfId="44399"/>
    <cellStyle name="Comma 26 2 2 7" xfId="44400"/>
    <cellStyle name="Comma 26 2 2 7 2" xfId="44401"/>
    <cellStyle name="Comma 26 2 2 8" xfId="44402"/>
    <cellStyle name="Comma 26 2 2 9" xfId="44403"/>
    <cellStyle name="Comma 26 2 3" xfId="44404"/>
    <cellStyle name="Comma 26 2 3 2" xfId="44405"/>
    <cellStyle name="Comma 26 2 3 2 2" xfId="44406"/>
    <cellStyle name="Comma 26 2 3 2 3" xfId="44407"/>
    <cellStyle name="Comma 26 2 3 3" xfId="44408"/>
    <cellStyle name="Comma 26 2 3 3 2" xfId="44409"/>
    <cellStyle name="Comma 26 2 3 3 3" xfId="44410"/>
    <cellStyle name="Comma 26 2 3 4" xfId="44411"/>
    <cellStyle name="Comma 26 2 3 4 2" xfId="44412"/>
    <cellStyle name="Comma 26 2 3 5" xfId="44413"/>
    <cellStyle name="Comma 26 2 3 6" xfId="44414"/>
    <cellStyle name="Comma 26 2 4" xfId="44415"/>
    <cellStyle name="Comma 26 2 4 2" xfId="44416"/>
    <cellStyle name="Comma 26 2 4 2 2" xfId="44417"/>
    <cellStyle name="Comma 26 2 4 2 3" xfId="44418"/>
    <cellStyle name="Comma 26 2 4 3" xfId="44419"/>
    <cellStyle name="Comma 26 2 4 3 2" xfId="44420"/>
    <cellStyle name="Comma 26 2 4 3 3" xfId="44421"/>
    <cellStyle name="Comma 26 2 4 4" xfId="44422"/>
    <cellStyle name="Comma 26 2 4 4 2" xfId="44423"/>
    <cellStyle name="Comma 26 2 4 5" xfId="44424"/>
    <cellStyle name="Comma 26 2 4 6" xfId="44425"/>
    <cellStyle name="Comma 26 2 5" xfId="44426"/>
    <cellStyle name="Comma 26 2 5 2" xfId="44427"/>
    <cellStyle name="Comma 26 2 5 2 2" xfId="44428"/>
    <cellStyle name="Comma 26 2 5 2 3" xfId="44429"/>
    <cellStyle name="Comma 26 2 5 3" xfId="44430"/>
    <cellStyle name="Comma 26 2 5 3 2" xfId="44431"/>
    <cellStyle name="Comma 26 2 5 4" xfId="44432"/>
    <cellStyle name="Comma 26 2 5 5" xfId="44433"/>
    <cellStyle name="Comma 26 2 6" xfId="44434"/>
    <cellStyle name="Comma 26 2 6 2" xfId="44435"/>
    <cellStyle name="Comma 26 2 6 3" xfId="44436"/>
    <cellStyle name="Comma 26 2 7" xfId="44437"/>
    <cellStyle name="Comma 26 2 7 2" xfId="44438"/>
    <cellStyle name="Comma 26 2 7 3" xfId="44439"/>
    <cellStyle name="Comma 26 2 8" xfId="44440"/>
    <cellStyle name="Comma 26 2 8 2" xfId="44441"/>
    <cellStyle name="Comma 26 2 9" xfId="44442"/>
    <cellStyle name="Comma 26 3" xfId="44443"/>
    <cellStyle name="Comma 26 3 2" xfId="44444"/>
    <cellStyle name="Comma 26 3 2 2" xfId="44445"/>
    <cellStyle name="Comma 26 3 2 2 2" xfId="44446"/>
    <cellStyle name="Comma 26 3 2 2 3" xfId="44447"/>
    <cellStyle name="Comma 26 3 2 3" xfId="44448"/>
    <cellStyle name="Comma 26 3 2 3 2" xfId="44449"/>
    <cellStyle name="Comma 26 3 2 3 3" xfId="44450"/>
    <cellStyle name="Comma 26 3 2 4" xfId="44451"/>
    <cellStyle name="Comma 26 3 2 4 2" xfId="44452"/>
    <cellStyle name="Comma 26 3 2 5" xfId="44453"/>
    <cellStyle name="Comma 26 3 2 6" xfId="44454"/>
    <cellStyle name="Comma 26 3 3" xfId="44455"/>
    <cellStyle name="Comma 26 3 3 2" xfId="44456"/>
    <cellStyle name="Comma 26 3 3 2 2" xfId="44457"/>
    <cellStyle name="Comma 26 3 3 2 3" xfId="44458"/>
    <cellStyle name="Comma 26 3 3 3" xfId="44459"/>
    <cellStyle name="Comma 26 3 3 3 2" xfId="44460"/>
    <cellStyle name="Comma 26 3 3 3 3" xfId="44461"/>
    <cellStyle name="Comma 26 3 3 4" xfId="44462"/>
    <cellStyle name="Comma 26 3 3 4 2" xfId="44463"/>
    <cellStyle name="Comma 26 3 3 5" xfId="44464"/>
    <cellStyle name="Comma 26 3 3 6" xfId="44465"/>
    <cellStyle name="Comma 26 3 4" xfId="44466"/>
    <cellStyle name="Comma 26 3 4 2" xfId="44467"/>
    <cellStyle name="Comma 26 3 4 2 2" xfId="44468"/>
    <cellStyle name="Comma 26 3 4 2 3" xfId="44469"/>
    <cellStyle name="Comma 26 3 4 3" xfId="44470"/>
    <cellStyle name="Comma 26 3 4 3 2" xfId="44471"/>
    <cellStyle name="Comma 26 3 4 4" xfId="44472"/>
    <cellStyle name="Comma 26 3 4 5" xfId="44473"/>
    <cellStyle name="Comma 26 3 5" xfId="44474"/>
    <cellStyle name="Comma 26 3 5 2" xfId="44475"/>
    <cellStyle name="Comma 26 3 5 3" xfId="44476"/>
    <cellStyle name="Comma 26 3 6" xfId="44477"/>
    <cellStyle name="Comma 26 3 6 2" xfId="44478"/>
    <cellStyle name="Comma 26 3 6 3" xfId="44479"/>
    <cellStyle name="Comma 26 3 7" xfId="44480"/>
    <cellStyle name="Comma 26 3 7 2" xfId="44481"/>
    <cellStyle name="Comma 26 3 8" xfId="44482"/>
    <cellStyle name="Comma 26 3 9" xfId="44483"/>
    <cellStyle name="Comma 26 4" xfId="44484"/>
    <cellStyle name="Comma 26 4 2" xfId="44485"/>
    <cellStyle name="Comma 26 4 2 2" xfId="44486"/>
    <cellStyle name="Comma 26 4 2 2 2" xfId="44487"/>
    <cellStyle name="Comma 26 4 2 2 3" xfId="44488"/>
    <cellStyle name="Comma 26 4 2 3" xfId="44489"/>
    <cellStyle name="Comma 26 4 2 3 2" xfId="44490"/>
    <cellStyle name="Comma 26 4 2 3 3" xfId="44491"/>
    <cellStyle name="Comma 26 4 2 4" xfId="44492"/>
    <cellStyle name="Comma 26 4 2 4 2" xfId="44493"/>
    <cellStyle name="Comma 26 4 2 5" xfId="44494"/>
    <cellStyle name="Comma 26 4 2 6" xfId="44495"/>
    <cellStyle name="Comma 26 4 3" xfId="44496"/>
    <cellStyle name="Comma 26 4 3 2" xfId="44497"/>
    <cellStyle name="Comma 26 4 3 2 2" xfId="44498"/>
    <cellStyle name="Comma 26 4 3 2 3" xfId="44499"/>
    <cellStyle name="Comma 26 4 3 3" xfId="44500"/>
    <cellStyle name="Comma 26 4 3 3 2" xfId="44501"/>
    <cellStyle name="Comma 26 4 3 3 3" xfId="44502"/>
    <cellStyle name="Comma 26 4 3 4" xfId="44503"/>
    <cellStyle name="Comma 26 4 3 4 2" xfId="44504"/>
    <cellStyle name="Comma 26 4 3 5" xfId="44505"/>
    <cellStyle name="Comma 26 4 3 6" xfId="44506"/>
    <cellStyle name="Comma 26 4 4" xfId="44507"/>
    <cellStyle name="Comma 26 4 4 2" xfId="44508"/>
    <cellStyle name="Comma 26 4 4 2 2" xfId="44509"/>
    <cellStyle name="Comma 26 4 4 2 3" xfId="44510"/>
    <cellStyle name="Comma 26 4 4 3" xfId="44511"/>
    <cellStyle name="Comma 26 4 4 3 2" xfId="44512"/>
    <cellStyle name="Comma 26 4 4 4" xfId="44513"/>
    <cellStyle name="Comma 26 4 4 5" xfId="44514"/>
    <cellStyle name="Comma 26 4 5" xfId="44515"/>
    <cellStyle name="Comma 26 4 5 2" xfId="44516"/>
    <cellStyle name="Comma 26 4 5 3" xfId="44517"/>
    <cellStyle name="Comma 26 4 6" xfId="44518"/>
    <cellStyle name="Comma 26 4 6 2" xfId="44519"/>
    <cellStyle name="Comma 26 4 6 3" xfId="44520"/>
    <cellStyle name="Comma 26 4 7" xfId="44521"/>
    <cellStyle name="Comma 26 4 7 2" xfId="44522"/>
    <cellStyle name="Comma 26 4 8" xfId="44523"/>
    <cellStyle name="Comma 26 4 9" xfId="44524"/>
    <cellStyle name="Comma 26 5" xfId="44525"/>
    <cellStyle name="Comma 26 5 2" xfId="44526"/>
    <cellStyle name="Comma 26 5 2 2" xfId="44527"/>
    <cellStyle name="Comma 26 5 2 3" xfId="44528"/>
    <cellStyle name="Comma 26 5 3" xfId="44529"/>
    <cellStyle name="Comma 26 5 3 2" xfId="44530"/>
    <cellStyle name="Comma 26 5 3 3" xfId="44531"/>
    <cellStyle name="Comma 26 5 4" xfId="44532"/>
    <cellStyle name="Comma 26 5 4 2" xfId="44533"/>
    <cellStyle name="Comma 26 5 5" xfId="44534"/>
    <cellStyle name="Comma 26 5 6" xfId="44535"/>
    <cellStyle name="Comma 26 6" xfId="44536"/>
    <cellStyle name="Comma 26 6 2" xfId="44537"/>
    <cellStyle name="Comma 26 6 2 2" xfId="44538"/>
    <cellStyle name="Comma 26 6 2 3" xfId="44539"/>
    <cellStyle name="Comma 26 6 3" xfId="44540"/>
    <cellStyle name="Comma 26 6 3 2" xfId="44541"/>
    <cellStyle name="Comma 26 6 3 3" xfId="44542"/>
    <cellStyle name="Comma 26 6 4" xfId="44543"/>
    <cellStyle name="Comma 26 6 4 2" xfId="44544"/>
    <cellStyle name="Comma 26 6 5" xfId="44545"/>
    <cellStyle name="Comma 26 6 6" xfId="44546"/>
    <cellStyle name="Comma 26 7" xfId="44547"/>
    <cellStyle name="Comma 26 7 2" xfId="44548"/>
    <cellStyle name="Comma 26 7 2 2" xfId="44549"/>
    <cellStyle name="Comma 26 7 2 3" xfId="44550"/>
    <cellStyle name="Comma 26 7 3" xfId="44551"/>
    <cellStyle name="Comma 26 7 3 2" xfId="44552"/>
    <cellStyle name="Comma 26 7 4" xfId="44553"/>
    <cellStyle name="Comma 26 7 5" xfId="44554"/>
    <cellStyle name="Comma 26 8" xfId="44555"/>
    <cellStyle name="Comma 26 8 2" xfId="44556"/>
    <cellStyle name="Comma 26 8 3" xfId="44557"/>
    <cellStyle name="Comma 26 9" xfId="44558"/>
    <cellStyle name="Comma 26 9 2" xfId="44559"/>
    <cellStyle name="Comma 26 9 3" xfId="44560"/>
    <cellStyle name="Comma 27" xfId="3390"/>
    <cellStyle name="Comma 27 10" xfId="44561"/>
    <cellStyle name="Comma 27 10 2" xfId="44562"/>
    <cellStyle name="Comma 27 11" xfId="44563"/>
    <cellStyle name="Comma 27 12" xfId="44564"/>
    <cellStyle name="Comma 27 13" xfId="44565"/>
    <cellStyle name="Comma 27 2" xfId="44566"/>
    <cellStyle name="Comma 27 2 10" xfId="44567"/>
    <cellStyle name="Comma 27 2 2" xfId="44568"/>
    <cellStyle name="Comma 27 2 2 2" xfId="44569"/>
    <cellStyle name="Comma 27 2 2 2 2" xfId="44570"/>
    <cellStyle name="Comma 27 2 2 2 2 2" xfId="44571"/>
    <cellStyle name="Comma 27 2 2 2 2 3" xfId="44572"/>
    <cellStyle name="Comma 27 2 2 2 3" xfId="44573"/>
    <cellStyle name="Comma 27 2 2 2 3 2" xfId="44574"/>
    <cellStyle name="Comma 27 2 2 2 3 3" xfId="44575"/>
    <cellStyle name="Comma 27 2 2 2 4" xfId="44576"/>
    <cellStyle name="Comma 27 2 2 2 4 2" xfId="44577"/>
    <cellStyle name="Comma 27 2 2 2 5" xfId="44578"/>
    <cellStyle name="Comma 27 2 2 2 6" xfId="44579"/>
    <cellStyle name="Comma 27 2 2 3" xfId="44580"/>
    <cellStyle name="Comma 27 2 2 3 2" xfId="44581"/>
    <cellStyle name="Comma 27 2 2 3 2 2" xfId="44582"/>
    <cellStyle name="Comma 27 2 2 3 2 3" xfId="44583"/>
    <cellStyle name="Comma 27 2 2 3 3" xfId="44584"/>
    <cellStyle name="Comma 27 2 2 3 3 2" xfId="44585"/>
    <cellStyle name="Comma 27 2 2 3 3 3" xfId="44586"/>
    <cellStyle name="Comma 27 2 2 3 4" xfId="44587"/>
    <cellStyle name="Comma 27 2 2 3 4 2" xfId="44588"/>
    <cellStyle name="Comma 27 2 2 3 5" xfId="44589"/>
    <cellStyle name="Comma 27 2 2 3 6" xfId="44590"/>
    <cellStyle name="Comma 27 2 2 4" xfId="44591"/>
    <cellStyle name="Comma 27 2 2 4 2" xfId="44592"/>
    <cellStyle name="Comma 27 2 2 4 2 2" xfId="44593"/>
    <cellStyle name="Comma 27 2 2 4 2 3" xfId="44594"/>
    <cellStyle name="Comma 27 2 2 4 3" xfId="44595"/>
    <cellStyle name="Comma 27 2 2 4 3 2" xfId="44596"/>
    <cellStyle name="Comma 27 2 2 4 4" xfId="44597"/>
    <cellStyle name="Comma 27 2 2 4 5" xfId="44598"/>
    <cellStyle name="Comma 27 2 2 5" xfId="44599"/>
    <cellStyle name="Comma 27 2 2 5 2" xfId="44600"/>
    <cellStyle name="Comma 27 2 2 5 3" xfId="44601"/>
    <cellStyle name="Comma 27 2 2 6" xfId="44602"/>
    <cellStyle name="Comma 27 2 2 6 2" xfId="44603"/>
    <cellStyle name="Comma 27 2 2 6 3" xfId="44604"/>
    <cellStyle name="Comma 27 2 2 7" xfId="44605"/>
    <cellStyle name="Comma 27 2 2 7 2" xfId="44606"/>
    <cellStyle name="Comma 27 2 2 8" xfId="44607"/>
    <cellStyle name="Comma 27 2 2 9" xfId="44608"/>
    <cellStyle name="Comma 27 2 3" xfId="44609"/>
    <cellStyle name="Comma 27 2 3 2" xfId="44610"/>
    <cellStyle name="Comma 27 2 3 2 2" xfId="44611"/>
    <cellStyle name="Comma 27 2 3 2 3" xfId="44612"/>
    <cellStyle name="Comma 27 2 3 3" xfId="44613"/>
    <cellStyle name="Comma 27 2 3 3 2" xfId="44614"/>
    <cellStyle name="Comma 27 2 3 3 3" xfId="44615"/>
    <cellStyle name="Comma 27 2 3 4" xfId="44616"/>
    <cellStyle name="Comma 27 2 3 4 2" xfId="44617"/>
    <cellStyle name="Comma 27 2 3 5" xfId="44618"/>
    <cellStyle name="Comma 27 2 3 6" xfId="44619"/>
    <cellStyle name="Comma 27 2 4" xfId="44620"/>
    <cellStyle name="Comma 27 2 4 2" xfId="44621"/>
    <cellStyle name="Comma 27 2 4 2 2" xfId="44622"/>
    <cellStyle name="Comma 27 2 4 2 3" xfId="44623"/>
    <cellStyle name="Comma 27 2 4 3" xfId="44624"/>
    <cellStyle name="Comma 27 2 4 3 2" xfId="44625"/>
    <cellStyle name="Comma 27 2 4 3 3" xfId="44626"/>
    <cellStyle name="Comma 27 2 4 4" xfId="44627"/>
    <cellStyle name="Comma 27 2 4 4 2" xfId="44628"/>
    <cellStyle name="Comma 27 2 4 5" xfId="44629"/>
    <cellStyle name="Comma 27 2 4 6" xfId="44630"/>
    <cellStyle name="Comma 27 2 5" xfId="44631"/>
    <cellStyle name="Comma 27 2 5 2" xfId="44632"/>
    <cellStyle name="Comma 27 2 5 2 2" xfId="44633"/>
    <cellStyle name="Comma 27 2 5 2 3" xfId="44634"/>
    <cellStyle name="Comma 27 2 5 3" xfId="44635"/>
    <cellStyle name="Comma 27 2 5 3 2" xfId="44636"/>
    <cellStyle name="Comma 27 2 5 4" xfId="44637"/>
    <cellStyle name="Comma 27 2 5 5" xfId="44638"/>
    <cellStyle name="Comma 27 2 6" xfId="44639"/>
    <cellStyle name="Comma 27 2 6 2" xfId="44640"/>
    <cellStyle name="Comma 27 2 6 3" xfId="44641"/>
    <cellStyle name="Comma 27 2 7" xfId="44642"/>
    <cellStyle name="Comma 27 2 7 2" xfId="44643"/>
    <cellStyle name="Comma 27 2 7 3" xfId="44644"/>
    <cellStyle name="Comma 27 2 8" xfId="44645"/>
    <cellStyle name="Comma 27 2 8 2" xfId="44646"/>
    <cellStyle name="Comma 27 2 9" xfId="44647"/>
    <cellStyle name="Comma 27 3" xfId="44648"/>
    <cellStyle name="Comma 27 3 2" xfId="44649"/>
    <cellStyle name="Comma 27 3 2 2" xfId="44650"/>
    <cellStyle name="Comma 27 3 2 2 2" xfId="44651"/>
    <cellStyle name="Comma 27 3 2 2 3" xfId="44652"/>
    <cellStyle name="Comma 27 3 2 3" xfId="44653"/>
    <cellStyle name="Comma 27 3 2 3 2" xfId="44654"/>
    <cellStyle name="Comma 27 3 2 3 3" xfId="44655"/>
    <cellStyle name="Comma 27 3 2 4" xfId="44656"/>
    <cellStyle name="Comma 27 3 2 4 2" xfId="44657"/>
    <cellStyle name="Comma 27 3 2 5" xfId="44658"/>
    <cellStyle name="Comma 27 3 2 6" xfId="44659"/>
    <cellStyle name="Comma 27 3 3" xfId="44660"/>
    <cellStyle name="Comma 27 3 3 2" xfId="44661"/>
    <cellStyle name="Comma 27 3 3 2 2" xfId="44662"/>
    <cellStyle name="Comma 27 3 3 2 3" xfId="44663"/>
    <cellStyle name="Comma 27 3 3 3" xfId="44664"/>
    <cellStyle name="Comma 27 3 3 3 2" xfId="44665"/>
    <cellStyle name="Comma 27 3 3 3 3" xfId="44666"/>
    <cellStyle name="Comma 27 3 3 4" xfId="44667"/>
    <cellStyle name="Comma 27 3 3 4 2" xfId="44668"/>
    <cellStyle name="Comma 27 3 3 5" xfId="44669"/>
    <cellStyle name="Comma 27 3 3 6" xfId="44670"/>
    <cellStyle name="Comma 27 3 4" xfId="44671"/>
    <cellStyle name="Comma 27 3 4 2" xfId="44672"/>
    <cellStyle name="Comma 27 3 4 2 2" xfId="44673"/>
    <cellStyle name="Comma 27 3 4 2 3" xfId="44674"/>
    <cellStyle name="Comma 27 3 4 3" xfId="44675"/>
    <cellStyle name="Comma 27 3 4 3 2" xfId="44676"/>
    <cellStyle name="Comma 27 3 4 4" xfId="44677"/>
    <cellStyle name="Comma 27 3 4 5" xfId="44678"/>
    <cellStyle name="Comma 27 3 5" xfId="44679"/>
    <cellStyle name="Comma 27 3 5 2" xfId="44680"/>
    <cellStyle name="Comma 27 3 5 3" xfId="44681"/>
    <cellStyle name="Comma 27 3 6" xfId="44682"/>
    <cellStyle name="Comma 27 3 6 2" xfId="44683"/>
    <cellStyle name="Comma 27 3 6 3" xfId="44684"/>
    <cellStyle name="Comma 27 3 7" xfId="44685"/>
    <cellStyle name="Comma 27 3 7 2" xfId="44686"/>
    <cellStyle name="Comma 27 3 8" xfId="44687"/>
    <cellStyle name="Comma 27 3 9" xfId="44688"/>
    <cellStyle name="Comma 27 4" xfId="44689"/>
    <cellStyle name="Comma 27 4 2" xfId="44690"/>
    <cellStyle name="Comma 27 4 2 2" xfId="44691"/>
    <cellStyle name="Comma 27 4 2 2 2" xfId="44692"/>
    <cellStyle name="Comma 27 4 2 2 3" xfId="44693"/>
    <cellStyle name="Comma 27 4 2 3" xfId="44694"/>
    <cellStyle name="Comma 27 4 2 3 2" xfId="44695"/>
    <cellStyle name="Comma 27 4 2 3 3" xfId="44696"/>
    <cellStyle name="Comma 27 4 2 4" xfId="44697"/>
    <cellStyle name="Comma 27 4 2 4 2" xfId="44698"/>
    <cellStyle name="Comma 27 4 2 5" xfId="44699"/>
    <cellStyle name="Comma 27 4 2 6" xfId="44700"/>
    <cellStyle name="Comma 27 4 3" xfId="44701"/>
    <cellStyle name="Comma 27 4 3 2" xfId="44702"/>
    <cellStyle name="Comma 27 4 3 2 2" xfId="44703"/>
    <cellStyle name="Comma 27 4 3 2 3" xfId="44704"/>
    <cellStyle name="Comma 27 4 3 3" xfId="44705"/>
    <cellStyle name="Comma 27 4 3 3 2" xfId="44706"/>
    <cellStyle name="Comma 27 4 3 3 3" xfId="44707"/>
    <cellStyle name="Comma 27 4 3 4" xfId="44708"/>
    <cellStyle name="Comma 27 4 3 4 2" xfId="44709"/>
    <cellStyle name="Comma 27 4 3 5" xfId="44710"/>
    <cellStyle name="Comma 27 4 3 6" xfId="44711"/>
    <cellStyle name="Comma 27 4 4" xfId="44712"/>
    <cellStyle name="Comma 27 4 4 2" xfId="44713"/>
    <cellStyle name="Comma 27 4 4 2 2" xfId="44714"/>
    <cellStyle name="Comma 27 4 4 2 3" xfId="44715"/>
    <cellStyle name="Comma 27 4 4 3" xfId="44716"/>
    <cellStyle name="Comma 27 4 4 3 2" xfId="44717"/>
    <cellStyle name="Comma 27 4 4 4" xfId="44718"/>
    <cellStyle name="Comma 27 4 4 5" xfId="44719"/>
    <cellStyle name="Comma 27 4 5" xfId="44720"/>
    <cellStyle name="Comma 27 4 5 2" xfId="44721"/>
    <cellStyle name="Comma 27 4 5 3" xfId="44722"/>
    <cellStyle name="Comma 27 4 6" xfId="44723"/>
    <cellStyle name="Comma 27 4 6 2" xfId="44724"/>
    <cellStyle name="Comma 27 4 6 3" xfId="44725"/>
    <cellStyle name="Comma 27 4 7" xfId="44726"/>
    <cellStyle name="Comma 27 4 7 2" xfId="44727"/>
    <cellStyle name="Comma 27 4 8" xfId="44728"/>
    <cellStyle name="Comma 27 4 9" xfId="44729"/>
    <cellStyle name="Comma 27 5" xfId="44730"/>
    <cellStyle name="Comma 27 5 2" xfId="44731"/>
    <cellStyle name="Comma 27 5 2 2" xfId="44732"/>
    <cellStyle name="Comma 27 5 2 3" xfId="44733"/>
    <cellStyle name="Comma 27 5 3" xfId="44734"/>
    <cellStyle name="Comma 27 5 3 2" xfId="44735"/>
    <cellStyle name="Comma 27 5 3 3" xfId="44736"/>
    <cellStyle name="Comma 27 5 4" xfId="44737"/>
    <cellStyle name="Comma 27 5 4 2" xfId="44738"/>
    <cellStyle name="Comma 27 5 5" xfId="44739"/>
    <cellStyle name="Comma 27 5 6" xfId="44740"/>
    <cellStyle name="Comma 27 6" xfId="44741"/>
    <cellStyle name="Comma 27 6 2" xfId="44742"/>
    <cellStyle name="Comma 27 6 2 2" xfId="44743"/>
    <cellStyle name="Comma 27 6 2 3" xfId="44744"/>
    <cellStyle name="Comma 27 6 3" xfId="44745"/>
    <cellStyle name="Comma 27 6 3 2" xfId="44746"/>
    <cellStyle name="Comma 27 6 3 3" xfId="44747"/>
    <cellStyle name="Comma 27 6 4" xfId="44748"/>
    <cellStyle name="Comma 27 6 4 2" xfId="44749"/>
    <cellStyle name="Comma 27 6 5" xfId="44750"/>
    <cellStyle name="Comma 27 6 6" xfId="44751"/>
    <cellStyle name="Comma 27 7" xfId="44752"/>
    <cellStyle name="Comma 27 7 2" xfId="44753"/>
    <cellStyle name="Comma 27 7 2 2" xfId="44754"/>
    <cellStyle name="Comma 27 7 2 3" xfId="44755"/>
    <cellStyle name="Comma 27 7 3" xfId="44756"/>
    <cellStyle name="Comma 27 7 3 2" xfId="44757"/>
    <cellStyle name="Comma 27 7 4" xfId="44758"/>
    <cellStyle name="Comma 27 7 5" xfId="44759"/>
    <cellStyle name="Comma 27 8" xfId="44760"/>
    <cellStyle name="Comma 27 8 2" xfId="44761"/>
    <cellStyle name="Comma 27 8 3" xfId="44762"/>
    <cellStyle name="Comma 27 9" xfId="44763"/>
    <cellStyle name="Comma 27 9 2" xfId="44764"/>
    <cellStyle name="Comma 27 9 3" xfId="44765"/>
    <cellStyle name="Comma 28" xfId="3391"/>
    <cellStyle name="Comma 28 2" xfId="44766"/>
    <cellStyle name="Comma 28 3" xfId="44767"/>
    <cellStyle name="Comma 29" xfId="3392"/>
    <cellStyle name="Comma 29 2" xfId="9607"/>
    <cellStyle name="Comma 3" xfId="5"/>
    <cellStyle name="Comma 3 10" xfId="3393"/>
    <cellStyle name="Comma 3 11" xfId="3394"/>
    <cellStyle name="Comma 3 12" xfId="8766"/>
    <cellStyle name="Comma 3 2" xfId="3395"/>
    <cellStyle name="Comma 3 2 2" xfId="3396"/>
    <cellStyle name="Comma 3 2 2 2" xfId="3397"/>
    <cellStyle name="Comma 3 2 2 2 2" xfId="3398"/>
    <cellStyle name="Comma 3 2 2 2 2 2" xfId="3399"/>
    <cellStyle name="Comma 3 2 2 2 2 2 2" xfId="3400"/>
    <cellStyle name="Comma 3 2 2 2 2 2 2 2" xfId="3401"/>
    <cellStyle name="Comma 3 2 2 2 2 2 3" xfId="3402"/>
    <cellStyle name="Comma 3 2 2 2 2 3" xfId="3403"/>
    <cellStyle name="Comma 3 2 2 2 2 3 2" xfId="3404"/>
    <cellStyle name="Comma 3 2 2 2 2 4" xfId="3405"/>
    <cellStyle name="Comma 3 2 2 2 2 5" xfId="9051"/>
    <cellStyle name="Comma 3 2 2 2 3" xfId="3406"/>
    <cellStyle name="Comma 3 2 2 2 3 2" xfId="3407"/>
    <cellStyle name="Comma 3 2 2 2 3 2 2" xfId="3408"/>
    <cellStyle name="Comma 3 2 2 2 3 3" xfId="3409"/>
    <cellStyle name="Comma 3 2 2 2 4" xfId="3410"/>
    <cellStyle name="Comma 3 2 2 2 4 2" xfId="3411"/>
    <cellStyle name="Comma 3 2 2 2 5" xfId="3412"/>
    <cellStyle name="Comma 3 2 2 2 6" xfId="3413"/>
    <cellStyle name="Comma 3 2 2 2 7" xfId="9052"/>
    <cellStyle name="Comma 3 2 2 3" xfId="3414"/>
    <cellStyle name="Comma 3 2 2 3 2" xfId="3415"/>
    <cellStyle name="Comma 3 2 2 3 2 2" xfId="3416"/>
    <cellStyle name="Comma 3 2 2 3 2 2 2" xfId="3417"/>
    <cellStyle name="Comma 3 2 2 3 2 3" xfId="3418"/>
    <cellStyle name="Comma 3 2 2 3 3" xfId="3419"/>
    <cellStyle name="Comma 3 2 2 3 3 2" xfId="3420"/>
    <cellStyle name="Comma 3 2 2 3 4" xfId="3421"/>
    <cellStyle name="Comma 3 2 2 3 5" xfId="9053"/>
    <cellStyle name="Comma 3 2 2 4" xfId="3422"/>
    <cellStyle name="Comma 3 2 2 4 2" xfId="3423"/>
    <cellStyle name="Comma 3 2 2 4 2 2" xfId="3424"/>
    <cellStyle name="Comma 3 2 2 4 3" xfId="3425"/>
    <cellStyle name="Comma 3 2 2 5" xfId="3426"/>
    <cellStyle name="Comma 3 2 2 5 2" xfId="3427"/>
    <cellStyle name="Comma 3 2 2 6" xfId="3428"/>
    <cellStyle name="Comma 3 2 2 7" xfId="3429"/>
    <cellStyle name="Comma 3 2 2 8" xfId="9054"/>
    <cellStyle name="Comma 3 2 3" xfId="3430"/>
    <cellStyle name="Comma 3 2 3 2" xfId="3431"/>
    <cellStyle name="Comma 3 2 3 2 2" xfId="3432"/>
    <cellStyle name="Comma 3 2 3 2 2 2" xfId="3433"/>
    <cellStyle name="Comma 3 2 3 2 2 2 2" xfId="3434"/>
    <cellStyle name="Comma 3 2 3 2 2 3" xfId="3435"/>
    <cellStyle name="Comma 3 2 3 2 3" xfId="3436"/>
    <cellStyle name="Comma 3 2 3 2 3 2" xfId="3437"/>
    <cellStyle name="Comma 3 2 3 2 4" xfId="3438"/>
    <cellStyle name="Comma 3 2 3 2 5" xfId="9055"/>
    <cellStyle name="Comma 3 2 3 3" xfId="3439"/>
    <cellStyle name="Comma 3 2 3 3 2" xfId="3440"/>
    <cellStyle name="Comma 3 2 3 3 2 2" xfId="3441"/>
    <cellStyle name="Comma 3 2 3 3 3" xfId="3442"/>
    <cellStyle name="Comma 3 2 3 4" xfId="3443"/>
    <cellStyle name="Comma 3 2 3 4 2" xfId="3444"/>
    <cellStyle name="Comma 3 2 3 5" xfId="3445"/>
    <cellStyle name="Comma 3 2 3 6" xfId="3446"/>
    <cellStyle name="Comma 3 2 3 7" xfId="9056"/>
    <cellStyle name="Comma 3 2 4" xfId="3447"/>
    <cellStyle name="Comma 3 2 4 2" xfId="3448"/>
    <cellStyle name="Comma 3 2 4 2 2" xfId="3449"/>
    <cellStyle name="Comma 3 2 4 2 2 2" xfId="3450"/>
    <cellStyle name="Comma 3 2 4 2 2 2 2" xfId="3451"/>
    <cellStyle name="Comma 3 2 4 2 2 3" xfId="3452"/>
    <cellStyle name="Comma 3 2 4 2 3" xfId="3453"/>
    <cellStyle name="Comma 3 2 4 2 3 2" xfId="3454"/>
    <cellStyle name="Comma 3 2 4 2 4" xfId="3455"/>
    <cellStyle name="Comma 3 2 4 3" xfId="3456"/>
    <cellStyle name="Comma 3 2 4 3 2" xfId="3457"/>
    <cellStyle name="Comma 3 2 4 3 2 2" xfId="3458"/>
    <cellStyle name="Comma 3 2 4 3 3" xfId="3459"/>
    <cellStyle name="Comma 3 2 4 4" xfId="3460"/>
    <cellStyle name="Comma 3 2 4 4 2" xfId="3461"/>
    <cellStyle name="Comma 3 2 4 5" xfId="3462"/>
    <cellStyle name="Comma 3 2 4 6" xfId="9057"/>
    <cellStyle name="Comma 3 2 5" xfId="3463"/>
    <cellStyle name="Comma 3 2 5 2" xfId="3464"/>
    <cellStyle name="Comma 3 2 5 2 2" xfId="3465"/>
    <cellStyle name="Comma 3 2 5 2 2 2" xfId="3466"/>
    <cellStyle name="Comma 3 2 5 2 3" xfId="3467"/>
    <cellStyle name="Comma 3 2 5 3" xfId="3468"/>
    <cellStyle name="Comma 3 2 5 3 2" xfId="3469"/>
    <cellStyle name="Comma 3 2 5 4" xfId="3470"/>
    <cellStyle name="Comma 3 2 6" xfId="3471"/>
    <cellStyle name="Comma 3 2 6 2" xfId="3472"/>
    <cellStyle name="Comma 3 2 6 2 2" xfId="3473"/>
    <cellStyle name="Comma 3 2 6 3" xfId="3474"/>
    <cellStyle name="Comma 3 2 7" xfId="3475"/>
    <cellStyle name="Comma 3 2 7 2" xfId="3476"/>
    <cellStyle name="Comma 3 2 8" xfId="3477"/>
    <cellStyle name="Comma 3 2 9" xfId="8778"/>
    <cellStyle name="Comma 3 3" xfId="3478"/>
    <cellStyle name="Comma 3 3 2" xfId="3479"/>
    <cellStyle name="Comma 3 3 2 2" xfId="3480"/>
    <cellStyle name="Comma 3 3 2 2 2" xfId="3481"/>
    <cellStyle name="Comma 3 3 2 2 2 2" xfId="3482"/>
    <cellStyle name="Comma 3 3 2 2 2 2 2" xfId="3483"/>
    <cellStyle name="Comma 3 3 2 2 2 3" xfId="3484"/>
    <cellStyle name="Comma 3 3 2 2 2 4" xfId="9058"/>
    <cellStyle name="Comma 3 3 2 2 3" xfId="3485"/>
    <cellStyle name="Comma 3 3 2 2 3 2" xfId="3486"/>
    <cellStyle name="Comma 3 3 2 2 4" xfId="3487"/>
    <cellStyle name="Comma 3 3 2 2 5" xfId="3488"/>
    <cellStyle name="Comma 3 3 2 2 6" xfId="9059"/>
    <cellStyle name="Comma 3 3 2 3" xfId="3489"/>
    <cellStyle name="Comma 3 3 2 3 2" xfId="3490"/>
    <cellStyle name="Comma 3 3 2 3 2 2" xfId="3491"/>
    <cellStyle name="Comma 3 3 2 3 3" xfId="3492"/>
    <cellStyle name="Comma 3 3 2 3 4" xfId="9060"/>
    <cellStyle name="Comma 3 3 2 4" xfId="3493"/>
    <cellStyle name="Comma 3 3 2 4 2" xfId="3494"/>
    <cellStyle name="Comma 3 3 2 5" xfId="3495"/>
    <cellStyle name="Comma 3 3 2 6" xfId="3496"/>
    <cellStyle name="Comma 3 3 2 7" xfId="9061"/>
    <cellStyle name="Comma 3 3 3" xfId="3497"/>
    <cellStyle name="Comma 3 3 3 2" xfId="3498"/>
    <cellStyle name="Comma 3 3 3 2 2" xfId="3499"/>
    <cellStyle name="Comma 3 3 3 2 2 2" xfId="3500"/>
    <cellStyle name="Comma 3 3 3 2 3" xfId="3501"/>
    <cellStyle name="Comma 3 3 3 2 4" xfId="9062"/>
    <cellStyle name="Comma 3 3 3 3" xfId="3502"/>
    <cellStyle name="Comma 3 3 3 3 2" xfId="3503"/>
    <cellStyle name="Comma 3 3 3 4" xfId="3504"/>
    <cellStyle name="Comma 3 3 3 5" xfId="3505"/>
    <cellStyle name="Comma 3 3 3 6" xfId="9063"/>
    <cellStyle name="Comma 3 3 4" xfId="3506"/>
    <cellStyle name="Comma 3 3 4 2" xfId="3507"/>
    <cellStyle name="Comma 3 3 4 2 2" xfId="3508"/>
    <cellStyle name="Comma 3 3 4 3" xfId="3509"/>
    <cellStyle name="Comma 3 3 4 4" xfId="9064"/>
    <cellStyle name="Comma 3 3 5" xfId="3510"/>
    <cellStyle name="Comma 3 3 5 2" xfId="3511"/>
    <cellStyle name="Comma 3 3 6" xfId="3512"/>
    <cellStyle name="Comma 3 3 7" xfId="3513"/>
    <cellStyle name="Comma 3 3 8" xfId="8777"/>
    <cellStyle name="Comma 3 4" xfId="3514"/>
    <cellStyle name="Comma 3 4 2" xfId="3515"/>
    <cellStyle name="Comma 3 4 2 2" xfId="3516"/>
    <cellStyle name="Comma 3 4 2 2 2" xfId="3517"/>
    <cellStyle name="Comma 3 4 2 2 2 2" xfId="3518"/>
    <cellStyle name="Comma 3 4 2 2 2 3" xfId="9065"/>
    <cellStyle name="Comma 3 4 2 2 3" xfId="3519"/>
    <cellStyle name="Comma 3 4 2 2 4" xfId="3520"/>
    <cellStyle name="Comma 3 4 2 2 5" xfId="9066"/>
    <cellStyle name="Comma 3 4 2 3" xfId="3521"/>
    <cellStyle name="Comma 3 4 2 3 2" xfId="3522"/>
    <cellStyle name="Comma 3 4 2 3 3" xfId="9067"/>
    <cellStyle name="Comma 3 4 2 4" xfId="3523"/>
    <cellStyle name="Comma 3 4 2 5" xfId="3524"/>
    <cellStyle name="Comma 3 4 2 6" xfId="9068"/>
    <cellStyle name="Comma 3 4 3" xfId="3525"/>
    <cellStyle name="Comma 3 4 3 2" xfId="3526"/>
    <cellStyle name="Comma 3 4 3 2 2" xfId="3527"/>
    <cellStyle name="Comma 3 4 3 2 3" xfId="9069"/>
    <cellStyle name="Comma 3 4 3 3" xfId="3528"/>
    <cellStyle name="Comma 3 4 3 4" xfId="3529"/>
    <cellStyle name="Comma 3 4 3 5" xfId="9070"/>
    <cellStyle name="Comma 3 4 4" xfId="3530"/>
    <cellStyle name="Comma 3 4 4 2" xfId="3531"/>
    <cellStyle name="Comma 3 4 4 3" xfId="9071"/>
    <cellStyle name="Comma 3 4 5" xfId="3532"/>
    <cellStyle name="Comma 3 4 5 2" xfId="58845"/>
    <cellStyle name="Comma 3 4 6" xfId="3533"/>
    <cellStyle name="Comma 3 4 7" xfId="9072"/>
    <cellStyle name="Comma 3 4 8" xfId="58846"/>
    <cellStyle name="Comma 3 5" xfId="3534"/>
    <cellStyle name="Comma 3 5 2" xfId="3535"/>
    <cellStyle name="Comma 3 5 2 2" xfId="3536"/>
    <cellStyle name="Comma 3 5 2 2 2" xfId="3537"/>
    <cellStyle name="Comma 3 5 2 2 2 2" xfId="3538"/>
    <cellStyle name="Comma 3 5 2 2 3" xfId="3539"/>
    <cellStyle name="Comma 3 5 2 2 4" xfId="9073"/>
    <cellStyle name="Comma 3 5 2 3" xfId="3540"/>
    <cellStyle name="Comma 3 5 2 3 2" xfId="3541"/>
    <cellStyle name="Comma 3 5 2 4" xfId="3542"/>
    <cellStyle name="Comma 3 5 2 5" xfId="3543"/>
    <cellStyle name="Comma 3 5 2 6" xfId="9074"/>
    <cellStyle name="Comma 3 5 3" xfId="3544"/>
    <cellStyle name="Comma 3 5 3 2" xfId="3545"/>
    <cellStyle name="Comma 3 5 3 2 2" xfId="3546"/>
    <cellStyle name="Comma 3 5 3 3" xfId="3547"/>
    <cellStyle name="Comma 3 5 3 4" xfId="9075"/>
    <cellStyle name="Comma 3 5 4" xfId="3548"/>
    <cellStyle name="Comma 3 5 4 2" xfId="3549"/>
    <cellStyle name="Comma 3 5 5" xfId="3550"/>
    <cellStyle name="Comma 3 5 6" xfId="3551"/>
    <cellStyle name="Comma 3 5 7" xfId="9076"/>
    <cellStyle name="Comma 3 6" xfId="3552"/>
    <cellStyle name="Comma 3 6 2" xfId="3553"/>
    <cellStyle name="Comma 3 6 2 2" xfId="3554"/>
    <cellStyle name="Comma 3 6 2 2 2" xfId="3555"/>
    <cellStyle name="Comma 3 6 2 3" xfId="3556"/>
    <cellStyle name="Comma 3 6 2 4" xfId="3557"/>
    <cellStyle name="Comma 3 6 2 5" xfId="9077"/>
    <cellStyle name="Comma 3 6 3" xfId="3558"/>
    <cellStyle name="Comma 3 6 3 2" xfId="3559"/>
    <cellStyle name="Comma 3 6 4" xfId="3560"/>
    <cellStyle name="Comma 3 6 5" xfId="3561"/>
    <cellStyle name="Comma 3 6 6" xfId="9078"/>
    <cellStyle name="Comma 3 7" xfId="3562"/>
    <cellStyle name="Comma 3 7 2" xfId="3563"/>
    <cellStyle name="Comma 3 7 2 2" xfId="3564"/>
    <cellStyle name="Comma 3 7 3" xfId="3565"/>
    <cellStyle name="Comma 3 7 4" xfId="3566"/>
    <cellStyle name="Comma 3 7 5" xfId="9079"/>
    <cellStyle name="Comma 3 8" xfId="3567"/>
    <cellStyle name="Comma 3 8 2" xfId="3568"/>
    <cellStyle name="Comma 3 8 2 2" xfId="3569"/>
    <cellStyle name="Comma 3 8 3" xfId="3570"/>
    <cellStyle name="Comma 3 9" xfId="3571"/>
    <cellStyle name="Comma 3 9 2" xfId="3572"/>
    <cellStyle name="Comma 30" xfId="3573"/>
    <cellStyle name="Comma 30 2" xfId="3574"/>
    <cellStyle name="Comma 30 2 2" xfId="3575"/>
    <cellStyle name="Comma 30 2 2 2" xfId="3576"/>
    <cellStyle name="Comma 30 2 3" xfId="3577"/>
    <cellStyle name="Comma 30 3" xfId="3578"/>
    <cellStyle name="Comma 30 3 2" xfId="3579"/>
    <cellStyle name="Comma 30 4" xfId="3580"/>
    <cellStyle name="Comma 30 5" xfId="58847"/>
    <cellStyle name="Comma 31" xfId="3581"/>
    <cellStyle name="Comma 31 2" xfId="9608"/>
    <cellStyle name="Comma 32" xfId="3582"/>
    <cellStyle name="Comma 33" xfId="3583"/>
    <cellStyle name="Comma 33 2" xfId="58848"/>
    <cellStyle name="Comma 34" xfId="3584"/>
    <cellStyle name="Comma 34 2" xfId="58849"/>
    <cellStyle name="Comma 35" xfId="3585"/>
    <cellStyle name="Comma 35 2" xfId="58850"/>
    <cellStyle name="Comma 36" xfId="3586"/>
    <cellStyle name="Comma 36 2" xfId="58851"/>
    <cellStyle name="Comma 37" xfId="3587"/>
    <cellStyle name="Comma 37 2" xfId="58852"/>
    <cellStyle name="Comma 38" xfId="3588"/>
    <cellStyle name="Comma 39" xfId="3589"/>
    <cellStyle name="Comma 4" xfId="3590"/>
    <cellStyle name="Comma 4 10" xfId="9080"/>
    <cellStyle name="Comma 4 2" xfId="3591"/>
    <cellStyle name="Comma 4 2 2" xfId="3592"/>
    <cellStyle name="Comma 4 2 2 2" xfId="3593"/>
    <cellStyle name="Comma 4 2 2 2 2" xfId="9081"/>
    <cellStyle name="Comma 4 2 2 2 2 2" xfId="58853"/>
    <cellStyle name="Comma 4 2 2 2 3" xfId="9082"/>
    <cellStyle name="Comma 4 2 2 2 4" xfId="58854"/>
    <cellStyle name="Comma 4 2 2 2 5" xfId="58855"/>
    <cellStyle name="Comma 4 2 2 3" xfId="9083"/>
    <cellStyle name="Comma 4 2 2 3 2" xfId="58856"/>
    <cellStyle name="Comma 4 2 2 4" xfId="9084"/>
    <cellStyle name="Comma 4 2 2 4 2" xfId="58857"/>
    <cellStyle name="Comma 4 2 2 5" xfId="58858"/>
    <cellStyle name="Comma 4 2 2 6" xfId="58859"/>
    <cellStyle name="Comma 4 2 3" xfId="3594"/>
    <cellStyle name="Comma 4 2 3 2" xfId="9085"/>
    <cellStyle name="Comma 4 2 3 2 2" xfId="58860"/>
    <cellStyle name="Comma 4 2 3 3" xfId="9086"/>
    <cellStyle name="Comma 4 2 3 3 2" xfId="58861"/>
    <cellStyle name="Comma 4 2 3 4" xfId="58862"/>
    <cellStyle name="Comma 4 2 3 5" xfId="58863"/>
    <cellStyle name="Comma 4 2 4" xfId="3595"/>
    <cellStyle name="Comma 4 2 4 2" xfId="9087"/>
    <cellStyle name="Comma 4 2 4 3" xfId="58864"/>
    <cellStyle name="Comma 4 2 4 4" xfId="58865"/>
    <cellStyle name="Comma 4 2 5" xfId="8780"/>
    <cellStyle name="Comma 4 2 5 2" xfId="58866"/>
    <cellStyle name="Comma 4 2 6" xfId="58867"/>
    <cellStyle name="Comma 4 2 7" xfId="58868"/>
    <cellStyle name="Comma 4 2 8" xfId="58869"/>
    <cellStyle name="Comma 4 2 9" xfId="58870"/>
    <cellStyle name="Comma 4 3" xfId="3596"/>
    <cellStyle name="Comma 4 3 2" xfId="3597"/>
    <cellStyle name="Comma 4 3 2 2" xfId="3598"/>
    <cellStyle name="Comma 4 3 2 2 2" xfId="3599"/>
    <cellStyle name="Comma 4 3 2 2 2 2" xfId="3600"/>
    <cellStyle name="Comma 4 3 2 2 2 2 2" xfId="3601"/>
    <cellStyle name="Comma 4 3 2 2 2 3" xfId="3602"/>
    <cellStyle name="Comma 4 3 2 2 3" xfId="3603"/>
    <cellStyle name="Comma 4 3 2 2 3 2" xfId="3604"/>
    <cellStyle name="Comma 4 3 2 2 4" xfId="3605"/>
    <cellStyle name="Comma 4 3 2 2 5" xfId="58871"/>
    <cellStyle name="Comma 4 3 2 3" xfId="3606"/>
    <cellStyle name="Comma 4 3 2 3 2" xfId="3607"/>
    <cellStyle name="Comma 4 3 2 3 2 2" xfId="3608"/>
    <cellStyle name="Comma 4 3 2 3 3" xfId="3609"/>
    <cellStyle name="Comma 4 3 2 4" xfId="3610"/>
    <cellStyle name="Comma 4 3 2 4 2" xfId="3611"/>
    <cellStyle name="Comma 4 3 2 5" xfId="3612"/>
    <cellStyle name="Comma 4 3 2 6" xfId="3613"/>
    <cellStyle name="Comma 4 3 2 7" xfId="58872"/>
    <cellStyle name="Comma 4 3 3" xfId="3614"/>
    <cellStyle name="Comma 4 3 3 2" xfId="3615"/>
    <cellStyle name="Comma 4 3 3 2 2" xfId="3616"/>
    <cellStyle name="Comma 4 3 3 2 2 2" xfId="3617"/>
    <cellStyle name="Comma 4 3 3 2 3" xfId="3618"/>
    <cellStyle name="Comma 4 3 3 3" xfId="3619"/>
    <cellStyle name="Comma 4 3 3 3 2" xfId="3620"/>
    <cellStyle name="Comma 4 3 3 4" xfId="3621"/>
    <cellStyle name="Comma 4 3 3 5" xfId="58873"/>
    <cellStyle name="Comma 4 3 4" xfId="3622"/>
    <cellStyle name="Comma 4 3 4 2" xfId="3623"/>
    <cellStyle name="Comma 4 3 4 2 2" xfId="3624"/>
    <cellStyle name="Comma 4 3 4 3" xfId="3625"/>
    <cellStyle name="Comma 4 3 5" xfId="3626"/>
    <cellStyle name="Comma 4 3 5 2" xfId="3627"/>
    <cellStyle name="Comma 4 3 6" xfId="3628"/>
    <cellStyle name="Comma 4 3 7" xfId="3629"/>
    <cellStyle name="Comma 4 3 8" xfId="9088"/>
    <cellStyle name="Comma 4 4" xfId="3630"/>
    <cellStyle name="Comma 4 4 2" xfId="3631"/>
    <cellStyle name="Comma 4 4 2 2" xfId="3632"/>
    <cellStyle name="Comma 4 4 2 2 2" xfId="3633"/>
    <cellStyle name="Comma 4 4 2 2 2 2" xfId="3634"/>
    <cellStyle name="Comma 4 4 2 2 3" xfId="3635"/>
    <cellStyle name="Comma 4 4 2 2 4" xfId="9089"/>
    <cellStyle name="Comma 4 4 2 3" xfId="3636"/>
    <cellStyle name="Comma 4 4 2 3 2" xfId="3637"/>
    <cellStyle name="Comma 4 4 2 4" xfId="3638"/>
    <cellStyle name="Comma 4 4 2 5" xfId="9090"/>
    <cellStyle name="Comma 4 4 3" xfId="3639"/>
    <cellStyle name="Comma 4 4 3 2" xfId="3640"/>
    <cellStyle name="Comma 4 4 3 2 2" xfId="3641"/>
    <cellStyle name="Comma 4 4 3 3" xfId="3642"/>
    <cellStyle name="Comma 4 4 3 4" xfId="9091"/>
    <cellStyle name="Comma 4 4 4" xfId="3643"/>
    <cellStyle name="Comma 4 4 4 2" xfId="3644"/>
    <cellStyle name="Comma 4 4 5" xfId="3645"/>
    <cellStyle name="Comma 4 4 6" xfId="3646"/>
    <cellStyle name="Comma 4 4 7" xfId="9092"/>
    <cellStyle name="Comma 4 5" xfId="3647"/>
    <cellStyle name="Comma 4 5 2" xfId="3648"/>
    <cellStyle name="Comma 4 5 2 2" xfId="3649"/>
    <cellStyle name="Comma 4 5 2 2 2" xfId="3650"/>
    <cellStyle name="Comma 4 5 2 3" xfId="3651"/>
    <cellStyle name="Comma 4 5 2 4" xfId="9093"/>
    <cellStyle name="Comma 4 5 3" xfId="3652"/>
    <cellStyle name="Comma 4 5 3 2" xfId="3653"/>
    <cellStyle name="Comma 4 5 4" xfId="3654"/>
    <cellStyle name="Comma 4 5 5" xfId="9094"/>
    <cellStyle name="Comma 4 6" xfId="3655"/>
    <cellStyle name="Comma 4 6 2" xfId="3656"/>
    <cellStyle name="Comma 4 6 2 2" xfId="3657"/>
    <cellStyle name="Comma 4 6 3" xfId="3658"/>
    <cellStyle name="Comma 4 6 4" xfId="9095"/>
    <cellStyle name="Comma 4 7" xfId="3659"/>
    <cellStyle name="Comma 4 7 2" xfId="3660"/>
    <cellStyle name="Comma 4 8" xfId="3661"/>
    <cellStyle name="Comma 4 9" xfId="3662"/>
    <cellStyle name="Comma 4_183302" xfId="8769"/>
    <cellStyle name="Comma 40" xfId="3663"/>
    <cellStyle name="Comma 41" xfId="3664"/>
    <cellStyle name="Comma 42" xfId="3665"/>
    <cellStyle name="Comma 43" xfId="3666"/>
    <cellStyle name="Comma 44" xfId="3667"/>
    <cellStyle name="Comma 45" xfId="3668"/>
    <cellStyle name="Comma 46" xfId="3669"/>
    <cellStyle name="Comma 47" xfId="3670"/>
    <cellStyle name="Comma 48" xfId="3671"/>
    <cellStyle name="Comma 49" xfId="3672"/>
    <cellStyle name="Comma 5" xfId="3673"/>
    <cellStyle name="Comma 5 2" xfId="3674"/>
    <cellStyle name="Comma 5 2 2" xfId="3675"/>
    <cellStyle name="Comma 5 2 3" xfId="3676"/>
    <cellStyle name="Comma 5 3" xfId="9609"/>
    <cellStyle name="Comma 5 3 2" xfId="44768"/>
    <cellStyle name="Comma 50" xfId="3677"/>
    <cellStyle name="Comma 50 2" xfId="58874"/>
    <cellStyle name="Comma 51" xfId="3678"/>
    <cellStyle name="Comma 52" xfId="3679"/>
    <cellStyle name="Comma 53" xfId="3680"/>
    <cellStyle name="Comma 54" xfId="3681"/>
    <cellStyle name="Comma 55" xfId="3682"/>
    <cellStyle name="Comma 56" xfId="3683"/>
    <cellStyle name="Comma 57" xfId="3684"/>
    <cellStyle name="Comma 58" xfId="3685"/>
    <cellStyle name="Comma 59" xfId="3686"/>
    <cellStyle name="Comma 6" xfId="3687"/>
    <cellStyle name="Comma 6 10" xfId="44769"/>
    <cellStyle name="Comma 6 10 2" xfId="44770"/>
    <cellStyle name="Comma 6 10 2 2" xfId="44771"/>
    <cellStyle name="Comma 6 10 2 3" xfId="44772"/>
    <cellStyle name="Comma 6 10 3" xfId="44773"/>
    <cellStyle name="Comma 6 10 3 2" xfId="44774"/>
    <cellStyle name="Comma 6 10 4" xfId="44775"/>
    <cellStyle name="Comma 6 10 5" xfId="44776"/>
    <cellStyle name="Comma 6 11" xfId="44777"/>
    <cellStyle name="Comma 6 11 2" xfId="44778"/>
    <cellStyle name="Comma 6 11 3" xfId="44779"/>
    <cellStyle name="Comma 6 12" xfId="44780"/>
    <cellStyle name="Comma 6 12 2" xfId="44781"/>
    <cellStyle name="Comma 6 12 3" xfId="44782"/>
    <cellStyle name="Comma 6 13" xfId="44783"/>
    <cellStyle name="Comma 6 13 2" xfId="44784"/>
    <cellStyle name="Comma 6 14" xfId="44785"/>
    <cellStyle name="Comma 6 15" xfId="44786"/>
    <cellStyle name="Comma 6 16" xfId="44787"/>
    <cellStyle name="Comma 6 2" xfId="3688"/>
    <cellStyle name="Comma 6 2 10" xfId="44788"/>
    <cellStyle name="Comma 6 2 10 2" xfId="44789"/>
    <cellStyle name="Comma 6 2 10 3" xfId="44790"/>
    <cellStyle name="Comma 6 2 11" xfId="44791"/>
    <cellStyle name="Comma 6 2 11 2" xfId="44792"/>
    <cellStyle name="Comma 6 2 11 3" xfId="44793"/>
    <cellStyle name="Comma 6 2 12" xfId="44794"/>
    <cellStyle name="Comma 6 2 12 2" xfId="44795"/>
    <cellStyle name="Comma 6 2 13" xfId="44796"/>
    <cellStyle name="Comma 6 2 14" xfId="44797"/>
    <cellStyle name="Comma 6 2 15" xfId="44798"/>
    <cellStyle name="Comma 6 2 2" xfId="8364"/>
    <cellStyle name="Comma 6 2 2 10" xfId="44799"/>
    <cellStyle name="Comma 6 2 2 10 2" xfId="44800"/>
    <cellStyle name="Comma 6 2 2 10 3" xfId="44801"/>
    <cellStyle name="Comma 6 2 2 11" xfId="44802"/>
    <cellStyle name="Comma 6 2 2 11 2" xfId="44803"/>
    <cellStyle name="Comma 6 2 2 12" xfId="44804"/>
    <cellStyle name="Comma 6 2 2 13" xfId="44805"/>
    <cellStyle name="Comma 6 2 2 14" xfId="44806"/>
    <cellStyle name="Comma 6 2 2 2" xfId="9610"/>
    <cellStyle name="Comma 6 2 2 2 10" xfId="44807"/>
    <cellStyle name="Comma 6 2 2 2 10 2" xfId="44808"/>
    <cellStyle name="Comma 6 2 2 2 11" xfId="44809"/>
    <cellStyle name="Comma 6 2 2 2 12" xfId="44810"/>
    <cellStyle name="Comma 6 2 2 2 13" xfId="44811"/>
    <cellStyle name="Comma 6 2 2 2 2" xfId="44812"/>
    <cellStyle name="Comma 6 2 2 2 2 10" xfId="44813"/>
    <cellStyle name="Comma 6 2 2 2 2 2" xfId="44814"/>
    <cellStyle name="Comma 6 2 2 2 2 2 2" xfId="44815"/>
    <cellStyle name="Comma 6 2 2 2 2 2 2 2" xfId="44816"/>
    <cellStyle name="Comma 6 2 2 2 2 2 2 2 2" xfId="44817"/>
    <cellStyle name="Comma 6 2 2 2 2 2 2 2 3" xfId="44818"/>
    <cellStyle name="Comma 6 2 2 2 2 2 2 3" xfId="44819"/>
    <cellStyle name="Comma 6 2 2 2 2 2 2 3 2" xfId="44820"/>
    <cellStyle name="Comma 6 2 2 2 2 2 2 3 3" xfId="44821"/>
    <cellStyle name="Comma 6 2 2 2 2 2 2 4" xfId="44822"/>
    <cellStyle name="Comma 6 2 2 2 2 2 2 4 2" xfId="44823"/>
    <cellStyle name="Comma 6 2 2 2 2 2 2 5" xfId="44824"/>
    <cellStyle name="Comma 6 2 2 2 2 2 2 6" xfId="44825"/>
    <cellStyle name="Comma 6 2 2 2 2 2 3" xfId="44826"/>
    <cellStyle name="Comma 6 2 2 2 2 2 3 2" xfId="44827"/>
    <cellStyle name="Comma 6 2 2 2 2 2 3 2 2" xfId="44828"/>
    <cellStyle name="Comma 6 2 2 2 2 2 3 2 3" xfId="44829"/>
    <cellStyle name="Comma 6 2 2 2 2 2 3 3" xfId="44830"/>
    <cellStyle name="Comma 6 2 2 2 2 2 3 3 2" xfId="44831"/>
    <cellStyle name="Comma 6 2 2 2 2 2 3 3 3" xfId="44832"/>
    <cellStyle name="Comma 6 2 2 2 2 2 3 4" xfId="44833"/>
    <cellStyle name="Comma 6 2 2 2 2 2 3 4 2" xfId="44834"/>
    <cellStyle name="Comma 6 2 2 2 2 2 3 5" xfId="44835"/>
    <cellStyle name="Comma 6 2 2 2 2 2 3 6" xfId="44836"/>
    <cellStyle name="Comma 6 2 2 2 2 2 4" xfId="44837"/>
    <cellStyle name="Comma 6 2 2 2 2 2 4 2" xfId="44838"/>
    <cellStyle name="Comma 6 2 2 2 2 2 4 2 2" xfId="44839"/>
    <cellStyle name="Comma 6 2 2 2 2 2 4 2 3" xfId="44840"/>
    <cellStyle name="Comma 6 2 2 2 2 2 4 3" xfId="44841"/>
    <cellStyle name="Comma 6 2 2 2 2 2 4 3 2" xfId="44842"/>
    <cellStyle name="Comma 6 2 2 2 2 2 4 4" xfId="44843"/>
    <cellStyle name="Comma 6 2 2 2 2 2 4 5" xfId="44844"/>
    <cellStyle name="Comma 6 2 2 2 2 2 5" xfId="44845"/>
    <cellStyle name="Comma 6 2 2 2 2 2 5 2" xfId="44846"/>
    <cellStyle name="Comma 6 2 2 2 2 2 5 3" xfId="44847"/>
    <cellStyle name="Comma 6 2 2 2 2 2 6" xfId="44848"/>
    <cellStyle name="Comma 6 2 2 2 2 2 6 2" xfId="44849"/>
    <cellStyle name="Comma 6 2 2 2 2 2 6 3" xfId="44850"/>
    <cellStyle name="Comma 6 2 2 2 2 2 7" xfId="44851"/>
    <cellStyle name="Comma 6 2 2 2 2 2 7 2" xfId="44852"/>
    <cellStyle name="Comma 6 2 2 2 2 2 8" xfId="44853"/>
    <cellStyle name="Comma 6 2 2 2 2 2 9" xfId="44854"/>
    <cellStyle name="Comma 6 2 2 2 2 3" xfId="44855"/>
    <cellStyle name="Comma 6 2 2 2 2 3 2" xfId="44856"/>
    <cellStyle name="Comma 6 2 2 2 2 3 2 2" xfId="44857"/>
    <cellStyle name="Comma 6 2 2 2 2 3 2 3" xfId="44858"/>
    <cellStyle name="Comma 6 2 2 2 2 3 3" xfId="44859"/>
    <cellStyle name="Comma 6 2 2 2 2 3 3 2" xfId="44860"/>
    <cellStyle name="Comma 6 2 2 2 2 3 3 3" xfId="44861"/>
    <cellStyle name="Comma 6 2 2 2 2 3 4" xfId="44862"/>
    <cellStyle name="Comma 6 2 2 2 2 3 4 2" xfId="44863"/>
    <cellStyle name="Comma 6 2 2 2 2 3 5" xfId="44864"/>
    <cellStyle name="Comma 6 2 2 2 2 3 6" xfId="44865"/>
    <cellStyle name="Comma 6 2 2 2 2 4" xfId="44866"/>
    <cellStyle name="Comma 6 2 2 2 2 4 2" xfId="44867"/>
    <cellStyle name="Comma 6 2 2 2 2 4 2 2" xfId="44868"/>
    <cellStyle name="Comma 6 2 2 2 2 4 2 3" xfId="44869"/>
    <cellStyle name="Comma 6 2 2 2 2 4 3" xfId="44870"/>
    <cellStyle name="Comma 6 2 2 2 2 4 3 2" xfId="44871"/>
    <cellStyle name="Comma 6 2 2 2 2 4 3 3" xfId="44872"/>
    <cellStyle name="Comma 6 2 2 2 2 4 4" xfId="44873"/>
    <cellStyle name="Comma 6 2 2 2 2 4 4 2" xfId="44874"/>
    <cellStyle name="Comma 6 2 2 2 2 4 5" xfId="44875"/>
    <cellStyle name="Comma 6 2 2 2 2 4 6" xfId="44876"/>
    <cellStyle name="Comma 6 2 2 2 2 5" xfId="44877"/>
    <cellStyle name="Comma 6 2 2 2 2 5 2" xfId="44878"/>
    <cellStyle name="Comma 6 2 2 2 2 5 2 2" xfId="44879"/>
    <cellStyle name="Comma 6 2 2 2 2 5 2 3" xfId="44880"/>
    <cellStyle name="Comma 6 2 2 2 2 5 3" xfId="44881"/>
    <cellStyle name="Comma 6 2 2 2 2 5 3 2" xfId="44882"/>
    <cellStyle name="Comma 6 2 2 2 2 5 4" xfId="44883"/>
    <cellStyle name="Comma 6 2 2 2 2 5 5" xfId="44884"/>
    <cellStyle name="Comma 6 2 2 2 2 6" xfId="44885"/>
    <cellStyle name="Comma 6 2 2 2 2 6 2" xfId="44886"/>
    <cellStyle name="Comma 6 2 2 2 2 6 3" xfId="44887"/>
    <cellStyle name="Comma 6 2 2 2 2 7" xfId="44888"/>
    <cellStyle name="Comma 6 2 2 2 2 7 2" xfId="44889"/>
    <cellStyle name="Comma 6 2 2 2 2 7 3" xfId="44890"/>
    <cellStyle name="Comma 6 2 2 2 2 8" xfId="44891"/>
    <cellStyle name="Comma 6 2 2 2 2 8 2" xfId="44892"/>
    <cellStyle name="Comma 6 2 2 2 2 9" xfId="44893"/>
    <cellStyle name="Comma 6 2 2 2 3" xfId="44894"/>
    <cellStyle name="Comma 6 2 2 2 3 2" xfId="44895"/>
    <cellStyle name="Comma 6 2 2 2 3 2 2" xfId="44896"/>
    <cellStyle name="Comma 6 2 2 2 3 2 2 2" xfId="44897"/>
    <cellStyle name="Comma 6 2 2 2 3 2 2 3" xfId="44898"/>
    <cellStyle name="Comma 6 2 2 2 3 2 3" xfId="44899"/>
    <cellStyle name="Comma 6 2 2 2 3 2 3 2" xfId="44900"/>
    <cellStyle name="Comma 6 2 2 2 3 2 3 3" xfId="44901"/>
    <cellStyle name="Comma 6 2 2 2 3 2 4" xfId="44902"/>
    <cellStyle name="Comma 6 2 2 2 3 2 4 2" xfId="44903"/>
    <cellStyle name="Comma 6 2 2 2 3 2 5" xfId="44904"/>
    <cellStyle name="Comma 6 2 2 2 3 2 6" xfId="44905"/>
    <cellStyle name="Comma 6 2 2 2 3 3" xfId="44906"/>
    <cellStyle name="Comma 6 2 2 2 3 3 2" xfId="44907"/>
    <cellStyle name="Comma 6 2 2 2 3 3 2 2" xfId="44908"/>
    <cellStyle name="Comma 6 2 2 2 3 3 2 3" xfId="44909"/>
    <cellStyle name="Comma 6 2 2 2 3 3 3" xfId="44910"/>
    <cellStyle name="Comma 6 2 2 2 3 3 3 2" xfId="44911"/>
    <cellStyle name="Comma 6 2 2 2 3 3 3 3" xfId="44912"/>
    <cellStyle name="Comma 6 2 2 2 3 3 4" xfId="44913"/>
    <cellStyle name="Comma 6 2 2 2 3 3 4 2" xfId="44914"/>
    <cellStyle name="Comma 6 2 2 2 3 3 5" xfId="44915"/>
    <cellStyle name="Comma 6 2 2 2 3 3 6" xfId="44916"/>
    <cellStyle name="Comma 6 2 2 2 3 4" xfId="44917"/>
    <cellStyle name="Comma 6 2 2 2 3 4 2" xfId="44918"/>
    <cellStyle name="Comma 6 2 2 2 3 4 2 2" xfId="44919"/>
    <cellStyle name="Comma 6 2 2 2 3 4 2 3" xfId="44920"/>
    <cellStyle name="Comma 6 2 2 2 3 4 3" xfId="44921"/>
    <cellStyle name="Comma 6 2 2 2 3 4 3 2" xfId="44922"/>
    <cellStyle name="Comma 6 2 2 2 3 4 4" xfId="44923"/>
    <cellStyle name="Comma 6 2 2 2 3 4 5" xfId="44924"/>
    <cellStyle name="Comma 6 2 2 2 3 5" xfId="44925"/>
    <cellStyle name="Comma 6 2 2 2 3 5 2" xfId="44926"/>
    <cellStyle name="Comma 6 2 2 2 3 5 3" xfId="44927"/>
    <cellStyle name="Comma 6 2 2 2 3 6" xfId="44928"/>
    <cellStyle name="Comma 6 2 2 2 3 6 2" xfId="44929"/>
    <cellStyle name="Comma 6 2 2 2 3 6 3" xfId="44930"/>
    <cellStyle name="Comma 6 2 2 2 3 7" xfId="44931"/>
    <cellStyle name="Comma 6 2 2 2 3 7 2" xfId="44932"/>
    <cellStyle name="Comma 6 2 2 2 3 8" xfId="44933"/>
    <cellStyle name="Comma 6 2 2 2 3 9" xfId="44934"/>
    <cellStyle name="Comma 6 2 2 2 4" xfId="44935"/>
    <cellStyle name="Comma 6 2 2 2 4 2" xfId="44936"/>
    <cellStyle name="Comma 6 2 2 2 4 2 2" xfId="44937"/>
    <cellStyle name="Comma 6 2 2 2 4 2 2 2" xfId="44938"/>
    <cellStyle name="Comma 6 2 2 2 4 2 2 3" xfId="44939"/>
    <cellStyle name="Comma 6 2 2 2 4 2 3" xfId="44940"/>
    <cellStyle name="Comma 6 2 2 2 4 2 3 2" xfId="44941"/>
    <cellStyle name="Comma 6 2 2 2 4 2 3 3" xfId="44942"/>
    <cellStyle name="Comma 6 2 2 2 4 2 4" xfId="44943"/>
    <cellStyle name="Comma 6 2 2 2 4 2 4 2" xfId="44944"/>
    <cellStyle name="Comma 6 2 2 2 4 2 5" xfId="44945"/>
    <cellStyle name="Comma 6 2 2 2 4 2 6" xfId="44946"/>
    <cellStyle name="Comma 6 2 2 2 4 3" xfId="44947"/>
    <cellStyle name="Comma 6 2 2 2 4 3 2" xfId="44948"/>
    <cellStyle name="Comma 6 2 2 2 4 3 2 2" xfId="44949"/>
    <cellStyle name="Comma 6 2 2 2 4 3 2 3" xfId="44950"/>
    <cellStyle name="Comma 6 2 2 2 4 3 3" xfId="44951"/>
    <cellStyle name="Comma 6 2 2 2 4 3 3 2" xfId="44952"/>
    <cellStyle name="Comma 6 2 2 2 4 3 3 3" xfId="44953"/>
    <cellStyle name="Comma 6 2 2 2 4 3 4" xfId="44954"/>
    <cellStyle name="Comma 6 2 2 2 4 3 4 2" xfId="44955"/>
    <cellStyle name="Comma 6 2 2 2 4 3 5" xfId="44956"/>
    <cellStyle name="Comma 6 2 2 2 4 3 6" xfId="44957"/>
    <cellStyle name="Comma 6 2 2 2 4 4" xfId="44958"/>
    <cellStyle name="Comma 6 2 2 2 4 4 2" xfId="44959"/>
    <cellStyle name="Comma 6 2 2 2 4 4 2 2" xfId="44960"/>
    <cellStyle name="Comma 6 2 2 2 4 4 2 3" xfId="44961"/>
    <cellStyle name="Comma 6 2 2 2 4 4 3" xfId="44962"/>
    <cellStyle name="Comma 6 2 2 2 4 4 3 2" xfId="44963"/>
    <cellStyle name="Comma 6 2 2 2 4 4 4" xfId="44964"/>
    <cellStyle name="Comma 6 2 2 2 4 4 5" xfId="44965"/>
    <cellStyle name="Comma 6 2 2 2 4 5" xfId="44966"/>
    <cellStyle name="Comma 6 2 2 2 4 5 2" xfId="44967"/>
    <cellStyle name="Comma 6 2 2 2 4 5 3" xfId="44968"/>
    <cellStyle name="Comma 6 2 2 2 4 6" xfId="44969"/>
    <cellStyle name="Comma 6 2 2 2 4 6 2" xfId="44970"/>
    <cellStyle name="Comma 6 2 2 2 4 6 3" xfId="44971"/>
    <cellStyle name="Comma 6 2 2 2 4 7" xfId="44972"/>
    <cellStyle name="Comma 6 2 2 2 4 7 2" xfId="44973"/>
    <cellStyle name="Comma 6 2 2 2 4 8" xfId="44974"/>
    <cellStyle name="Comma 6 2 2 2 4 9" xfId="44975"/>
    <cellStyle name="Comma 6 2 2 2 5" xfId="44976"/>
    <cellStyle name="Comma 6 2 2 2 5 2" xfId="44977"/>
    <cellStyle name="Comma 6 2 2 2 5 2 2" xfId="44978"/>
    <cellStyle name="Comma 6 2 2 2 5 2 3" xfId="44979"/>
    <cellStyle name="Comma 6 2 2 2 5 3" xfId="44980"/>
    <cellStyle name="Comma 6 2 2 2 5 3 2" xfId="44981"/>
    <cellStyle name="Comma 6 2 2 2 5 3 3" xfId="44982"/>
    <cellStyle name="Comma 6 2 2 2 5 4" xfId="44983"/>
    <cellStyle name="Comma 6 2 2 2 5 4 2" xfId="44984"/>
    <cellStyle name="Comma 6 2 2 2 5 5" xfId="44985"/>
    <cellStyle name="Comma 6 2 2 2 5 6" xfId="44986"/>
    <cellStyle name="Comma 6 2 2 2 6" xfId="44987"/>
    <cellStyle name="Comma 6 2 2 2 6 2" xfId="44988"/>
    <cellStyle name="Comma 6 2 2 2 6 2 2" xfId="44989"/>
    <cellStyle name="Comma 6 2 2 2 6 2 3" xfId="44990"/>
    <cellStyle name="Comma 6 2 2 2 6 3" xfId="44991"/>
    <cellStyle name="Comma 6 2 2 2 6 3 2" xfId="44992"/>
    <cellStyle name="Comma 6 2 2 2 6 3 3" xfId="44993"/>
    <cellStyle name="Comma 6 2 2 2 6 4" xfId="44994"/>
    <cellStyle name="Comma 6 2 2 2 6 4 2" xfId="44995"/>
    <cellStyle name="Comma 6 2 2 2 6 5" xfId="44996"/>
    <cellStyle name="Comma 6 2 2 2 6 6" xfId="44997"/>
    <cellStyle name="Comma 6 2 2 2 7" xfId="44998"/>
    <cellStyle name="Comma 6 2 2 2 7 2" xfId="44999"/>
    <cellStyle name="Comma 6 2 2 2 7 2 2" xfId="45000"/>
    <cellStyle name="Comma 6 2 2 2 7 2 3" xfId="45001"/>
    <cellStyle name="Comma 6 2 2 2 7 3" xfId="45002"/>
    <cellStyle name="Comma 6 2 2 2 7 3 2" xfId="45003"/>
    <cellStyle name="Comma 6 2 2 2 7 4" xfId="45004"/>
    <cellStyle name="Comma 6 2 2 2 7 5" xfId="45005"/>
    <cellStyle name="Comma 6 2 2 2 8" xfId="45006"/>
    <cellStyle name="Comma 6 2 2 2 8 2" xfId="45007"/>
    <cellStyle name="Comma 6 2 2 2 8 3" xfId="45008"/>
    <cellStyle name="Comma 6 2 2 2 9" xfId="45009"/>
    <cellStyle name="Comma 6 2 2 2 9 2" xfId="45010"/>
    <cellStyle name="Comma 6 2 2 2 9 3" xfId="45011"/>
    <cellStyle name="Comma 6 2 2 3" xfId="45012"/>
    <cellStyle name="Comma 6 2 2 3 10" xfId="45013"/>
    <cellStyle name="Comma 6 2 2 3 2" xfId="45014"/>
    <cellStyle name="Comma 6 2 2 3 2 2" xfId="45015"/>
    <cellStyle name="Comma 6 2 2 3 2 2 2" xfId="45016"/>
    <cellStyle name="Comma 6 2 2 3 2 2 2 2" xfId="45017"/>
    <cellStyle name="Comma 6 2 2 3 2 2 2 3" xfId="45018"/>
    <cellStyle name="Comma 6 2 2 3 2 2 3" xfId="45019"/>
    <cellStyle name="Comma 6 2 2 3 2 2 3 2" xfId="45020"/>
    <cellStyle name="Comma 6 2 2 3 2 2 3 3" xfId="45021"/>
    <cellStyle name="Comma 6 2 2 3 2 2 4" xfId="45022"/>
    <cellStyle name="Comma 6 2 2 3 2 2 4 2" xfId="45023"/>
    <cellStyle name="Comma 6 2 2 3 2 2 5" xfId="45024"/>
    <cellStyle name="Comma 6 2 2 3 2 2 6" xfId="45025"/>
    <cellStyle name="Comma 6 2 2 3 2 3" xfId="45026"/>
    <cellStyle name="Comma 6 2 2 3 2 3 2" xfId="45027"/>
    <cellStyle name="Comma 6 2 2 3 2 3 2 2" xfId="45028"/>
    <cellStyle name="Comma 6 2 2 3 2 3 2 3" xfId="45029"/>
    <cellStyle name="Comma 6 2 2 3 2 3 3" xfId="45030"/>
    <cellStyle name="Comma 6 2 2 3 2 3 3 2" xfId="45031"/>
    <cellStyle name="Comma 6 2 2 3 2 3 3 3" xfId="45032"/>
    <cellStyle name="Comma 6 2 2 3 2 3 4" xfId="45033"/>
    <cellStyle name="Comma 6 2 2 3 2 3 4 2" xfId="45034"/>
    <cellStyle name="Comma 6 2 2 3 2 3 5" xfId="45035"/>
    <cellStyle name="Comma 6 2 2 3 2 3 6" xfId="45036"/>
    <cellStyle name="Comma 6 2 2 3 2 4" xfId="45037"/>
    <cellStyle name="Comma 6 2 2 3 2 4 2" xfId="45038"/>
    <cellStyle name="Comma 6 2 2 3 2 4 2 2" xfId="45039"/>
    <cellStyle name="Comma 6 2 2 3 2 4 2 3" xfId="45040"/>
    <cellStyle name="Comma 6 2 2 3 2 4 3" xfId="45041"/>
    <cellStyle name="Comma 6 2 2 3 2 4 3 2" xfId="45042"/>
    <cellStyle name="Comma 6 2 2 3 2 4 4" xfId="45043"/>
    <cellStyle name="Comma 6 2 2 3 2 4 5" xfId="45044"/>
    <cellStyle name="Comma 6 2 2 3 2 5" xfId="45045"/>
    <cellStyle name="Comma 6 2 2 3 2 5 2" xfId="45046"/>
    <cellStyle name="Comma 6 2 2 3 2 5 3" xfId="45047"/>
    <cellStyle name="Comma 6 2 2 3 2 6" xfId="45048"/>
    <cellStyle name="Comma 6 2 2 3 2 6 2" xfId="45049"/>
    <cellStyle name="Comma 6 2 2 3 2 6 3" xfId="45050"/>
    <cellStyle name="Comma 6 2 2 3 2 7" xfId="45051"/>
    <cellStyle name="Comma 6 2 2 3 2 7 2" xfId="45052"/>
    <cellStyle name="Comma 6 2 2 3 2 8" xfId="45053"/>
    <cellStyle name="Comma 6 2 2 3 2 9" xfId="45054"/>
    <cellStyle name="Comma 6 2 2 3 3" xfId="45055"/>
    <cellStyle name="Comma 6 2 2 3 3 2" xfId="45056"/>
    <cellStyle name="Comma 6 2 2 3 3 2 2" xfId="45057"/>
    <cellStyle name="Comma 6 2 2 3 3 2 3" xfId="45058"/>
    <cellStyle name="Comma 6 2 2 3 3 3" xfId="45059"/>
    <cellStyle name="Comma 6 2 2 3 3 3 2" xfId="45060"/>
    <cellStyle name="Comma 6 2 2 3 3 3 3" xfId="45061"/>
    <cellStyle name="Comma 6 2 2 3 3 4" xfId="45062"/>
    <cellStyle name="Comma 6 2 2 3 3 4 2" xfId="45063"/>
    <cellStyle name="Comma 6 2 2 3 3 5" xfId="45064"/>
    <cellStyle name="Comma 6 2 2 3 3 6" xfId="45065"/>
    <cellStyle name="Comma 6 2 2 3 4" xfId="45066"/>
    <cellStyle name="Comma 6 2 2 3 4 2" xfId="45067"/>
    <cellStyle name="Comma 6 2 2 3 4 2 2" xfId="45068"/>
    <cellStyle name="Comma 6 2 2 3 4 2 3" xfId="45069"/>
    <cellStyle name="Comma 6 2 2 3 4 3" xfId="45070"/>
    <cellStyle name="Comma 6 2 2 3 4 3 2" xfId="45071"/>
    <cellStyle name="Comma 6 2 2 3 4 3 3" xfId="45072"/>
    <cellStyle name="Comma 6 2 2 3 4 4" xfId="45073"/>
    <cellStyle name="Comma 6 2 2 3 4 4 2" xfId="45074"/>
    <cellStyle name="Comma 6 2 2 3 4 5" xfId="45075"/>
    <cellStyle name="Comma 6 2 2 3 4 6" xfId="45076"/>
    <cellStyle name="Comma 6 2 2 3 5" xfId="45077"/>
    <cellStyle name="Comma 6 2 2 3 5 2" xfId="45078"/>
    <cellStyle name="Comma 6 2 2 3 5 2 2" xfId="45079"/>
    <cellStyle name="Comma 6 2 2 3 5 2 3" xfId="45080"/>
    <cellStyle name="Comma 6 2 2 3 5 3" xfId="45081"/>
    <cellStyle name="Comma 6 2 2 3 5 3 2" xfId="45082"/>
    <cellStyle name="Comma 6 2 2 3 5 4" xfId="45083"/>
    <cellStyle name="Comma 6 2 2 3 5 5" xfId="45084"/>
    <cellStyle name="Comma 6 2 2 3 6" xfId="45085"/>
    <cellStyle name="Comma 6 2 2 3 6 2" xfId="45086"/>
    <cellStyle name="Comma 6 2 2 3 6 3" xfId="45087"/>
    <cellStyle name="Comma 6 2 2 3 7" xfId="45088"/>
    <cellStyle name="Comma 6 2 2 3 7 2" xfId="45089"/>
    <cellStyle name="Comma 6 2 2 3 7 3" xfId="45090"/>
    <cellStyle name="Comma 6 2 2 3 8" xfId="45091"/>
    <cellStyle name="Comma 6 2 2 3 8 2" xfId="45092"/>
    <cellStyle name="Comma 6 2 2 3 9" xfId="45093"/>
    <cellStyle name="Comma 6 2 2 4" xfId="45094"/>
    <cellStyle name="Comma 6 2 2 4 2" xfId="45095"/>
    <cellStyle name="Comma 6 2 2 4 2 2" xfId="45096"/>
    <cellStyle name="Comma 6 2 2 4 2 2 2" xfId="45097"/>
    <cellStyle name="Comma 6 2 2 4 2 2 3" xfId="45098"/>
    <cellStyle name="Comma 6 2 2 4 2 3" xfId="45099"/>
    <cellStyle name="Comma 6 2 2 4 2 3 2" xfId="45100"/>
    <cellStyle name="Comma 6 2 2 4 2 3 3" xfId="45101"/>
    <cellStyle name="Comma 6 2 2 4 2 4" xfId="45102"/>
    <cellStyle name="Comma 6 2 2 4 2 4 2" xfId="45103"/>
    <cellStyle name="Comma 6 2 2 4 2 5" xfId="45104"/>
    <cellStyle name="Comma 6 2 2 4 2 6" xfId="45105"/>
    <cellStyle name="Comma 6 2 2 4 3" xfId="45106"/>
    <cellStyle name="Comma 6 2 2 4 3 2" xfId="45107"/>
    <cellStyle name="Comma 6 2 2 4 3 2 2" xfId="45108"/>
    <cellStyle name="Comma 6 2 2 4 3 2 3" xfId="45109"/>
    <cellStyle name="Comma 6 2 2 4 3 3" xfId="45110"/>
    <cellStyle name="Comma 6 2 2 4 3 3 2" xfId="45111"/>
    <cellStyle name="Comma 6 2 2 4 3 3 3" xfId="45112"/>
    <cellStyle name="Comma 6 2 2 4 3 4" xfId="45113"/>
    <cellStyle name="Comma 6 2 2 4 3 4 2" xfId="45114"/>
    <cellStyle name="Comma 6 2 2 4 3 5" xfId="45115"/>
    <cellStyle name="Comma 6 2 2 4 3 6" xfId="45116"/>
    <cellStyle name="Comma 6 2 2 4 4" xfId="45117"/>
    <cellStyle name="Comma 6 2 2 4 4 2" xfId="45118"/>
    <cellStyle name="Comma 6 2 2 4 4 2 2" xfId="45119"/>
    <cellStyle name="Comma 6 2 2 4 4 2 3" xfId="45120"/>
    <cellStyle name="Comma 6 2 2 4 4 3" xfId="45121"/>
    <cellStyle name="Comma 6 2 2 4 4 3 2" xfId="45122"/>
    <cellStyle name="Comma 6 2 2 4 4 4" xfId="45123"/>
    <cellStyle name="Comma 6 2 2 4 4 5" xfId="45124"/>
    <cellStyle name="Comma 6 2 2 4 5" xfId="45125"/>
    <cellStyle name="Comma 6 2 2 4 5 2" xfId="45126"/>
    <cellStyle name="Comma 6 2 2 4 5 3" xfId="45127"/>
    <cellStyle name="Comma 6 2 2 4 6" xfId="45128"/>
    <cellStyle name="Comma 6 2 2 4 6 2" xfId="45129"/>
    <cellStyle name="Comma 6 2 2 4 6 3" xfId="45130"/>
    <cellStyle name="Comma 6 2 2 4 7" xfId="45131"/>
    <cellStyle name="Comma 6 2 2 4 7 2" xfId="45132"/>
    <cellStyle name="Comma 6 2 2 4 8" xfId="45133"/>
    <cellStyle name="Comma 6 2 2 4 9" xfId="45134"/>
    <cellStyle name="Comma 6 2 2 5" xfId="45135"/>
    <cellStyle name="Comma 6 2 2 5 2" xfId="45136"/>
    <cellStyle name="Comma 6 2 2 5 2 2" xfId="45137"/>
    <cellStyle name="Comma 6 2 2 5 2 2 2" xfId="45138"/>
    <cellStyle name="Comma 6 2 2 5 2 2 3" xfId="45139"/>
    <cellStyle name="Comma 6 2 2 5 2 3" xfId="45140"/>
    <cellStyle name="Comma 6 2 2 5 2 3 2" xfId="45141"/>
    <cellStyle name="Comma 6 2 2 5 2 3 3" xfId="45142"/>
    <cellStyle name="Comma 6 2 2 5 2 4" xfId="45143"/>
    <cellStyle name="Comma 6 2 2 5 2 4 2" xfId="45144"/>
    <cellStyle name="Comma 6 2 2 5 2 5" xfId="45145"/>
    <cellStyle name="Comma 6 2 2 5 2 6" xfId="45146"/>
    <cellStyle name="Comma 6 2 2 5 3" xfId="45147"/>
    <cellStyle name="Comma 6 2 2 5 3 2" xfId="45148"/>
    <cellStyle name="Comma 6 2 2 5 3 2 2" xfId="45149"/>
    <cellStyle name="Comma 6 2 2 5 3 2 3" xfId="45150"/>
    <cellStyle name="Comma 6 2 2 5 3 3" xfId="45151"/>
    <cellStyle name="Comma 6 2 2 5 3 3 2" xfId="45152"/>
    <cellStyle name="Comma 6 2 2 5 3 3 3" xfId="45153"/>
    <cellStyle name="Comma 6 2 2 5 3 4" xfId="45154"/>
    <cellStyle name="Comma 6 2 2 5 3 4 2" xfId="45155"/>
    <cellStyle name="Comma 6 2 2 5 3 5" xfId="45156"/>
    <cellStyle name="Comma 6 2 2 5 3 6" xfId="45157"/>
    <cellStyle name="Comma 6 2 2 5 4" xfId="45158"/>
    <cellStyle name="Comma 6 2 2 5 4 2" xfId="45159"/>
    <cellStyle name="Comma 6 2 2 5 4 2 2" xfId="45160"/>
    <cellStyle name="Comma 6 2 2 5 4 2 3" xfId="45161"/>
    <cellStyle name="Comma 6 2 2 5 4 3" xfId="45162"/>
    <cellStyle name="Comma 6 2 2 5 4 3 2" xfId="45163"/>
    <cellStyle name="Comma 6 2 2 5 4 4" xfId="45164"/>
    <cellStyle name="Comma 6 2 2 5 4 5" xfId="45165"/>
    <cellStyle name="Comma 6 2 2 5 5" xfId="45166"/>
    <cellStyle name="Comma 6 2 2 5 5 2" xfId="45167"/>
    <cellStyle name="Comma 6 2 2 5 5 3" xfId="45168"/>
    <cellStyle name="Comma 6 2 2 5 6" xfId="45169"/>
    <cellStyle name="Comma 6 2 2 5 6 2" xfId="45170"/>
    <cellStyle name="Comma 6 2 2 5 6 3" xfId="45171"/>
    <cellStyle name="Comma 6 2 2 5 7" xfId="45172"/>
    <cellStyle name="Comma 6 2 2 5 7 2" xfId="45173"/>
    <cellStyle name="Comma 6 2 2 5 8" xfId="45174"/>
    <cellStyle name="Comma 6 2 2 5 9" xfId="45175"/>
    <cellStyle name="Comma 6 2 2 6" xfId="45176"/>
    <cellStyle name="Comma 6 2 2 6 2" xfId="45177"/>
    <cellStyle name="Comma 6 2 2 6 2 2" xfId="45178"/>
    <cellStyle name="Comma 6 2 2 6 2 3" xfId="45179"/>
    <cellStyle name="Comma 6 2 2 6 3" xfId="45180"/>
    <cellStyle name="Comma 6 2 2 6 3 2" xfId="45181"/>
    <cellStyle name="Comma 6 2 2 6 3 3" xfId="45182"/>
    <cellStyle name="Comma 6 2 2 6 4" xfId="45183"/>
    <cellStyle name="Comma 6 2 2 6 4 2" xfId="45184"/>
    <cellStyle name="Comma 6 2 2 6 5" xfId="45185"/>
    <cellStyle name="Comma 6 2 2 6 6" xfId="45186"/>
    <cellStyle name="Comma 6 2 2 7" xfId="45187"/>
    <cellStyle name="Comma 6 2 2 7 2" xfId="45188"/>
    <cellStyle name="Comma 6 2 2 7 2 2" xfId="45189"/>
    <cellStyle name="Comma 6 2 2 7 2 3" xfId="45190"/>
    <cellStyle name="Comma 6 2 2 7 3" xfId="45191"/>
    <cellStyle name="Comma 6 2 2 7 3 2" xfId="45192"/>
    <cellStyle name="Comma 6 2 2 7 3 3" xfId="45193"/>
    <cellStyle name="Comma 6 2 2 7 4" xfId="45194"/>
    <cellStyle name="Comma 6 2 2 7 4 2" xfId="45195"/>
    <cellStyle name="Comma 6 2 2 7 5" xfId="45196"/>
    <cellStyle name="Comma 6 2 2 7 6" xfId="45197"/>
    <cellStyle name="Comma 6 2 2 8" xfId="45198"/>
    <cellStyle name="Comma 6 2 2 8 2" xfId="45199"/>
    <cellStyle name="Comma 6 2 2 8 2 2" xfId="45200"/>
    <cellStyle name="Comma 6 2 2 8 2 3" xfId="45201"/>
    <cellStyle name="Comma 6 2 2 8 3" xfId="45202"/>
    <cellStyle name="Comma 6 2 2 8 3 2" xfId="45203"/>
    <cellStyle name="Comma 6 2 2 8 4" xfId="45204"/>
    <cellStyle name="Comma 6 2 2 8 5" xfId="45205"/>
    <cellStyle name="Comma 6 2 2 9" xfId="45206"/>
    <cellStyle name="Comma 6 2 2 9 2" xfId="45207"/>
    <cellStyle name="Comma 6 2 2 9 3" xfId="45208"/>
    <cellStyle name="Comma 6 2 3" xfId="9611"/>
    <cellStyle name="Comma 6 2 3 10" xfId="45209"/>
    <cellStyle name="Comma 6 2 3 10 2" xfId="45210"/>
    <cellStyle name="Comma 6 2 3 11" xfId="45211"/>
    <cellStyle name="Comma 6 2 3 12" xfId="45212"/>
    <cellStyle name="Comma 6 2 3 13" xfId="45213"/>
    <cellStyle name="Comma 6 2 3 2" xfId="45214"/>
    <cellStyle name="Comma 6 2 3 2 10" xfId="45215"/>
    <cellStyle name="Comma 6 2 3 2 2" xfId="45216"/>
    <cellStyle name="Comma 6 2 3 2 2 2" xfId="45217"/>
    <cellStyle name="Comma 6 2 3 2 2 2 2" xfId="45218"/>
    <cellStyle name="Comma 6 2 3 2 2 2 2 2" xfId="45219"/>
    <cellStyle name="Comma 6 2 3 2 2 2 2 3" xfId="45220"/>
    <cellStyle name="Comma 6 2 3 2 2 2 3" xfId="45221"/>
    <cellStyle name="Comma 6 2 3 2 2 2 3 2" xfId="45222"/>
    <cellStyle name="Comma 6 2 3 2 2 2 3 3" xfId="45223"/>
    <cellStyle name="Comma 6 2 3 2 2 2 4" xfId="45224"/>
    <cellStyle name="Comma 6 2 3 2 2 2 4 2" xfId="45225"/>
    <cellStyle name="Comma 6 2 3 2 2 2 5" xfId="45226"/>
    <cellStyle name="Comma 6 2 3 2 2 2 6" xfId="45227"/>
    <cellStyle name="Comma 6 2 3 2 2 3" xfId="45228"/>
    <cellStyle name="Comma 6 2 3 2 2 3 2" xfId="45229"/>
    <cellStyle name="Comma 6 2 3 2 2 3 2 2" xfId="45230"/>
    <cellStyle name="Comma 6 2 3 2 2 3 2 3" xfId="45231"/>
    <cellStyle name="Comma 6 2 3 2 2 3 3" xfId="45232"/>
    <cellStyle name="Comma 6 2 3 2 2 3 3 2" xfId="45233"/>
    <cellStyle name="Comma 6 2 3 2 2 3 3 3" xfId="45234"/>
    <cellStyle name="Comma 6 2 3 2 2 3 4" xfId="45235"/>
    <cellStyle name="Comma 6 2 3 2 2 3 4 2" xfId="45236"/>
    <cellStyle name="Comma 6 2 3 2 2 3 5" xfId="45237"/>
    <cellStyle name="Comma 6 2 3 2 2 3 6" xfId="45238"/>
    <cellStyle name="Comma 6 2 3 2 2 4" xfId="45239"/>
    <cellStyle name="Comma 6 2 3 2 2 4 2" xfId="45240"/>
    <cellStyle name="Comma 6 2 3 2 2 4 2 2" xfId="45241"/>
    <cellStyle name="Comma 6 2 3 2 2 4 2 3" xfId="45242"/>
    <cellStyle name="Comma 6 2 3 2 2 4 3" xfId="45243"/>
    <cellStyle name="Comma 6 2 3 2 2 4 3 2" xfId="45244"/>
    <cellStyle name="Comma 6 2 3 2 2 4 4" xfId="45245"/>
    <cellStyle name="Comma 6 2 3 2 2 4 5" xfId="45246"/>
    <cellStyle name="Comma 6 2 3 2 2 5" xfId="45247"/>
    <cellStyle name="Comma 6 2 3 2 2 5 2" xfId="45248"/>
    <cellStyle name="Comma 6 2 3 2 2 5 3" xfId="45249"/>
    <cellStyle name="Comma 6 2 3 2 2 6" xfId="45250"/>
    <cellStyle name="Comma 6 2 3 2 2 6 2" xfId="45251"/>
    <cellStyle name="Comma 6 2 3 2 2 6 3" xfId="45252"/>
    <cellStyle name="Comma 6 2 3 2 2 7" xfId="45253"/>
    <cellStyle name="Comma 6 2 3 2 2 7 2" xfId="45254"/>
    <cellStyle name="Comma 6 2 3 2 2 8" xfId="45255"/>
    <cellStyle name="Comma 6 2 3 2 2 9" xfId="45256"/>
    <cellStyle name="Comma 6 2 3 2 3" xfId="45257"/>
    <cellStyle name="Comma 6 2 3 2 3 2" xfId="45258"/>
    <cellStyle name="Comma 6 2 3 2 3 2 2" xfId="45259"/>
    <cellStyle name="Comma 6 2 3 2 3 2 3" xfId="45260"/>
    <cellStyle name="Comma 6 2 3 2 3 3" xfId="45261"/>
    <cellStyle name="Comma 6 2 3 2 3 3 2" xfId="45262"/>
    <cellStyle name="Comma 6 2 3 2 3 3 3" xfId="45263"/>
    <cellStyle name="Comma 6 2 3 2 3 4" xfId="45264"/>
    <cellStyle name="Comma 6 2 3 2 3 4 2" xfId="45265"/>
    <cellStyle name="Comma 6 2 3 2 3 5" xfId="45266"/>
    <cellStyle name="Comma 6 2 3 2 3 6" xfId="45267"/>
    <cellStyle name="Comma 6 2 3 2 4" xfId="45268"/>
    <cellStyle name="Comma 6 2 3 2 4 2" xfId="45269"/>
    <cellStyle name="Comma 6 2 3 2 4 2 2" xfId="45270"/>
    <cellStyle name="Comma 6 2 3 2 4 2 3" xfId="45271"/>
    <cellStyle name="Comma 6 2 3 2 4 3" xfId="45272"/>
    <cellStyle name="Comma 6 2 3 2 4 3 2" xfId="45273"/>
    <cellStyle name="Comma 6 2 3 2 4 3 3" xfId="45274"/>
    <cellStyle name="Comma 6 2 3 2 4 4" xfId="45275"/>
    <cellStyle name="Comma 6 2 3 2 4 4 2" xfId="45276"/>
    <cellStyle name="Comma 6 2 3 2 4 5" xfId="45277"/>
    <cellStyle name="Comma 6 2 3 2 4 6" xfId="45278"/>
    <cellStyle name="Comma 6 2 3 2 5" xfId="45279"/>
    <cellStyle name="Comma 6 2 3 2 5 2" xfId="45280"/>
    <cellStyle name="Comma 6 2 3 2 5 2 2" xfId="45281"/>
    <cellStyle name="Comma 6 2 3 2 5 2 3" xfId="45282"/>
    <cellStyle name="Comma 6 2 3 2 5 3" xfId="45283"/>
    <cellStyle name="Comma 6 2 3 2 5 3 2" xfId="45284"/>
    <cellStyle name="Comma 6 2 3 2 5 4" xfId="45285"/>
    <cellStyle name="Comma 6 2 3 2 5 5" xfId="45286"/>
    <cellStyle name="Comma 6 2 3 2 6" xfId="45287"/>
    <cellStyle name="Comma 6 2 3 2 6 2" xfId="45288"/>
    <cellStyle name="Comma 6 2 3 2 6 3" xfId="45289"/>
    <cellStyle name="Comma 6 2 3 2 7" xfId="45290"/>
    <cellStyle name="Comma 6 2 3 2 7 2" xfId="45291"/>
    <cellStyle name="Comma 6 2 3 2 7 3" xfId="45292"/>
    <cellStyle name="Comma 6 2 3 2 8" xfId="45293"/>
    <cellStyle name="Comma 6 2 3 2 8 2" xfId="45294"/>
    <cellStyle name="Comma 6 2 3 2 9" xfId="45295"/>
    <cellStyle name="Comma 6 2 3 3" xfId="45296"/>
    <cellStyle name="Comma 6 2 3 3 2" xfId="45297"/>
    <cellStyle name="Comma 6 2 3 3 2 2" xfId="45298"/>
    <cellStyle name="Comma 6 2 3 3 2 2 2" xfId="45299"/>
    <cellStyle name="Comma 6 2 3 3 2 2 3" xfId="45300"/>
    <cellStyle name="Comma 6 2 3 3 2 3" xfId="45301"/>
    <cellStyle name="Comma 6 2 3 3 2 3 2" xfId="45302"/>
    <cellStyle name="Comma 6 2 3 3 2 3 3" xfId="45303"/>
    <cellStyle name="Comma 6 2 3 3 2 4" xfId="45304"/>
    <cellStyle name="Comma 6 2 3 3 2 4 2" xfId="45305"/>
    <cellStyle name="Comma 6 2 3 3 2 5" xfId="45306"/>
    <cellStyle name="Comma 6 2 3 3 2 6" xfId="45307"/>
    <cellStyle name="Comma 6 2 3 3 3" xfId="45308"/>
    <cellStyle name="Comma 6 2 3 3 3 2" xfId="45309"/>
    <cellStyle name="Comma 6 2 3 3 3 2 2" xfId="45310"/>
    <cellStyle name="Comma 6 2 3 3 3 2 3" xfId="45311"/>
    <cellStyle name="Comma 6 2 3 3 3 3" xfId="45312"/>
    <cellStyle name="Comma 6 2 3 3 3 3 2" xfId="45313"/>
    <cellStyle name="Comma 6 2 3 3 3 3 3" xfId="45314"/>
    <cellStyle name="Comma 6 2 3 3 3 4" xfId="45315"/>
    <cellStyle name="Comma 6 2 3 3 3 4 2" xfId="45316"/>
    <cellStyle name="Comma 6 2 3 3 3 5" xfId="45317"/>
    <cellStyle name="Comma 6 2 3 3 3 6" xfId="45318"/>
    <cellStyle name="Comma 6 2 3 3 4" xfId="45319"/>
    <cellStyle name="Comma 6 2 3 3 4 2" xfId="45320"/>
    <cellStyle name="Comma 6 2 3 3 4 2 2" xfId="45321"/>
    <cellStyle name="Comma 6 2 3 3 4 2 3" xfId="45322"/>
    <cellStyle name="Comma 6 2 3 3 4 3" xfId="45323"/>
    <cellStyle name="Comma 6 2 3 3 4 3 2" xfId="45324"/>
    <cellStyle name="Comma 6 2 3 3 4 4" xfId="45325"/>
    <cellStyle name="Comma 6 2 3 3 4 5" xfId="45326"/>
    <cellStyle name="Comma 6 2 3 3 5" xfId="45327"/>
    <cellStyle name="Comma 6 2 3 3 5 2" xfId="45328"/>
    <cellStyle name="Comma 6 2 3 3 5 3" xfId="45329"/>
    <cellStyle name="Comma 6 2 3 3 6" xfId="45330"/>
    <cellStyle name="Comma 6 2 3 3 6 2" xfId="45331"/>
    <cellStyle name="Comma 6 2 3 3 6 3" xfId="45332"/>
    <cellStyle name="Comma 6 2 3 3 7" xfId="45333"/>
    <cellStyle name="Comma 6 2 3 3 7 2" xfId="45334"/>
    <cellStyle name="Comma 6 2 3 3 8" xfId="45335"/>
    <cellStyle name="Comma 6 2 3 3 9" xfId="45336"/>
    <cellStyle name="Comma 6 2 3 4" xfId="45337"/>
    <cellStyle name="Comma 6 2 3 4 2" xfId="45338"/>
    <cellStyle name="Comma 6 2 3 4 2 2" xfId="45339"/>
    <cellStyle name="Comma 6 2 3 4 2 2 2" xfId="45340"/>
    <cellStyle name="Comma 6 2 3 4 2 2 3" xfId="45341"/>
    <cellStyle name="Comma 6 2 3 4 2 3" xfId="45342"/>
    <cellStyle name="Comma 6 2 3 4 2 3 2" xfId="45343"/>
    <cellStyle name="Comma 6 2 3 4 2 3 3" xfId="45344"/>
    <cellStyle name="Comma 6 2 3 4 2 4" xfId="45345"/>
    <cellStyle name="Comma 6 2 3 4 2 4 2" xfId="45346"/>
    <cellStyle name="Comma 6 2 3 4 2 5" xfId="45347"/>
    <cellStyle name="Comma 6 2 3 4 2 6" xfId="45348"/>
    <cellStyle name="Comma 6 2 3 4 3" xfId="45349"/>
    <cellStyle name="Comma 6 2 3 4 3 2" xfId="45350"/>
    <cellStyle name="Comma 6 2 3 4 3 2 2" xfId="45351"/>
    <cellStyle name="Comma 6 2 3 4 3 2 3" xfId="45352"/>
    <cellStyle name="Comma 6 2 3 4 3 3" xfId="45353"/>
    <cellStyle name="Comma 6 2 3 4 3 3 2" xfId="45354"/>
    <cellStyle name="Comma 6 2 3 4 3 3 3" xfId="45355"/>
    <cellStyle name="Comma 6 2 3 4 3 4" xfId="45356"/>
    <cellStyle name="Comma 6 2 3 4 3 4 2" xfId="45357"/>
    <cellStyle name="Comma 6 2 3 4 3 5" xfId="45358"/>
    <cellStyle name="Comma 6 2 3 4 3 6" xfId="45359"/>
    <cellStyle name="Comma 6 2 3 4 4" xfId="45360"/>
    <cellStyle name="Comma 6 2 3 4 4 2" xfId="45361"/>
    <cellStyle name="Comma 6 2 3 4 4 2 2" xfId="45362"/>
    <cellStyle name="Comma 6 2 3 4 4 2 3" xfId="45363"/>
    <cellStyle name="Comma 6 2 3 4 4 3" xfId="45364"/>
    <cellStyle name="Comma 6 2 3 4 4 3 2" xfId="45365"/>
    <cellStyle name="Comma 6 2 3 4 4 4" xfId="45366"/>
    <cellStyle name="Comma 6 2 3 4 4 5" xfId="45367"/>
    <cellStyle name="Comma 6 2 3 4 5" xfId="45368"/>
    <cellStyle name="Comma 6 2 3 4 5 2" xfId="45369"/>
    <cellStyle name="Comma 6 2 3 4 5 3" xfId="45370"/>
    <cellStyle name="Comma 6 2 3 4 6" xfId="45371"/>
    <cellStyle name="Comma 6 2 3 4 6 2" xfId="45372"/>
    <cellStyle name="Comma 6 2 3 4 6 3" xfId="45373"/>
    <cellStyle name="Comma 6 2 3 4 7" xfId="45374"/>
    <cellStyle name="Comma 6 2 3 4 7 2" xfId="45375"/>
    <cellStyle name="Comma 6 2 3 4 8" xfId="45376"/>
    <cellStyle name="Comma 6 2 3 4 9" xfId="45377"/>
    <cellStyle name="Comma 6 2 3 5" xfId="45378"/>
    <cellStyle name="Comma 6 2 3 5 2" xfId="45379"/>
    <cellStyle name="Comma 6 2 3 5 2 2" xfId="45380"/>
    <cellStyle name="Comma 6 2 3 5 2 3" xfId="45381"/>
    <cellStyle name="Comma 6 2 3 5 3" xfId="45382"/>
    <cellStyle name="Comma 6 2 3 5 3 2" xfId="45383"/>
    <cellStyle name="Comma 6 2 3 5 3 3" xfId="45384"/>
    <cellStyle name="Comma 6 2 3 5 4" xfId="45385"/>
    <cellStyle name="Comma 6 2 3 5 4 2" xfId="45386"/>
    <cellStyle name="Comma 6 2 3 5 5" xfId="45387"/>
    <cellStyle name="Comma 6 2 3 5 6" xfId="45388"/>
    <cellStyle name="Comma 6 2 3 6" xfId="45389"/>
    <cellStyle name="Comma 6 2 3 6 2" xfId="45390"/>
    <cellStyle name="Comma 6 2 3 6 2 2" xfId="45391"/>
    <cellStyle name="Comma 6 2 3 6 2 3" xfId="45392"/>
    <cellStyle name="Comma 6 2 3 6 3" xfId="45393"/>
    <cellStyle name="Comma 6 2 3 6 3 2" xfId="45394"/>
    <cellStyle name="Comma 6 2 3 6 3 3" xfId="45395"/>
    <cellStyle name="Comma 6 2 3 6 4" xfId="45396"/>
    <cellStyle name="Comma 6 2 3 6 4 2" xfId="45397"/>
    <cellStyle name="Comma 6 2 3 6 5" xfId="45398"/>
    <cellStyle name="Comma 6 2 3 6 6" xfId="45399"/>
    <cellStyle name="Comma 6 2 3 7" xfId="45400"/>
    <cellStyle name="Comma 6 2 3 7 2" xfId="45401"/>
    <cellStyle name="Comma 6 2 3 7 2 2" xfId="45402"/>
    <cellStyle name="Comma 6 2 3 7 2 3" xfId="45403"/>
    <cellStyle name="Comma 6 2 3 7 3" xfId="45404"/>
    <cellStyle name="Comma 6 2 3 7 3 2" xfId="45405"/>
    <cellStyle name="Comma 6 2 3 7 4" xfId="45406"/>
    <cellStyle name="Comma 6 2 3 7 5" xfId="45407"/>
    <cellStyle name="Comma 6 2 3 8" xfId="45408"/>
    <cellStyle name="Comma 6 2 3 8 2" xfId="45409"/>
    <cellStyle name="Comma 6 2 3 8 3" xfId="45410"/>
    <cellStyle name="Comma 6 2 3 9" xfId="45411"/>
    <cellStyle name="Comma 6 2 3 9 2" xfId="45412"/>
    <cellStyle name="Comma 6 2 3 9 3" xfId="45413"/>
    <cellStyle name="Comma 6 2 4" xfId="45414"/>
    <cellStyle name="Comma 6 2 4 10" xfId="45415"/>
    <cellStyle name="Comma 6 2 4 2" xfId="45416"/>
    <cellStyle name="Comma 6 2 4 2 2" xfId="45417"/>
    <cellStyle name="Comma 6 2 4 2 2 2" xfId="45418"/>
    <cellStyle name="Comma 6 2 4 2 2 2 2" xfId="45419"/>
    <cellStyle name="Comma 6 2 4 2 2 2 3" xfId="45420"/>
    <cellStyle name="Comma 6 2 4 2 2 3" xfId="45421"/>
    <cellStyle name="Comma 6 2 4 2 2 3 2" xfId="45422"/>
    <cellStyle name="Comma 6 2 4 2 2 3 3" xfId="45423"/>
    <cellStyle name="Comma 6 2 4 2 2 4" xfId="45424"/>
    <cellStyle name="Comma 6 2 4 2 2 4 2" xfId="45425"/>
    <cellStyle name="Comma 6 2 4 2 2 5" xfId="45426"/>
    <cellStyle name="Comma 6 2 4 2 2 6" xfId="45427"/>
    <cellStyle name="Comma 6 2 4 2 3" xfId="45428"/>
    <cellStyle name="Comma 6 2 4 2 3 2" xfId="45429"/>
    <cellStyle name="Comma 6 2 4 2 3 2 2" xfId="45430"/>
    <cellStyle name="Comma 6 2 4 2 3 2 3" xfId="45431"/>
    <cellStyle name="Comma 6 2 4 2 3 3" xfId="45432"/>
    <cellStyle name="Comma 6 2 4 2 3 3 2" xfId="45433"/>
    <cellStyle name="Comma 6 2 4 2 3 3 3" xfId="45434"/>
    <cellStyle name="Comma 6 2 4 2 3 4" xfId="45435"/>
    <cellStyle name="Comma 6 2 4 2 3 4 2" xfId="45436"/>
    <cellStyle name="Comma 6 2 4 2 3 5" xfId="45437"/>
    <cellStyle name="Comma 6 2 4 2 3 6" xfId="45438"/>
    <cellStyle name="Comma 6 2 4 2 4" xfId="45439"/>
    <cellStyle name="Comma 6 2 4 2 4 2" xfId="45440"/>
    <cellStyle name="Comma 6 2 4 2 4 2 2" xfId="45441"/>
    <cellStyle name="Comma 6 2 4 2 4 2 3" xfId="45442"/>
    <cellStyle name="Comma 6 2 4 2 4 3" xfId="45443"/>
    <cellStyle name="Comma 6 2 4 2 4 3 2" xfId="45444"/>
    <cellStyle name="Comma 6 2 4 2 4 4" xfId="45445"/>
    <cellStyle name="Comma 6 2 4 2 4 5" xfId="45446"/>
    <cellStyle name="Comma 6 2 4 2 5" xfId="45447"/>
    <cellStyle name="Comma 6 2 4 2 5 2" xfId="45448"/>
    <cellStyle name="Comma 6 2 4 2 5 3" xfId="45449"/>
    <cellStyle name="Comma 6 2 4 2 6" xfId="45450"/>
    <cellStyle name="Comma 6 2 4 2 6 2" xfId="45451"/>
    <cellStyle name="Comma 6 2 4 2 6 3" xfId="45452"/>
    <cellStyle name="Comma 6 2 4 2 7" xfId="45453"/>
    <cellStyle name="Comma 6 2 4 2 7 2" xfId="45454"/>
    <cellStyle name="Comma 6 2 4 2 8" xfId="45455"/>
    <cellStyle name="Comma 6 2 4 2 9" xfId="45456"/>
    <cellStyle name="Comma 6 2 4 3" xfId="45457"/>
    <cellStyle name="Comma 6 2 4 3 2" xfId="45458"/>
    <cellStyle name="Comma 6 2 4 3 2 2" xfId="45459"/>
    <cellStyle name="Comma 6 2 4 3 2 3" xfId="45460"/>
    <cellStyle name="Comma 6 2 4 3 3" xfId="45461"/>
    <cellStyle name="Comma 6 2 4 3 3 2" xfId="45462"/>
    <cellStyle name="Comma 6 2 4 3 3 3" xfId="45463"/>
    <cellStyle name="Comma 6 2 4 3 4" xfId="45464"/>
    <cellStyle name="Comma 6 2 4 3 4 2" xfId="45465"/>
    <cellStyle name="Comma 6 2 4 3 5" xfId="45466"/>
    <cellStyle name="Comma 6 2 4 3 6" xfId="45467"/>
    <cellStyle name="Comma 6 2 4 4" xfId="45468"/>
    <cellStyle name="Comma 6 2 4 4 2" xfId="45469"/>
    <cellStyle name="Comma 6 2 4 4 2 2" xfId="45470"/>
    <cellStyle name="Comma 6 2 4 4 2 3" xfId="45471"/>
    <cellStyle name="Comma 6 2 4 4 3" xfId="45472"/>
    <cellStyle name="Comma 6 2 4 4 3 2" xfId="45473"/>
    <cellStyle name="Comma 6 2 4 4 3 3" xfId="45474"/>
    <cellStyle name="Comma 6 2 4 4 4" xfId="45475"/>
    <cellStyle name="Comma 6 2 4 4 4 2" xfId="45476"/>
    <cellStyle name="Comma 6 2 4 4 5" xfId="45477"/>
    <cellStyle name="Comma 6 2 4 4 6" xfId="45478"/>
    <cellStyle name="Comma 6 2 4 5" xfId="45479"/>
    <cellStyle name="Comma 6 2 4 5 2" xfId="45480"/>
    <cellStyle name="Comma 6 2 4 5 2 2" xfId="45481"/>
    <cellStyle name="Comma 6 2 4 5 2 3" xfId="45482"/>
    <cellStyle name="Comma 6 2 4 5 3" xfId="45483"/>
    <cellStyle name="Comma 6 2 4 5 3 2" xfId="45484"/>
    <cellStyle name="Comma 6 2 4 5 4" xfId="45485"/>
    <cellStyle name="Comma 6 2 4 5 5" xfId="45486"/>
    <cellStyle name="Comma 6 2 4 6" xfId="45487"/>
    <cellStyle name="Comma 6 2 4 6 2" xfId="45488"/>
    <cellStyle name="Comma 6 2 4 6 3" xfId="45489"/>
    <cellStyle name="Comma 6 2 4 7" xfId="45490"/>
    <cellStyle name="Comma 6 2 4 7 2" xfId="45491"/>
    <cellStyle name="Comma 6 2 4 7 3" xfId="45492"/>
    <cellStyle name="Comma 6 2 4 8" xfId="45493"/>
    <cellStyle name="Comma 6 2 4 8 2" xfId="45494"/>
    <cellStyle name="Comma 6 2 4 9" xfId="45495"/>
    <cellStyle name="Comma 6 2 5" xfId="45496"/>
    <cellStyle name="Comma 6 2 5 2" xfId="45497"/>
    <cellStyle name="Comma 6 2 5 2 2" xfId="45498"/>
    <cellStyle name="Comma 6 2 5 2 2 2" xfId="45499"/>
    <cellStyle name="Comma 6 2 5 2 2 3" xfId="45500"/>
    <cellStyle name="Comma 6 2 5 2 3" xfId="45501"/>
    <cellStyle name="Comma 6 2 5 2 3 2" xfId="45502"/>
    <cellStyle name="Comma 6 2 5 2 3 3" xfId="45503"/>
    <cellStyle name="Comma 6 2 5 2 4" xfId="45504"/>
    <cellStyle name="Comma 6 2 5 2 4 2" xfId="45505"/>
    <cellStyle name="Comma 6 2 5 2 5" xfId="45506"/>
    <cellStyle name="Comma 6 2 5 2 6" xfId="45507"/>
    <cellStyle name="Comma 6 2 5 3" xfId="45508"/>
    <cellStyle name="Comma 6 2 5 3 2" xfId="45509"/>
    <cellStyle name="Comma 6 2 5 3 2 2" xfId="45510"/>
    <cellStyle name="Comma 6 2 5 3 2 3" xfId="45511"/>
    <cellStyle name="Comma 6 2 5 3 3" xfId="45512"/>
    <cellStyle name="Comma 6 2 5 3 3 2" xfId="45513"/>
    <cellStyle name="Comma 6 2 5 3 3 3" xfId="45514"/>
    <cellStyle name="Comma 6 2 5 3 4" xfId="45515"/>
    <cellStyle name="Comma 6 2 5 3 4 2" xfId="45516"/>
    <cellStyle name="Comma 6 2 5 3 5" xfId="45517"/>
    <cellStyle name="Comma 6 2 5 3 6" xfId="45518"/>
    <cellStyle name="Comma 6 2 5 4" xfId="45519"/>
    <cellStyle name="Comma 6 2 5 4 2" xfId="45520"/>
    <cellStyle name="Comma 6 2 5 4 2 2" xfId="45521"/>
    <cellStyle name="Comma 6 2 5 4 2 3" xfId="45522"/>
    <cellStyle name="Comma 6 2 5 4 3" xfId="45523"/>
    <cellStyle name="Comma 6 2 5 4 3 2" xfId="45524"/>
    <cellStyle name="Comma 6 2 5 4 4" xfId="45525"/>
    <cellStyle name="Comma 6 2 5 4 5" xfId="45526"/>
    <cellStyle name="Comma 6 2 5 5" xfId="45527"/>
    <cellStyle name="Comma 6 2 5 5 2" xfId="45528"/>
    <cellStyle name="Comma 6 2 5 5 3" xfId="45529"/>
    <cellStyle name="Comma 6 2 5 6" xfId="45530"/>
    <cellStyle name="Comma 6 2 5 6 2" xfId="45531"/>
    <cellStyle name="Comma 6 2 5 6 3" xfId="45532"/>
    <cellStyle name="Comma 6 2 5 7" xfId="45533"/>
    <cellStyle name="Comma 6 2 5 7 2" xfId="45534"/>
    <cellStyle name="Comma 6 2 5 8" xfId="45535"/>
    <cellStyle name="Comma 6 2 5 9" xfId="45536"/>
    <cellStyle name="Comma 6 2 6" xfId="45537"/>
    <cellStyle name="Comma 6 2 6 2" xfId="45538"/>
    <cellStyle name="Comma 6 2 6 2 2" xfId="45539"/>
    <cellStyle name="Comma 6 2 6 2 2 2" xfId="45540"/>
    <cellStyle name="Comma 6 2 6 2 2 3" xfId="45541"/>
    <cellStyle name="Comma 6 2 6 2 3" xfId="45542"/>
    <cellStyle name="Comma 6 2 6 2 3 2" xfId="45543"/>
    <cellStyle name="Comma 6 2 6 2 3 3" xfId="45544"/>
    <cellStyle name="Comma 6 2 6 2 4" xfId="45545"/>
    <cellStyle name="Comma 6 2 6 2 4 2" xfId="45546"/>
    <cellStyle name="Comma 6 2 6 2 5" xfId="45547"/>
    <cellStyle name="Comma 6 2 6 2 6" xfId="45548"/>
    <cellStyle name="Comma 6 2 6 3" xfId="45549"/>
    <cellStyle name="Comma 6 2 6 3 2" xfId="45550"/>
    <cellStyle name="Comma 6 2 6 3 2 2" xfId="45551"/>
    <cellStyle name="Comma 6 2 6 3 2 3" xfId="45552"/>
    <cellStyle name="Comma 6 2 6 3 3" xfId="45553"/>
    <cellStyle name="Comma 6 2 6 3 3 2" xfId="45554"/>
    <cellStyle name="Comma 6 2 6 3 3 3" xfId="45555"/>
    <cellStyle name="Comma 6 2 6 3 4" xfId="45556"/>
    <cellStyle name="Comma 6 2 6 3 4 2" xfId="45557"/>
    <cellStyle name="Comma 6 2 6 3 5" xfId="45558"/>
    <cellStyle name="Comma 6 2 6 3 6" xfId="45559"/>
    <cellStyle name="Comma 6 2 6 4" xfId="45560"/>
    <cellStyle name="Comma 6 2 6 4 2" xfId="45561"/>
    <cellStyle name="Comma 6 2 6 4 2 2" xfId="45562"/>
    <cellStyle name="Comma 6 2 6 4 2 3" xfId="45563"/>
    <cellStyle name="Comma 6 2 6 4 3" xfId="45564"/>
    <cellStyle name="Comma 6 2 6 4 3 2" xfId="45565"/>
    <cellStyle name="Comma 6 2 6 4 4" xfId="45566"/>
    <cellStyle name="Comma 6 2 6 4 5" xfId="45567"/>
    <cellStyle name="Comma 6 2 6 5" xfId="45568"/>
    <cellStyle name="Comma 6 2 6 5 2" xfId="45569"/>
    <cellStyle name="Comma 6 2 6 5 3" xfId="45570"/>
    <cellStyle name="Comma 6 2 6 6" xfId="45571"/>
    <cellStyle name="Comma 6 2 6 6 2" xfId="45572"/>
    <cellStyle name="Comma 6 2 6 6 3" xfId="45573"/>
    <cellStyle name="Comma 6 2 6 7" xfId="45574"/>
    <cellStyle name="Comma 6 2 6 7 2" xfId="45575"/>
    <cellStyle name="Comma 6 2 6 8" xfId="45576"/>
    <cellStyle name="Comma 6 2 6 9" xfId="45577"/>
    <cellStyle name="Comma 6 2 7" xfId="45578"/>
    <cellStyle name="Comma 6 2 7 2" xfId="45579"/>
    <cellStyle name="Comma 6 2 7 2 2" xfId="45580"/>
    <cellStyle name="Comma 6 2 7 2 3" xfId="45581"/>
    <cellStyle name="Comma 6 2 7 3" xfId="45582"/>
    <cellStyle name="Comma 6 2 7 3 2" xfId="45583"/>
    <cellStyle name="Comma 6 2 7 3 3" xfId="45584"/>
    <cellStyle name="Comma 6 2 7 4" xfId="45585"/>
    <cellStyle name="Comma 6 2 7 4 2" xfId="45586"/>
    <cellStyle name="Comma 6 2 7 5" xfId="45587"/>
    <cellStyle name="Comma 6 2 7 6" xfId="45588"/>
    <cellStyle name="Comma 6 2 8" xfId="45589"/>
    <cellStyle name="Comma 6 2 8 2" xfId="45590"/>
    <cellStyle name="Comma 6 2 8 2 2" xfId="45591"/>
    <cellStyle name="Comma 6 2 8 2 3" xfId="45592"/>
    <cellStyle name="Comma 6 2 8 3" xfId="45593"/>
    <cellStyle name="Comma 6 2 8 3 2" xfId="45594"/>
    <cellStyle name="Comma 6 2 8 3 3" xfId="45595"/>
    <cellStyle name="Comma 6 2 8 4" xfId="45596"/>
    <cellStyle name="Comma 6 2 8 4 2" xfId="45597"/>
    <cellStyle name="Comma 6 2 8 5" xfId="45598"/>
    <cellStyle name="Comma 6 2 8 6" xfId="45599"/>
    <cellStyle name="Comma 6 2 9" xfId="45600"/>
    <cellStyle name="Comma 6 2 9 2" xfId="45601"/>
    <cellStyle name="Comma 6 2 9 2 2" xfId="45602"/>
    <cellStyle name="Comma 6 2 9 2 3" xfId="45603"/>
    <cellStyle name="Comma 6 2 9 3" xfId="45604"/>
    <cellStyle name="Comma 6 2 9 3 2" xfId="45605"/>
    <cellStyle name="Comma 6 2 9 4" xfId="45606"/>
    <cellStyle name="Comma 6 2 9 5" xfId="45607"/>
    <cellStyle name="Comma 6 3" xfId="8365"/>
    <cellStyle name="Comma 6 3 10" xfId="45608"/>
    <cellStyle name="Comma 6 3 10 2" xfId="45609"/>
    <cellStyle name="Comma 6 3 10 3" xfId="45610"/>
    <cellStyle name="Comma 6 3 11" xfId="45611"/>
    <cellStyle name="Comma 6 3 11 2" xfId="45612"/>
    <cellStyle name="Comma 6 3 12" xfId="45613"/>
    <cellStyle name="Comma 6 3 13" xfId="45614"/>
    <cellStyle name="Comma 6 3 14" xfId="45615"/>
    <cellStyle name="Comma 6 3 2" xfId="8366"/>
    <cellStyle name="Comma 6 3 2 10" xfId="45616"/>
    <cellStyle name="Comma 6 3 2 10 2" xfId="45617"/>
    <cellStyle name="Comma 6 3 2 11" xfId="45618"/>
    <cellStyle name="Comma 6 3 2 12" xfId="45619"/>
    <cellStyle name="Comma 6 3 2 13" xfId="45620"/>
    <cellStyle name="Comma 6 3 2 2" xfId="8367"/>
    <cellStyle name="Comma 6 3 2 2 10" xfId="45621"/>
    <cellStyle name="Comma 6 3 2 2 11" xfId="45622"/>
    <cellStyle name="Comma 6 3 2 2 2" xfId="8368"/>
    <cellStyle name="Comma 6 3 2 2 2 10" xfId="45623"/>
    <cellStyle name="Comma 6 3 2 2 2 2" xfId="8369"/>
    <cellStyle name="Comma 6 3 2 2 2 2 2" xfId="45624"/>
    <cellStyle name="Comma 6 3 2 2 2 2 2 2" xfId="45625"/>
    <cellStyle name="Comma 6 3 2 2 2 2 2 3" xfId="45626"/>
    <cellStyle name="Comma 6 3 2 2 2 2 3" xfId="45627"/>
    <cellStyle name="Comma 6 3 2 2 2 2 3 2" xfId="45628"/>
    <cellStyle name="Comma 6 3 2 2 2 2 3 3" xfId="45629"/>
    <cellStyle name="Comma 6 3 2 2 2 2 4" xfId="45630"/>
    <cellStyle name="Comma 6 3 2 2 2 2 4 2" xfId="45631"/>
    <cellStyle name="Comma 6 3 2 2 2 2 5" xfId="45632"/>
    <cellStyle name="Comma 6 3 2 2 2 2 6" xfId="45633"/>
    <cellStyle name="Comma 6 3 2 2 2 3" xfId="45634"/>
    <cellStyle name="Comma 6 3 2 2 2 3 2" xfId="45635"/>
    <cellStyle name="Comma 6 3 2 2 2 3 2 2" xfId="45636"/>
    <cellStyle name="Comma 6 3 2 2 2 3 2 3" xfId="45637"/>
    <cellStyle name="Comma 6 3 2 2 2 3 3" xfId="45638"/>
    <cellStyle name="Comma 6 3 2 2 2 3 3 2" xfId="45639"/>
    <cellStyle name="Comma 6 3 2 2 2 3 3 3" xfId="45640"/>
    <cellStyle name="Comma 6 3 2 2 2 3 4" xfId="45641"/>
    <cellStyle name="Comma 6 3 2 2 2 3 4 2" xfId="45642"/>
    <cellStyle name="Comma 6 3 2 2 2 3 5" xfId="45643"/>
    <cellStyle name="Comma 6 3 2 2 2 3 6" xfId="45644"/>
    <cellStyle name="Comma 6 3 2 2 2 4" xfId="45645"/>
    <cellStyle name="Comma 6 3 2 2 2 4 2" xfId="45646"/>
    <cellStyle name="Comma 6 3 2 2 2 4 2 2" xfId="45647"/>
    <cellStyle name="Comma 6 3 2 2 2 4 2 3" xfId="45648"/>
    <cellStyle name="Comma 6 3 2 2 2 4 3" xfId="45649"/>
    <cellStyle name="Comma 6 3 2 2 2 4 3 2" xfId="45650"/>
    <cellStyle name="Comma 6 3 2 2 2 4 4" xfId="45651"/>
    <cellStyle name="Comma 6 3 2 2 2 4 5" xfId="45652"/>
    <cellStyle name="Comma 6 3 2 2 2 5" xfId="45653"/>
    <cellStyle name="Comma 6 3 2 2 2 5 2" xfId="45654"/>
    <cellStyle name="Comma 6 3 2 2 2 5 3" xfId="45655"/>
    <cellStyle name="Comma 6 3 2 2 2 6" xfId="45656"/>
    <cellStyle name="Comma 6 3 2 2 2 6 2" xfId="45657"/>
    <cellStyle name="Comma 6 3 2 2 2 6 3" xfId="45658"/>
    <cellStyle name="Comma 6 3 2 2 2 7" xfId="45659"/>
    <cellStyle name="Comma 6 3 2 2 2 7 2" xfId="45660"/>
    <cellStyle name="Comma 6 3 2 2 2 8" xfId="45661"/>
    <cellStyle name="Comma 6 3 2 2 2 9" xfId="45662"/>
    <cellStyle name="Comma 6 3 2 2 3" xfId="8370"/>
    <cellStyle name="Comma 6 3 2 2 3 2" xfId="45663"/>
    <cellStyle name="Comma 6 3 2 2 3 2 2" xfId="45664"/>
    <cellStyle name="Comma 6 3 2 2 3 2 3" xfId="45665"/>
    <cellStyle name="Comma 6 3 2 2 3 3" xfId="45666"/>
    <cellStyle name="Comma 6 3 2 2 3 3 2" xfId="45667"/>
    <cellStyle name="Comma 6 3 2 2 3 3 3" xfId="45668"/>
    <cellStyle name="Comma 6 3 2 2 3 4" xfId="45669"/>
    <cellStyle name="Comma 6 3 2 2 3 4 2" xfId="45670"/>
    <cellStyle name="Comma 6 3 2 2 3 5" xfId="45671"/>
    <cellStyle name="Comma 6 3 2 2 3 6" xfId="45672"/>
    <cellStyle name="Comma 6 3 2 2 3 7" xfId="45673"/>
    <cellStyle name="Comma 6 3 2 2 4" xfId="45674"/>
    <cellStyle name="Comma 6 3 2 2 4 2" xfId="45675"/>
    <cellStyle name="Comma 6 3 2 2 4 2 2" xfId="45676"/>
    <cellStyle name="Comma 6 3 2 2 4 2 3" xfId="45677"/>
    <cellStyle name="Comma 6 3 2 2 4 3" xfId="45678"/>
    <cellStyle name="Comma 6 3 2 2 4 3 2" xfId="45679"/>
    <cellStyle name="Comma 6 3 2 2 4 3 3" xfId="45680"/>
    <cellStyle name="Comma 6 3 2 2 4 4" xfId="45681"/>
    <cellStyle name="Comma 6 3 2 2 4 4 2" xfId="45682"/>
    <cellStyle name="Comma 6 3 2 2 4 5" xfId="45683"/>
    <cellStyle name="Comma 6 3 2 2 4 6" xfId="45684"/>
    <cellStyle name="Comma 6 3 2 2 5" xfId="45685"/>
    <cellStyle name="Comma 6 3 2 2 5 2" xfId="45686"/>
    <cellStyle name="Comma 6 3 2 2 5 2 2" xfId="45687"/>
    <cellStyle name="Comma 6 3 2 2 5 2 3" xfId="45688"/>
    <cellStyle name="Comma 6 3 2 2 5 3" xfId="45689"/>
    <cellStyle name="Comma 6 3 2 2 5 3 2" xfId="45690"/>
    <cellStyle name="Comma 6 3 2 2 5 4" xfId="45691"/>
    <cellStyle name="Comma 6 3 2 2 5 5" xfId="45692"/>
    <cellStyle name="Comma 6 3 2 2 6" xfId="45693"/>
    <cellStyle name="Comma 6 3 2 2 6 2" xfId="45694"/>
    <cellStyle name="Comma 6 3 2 2 6 3" xfId="45695"/>
    <cellStyle name="Comma 6 3 2 2 7" xfId="45696"/>
    <cellStyle name="Comma 6 3 2 2 7 2" xfId="45697"/>
    <cellStyle name="Comma 6 3 2 2 7 3" xfId="45698"/>
    <cellStyle name="Comma 6 3 2 2 8" xfId="45699"/>
    <cellStyle name="Comma 6 3 2 2 8 2" xfId="45700"/>
    <cellStyle name="Comma 6 3 2 2 9" xfId="45701"/>
    <cellStyle name="Comma 6 3 2 3" xfId="8371"/>
    <cellStyle name="Comma 6 3 2 3 10" xfId="45702"/>
    <cellStyle name="Comma 6 3 2 3 2" xfId="8372"/>
    <cellStyle name="Comma 6 3 2 3 2 2" xfId="45703"/>
    <cellStyle name="Comma 6 3 2 3 2 2 2" xfId="45704"/>
    <cellStyle name="Comma 6 3 2 3 2 2 3" xfId="45705"/>
    <cellStyle name="Comma 6 3 2 3 2 3" xfId="45706"/>
    <cellStyle name="Comma 6 3 2 3 2 3 2" xfId="45707"/>
    <cellStyle name="Comma 6 3 2 3 2 3 3" xfId="45708"/>
    <cellStyle name="Comma 6 3 2 3 2 4" xfId="45709"/>
    <cellStyle name="Comma 6 3 2 3 2 4 2" xfId="45710"/>
    <cellStyle name="Comma 6 3 2 3 2 5" xfId="45711"/>
    <cellStyle name="Comma 6 3 2 3 2 6" xfId="45712"/>
    <cellStyle name="Comma 6 3 2 3 3" xfId="45713"/>
    <cellStyle name="Comma 6 3 2 3 3 2" xfId="45714"/>
    <cellStyle name="Comma 6 3 2 3 3 2 2" xfId="45715"/>
    <cellStyle name="Comma 6 3 2 3 3 2 3" xfId="45716"/>
    <cellStyle name="Comma 6 3 2 3 3 3" xfId="45717"/>
    <cellStyle name="Comma 6 3 2 3 3 3 2" xfId="45718"/>
    <cellStyle name="Comma 6 3 2 3 3 3 3" xfId="45719"/>
    <cellStyle name="Comma 6 3 2 3 3 4" xfId="45720"/>
    <cellStyle name="Comma 6 3 2 3 3 4 2" xfId="45721"/>
    <cellStyle name="Comma 6 3 2 3 3 5" xfId="45722"/>
    <cellStyle name="Comma 6 3 2 3 3 6" xfId="45723"/>
    <cellStyle name="Comma 6 3 2 3 4" xfId="45724"/>
    <cellStyle name="Comma 6 3 2 3 4 2" xfId="45725"/>
    <cellStyle name="Comma 6 3 2 3 4 2 2" xfId="45726"/>
    <cellStyle name="Comma 6 3 2 3 4 2 3" xfId="45727"/>
    <cellStyle name="Comma 6 3 2 3 4 3" xfId="45728"/>
    <cellStyle name="Comma 6 3 2 3 4 3 2" xfId="45729"/>
    <cellStyle name="Comma 6 3 2 3 4 4" xfId="45730"/>
    <cellStyle name="Comma 6 3 2 3 4 5" xfId="45731"/>
    <cellStyle name="Comma 6 3 2 3 5" xfId="45732"/>
    <cellStyle name="Comma 6 3 2 3 5 2" xfId="45733"/>
    <cellStyle name="Comma 6 3 2 3 5 3" xfId="45734"/>
    <cellStyle name="Comma 6 3 2 3 6" xfId="45735"/>
    <cellStyle name="Comma 6 3 2 3 6 2" xfId="45736"/>
    <cellStyle name="Comma 6 3 2 3 6 3" xfId="45737"/>
    <cellStyle name="Comma 6 3 2 3 7" xfId="45738"/>
    <cellStyle name="Comma 6 3 2 3 7 2" xfId="45739"/>
    <cellStyle name="Comma 6 3 2 3 8" xfId="45740"/>
    <cellStyle name="Comma 6 3 2 3 9" xfId="45741"/>
    <cellStyle name="Comma 6 3 2 4" xfId="8373"/>
    <cellStyle name="Comma 6 3 2 4 10" xfId="45742"/>
    <cellStyle name="Comma 6 3 2 4 2" xfId="45743"/>
    <cellStyle name="Comma 6 3 2 4 2 2" xfId="45744"/>
    <cellStyle name="Comma 6 3 2 4 2 2 2" xfId="45745"/>
    <cellStyle name="Comma 6 3 2 4 2 2 3" xfId="45746"/>
    <cellStyle name="Comma 6 3 2 4 2 3" xfId="45747"/>
    <cellStyle name="Comma 6 3 2 4 2 3 2" xfId="45748"/>
    <cellStyle name="Comma 6 3 2 4 2 3 3" xfId="45749"/>
    <cellStyle name="Comma 6 3 2 4 2 4" xfId="45750"/>
    <cellStyle name="Comma 6 3 2 4 2 4 2" xfId="45751"/>
    <cellStyle name="Comma 6 3 2 4 2 5" xfId="45752"/>
    <cellStyle name="Comma 6 3 2 4 2 6" xfId="45753"/>
    <cellStyle name="Comma 6 3 2 4 3" xfId="45754"/>
    <cellStyle name="Comma 6 3 2 4 3 2" xfId="45755"/>
    <cellStyle name="Comma 6 3 2 4 3 2 2" xfId="45756"/>
    <cellStyle name="Comma 6 3 2 4 3 2 3" xfId="45757"/>
    <cellStyle name="Comma 6 3 2 4 3 3" xfId="45758"/>
    <cellStyle name="Comma 6 3 2 4 3 3 2" xfId="45759"/>
    <cellStyle name="Comma 6 3 2 4 3 3 3" xfId="45760"/>
    <cellStyle name="Comma 6 3 2 4 3 4" xfId="45761"/>
    <cellStyle name="Comma 6 3 2 4 3 4 2" xfId="45762"/>
    <cellStyle name="Comma 6 3 2 4 3 5" xfId="45763"/>
    <cellStyle name="Comma 6 3 2 4 3 6" xfId="45764"/>
    <cellStyle name="Comma 6 3 2 4 4" xfId="45765"/>
    <cellStyle name="Comma 6 3 2 4 4 2" xfId="45766"/>
    <cellStyle name="Comma 6 3 2 4 4 2 2" xfId="45767"/>
    <cellStyle name="Comma 6 3 2 4 4 2 3" xfId="45768"/>
    <cellStyle name="Comma 6 3 2 4 4 3" xfId="45769"/>
    <cellStyle name="Comma 6 3 2 4 4 3 2" xfId="45770"/>
    <cellStyle name="Comma 6 3 2 4 4 4" xfId="45771"/>
    <cellStyle name="Comma 6 3 2 4 4 5" xfId="45772"/>
    <cellStyle name="Comma 6 3 2 4 5" xfId="45773"/>
    <cellStyle name="Comma 6 3 2 4 5 2" xfId="45774"/>
    <cellStyle name="Comma 6 3 2 4 5 3" xfId="45775"/>
    <cellStyle name="Comma 6 3 2 4 6" xfId="45776"/>
    <cellStyle name="Comma 6 3 2 4 6 2" xfId="45777"/>
    <cellStyle name="Comma 6 3 2 4 6 3" xfId="45778"/>
    <cellStyle name="Comma 6 3 2 4 7" xfId="45779"/>
    <cellStyle name="Comma 6 3 2 4 7 2" xfId="45780"/>
    <cellStyle name="Comma 6 3 2 4 8" xfId="45781"/>
    <cellStyle name="Comma 6 3 2 4 9" xfId="45782"/>
    <cellStyle name="Comma 6 3 2 5" xfId="45783"/>
    <cellStyle name="Comma 6 3 2 5 2" xfId="45784"/>
    <cellStyle name="Comma 6 3 2 5 2 2" xfId="45785"/>
    <cellStyle name="Comma 6 3 2 5 2 3" xfId="45786"/>
    <cellStyle name="Comma 6 3 2 5 3" xfId="45787"/>
    <cellStyle name="Comma 6 3 2 5 3 2" xfId="45788"/>
    <cellStyle name="Comma 6 3 2 5 3 3" xfId="45789"/>
    <cellStyle name="Comma 6 3 2 5 4" xfId="45790"/>
    <cellStyle name="Comma 6 3 2 5 4 2" xfId="45791"/>
    <cellStyle name="Comma 6 3 2 5 5" xfId="45792"/>
    <cellStyle name="Comma 6 3 2 5 6" xfId="45793"/>
    <cellStyle name="Comma 6 3 2 6" xfId="45794"/>
    <cellStyle name="Comma 6 3 2 6 2" xfId="45795"/>
    <cellStyle name="Comma 6 3 2 6 2 2" xfId="45796"/>
    <cellStyle name="Comma 6 3 2 6 2 3" xfId="45797"/>
    <cellStyle name="Comma 6 3 2 6 3" xfId="45798"/>
    <cellStyle name="Comma 6 3 2 6 3 2" xfId="45799"/>
    <cellStyle name="Comma 6 3 2 6 3 3" xfId="45800"/>
    <cellStyle name="Comma 6 3 2 6 4" xfId="45801"/>
    <cellStyle name="Comma 6 3 2 6 4 2" xfId="45802"/>
    <cellStyle name="Comma 6 3 2 6 5" xfId="45803"/>
    <cellStyle name="Comma 6 3 2 6 6" xfId="45804"/>
    <cellStyle name="Comma 6 3 2 7" xfId="45805"/>
    <cellStyle name="Comma 6 3 2 7 2" xfId="45806"/>
    <cellStyle name="Comma 6 3 2 7 2 2" xfId="45807"/>
    <cellStyle name="Comma 6 3 2 7 2 3" xfId="45808"/>
    <cellStyle name="Comma 6 3 2 7 3" xfId="45809"/>
    <cellStyle name="Comma 6 3 2 7 3 2" xfId="45810"/>
    <cellStyle name="Comma 6 3 2 7 4" xfId="45811"/>
    <cellStyle name="Comma 6 3 2 7 5" xfId="45812"/>
    <cellStyle name="Comma 6 3 2 8" xfId="45813"/>
    <cellStyle name="Comma 6 3 2 8 2" xfId="45814"/>
    <cellStyle name="Comma 6 3 2 8 3" xfId="45815"/>
    <cellStyle name="Comma 6 3 2 9" xfId="45816"/>
    <cellStyle name="Comma 6 3 2 9 2" xfId="45817"/>
    <cellStyle name="Comma 6 3 2 9 3" xfId="45818"/>
    <cellStyle name="Comma 6 3 3" xfId="8374"/>
    <cellStyle name="Comma 6 3 3 10" xfId="45819"/>
    <cellStyle name="Comma 6 3 3 11" xfId="45820"/>
    <cellStyle name="Comma 6 3 3 2" xfId="8375"/>
    <cellStyle name="Comma 6 3 3 2 10" xfId="45821"/>
    <cellStyle name="Comma 6 3 3 2 2" xfId="8376"/>
    <cellStyle name="Comma 6 3 3 2 2 2" xfId="45822"/>
    <cellStyle name="Comma 6 3 3 2 2 2 2" xfId="45823"/>
    <cellStyle name="Comma 6 3 3 2 2 2 3" xfId="45824"/>
    <cellStyle name="Comma 6 3 3 2 2 3" xfId="45825"/>
    <cellStyle name="Comma 6 3 3 2 2 3 2" xfId="45826"/>
    <cellStyle name="Comma 6 3 3 2 2 3 3" xfId="45827"/>
    <cellStyle name="Comma 6 3 3 2 2 4" xfId="45828"/>
    <cellStyle name="Comma 6 3 3 2 2 4 2" xfId="45829"/>
    <cellStyle name="Comma 6 3 3 2 2 5" xfId="45830"/>
    <cellStyle name="Comma 6 3 3 2 2 6" xfId="45831"/>
    <cellStyle name="Comma 6 3 3 2 2 7" xfId="45832"/>
    <cellStyle name="Comma 6 3 3 2 3" xfId="45833"/>
    <cellStyle name="Comma 6 3 3 2 3 2" xfId="45834"/>
    <cellStyle name="Comma 6 3 3 2 3 2 2" xfId="45835"/>
    <cellStyle name="Comma 6 3 3 2 3 2 3" xfId="45836"/>
    <cellStyle name="Comma 6 3 3 2 3 3" xfId="45837"/>
    <cellStyle name="Comma 6 3 3 2 3 3 2" xfId="45838"/>
    <cellStyle name="Comma 6 3 3 2 3 3 3" xfId="45839"/>
    <cellStyle name="Comma 6 3 3 2 3 4" xfId="45840"/>
    <cellStyle name="Comma 6 3 3 2 3 4 2" xfId="45841"/>
    <cellStyle name="Comma 6 3 3 2 3 5" xfId="45842"/>
    <cellStyle name="Comma 6 3 3 2 3 6" xfId="45843"/>
    <cellStyle name="Comma 6 3 3 2 4" xfId="45844"/>
    <cellStyle name="Comma 6 3 3 2 4 2" xfId="45845"/>
    <cellStyle name="Comma 6 3 3 2 4 2 2" xfId="45846"/>
    <cellStyle name="Comma 6 3 3 2 4 2 3" xfId="45847"/>
    <cellStyle name="Comma 6 3 3 2 4 3" xfId="45848"/>
    <cellStyle name="Comma 6 3 3 2 4 3 2" xfId="45849"/>
    <cellStyle name="Comma 6 3 3 2 4 4" xfId="45850"/>
    <cellStyle name="Comma 6 3 3 2 4 5" xfId="45851"/>
    <cellStyle name="Comma 6 3 3 2 5" xfId="45852"/>
    <cellStyle name="Comma 6 3 3 2 5 2" xfId="45853"/>
    <cellStyle name="Comma 6 3 3 2 5 3" xfId="45854"/>
    <cellStyle name="Comma 6 3 3 2 6" xfId="45855"/>
    <cellStyle name="Comma 6 3 3 2 6 2" xfId="45856"/>
    <cellStyle name="Comma 6 3 3 2 6 3" xfId="45857"/>
    <cellStyle name="Comma 6 3 3 2 7" xfId="45858"/>
    <cellStyle name="Comma 6 3 3 2 7 2" xfId="45859"/>
    <cellStyle name="Comma 6 3 3 2 8" xfId="45860"/>
    <cellStyle name="Comma 6 3 3 2 9" xfId="45861"/>
    <cellStyle name="Comma 6 3 3 3" xfId="8377"/>
    <cellStyle name="Comma 6 3 3 3 2" xfId="45862"/>
    <cellStyle name="Comma 6 3 3 3 2 2" xfId="45863"/>
    <cellStyle name="Comma 6 3 3 3 2 3" xfId="45864"/>
    <cellStyle name="Comma 6 3 3 3 3" xfId="45865"/>
    <cellStyle name="Comma 6 3 3 3 3 2" xfId="45866"/>
    <cellStyle name="Comma 6 3 3 3 3 3" xfId="45867"/>
    <cellStyle name="Comma 6 3 3 3 4" xfId="45868"/>
    <cellStyle name="Comma 6 3 3 3 4 2" xfId="45869"/>
    <cellStyle name="Comma 6 3 3 3 5" xfId="45870"/>
    <cellStyle name="Comma 6 3 3 3 6" xfId="45871"/>
    <cellStyle name="Comma 6 3 3 3 7" xfId="45872"/>
    <cellStyle name="Comma 6 3 3 4" xfId="45873"/>
    <cellStyle name="Comma 6 3 3 4 2" xfId="45874"/>
    <cellStyle name="Comma 6 3 3 4 2 2" xfId="45875"/>
    <cellStyle name="Comma 6 3 3 4 2 3" xfId="45876"/>
    <cellStyle name="Comma 6 3 3 4 3" xfId="45877"/>
    <cellStyle name="Comma 6 3 3 4 3 2" xfId="45878"/>
    <cellStyle name="Comma 6 3 3 4 3 3" xfId="45879"/>
    <cellStyle name="Comma 6 3 3 4 4" xfId="45880"/>
    <cellStyle name="Comma 6 3 3 4 4 2" xfId="45881"/>
    <cellStyle name="Comma 6 3 3 4 5" xfId="45882"/>
    <cellStyle name="Comma 6 3 3 4 6" xfId="45883"/>
    <cellStyle name="Comma 6 3 3 5" xfId="45884"/>
    <cellStyle name="Comma 6 3 3 5 2" xfId="45885"/>
    <cellStyle name="Comma 6 3 3 5 2 2" xfId="45886"/>
    <cellStyle name="Comma 6 3 3 5 2 3" xfId="45887"/>
    <cellStyle name="Comma 6 3 3 5 3" xfId="45888"/>
    <cellStyle name="Comma 6 3 3 5 3 2" xfId="45889"/>
    <cellStyle name="Comma 6 3 3 5 4" xfId="45890"/>
    <cellStyle name="Comma 6 3 3 5 5" xfId="45891"/>
    <cellStyle name="Comma 6 3 3 6" xfId="45892"/>
    <cellStyle name="Comma 6 3 3 6 2" xfId="45893"/>
    <cellStyle name="Comma 6 3 3 6 3" xfId="45894"/>
    <cellStyle name="Comma 6 3 3 7" xfId="45895"/>
    <cellStyle name="Comma 6 3 3 7 2" xfId="45896"/>
    <cellStyle name="Comma 6 3 3 7 3" xfId="45897"/>
    <cellStyle name="Comma 6 3 3 8" xfId="45898"/>
    <cellStyle name="Comma 6 3 3 8 2" xfId="45899"/>
    <cellStyle name="Comma 6 3 3 9" xfId="45900"/>
    <cellStyle name="Comma 6 3 4" xfId="8378"/>
    <cellStyle name="Comma 6 3 4 10" xfId="45901"/>
    <cellStyle name="Comma 6 3 4 2" xfId="8379"/>
    <cellStyle name="Comma 6 3 4 2 2" xfId="45902"/>
    <cellStyle name="Comma 6 3 4 2 2 2" xfId="45903"/>
    <cellStyle name="Comma 6 3 4 2 2 3" xfId="45904"/>
    <cellStyle name="Comma 6 3 4 2 3" xfId="45905"/>
    <cellStyle name="Comma 6 3 4 2 3 2" xfId="45906"/>
    <cellStyle name="Comma 6 3 4 2 3 3" xfId="45907"/>
    <cellStyle name="Comma 6 3 4 2 4" xfId="45908"/>
    <cellStyle name="Comma 6 3 4 2 4 2" xfId="45909"/>
    <cellStyle name="Comma 6 3 4 2 5" xfId="45910"/>
    <cellStyle name="Comma 6 3 4 2 6" xfId="45911"/>
    <cellStyle name="Comma 6 3 4 2 7" xfId="45912"/>
    <cellStyle name="Comma 6 3 4 3" xfId="45913"/>
    <cellStyle name="Comma 6 3 4 3 2" xfId="45914"/>
    <cellStyle name="Comma 6 3 4 3 2 2" xfId="45915"/>
    <cellStyle name="Comma 6 3 4 3 2 3" xfId="45916"/>
    <cellStyle name="Comma 6 3 4 3 3" xfId="45917"/>
    <cellStyle name="Comma 6 3 4 3 3 2" xfId="45918"/>
    <cellStyle name="Comma 6 3 4 3 3 3" xfId="45919"/>
    <cellStyle name="Comma 6 3 4 3 4" xfId="45920"/>
    <cellStyle name="Comma 6 3 4 3 4 2" xfId="45921"/>
    <cellStyle name="Comma 6 3 4 3 5" xfId="45922"/>
    <cellStyle name="Comma 6 3 4 3 6" xfId="45923"/>
    <cellStyle name="Comma 6 3 4 4" xfId="45924"/>
    <cellStyle name="Comma 6 3 4 4 2" xfId="45925"/>
    <cellStyle name="Comma 6 3 4 4 2 2" xfId="45926"/>
    <cellStyle name="Comma 6 3 4 4 2 3" xfId="45927"/>
    <cellStyle name="Comma 6 3 4 4 3" xfId="45928"/>
    <cellStyle name="Comma 6 3 4 4 3 2" xfId="45929"/>
    <cellStyle name="Comma 6 3 4 4 4" xfId="45930"/>
    <cellStyle name="Comma 6 3 4 4 5" xfId="45931"/>
    <cellStyle name="Comma 6 3 4 5" xfId="45932"/>
    <cellStyle name="Comma 6 3 4 5 2" xfId="45933"/>
    <cellStyle name="Comma 6 3 4 5 3" xfId="45934"/>
    <cellStyle name="Comma 6 3 4 6" xfId="45935"/>
    <cellStyle name="Comma 6 3 4 6 2" xfId="45936"/>
    <cellStyle name="Comma 6 3 4 6 3" xfId="45937"/>
    <cellStyle name="Comma 6 3 4 7" xfId="45938"/>
    <cellStyle name="Comma 6 3 4 7 2" xfId="45939"/>
    <cellStyle name="Comma 6 3 4 8" xfId="45940"/>
    <cellStyle name="Comma 6 3 4 9" xfId="45941"/>
    <cellStyle name="Comma 6 3 5" xfId="8380"/>
    <cellStyle name="Comma 6 3 5 10" xfId="45942"/>
    <cellStyle name="Comma 6 3 5 2" xfId="8381"/>
    <cellStyle name="Comma 6 3 5 2 2" xfId="45943"/>
    <cellStyle name="Comma 6 3 5 2 2 2" xfId="45944"/>
    <cellStyle name="Comma 6 3 5 2 2 3" xfId="45945"/>
    <cellStyle name="Comma 6 3 5 2 3" xfId="45946"/>
    <cellStyle name="Comma 6 3 5 2 3 2" xfId="45947"/>
    <cellStyle name="Comma 6 3 5 2 3 3" xfId="45948"/>
    <cellStyle name="Comma 6 3 5 2 4" xfId="45949"/>
    <cellStyle name="Comma 6 3 5 2 4 2" xfId="45950"/>
    <cellStyle name="Comma 6 3 5 2 5" xfId="45951"/>
    <cellStyle name="Comma 6 3 5 2 6" xfId="45952"/>
    <cellStyle name="Comma 6 3 5 2 7" xfId="45953"/>
    <cellStyle name="Comma 6 3 5 3" xfId="45954"/>
    <cellStyle name="Comma 6 3 5 3 2" xfId="45955"/>
    <cellStyle name="Comma 6 3 5 3 2 2" xfId="45956"/>
    <cellStyle name="Comma 6 3 5 3 2 3" xfId="45957"/>
    <cellStyle name="Comma 6 3 5 3 3" xfId="45958"/>
    <cellStyle name="Comma 6 3 5 3 3 2" xfId="45959"/>
    <cellStyle name="Comma 6 3 5 3 3 3" xfId="45960"/>
    <cellStyle name="Comma 6 3 5 3 4" xfId="45961"/>
    <cellStyle name="Comma 6 3 5 3 4 2" xfId="45962"/>
    <cellStyle name="Comma 6 3 5 3 5" xfId="45963"/>
    <cellStyle name="Comma 6 3 5 3 6" xfId="45964"/>
    <cellStyle name="Comma 6 3 5 4" xfId="45965"/>
    <cellStyle name="Comma 6 3 5 4 2" xfId="45966"/>
    <cellStyle name="Comma 6 3 5 4 2 2" xfId="45967"/>
    <cellStyle name="Comma 6 3 5 4 2 3" xfId="45968"/>
    <cellStyle name="Comma 6 3 5 4 3" xfId="45969"/>
    <cellStyle name="Comma 6 3 5 4 3 2" xfId="45970"/>
    <cellStyle name="Comma 6 3 5 4 4" xfId="45971"/>
    <cellStyle name="Comma 6 3 5 4 5" xfId="45972"/>
    <cellStyle name="Comma 6 3 5 5" xfId="45973"/>
    <cellStyle name="Comma 6 3 5 5 2" xfId="45974"/>
    <cellStyle name="Comma 6 3 5 5 3" xfId="45975"/>
    <cellStyle name="Comma 6 3 5 6" xfId="45976"/>
    <cellStyle name="Comma 6 3 5 6 2" xfId="45977"/>
    <cellStyle name="Comma 6 3 5 6 3" xfId="45978"/>
    <cellStyle name="Comma 6 3 5 7" xfId="45979"/>
    <cellStyle name="Comma 6 3 5 7 2" xfId="45980"/>
    <cellStyle name="Comma 6 3 5 8" xfId="45981"/>
    <cellStyle name="Comma 6 3 5 9" xfId="45982"/>
    <cellStyle name="Comma 6 3 6" xfId="8382"/>
    <cellStyle name="Comma 6 3 6 2" xfId="45983"/>
    <cellStyle name="Comma 6 3 6 2 2" xfId="45984"/>
    <cellStyle name="Comma 6 3 6 2 3" xfId="45985"/>
    <cellStyle name="Comma 6 3 6 3" xfId="45986"/>
    <cellStyle name="Comma 6 3 6 3 2" xfId="45987"/>
    <cellStyle name="Comma 6 3 6 3 3" xfId="45988"/>
    <cellStyle name="Comma 6 3 6 4" xfId="45989"/>
    <cellStyle name="Comma 6 3 6 4 2" xfId="45990"/>
    <cellStyle name="Comma 6 3 6 5" xfId="45991"/>
    <cellStyle name="Comma 6 3 6 6" xfId="45992"/>
    <cellStyle name="Comma 6 3 6 7" xfId="45993"/>
    <cellStyle name="Comma 6 3 7" xfId="45994"/>
    <cellStyle name="Comma 6 3 7 2" xfId="45995"/>
    <cellStyle name="Comma 6 3 7 2 2" xfId="45996"/>
    <cellStyle name="Comma 6 3 7 2 3" xfId="45997"/>
    <cellStyle name="Comma 6 3 7 3" xfId="45998"/>
    <cellStyle name="Comma 6 3 7 3 2" xfId="45999"/>
    <cellStyle name="Comma 6 3 7 3 3" xfId="46000"/>
    <cellStyle name="Comma 6 3 7 4" xfId="46001"/>
    <cellStyle name="Comma 6 3 7 4 2" xfId="46002"/>
    <cellStyle name="Comma 6 3 7 5" xfId="46003"/>
    <cellStyle name="Comma 6 3 7 6" xfId="46004"/>
    <cellStyle name="Comma 6 3 8" xfId="46005"/>
    <cellStyle name="Comma 6 3 8 2" xfId="46006"/>
    <cellStyle name="Comma 6 3 8 2 2" xfId="46007"/>
    <cellStyle name="Comma 6 3 8 2 3" xfId="46008"/>
    <cellStyle name="Comma 6 3 8 3" xfId="46009"/>
    <cellStyle name="Comma 6 3 8 3 2" xfId="46010"/>
    <cellStyle name="Comma 6 3 8 4" xfId="46011"/>
    <cellStyle name="Comma 6 3 8 5" xfId="46012"/>
    <cellStyle name="Comma 6 3 9" xfId="46013"/>
    <cellStyle name="Comma 6 3 9 2" xfId="46014"/>
    <cellStyle name="Comma 6 3 9 3" xfId="46015"/>
    <cellStyle name="Comma 6 4" xfId="8383"/>
    <cellStyle name="Comma 6 4 10" xfId="46016"/>
    <cellStyle name="Comma 6 4 10 2" xfId="46017"/>
    <cellStyle name="Comma 6 4 11" xfId="46018"/>
    <cellStyle name="Comma 6 4 12" xfId="46019"/>
    <cellStyle name="Comma 6 4 13" xfId="46020"/>
    <cellStyle name="Comma 6 4 2" xfId="8384"/>
    <cellStyle name="Comma 6 4 2 10" xfId="46021"/>
    <cellStyle name="Comma 6 4 2 11" xfId="46022"/>
    <cellStyle name="Comma 6 4 2 2" xfId="8385"/>
    <cellStyle name="Comma 6 4 2 2 10" xfId="46023"/>
    <cellStyle name="Comma 6 4 2 2 2" xfId="8386"/>
    <cellStyle name="Comma 6 4 2 2 2 2" xfId="46024"/>
    <cellStyle name="Comma 6 4 2 2 2 2 2" xfId="46025"/>
    <cellStyle name="Comma 6 4 2 2 2 2 3" xfId="46026"/>
    <cellStyle name="Comma 6 4 2 2 2 3" xfId="46027"/>
    <cellStyle name="Comma 6 4 2 2 2 3 2" xfId="46028"/>
    <cellStyle name="Comma 6 4 2 2 2 3 3" xfId="46029"/>
    <cellStyle name="Comma 6 4 2 2 2 4" xfId="46030"/>
    <cellStyle name="Comma 6 4 2 2 2 4 2" xfId="46031"/>
    <cellStyle name="Comma 6 4 2 2 2 5" xfId="46032"/>
    <cellStyle name="Comma 6 4 2 2 2 6" xfId="46033"/>
    <cellStyle name="Comma 6 4 2 2 3" xfId="46034"/>
    <cellStyle name="Comma 6 4 2 2 3 2" xfId="46035"/>
    <cellStyle name="Comma 6 4 2 2 3 2 2" xfId="46036"/>
    <cellStyle name="Comma 6 4 2 2 3 2 3" xfId="46037"/>
    <cellStyle name="Comma 6 4 2 2 3 3" xfId="46038"/>
    <cellStyle name="Comma 6 4 2 2 3 3 2" xfId="46039"/>
    <cellStyle name="Comma 6 4 2 2 3 3 3" xfId="46040"/>
    <cellStyle name="Comma 6 4 2 2 3 4" xfId="46041"/>
    <cellStyle name="Comma 6 4 2 2 3 4 2" xfId="46042"/>
    <cellStyle name="Comma 6 4 2 2 3 5" xfId="46043"/>
    <cellStyle name="Comma 6 4 2 2 3 6" xfId="46044"/>
    <cellStyle name="Comma 6 4 2 2 4" xfId="46045"/>
    <cellStyle name="Comma 6 4 2 2 4 2" xfId="46046"/>
    <cellStyle name="Comma 6 4 2 2 4 2 2" xfId="46047"/>
    <cellStyle name="Comma 6 4 2 2 4 2 3" xfId="46048"/>
    <cellStyle name="Comma 6 4 2 2 4 3" xfId="46049"/>
    <cellStyle name="Comma 6 4 2 2 4 3 2" xfId="46050"/>
    <cellStyle name="Comma 6 4 2 2 4 4" xfId="46051"/>
    <cellStyle name="Comma 6 4 2 2 4 5" xfId="46052"/>
    <cellStyle name="Comma 6 4 2 2 5" xfId="46053"/>
    <cellStyle name="Comma 6 4 2 2 5 2" xfId="46054"/>
    <cellStyle name="Comma 6 4 2 2 5 3" xfId="46055"/>
    <cellStyle name="Comma 6 4 2 2 6" xfId="46056"/>
    <cellStyle name="Comma 6 4 2 2 6 2" xfId="46057"/>
    <cellStyle name="Comma 6 4 2 2 6 3" xfId="46058"/>
    <cellStyle name="Comma 6 4 2 2 7" xfId="46059"/>
    <cellStyle name="Comma 6 4 2 2 7 2" xfId="46060"/>
    <cellStyle name="Comma 6 4 2 2 8" xfId="46061"/>
    <cellStyle name="Comma 6 4 2 2 9" xfId="46062"/>
    <cellStyle name="Comma 6 4 2 3" xfId="8387"/>
    <cellStyle name="Comma 6 4 2 3 2" xfId="46063"/>
    <cellStyle name="Comma 6 4 2 3 2 2" xfId="46064"/>
    <cellStyle name="Comma 6 4 2 3 2 3" xfId="46065"/>
    <cellStyle name="Comma 6 4 2 3 3" xfId="46066"/>
    <cellStyle name="Comma 6 4 2 3 3 2" xfId="46067"/>
    <cellStyle name="Comma 6 4 2 3 3 3" xfId="46068"/>
    <cellStyle name="Comma 6 4 2 3 4" xfId="46069"/>
    <cellStyle name="Comma 6 4 2 3 4 2" xfId="46070"/>
    <cellStyle name="Comma 6 4 2 3 5" xfId="46071"/>
    <cellStyle name="Comma 6 4 2 3 6" xfId="46072"/>
    <cellStyle name="Comma 6 4 2 3 7" xfId="46073"/>
    <cellStyle name="Comma 6 4 2 4" xfId="46074"/>
    <cellStyle name="Comma 6 4 2 4 2" xfId="46075"/>
    <cellStyle name="Comma 6 4 2 4 2 2" xfId="46076"/>
    <cellStyle name="Comma 6 4 2 4 2 3" xfId="46077"/>
    <cellStyle name="Comma 6 4 2 4 3" xfId="46078"/>
    <cellStyle name="Comma 6 4 2 4 3 2" xfId="46079"/>
    <cellStyle name="Comma 6 4 2 4 3 3" xfId="46080"/>
    <cellStyle name="Comma 6 4 2 4 4" xfId="46081"/>
    <cellStyle name="Comma 6 4 2 4 4 2" xfId="46082"/>
    <cellStyle name="Comma 6 4 2 4 5" xfId="46083"/>
    <cellStyle name="Comma 6 4 2 4 6" xfId="46084"/>
    <cellStyle name="Comma 6 4 2 5" xfId="46085"/>
    <cellStyle name="Comma 6 4 2 5 2" xfId="46086"/>
    <cellStyle name="Comma 6 4 2 5 2 2" xfId="46087"/>
    <cellStyle name="Comma 6 4 2 5 2 3" xfId="46088"/>
    <cellStyle name="Comma 6 4 2 5 3" xfId="46089"/>
    <cellStyle name="Comma 6 4 2 5 3 2" xfId="46090"/>
    <cellStyle name="Comma 6 4 2 5 4" xfId="46091"/>
    <cellStyle name="Comma 6 4 2 5 5" xfId="46092"/>
    <cellStyle name="Comma 6 4 2 6" xfId="46093"/>
    <cellStyle name="Comma 6 4 2 6 2" xfId="46094"/>
    <cellStyle name="Comma 6 4 2 6 3" xfId="46095"/>
    <cellStyle name="Comma 6 4 2 7" xfId="46096"/>
    <cellStyle name="Comma 6 4 2 7 2" xfId="46097"/>
    <cellStyle name="Comma 6 4 2 7 3" xfId="46098"/>
    <cellStyle name="Comma 6 4 2 8" xfId="46099"/>
    <cellStyle name="Comma 6 4 2 8 2" xfId="46100"/>
    <cellStyle name="Comma 6 4 2 9" xfId="46101"/>
    <cellStyle name="Comma 6 4 3" xfId="8388"/>
    <cellStyle name="Comma 6 4 3 10" xfId="46102"/>
    <cellStyle name="Comma 6 4 3 2" xfId="8389"/>
    <cellStyle name="Comma 6 4 3 2 2" xfId="46103"/>
    <cellStyle name="Comma 6 4 3 2 2 2" xfId="46104"/>
    <cellStyle name="Comma 6 4 3 2 2 3" xfId="46105"/>
    <cellStyle name="Comma 6 4 3 2 3" xfId="46106"/>
    <cellStyle name="Comma 6 4 3 2 3 2" xfId="46107"/>
    <cellStyle name="Comma 6 4 3 2 3 3" xfId="46108"/>
    <cellStyle name="Comma 6 4 3 2 4" xfId="46109"/>
    <cellStyle name="Comma 6 4 3 2 4 2" xfId="46110"/>
    <cellStyle name="Comma 6 4 3 2 5" xfId="46111"/>
    <cellStyle name="Comma 6 4 3 2 6" xfId="46112"/>
    <cellStyle name="Comma 6 4 3 3" xfId="46113"/>
    <cellStyle name="Comma 6 4 3 3 2" xfId="46114"/>
    <cellStyle name="Comma 6 4 3 3 2 2" xfId="46115"/>
    <cellStyle name="Comma 6 4 3 3 2 3" xfId="46116"/>
    <cellStyle name="Comma 6 4 3 3 3" xfId="46117"/>
    <cellStyle name="Comma 6 4 3 3 3 2" xfId="46118"/>
    <cellStyle name="Comma 6 4 3 3 3 3" xfId="46119"/>
    <cellStyle name="Comma 6 4 3 3 4" xfId="46120"/>
    <cellStyle name="Comma 6 4 3 3 4 2" xfId="46121"/>
    <cellStyle name="Comma 6 4 3 3 5" xfId="46122"/>
    <cellStyle name="Comma 6 4 3 3 6" xfId="46123"/>
    <cellStyle name="Comma 6 4 3 4" xfId="46124"/>
    <cellStyle name="Comma 6 4 3 4 2" xfId="46125"/>
    <cellStyle name="Comma 6 4 3 4 2 2" xfId="46126"/>
    <cellStyle name="Comma 6 4 3 4 2 3" xfId="46127"/>
    <cellStyle name="Comma 6 4 3 4 3" xfId="46128"/>
    <cellStyle name="Comma 6 4 3 4 3 2" xfId="46129"/>
    <cellStyle name="Comma 6 4 3 4 4" xfId="46130"/>
    <cellStyle name="Comma 6 4 3 4 5" xfId="46131"/>
    <cellStyle name="Comma 6 4 3 5" xfId="46132"/>
    <cellStyle name="Comma 6 4 3 5 2" xfId="46133"/>
    <cellStyle name="Comma 6 4 3 5 3" xfId="46134"/>
    <cellStyle name="Comma 6 4 3 6" xfId="46135"/>
    <cellStyle name="Comma 6 4 3 6 2" xfId="46136"/>
    <cellStyle name="Comma 6 4 3 6 3" xfId="46137"/>
    <cellStyle name="Comma 6 4 3 7" xfId="46138"/>
    <cellStyle name="Comma 6 4 3 7 2" xfId="46139"/>
    <cellStyle name="Comma 6 4 3 8" xfId="46140"/>
    <cellStyle name="Comma 6 4 3 9" xfId="46141"/>
    <cellStyle name="Comma 6 4 4" xfId="8390"/>
    <cellStyle name="Comma 6 4 4 10" xfId="46142"/>
    <cellStyle name="Comma 6 4 4 2" xfId="46143"/>
    <cellStyle name="Comma 6 4 4 2 2" xfId="46144"/>
    <cellStyle name="Comma 6 4 4 2 2 2" xfId="46145"/>
    <cellStyle name="Comma 6 4 4 2 2 3" xfId="46146"/>
    <cellStyle name="Comma 6 4 4 2 3" xfId="46147"/>
    <cellStyle name="Comma 6 4 4 2 3 2" xfId="46148"/>
    <cellStyle name="Comma 6 4 4 2 3 3" xfId="46149"/>
    <cellStyle name="Comma 6 4 4 2 4" xfId="46150"/>
    <cellStyle name="Comma 6 4 4 2 4 2" xfId="46151"/>
    <cellStyle name="Comma 6 4 4 2 5" xfId="46152"/>
    <cellStyle name="Comma 6 4 4 2 6" xfId="46153"/>
    <cellStyle name="Comma 6 4 4 3" xfId="46154"/>
    <cellStyle name="Comma 6 4 4 3 2" xfId="46155"/>
    <cellStyle name="Comma 6 4 4 3 2 2" xfId="46156"/>
    <cellStyle name="Comma 6 4 4 3 2 3" xfId="46157"/>
    <cellStyle name="Comma 6 4 4 3 3" xfId="46158"/>
    <cellStyle name="Comma 6 4 4 3 3 2" xfId="46159"/>
    <cellStyle name="Comma 6 4 4 3 3 3" xfId="46160"/>
    <cellStyle name="Comma 6 4 4 3 4" xfId="46161"/>
    <cellStyle name="Comma 6 4 4 3 4 2" xfId="46162"/>
    <cellStyle name="Comma 6 4 4 3 5" xfId="46163"/>
    <cellStyle name="Comma 6 4 4 3 6" xfId="46164"/>
    <cellStyle name="Comma 6 4 4 4" xfId="46165"/>
    <cellStyle name="Comma 6 4 4 4 2" xfId="46166"/>
    <cellStyle name="Comma 6 4 4 4 2 2" xfId="46167"/>
    <cellStyle name="Comma 6 4 4 4 2 3" xfId="46168"/>
    <cellStyle name="Comma 6 4 4 4 3" xfId="46169"/>
    <cellStyle name="Comma 6 4 4 4 3 2" xfId="46170"/>
    <cellStyle name="Comma 6 4 4 4 4" xfId="46171"/>
    <cellStyle name="Comma 6 4 4 4 5" xfId="46172"/>
    <cellStyle name="Comma 6 4 4 5" xfId="46173"/>
    <cellStyle name="Comma 6 4 4 5 2" xfId="46174"/>
    <cellStyle name="Comma 6 4 4 5 3" xfId="46175"/>
    <cellStyle name="Comma 6 4 4 6" xfId="46176"/>
    <cellStyle name="Comma 6 4 4 6 2" xfId="46177"/>
    <cellStyle name="Comma 6 4 4 6 3" xfId="46178"/>
    <cellStyle name="Comma 6 4 4 7" xfId="46179"/>
    <cellStyle name="Comma 6 4 4 7 2" xfId="46180"/>
    <cellStyle name="Comma 6 4 4 8" xfId="46181"/>
    <cellStyle name="Comma 6 4 4 9" xfId="46182"/>
    <cellStyle name="Comma 6 4 5" xfId="46183"/>
    <cellStyle name="Comma 6 4 5 2" xfId="46184"/>
    <cellStyle name="Comma 6 4 5 2 2" xfId="46185"/>
    <cellStyle name="Comma 6 4 5 2 3" xfId="46186"/>
    <cellStyle name="Comma 6 4 5 3" xfId="46187"/>
    <cellStyle name="Comma 6 4 5 3 2" xfId="46188"/>
    <cellStyle name="Comma 6 4 5 3 3" xfId="46189"/>
    <cellStyle name="Comma 6 4 5 4" xfId="46190"/>
    <cellStyle name="Comma 6 4 5 4 2" xfId="46191"/>
    <cellStyle name="Comma 6 4 5 5" xfId="46192"/>
    <cellStyle name="Comma 6 4 5 6" xfId="46193"/>
    <cellStyle name="Comma 6 4 6" xfId="46194"/>
    <cellStyle name="Comma 6 4 6 2" xfId="46195"/>
    <cellStyle name="Comma 6 4 6 2 2" xfId="46196"/>
    <cellStyle name="Comma 6 4 6 2 3" xfId="46197"/>
    <cellStyle name="Comma 6 4 6 3" xfId="46198"/>
    <cellStyle name="Comma 6 4 6 3 2" xfId="46199"/>
    <cellStyle name="Comma 6 4 6 3 3" xfId="46200"/>
    <cellStyle name="Comma 6 4 6 4" xfId="46201"/>
    <cellStyle name="Comma 6 4 6 4 2" xfId="46202"/>
    <cellStyle name="Comma 6 4 6 5" xfId="46203"/>
    <cellStyle name="Comma 6 4 6 6" xfId="46204"/>
    <cellStyle name="Comma 6 4 7" xfId="46205"/>
    <cellStyle name="Comma 6 4 7 2" xfId="46206"/>
    <cellStyle name="Comma 6 4 7 2 2" xfId="46207"/>
    <cellStyle name="Comma 6 4 7 2 3" xfId="46208"/>
    <cellStyle name="Comma 6 4 7 3" xfId="46209"/>
    <cellStyle name="Comma 6 4 7 3 2" xfId="46210"/>
    <cellStyle name="Comma 6 4 7 4" xfId="46211"/>
    <cellStyle name="Comma 6 4 7 5" xfId="46212"/>
    <cellStyle name="Comma 6 4 8" xfId="46213"/>
    <cellStyle name="Comma 6 4 8 2" xfId="46214"/>
    <cellStyle name="Comma 6 4 8 3" xfId="46215"/>
    <cellStyle name="Comma 6 4 9" xfId="46216"/>
    <cellStyle name="Comma 6 4 9 2" xfId="46217"/>
    <cellStyle name="Comma 6 4 9 3" xfId="46218"/>
    <cellStyle name="Comma 6 5" xfId="8391"/>
    <cellStyle name="Comma 6 5 10" xfId="46219"/>
    <cellStyle name="Comma 6 5 11" xfId="46220"/>
    <cellStyle name="Comma 6 5 2" xfId="8392"/>
    <cellStyle name="Comma 6 5 2 10" xfId="46221"/>
    <cellStyle name="Comma 6 5 2 2" xfId="8393"/>
    <cellStyle name="Comma 6 5 2 2 2" xfId="46222"/>
    <cellStyle name="Comma 6 5 2 2 2 2" xfId="46223"/>
    <cellStyle name="Comma 6 5 2 2 2 3" xfId="46224"/>
    <cellStyle name="Comma 6 5 2 2 3" xfId="46225"/>
    <cellStyle name="Comma 6 5 2 2 3 2" xfId="46226"/>
    <cellStyle name="Comma 6 5 2 2 3 3" xfId="46227"/>
    <cellStyle name="Comma 6 5 2 2 4" xfId="46228"/>
    <cellStyle name="Comma 6 5 2 2 4 2" xfId="46229"/>
    <cellStyle name="Comma 6 5 2 2 5" xfId="46230"/>
    <cellStyle name="Comma 6 5 2 2 6" xfId="46231"/>
    <cellStyle name="Comma 6 5 2 2 7" xfId="46232"/>
    <cellStyle name="Comma 6 5 2 3" xfId="46233"/>
    <cellStyle name="Comma 6 5 2 3 2" xfId="46234"/>
    <cellStyle name="Comma 6 5 2 3 2 2" xfId="46235"/>
    <cellStyle name="Comma 6 5 2 3 2 3" xfId="46236"/>
    <cellStyle name="Comma 6 5 2 3 3" xfId="46237"/>
    <cellStyle name="Comma 6 5 2 3 3 2" xfId="46238"/>
    <cellStyle name="Comma 6 5 2 3 3 3" xfId="46239"/>
    <cellStyle name="Comma 6 5 2 3 4" xfId="46240"/>
    <cellStyle name="Comma 6 5 2 3 4 2" xfId="46241"/>
    <cellStyle name="Comma 6 5 2 3 5" xfId="46242"/>
    <cellStyle name="Comma 6 5 2 3 6" xfId="46243"/>
    <cellStyle name="Comma 6 5 2 4" xfId="46244"/>
    <cellStyle name="Comma 6 5 2 4 2" xfId="46245"/>
    <cellStyle name="Comma 6 5 2 4 2 2" xfId="46246"/>
    <cellStyle name="Comma 6 5 2 4 2 3" xfId="46247"/>
    <cellStyle name="Comma 6 5 2 4 3" xfId="46248"/>
    <cellStyle name="Comma 6 5 2 4 3 2" xfId="46249"/>
    <cellStyle name="Comma 6 5 2 4 4" xfId="46250"/>
    <cellStyle name="Comma 6 5 2 4 5" xfId="46251"/>
    <cellStyle name="Comma 6 5 2 5" xfId="46252"/>
    <cellStyle name="Comma 6 5 2 5 2" xfId="46253"/>
    <cellStyle name="Comma 6 5 2 5 3" xfId="46254"/>
    <cellStyle name="Comma 6 5 2 6" xfId="46255"/>
    <cellStyle name="Comma 6 5 2 6 2" xfId="46256"/>
    <cellStyle name="Comma 6 5 2 6 3" xfId="46257"/>
    <cellStyle name="Comma 6 5 2 7" xfId="46258"/>
    <cellStyle name="Comma 6 5 2 7 2" xfId="46259"/>
    <cellStyle name="Comma 6 5 2 8" xfId="46260"/>
    <cellStyle name="Comma 6 5 2 9" xfId="46261"/>
    <cellStyle name="Comma 6 5 3" xfId="8394"/>
    <cellStyle name="Comma 6 5 3 2" xfId="46262"/>
    <cellStyle name="Comma 6 5 3 2 2" xfId="46263"/>
    <cellStyle name="Comma 6 5 3 2 3" xfId="46264"/>
    <cellStyle name="Comma 6 5 3 3" xfId="46265"/>
    <cellStyle name="Comma 6 5 3 3 2" xfId="46266"/>
    <cellStyle name="Comma 6 5 3 3 3" xfId="46267"/>
    <cellStyle name="Comma 6 5 3 4" xfId="46268"/>
    <cellStyle name="Comma 6 5 3 4 2" xfId="46269"/>
    <cellStyle name="Comma 6 5 3 5" xfId="46270"/>
    <cellStyle name="Comma 6 5 3 6" xfId="46271"/>
    <cellStyle name="Comma 6 5 3 7" xfId="46272"/>
    <cellStyle name="Comma 6 5 4" xfId="46273"/>
    <cellStyle name="Comma 6 5 4 2" xfId="46274"/>
    <cellStyle name="Comma 6 5 4 2 2" xfId="46275"/>
    <cellStyle name="Comma 6 5 4 2 3" xfId="46276"/>
    <cellStyle name="Comma 6 5 4 3" xfId="46277"/>
    <cellStyle name="Comma 6 5 4 3 2" xfId="46278"/>
    <cellStyle name="Comma 6 5 4 3 3" xfId="46279"/>
    <cellStyle name="Comma 6 5 4 4" xfId="46280"/>
    <cellStyle name="Comma 6 5 4 4 2" xfId="46281"/>
    <cellStyle name="Comma 6 5 4 5" xfId="46282"/>
    <cellStyle name="Comma 6 5 4 6" xfId="46283"/>
    <cellStyle name="Comma 6 5 5" xfId="46284"/>
    <cellStyle name="Comma 6 5 5 2" xfId="46285"/>
    <cellStyle name="Comma 6 5 5 2 2" xfId="46286"/>
    <cellStyle name="Comma 6 5 5 2 3" xfId="46287"/>
    <cellStyle name="Comma 6 5 5 3" xfId="46288"/>
    <cellStyle name="Comma 6 5 5 3 2" xfId="46289"/>
    <cellStyle name="Comma 6 5 5 4" xfId="46290"/>
    <cellStyle name="Comma 6 5 5 5" xfId="46291"/>
    <cellStyle name="Comma 6 5 6" xfId="46292"/>
    <cellStyle name="Comma 6 5 6 2" xfId="46293"/>
    <cellStyle name="Comma 6 5 6 3" xfId="46294"/>
    <cellStyle name="Comma 6 5 7" xfId="46295"/>
    <cellStyle name="Comma 6 5 7 2" xfId="46296"/>
    <cellStyle name="Comma 6 5 7 3" xfId="46297"/>
    <cellStyle name="Comma 6 5 8" xfId="46298"/>
    <cellStyle name="Comma 6 5 8 2" xfId="46299"/>
    <cellStyle name="Comma 6 5 9" xfId="46300"/>
    <cellStyle name="Comma 6 6" xfId="8395"/>
    <cellStyle name="Comma 6 6 10" xfId="46301"/>
    <cellStyle name="Comma 6 6 2" xfId="8396"/>
    <cellStyle name="Comma 6 6 2 2" xfId="46302"/>
    <cellStyle name="Comma 6 6 2 2 2" xfId="46303"/>
    <cellStyle name="Comma 6 6 2 2 3" xfId="46304"/>
    <cellStyle name="Comma 6 6 2 3" xfId="46305"/>
    <cellStyle name="Comma 6 6 2 3 2" xfId="46306"/>
    <cellStyle name="Comma 6 6 2 3 3" xfId="46307"/>
    <cellStyle name="Comma 6 6 2 4" xfId="46308"/>
    <cellStyle name="Comma 6 6 2 4 2" xfId="46309"/>
    <cellStyle name="Comma 6 6 2 5" xfId="46310"/>
    <cellStyle name="Comma 6 6 2 6" xfId="46311"/>
    <cellStyle name="Comma 6 6 2 7" xfId="46312"/>
    <cellStyle name="Comma 6 6 3" xfId="46313"/>
    <cellStyle name="Comma 6 6 3 2" xfId="46314"/>
    <cellStyle name="Comma 6 6 3 2 2" xfId="46315"/>
    <cellStyle name="Comma 6 6 3 2 3" xfId="46316"/>
    <cellStyle name="Comma 6 6 3 3" xfId="46317"/>
    <cellStyle name="Comma 6 6 3 3 2" xfId="46318"/>
    <cellStyle name="Comma 6 6 3 3 3" xfId="46319"/>
    <cellStyle name="Comma 6 6 3 4" xfId="46320"/>
    <cellStyle name="Comma 6 6 3 4 2" xfId="46321"/>
    <cellStyle name="Comma 6 6 3 5" xfId="46322"/>
    <cellStyle name="Comma 6 6 3 6" xfId="46323"/>
    <cellStyle name="Comma 6 6 4" xfId="46324"/>
    <cellStyle name="Comma 6 6 4 2" xfId="46325"/>
    <cellStyle name="Comma 6 6 4 2 2" xfId="46326"/>
    <cellStyle name="Comma 6 6 4 2 3" xfId="46327"/>
    <cellStyle name="Comma 6 6 4 3" xfId="46328"/>
    <cellStyle name="Comma 6 6 4 3 2" xfId="46329"/>
    <cellStyle name="Comma 6 6 4 4" xfId="46330"/>
    <cellStyle name="Comma 6 6 4 5" xfId="46331"/>
    <cellStyle name="Comma 6 6 5" xfId="46332"/>
    <cellStyle name="Comma 6 6 5 2" xfId="46333"/>
    <cellStyle name="Comma 6 6 5 3" xfId="46334"/>
    <cellStyle name="Comma 6 6 6" xfId="46335"/>
    <cellStyle name="Comma 6 6 6 2" xfId="46336"/>
    <cellStyle name="Comma 6 6 6 3" xfId="46337"/>
    <cellStyle name="Comma 6 6 7" xfId="46338"/>
    <cellStyle name="Comma 6 6 7 2" xfId="46339"/>
    <cellStyle name="Comma 6 6 8" xfId="46340"/>
    <cellStyle name="Comma 6 6 9" xfId="46341"/>
    <cellStyle name="Comma 6 7" xfId="8397"/>
    <cellStyle name="Comma 6 7 10" xfId="46342"/>
    <cellStyle name="Comma 6 7 2" xfId="8398"/>
    <cellStyle name="Comma 6 7 2 2" xfId="46343"/>
    <cellStyle name="Comma 6 7 2 2 2" xfId="46344"/>
    <cellStyle name="Comma 6 7 2 2 3" xfId="46345"/>
    <cellStyle name="Comma 6 7 2 3" xfId="46346"/>
    <cellStyle name="Comma 6 7 2 3 2" xfId="46347"/>
    <cellStyle name="Comma 6 7 2 3 3" xfId="46348"/>
    <cellStyle name="Comma 6 7 2 4" xfId="46349"/>
    <cellStyle name="Comma 6 7 2 4 2" xfId="46350"/>
    <cellStyle name="Comma 6 7 2 5" xfId="46351"/>
    <cellStyle name="Comma 6 7 2 6" xfId="46352"/>
    <cellStyle name="Comma 6 7 2 7" xfId="46353"/>
    <cellStyle name="Comma 6 7 3" xfId="46354"/>
    <cellStyle name="Comma 6 7 3 2" xfId="46355"/>
    <cellStyle name="Comma 6 7 3 2 2" xfId="46356"/>
    <cellStyle name="Comma 6 7 3 2 3" xfId="46357"/>
    <cellStyle name="Comma 6 7 3 3" xfId="46358"/>
    <cellStyle name="Comma 6 7 3 3 2" xfId="46359"/>
    <cellStyle name="Comma 6 7 3 3 3" xfId="46360"/>
    <cellStyle name="Comma 6 7 3 4" xfId="46361"/>
    <cellStyle name="Comma 6 7 3 4 2" xfId="46362"/>
    <cellStyle name="Comma 6 7 3 5" xfId="46363"/>
    <cellStyle name="Comma 6 7 3 6" xfId="46364"/>
    <cellStyle name="Comma 6 7 4" xfId="46365"/>
    <cellStyle name="Comma 6 7 4 2" xfId="46366"/>
    <cellStyle name="Comma 6 7 4 2 2" xfId="46367"/>
    <cellStyle name="Comma 6 7 4 2 3" xfId="46368"/>
    <cellStyle name="Comma 6 7 4 3" xfId="46369"/>
    <cellStyle name="Comma 6 7 4 3 2" xfId="46370"/>
    <cellStyle name="Comma 6 7 4 4" xfId="46371"/>
    <cellStyle name="Comma 6 7 4 5" xfId="46372"/>
    <cellStyle name="Comma 6 7 5" xfId="46373"/>
    <cellStyle name="Comma 6 7 5 2" xfId="46374"/>
    <cellStyle name="Comma 6 7 5 3" xfId="46375"/>
    <cellStyle name="Comma 6 7 6" xfId="46376"/>
    <cellStyle name="Comma 6 7 6 2" xfId="46377"/>
    <cellStyle name="Comma 6 7 6 3" xfId="46378"/>
    <cellStyle name="Comma 6 7 7" xfId="46379"/>
    <cellStyle name="Comma 6 7 7 2" xfId="46380"/>
    <cellStyle name="Comma 6 7 8" xfId="46381"/>
    <cellStyle name="Comma 6 7 9" xfId="46382"/>
    <cellStyle name="Comma 6 8" xfId="8399"/>
    <cellStyle name="Comma 6 8 2" xfId="46383"/>
    <cellStyle name="Comma 6 8 2 2" xfId="46384"/>
    <cellStyle name="Comma 6 8 2 3" xfId="46385"/>
    <cellStyle name="Comma 6 8 3" xfId="46386"/>
    <cellStyle name="Comma 6 8 3 2" xfId="46387"/>
    <cellStyle name="Comma 6 8 3 3" xfId="46388"/>
    <cellStyle name="Comma 6 8 4" xfId="46389"/>
    <cellStyle name="Comma 6 8 4 2" xfId="46390"/>
    <cellStyle name="Comma 6 8 5" xfId="46391"/>
    <cellStyle name="Comma 6 8 6" xfId="46392"/>
    <cellStyle name="Comma 6 8 7" xfId="46393"/>
    <cellStyle name="Comma 6 9" xfId="46394"/>
    <cellStyle name="Comma 6 9 2" xfId="46395"/>
    <cellStyle name="Comma 6 9 2 2" xfId="46396"/>
    <cellStyle name="Comma 6 9 2 3" xfId="46397"/>
    <cellStyle name="Comma 6 9 3" xfId="46398"/>
    <cellStyle name="Comma 6 9 3 2" xfId="46399"/>
    <cellStyle name="Comma 6 9 3 3" xfId="46400"/>
    <cellStyle name="Comma 6 9 4" xfId="46401"/>
    <cellStyle name="Comma 6 9 4 2" xfId="46402"/>
    <cellStyle name="Comma 6 9 5" xfId="46403"/>
    <cellStyle name="Comma 6 9 6" xfId="46404"/>
    <cellStyle name="Comma 60" xfId="3689"/>
    <cellStyle name="Comma 61" xfId="3690"/>
    <cellStyle name="Comma 62" xfId="3691"/>
    <cellStyle name="Comma 62 2" xfId="3692"/>
    <cellStyle name="Comma 62 2 2" xfId="3693"/>
    <cellStyle name="Comma 62 3" xfId="3694"/>
    <cellStyle name="Comma 63" xfId="3695"/>
    <cellStyle name="Comma 63 2" xfId="3696"/>
    <cellStyle name="Comma 63 2 2" xfId="3697"/>
    <cellStyle name="Comma 63 3" xfId="3698"/>
    <cellStyle name="Comma 64" xfId="3699"/>
    <cellStyle name="Comma 64 2" xfId="3700"/>
    <cellStyle name="Comma 64 2 2" xfId="3701"/>
    <cellStyle name="Comma 64 3" xfId="3702"/>
    <cellStyle name="Comma 65" xfId="3703"/>
    <cellStyle name="Comma 65 2" xfId="3704"/>
    <cellStyle name="Comma 66" xfId="3705"/>
    <cellStyle name="Comma 66 2" xfId="3706"/>
    <cellStyle name="Comma 67" xfId="3707"/>
    <cellStyle name="Comma 68" xfId="3708"/>
    <cellStyle name="Comma 69" xfId="3709"/>
    <cellStyle name="Comma 7" xfId="3710"/>
    <cellStyle name="Comma 7 10" xfId="9096"/>
    <cellStyle name="Comma 7 10 2" xfId="46405"/>
    <cellStyle name="Comma 7 10 2 2" xfId="46406"/>
    <cellStyle name="Comma 7 10 2 3" xfId="46407"/>
    <cellStyle name="Comma 7 10 3" xfId="46408"/>
    <cellStyle name="Comma 7 10 3 2" xfId="46409"/>
    <cellStyle name="Comma 7 10 4" xfId="46410"/>
    <cellStyle name="Comma 7 10 5" xfId="46411"/>
    <cellStyle name="Comma 7 11" xfId="46412"/>
    <cellStyle name="Comma 7 11 2" xfId="46413"/>
    <cellStyle name="Comma 7 11 3" xfId="46414"/>
    <cellStyle name="Comma 7 12" xfId="46415"/>
    <cellStyle name="Comma 7 12 2" xfId="46416"/>
    <cellStyle name="Comma 7 12 3" xfId="46417"/>
    <cellStyle name="Comma 7 13" xfId="46418"/>
    <cellStyle name="Comma 7 13 2" xfId="46419"/>
    <cellStyle name="Comma 7 14" xfId="46420"/>
    <cellStyle name="Comma 7 15" xfId="46421"/>
    <cellStyle name="Comma 7 16" xfId="46422"/>
    <cellStyle name="Comma 7 2" xfId="3711"/>
    <cellStyle name="Comma 7 2 10" xfId="46423"/>
    <cellStyle name="Comma 7 2 10 2" xfId="46424"/>
    <cellStyle name="Comma 7 2 10 3" xfId="46425"/>
    <cellStyle name="Comma 7 2 11" xfId="46426"/>
    <cellStyle name="Comma 7 2 11 2" xfId="46427"/>
    <cellStyle name="Comma 7 2 11 3" xfId="46428"/>
    <cellStyle name="Comma 7 2 12" xfId="46429"/>
    <cellStyle name="Comma 7 2 12 2" xfId="46430"/>
    <cellStyle name="Comma 7 2 13" xfId="46431"/>
    <cellStyle name="Comma 7 2 14" xfId="46432"/>
    <cellStyle name="Comma 7 2 15" xfId="46433"/>
    <cellStyle name="Comma 7 2 2" xfId="3712"/>
    <cellStyle name="Comma 7 2 2 10" xfId="46434"/>
    <cellStyle name="Comma 7 2 2 10 2" xfId="46435"/>
    <cellStyle name="Comma 7 2 2 10 3" xfId="46436"/>
    <cellStyle name="Comma 7 2 2 11" xfId="46437"/>
    <cellStyle name="Comma 7 2 2 11 2" xfId="46438"/>
    <cellStyle name="Comma 7 2 2 12" xfId="46439"/>
    <cellStyle name="Comma 7 2 2 13" xfId="46440"/>
    <cellStyle name="Comma 7 2 2 14" xfId="46441"/>
    <cellStyle name="Comma 7 2 2 2" xfId="3713"/>
    <cellStyle name="Comma 7 2 2 2 10" xfId="46442"/>
    <cellStyle name="Comma 7 2 2 2 10 2" xfId="46443"/>
    <cellStyle name="Comma 7 2 2 2 11" xfId="46444"/>
    <cellStyle name="Comma 7 2 2 2 12" xfId="46445"/>
    <cellStyle name="Comma 7 2 2 2 13" xfId="46446"/>
    <cellStyle name="Comma 7 2 2 2 2" xfId="9097"/>
    <cellStyle name="Comma 7 2 2 2 2 10" xfId="46447"/>
    <cellStyle name="Comma 7 2 2 2 2 2" xfId="46448"/>
    <cellStyle name="Comma 7 2 2 2 2 2 2" xfId="46449"/>
    <cellStyle name="Comma 7 2 2 2 2 2 2 2" xfId="46450"/>
    <cellStyle name="Comma 7 2 2 2 2 2 2 2 2" xfId="46451"/>
    <cellStyle name="Comma 7 2 2 2 2 2 2 2 3" xfId="46452"/>
    <cellStyle name="Comma 7 2 2 2 2 2 2 3" xfId="46453"/>
    <cellStyle name="Comma 7 2 2 2 2 2 2 3 2" xfId="46454"/>
    <cellStyle name="Comma 7 2 2 2 2 2 2 3 3" xfId="46455"/>
    <cellStyle name="Comma 7 2 2 2 2 2 2 4" xfId="46456"/>
    <cellStyle name="Comma 7 2 2 2 2 2 2 4 2" xfId="46457"/>
    <cellStyle name="Comma 7 2 2 2 2 2 2 5" xfId="46458"/>
    <cellStyle name="Comma 7 2 2 2 2 2 2 6" xfId="46459"/>
    <cellStyle name="Comma 7 2 2 2 2 2 3" xfId="46460"/>
    <cellStyle name="Comma 7 2 2 2 2 2 3 2" xfId="46461"/>
    <cellStyle name="Comma 7 2 2 2 2 2 3 2 2" xfId="46462"/>
    <cellStyle name="Comma 7 2 2 2 2 2 3 2 3" xfId="46463"/>
    <cellStyle name="Comma 7 2 2 2 2 2 3 3" xfId="46464"/>
    <cellStyle name="Comma 7 2 2 2 2 2 3 3 2" xfId="46465"/>
    <cellStyle name="Comma 7 2 2 2 2 2 3 3 3" xfId="46466"/>
    <cellStyle name="Comma 7 2 2 2 2 2 3 4" xfId="46467"/>
    <cellStyle name="Comma 7 2 2 2 2 2 3 4 2" xfId="46468"/>
    <cellStyle name="Comma 7 2 2 2 2 2 3 5" xfId="46469"/>
    <cellStyle name="Comma 7 2 2 2 2 2 3 6" xfId="46470"/>
    <cellStyle name="Comma 7 2 2 2 2 2 4" xfId="46471"/>
    <cellStyle name="Comma 7 2 2 2 2 2 4 2" xfId="46472"/>
    <cellStyle name="Comma 7 2 2 2 2 2 4 2 2" xfId="46473"/>
    <cellStyle name="Comma 7 2 2 2 2 2 4 2 3" xfId="46474"/>
    <cellStyle name="Comma 7 2 2 2 2 2 4 3" xfId="46475"/>
    <cellStyle name="Comma 7 2 2 2 2 2 4 3 2" xfId="46476"/>
    <cellStyle name="Comma 7 2 2 2 2 2 4 4" xfId="46477"/>
    <cellStyle name="Comma 7 2 2 2 2 2 4 5" xfId="46478"/>
    <cellStyle name="Comma 7 2 2 2 2 2 5" xfId="46479"/>
    <cellStyle name="Comma 7 2 2 2 2 2 5 2" xfId="46480"/>
    <cellStyle name="Comma 7 2 2 2 2 2 5 3" xfId="46481"/>
    <cellStyle name="Comma 7 2 2 2 2 2 6" xfId="46482"/>
    <cellStyle name="Comma 7 2 2 2 2 2 6 2" xfId="46483"/>
    <cellStyle name="Comma 7 2 2 2 2 2 6 3" xfId="46484"/>
    <cellStyle name="Comma 7 2 2 2 2 2 7" xfId="46485"/>
    <cellStyle name="Comma 7 2 2 2 2 2 7 2" xfId="46486"/>
    <cellStyle name="Comma 7 2 2 2 2 2 8" xfId="46487"/>
    <cellStyle name="Comma 7 2 2 2 2 2 9" xfId="46488"/>
    <cellStyle name="Comma 7 2 2 2 2 3" xfId="46489"/>
    <cellStyle name="Comma 7 2 2 2 2 3 2" xfId="46490"/>
    <cellStyle name="Comma 7 2 2 2 2 3 2 2" xfId="46491"/>
    <cellStyle name="Comma 7 2 2 2 2 3 2 3" xfId="46492"/>
    <cellStyle name="Comma 7 2 2 2 2 3 3" xfId="46493"/>
    <cellStyle name="Comma 7 2 2 2 2 3 3 2" xfId="46494"/>
    <cellStyle name="Comma 7 2 2 2 2 3 3 3" xfId="46495"/>
    <cellStyle name="Comma 7 2 2 2 2 3 4" xfId="46496"/>
    <cellStyle name="Comma 7 2 2 2 2 3 4 2" xfId="46497"/>
    <cellStyle name="Comma 7 2 2 2 2 3 5" xfId="46498"/>
    <cellStyle name="Comma 7 2 2 2 2 3 6" xfId="46499"/>
    <cellStyle name="Comma 7 2 2 2 2 4" xfId="46500"/>
    <cellStyle name="Comma 7 2 2 2 2 4 2" xfId="46501"/>
    <cellStyle name="Comma 7 2 2 2 2 4 2 2" xfId="46502"/>
    <cellStyle name="Comma 7 2 2 2 2 4 2 3" xfId="46503"/>
    <cellStyle name="Comma 7 2 2 2 2 4 3" xfId="46504"/>
    <cellStyle name="Comma 7 2 2 2 2 4 3 2" xfId="46505"/>
    <cellStyle name="Comma 7 2 2 2 2 4 3 3" xfId="46506"/>
    <cellStyle name="Comma 7 2 2 2 2 4 4" xfId="46507"/>
    <cellStyle name="Comma 7 2 2 2 2 4 4 2" xfId="46508"/>
    <cellStyle name="Comma 7 2 2 2 2 4 5" xfId="46509"/>
    <cellStyle name="Comma 7 2 2 2 2 4 6" xfId="46510"/>
    <cellStyle name="Comma 7 2 2 2 2 5" xfId="46511"/>
    <cellStyle name="Comma 7 2 2 2 2 5 2" xfId="46512"/>
    <cellStyle name="Comma 7 2 2 2 2 5 2 2" xfId="46513"/>
    <cellStyle name="Comma 7 2 2 2 2 5 2 3" xfId="46514"/>
    <cellStyle name="Comma 7 2 2 2 2 5 3" xfId="46515"/>
    <cellStyle name="Comma 7 2 2 2 2 5 3 2" xfId="46516"/>
    <cellStyle name="Comma 7 2 2 2 2 5 4" xfId="46517"/>
    <cellStyle name="Comma 7 2 2 2 2 5 5" xfId="46518"/>
    <cellStyle name="Comma 7 2 2 2 2 6" xfId="46519"/>
    <cellStyle name="Comma 7 2 2 2 2 6 2" xfId="46520"/>
    <cellStyle name="Comma 7 2 2 2 2 6 3" xfId="46521"/>
    <cellStyle name="Comma 7 2 2 2 2 7" xfId="46522"/>
    <cellStyle name="Comma 7 2 2 2 2 7 2" xfId="46523"/>
    <cellStyle name="Comma 7 2 2 2 2 7 3" xfId="46524"/>
    <cellStyle name="Comma 7 2 2 2 2 8" xfId="46525"/>
    <cellStyle name="Comma 7 2 2 2 2 8 2" xfId="46526"/>
    <cellStyle name="Comma 7 2 2 2 2 9" xfId="46527"/>
    <cellStyle name="Comma 7 2 2 2 3" xfId="9098"/>
    <cellStyle name="Comma 7 2 2 2 3 2" xfId="46528"/>
    <cellStyle name="Comma 7 2 2 2 3 2 2" xfId="46529"/>
    <cellStyle name="Comma 7 2 2 2 3 2 2 2" xfId="46530"/>
    <cellStyle name="Comma 7 2 2 2 3 2 2 3" xfId="46531"/>
    <cellStyle name="Comma 7 2 2 2 3 2 3" xfId="46532"/>
    <cellStyle name="Comma 7 2 2 2 3 2 3 2" xfId="46533"/>
    <cellStyle name="Comma 7 2 2 2 3 2 3 3" xfId="46534"/>
    <cellStyle name="Comma 7 2 2 2 3 2 4" xfId="46535"/>
    <cellStyle name="Comma 7 2 2 2 3 2 4 2" xfId="46536"/>
    <cellStyle name="Comma 7 2 2 2 3 2 5" xfId="46537"/>
    <cellStyle name="Comma 7 2 2 2 3 2 6" xfId="46538"/>
    <cellStyle name="Comma 7 2 2 2 3 3" xfId="46539"/>
    <cellStyle name="Comma 7 2 2 2 3 3 2" xfId="46540"/>
    <cellStyle name="Comma 7 2 2 2 3 3 2 2" xfId="46541"/>
    <cellStyle name="Comma 7 2 2 2 3 3 2 3" xfId="46542"/>
    <cellStyle name="Comma 7 2 2 2 3 3 3" xfId="46543"/>
    <cellStyle name="Comma 7 2 2 2 3 3 3 2" xfId="46544"/>
    <cellStyle name="Comma 7 2 2 2 3 3 3 3" xfId="46545"/>
    <cellStyle name="Comma 7 2 2 2 3 3 4" xfId="46546"/>
    <cellStyle name="Comma 7 2 2 2 3 3 4 2" xfId="46547"/>
    <cellStyle name="Comma 7 2 2 2 3 3 5" xfId="46548"/>
    <cellStyle name="Comma 7 2 2 2 3 3 6" xfId="46549"/>
    <cellStyle name="Comma 7 2 2 2 3 4" xfId="46550"/>
    <cellStyle name="Comma 7 2 2 2 3 4 2" xfId="46551"/>
    <cellStyle name="Comma 7 2 2 2 3 4 2 2" xfId="46552"/>
    <cellStyle name="Comma 7 2 2 2 3 4 2 3" xfId="46553"/>
    <cellStyle name="Comma 7 2 2 2 3 4 3" xfId="46554"/>
    <cellStyle name="Comma 7 2 2 2 3 4 3 2" xfId="46555"/>
    <cellStyle name="Comma 7 2 2 2 3 4 4" xfId="46556"/>
    <cellStyle name="Comma 7 2 2 2 3 4 5" xfId="46557"/>
    <cellStyle name="Comma 7 2 2 2 3 5" xfId="46558"/>
    <cellStyle name="Comma 7 2 2 2 3 5 2" xfId="46559"/>
    <cellStyle name="Comma 7 2 2 2 3 5 3" xfId="46560"/>
    <cellStyle name="Comma 7 2 2 2 3 6" xfId="46561"/>
    <cellStyle name="Comma 7 2 2 2 3 6 2" xfId="46562"/>
    <cellStyle name="Comma 7 2 2 2 3 6 3" xfId="46563"/>
    <cellStyle name="Comma 7 2 2 2 3 7" xfId="46564"/>
    <cellStyle name="Comma 7 2 2 2 3 7 2" xfId="46565"/>
    <cellStyle name="Comma 7 2 2 2 3 8" xfId="46566"/>
    <cellStyle name="Comma 7 2 2 2 3 9" xfId="46567"/>
    <cellStyle name="Comma 7 2 2 2 4" xfId="46568"/>
    <cellStyle name="Comma 7 2 2 2 4 2" xfId="46569"/>
    <cellStyle name="Comma 7 2 2 2 4 2 2" xfId="46570"/>
    <cellStyle name="Comma 7 2 2 2 4 2 2 2" xfId="46571"/>
    <cellStyle name="Comma 7 2 2 2 4 2 2 3" xfId="46572"/>
    <cellStyle name="Comma 7 2 2 2 4 2 3" xfId="46573"/>
    <cellStyle name="Comma 7 2 2 2 4 2 3 2" xfId="46574"/>
    <cellStyle name="Comma 7 2 2 2 4 2 3 3" xfId="46575"/>
    <cellStyle name="Comma 7 2 2 2 4 2 4" xfId="46576"/>
    <cellStyle name="Comma 7 2 2 2 4 2 4 2" xfId="46577"/>
    <cellStyle name="Comma 7 2 2 2 4 2 5" xfId="46578"/>
    <cellStyle name="Comma 7 2 2 2 4 2 6" xfId="46579"/>
    <cellStyle name="Comma 7 2 2 2 4 3" xfId="46580"/>
    <cellStyle name="Comma 7 2 2 2 4 3 2" xfId="46581"/>
    <cellStyle name="Comma 7 2 2 2 4 3 2 2" xfId="46582"/>
    <cellStyle name="Comma 7 2 2 2 4 3 2 3" xfId="46583"/>
    <cellStyle name="Comma 7 2 2 2 4 3 3" xfId="46584"/>
    <cellStyle name="Comma 7 2 2 2 4 3 3 2" xfId="46585"/>
    <cellStyle name="Comma 7 2 2 2 4 3 3 3" xfId="46586"/>
    <cellStyle name="Comma 7 2 2 2 4 3 4" xfId="46587"/>
    <cellStyle name="Comma 7 2 2 2 4 3 4 2" xfId="46588"/>
    <cellStyle name="Comma 7 2 2 2 4 3 5" xfId="46589"/>
    <cellStyle name="Comma 7 2 2 2 4 3 6" xfId="46590"/>
    <cellStyle name="Comma 7 2 2 2 4 4" xfId="46591"/>
    <cellStyle name="Comma 7 2 2 2 4 4 2" xfId="46592"/>
    <cellStyle name="Comma 7 2 2 2 4 4 2 2" xfId="46593"/>
    <cellStyle name="Comma 7 2 2 2 4 4 2 3" xfId="46594"/>
    <cellStyle name="Comma 7 2 2 2 4 4 3" xfId="46595"/>
    <cellStyle name="Comma 7 2 2 2 4 4 3 2" xfId="46596"/>
    <cellStyle name="Comma 7 2 2 2 4 4 4" xfId="46597"/>
    <cellStyle name="Comma 7 2 2 2 4 4 5" xfId="46598"/>
    <cellStyle name="Comma 7 2 2 2 4 5" xfId="46599"/>
    <cellStyle name="Comma 7 2 2 2 4 5 2" xfId="46600"/>
    <cellStyle name="Comma 7 2 2 2 4 5 3" xfId="46601"/>
    <cellStyle name="Comma 7 2 2 2 4 6" xfId="46602"/>
    <cellStyle name="Comma 7 2 2 2 4 6 2" xfId="46603"/>
    <cellStyle name="Comma 7 2 2 2 4 6 3" xfId="46604"/>
    <cellStyle name="Comma 7 2 2 2 4 7" xfId="46605"/>
    <cellStyle name="Comma 7 2 2 2 4 7 2" xfId="46606"/>
    <cellStyle name="Comma 7 2 2 2 4 8" xfId="46607"/>
    <cellStyle name="Comma 7 2 2 2 4 9" xfId="46608"/>
    <cellStyle name="Comma 7 2 2 2 5" xfId="46609"/>
    <cellStyle name="Comma 7 2 2 2 5 2" xfId="46610"/>
    <cellStyle name="Comma 7 2 2 2 5 2 2" xfId="46611"/>
    <cellStyle name="Comma 7 2 2 2 5 2 3" xfId="46612"/>
    <cellStyle name="Comma 7 2 2 2 5 3" xfId="46613"/>
    <cellStyle name="Comma 7 2 2 2 5 3 2" xfId="46614"/>
    <cellStyle name="Comma 7 2 2 2 5 3 3" xfId="46615"/>
    <cellStyle name="Comma 7 2 2 2 5 4" xfId="46616"/>
    <cellStyle name="Comma 7 2 2 2 5 4 2" xfId="46617"/>
    <cellStyle name="Comma 7 2 2 2 5 5" xfId="46618"/>
    <cellStyle name="Comma 7 2 2 2 5 6" xfId="46619"/>
    <cellStyle name="Comma 7 2 2 2 6" xfId="46620"/>
    <cellStyle name="Comma 7 2 2 2 6 2" xfId="46621"/>
    <cellStyle name="Comma 7 2 2 2 6 2 2" xfId="46622"/>
    <cellStyle name="Comma 7 2 2 2 6 2 3" xfId="46623"/>
    <cellStyle name="Comma 7 2 2 2 6 3" xfId="46624"/>
    <cellStyle name="Comma 7 2 2 2 6 3 2" xfId="46625"/>
    <cellStyle name="Comma 7 2 2 2 6 3 3" xfId="46626"/>
    <cellStyle name="Comma 7 2 2 2 6 4" xfId="46627"/>
    <cellStyle name="Comma 7 2 2 2 6 4 2" xfId="46628"/>
    <cellStyle name="Comma 7 2 2 2 6 5" xfId="46629"/>
    <cellStyle name="Comma 7 2 2 2 6 6" xfId="46630"/>
    <cellStyle name="Comma 7 2 2 2 7" xfId="46631"/>
    <cellStyle name="Comma 7 2 2 2 7 2" xfId="46632"/>
    <cellStyle name="Comma 7 2 2 2 7 2 2" xfId="46633"/>
    <cellStyle name="Comma 7 2 2 2 7 2 3" xfId="46634"/>
    <cellStyle name="Comma 7 2 2 2 7 3" xfId="46635"/>
    <cellStyle name="Comma 7 2 2 2 7 3 2" xfId="46636"/>
    <cellStyle name="Comma 7 2 2 2 7 4" xfId="46637"/>
    <cellStyle name="Comma 7 2 2 2 7 5" xfId="46638"/>
    <cellStyle name="Comma 7 2 2 2 8" xfId="46639"/>
    <cellStyle name="Comma 7 2 2 2 8 2" xfId="46640"/>
    <cellStyle name="Comma 7 2 2 2 8 3" xfId="46641"/>
    <cellStyle name="Comma 7 2 2 2 9" xfId="46642"/>
    <cellStyle name="Comma 7 2 2 2 9 2" xfId="46643"/>
    <cellStyle name="Comma 7 2 2 2 9 3" xfId="46644"/>
    <cellStyle name="Comma 7 2 2 3" xfId="9099"/>
    <cellStyle name="Comma 7 2 2 3 10" xfId="46645"/>
    <cellStyle name="Comma 7 2 2 3 2" xfId="46646"/>
    <cellStyle name="Comma 7 2 2 3 2 2" xfId="46647"/>
    <cellStyle name="Comma 7 2 2 3 2 2 2" xfId="46648"/>
    <cellStyle name="Comma 7 2 2 3 2 2 2 2" xfId="46649"/>
    <cellStyle name="Comma 7 2 2 3 2 2 2 3" xfId="46650"/>
    <cellStyle name="Comma 7 2 2 3 2 2 3" xfId="46651"/>
    <cellStyle name="Comma 7 2 2 3 2 2 3 2" xfId="46652"/>
    <cellStyle name="Comma 7 2 2 3 2 2 3 3" xfId="46653"/>
    <cellStyle name="Comma 7 2 2 3 2 2 4" xfId="46654"/>
    <cellStyle name="Comma 7 2 2 3 2 2 4 2" xfId="46655"/>
    <cellStyle name="Comma 7 2 2 3 2 2 5" xfId="46656"/>
    <cellStyle name="Comma 7 2 2 3 2 2 6" xfId="46657"/>
    <cellStyle name="Comma 7 2 2 3 2 3" xfId="46658"/>
    <cellStyle name="Comma 7 2 2 3 2 3 2" xfId="46659"/>
    <cellStyle name="Comma 7 2 2 3 2 3 2 2" xfId="46660"/>
    <cellStyle name="Comma 7 2 2 3 2 3 2 3" xfId="46661"/>
    <cellStyle name="Comma 7 2 2 3 2 3 3" xfId="46662"/>
    <cellStyle name="Comma 7 2 2 3 2 3 3 2" xfId="46663"/>
    <cellStyle name="Comma 7 2 2 3 2 3 3 3" xfId="46664"/>
    <cellStyle name="Comma 7 2 2 3 2 3 4" xfId="46665"/>
    <cellStyle name="Comma 7 2 2 3 2 3 4 2" xfId="46666"/>
    <cellStyle name="Comma 7 2 2 3 2 3 5" xfId="46667"/>
    <cellStyle name="Comma 7 2 2 3 2 3 6" xfId="46668"/>
    <cellStyle name="Comma 7 2 2 3 2 4" xfId="46669"/>
    <cellStyle name="Comma 7 2 2 3 2 4 2" xfId="46670"/>
    <cellStyle name="Comma 7 2 2 3 2 4 2 2" xfId="46671"/>
    <cellStyle name="Comma 7 2 2 3 2 4 2 3" xfId="46672"/>
    <cellStyle name="Comma 7 2 2 3 2 4 3" xfId="46673"/>
    <cellStyle name="Comma 7 2 2 3 2 4 3 2" xfId="46674"/>
    <cellStyle name="Comma 7 2 2 3 2 4 4" xfId="46675"/>
    <cellStyle name="Comma 7 2 2 3 2 4 5" xfId="46676"/>
    <cellStyle name="Comma 7 2 2 3 2 5" xfId="46677"/>
    <cellStyle name="Comma 7 2 2 3 2 5 2" xfId="46678"/>
    <cellStyle name="Comma 7 2 2 3 2 5 3" xfId="46679"/>
    <cellStyle name="Comma 7 2 2 3 2 6" xfId="46680"/>
    <cellStyle name="Comma 7 2 2 3 2 6 2" xfId="46681"/>
    <cellStyle name="Comma 7 2 2 3 2 6 3" xfId="46682"/>
    <cellStyle name="Comma 7 2 2 3 2 7" xfId="46683"/>
    <cellStyle name="Comma 7 2 2 3 2 7 2" xfId="46684"/>
    <cellStyle name="Comma 7 2 2 3 2 8" xfId="46685"/>
    <cellStyle name="Comma 7 2 2 3 2 9" xfId="46686"/>
    <cellStyle name="Comma 7 2 2 3 3" xfId="46687"/>
    <cellStyle name="Comma 7 2 2 3 3 2" xfId="46688"/>
    <cellStyle name="Comma 7 2 2 3 3 2 2" xfId="46689"/>
    <cellStyle name="Comma 7 2 2 3 3 2 3" xfId="46690"/>
    <cellStyle name="Comma 7 2 2 3 3 3" xfId="46691"/>
    <cellStyle name="Comma 7 2 2 3 3 3 2" xfId="46692"/>
    <cellStyle name="Comma 7 2 2 3 3 3 3" xfId="46693"/>
    <cellStyle name="Comma 7 2 2 3 3 4" xfId="46694"/>
    <cellStyle name="Comma 7 2 2 3 3 4 2" xfId="46695"/>
    <cellStyle name="Comma 7 2 2 3 3 5" xfId="46696"/>
    <cellStyle name="Comma 7 2 2 3 3 6" xfId="46697"/>
    <cellStyle name="Comma 7 2 2 3 4" xfId="46698"/>
    <cellStyle name="Comma 7 2 2 3 4 2" xfId="46699"/>
    <cellStyle name="Comma 7 2 2 3 4 2 2" xfId="46700"/>
    <cellStyle name="Comma 7 2 2 3 4 2 3" xfId="46701"/>
    <cellStyle name="Comma 7 2 2 3 4 3" xfId="46702"/>
    <cellStyle name="Comma 7 2 2 3 4 3 2" xfId="46703"/>
    <cellStyle name="Comma 7 2 2 3 4 3 3" xfId="46704"/>
    <cellStyle name="Comma 7 2 2 3 4 4" xfId="46705"/>
    <cellStyle name="Comma 7 2 2 3 4 4 2" xfId="46706"/>
    <cellStyle name="Comma 7 2 2 3 4 5" xfId="46707"/>
    <cellStyle name="Comma 7 2 2 3 4 6" xfId="46708"/>
    <cellStyle name="Comma 7 2 2 3 5" xfId="46709"/>
    <cellStyle name="Comma 7 2 2 3 5 2" xfId="46710"/>
    <cellStyle name="Comma 7 2 2 3 5 2 2" xfId="46711"/>
    <cellStyle name="Comma 7 2 2 3 5 2 3" xfId="46712"/>
    <cellStyle name="Comma 7 2 2 3 5 3" xfId="46713"/>
    <cellStyle name="Comma 7 2 2 3 5 3 2" xfId="46714"/>
    <cellStyle name="Comma 7 2 2 3 5 4" xfId="46715"/>
    <cellStyle name="Comma 7 2 2 3 5 5" xfId="46716"/>
    <cellStyle name="Comma 7 2 2 3 6" xfId="46717"/>
    <cellStyle name="Comma 7 2 2 3 6 2" xfId="46718"/>
    <cellStyle name="Comma 7 2 2 3 6 3" xfId="46719"/>
    <cellStyle name="Comma 7 2 2 3 7" xfId="46720"/>
    <cellStyle name="Comma 7 2 2 3 7 2" xfId="46721"/>
    <cellStyle name="Comma 7 2 2 3 7 3" xfId="46722"/>
    <cellStyle name="Comma 7 2 2 3 8" xfId="46723"/>
    <cellStyle name="Comma 7 2 2 3 8 2" xfId="46724"/>
    <cellStyle name="Comma 7 2 2 3 9" xfId="46725"/>
    <cellStyle name="Comma 7 2 2 4" xfId="9100"/>
    <cellStyle name="Comma 7 2 2 4 2" xfId="46726"/>
    <cellStyle name="Comma 7 2 2 4 2 2" xfId="46727"/>
    <cellStyle name="Comma 7 2 2 4 2 2 2" xfId="46728"/>
    <cellStyle name="Comma 7 2 2 4 2 2 3" xfId="46729"/>
    <cellStyle name="Comma 7 2 2 4 2 3" xfId="46730"/>
    <cellStyle name="Comma 7 2 2 4 2 3 2" xfId="46731"/>
    <cellStyle name="Comma 7 2 2 4 2 3 3" xfId="46732"/>
    <cellStyle name="Comma 7 2 2 4 2 4" xfId="46733"/>
    <cellStyle name="Comma 7 2 2 4 2 4 2" xfId="46734"/>
    <cellStyle name="Comma 7 2 2 4 2 5" xfId="46735"/>
    <cellStyle name="Comma 7 2 2 4 2 6" xfId="46736"/>
    <cellStyle name="Comma 7 2 2 4 3" xfId="46737"/>
    <cellStyle name="Comma 7 2 2 4 3 2" xfId="46738"/>
    <cellStyle name="Comma 7 2 2 4 3 2 2" xfId="46739"/>
    <cellStyle name="Comma 7 2 2 4 3 2 3" xfId="46740"/>
    <cellStyle name="Comma 7 2 2 4 3 3" xfId="46741"/>
    <cellStyle name="Comma 7 2 2 4 3 3 2" xfId="46742"/>
    <cellStyle name="Comma 7 2 2 4 3 3 3" xfId="46743"/>
    <cellStyle name="Comma 7 2 2 4 3 4" xfId="46744"/>
    <cellStyle name="Comma 7 2 2 4 3 4 2" xfId="46745"/>
    <cellStyle name="Comma 7 2 2 4 3 5" xfId="46746"/>
    <cellStyle name="Comma 7 2 2 4 3 6" xfId="46747"/>
    <cellStyle name="Comma 7 2 2 4 4" xfId="46748"/>
    <cellStyle name="Comma 7 2 2 4 4 2" xfId="46749"/>
    <cellStyle name="Comma 7 2 2 4 4 2 2" xfId="46750"/>
    <cellStyle name="Comma 7 2 2 4 4 2 3" xfId="46751"/>
    <cellStyle name="Comma 7 2 2 4 4 3" xfId="46752"/>
    <cellStyle name="Comma 7 2 2 4 4 3 2" xfId="46753"/>
    <cellStyle name="Comma 7 2 2 4 4 4" xfId="46754"/>
    <cellStyle name="Comma 7 2 2 4 4 5" xfId="46755"/>
    <cellStyle name="Comma 7 2 2 4 5" xfId="46756"/>
    <cellStyle name="Comma 7 2 2 4 5 2" xfId="46757"/>
    <cellStyle name="Comma 7 2 2 4 5 3" xfId="46758"/>
    <cellStyle name="Comma 7 2 2 4 6" xfId="46759"/>
    <cellStyle name="Comma 7 2 2 4 6 2" xfId="46760"/>
    <cellStyle name="Comma 7 2 2 4 6 3" xfId="46761"/>
    <cellStyle name="Comma 7 2 2 4 7" xfId="46762"/>
    <cellStyle name="Comma 7 2 2 4 7 2" xfId="46763"/>
    <cellStyle name="Comma 7 2 2 4 8" xfId="46764"/>
    <cellStyle name="Comma 7 2 2 4 9" xfId="46765"/>
    <cellStyle name="Comma 7 2 2 5" xfId="46766"/>
    <cellStyle name="Comma 7 2 2 5 2" xfId="46767"/>
    <cellStyle name="Comma 7 2 2 5 2 2" xfId="46768"/>
    <cellStyle name="Comma 7 2 2 5 2 2 2" xfId="46769"/>
    <cellStyle name="Comma 7 2 2 5 2 2 3" xfId="46770"/>
    <cellStyle name="Comma 7 2 2 5 2 3" xfId="46771"/>
    <cellStyle name="Comma 7 2 2 5 2 3 2" xfId="46772"/>
    <cellStyle name="Comma 7 2 2 5 2 3 3" xfId="46773"/>
    <cellStyle name="Comma 7 2 2 5 2 4" xfId="46774"/>
    <cellStyle name="Comma 7 2 2 5 2 4 2" xfId="46775"/>
    <cellStyle name="Comma 7 2 2 5 2 5" xfId="46776"/>
    <cellStyle name="Comma 7 2 2 5 2 6" xfId="46777"/>
    <cellStyle name="Comma 7 2 2 5 3" xfId="46778"/>
    <cellStyle name="Comma 7 2 2 5 3 2" xfId="46779"/>
    <cellStyle name="Comma 7 2 2 5 3 2 2" xfId="46780"/>
    <cellStyle name="Comma 7 2 2 5 3 2 3" xfId="46781"/>
    <cellStyle name="Comma 7 2 2 5 3 3" xfId="46782"/>
    <cellStyle name="Comma 7 2 2 5 3 3 2" xfId="46783"/>
    <cellStyle name="Comma 7 2 2 5 3 3 3" xfId="46784"/>
    <cellStyle name="Comma 7 2 2 5 3 4" xfId="46785"/>
    <cellStyle name="Comma 7 2 2 5 3 4 2" xfId="46786"/>
    <cellStyle name="Comma 7 2 2 5 3 5" xfId="46787"/>
    <cellStyle name="Comma 7 2 2 5 3 6" xfId="46788"/>
    <cellStyle name="Comma 7 2 2 5 4" xfId="46789"/>
    <cellStyle name="Comma 7 2 2 5 4 2" xfId="46790"/>
    <cellStyle name="Comma 7 2 2 5 4 2 2" xfId="46791"/>
    <cellStyle name="Comma 7 2 2 5 4 2 3" xfId="46792"/>
    <cellStyle name="Comma 7 2 2 5 4 3" xfId="46793"/>
    <cellStyle name="Comma 7 2 2 5 4 3 2" xfId="46794"/>
    <cellStyle name="Comma 7 2 2 5 4 4" xfId="46795"/>
    <cellStyle name="Comma 7 2 2 5 4 5" xfId="46796"/>
    <cellStyle name="Comma 7 2 2 5 5" xfId="46797"/>
    <cellStyle name="Comma 7 2 2 5 5 2" xfId="46798"/>
    <cellStyle name="Comma 7 2 2 5 5 3" xfId="46799"/>
    <cellStyle name="Comma 7 2 2 5 6" xfId="46800"/>
    <cellStyle name="Comma 7 2 2 5 6 2" xfId="46801"/>
    <cellStyle name="Comma 7 2 2 5 6 3" xfId="46802"/>
    <cellStyle name="Comma 7 2 2 5 7" xfId="46803"/>
    <cellStyle name="Comma 7 2 2 5 7 2" xfId="46804"/>
    <cellStyle name="Comma 7 2 2 5 8" xfId="46805"/>
    <cellStyle name="Comma 7 2 2 5 9" xfId="46806"/>
    <cellStyle name="Comma 7 2 2 6" xfId="46807"/>
    <cellStyle name="Comma 7 2 2 6 2" xfId="46808"/>
    <cellStyle name="Comma 7 2 2 6 2 2" xfId="46809"/>
    <cellStyle name="Comma 7 2 2 6 2 3" xfId="46810"/>
    <cellStyle name="Comma 7 2 2 6 3" xfId="46811"/>
    <cellStyle name="Comma 7 2 2 6 3 2" xfId="46812"/>
    <cellStyle name="Comma 7 2 2 6 3 3" xfId="46813"/>
    <cellStyle name="Comma 7 2 2 6 4" xfId="46814"/>
    <cellStyle name="Comma 7 2 2 6 4 2" xfId="46815"/>
    <cellStyle name="Comma 7 2 2 6 5" xfId="46816"/>
    <cellStyle name="Comma 7 2 2 6 6" xfId="46817"/>
    <cellStyle name="Comma 7 2 2 7" xfId="46818"/>
    <cellStyle name="Comma 7 2 2 7 2" xfId="46819"/>
    <cellStyle name="Comma 7 2 2 7 2 2" xfId="46820"/>
    <cellStyle name="Comma 7 2 2 7 2 3" xfId="46821"/>
    <cellStyle name="Comma 7 2 2 7 3" xfId="46822"/>
    <cellStyle name="Comma 7 2 2 7 3 2" xfId="46823"/>
    <cellStyle name="Comma 7 2 2 7 3 3" xfId="46824"/>
    <cellStyle name="Comma 7 2 2 7 4" xfId="46825"/>
    <cellStyle name="Comma 7 2 2 7 4 2" xfId="46826"/>
    <cellStyle name="Comma 7 2 2 7 5" xfId="46827"/>
    <cellStyle name="Comma 7 2 2 7 6" xfId="46828"/>
    <cellStyle name="Comma 7 2 2 8" xfId="46829"/>
    <cellStyle name="Comma 7 2 2 8 2" xfId="46830"/>
    <cellStyle name="Comma 7 2 2 8 2 2" xfId="46831"/>
    <cellStyle name="Comma 7 2 2 8 2 3" xfId="46832"/>
    <cellStyle name="Comma 7 2 2 8 3" xfId="46833"/>
    <cellStyle name="Comma 7 2 2 8 3 2" xfId="46834"/>
    <cellStyle name="Comma 7 2 2 8 4" xfId="46835"/>
    <cellStyle name="Comma 7 2 2 8 5" xfId="46836"/>
    <cellStyle name="Comma 7 2 2 9" xfId="46837"/>
    <cellStyle name="Comma 7 2 2 9 2" xfId="46838"/>
    <cellStyle name="Comma 7 2 2 9 3" xfId="46839"/>
    <cellStyle name="Comma 7 2 3" xfId="3714"/>
    <cellStyle name="Comma 7 2 3 10" xfId="46840"/>
    <cellStyle name="Comma 7 2 3 10 2" xfId="46841"/>
    <cellStyle name="Comma 7 2 3 11" xfId="46842"/>
    <cellStyle name="Comma 7 2 3 12" xfId="46843"/>
    <cellStyle name="Comma 7 2 3 13" xfId="46844"/>
    <cellStyle name="Comma 7 2 3 2" xfId="9101"/>
    <cellStyle name="Comma 7 2 3 2 10" xfId="46845"/>
    <cellStyle name="Comma 7 2 3 2 2" xfId="46846"/>
    <cellStyle name="Comma 7 2 3 2 2 2" xfId="46847"/>
    <cellStyle name="Comma 7 2 3 2 2 2 2" xfId="46848"/>
    <cellStyle name="Comma 7 2 3 2 2 2 2 2" xfId="46849"/>
    <cellStyle name="Comma 7 2 3 2 2 2 2 3" xfId="46850"/>
    <cellStyle name="Comma 7 2 3 2 2 2 3" xfId="46851"/>
    <cellStyle name="Comma 7 2 3 2 2 2 3 2" xfId="46852"/>
    <cellStyle name="Comma 7 2 3 2 2 2 3 3" xfId="46853"/>
    <cellStyle name="Comma 7 2 3 2 2 2 4" xfId="46854"/>
    <cellStyle name="Comma 7 2 3 2 2 2 4 2" xfId="46855"/>
    <cellStyle name="Comma 7 2 3 2 2 2 5" xfId="46856"/>
    <cellStyle name="Comma 7 2 3 2 2 2 6" xfId="46857"/>
    <cellStyle name="Comma 7 2 3 2 2 3" xfId="46858"/>
    <cellStyle name="Comma 7 2 3 2 2 3 2" xfId="46859"/>
    <cellStyle name="Comma 7 2 3 2 2 3 2 2" xfId="46860"/>
    <cellStyle name="Comma 7 2 3 2 2 3 2 3" xfId="46861"/>
    <cellStyle name="Comma 7 2 3 2 2 3 3" xfId="46862"/>
    <cellStyle name="Comma 7 2 3 2 2 3 3 2" xfId="46863"/>
    <cellStyle name="Comma 7 2 3 2 2 3 3 3" xfId="46864"/>
    <cellStyle name="Comma 7 2 3 2 2 3 4" xfId="46865"/>
    <cellStyle name="Comma 7 2 3 2 2 3 4 2" xfId="46866"/>
    <cellStyle name="Comma 7 2 3 2 2 3 5" xfId="46867"/>
    <cellStyle name="Comma 7 2 3 2 2 3 6" xfId="46868"/>
    <cellStyle name="Comma 7 2 3 2 2 4" xfId="46869"/>
    <cellStyle name="Comma 7 2 3 2 2 4 2" xfId="46870"/>
    <cellStyle name="Comma 7 2 3 2 2 4 2 2" xfId="46871"/>
    <cellStyle name="Comma 7 2 3 2 2 4 2 3" xfId="46872"/>
    <cellStyle name="Comma 7 2 3 2 2 4 3" xfId="46873"/>
    <cellStyle name="Comma 7 2 3 2 2 4 3 2" xfId="46874"/>
    <cellStyle name="Comma 7 2 3 2 2 4 4" xfId="46875"/>
    <cellStyle name="Comma 7 2 3 2 2 4 5" xfId="46876"/>
    <cellStyle name="Comma 7 2 3 2 2 5" xfId="46877"/>
    <cellStyle name="Comma 7 2 3 2 2 5 2" xfId="46878"/>
    <cellStyle name="Comma 7 2 3 2 2 5 3" xfId="46879"/>
    <cellStyle name="Comma 7 2 3 2 2 6" xfId="46880"/>
    <cellStyle name="Comma 7 2 3 2 2 6 2" xfId="46881"/>
    <cellStyle name="Comma 7 2 3 2 2 6 3" xfId="46882"/>
    <cellStyle name="Comma 7 2 3 2 2 7" xfId="46883"/>
    <cellStyle name="Comma 7 2 3 2 2 7 2" xfId="46884"/>
    <cellStyle name="Comma 7 2 3 2 2 8" xfId="46885"/>
    <cellStyle name="Comma 7 2 3 2 2 9" xfId="46886"/>
    <cellStyle name="Comma 7 2 3 2 3" xfId="46887"/>
    <cellStyle name="Comma 7 2 3 2 3 2" xfId="46888"/>
    <cellStyle name="Comma 7 2 3 2 3 2 2" xfId="46889"/>
    <cellStyle name="Comma 7 2 3 2 3 2 3" xfId="46890"/>
    <cellStyle name="Comma 7 2 3 2 3 3" xfId="46891"/>
    <cellStyle name="Comma 7 2 3 2 3 3 2" xfId="46892"/>
    <cellStyle name="Comma 7 2 3 2 3 3 3" xfId="46893"/>
    <cellStyle name="Comma 7 2 3 2 3 4" xfId="46894"/>
    <cellStyle name="Comma 7 2 3 2 3 4 2" xfId="46895"/>
    <cellStyle name="Comma 7 2 3 2 3 5" xfId="46896"/>
    <cellStyle name="Comma 7 2 3 2 3 6" xfId="46897"/>
    <cellStyle name="Comma 7 2 3 2 4" xfId="46898"/>
    <cellStyle name="Comma 7 2 3 2 4 2" xfId="46899"/>
    <cellStyle name="Comma 7 2 3 2 4 2 2" xfId="46900"/>
    <cellStyle name="Comma 7 2 3 2 4 2 3" xfId="46901"/>
    <cellStyle name="Comma 7 2 3 2 4 3" xfId="46902"/>
    <cellStyle name="Comma 7 2 3 2 4 3 2" xfId="46903"/>
    <cellStyle name="Comma 7 2 3 2 4 3 3" xfId="46904"/>
    <cellStyle name="Comma 7 2 3 2 4 4" xfId="46905"/>
    <cellStyle name="Comma 7 2 3 2 4 4 2" xfId="46906"/>
    <cellStyle name="Comma 7 2 3 2 4 5" xfId="46907"/>
    <cellStyle name="Comma 7 2 3 2 4 6" xfId="46908"/>
    <cellStyle name="Comma 7 2 3 2 5" xfId="46909"/>
    <cellStyle name="Comma 7 2 3 2 5 2" xfId="46910"/>
    <cellStyle name="Comma 7 2 3 2 5 2 2" xfId="46911"/>
    <cellStyle name="Comma 7 2 3 2 5 2 3" xfId="46912"/>
    <cellStyle name="Comma 7 2 3 2 5 3" xfId="46913"/>
    <cellStyle name="Comma 7 2 3 2 5 3 2" xfId="46914"/>
    <cellStyle name="Comma 7 2 3 2 5 4" xfId="46915"/>
    <cellStyle name="Comma 7 2 3 2 5 5" xfId="46916"/>
    <cellStyle name="Comma 7 2 3 2 6" xfId="46917"/>
    <cellStyle name="Comma 7 2 3 2 6 2" xfId="46918"/>
    <cellStyle name="Comma 7 2 3 2 6 3" xfId="46919"/>
    <cellStyle name="Comma 7 2 3 2 7" xfId="46920"/>
    <cellStyle name="Comma 7 2 3 2 7 2" xfId="46921"/>
    <cellStyle name="Comma 7 2 3 2 7 3" xfId="46922"/>
    <cellStyle name="Comma 7 2 3 2 8" xfId="46923"/>
    <cellStyle name="Comma 7 2 3 2 8 2" xfId="46924"/>
    <cellStyle name="Comma 7 2 3 2 9" xfId="46925"/>
    <cellStyle name="Comma 7 2 3 3" xfId="9102"/>
    <cellStyle name="Comma 7 2 3 3 2" xfId="46926"/>
    <cellStyle name="Comma 7 2 3 3 2 2" xfId="46927"/>
    <cellStyle name="Comma 7 2 3 3 2 2 2" xfId="46928"/>
    <cellStyle name="Comma 7 2 3 3 2 2 3" xfId="46929"/>
    <cellStyle name="Comma 7 2 3 3 2 3" xfId="46930"/>
    <cellStyle name="Comma 7 2 3 3 2 3 2" xfId="46931"/>
    <cellStyle name="Comma 7 2 3 3 2 3 3" xfId="46932"/>
    <cellStyle name="Comma 7 2 3 3 2 4" xfId="46933"/>
    <cellStyle name="Comma 7 2 3 3 2 4 2" xfId="46934"/>
    <cellStyle name="Comma 7 2 3 3 2 5" xfId="46935"/>
    <cellStyle name="Comma 7 2 3 3 2 6" xfId="46936"/>
    <cellStyle name="Comma 7 2 3 3 3" xfId="46937"/>
    <cellStyle name="Comma 7 2 3 3 3 2" xfId="46938"/>
    <cellStyle name="Comma 7 2 3 3 3 2 2" xfId="46939"/>
    <cellStyle name="Comma 7 2 3 3 3 2 3" xfId="46940"/>
    <cellStyle name="Comma 7 2 3 3 3 3" xfId="46941"/>
    <cellStyle name="Comma 7 2 3 3 3 3 2" xfId="46942"/>
    <cellStyle name="Comma 7 2 3 3 3 3 3" xfId="46943"/>
    <cellStyle name="Comma 7 2 3 3 3 4" xfId="46944"/>
    <cellStyle name="Comma 7 2 3 3 3 4 2" xfId="46945"/>
    <cellStyle name="Comma 7 2 3 3 3 5" xfId="46946"/>
    <cellStyle name="Comma 7 2 3 3 3 6" xfId="46947"/>
    <cellStyle name="Comma 7 2 3 3 4" xfId="46948"/>
    <cellStyle name="Comma 7 2 3 3 4 2" xfId="46949"/>
    <cellStyle name="Comma 7 2 3 3 4 2 2" xfId="46950"/>
    <cellStyle name="Comma 7 2 3 3 4 2 3" xfId="46951"/>
    <cellStyle name="Comma 7 2 3 3 4 3" xfId="46952"/>
    <cellStyle name="Comma 7 2 3 3 4 3 2" xfId="46953"/>
    <cellStyle name="Comma 7 2 3 3 4 4" xfId="46954"/>
    <cellStyle name="Comma 7 2 3 3 4 5" xfId="46955"/>
    <cellStyle name="Comma 7 2 3 3 5" xfId="46956"/>
    <cellStyle name="Comma 7 2 3 3 5 2" xfId="46957"/>
    <cellStyle name="Comma 7 2 3 3 5 3" xfId="46958"/>
    <cellStyle name="Comma 7 2 3 3 6" xfId="46959"/>
    <cellStyle name="Comma 7 2 3 3 6 2" xfId="46960"/>
    <cellStyle name="Comma 7 2 3 3 6 3" xfId="46961"/>
    <cellStyle name="Comma 7 2 3 3 7" xfId="46962"/>
    <cellStyle name="Comma 7 2 3 3 7 2" xfId="46963"/>
    <cellStyle name="Comma 7 2 3 3 8" xfId="46964"/>
    <cellStyle name="Comma 7 2 3 3 9" xfId="46965"/>
    <cellStyle name="Comma 7 2 3 4" xfId="46966"/>
    <cellStyle name="Comma 7 2 3 4 2" xfId="46967"/>
    <cellStyle name="Comma 7 2 3 4 2 2" xfId="46968"/>
    <cellStyle name="Comma 7 2 3 4 2 2 2" xfId="46969"/>
    <cellStyle name="Comma 7 2 3 4 2 2 3" xfId="46970"/>
    <cellStyle name="Comma 7 2 3 4 2 3" xfId="46971"/>
    <cellStyle name="Comma 7 2 3 4 2 3 2" xfId="46972"/>
    <cellStyle name="Comma 7 2 3 4 2 3 3" xfId="46973"/>
    <cellStyle name="Comma 7 2 3 4 2 4" xfId="46974"/>
    <cellStyle name="Comma 7 2 3 4 2 4 2" xfId="46975"/>
    <cellStyle name="Comma 7 2 3 4 2 5" xfId="46976"/>
    <cellStyle name="Comma 7 2 3 4 2 6" xfId="46977"/>
    <cellStyle name="Comma 7 2 3 4 3" xfId="46978"/>
    <cellStyle name="Comma 7 2 3 4 3 2" xfId="46979"/>
    <cellStyle name="Comma 7 2 3 4 3 2 2" xfId="46980"/>
    <cellStyle name="Comma 7 2 3 4 3 2 3" xfId="46981"/>
    <cellStyle name="Comma 7 2 3 4 3 3" xfId="46982"/>
    <cellStyle name="Comma 7 2 3 4 3 3 2" xfId="46983"/>
    <cellStyle name="Comma 7 2 3 4 3 3 3" xfId="46984"/>
    <cellStyle name="Comma 7 2 3 4 3 4" xfId="46985"/>
    <cellStyle name="Comma 7 2 3 4 3 4 2" xfId="46986"/>
    <cellStyle name="Comma 7 2 3 4 3 5" xfId="46987"/>
    <cellStyle name="Comma 7 2 3 4 3 6" xfId="46988"/>
    <cellStyle name="Comma 7 2 3 4 4" xfId="46989"/>
    <cellStyle name="Comma 7 2 3 4 4 2" xfId="46990"/>
    <cellStyle name="Comma 7 2 3 4 4 2 2" xfId="46991"/>
    <cellStyle name="Comma 7 2 3 4 4 2 3" xfId="46992"/>
    <cellStyle name="Comma 7 2 3 4 4 3" xfId="46993"/>
    <cellStyle name="Comma 7 2 3 4 4 3 2" xfId="46994"/>
    <cellStyle name="Comma 7 2 3 4 4 4" xfId="46995"/>
    <cellStyle name="Comma 7 2 3 4 4 5" xfId="46996"/>
    <cellStyle name="Comma 7 2 3 4 5" xfId="46997"/>
    <cellStyle name="Comma 7 2 3 4 5 2" xfId="46998"/>
    <cellStyle name="Comma 7 2 3 4 5 3" xfId="46999"/>
    <cellStyle name="Comma 7 2 3 4 6" xfId="47000"/>
    <cellStyle name="Comma 7 2 3 4 6 2" xfId="47001"/>
    <cellStyle name="Comma 7 2 3 4 6 3" xfId="47002"/>
    <cellStyle name="Comma 7 2 3 4 7" xfId="47003"/>
    <cellStyle name="Comma 7 2 3 4 7 2" xfId="47004"/>
    <cellStyle name="Comma 7 2 3 4 8" xfId="47005"/>
    <cellStyle name="Comma 7 2 3 4 9" xfId="47006"/>
    <cellStyle name="Comma 7 2 3 5" xfId="47007"/>
    <cellStyle name="Comma 7 2 3 5 2" xfId="47008"/>
    <cellStyle name="Comma 7 2 3 5 2 2" xfId="47009"/>
    <cellStyle name="Comma 7 2 3 5 2 3" xfId="47010"/>
    <cellStyle name="Comma 7 2 3 5 3" xfId="47011"/>
    <cellStyle name="Comma 7 2 3 5 3 2" xfId="47012"/>
    <cellStyle name="Comma 7 2 3 5 3 3" xfId="47013"/>
    <cellStyle name="Comma 7 2 3 5 4" xfId="47014"/>
    <cellStyle name="Comma 7 2 3 5 4 2" xfId="47015"/>
    <cellStyle name="Comma 7 2 3 5 5" xfId="47016"/>
    <cellStyle name="Comma 7 2 3 5 6" xfId="47017"/>
    <cellStyle name="Comma 7 2 3 6" xfId="47018"/>
    <cellStyle name="Comma 7 2 3 6 2" xfId="47019"/>
    <cellStyle name="Comma 7 2 3 6 2 2" xfId="47020"/>
    <cellStyle name="Comma 7 2 3 6 2 3" xfId="47021"/>
    <cellStyle name="Comma 7 2 3 6 3" xfId="47022"/>
    <cellStyle name="Comma 7 2 3 6 3 2" xfId="47023"/>
    <cellStyle name="Comma 7 2 3 6 3 3" xfId="47024"/>
    <cellStyle name="Comma 7 2 3 6 4" xfId="47025"/>
    <cellStyle name="Comma 7 2 3 6 4 2" xfId="47026"/>
    <cellStyle name="Comma 7 2 3 6 5" xfId="47027"/>
    <cellStyle name="Comma 7 2 3 6 6" xfId="47028"/>
    <cellStyle name="Comma 7 2 3 7" xfId="47029"/>
    <cellStyle name="Comma 7 2 3 7 2" xfId="47030"/>
    <cellStyle name="Comma 7 2 3 7 2 2" xfId="47031"/>
    <cellStyle name="Comma 7 2 3 7 2 3" xfId="47032"/>
    <cellStyle name="Comma 7 2 3 7 3" xfId="47033"/>
    <cellStyle name="Comma 7 2 3 7 3 2" xfId="47034"/>
    <cellStyle name="Comma 7 2 3 7 4" xfId="47035"/>
    <cellStyle name="Comma 7 2 3 7 5" xfId="47036"/>
    <cellStyle name="Comma 7 2 3 8" xfId="47037"/>
    <cellStyle name="Comma 7 2 3 8 2" xfId="47038"/>
    <cellStyle name="Comma 7 2 3 8 3" xfId="47039"/>
    <cellStyle name="Comma 7 2 3 9" xfId="47040"/>
    <cellStyle name="Comma 7 2 3 9 2" xfId="47041"/>
    <cellStyle name="Comma 7 2 3 9 3" xfId="47042"/>
    <cellStyle name="Comma 7 2 4" xfId="9103"/>
    <cellStyle name="Comma 7 2 4 10" xfId="47043"/>
    <cellStyle name="Comma 7 2 4 2" xfId="47044"/>
    <cellStyle name="Comma 7 2 4 2 2" xfId="47045"/>
    <cellStyle name="Comma 7 2 4 2 2 2" xfId="47046"/>
    <cellStyle name="Comma 7 2 4 2 2 2 2" xfId="47047"/>
    <cellStyle name="Comma 7 2 4 2 2 2 3" xfId="47048"/>
    <cellStyle name="Comma 7 2 4 2 2 3" xfId="47049"/>
    <cellStyle name="Comma 7 2 4 2 2 3 2" xfId="47050"/>
    <cellStyle name="Comma 7 2 4 2 2 3 3" xfId="47051"/>
    <cellStyle name="Comma 7 2 4 2 2 4" xfId="47052"/>
    <cellStyle name="Comma 7 2 4 2 2 4 2" xfId="47053"/>
    <cellStyle name="Comma 7 2 4 2 2 5" xfId="47054"/>
    <cellStyle name="Comma 7 2 4 2 2 6" xfId="47055"/>
    <cellStyle name="Comma 7 2 4 2 3" xfId="47056"/>
    <cellStyle name="Comma 7 2 4 2 3 2" xfId="47057"/>
    <cellStyle name="Comma 7 2 4 2 3 2 2" xfId="47058"/>
    <cellStyle name="Comma 7 2 4 2 3 2 3" xfId="47059"/>
    <cellStyle name="Comma 7 2 4 2 3 3" xfId="47060"/>
    <cellStyle name="Comma 7 2 4 2 3 3 2" xfId="47061"/>
    <cellStyle name="Comma 7 2 4 2 3 3 3" xfId="47062"/>
    <cellStyle name="Comma 7 2 4 2 3 4" xfId="47063"/>
    <cellStyle name="Comma 7 2 4 2 3 4 2" xfId="47064"/>
    <cellStyle name="Comma 7 2 4 2 3 5" xfId="47065"/>
    <cellStyle name="Comma 7 2 4 2 3 6" xfId="47066"/>
    <cellStyle name="Comma 7 2 4 2 4" xfId="47067"/>
    <cellStyle name="Comma 7 2 4 2 4 2" xfId="47068"/>
    <cellStyle name="Comma 7 2 4 2 4 2 2" xfId="47069"/>
    <cellStyle name="Comma 7 2 4 2 4 2 3" xfId="47070"/>
    <cellStyle name="Comma 7 2 4 2 4 3" xfId="47071"/>
    <cellStyle name="Comma 7 2 4 2 4 3 2" xfId="47072"/>
    <cellStyle name="Comma 7 2 4 2 4 4" xfId="47073"/>
    <cellStyle name="Comma 7 2 4 2 4 5" xfId="47074"/>
    <cellStyle name="Comma 7 2 4 2 5" xfId="47075"/>
    <cellStyle name="Comma 7 2 4 2 5 2" xfId="47076"/>
    <cellStyle name="Comma 7 2 4 2 5 3" xfId="47077"/>
    <cellStyle name="Comma 7 2 4 2 6" xfId="47078"/>
    <cellStyle name="Comma 7 2 4 2 6 2" xfId="47079"/>
    <cellStyle name="Comma 7 2 4 2 6 3" xfId="47080"/>
    <cellStyle name="Comma 7 2 4 2 7" xfId="47081"/>
    <cellStyle name="Comma 7 2 4 2 7 2" xfId="47082"/>
    <cellStyle name="Comma 7 2 4 2 8" xfId="47083"/>
    <cellStyle name="Comma 7 2 4 2 9" xfId="47084"/>
    <cellStyle name="Comma 7 2 4 3" xfId="47085"/>
    <cellStyle name="Comma 7 2 4 3 2" xfId="47086"/>
    <cellStyle name="Comma 7 2 4 3 2 2" xfId="47087"/>
    <cellStyle name="Comma 7 2 4 3 2 3" xfId="47088"/>
    <cellStyle name="Comma 7 2 4 3 3" xfId="47089"/>
    <cellStyle name="Comma 7 2 4 3 3 2" xfId="47090"/>
    <cellStyle name="Comma 7 2 4 3 3 3" xfId="47091"/>
    <cellStyle name="Comma 7 2 4 3 4" xfId="47092"/>
    <cellStyle name="Comma 7 2 4 3 4 2" xfId="47093"/>
    <cellStyle name="Comma 7 2 4 3 5" xfId="47094"/>
    <cellStyle name="Comma 7 2 4 3 6" xfId="47095"/>
    <cellStyle name="Comma 7 2 4 4" xfId="47096"/>
    <cellStyle name="Comma 7 2 4 4 2" xfId="47097"/>
    <cellStyle name="Comma 7 2 4 4 2 2" xfId="47098"/>
    <cellStyle name="Comma 7 2 4 4 2 3" xfId="47099"/>
    <cellStyle name="Comma 7 2 4 4 3" xfId="47100"/>
    <cellStyle name="Comma 7 2 4 4 3 2" xfId="47101"/>
    <cellStyle name="Comma 7 2 4 4 3 3" xfId="47102"/>
    <cellStyle name="Comma 7 2 4 4 4" xfId="47103"/>
    <cellStyle name="Comma 7 2 4 4 4 2" xfId="47104"/>
    <cellStyle name="Comma 7 2 4 4 5" xfId="47105"/>
    <cellStyle name="Comma 7 2 4 4 6" xfId="47106"/>
    <cellStyle name="Comma 7 2 4 5" xfId="47107"/>
    <cellStyle name="Comma 7 2 4 5 2" xfId="47108"/>
    <cellStyle name="Comma 7 2 4 5 2 2" xfId="47109"/>
    <cellStyle name="Comma 7 2 4 5 2 3" xfId="47110"/>
    <cellStyle name="Comma 7 2 4 5 3" xfId="47111"/>
    <cellStyle name="Comma 7 2 4 5 3 2" xfId="47112"/>
    <cellStyle name="Comma 7 2 4 5 4" xfId="47113"/>
    <cellStyle name="Comma 7 2 4 5 5" xfId="47114"/>
    <cellStyle name="Comma 7 2 4 6" xfId="47115"/>
    <cellStyle name="Comma 7 2 4 6 2" xfId="47116"/>
    <cellStyle name="Comma 7 2 4 6 3" xfId="47117"/>
    <cellStyle name="Comma 7 2 4 7" xfId="47118"/>
    <cellStyle name="Comma 7 2 4 7 2" xfId="47119"/>
    <cellStyle name="Comma 7 2 4 7 3" xfId="47120"/>
    <cellStyle name="Comma 7 2 4 8" xfId="47121"/>
    <cellStyle name="Comma 7 2 4 8 2" xfId="47122"/>
    <cellStyle name="Comma 7 2 4 9" xfId="47123"/>
    <cellStyle name="Comma 7 2 5" xfId="9104"/>
    <cellStyle name="Comma 7 2 5 2" xfId="47124"/>
    <cellStyle name="Comma 7 2 5 2 2" xfId="47125"/>
    <cellStyle name="Comma 7 2 5 2 2 2" xfId="47126"/>
    <cellStyle name="Comma 7 2 5 2 2 3" xfId="47127"/>
    <cellStyle name="Comma 7 2 5 2 3" xfId="47128"/>
    <cellStyle name="Comma 7 2 5 2 3 2" xfId="47129"/>
    <cellStyle name="Comma 7 2 5 2 3 3" xfId="47130"/>
    <cellStyle name="Comma 7 2 5 2 4" xfId="47131"/>
    <cellStyle name="Comma 7 2 5 2 4 2" xfId="47132"/>
    <cellStyle name="Comma 7 2 5 2 5" xfId="47133"/>
    <cellStyle name="Comma 7 2 5 2 6" xfId="47134"/>
    <cellStyle name="Comma 7 2 5 3" xfId="47135"/>
    <cellStyle name="Comma 7 2 5 3 2" xfId="47136"/>
    <cellStyle name="Comma 7 2 5 3 2 2" xfId="47137"/>
    <cellStyle name="Comma 7 2 5 3 2 3" xfId="47138"/>
    <cellStyle name="Comma 7 2 5 3 3" xfId="47139"/>
    <cellStyle name="Comma 7 2 5 3 3 2" xfId="47140"/>
    <cellStyle name="Comma 7 2 5 3 3 3" xfId="47141"/>
    <cellStyle name="Comma 7 2 5 3 4" xfId="47142"/>
    <cellStyle name="Comma 7 2 5 3 4 2" xfId="47143"/>
    <cellStyle name="Comma 7 2 5 3 5" xfId="47144"/>
    <cellStyle name="Comma 7 2 5 3 6" xfId="47145"/>
    <cellStyle name="Comma 7 2 5 4" xfId="47146"/>
    <cellStyle name="Comma 7 2 5 4 2" xfId="47147"/>
    <cellStyle name="Comma 7 2 5 4 2 2" xfId="47148"/>
    <cellStyle name="Comma 7 2 5 4 2 3" xfId="47149"/>
    <cellStyle name="Comma 7 2 5 4 3" xfId="47150"/>
    <cellStyle name="Comma 7 2 5 4 3 2" xfId="47151"/>
    <cellStyle name="Comma 7 2 5 4 4" xfId="47152"/>
    <cellStyle name="Comma 7 2 5 4 5" xfId="47153"/>
    <cellStyle name="Comma 7 2 5 5" xfId="47154"/>
    <cellStyle name="Comma 7 2 5 5 2" xfId="47155"/>
    <cellStyle name="Comma 7 2 5 5 3" xfId="47156"/>
    <cellStyle name="Comma 7 2 5 6" xfId="47157"/>
    <cellStyle name="Comma 7 2 5 6 2" xfId="47158"/>
    <cellStyle name="Comma 7 2 5 6 3" xfId="47159"/>
    <cellStyle name="Comma 7 2 5 7" xfId="47160"/>
    <cellStyle name="Comma 7 2 5 7 2" xfId="47161"/>
    <cellStyle name="Comma 7 2 5 8" xfId="47162"/>
    <cellStyle name="Comma 7 2 5 9" xfId="47163"/>
    <cellStyle name="Comma 7 2 6" xfId="47164"/>
    <cellStyle name="Comma 7 2 6 2" xfId="47165"/>
    <cellStyle name="Comma 7 2 6 2 2" xfId="47166"/>
    <cellStyle name="Comma 7 2 6 2 2 2" xfId="47167"/>
    <cellStyle name="Comma 7 2 6 2 2 3" xfId="47168"/>
    <cellStyle name="Comma 7 2 6 2 3" xfId="47169"/>
    <cellStyle name="Comma 7 2 6 2 3 2" xfId="47170"/>
    <cellStyle name="Comma 7 2 6 2 3 3" xfId="47171"/>
    <cellStyle name="Comma 7 2 6 2 4" xfId="47172"/>
    <cellStyle name="Comma 7 2 6 2 4 2" xfId="47173"/>
    <cellStyle name="Comma 7 2 6 2 5" xfId="47174"/>
    <cellStyle name="Comma 7 2 6 2 6" xfId="47175"/>
    <cellStyle name="Comma 7 2 6 3" xfId="47176"/>
    <cellStyle name="Comma 7 2 6 3 2" xfId="47177"/>
    <cellStyle name="Comma 7 2 6 3 2 2" xfId="47178"/>
    <cellStyle name="Comma 7 2 6 3 2 3" xfId="47179"/>
    <cellStyle name="Comma 7 2 6 3 3" xfId="47180"/>
    <cellStyle name="Comma 7 2 6 3 3 2" xfId="47181"/>
    <cellStyle name="Comma 7 2 6 3 3 3" xfId="47182"/>
    <cellStyle name="Comma 7 2 6 3 4" xfId="47183"/>
    <cellStyle name="Comma 7 2 6 3 4 2" xfId="47184"/>
    <cellStyle name="Comma 7 2 6 3 5" xfId="47185"/>
    <cellStyle name="Comma 7 2 6 3 6" xfId="47186"/>
    <cellStyle name="Comma 7 2 6 4" xfId="47187"/>
    <cellStyle name="Comma 7 2 6 4 2" xfId="47188"/>
    <cellStyle name="Comma 7 2 6 4 2 2" xfId="47189"/>
    <cellStyle name="Comma 7 2 6 4 2 3" xfId="47190"/>
    <cellStyle name="Comma 7 2 6 4 3" xfId="47191"/>
    <cellStyle name="Comma 7 2 6 4 3 2" xfId="47192"/>
    <cellStyle name="Comma 7 2 6 4 4" xfId="47193"/>
    <cellStyle name="Comma 7 2 6 4 5" xfId="47194"/>
    <cellStyle name="Comma 7 2 6 5" xfId="47195"/>
    <cellStyle name="Comma 7 2 6 5 2" xfId="47196"/>
    <cellStyle name="Comma 7 2 6 5 3" xfId="47197"/>
    <cellStyle name="Comma 7 2 6 6" xfId="47198"/>
    <cellStyle name="Comma 7 2 6 6 2" xfId="47199"/>
    <cellStyle name="Comma 7 2 6 6 3" xfId="47200"/>
    <cellStyle name="Comma 7 2 6 7" xfId="47201"/>
    <cellStyle name="Comma 7 2 6 7 2" xfId="47202"/>
    <cellStyle name="Comma 7 2 6 8" xfId="47203"/>
    <cellStyle name="Comma 7 2 6 9" xfId="47204"/>
    <cellStyle name="Comma 7 2 7" xfId="47205"/>
    <cellStyle name="Comma 7 2 7 2" xfId="47206"/>
    <cellStyle name="Comma 7 2 7 2 2" xfId="47207"/>
    <cellStyle name="Comma 7 2 7 2 3" xfId="47208"/>
    <cellStyle name="Comma 7 2 7 3" xfId="47209"/>
    <cellStyle name="Comma 7 2 7 3 2" xfId="47210"/>
    <cellStyle name="Comma 7 2 7 3 3" xfId="47211"/>
    <cellStyle name="Comma 7 2 7 4" xfId="47212"/>
    <cellStyle name="Comma 7 2 7 4 2" xfId="47213"/>
    <cellStyle name="Comma 7 2 7 5" xfId="47214"/>
    <cellStyle name="Comma 7 2 7 6" xfId="47215"/>
    <cellStyle name="Comma 7 2 8" xfId="47216"/>
    <cellStyle name="Comma 7 2 8 2" xfId="47217"/>
    <cellStyle name="Comma 7 2 8 2 2" xfId="47218"/>
    <cellStyle name="Comma 7 2 8 2 3" xfId="47219"/>
    <cellStyle name="Comma 7 2 8 3" xfId="47220"/>
    <cellStyle name="Comma 7 2 8 3 2" xfId="47221"/>
    <cellStyle name="Comma 7 2 8 3 3" xfId="47222"/>
    <cellStyle name="Comma 7 2 8 4" xfId="47223"/>
    <cellStyle name="Comma 7 2 8 4 2" xfId="47224"/>
    <cellStyle name="Comma 7 2 8 5" xfId="47225"/>
    <cellStyle name="Comma 7 2 8 6" xfId="47226"/>
    <cellStyle name="Comma 7 2 9" xfId="47227"/>
    <cellStyle name="Comma 7 2 9 2" xfId="47228"/>
    <cellStyle name="Comma 7 2 9 2 2" xfId="47229"/>
    <cellStyle name="Comma 7 2 9 2 3" xfId="47230"/>
    <cellStyle name="Comma 7 2 9 3" xfId="47231"/>
    <cellStyle name="Comma 7 2 9 3 2" xfId="47232"/>
    <cellStyle name="Comma 7 2 9 4" xfId="47233"/>
    <cellStyle name="Comma 7 2 9 5" xfId="47234"/>
    <cellStyle name="Comma 7 3" xfId="3715"/>
    <cellStyle name="Comma 7 3 10" xfId="47235"/>
    <cellStyle name="Comma 7 3 10 2" xfId="47236"/>
    <cellStyle name="Comma 7 3 10 3" xfId="47237"/>
    <cellStyle name="Comma 7 3 11" xfId="47238"/>
    <cellStyle name="Comma 7 3 11 2" xfId="47239"/>
    <cellStyle name="Comma 7 3 12" xfId="47240"/>
    <cellStyle name="Comma 7 3 13" xfId="47241"/>
    <cellStyle name="Comma 7 3 14" xfId="47242"/>
    <cellStyle name="Comma 7 3 2" xfId="3716"/>
    <cellStyle name="Comma 7 3 2 10" xfId="47243"/>
    <cellStyle name="Comma 7 3 2 10 2" xfId="47244"/>
    <cellStyle name="Comma 7 3 2 11" xfId="47245"/>
    <cellStyle name="Comma 7 3 2 12" xfId="47246"/>
    <cellStyle name="Comma 7 3 2 2" xfId="9105"/>
    <cellStyle name="Comma 7 3 2 2 10" xfId="47247"/>
    <cellStyle name="Comma 7 3 2 2 2" xfId="9106"/>
    <cellStyle name="Comma 7 3 2 2 2 2" xfId="47248"/>
    <cellStyle name="Comma 7 3 2 2 2 2 2" xfId="47249"/>
    <cellStyle name="Comma 7 3 2 2 2 2 2 2" xfId="47250"/>
    <cellStyle name="Comma 7 3 2 2 2 2 2 3" xfId="47251"/>
    <cellStyle name="Comma 7 3 2 2 2 2 3" xfId="47252"/>
    <cellStyle name="Comma 7 3 2 2 2 2 3 2" xfId="47253"/>
    <cellStyle name="Comma 7 3 2 2 2 2 3 3" xfId="47254"/>
    <cellStyle name="Comma 7 3 2 2 2 2 4" xfId="47255"/>
    <cellStyle name="Comma 7 3 2 2 2 2 4 2" xfId="47256"/>
    <cellStyle name="Comma 7 3 2 2 2 2 5" xfId="47257"/>
    <cellStyle name="Comma 7 3 2 2 2 2 6" xfId="47258"/>
    <cellStyle name="Comma 7 3 2 2 2 3" xfId="47259"/>
    <cellStyle name="Comma 7 3 2 2 2 3 2" xfId="47260"/>
    <cellStyle name="Comma 7 3 2 2 2 3 2 2" xfId="47261"/>
    <cellStyle name="Comma 7 3 2 2 2 3 2 3" xfId="47262"/>
    <cellStyle name="Comma 7 3 2 2 2 3 3" xfId="47263"/>
    <cellStyle name="Comma 7 3 2 2 2 3 3 2" xfId="47264"/>
    <cellStyle name="Comma 7 3 2 2 2 3 3 3" xfId="47265"/>
    <cellStyle name="Comma 7 3 2 2 2 3 4" xfId="47266"/>
    <cellStyle name="Comma 7 3 2 2 2 3 4 2" xfId="47267"/>
    <cellStyle name="Comma 7 3 2 2 2 3 5" xfId="47268"/>
    <cellStyle name="Comma 7 3 2 2 2 3 6" xfId="47269"/>
    <cellStyle name="Comma 7 3 2 2 2 4" xfId="47270"/>
    <cellStyle name="Comma 7 3 2 2 2 4 2" xfId="47271"/>
    <cellStyle name="Comma 7 3 2 2 2 4 2 2" xfId="47272"/>
    <cellStyle name="Comma 7 3 2 2 2 4 2 3" xfId="47273"/>
    <cellStyle name="Comma 7 3 2 2 2 4 3" xfId="47274"/>
    <cellStyle name="Comma 7 3 2 2 2 4 3 2" xfId="47275"/>
    <cellStyle name="Comma 7 3 2 2 2 4 4" xfId="47276"/>
    <cellStyle name="Comma 7 3 2 2 2 4 5" xfId="47277"/>
    <cellStyle name="Comma 7 3 2 2 2 5" xfId="47278"/>
    <cellStyle name="Comma 7 3 2 2 2 5 2" xfId="47279"/>
    <cellStyle name="Comma 7 3 2 2 2 5 3" xfId="47280"/>
    <cellStyle name="Comma 7 3 2 2 2 6" xfId="47281"/>
    <cellStyle name="Comma 7 3 2 2 2 6 2" xfId="47282"/>
    <cellStyle name="Comma 7 3 2 2 2 6 3" xfId="47283"/>
    <cellStyle name="Comma 7 3 2 2 2 7" xfId="47284"/>
    <cellStyle name="Comma 7 3 2 2 2 7 2" xfId="47285"/>
    <cellStyle name="Comma 7 3 2 2 2 8" xfId="47286"/>
    <cellStyle name="Comma 7 3 2 2 2 9" xfId="47287"/>
    <cellStyle name="Comma 7 3 2 2 3" xfId="47288"/>
    <cellStyle name="Comma 7 3 2 2 3 2" xfId="47289"/>
    <cellStyle name="Comma 7 3 2 2 3 2 2" xfId="47290"/>
    <cellStyle name="Comma 7 3 2 2 3 2 3" xfId="47291"/>
    <cellStyle name="Comma 7 3 2 2 3 3" xfId="47292"/>
    <cellStyle name="Comma 7 3 2 2 3 3 2" xfId="47293"/>
    <cellStyle name="Comma 7 3 2 2 3 3 3" xfId="47294"/>
    <cellStyle name="Comma 7 3 2 2 3 4" xfId="47295"/>
    <cellStyle name="Comma 7 3 2 2 3 4 2" xfId="47296"/>
    <cellStyle name="Comma 7 3 2 2 3 5" xfId="47297"/>
    <cellStyle name="Comma 7 3 2 2 3 6" xfId="47298"/>
    <cellStyle name="Comma 7 3 2 2 4" xfId="47299"/>
    <cellStyle name="Comma 7 3 2 2 4 2" xfId="47300"/>
    <cellStyle name="Comma 7 3 2 2 4 2 2" xfId="47301"/>
    <cellStyle name="Comma 7 3 2 2 4 2 3" xfId="47302"/>
    <cellStyle name="Comma 7 3 2 2 4 3" xfId="47303"/>
    <cellStyle name="Comma 7 3 2 2 4 3 2" xfId="47304"/>
    <cellStyle name="Comma 7 3 2 2 4 3 3" xfId="47305"/>
    <cellStyle name="Comma 7 3 2 2 4 4" xfId="47306"/>
    <cellStyle name="Comma 7 3 2 2 4 4 2" xfId="47307"/>
    <cellStyle name="Comma 7 3 2 2 4 5" xfId="47308"/>
    <cellStyle name="Comma 7 3 2 2 4 6" xfId="47309"/>
    <cellStyle name="Comma 7 3 2 2 5" xfId="47310"/>
    <cellStyle name="Comma 7 3 2 2 5 2" xfId="47311"/>
    <cellStyle name="Comma 7 3 2 2 5 2 2" xfId="47312"/>
    <cellStyle name="Comma 7 3 2 2 5 2 3" xfId="47313"/>
    <cellStyle name="Comma 7 3 2 2 5 3" xfId="47314"/>
    <cellStyle name="Comma 7 3 2 2 5 3 2" xfId="47315"/>
    <cellStyle name="Comma 7 3 2 2 5 4" xfId="47316"/>
    <cellStyle name="Comma 7 3 2 2 5 5" xfId="47317"/>
    <cellStyle name="Comma 7 3 2 2 6" xfId="47318"/>
    <cellStyle name="Comma 7 3 2 2 6 2" xfId="47319"/>
    <cellStyle name="Comma 7 3 2 2 6 3" xfId="47320"/>
    <cellStyle name="Comma 7 3 2 2 7" xfId="47321"/>
    <cellStyle name="Comma 7 3 2 2 7 2" xfId="47322"/>
    <cellStyle name="Comma 7 3 2 2 7 3" xfId="47323"/>
    <cellStyle name="Comma 7 3 2 2 8" xfId="47324"/>
    <cellStyle name="Comma 7 3 2 2 8 2" xfId="47325"/>
    <cellStyle name="Comma 7 3 2 2 9" xfId="47326"/>
    <cellStyle name="Comma 7 3 2 3" xfId="9107"/>
    <cellStyle name="Comma 7 3 2 3 2" xfId="47327"/>
    <cellStyle name="Comma 7 3 2 3 2 2" xfId="47328"/>
    <cellStyle name="Comma 7 3 2 3 2 2 2" xfId="47329"/>
    <cellStyle name="Comma 7 3 2 3 2 2 3" xfId="47330"/>
    <cellStyle name="Comma 7 3 2 3 2 3" xfId="47331"/>
    <cellStyle name="Comma 7 3 2 3 2 3 2" xfId="47332"/>
    <cellStyle name="Comma 7 3 2 3 2 3 3" xfId="47333"/>
    <cellStyle name="Comma 7 3 2 3 2 4" xfId="47334"/>
    <cellStyle name="Comma 7 3 2 3 2 4 2" xfId="47335"/>
    <cellStyle name="Comma 7 3 2 3 2 5" xfId="47336"/>
    <cellStyle name="Comma 7 3 2 3 2 6" xfId="47337"/>
    <cellStyle name="Comma 7 3 2 3 3" xfId="47338"/>
    <cellStyle name="Comma 7 3 2 3 3 2" xfId="47339"/>
    <cellStyle name="Comma 7 3 2 3 3 2 2" xfId="47340"/>
    <cellStyle name="Comma 7 3 2 3 3 2 3" xfId="47341"/>
    <cellStyle name="Comma 7 3 2 3 3 3" xfId="47342"/>
    <cellStyle name="Comma 7 3 2 3 3 3 2" xfId="47343"/>
    <cellStyle name="Comma 7 3 2 3 3 3 3" xfId="47344"/>
    <cellStyle name="Comma 7 3 2 3 3 4" xfId="47345"/>
    <cellStyle name="Comma 7 3 2 3 3 4 2" xfId="47346"/>
    <cellStyle name="Comma 7 3 2 3 3 5" xfId="47347"/>
    <cellStyle name="Comma 7 3 2 3 3 6" xfId="47348"/>
    <cellStyle name="Comma 7 3 2 3 4" xfId="47349"/>
    <cellStyle name="Comma 7 3 2 3 4 2" xfId="47350"/>
    <cellStyle name="Comma 7 3 2 3 4 2 2" xfId="47351"/>
    <cellStyle name="Comma 7 3 2 3 4 2 3" xfId="47352"/>
    <cellStyle name="Comma 7 3 2 3 4 3" xfId="47353"/>
    <cellStyle name="Comma 7 3 2 3 4 3 2" xfId="47354"/>
    <cellStyle name="Comma 7 3 2 3 4 4" xfId="47355"/>
    <cellStyle name="Comma 7 3 2 3 4 5" xfId="47356"/>
    <cellStyle name="Comma 7 3 2 3 5" xfId="47357"/>
    <cellStyle name="Comma 7 3 2 3 5 2" xfId="47358"/>
    <cellStyle name="Comma 7 3 2 3 5 3" xfId="47359"/>
    <cellStyle name="Comma 7 3 2 3 6" xfId="47360"/>
    <cellStyle name="Comma 7 3 2 3 6 2" xfId="47361"/>
    <cellStyle name="Comma 7 3 2 3 6 3" xfId="47362"/>
    <cellStyle name="Comma 7 3 2 3 7" xfId="47363"/>
    <cellStyle name="Comma 7 3 2 3 7 2" xfId="47364"/>
    <cellStyle name="Comma 7 3 2 3 8" xfId="47365"/>
    <cellStyle name="Comma 7 3 2 3 9" xfId="47366"/>
    <cellStyle name="Comma 7 3 2 4" xfId="9108"/>
    <cellStyle name="Comma 7 3 2 4 2" xfId="47367"/>
    <cellStyle name="Comma 7 3 2 4 2 2" xfId="47368"/>
    <cellStyle name="Comma 7 3 2 4 2 2 2" xfId="47369"/>
    <cellStyle name="Comma 7 3 2 4 2 2 3" xfId="47370"/>
    <cellStyle name="Comma 7 3 2 4 2 3" xfId="47371"/>
    <cellStyle name="Comma 7 3 2 4 2 3 2" xfId="47372"/>
    <cellStyle name="Comma 7 3 2 4 2 3 3" xfId="47373"/>
    <cellStyle name="Comma 7 3 2 4 2 4" xfId="47374"/>
    <cellStyle name="Comma 7 3 2 4 2 4 2" xfId="47375"/>
    <cellStyle name="Comma 7 3 2 4 2 5" xfId="47376"/>
    <cellStyle name="Comma 7 3 2 4 2 6" xfId="47377"/>
    <cellStyle name="Comma 7 3 2 4 3" xfId="47378"/>
    <cellStyle name="Comma 7 3 2 4 3 2" xfId="47379"/>
    <cellStyle name="Comma 7 3 2 4 3 2 2" xfId="47380"/>
    <cellStyle name="Comma 7 3 2 4 3 2 3" xfId="47381"/>
    <cellStyle name="Comma 7 3 2 4 3 3" xfId="47382"/>
    <cellStyle name="Comma 7 3 2 4 3 3 2" xfId="47383"/>
    <cellStyle name="Comma 7 3 2 4 3 3 3" xfId="47384"/>
    <cellStyle name="Comma 7 3 2 4 3 4" xfId="47385"/>
    <cellStyle name="Comma 7 3 2 4 3 4 2" xfId="47386"/>
    <cellStyle name="Comma 7 3 2 4 3 5" xfId="47387"/>
    <cellStyle name="Comma 7 3 2 4 3 6" xfId="47388"/>
    <cellStyle name="Comma 7 3 2 4 4" xfId="47389"/>
    <cellStyle name="Comma 7 3 2 4 4 2" xfId="47390"/>
    <cellStyle name="Comma 7 3 2 4 4 2 2" xfId="47391"/>
    <cellStyle name="Comma 7 3 2 4 4 2 3" xfId="47392"/>
    <cellStyle name="Comma 7 3 2 4 4 3" xfId="47393"/>
    <cellStyle name="Comma 7 3 2 4 4 3 2" xfId="47394"/>
    <cellStyle name="Comma 7 3 2 4 4 4" xfId="47395"/>
    <cellStyle name="Comma 7 3 2 4 4 5" xfId="47396"/>
    <cellStyle name="Comma 7 3 2 4 5" xfId="47397"/>
    <cellStyle name="Comma 7 3 2 4 5 2" xfId="47398"/>
    <cellStyle name="Comma 7 3 2 4 5 3" xfId="47399"/>
    <cellStyle name="Comma 7 3 2 4 6" xfId="47400"/>
    <cellStyle name="Comma 7 3 2 4 6 2" xfId="47401"/>
    <cellStyle name="Comma 7 3 2 4 6 3" xfId="47402"/>
    <cellStyle name="Comma 7 3 2 4 7" xfId="47403"/>
    <cellStyle name="Comma 7 3 2 4 7 2" xfId="47404"/>
    <cellStyle name="Comma 7 3 2 4 8" xfId="47405"/>
    <cellStyle name="Comma 7 3 2 4 9" xfId="47406"/>
    <cellStyle name="Comma 7 3 2 5" xfId="47407"/>
    <cellStyle name="Comma 7 3 2 5 2" xfId="47408"/>
    <cellStyle name="Comma 7 3 2 5 2 2" xfId="47409"/>
    <cellStyle name="Comma 7 3 2 5 2 3" xfId="47410"/>
    <cellStyle name="Comma 7 3 2 5 3" xfId="47411"/>
    <cellStyle name="Comma 7 3 2 5 3 2" xfId="47412"/>
    <cellStyle name="Comma 7 3 2 5 3 3" xfId="47413"/>
    <cellStyle name="Comma 7 3 2 5 4" xfId="47414"/>
    <cellStyle name="Comma 7 3 2 5 4 2" xfId="47415"/>
    <cellStyle name="Comma 7 3 2 5 5" xfId="47416"/>
    <cellStyle name="Comma 7 3 2 5 6" xfId="47417"/>
    <cellStyle name="Comma 7 3 2 6" xfId="47418"/>
    <cellStyle name="Comma 7 3 2 6 2" xfId="47419"/>
    <cellStyle name="Comma 7 3 2 6 2 2" xfId="47420"/>
    <cellStyle name="Comma 7 3 2 6 2 3" xfId="47421"/>
    <cellStyle name="Comma 7 3 2 6 3" xfId="47422"/>
    <cellStyle name="Comma 7 3 2 6 3 2" xfId="47423"/>
    <cellStyle name="Comma 7 3 2 6 3 3" xfId="47424"/>
    <cellStyle name="Comma 7 3 2 6 4" xfId="47425"/>
    <cellStyle name="Comma 7 3 2 6 4 2" xfId="47426"/>
    <cellStyle name="Comma 7 3 2 6 5" xfId="47427"/>
    <cellStyle name="Comma 7 3 2 6 6" xfId="47428"/>
    <cellStyle name="Comma 7 3 2 7" xfId="47429"/>
    <cellStyle name="Comma 7 3 2 7 2" xfId="47430"/>
    <cellStyle name="Comma 7 3 2 7 2 2" xfId="47431"/>
    <cellStyle name="Comma 7 3 2 7 2 3" xfId="47432"/>
    <cellStyle name="Comma 7 3 2 7 3" xfId="47433"/>
    <cellStyle name="Comma 7 3 2 7 3 2" xfId="47434"/>
    <cellStyle name="Comma 7 3 2 7 4" xfId="47435"/>
    <cellStyle name="Comma 7 3 2 7 5" xfId="47436"/>
    <cellStyle name="Comma 7 3 2 8" xfId="47437"/>
    <cellStyle name="Comma 7 3 2 8 2" xfId="47438"/>
    <cellStyle name="Comma 7 3 2 8 3" xfId="47439"/>
    <cellStyle name="Comma 7 3 2 9" xfId="47440"/>
    <cellStyle name="Comma 7 3 2 9 2" xfId="47441"/>
    <cellStyle name="Comma 7 3 2 9 3" xfId="47442"/>
    <cellStyle name="Comma 7 3 3" xfId="9109"/>
    <cellStyle name="Comma 7 3 3 10" xfId="47443"/>
    <cellStyle name="Comma 7 3 3 2" xfId="9110"/>
    <cellStyle name="Comma 7 3 3 2 2" xfId="47444"/>
    <cellStyle name="Comma 7 3 3 2 2 2" xfId="47445"/>
    <cellStyle name="Comma 7 3 3 2 2 2 2" xfId="47446"/>
    <cellStyle name="Comma 7 3 3 2 2 2 3" xfId="47447"/>
    <cellStyle name="Comma 7 3 3 2 2 3" xfId="47448"/>
    <cellStyle name="Comma 7 3 3 2 2 3 2" xfId="47449"/>
    <cellStyle name="Comma 7 3 3 2 2 3 3" xfId="47450"/>
    <cellStyle name="Comma 7 3 3 2 2 4" xfId="47451"/>
    <cellStyle name="Comma 7 3 3 2 2 4 2" xfId="47452"/>
    <cellStyle name="Comma 7 3 3 2 2 5" xfId="47453"/>
    <cellStyle name="Comma 7 3 3 2 2 6" xfId="47454"/>
    <cellStyle name="Comma 7 3 3 2 3" xfId="47455"/>
    <cellStyle name="Comma 7 3 3 2 3 2" xfId="47456"/>
    <cellStyle name="Comma 7 3 3 2 3 2 2" xfId="47457"/>
    <cellStyle name="Comma 7 3 3 2 3 2 3" xfId="47458"/>
    <cellStyle name="Comma 7 3 3 2 3 3" xfId="47459"/>
    <cellStyle name="Comma 7 3 3 2 3 3 2" xfId="47460"/>
    <cellStyle name="Comma 7 3 3 2 3 3 3" xfId="47461"/>
    <cellStyle name="Comma 7 3 3 2 3 4" xfId="47462"/>
    <cellStyle name="Comma 7 3 3 2 3 4 2" xfId="47463"/>
    <cellStyle name="Comma 7 3 3 2 3 5" xfId="47464"/>
    <cellStyle name="Comma 7 3 3 2 3 6" xfId="47465"/>
    <cellStyle name="Comma 7 3 3 2 4" xfId="47466"/>
    <cellStyle name="Comma 7 3 3 2 4 2" xfId="47467"/>
    <cellStyle name="Comma 7 3 3 2 4 2 2" xfId="47468"/>
    <cellStyle name="Comma 7 3 3 2 4 2 3" xfId="47469"/>
    <cellStyle name="Comma 7 3 3 2 4 3" xfId="47470"/>
    <cellStyle name="Comma 7 3 3 2 4 3 2" xfId="47471"/>
    <cellStyle name="Comma 7 3 3 2 4 4" xfId="47472"/>
    <cellStyle name="Comma 7 3 3 2 4 5" xfId="47473"/>
    <cellStyle name="Comma 7 3 3 2 5" xfId="47474"/>
    <cellStyle name="Comma 7 3 3 2 5 2" xfId="47475"/>
    <cellStyle name="Comma 7 3 3 2 5 3" xfId="47476"/>
    <cellStyle name="Comma 7 3 3 2 6" xfId="47477"/>
    <cellStyle name="Comma 7 3 3 2 6 2" xfId="47478"/>
    <cellStyle name="Comma 7 3 3 2 6 3" xfId="47479"/>
    <cellStyle name="Comma 7 3 3 2 7" xfId="47480"/>
    <cellStyle name="Comma 7 3 3 2 7 2" xfId="47481"/>
    <cellStyle name="Comma 7 3 3 2 8" xfId="47482"/>
    <cellStyle name="Comma 7 3 3 2 9" xfId="47483"/>
    <cellStyle name="Comma 7 3 3 3" xfId="47484"/>
    <cellStyle name="Comma 7 3 3 3 2" xfId="47485"/>
    <cellStyle name="Comma 7 3 3 3 2 2" xfId="47486"/>
    <cellStyle name="Comma 7 3 3 3 2 3" xfId="47487"/>
    <cellStyle name="Comma 7 3 3 3 3" xfId="47488"/>
    <cellStyle name="Comma 7 3 3 3 3 2" xfId="47489"/>
    <cellStyle name="Comma 7 3 3 3 3 3" xfId="47490"/>
    <cellStyle name="Comma 7 3 3 3 4" xfId="47491"/>
    <cellStyle name="Comma 7 3 3 3 4 2" xfId="47492"/>
    <cellStyle name="Comma 7 3 3 3 5" xfId="47493"/>
    <cellStyle name="Comma 7 3 3 3 6" xfId="47494"/>
    <cellStyle name="Comma 7 3 3 4" xfId="47495"/>
    <cellStyle name="Comma 7 3 3 4 2" xfId="47496"/>
    <cellStyle name="Comma 7 3 3 4 2 2" xfId="47497"/>
    <cellStyle name="Comma 7 3 3 4 2 3" xfId="47498"/>
    <cellStyle name="Comma 7 3 3 4 3" xfId="47499"/>
    <cellStyle name="Comma 7 3 3 4 3 2" xfId="47500"/>
    <cellStyle name="Comma 7 3 3 4 3 3" xfId="47501"/>
    <cellStyle name="Comma 7 3 3 4 4" xfId="47502"/>
    <cellStyle name="Comma 7 3 3 4 4 2" xfId="47503"/>
    <cellStyle name="Comma 7 3 3 4 5" xfId="47504"/>
    <cellStyle name="Comma 7 3 3 4 6" xfId="47505"/>
    <cellStyle name="Comma 7 3 3 5" xfId="47506"/>
    <cellStyle name="Comma 7 3 3 5 2" xfId="47507"/>
    <cellStyle name="Comma 7 3 3 5 2 2" xfId="47508"/>
    <cellStyle name="Comma 7 3 3 5 2 3" xfId="47509"/>
    <cellStyle name="Comma 7 3 3 5 3" xfId="47510"/>
    <cellStyle name="Comma 7 3 3 5 3 2" xfId="47511"/>
    <cellStyle name="Comma 7 3 3 5 4" xfId="47512"/>
    <cellStyle name="Comma 7 3 3 5 5" xfId="47513"/>
    <cellStyle name="Comma 7 3 3 6" xfId="47514"/>
    <cellStyle name="Comma 7 3 3 6 2" xfId="47515"/>
    <cellStyle name="Comma 7 3 3 6 3" xfId="47516"/>
    <cellStyle name="Comma 7 3 3 7" xfId="47517"/>
    <cellStyle name="Comma 7 3 3 7 2" xfId="47518"/>
    <cellStyle name="Comma 7 3 3 7 3" xfId="47519"/>
    <cellStyle name="Comma 7 3 3 8" xfId="47520"/>
    <cellStyle name="Comma 7 3 3 8 2" xfId="47521"/>
    <cellStyle name="Comma 7 3 3 9" xfId="47522"/>
    <cellStyle name="Comma 7 3 4" xfId="9111"/>
    <cellStyle name="Comma 7 3 4 2" xfId="47523"/>
    <cellStyle name="Comma 7 3 4 2 2" xfId="47524"/>
    <cellStyle name="Comma 7 3 4 2 2 2" xfId="47525"/>
    <cellStyle name="Comma 7 3 4 2 2 3" xfId="47526"/>
    <cellStyle name="Comma 7 3 4 2 3" xfId="47527"/>
    <cellStyle name="Comma 7 3 4 2 3 2" xfId="47528"/>
    <cellStyle name="Comma 7 3 4 2 3 3" xfId="47529"/>
    <cellStyle name="Comma 7 3 4 2 4" xfId="47530"/>
    <cellStyle name="Comma 7 3 4 2 4 2" xfId="47531"/>
    <cellStyle name="Comma 7 3 4 2 5" xfId="47532"/>
    <cellStyle name="Comma 7 3 4 2 6" xfId="47533"/>
    <cellStyle name="Comma 7 3 4 3" xfId="47534"/>
    <cellStyle name="Comma 7 3 4 3 2" xfId="47535"/>
    <cellStyle name="Comma 7 3 4 3 2 2" xfId="47536"/>
    <cellStyle name="Comma 7 3 4 3 2 3" xfId="47537"/>
    <cellStyle name="Comma 7 3 4 3 3" xfId="47538"/>
    <cellStyle name="Comma 7 3 4 3 3 2" xfId="47539"/>
    <cellStyle name="Comma 7 3 4 3 3 3" xfId="47540"/>
    <cellStyle name="Comma 7 3 4 3 4" xfId="47541"/>
    <cellStyle name="Comma 7 3 4 3 4 2" xfId="47542"/>
    <cellStyle name="Comma 7 3 4 3 5" xfId="47543"/>
    <cellStyle name="Comma 7 3 4 3 6" xfId="47544"/>
    <cellStyle name="Comma 7 3 4 4" xfId="47545"/>
    <cellStyle name="Comma 7 3 4 4 2" xfId="47546"/>
    <cellStyle name="Comma 7 3 4 4 2 2" xfId="47547"/>
    <cellStyle name="Comma 7 3 4 4 2 3" xfId="47548"/>
    <cellStyle name="Comma 7 3 4 4 3" xfId="47549"/>
    <cellStyle name="Comma 7 3 4 4 3 2" xfId="47550"/>
    <cellStyle name="Comma 7 3 4 4 4" xfId="47551"/>
    <cellStyle name="Comma 7 3 4 4 5" xfId="47552"/>
    <cellStyle name="Comma 7 3 4 5" xfId="47553"/>
    <cellStyle name="Comma 7 3 4 5 2" xfId="47554"/>
    <cellStyle name="Comma 7 3 4 5 3" xfId="47555"/>
    <cellStyle name="Comma 7 3 4 6" xfId="47556"/>
    <cellStyle name="Comma 7 3 4 6 2" xfId="47557"/>
    <cellStyle name="Comma 7 3 4 6 3" xfId="47558"/>
    <cellStyle name="Comma 7 3 4 7" xfId="47559"/>
    <cellStyle name="Comma 7 3 4 7 2" xfId="47560"/>
    <cellStyle name="Comma 7 3 4 8" xfId="47561"/>
    <cellStyle name="Comma 7 3 4 9" xfId="47562"/>
    <cellStyle name="Comma 7 3 5" xfId="9112"/>
    <cellStyle name="Comma 7 3 5 2" xfId="47563"/>
    <cellStyle name="Comma 7 3 5 2 2" xfId="47564"/>
    <cellStyle name="Comma 7 3 5 2 2 2" xfId="47565"/>
    <cellStyle name="Comma 7 3 5 2 2 3" xfId="47566"/>
    <cellStyle name="Comma 7 3 5 2 3" xfId="47567"/>
    <cellStyle name="Comma 7 3 5 2 3 2" xfId="47568"/>
    <cellStyle name="Comma 7 3 5 2 3 3" xfId="47569"/>
    <cellStyle name="Comma 7 3 5 2 4" xfId="47570"/>
    <cellStyle name="Comma 7 3 5 2 4 2" xfId="47571"/>
    <cellStyle name="Comma 7 3 5 2 5" xfId="47572"/>
    <cellStyle name="Comma 7 3 5 2 6" xfId="47573"/>
    <cellStyle name="Comma 7 3 5 3" xfId="47574"/>
    <cellStyle name="Comma 7 3 5 3 2" xfId="47575"/>
    <cellStyle name="Comma 7 3 5 3 2 2" xfId="47576"/>
    <cellStyle name="Comma 7 3 5 3 2 3" xfId="47577"/>
    <cellStyle name="Comma 7 3 5 3 3" xfId="47578"/>
    <cellStyle name="Comma 7 3 5 3 3 2" xfId="47579"/>
    <cellStyle name="Comma 7 3 5 3 3 3" xfId="47580"/>
    <cellStyle name="Comma 7 3 5 3 4" xfId="47581"/>
    <cellStyle name="Comma 7 3 5 3 4 2" xfId="47582"/>
    <cellStyle name="Comma 7 3 5 3 5" xfId="47583"/>
    <cellStyle name="Comma 7 3 5 3 6" xfId="47584"/>
    <cellStyle name="Comma 7 3 5 4" xfId="47585"/>
    <cellStyle name="Comma 7 3 5 4 2" xfId="47586"/>
    <cellStyle name="Comma 7 3 5 4 2 2" xfId="47587"/>
    <cellStyle name="Comma 7 3 5 4 2 3" xfId="47588"/>
    <cellStyle name="Comma 7 3 5 4 3" xfId="47589"/>
    <cellStyle name="Comma 7 3 5 4 3 2" xfId="47590"/>
    <cellStyle name="Comma 7 3 5 4 4" xfId="47591"/>
    <cellStyle name="Comma 7 3 5 4 5" xfId="47592"/>
    <cellStyle name="Comma 7 3 5 5" xfId="47593"/>
    <cellStyle name="Comma 7 3 5 5 2" xfId="47594"/>
    <cellStyle name="Comma 7 3 5 5 3" xfId="47595"/>
    <cellStyle name="Comma 7 3 5 6" xfId="47596"/>
    <cellStyle name="Comma 7 3 5 6 2" xfId="47597"/>
    <cellStyle name="Comma 7 3 5 6 3" xfId="47598"/>
    <cellStyle name="Comma 7 3 5 7" xfId="47599"/>
    <cellStyle name="Comma 7 3 5 7 2" xfId="47600"/>
    <cellStyle name="Comma 7 3 5 8" xfId="47601"/>
    <cellStyle name="Comma 7 3 5 9" xfId="47602"/>
    <cellStyle name="Comma 7 3 6" xfId="47603"/>
    <cellStyle name="Comma 7 3 6 2" xfId="47604"/>
    <cellStyle name="Comma 7 3 6 2 2" xfId="47605"/>
    <cellStyle name="Comma 7 3 6 2 3" xfId="47606"/>
    <cellStyle name="Comma 7 3 6 3" xfId="47607"/>
    <cellStyle name="Comma 7 3 6 3 2" xfId="47608"/>
    <cellStyle name="Comma 7 3 6 3 3" xfId="47609"/>
    <cellStyle name="Comma 7 3 6 4" xfId="47610"/>
    <cellStyle name="Comma 7 3 6 4 2" xfId="47611"/>
    <cellStyle name="Comma 7 3 6 5" xfId="47612"/>
    <cellStyle name="Comma 7 3 6 6" xfId="47613"/>
    <cellStyle name="Comma 7 3 7" xfId="47614"/>
    <cellStyle name="Comma 7 3 7 2" xfId="47615"/>
    <cellStyle name="Comma 7 3 7 2 2" xfId="47616"/>
    <cellStyle name="Comma 7 3 7 2 3" xfId="47617"/>
    <cellStyle name="Comma 7 3 7 3" xfId="47618"/>
    <cellStyle name="Comma 7 3 7 3 2" xfId="47619"/>
    <cellStyle name="Comma 7 3 7 3 3" xfId="47620"/>
    <cellStyle name="Comma 7 3 7 4" xfId="47621"/>
    <cellStyle name="Comma 7 3 7 4 2" xfId="47622"/>
    <cellStyle name="Comma 7 3 7 5" xfId="47623"/>
    <cellStyle name="Comma 7 3 7 6" xfId="47624"/>
    <cellStyle name="Comma 7 3 8" xfId="47625"/>
    <cellStyle name="Comma 7 3 8 2" xfId="47626"/>
    <cellStyle name="Comma 7 3 8 2 2" xfId="47627"/>
    <cellStyle name="Comma 7 3 8 2 3" xfId="47628"/>
    <cellStyle name="Comma 7 3 8 3" xfId="47629"/>
    <cellStyle name="Comma 7 3 8 3 2" xfId="47630"/>
    <cellStyle name="Comma 7 3 8 4" xfId="47631"/>
    <cellStyle name="Comma 7 3 8 5" xfId="47632"/>
    <cellStyle name="Comma 7 3 9" xfId="47633"/>
    <cellStyle name="Comma 7 3 9 2" xfId="47634"/>
    <cellStyle name="Comma 7 3 9 3" xfId="47635"/>
    <cellStyle name="Comma 7 4" xfId="3717"/>
    <cellStyle name="Comma 7 4 10" xfId="47636"/>
    <cellStyle name="Comma 7 4 10 2" xfId="47637"/>
    <cellStyle name="Comma 7 4 11" xfId="47638"/>
    <cellStyle name="Comma 7 4 12" xfId="47639"/>
    <cellStyle name="Comma 7 4 2" xfId="3718"/>
    <cellStyle name="Comma 7 4 2 10" xfId="47640"/>
    <cellStyle name="Comma 7 4 2 2" xfId="9113"/>
    <cellStyle name="Comma 7 4 2 2 2" xfId="9114"/>
    <cellStyle name="Comma 7 4 2 2 2 2" xfId="47641"/>
    <cellStyle name="Comma 7 4 2 2 2 2 2" xfId="47642"/>
    <cellStyle name="Comma 7 4 2 2 2 2 3" xfId="47643"/>
    <cellStyle name="Comma 7 4 2 2 2 3" xfId="47644"/>
    <cellStyle name="Comma 7 4 2 2 2 3 2" xfId="47645"/>
    <cellStyle name="Comma 7 4 2 2 2 3 3" xfId="47646"/>
    <cellStyle name="Comma 7 4 2 2 2 4" xfId="47647"/>
    <cellStyle name="Comma 7 4 2 2 2 4 2" xfId="47648"/>
    <cellStyle name="Comma 7 4 2 2 2 5" xfId="47649"/>
    <cellStyle name="Comma 7 4 2 2 2 6" xfId="47650"/>
    <cellStyle name="Comma 7 4 2 2 3" xfId="47651"/>
    <cellStyle name="Comma 7 4 2 2 3 2" xfId="47652"/>
    <cellStyle name="Comma 7 4 2 2 3 2 2" xfId="47653"/>
    <cellStyle name="Comma 7 4 2 2 3 2 3" xfId="47654"/>
    <cellStyle name="Comma 7 4 2 2 3 3" xfId="47655"/>
    <cellStyle name="Comma 7 4 2 2 3 3 2" xfId="47656"/>
    <cellStyle name="Comma 7 4 2 2 3 3 3" xfId="47657"/>
    <cellStyle name="Comma 7 4 2 2 3 4" xfId="47658"/>
    <cellStyle name="Comma 7 4 2 2 3 4 2" xfId="47659"/>
    <cellStyle name="Comma 7 4 2 2 3 5" xfId="47660"/>
    <cellStyle name="Comma 7 4 2 2 3 6" xfId="47661"/>
    <cellStyle name="Comma 7 4 2 2 4" xfId="47662"/>
    <cellStyle name="Comma 7 4 2 2 4 2" xfId="47663"/>
    <cellStyle name="Comma 7 4 2 2 4 2 2" xfId="47664"/>
    <cellStyle name="Comma 7 4 2 2 4 2 3" xfId="47665"/>
    <cellStyle name="Comma 7 4 2 2 4 3" xfId="47666"/>
    <cellStyle name="Comma 7 4 2 2 4 3 2" xfId="47667"/>
    <cellStyle name="Comma 7 4 2 2 4 4" xfId="47668"/>
    <cellStyle name="Comma 7 4 2 2 4 5" xfId="47669"/>
    <cellStyle name="Comma 7 4 2 2 5" xfId="47670"/>
    <cellStyle name="Comma 7 4 2 2 5 2" xfId="47671"/>
    <cellStyle name="Comma 7 4 2 2 5 3" xfId="47672"/>
    <cellStyle name="Comma 7 4 2 2 6" xfId="47673"/>
    <cellStyle name="Comma 7 4 2 2 6 2" xfId="47674"/>
    <cellStyle name="Comma 7 4 2 2 6 3" xfId="47675"/>
    <cellStyle name="Comma 7 4 2 2 7" xfId="47676"/>
    <cellStyle name="Comma 7 4 2 2 7 2" xfId="47677"/>
    <cellStyle name="Comma 7 4 2 2 8" xfId="47678"/>
    <cellStyle name="Comma 7 4 2 2 9" xfId="47679"/>
    <cellStyle name="Comma 7 4 2 3" xfId="9115"/>
    <cellStyle name="Comma 7 4 2 3 2" xfId="47680"/>
    <cellStyle name="Comma 7 4 2 3 2 2" xfId="47681"/>
    <cellStyle name="Comma 7 4 2 3 2 3" xfId="47682"/>
    <cellStyle name="Comma 7 4 2 3 3" xfId="47683"/>
    <cellStyle name="Comma 7 4 2 3 3 2" xfId="47684"/>
    <cellStyle name="Comma 7 4 2 3 3 3" xfId="47685"/>
    <cellStyle name="Comma 7 4 2 3 4" xfId="47686"/>
    <cellStyle name="Comma 7 4 2 3 4 2" xfId="47687"/>
    <cellStyle name="Comma 7 4 2 3 5" xfId="47688"/>
    <cellStyle name="Comma 7 4 2 3 6" xfId="47689"/>
    <cellStyle name="Comma 7 4 2 4" xfId="9116"/>
    <cellStyle name="Comma 7 4 2 4 2" xfId="47690"/>
    <cellStyle name="Comma 7 4 2 4 2 2" xfId="47691"/>
    <cellStyle name="Comma 7 4 2 4 2 3" xfId="47692"/>
    <cellStyle name="Comma 7 4 2 4 3" xfId="47693"/>
    <cellStyle name="Comma 7 4 2 4 3 2" xfId="47694"/>
    <cellStyle name="Comma 7 4 2 4 3 3" xfId="47695"/>
    <cellStyle name="Comma 7 4 2 4 4" xfId="47696"/>
    <cellStyle name="Comma 7 4 2 4 4 2" xfId="47697"/>
    <cellStyle name="Comma 7 4 2 4 5" xfId="47698"/>
    <cellStyle name="Comma 7 4 2 4 6" xfId="47699"/>
    <cellStyle name="Comma 7 4 2 5" xfId="47700"/>
    <cellStyle name="Comma 7 4 2 5 2" xfId="47701"/>
    <cellStyle name="Comma 7 4 2 5 2 2" xfId="47702"/>
    <cellStyle name="Comma 7 4 2 5 2 3" xfId="47703"/>
    <cellStyle name="Comma 7 4 2 5 3" xfId="47704"/>
    <cellStyle name="Comma 7 4 2 5 3 2" xfId="47705"/>
    <cellStyle name="Comma 7 4 2 5 4" xfId="47706"/>
    <cellStyle name="Comma 7 4 2 5 5" xfId="47707"/>
    <cellStyle name="Comma 7 4 2 6" xfId="47708"/>
    <cellStyle name="Comma 7 4 2 6 2" xfId="47709"/>
    <cellStyle name="Comma 7 4 2 6 3" xfId="47710"/>
    <cellStyle name="Comma 7 4 2 7" xfId="47711"/>
    <cellStyle name="Comma 7 4 2 7 2" xfId="47712"/>
    <cellStyle name="Comma 7 4 2 7 3" xfId="47713"/>
    <cellStyle name="Comma 7 4 2 8" xfId="47714"/>
    <cellStyle name="Comma 7 4 2 8 2" xfId="47715"/>
    <cellStyle name="Comma 7 4 2 9" xfId="47716"/>
    <cellStyle name="Comma 7 4 3" xfId="9117"/>
    <cellStyle name="Comma 7 4 3 2" xfId="9118"/>
    <cellStyle name="Comma 7 4 3 2 2" xfId="47717"/>
    <cellStyle name="Comma 7 4 3 2 2 2" xfId="47718"/>
    <cellStyle name="Comma 7 4 3 2 2 3" xfId="47719"/>
    <cellStyle name="Comma 7 4 3 2 3" xfId="47720"/>
    <cellStyle name="Comma 7 4 3 2 3 2" xfId="47721"/>
    <cellStyle name="Comma 7 4 3 2 3 3" xfId="47722"/>
    <cellStyle name="Comma 7 4 3 2 4" xfId="47723"/>
    <cellStyle name="Comma 7 4 3 2 4 2" xfId="47724"/>
    <cellStyle name="Comma 7 4 3 2 5" xfId="47725"/>
    <cellStyle name="Comma 7 4 3 2 6" xfId="47726"/>
    <cellStyle name="Comma 7 4 3 3" xfId="47727"/>
    <cellStyle name="Comma 7 4 3 3 2" xfId="47728"/>
    <cellStyle name="Comma 7 4 3 3 2 2" xfId="47729"/>
    <cellStyle name="Comma 7 4 3 3 2 3" xfId="47730"/>
    <cellStyle name="Comma 7 4 3 3 3" xfId="47731"/>
    <cellStyle name="Comma 7 4 3 3 3 2" xfId="47732"/>
    <cellStyle name="Comma 7 4 3 3 3 3" xfId="47733"/>
    <cellStyle name="Comma 7 4 3 3 4" xfId="47734"/>
    <cellStyle name="Comma 7 4 3 3 4 2" xfId="47735"/>
    <cellStyle name="Comma 7 4 3 3 5" xfId="47736"/>
    <cellStyle name="Comma 7 4 3 3 6" xfId="47737"/>
    <cellStyle name="Comma 7 4 3 4" xfId="47738"/>
    <cellStyle name="Comma 7 4 3 4 2" xfId="47739"/>
    <cellStyle name="Comma 7 4 3 4 2 2" xfId="47740"/>
    <cellStyle name="Comma 7 4 3 4 2 3" xfId="47741"/>
    <cellStyle name="Comma 7 4 3 4 3" xfId="47742"/>
    <cellStyle name="Comma 7 4 3 4 3 2" xfId="47743"/>
    <cellStyle name="Comma 7 4 3 4 4" xfId="47744"/>
    <cellStyle name="Comma 7 4 3 4 5" xfId="47745"/>
    <cellStyle name="Comma 7 4 3 5" xfId="47746"/>
    <cellStyle name="Comma 7 4 3 5 2" xfId="47747"/>
    <cellStyle name="Comma 7 4 3 5 3" xfId="47748"/>
    <cellStyle name="Comma 7 4 3 6" xfId="47749"/>
    <cellStyle name="Comma 7 4 3 6 2" xfId="47750"/>
    <cellStyle name="Comma 7 4 3 6 3" xfId="47751"/>
    <cellStyle name="Comma 7 4 3 7" xfId="47752"/>
    <cellStyle name="Comma 7 4 3 7 2" xfId="47753"/>
    <cellStyle name="Comma 7 4 3 8" xfId="47754"/>
    <cellStyle name="Comma 7 4 3 9" xfId="47755"/>
    <cellStyle name="Comma 7 4 4" xfId="9119"/>
    <cellStyle name="Comma 7 4 4 2" xfId="47756"/>
    <cellStyle name="Comma 7 4 4 2 2" xfId="47757"/>
    <cellStyle name="Comma 7 4 4 2 2 2" xfId="47758"/>
    <cellStyle name="Comma 7 4 4 2 2 3" xfId="47759"/>
    <cellStyle name="Comma 7 4 4 2 3" xfId="47760"/>
    <cellStyle name="Comma 7 4 4 2 3 2" xfId="47761"/>
    <cellStyle name="Comma 7 4 4 2 3 3" xfId="47762"/>
    <cellStyle name="Comma 7 4 4 2 4" xfId="47763"/>
    <cellStyle name="Comma 7 4 4 2 4 2" xfId="47764"/>
    <cellStyle name="Comma 7 4 4 2 5" xfId="47765"/>
    <cellStyle name="Comma 7 4 4 2 6" xfId="47766"/>
    <cellStyle name="Comma 7 4 4 3" xfId="47767"/>
    <cellStyle name="Comma 7 4 4 3 2" xfId="47768"/>
    <cellStyle name="Comma 7 4 4 3 2 2" xfId="47769"/>
    <cellStyle name="Comma 7 4 4 3 2 3" xfId="47770"/>
    <cellStyle name="Comma 7 4 4 3 3" xfId="47771"/>
    <cellStyle name="Comma 7 4 4 3 3 2" xfId="47772"/>
    <cellStyle name="Comma 7 4 4 3 3 3" xfId="47773"/>
    <cellStyle name="Comma 7 4 4 3 4" xfId="47774"/>
    <cellStyle name="Comma 7 4 4 3 4 2" xfId="47775"/>
    <cellStyle name="Comma 7 4 4 3 5" xfId="47776"/>
    <cellStyle name="Comma 7 4 4 3 6" xfId="47777"/>
    <cellStyle name="Comma 7 4 4 4" xfId="47778"/>
    <cellStyle name="Comma 7 4 4 4 2" xfId="47779"/>
    <cellStyle name="Comma 7 4 4 4 2 2" xfId="47780"/>
    <cellStyle name="Comma 7 4 4 4 2 3" xfId="47781"/>
    <cellStyle name="Comma 7 4 4 4 3" xfId="47782"/>
    <cellStyle name="Comma 7 4 4 4 3 2" xfId="47783"/>
    <cellStyle name="Comma 7 4 4 4 4" xfId="47784"/>
    <cellStyle name="Comma 7 4 4 4 5" xfId="47785"/>
    <cellStyle name="Comma 7 4 4 5" xfId="47786"/>
    <cellStyle name="Comma 7 4 4 5 2" xfId="47787"/>
    <cellStyle name="Comma 7 4 4 5 3" xfId="47788"/>
    <cellStyle name="Comma 7 4 4 6" xfId="47789"/>
    <cellStyle name="Comma 7 4 4 6 2" xfId="47790"/>
    <cellStyle name="Comma 7 4 4 6 3" xfId="47791"/>
    <cellStyle name="Comma 7 4 4 7" xfId="47792"/>
    <cellStyle name="Comma 7 4 4 7 2" xfId="47793"/>
    <cellStyle name="Comma 7 4 4 8" xfId="47794"/>
    <cellStyle name="Comma 7 4 4 9" xfId="47795"/>
    <cellStyle name="Comma 7 4 5" xfId="9120"/>
    <cellStyle name="Comma 7 4 5 2" xfId="47796"/>
    <cellStyle name="Comma 7 4 5 2 2" xfId="47797"/>
    <cellStyle name="Comma 7 4 5 2 3" xfId="47798"/>
    <cellStyle name="Comma 7 4 5 3" xfId="47799"/>
    <cellStyle name="Comma 7 4 5 3 2" xfId="47800"/>
    <cellStyle name="Comma 7 4 5 3 3" xfId="47801"/>
    <cellStyle name="Comma 7 4 5 4" xfId="47802"/>
    <cellStyle name="Comma 7 4 5 4 2" xfId="47803"/>
    <cellStyle name="Comma 7 4 5 5" xfId="47804"/>
    <cellStyle name="Comma 7 4 5 6" xfId="47805"/>
    <cellStyle name="Comma 7 4 6" xfId="47806"/>
    <cellStyle name="Comma 7 4 6 2" xfId="47807"/>
    <cellStyle name="Comma 7 4 6 2 2" xfId="47808"/>
    <cellStyle name="Comma 7 4 6 2 3" xfId="47809"/>
    <cellStyle name="Comma 7 4 6 3" xfId="47810"/>
    <cellStyle name="Comma 7 4 6 3 2" xfId="47811"/>
    <cellStyle name="Comma 7 4 6 3 3" xfId="47812"/>
    <cellStyle name="Comma 7 4 6 4" xfId="47813"/>
    <cellStyle name="Comma 7 4 6 4 2" xfId="47814"/>
    <cellStyle name="Comma 7 4 6 5" xfId="47815"/>
    <cellStyle name="Comma 7 4 6 6" xfId="47816"/>
    <cellStyle name="Comma 7 4 7" xfId="47817"/>
    <cellStyle name="Comma 7 4 7 2" xfId="47818"/>
    <cellStyle name="Comma 7 4 7 2 2" xfId="47819"/>
    <cellStyle name="Comma 7 4 7 2 3" xfId="47820"/>
    <cellStyle name="Comma 7 4 7 3" xfId="47821"/>
    <cellStyle name="Comma 7 4 7 3 2" xfId="47822"/>
    <cellStyle name="Comma 7 4 7 4" xfId="47823"/>
    <cellStyle name="Comma 7 4 7 5" xfId="47824"/>
    <cellStyle name="Comma 7 4 8" xfId="47825"/>
    <cellStyle name="Comma 7 4 8 2" xfId="47826"/>
    <cellStyle name="Comma 7 4 8 3" xfId="47827"/>
    <cellStyle name="Comma 7 4 9" xfId="47828"/>
    <cellStyle name="Comma 7 4 9 2" xfId="47829"/>
    <cellStyle name="Comma 7 4 9 3" xfId="47830"/>
    <cellStyle name="Comma 7 5" xfId="3719"/>
    <cellStyle name="Comma 7 5 10" xfId="47831"/>
    <cellStyle name="Comma 7 5 2" xfId="3720"/>
    <cellStyle name="Comma 7 5 2 2" xfId="9121"/>
    <cellStyle name="Comma 7 5 2 2 2" xfId="9122"/>
    <cellStyle name="Comma 7 5 2 2 2 2" xfId="47832"/>
    <cellStyle name="Comma 7 5 2 2 2 3" xfId="47833"/>
    <cellStyle name="Comma 7 5 2 2 3" xfId="47834"/>
    <cellStyle name="Comma 7 5 2 2 3 2" xfId="47835"/>
    <cellStyle name="Comma 7 5 2 2 3 3" xfId="47836"/>
    <cellStyle name="Comma 7 5 2 2 4" xfId="47837"/>
    <cellStyle name="Comma 7 5 2 2 4 2" xfId="47838"/>
    <cellStyle name="Comma 7 5 2 2 5" xfId="47839"/>
    <cellStyle name="Comma 7 5 2 2 6" xfId="47840"/>
    <cellStyle name="Comma 7 5 2 3" xfId="9123"/>
    <cellStyle name="Comma 7 5 2 3 2" xfId="47841"/>
    <cellStyle name="Comma 7 5 2 3 2 2" xfId="47842"/>
    <cellStyle name="Comma 7 5 2 3 2 3" xfId="47843"/>
    <cellStyle name="Comma 7 5 2 3 3" xfId="47844"/>
    <cellStyle name="Comma 7 5 2 3 3 2" xfId="47845"/>
    <cellStyle name="Comma 7 5 2 3 3 3" xfId="47846"/>
    <cellStyle name="Comma 7 5 2 3 4" xfId="47847"/>
    <cellStyle name="Comma 7 5 2 3 4 2" xfId="47848"/>
    <cellStyle name="Comma 7 5 2 3 5" xfId="47849"/>
    <cellStyle name="Comma 7 5 2 3 6" xfId="47850"/>
    <cellStyle name="Comma 7 5 2 4" xfId="9124"/>
    <cellStyle name="Comma 7 5 2 4 2" xfId="47851"/>
    <cellStyle name="Comma 7 5 2 4 2 2" xfId="47852"/>
    <cellStyle name="Comma 7 5 2 4 2 3" xfId="47853"/>
    <cellStyle name="Comma 7 5 2 4 3" xfId="47854"/>
    <cellStyle name="Comma 7 5 2 4 3 2" xfId="47855"/>
    <cellStyle name="Comma 7 5 2 4 4" xfId="47856"/>
    <cellStyle name="Comma 7 5 2 4 5" xfId="47857"/>
    <cellStyle name="Comma 7 5 2 5" xfId="47858"/>
    <cellStyle name="Comma 7 5 2 5 2" xfId="47859"/>
    <cellStyle name="Comma 7 5 2 5 3" xfId="47860"/>
    <cellStyle name="Comma 7 5 2 6" xfId="47861"/>
    <cellStyle name="Comma 7 5 2 6 2" xfId="47862"/>
    <cellStyle name="Comma 7 5 2 6 3" xfId="47863"/>
    <cellStyle name="Comma 7 5 2 7" xfId="47864"/>
    <cellStyle name="Comma 7 5 2 7 2" xfId="47865"/>
    <cellStyle name="Comma 7 5 2 8" xfId="47866"/>
    <cellStyle name="Comma 7 5 2 9" xfId="47867"/>
    <cellStyle name="Comma 7 5 3" xfId="9125"/>
    <cellStyle name="Comma 7 5 3 2" xfId="9126"/>
    <cellStyle name="Comma 7 5 3 2 2" xfId="47868"/>
    <cellStyle name="Comma 7 5 3 2 3" xfId="47869"/>
    <cellStyle name="Comma 7 5 3 3" xfId="47870"/>
    <cellStyle name="Comma 7 5 3 3 2" xfId="47871"/>
    <cellStyle name="Comma 7 5 3 3 3" xfId="47872"/>
    <cellStyle name="Comma 7 5 3 4" xfId="47873"/>
    <cellStyle name="Comma 7 5 3 4 2" xfId="47874"/>
    <cellStyle name="Comma 7 5 3 5" xfId="47875"/>
    <cellStyle name="Comma 7 5 3 6" xfId="47876"/>
    <cellStyle name="Comma 7 5 4" xfId="9127"/>
    <cellStyle name="Comma 7 5 4 2" xfId="47877"/>
    <cellStyle name="Comma 7 5 4 2 2" xfId="47878"/>
    <cellStyle name="Comma 7 5 4 2 3" xfId="47879"/>
    <cellStyle name="Comma 7 5 4 3" xfId="47880"/>
    <cellStyle name="Comma 7 5 4 3 2" xfId="47881"/>
    <cellStyle name="Comma 7 5 4 3 3" xfId="47882"/>
    <cellStyle name="Comma 7 5 4 4" xfId="47883"/>
    <cellStyle name="Comma 7 5 4 4 2" xfId="47884"/>
    <cellStyle name="Comma 7 5 4 5" xfId="47885"/>
    <cellStyle name="Comma 7 5 4 6" xfId="47886"/>
    <cellStyle name="Comma 7 5 5" xfId="9128"/>
    <cellStyle name="Comma 7 5 5 2" xfId="47887"/>
    <cellStyle name="Comma 7 5 5 2 2" xfId="47888"/>
    <cellStyle name="Comma 7 5 5 2 3" xfId="47889"/>
    <cellStyle name="Comma 7 5 5 3" xfId="47890"/>
    <cellStyle name="Comma 7 5 5 3 2" xfId="47891"/>
    <cellStyle name="Comma 7 5 5 4" xfId="47892"/>
    <cellStyle name="Comma 7 5 5 5" xfId="47893"/>
    <cellStyle name="Comma 7 5 6" xfId="47894"/>
    <cellStyle name="Comma 7 5 6 2" xfId="47895"/>
    <cellStyle name="Comma 7 5 6 3" xfId="47896"/>
    <cellStyle name="Comma 7 5 7" xfId="47897"/>
    <cellStyle name="Comma 7 5 7 2" xfId="47898"/>
    <cellStyle name="Comma 7 5 7 3" xfId="47899"/>
    <cellStyle name="Comma 7 5 8" xfId="47900"/>
    <cellStyle name="Comma 7 5 8 2" xfId="47901"/>
    <cellStyle name="Comma 7 5 9" xfId="47902"/>
    <cellStyle name="Comma 7 6" xfId="3721"/>
    <cellStyle name="Comma 7 6 2" xfId="3722"/>
    <cellStyle name="Comma 7 6 2 2" xfId="9129"/>
    <cellStyle name="Comma 7 6 2 2 2" xfId="9130"/>
    <cellStyle name="Comma 7 6 2 2 3" xfId="47903"/>
    <cellStyle name="Comma 7 6 2 3" xfId="9131"/>
    <cellStyle name="Comma 7 6 2 3 2" xfId="47904"/>
    <cellStyle name="Comma 7 6 2 3 3" xfId="47905"/>
    <cellStyle name="Comma 7 6 2 4" xfId="9132"/>
    <cellStyle name="Comma 7 6 2 4 2" xfId="47906"/>
    <cellStyle name="Comma 7 6 2 5" xfId="47907"/>
    <cellStyle name="Comma 7 6 2 6" xfId="47908"/>
    <cellStyle name="Comma 7 6 3" xfId="9133"/>
    <cellStyle name="Comma 7 6 3 2" xfId="9134"/>
    <cellStyle name="Comma 7 6 3 2 2" xfId="47909"/>
    <cellStyle name="Comma 7 6 3 2 3" xfId="47910"/>
    <cellStyle name="Comma 7 6 3 3" xfId="47911"/>
    <cellStyle name="Comma 7 6 3 3 2" xfId="47912"/>
    <cellStyle name="Comma 7 6 3 3 3" xfId="47913"/>
    <cellStyle name="Comma 7 6 3 4" xfId="47914"/>
    <cellStyle name="Comma 7 6 3 4 2" xfId="47915"/>
    <cellStyle name="Comma 7 6 3 5" xfId="47916"/>
    <cellStyle name="Comma 7 6 3 6" xfId="47917"/>
    <cellStyle name="Comma 7 6 4" xfId="9135"/>
    <cellStyle name="Comma 7 6 4 2" xfId="47918"/>
    <cellStyle name="Comma 7 6 4 2 2" xfId="47919"/>
    <cellStyle name="Comma 7 6 4 2 3" xfId="47920"/>
    <cellStyle name="Comma 7 6 4 3" xfId="47921"/>
    <cellStyle name="Comma 7 6 4 3 2" xfId="47922"/>
    <cellStyle name="Comma 7 6 4 4" xfId="47923"/>
    <cellStyle name="Comma 7 6 4 5" xfId="47924"/>
    <cellStyle name="Comma 7 6 5" xfId="9136"/>
    <cellStyle name="Comma 7 6 5 2" xfId="47925"/>
    <cellStyle name="Comma 7 6 5 3" xfId="47926"/>
    <cellStyle name="Comma 7 6 6" xfId="47927"/>
    <cellStyle name="Comma 7 6 6 2" xfId="47928"/>
    <cellStyle name="Comma 7 6 6 3" xfId="47929"/>
    <cellStyle name="Comma 7 6 7" xfId="47930"/>
    <cellStyle name="Comma 7 6 7 2" xfId="47931"/>
    <cellStyle name="Comma 7 6 8" xfId="47932"/>
    <cellStyle name="Comma 7 6 9" xfId="47933"/>
    <cellStyle name="Comma 7 7" xfId="3723"/>
    <cellStyle name="Comma 7 7 2" xfId="9137"/>
    <cellStyle name="Comma 7 7 2 2" xfId="9138"/>
    <cellStyle name="Comma 7 7 2 2 2" xfId="47934"/>
    <cellStyle name="Comma 7 7 2 2 3" xfId="47935"/>
    <cellStyle name="Comma 7 7 2 3" xfId="47936"/>
    <cellStyle name="Comma 7 7 2 3 2" xfId="47937"/>
    <cellStyle name="Comma 7 7 2 3 3" xfId="47938"/>
    <cellStyle name="Comma 7 7 2 4" xfId="47939"/>
    <cellStyle name="Comma 7 7 2 4 2" xfId="47940"/>
    <cellStyle name="Comma 7 7 2 5" xfId="47941"/>
    <cellStyle name="Comma 7 7 2 6" xfId="47942"/>
    <cellStyle name="Comma 7 7 3" xfId="9139"/>
    <cellStyle name="Comma 7 7 3 2" xfId="47943"/>
    <cellStyle name="Comma 7 7 3 2 2" xfId="47944"/>
    <cellStyle name="Comma 7 7 3 2 3" xfId="47945"/>
    <cellStyle name="Comma 7 7 3 3" xfId="47946"/>
    <cellStyle name="Comma 7 7 3 3 2" xfId="47947"/>
    <cellStyle name="Comma 7 7 3 3 3" xfId="47948"/>
    <cellStyle name="Comma 7 7 3 4" xfId="47949"/>
    <cellStyle name="Comma 7 7 3 4 2" xfId="47950"/>
    <cellStyle name="Comma 7 7 3 5" xfId="47951"/>
    <cellStyle name="Comma 7 7 3 6" xfId="47952"/>
    <cellStyle name="Comma 7 7 4" xfId="9140"/>
    <cellStyle name="Comma 7 7 4 2" xfId="47953"/>
    <cellStyle name="Comma 7 7 4 2 2" xfId="47954"/>
    <cellStyle name="Comma 7 7 4 2 3" xfId="47955"/>
    <cellStyle name="Comma 7 7 4 3" xfId="47956"/>
    <cellStyle name="Comma 7 7 4 3 2" xfId="47957"/>
    <cellStyle name="Comma 7 7 4 4" xfId="47958"/>
    <cellStyle name="Comma 7 7 4 5" xfId="47959"/>
    <cellStyle name="Comma 7 7 5" xfId="47960"/>
    <cellStyle name="Comma 7 7 5 2" xfId="47961"/>
    <cellStyle name="Comma 7 7 5 3" xfId="47962"/>
    <cellStyle name="Comma 7 7 6" xfId="47963"/>
    <cellStyle name="Comma 7 7 6 2" xfId="47964"/>
    <cellStyle name="Comma 7 7 6 3" xfId="47965"/>
    <cellStyle name="Comma 7 7 7" xfId="47966"/>
    <cellStyle name="Comma 7 7 7 2" xfId="47967"/>
    <cellStyle name="Comma 7 7 8" xfId="47968"/>
    <cellStyle name="Comma 7 7 9" xfId="47969"/>
    <cellStyle name="Comma 7 8" xfId="3724"/>
    <cellStyle name="Comma 7 8 2" xfId="9141"/>
    <cellStyle name="Comma 7 8 2 2" xfId="47970"/>
    <cellStyle name="Comma 7 8 2 3" xfId="47971"/>
    <cellStyle name="Comma 7 8 3" xfId="9142"/>
    <cellStyle name="Comma 7 8 3 2" xfId="47972"/>
    <cellStyle name="Comma 7 8 3 3" xfId="47973"/>
    <cellStyle name="Comma 7 8 4" xfId="47974"/>
    <cellStyle name="Comma 7 8 4 2" xfId="47975"/>
    <cellStyle name="Comma 7 8 5" xfId="47976"/>
    <cellStyle name="Comma 7 8 6" xfId="47977"/>
    <cellStyle name="Comma 7 9" xfId="9143"/>
    <cellStyle name="Comma 7 9 2" xfId="47978"/>
    <cellStyle name="Comma 7 9 2 2" xfId="47979"/>
    <cellStyle name="Comma 7 9 2 3" xfId="47980"/>
    <cellStyle name="Comma 7 9 3" xfId="47981"/>
    <cellStyle name="Comma 7 9 3 2" xfId="47982"/>
    <cellStyle name="Comma 7 9 3 3" xfId="47983"/>
    <cellStyle name="Comma 7 9 4" xfId="47984"/>
    <cellStyle name="Comma 7 9 4 2" xfId="47985"/>
    <cellStyle name="Comma 7 9 5" xfId="47986"/>
    <cellStyle name="Comma 7 9 6" xfId="47987"/>
    <cellStyle name="Comma 70" xfId="3725"/>
    <cellStyle name="Comma 71" xfId="3726"/>
    <cellStyle name="Comma 71 2" xfId="3727"/>
    <cellStyle name="Comma 72" xfId="3728"/>
    <cellStyle name="Comma 73" xfId="3729"/>
    <cellStyle name="Comma 73 2" xfId="3730"/>
    <cellStyle name="Comma 73 3" xfId="3731"/>
    <cellStyle name="Comma 74" xfId="3732"/>
    <cellStyle name="Comma 74 2" xfId="3733"/>
    <cellStyle name="Comma 74 3" xfId="3734"/>
    <cellStyle name="Comma 75" xfId="3735"/>
    <cellStyle name="Comma 76" xfId="3736"/>
    <cellStyle name="Comma 77" xfId="3737"/>
    <cellStyle name="Comma 78" xfId="3738"/>
    <cellStyle name="Comma 79" xfId="3739"/>
    <cellStyle name="Comma 8" xfId="3740"/>
    <cellStyle name="Comma 8 10" xfId="47988"/>
    <cellStyle name="Comma 8 10 2" xfId="47989"/>
    <cellStyle name="Comma 8 10 2 2" xfId="47990"/>
    <cellStyle name="Comma 8 10 2 3" xfId="47991"/>
    <cellStyle name="Comma 8 10 3" xfId="47992"/>
    <cellStyle name="Comma 8 10 3 2" xfId="47993"/>
    <cellStyle name="Comma 8 10 4" xfId="47994"/>
    <cellStyle name="Comma 8 10 5" xfId="47995"/>
    <cellStyle name="Comma 8 11" xfId="47996"/>
    <cellStyle name="Comma 8 11 2" xfId="47997"/>
    <cellStyle name="Comma 8 11 3" xfId="47998"/>
    <cellStyle name="Comma 8 12" xfId="47999"/>
    <cellStyle name="Comma 8 12 2" xfId="48000"/>
    <cellStyle name="Comma 8 12 3" xfId="48001"/>
    <cellStyle name="Comma 8 13" xfId="48002"/>
    <cellStyle name="Comma 8 13 2" xfId="48003"/>
    <cellStyle name="Comma 8 14" xfId="48004"/>
    <cellStyle name="Comma 8 15" xfId="48005"/>
    <cellStyle name="Comma 8 16" xfId="48006"/>
    <cellStyle name="Comma 8 2" xfId="3741"/>
    <cellStyle name="Comma 8 2 10" xfId="48007"/>
    <cellStyle name="Comma 8 2 10 2" xfId="48008"/>
    <cellStyle name="Comma 8 2 10 3" xfId="48009"/>
    <cellStyle name="Comma 8 2 11" xfId="48010"/>
    <cellStyle name="Comma 8 2 11 2" xfId="48011"/>
    <cellStyle name="Comma 8 2 11 3" xfId="48012"/>
    <cellStyle name="Comma 8 2 12" xfId="48013"/>
    <cellStyle name="Comma 8 2 12 2" xfId="48014"/>
    <cellStyle name="Comma 8 2 13" xfId="48015"/>
    <cellStyle name="Comma 8 2 14" xfId="48016"/>
    <cellStyle name="Comma 8 2 15" xfId="48017"/>
    <cellStyle name="Comma 8 2 2" xfId="3742"/>
    <cellStyle name="Comma 8 2 2 10" xfId="48018"/>
    <cellStyle name="Comma 8 2 2 10 2" xfId="48019"/>
    <cellStyle name="Comma 8 2 2 10 3" xfId="48020"/>
    <cellStyle name="Comma 8 2 2 11" xfId="48021"/>
    <cellStyle name="Comma 8 2 2 11 2" xfId="48022"/>
    <cellStyle name="Comma 8 2 2 12" xfId="48023"/>
    <cellStyle name="Comma 8 2 2 13" xfId="48024"/>
    <cellStyle name="Comma 8 2 2 14" xfId="48025"/>
    <cellStyle name="Comma 8 2 2 2" xfId="9144"/>
    <cellStyle name="Comma 8 2 2 2 10" xfId="48026"/>
    <cellStyle name="Comma 8 2 2 2 10 2" xfId="48027"/>
    <cellStyle name="Comma 8 2 2 2 11" xfId="48028"/>
    <cellStyle name="Comma 8 2 2 2 12" xfId="48029"/>
    <cellStyle name="Comma 8 2 2 2 13" xfId="48030"/>
    <cellStyle name="Comma 8 2 2 2 2" xfId="48031"/>
    <cellStyle name="Comma 8 2 2 2 2 10" xfId="48032"/>
    <cellStyle name="Comma 8 2 2 2 2 2" xfId="48033"/>
    <cellStyle name="Comma 8 2 2 2 2 2 2" xfId="48034"/>
    <cellStyle name="Comma 8 2 2 2 2 2 2 2" xfId="48035"/>
    <cellStyle name="Comma 8 2 2 2 2 2 2 2 2" xfId="48036"/>
    <cellStyle name="Comma 8 2 2 2 2 2 2 2 3" xfId="48037"/>
    <cellStyle name="Comma 8 2 2 2 2 2 2 3" xfId="48038"/>
    <cellStyle name="Comma 8 2 2 2 2 2 2 3 2" xfId="48039"/>
    <cellStyle name="Comma 8 2 2 2 2 2 2 3 3" xfId="48040"/>
    <cellStyle name="Comma 8 2 2 2 2 2 2 4" xfId="48041"/>
    <cellStyle name="Comma 8 2 2 2 2 2 2 4 2" xfId="48042"/>
    <cellStyle name="Comma 8 2 2 2 2 2 2 5" xfId="48043"/>
    <cellStyle name="Comma 8 2 2 2 2 2 2 6" xfId="48044"/>
    <cellStyle name="Comma 8 2 2 2 2 2 3" xfId="48045"/>
    <cellStyle name="Comma 8 2 2 2 2 2 3 2" xfId="48046"/>
    <cellStyle name="Comma 8 2 2 2 2 2 3 2 2" xfId="48047"/>
    <cellStyle name="Comma 8 2 2 2 2 2 3 2 3" xfId="48048"/>
    <cellStyle name="Comma 8 2 2 2 2 2 3 3" xfId="48049"/>
    <cellStyle name="Comma 8 2 2 2 2 2 3 3 2" xfId="48050"/>
    <cellStyle name="Comma 8 2 2 2 2 2 3 3 3" xfId="48051"/>
    <cellStyle name="Comma 8 2 2 2 2 2 3 4" xfId="48052"/>
    <cellStyle name="Comma 8 2 2 2 2 2 3 4 2" xfId="48053"/>
    <cellStyle name="Comma 8 2 2 2 2 2 3 5" xfId="48054"/>
    <cellStyle name="Comma 8 2 2 2 2 2 3 6" xfId="48055"/>
    <cellStyle name="Comma 8 2 2 2 2 2 4" xfId="48056"/>
    <cellStyle name="Comma 8 2 2 2 2 2 4 2" xfId="48057"/>
    <cellStyle name="Comma 8 2 2 2 2 2 4 2 2" xfId="48058"/>
    <cellStyle name="Comma 8 2 2 2 2 2 4 2 3" xfId="48059"/>
    <cellStyle name="Comma 8 2 2 2 2 2 4 3" xfId="48060"/>
    <cellStyle name="Comma 8 2 2 2 2 2 4 3 2" xfId="48061"/>
    <cellStyle name="Comma 8 2 2 2 2 2 4 4" xfId="48062"/>
    <cellStyle name="Comma 8 2 2 2 2 2 4 5" xfId="48063"/>
    <cellStyle name="Comma 8 2 2 2 2 2 5" xfId="48064"/>
    <cellStyle name="Comma 8 2 2 2 2 2 5 2" xfId="48065"/>
    <cellStyle name="Comma 8 2 2 2 2 2 5 3" xfId="48066"/>
    <cellStyle name="Comma 8 2 2 2 2 2 6" xfId="48067"/>
    <cellStyle name="Comma 8 2 2 2 2 2 6 2" xfId="48068"/>
    <cellStyle name="Comma 8 2 2 2 2 2 6 3" xfId="48069"/>
    <cellStyle name="Comma 8 2 2 2 2 2 7" xfId="48070"/>
    <cellStyle name="Comma 8 2 2 2 2 2 7 2" xfId="48071"/>
    <cellStyle name="Comma 8 2 2 2 2 2 8" xfId="48072"/>
    <cellStyle name="Comma 8 2 2 2 2 2 9" xfId="48073"/>
    <cellStyle name="Comma 8 2 2 2 2 3" xfId="48074"/>
    <cellStyle name="Comma 8 2 2 2 2 3 2" xfId="48075"/>
    <cellStyle name="Comma 8 2 2 2 2 3 2 2" xfId="48076"/>
    <cellStyle name="Comma 8 2 2 2 2 3 2 3" xfId="48077"/>
    <cellStyle name="Comma 8 2 2 2 2 3 3" xfId="48078"/>
    <cellStyle name="Comma 8 2 2 2 2 3 3 2" xfId="48079"/>
    <cellStyle name="Comma 8 2 2 2 2 3 3 3" xfId="48080"/>
    <cellStyle name="Comma 8 2 2 2 2 3 4" xfId="48081"/>
    <cellStyle name="Comma 8 2 2 2 2 3 4 2" xfId="48082"/>
    <cellStyle name="Comma 8 2 2 2 2 3 5" xfId="48083"/>
    <cellStyle name="Comma 8 2 2 2 2 3 6" xfId="48084"/>
    <cellStyle name="Comma 8 2 2 2 2 4" xfId="48085"/>
    <cellStyle name="Comma 8 2 2 2 2 4 2" xfId="48086"/>
    <cellStyle name="Comma 8 2 2 2 2 4 2 2" xfId="48087"/>
    <cellStyle name="Comma 8 2 2 2 2 4 2 3" xfId="48088"/>
    <cellStyle name="Comma 8 2 2 2 2 4 3" xfId="48089"/>
    <cellStyle name="Comma 8 2 2 2 2 4 3 2" xfId="48090"/>
    <cellStyle name="Comma 8 2 2 2 2 4 3 3" xfId="48091"/>
    <cellStyle name="Comma 8 2 2 2 2 4 4" xfId="48092"/>
    <cellStyle name="Comma 8 2 2 2 2 4 4 2" xfId="48093"/>
    <cellStyle name="Comma 8 2 2 2 2 4 5" xfId="48094"/>
    <cellStyle name="Comma 8 2 2 2 2 4 6" xfId="48095"/>
    <cellStyle name="Comma 8 2 2 2 2 5" xfId="48096"/>
    <cellStyle name="Comma 8 2 2 2 2 5 2" xfId="48097"/>
    <cellStyle name="Comma 8 2 2 2 2 5 2 2" xfId="48098"/>
    <cellStyle name="Comma 8 2 2 2 2 5 2 3" xfId="48099"/>
    <cellStyle name="Comma 8 2 2 2 2 5 3" xfId="48100"/>
    <cellStyle name="Comma 8 2 2 2 2 5 3 2" xfId="48101"/>
    <cellStyle name="Comma 8 2 2 2 2 5 4" xfId="48102"/>
    <cellStyle name="Comma 8 2 2 2 2 5 5" xfId="48103"/>
    <cellStyle name="Comma 8 2 2 2 2 6" xfId="48104"/>
    <cellStyle name="Comma 8 2 2 2 2 6 2" xfId="48105"/>
    <cellStyle name="Comma 8 2 2 2 2 6 3" xfId="48106"/>
    <cellStyle name="Comma 8 2 2 2 2 7" xfId="48107"/>
    <cellStyle name="Comma 8 2 2 2 2 7 2" xfId="48108"/>
    <cellStyle name="Comma 8 2 2 2 2 7 3" xfId="48109"/>
    <cellStyle name="Comma 8 2 2 2 2 8" xfId="48110"/>
    <cellStyle name="Comma 8 2 2 2 2 8 2" xfId="48111"/>
    <cellStyle name="Comma 8 2 2 2 2 9" xfId="48112"/>
    <cellStyle name="Comma 8 2 2 2 3" xfId="48113"/>
    <cellStyle name="Comma 8 2 2 2 3 2" xfId="48114"/>
    <cellStyle name="Comma 8 2 2 2 3 2 2" xfId="48115"/>
    <cellStyle name="Comma 8 2 2 2 3 2 2 2" xfId="48116"/>
    <cellStyle name="Comma 8 2 2 2 3 2 2 3" xfId="48117"/>
    <cellStyle name="Comma 8 2 2 2 3 2 3" xfId="48118"/>
    <cellStyle name="Comma 8 2 2 2 3 2 3 2" xfId="48119"/>
    <cellStyle name="Comma 8 2 2 2 3 2 3 3" xfId="48120"/>
    <cellStyle name="Comma 8 2 2 2 3 2 4" xfId="48121"/>
    <cellStyle name="Comma 8 2 2 2 3 2 4 2" xfId="48122"/>
    <cellStyle name="Comma 8 2 2 2 3 2 5" xfId="48123"/>
    <cellStyle name="Comma 8 2 2 2 3 2 6" xfId="48124"/>
    <cellStyle name="Comma 8 2 2 2 3 3" xfId="48125"/>
    <cellStyle name="Comma 8 2 2 2 3 3 2" xfId="48126"/>
    <cellStyle name="Comma 8 2 2 2 3 3 2 2" xfId="48127"/>
    <cellStyle name="Comma 8 2 2 2 3 3 2 3" xfId="48128"/>
    <cellStyle name="Comma 8 2 2 2 3 3 3" xfId="48129"/>
    <cellStyle name="Comma 8 2 2 2 3 3 3 2" xfId="48130"/>
    <cellStyle name="Comma 8 2 2 2 3 3 3 3" xfId="48131"/>
    <cellStyle name="Comma 8 2 2 2 3 3 4" xfId="48132"/>
    <cellStyle name="Comma 8 2 2 2 3 3 4 2" xfId="48133"/>
    <cellStyle name="Comma 8 2 2 2 3 3 5" xfId="48134"/>
    <cellStyle name="Comma 8 2 2 2 3 3 6" xfId="48135"/>
    <cellStyle name="Comma 8 2 2 2 3 4" xfId="48136"/>
    <cellStyle name="Comma 8 2 2 2 3 4 2" xfId="48137"/>
    <cellStyle name="Comma 8 2 2 2 3 4 2 2" xfId="48138"/>
    <cellStyle name="Comma 8 2 2 2 3 4 2 3" xfId="48139"/>
    <cellStyle name="Comma 8 2 2 2 3 4 3" xfId="48140"/>
    <cellStyle name="Comma 8 2 2 2 3 4 3 2" xfId="48141"/>
    <cellStyle name="Comma 8 2 2 2 3 4 4" xfId="48142"/>
    <cellStyle name="Comma 8 2 2 2 3 4 5" xfId="48143"/>
    <cellStyle name="Comma 8 2 2 2 3 5" xfId="48144"/>
    <cellStyle name="Comma 8 2 2 2 3 5 2" xfId="48145"/>
    <cellStyle name="Comma 8 2 2 2 3 5 3" xfId="48146"/>
    <cellStyle name="Comma 8 2 2 2 3 6" xfId="48147"/>
    <cellStyle name="Comma 8 2 2 2 3 6 2" xfId="48148"/>
    <cellStyle name="Comma 8 2 2 2 3 6 3" xfId="48149"/>
    <cellStyle name="Comma 8 2 2 2 3 7" xfId="48150"/>
    <cellStyle name="Comma 8 2 2 2 3 7 2" xfId="48151"/>
    <cellStyle name="Comma 8 2 2 2 3 8" xfId="48152"/>
    <cellStyle name="Comma 8 2 2 2 3 9" xfId="48153"/>
    <cellStyle name="Comma 8 2 2 2 4" xfId="48154"/>
    <cellStyle name="Comma 8 2 2 2 4 2" xfId="48155"/>
    <cellStyle name="Comma 8 2 2 2 4 2 2" xfId="48156"/>
    <cellStyle name="Comma 8 2 2 2 4 2 2 2" xfId="48157"/>
    <cellStyle name="Comma 8 2 2 2 4 2 2 3" xfId="48158"/>
    <cellStyle name="Comma 8 2 2 2 4 2 3" xfId="48159"/>
    <cellStyle name="Comma 8 2 2 2 4 2 3 2" xfId="48160"/>
    <cellStyle name="Comma 8 2 2 2 4 2 3 3" xfId="48161"/>
    <cellStyle name="Comma 8 2 2 2 4 2 4" xfId="48162"/>
    <cellStyle name="Comma 8 2 2 2 4 2 4 2" xfId="48163"/>
    <cellStyle name="Comma 8 2 2 2 4 2 5" xfId="48164"/>
    <cellStyle name="Comma 8 2 2 2 4 2 6" xfId="48165"/>
    <cellStyle name="Comma 8 2 2 2 4 3" xfId="48166"/>
    <cellStyle name="Comma 8 2 2 2 4 3 2" xfId="48167"/>
    <cellStyle name="Comma 8 2 2 2 4 3 2 2" xfId="48168"/>
    <cellStyle name="Comma 8 2 2 2 4 3 2 3" xfId="48169"/>
    <cellStyle name="Comma 8 2 2 2 4 3 3" xfId="48170"/>
    <cellStyle name="Comma 8 2 2 2 4 3 3 2" xfId="48171"/>
    <cellStyle name="Comma 8 2 2 2 4 3 3 3" xfId="48172"/>
    <cellStyle name="Comma 8 2 2 2 4 3 4" xfId="48173"/>
    <cellStyle name="Comma 8 2 2 2 4 3 4 2" xfId="48174"/>
    <cellStyle name="Comma 8 2 2 2 4 3 5" xfId="48175"/>
    <cellStyle name="Comma 8 2 2 2 4 3 6" xfId="48176"/>
    <cellStyle name="Comma 8 2 2 2 4 4" xfId="48177"/>
    <cellStyle name="Comma 8 2 2 2 4 4 2" xfId="48178"/>
    <cellStyle name="Comma 8 2 2 2 4 4 2 2" xfId="48179"/>
    <cellStyle name="Comma 8 2 2 2 4 4 2 3" xfId="48180"/>
    <cellStyle name="Comma 8 2 2 2 4 4 3" xfId="48181"/>
    <cellStyle name="Comma 8 2 2 2 4 4 3 2" xfId="48182"/>
    <cellStyle name="Comma 8 2 2 2 4 4 4" xfId="48183"/>
    <cellStyle name="Comma 8 2 2 2 4 4 5" xfId="48184"/>
    <cellStyle name="Comma 8 2 2 2 4 5" xfId="48185"/>
    <cellStyle name="Comma 8 2 2 2 4 5 2" xfId="48186"/>
    <cellStyle name="Comma 8 2 2 2 4 5 3" xfId="48187"/>
    <cellStyle name="Comma 8 2 2 2 4 6" xfId="48188"/>
    <cellStyle name="Comma 8 2 2 2 4 6 2" xfId="48189"/>
    <cellStyle name="Comma 8 2 2 2 4 6 3" xfId="48190"/>
    <cellStyle name="Comma 8 2 2 2 4 7" xfId="48191"/>
    <cellStyle name="Comma 8 2 2 2 4 7 2" xfId="48192"/>
    <cellStyle name="Comma 8 2 2 2 4 8" xfId="48193"/>
    <cellStyle name="Comma 8 2 2 2 4 9" xfId="48194"/>
    <cellStyle name="Comma 8 2 2 2 5" xfId="48195"/>
    <cellStyle name="Comma 8 2 2 2 5 2" xfId="48196"/>
    <cellStyle name="Comma 8 2 2 2 5 2 2" xfId="48197"/>
    <cellStyle name="Comma 8 2 2 2 5 2 3" xfId="48198"/>
    <cellStyle name="Comma 8 2 2 2 5 3" xfId="48199"/>
    <cellStyle name="Comma 8 2 2 2 5 3 2" xfId="48200"/>
    <cellStyle name="Comma 8 2 2 2 5 3 3" xfId="48201"/>
    <cellStyle name="Comma 8 2 2 2 5 4" xfId="48202"/>
    <cellStyle name="Comma 8 2 2 2 5 4 2" xfId="48203"/>
    <cellStyle name="Comma 8 2 2 2 5 5" xfId="48204"/>
    <cellStyle name="Comma 8 2 2 2 5 6" xfId="48205"/>
    <cellStyle name="Comma 8 2 2 2 6" xfId="48206"/>
    <cellStyle name="Comma 8 2 2 2 6 2" xfId="48207"/>
    <cellStyle name="Comma 8 2 2 2 6 2 2" xfId="48208"/>
    <cellStyle name="Comma 8 2 2 2 6 2 3" xfId="48209"/>
    <cellStyle name="Comma 8 2 2 2 6 3" xfId="48210"/>
    <cellStyle name="Comma 8 2 2 2 6 3 2" xfId="48211"/>
    <cellStyle name="Comma 8 2 2 2 6 3 3" xfId="48212"/>
    <cellStyle name="Comma 8 2 2 2 6 4" xfId="48213"/>
    <cellStyle name="Comma 8 2 2 2 6 4 2" xfId="48214"/>
    <cellStyle name="Comma 8 2 2 2 6 5" xfId="48215"/>
    <cellStyle name="Comma 8 2 2 2 6 6" xfId="48216"/>
    <cellStyle name="Comma 8 2 2 2 7" xfId="48217"/>
    <cellStyle name="Comma 8 2 2 2 7 2" xfId="48218"/>
    <cellStyle name="Comma 8 2 2 2 7 2 2" xfId="48219"/>
    <cellStyle name="Comma 8 2 2 2 7 2 3" xfId="48220"/>
    <cellStyle name="Comma 8 2 2 2 7 3" xfId="48221"/>
    <cellStyle name="Comma 8 2 2 2 7 3 2" xfId="48222"/>
    <cellStyle name="Comma 8 2 2 2 7 4" xfId="48223"/>
    <cellStyle name="Comma 8 2 2 2 7 5" xfId="48224"/>
    <cellStyle name="Comma 8 2 2 2 8" xfId="48225"/>
    <cellStyle name="Comma 8 2 2 2 8 2" xfId="48226"/>
    <cellStyle name="Comma 8 2 2 2 8 3" xfId="48227"/>
    <cellStyle name="Comma 8 2 2 2 9" xfId="48228"/>
    <cellStyle name="Comma 8 2 2 2 9 2" xfId="48229"/>
    <cellStyle name="Comma 8 2 2 2 9 3" xfId="48230"/>
    <cellStyle name="Comma 8 2 2 3" xfId="9145"/>
    <cellStyle name="Comma 8 2 2 3 10" xfId="48231"/>
    <cellStyle name="Comma 8 2 2 3 2" xfId="48232"/>
    <cellStyle name="Comma 8 2 2 3 2 2" xfId="48233"/>
    <cellStyle name="Comma 8 2 2 3 2 2 2" xfId="48234"/>
    <cellStyle name="Comma 8 2 2 3 2 2 2 2" xfId="48235"/>
    <cellStyle name="Comma 8 2 2 3 2 2 2 3" xfId="48236"/>
    <cellStyle name="Comma 8 2 2 3 2 2 3" xfId="48237"/>
    <cellStyle name="Comma 8 2 2 3 2 2 3 2" xfId="48238"/>
    <cellStyle name="Comma 8 2 2 3 2 2 3 3" xfId="48239"/>
    <cellStyle name="Comma 8 2 2 3 2 2 4" xfId="48240"/>
    <cellStyle name="Comma 8 2 2 3 2 2 4 2" xfId="48241"/>
    <cellStyle name="Comma 8 2 2 3 2 2 5" xfId="48242"/>
    <cellStyle name="Comma 8 2 2 3 2 2 6" xfId="48243"/>
    <cellStyle name="Comma 8 2 2 3 2 3" xfId="48244"/>
    <cellStyle name="Comma 8 2 2 3 2 3 2" xfId="48245"/>
    <cellStyle name="Comma 8 2 2 3 2 3 2 2" xfId="48246"/>
    <cellStyle name="Comma 8 2 2 3 2 3 2 3" xfId="48247"/>
    <cellStyle name="Comma 8 2 2 3 2 3 3" xfId="48248"/>
    <cellStyle name="Comma 8 2 2 3 2 3 3 2" xfId="48249"/>
    <cellStyle name="Comma 8 2 2 3 2 3 3 3" xfId="48250"/>
    <cellStyle name="Comma 8 2 2 3 2 3 4" xfId="48251"/>
    <cellStyle name="Comma 8 2 2 3 2 3 4 2" xfId="48252"/>
    <cellStyle name="Comma 8 2 2 3 2 3 5" xfId="48253"/>
    <cellStyle name="Comma 8 2 2 3 2 3 6" xfId="48254"/>
    <cellStyle name="Comma 8 2 2 3 2 4" xfId="48255"/>
    <cellStyle name="Comma 8 2 2 3 2 4 2" xfId="48256"/>
    <cellStyle name="Comma 8 2 2 3 2 4 2 2" xfId="48257"/>
    <cellStyle name="Comma 8 2 2 3 2 4 2 3" xfId="48258"/>
    <cellStyle name="Comma 8 2 2 3 2 4 3" xfId="48259"/>
    <cellStyle name="Comma 8 2 2 3 2 4 3 2" xfId="48260"/>
    <cellStyle name="Comma 8 2 2 3 2 4 4" xfId="48261"/>
    <cellStyle name="Comma 8 2 2 3 2 4 5" xfId="48262"/>
    <cellStyle name="Comma 8 2 2 3 2 5" xfId="48263"/>
    <cellStyle name="Comma 8 2 2 3 2 5 2" xfId="48264"/>
    <cellStyle name="Comma 8 2 2 3 2 5 3" xfId="48265"/>
    <cellStyle name="Comma 8 2 2 3 2 6" xfId="48266"/>
    <cellStyle name="Comma 8 2 2 3 2 6 2" xfId="48267"/>
    <cellStyle name="Comma 8 2 2 3 2 6 3" xfId="48268"/>
    <cellStyle name="Comma 8 2 2 3 2 7" xfId="48269"/>
    <cellStyle name="Comma 8 2 2 3 2 7 2" xfId="48270"/>
    <cellStyle name="Comma 8 2 2 3 2 8" xfId="48271"/>
    <cellStyle name="Comma 8 2 2 3 2 9" xfId="48272"/>
    <cellStyle name="Comma 8 2 2 3 3" xfId="48273"/>
    <cellStyle name="Comma 8 2 2 3 3 2" xfId="48274"/>
    <cellStyle name="Comma 8 2 2 3 3 2 2" xfId="48275"/>
    <cellStyle name="Comma 8 2 2 3 3 2 3" xfId="48276"/>
    <cellStyle name="Comma 8 2 2 3 3 3" xfId="48277"/>
    <cellStyle name="Comma 8 2 2 3 3 3 2" xfId="48278"/>
    <cellStyle name="Comma 8 2 2 3 3 3 3" xfId="48279"/>
    <cellStyle name="Comma 8 2 2 3 3 4" xfId="48280"/>
    <cellStyle name="Comma 8 2 2 3 3 4 2" xfId="48281"/>
    <cellStyle name="Comma 8 2 2 3 3 5" xfId="48282"/>
    <cellStyle name="Comma 8 2 2 3 3 6" xfId="48283"/>
    <cellStyle name="Comma 8 2 2 3 4" xfId="48284"/>
    <cellStyle name="Comma 8 2 2 3 4 2" xfId="48285"/>
    <cellStyle name="Comma 8 2 2 3 4 2 2" xfId="48286"/>
    <cellStyle name="Comma 8 2 2 3 4 2 3" xfId="48287"/>
    <cellStyle name="Comma 8 2 2 3 4 3" xfId="48288"/>
    <cellStyle name="Comma 8 2 2 3 4 3 2" xfId="48289"/>
    <cellStyle name="Comma 8 2 2 3 4 3 3" xfId="48290"/>
    <cellStyle name="Comma 8 2 2 3 4 4" xfId="48291"/>
    <cellStyle name="Comma 8 2 2 3 4 4 2" xfId="48292"/>
    <cellStyle name="Comma 8 2 2 3 4 5" xfId="48293"/>
    <cellStyle name="Comma 8 2 2 3 4 6" xfId="48294"/>
    <cellStyle name="Comma 8 2 2 3 5" xfId="48295"/>
    <cellStyle name="Comma 8 2 2 3 5 2" xfId="48296"/>
    <cellStyle name="Comma 8 2 2 3 5 2 2" xfId="48297"/>
    <cellStyle name="Comma 8 2 2 3 5 2 3" xfId="48298"/>
    <cellStyle name="Comma 8 2 2 3 5 3" xfId="48299"/>
    <cellStyle name="Comma 8 2 2 3 5 3 2" xfId="48300"/>
    <cellStyle name="Comma 8 2 2 3 5 4" xfId="48301"/>
    <cellStyle name="Comma 8 2 2 3 5 5" xfId="48302"/>
    <cellStyle name="Comma 8 2 2 3 6" xfId="48303"/>
    <cellStyle name="Comma 8 2 2 3 6 2" xfId="48304"/>
    <cellStyle name="Comma 8 2 2 3 6 3" xfId="48305"/>
    <cellStyle name="Comma 8 2 2 3 7" xfId="48306"/>
    <cellStyle name="Comma 8 2 2 3 7 2" xfId="48307"/>
    <cellStyle name="Comma 8 2 2 3 7 3" xfId="48308"/>
    <cellStyle name="Comma 8 2 2 3 8" xfId="48309"/>
    <cellStyle name="Comma 8 2 2 3 8 2" xfId="48310"/>
    <cellStyle name="Comma 8 2 2 3 9" xfId="48311"/>
    <cellStyle name="Comma 8 2 2 4" xfId="48312"/>
    <cellStyle name="Comma 8 2 2 4 2" xfId="48313"/>
    <cellStyle name="Comma 8 2 2 4 2 2" xfId="48314"/>
    <cellStyle name="Comma 8 2 2 4 2 2 2" xfId="48315"/>
    <cellStyle name="Comma 8 2 2 4 2 2 3" xfId="48316"/>
    <cellStyle name="Comma 8 2 2 4 2 3" xfId="48317"/>
    <cellStyle name="Comma 8 2 2 4 2 3 2" xfId="48318"/>
    <cellStyle name="Comma 8 2 2 4 2 3 3" xfId="48319"/>
    <cellStyle name="Comma 8 2 2 4 2 4" xfId="48320"/>
    <cellStyle name="Comma 8 2 2 4 2 4 2" xfId="48321"/>
    <cellStyle name="Comma 8 2 2 4 2 5" xfId="48322"/>
    <cellStyle name="Comma 8 2 2 4 2 6" xfId="48323"/>
    <cellStyle name="Comma 8 2 2 4 3" xfId="48324"/>
    <cellStyle name="Comma 8 2 2 4 3 2" xfId="48325"/>
    <cellStyle name="Comma 8 2 2 4 3 2 2" xfId="48326"/>
    <cellStyle name="Comma 8 2 2 4 3 2 3" xfId="48327"/>
    <cellStyle name="Comma 8 2 2 4 3 3" xfId="48328"/>
    <cellStyle name="Comma 8 2 2 4 3 3 2" xfId="48329"/>
    <cellStyle name="Comma 8 2 2 4 3 3 3" xfId="48330"/>
    <cellStyle name="Comma 8 2 2 4 3 4" xfId="48331"/>
    <cellStyle name="Comma 8 2 2 4 3 4 2" xfId="48332"/>
    <cellStyle name="Comma 8 2 2 4 3 5" xfId="48333"/>
    <cellStyle name="Comma 8 2 2 4 3 6" xfId="48334"/>
    <cellStyle name="Comma 8 2 2 4 4" xfId="48335"/>
    <cellStyle name="Comma 8 2 2 4 4 2" xfId="48336"/>
    <cellStyle name="Comma 8 2 2 4 4 2 2" xfId="48337"/>
    <cellStyle name="Comma 8 2 2 4 4 2 3" xfId="48338"/>
    <cellStyle name="Comma 8 2 2 4 4 3" xfId="48339"/>
    <cellStyle name="Comma 8 2 2 4 4 3 2" xfId="48340"/>
    <cellStyle name="Comma 8 2 2 4 4 4" xfId="48341"/>
    <cellStyle name="Comma 8 2 2 4 4 5" xfId="48342"/>
    <cellStyle name="Comma 8 2 2 4 5" xfId="48343"/>
    <cellStyle name="Comma 8 2 2 4 5 2" xfId="48344"/>
    <cellStyle name="Comma 8 2 2 4 5 3" xfId="48345"/>
    <cellStyle name="Comma 8 2 2 4 6" xfId="48346"/>
    <cellStyle name="Comma 8 2 2 4 6 2" xfId="48347"/>
    <cellStyle name="Comma 8 2 2 4 6 3" xfId="48348"/>
    <cellStyle name="Comma 8 2 2 4 7" xfId="48349"/>
    <cellStyle name="Comma 8 2 2 4 7 2" xfId="48350"/>
    <cellStyle name="Comma 8 2 2 4 8" xfId="48351"/>
    <cellStyle name="Comma 8 2 2 4 9" xfId="48352"/>
    <cellStyle name="Comma 8 2 2 5" xfId="48353"/>
    <cellStyle name="Comma 8 2 2 5 2" xfId="48354"/>
    <cellStyle name="Comma 8 2 2 5 2 2" xfId="48355"/>
    <cellStyle name="Comma 8 2 2 5 2 2 2" xfId="48356"/>
    <cellStyle name="Comma 8 2 2 5 2 2 3" xfId="48357"/>
    <cellStyle name="Comma 8 2 2 5 2 3" xfId="48358"/>
    <cellStyle name="Comma 8 2 2 5 2 3 2" xfId="48359"/>
    <cellStyle name="Comma 8 2 2 5 2 3 3" xfId="48360"/>
    <cellStyle name="Comma 8 2 2 5 2 4" xfId="48361"/>
    <cellStyle name="Comma 8 2 2 5 2 4 2" xfId="48362"/>
    <cellStyle name="Comma 8 2 2 5 2 5" xfId="48363"/>
    <cellStyle name="Comma 8 2 2 5 2 6" xfId="48364"/>
    <cellStyle name="Comma 8 2 2 5 3" xfId="48365"/>
    <cellStyle name="Comma 8 2 2 5 3 2" xfId="48366"/>
    <cellStyle name="Comma 8 2 2 5 3 2 2" xfId="48367"/>
    <cellStyle name="Comma 8 2 2 5 3 2 3" xfId="48368"/>
    <cellStyle name="Comma 8 2 2 5 3 3" xfId="48369"/>
    <cellStyle name="Comma 8 2 2 5 3 3 2" xfId="48370"/>
    <cellStyle name="Comma 8 2 2 5 3 3 3" xfId="48371"/>
    <cellStyle name="Comma 8 2 2 5 3 4" xfId="48372"/>
    <cellStyle name="Comma 8 2 2 5 3 4 2" xfId="48373"/>
    <cellStyle name="Comma 8 2 2 5 3 5" xfId="48374"/>
    <cellStyle name="Comma 8 2 2 5 3 6" xfId="48375"/>
    <cellStyle name="Comma 8 2 2 5 4" xfId="48376"/>
    <cellStyle name="Comma 8 2 2 5 4 2" xfId="48377"/>
    <cellStyle name="Comma 8 2 2 5 4 2 2" xfId="48378"/>
    <cellStyle name="Comma 8 2 2 5 4 2 3" xfId="48379"/>
    <cellStyle name="Comma 8 2 2 5 4 3" xfId="48380"/>
    <cellStyle name="Comma 8 2 2 5 4 3 2" xfId="48381"/>
    <cellStyle name="Comma 8 2 2 5 4 4" xfId="48382"/>
    <cellStyle name="Comma 8 2 2 5 4 5" xfId="48383"/>
    <cellStyle name="Comma 8 2 2 5 5" xfId="48384"/>
    <cellStyle name="Comma 8 2 2 5 5 2" xfId="48385"/>
    <cellStyle name="Comma 8 2 2 5 5 3" xfId="48386"/>
    <cellStyle name="Comma 8 2 2 5 6" xfId="48387"/>
    <cellStyle name="Comma 8 2 2 5 6 2" xfId="48388"/>
    <cellStyle name="Comma 8 2 2 5 6 3" xfId="48389"/>
    <cellStyle name="Comma 8 2 2 5 7" xfId="48390"/>
    <cellStyle name="Comma 8 2 2 5 7 2" xfId="48391"/>
    <cellStyle name="Comma 8 2 2 5 8" xfId="48392"/>
    <cellStyle name="Comma 8 2 2 5 9" xfId="48393"/>
    <cellStyle name="Comma 8 2 2 6" xfId="48394"/>
    <cellStyle name="Comma 8 2 2 6 2" xfId="48395"/>
    <cellStyle name="Comma 8 2 2 6 2 2" xfId="48396"/>
    <cellStyle name="Comma 8 2 2 6 2 3" xfId="48397"/>
    <cellStyle name="Comma 8 2 2 6 3" xfId="48398"/>
    <cellStyle name="Comma 8 2 2 6 3 2" xfId="48399"/>
    <cellStyle name="Comma 8 2 2 6 3 3" xfId="48400"/>
    <cellStyle name="Comma 8 2 2 6 4" xfId="48401"/>
    <cellStyle name="Comma 8 2 2 6 4 2" xfId="48402"/>
    <cellStyle name="Comma 8 2 2 6 5" xfId="48403"/>
    <cellStyle name="Comma 8 2 2 6 6" xfId="48404"/>
    <cellStyle name="Comma 8 2 2 7" xfId="48405"/>
    <cellStyle name="Comma 8 2 2 7 2" xfId="48406"/>
    <cellStyle name="Comma 8 2 2 7 2 2" xfId="48407"/>
    <cellStyle name="Comma 8 2 2 7 2 3" xfId="48408"/>
    <cellStyle name="Comma 8 2 2 7 3" xfId="48409"/>
    <cellStyle name="Comma 8 2 2 7 3 2" xfId="48410"/>
    <cellStyle name="Comma 8 2 2 7 3 3" xfId="48411"/>
    <cellStyle name="Comma 8 2 2 7 4" xfId="48412"/>
    <cellStyle name="Comma 8 2 2 7 4 2" xfId="48413"/>
    <cellStyle name="Comma 8 2 2 7 5" xfId="48414"/>
    <cellStyle name="Comma 8 2 2 7 6" xfId="48415"/>
    <cellStyle name="Comma 8 2 2 8" xfId="48416"/>
    <cellStyle name="Comma 8 2 2 8 2" xfId="48417"/>
    <cellStyle name="Comma 8 2 2 8 2 2" xfId="48418"/>
    <cellStyle name="Comma 8 2 2 8 2 3" xfId="48419"/>
    <cellStyle name="Comma 8 2 2 8 3" xfId="48420"/>
    <cellStyle name="Comma 8 2 2 8 3 2" xfId="48421"/>
    <cellStyle name="Comma 8 2 2 8 4" xfId="48422"/>
    <cellStyle name="Comma 8 2 2 8 5" xfId="48423"/>
    <cellStyle name="Comma 8 2 2 9" xfId="48424"/>
    <cellStyle name="Comma 8 2 2 9 2" xfId="48425"/>
    <cellStyle name="Comma 8 2 2 9 3" xfId="48426"/>
    <cellStyle name="Comma 8 2 3" xfId="9146"/>
    <cellStyle name="Comma 8 2 3 10" xfId="48427"/>
    <cellStyle name="Comma 8 2 3 10 2" xfId="48428"/>
    <cellStyle name="Comma 8 2 3 11" xfId="48429"/>
    <cellStyle name="Comma 8 2 3 12" xfId="48430"/>
    <cellStyle name="Comma 8 2 3 13" xfId="48431"/>
    <cellStyle name="Comma 8 2 3 2" xfId="48432"/>
    <cellStyle name="Comma 8 2 3 2 10" xfId="48433"/>
    <cellStyle name="Comma 8 2 3 2 2" xfId="48434"/>
    <cellStyle name="Comma 8 2 3 2 2 2" xfId="48435"/>
    <cellStyle name="Comma 8 2 3 2 2 2 2" xfId="48436"/>
    <cellStyle name="Comma 8 2 3 2 2 2 2 2" xfId="48437"/>
    <cellStyle name="Comma 8 2 3 2 2 2 2 3" xfId="48438"/>
    <cellStyle name="Comma 8 2 3 2 2 2 3" xfId="48439"/>
    <cellStyle name="Comma 8 2 3 2 2 2 3 2" xfId="48440"/>
    <cellStyle name="Comma 8 2 3 2 2 2 3 3" xfId="48441"/>
    <cellStyle name="Comma 8 2 3 2 2 2 4" xfId="48442"/>
    <cellStyle name="Comma 8 2 3 2 2 2 4 2" xfId="48443"/>
    <cellStyle name="Comma 8 2 3 2 2 2 5" xfId="48444"/>
    <cellStyle name="Comma 8 2 3 2 2 2 6" xfId="48445"/>
    <cellStyle name="Comma 8 2 3 2 2 3" xfId="48446"/>
    <cellStyle name="Comma 8 2 3 2 2 3 2" xfId="48447"/>
    <cellStyle name="Comma 8 2 3 2 2 3 2 2" xfId="48448"/>
    <cellStyle name="Comma 8 2 3 2 2 3 2 3" xfId="48449"/>
    <cellStyle name="Comma 8 2 3 2 2 3 3" xfId="48450"/>
    <cellStyle name="Comma 8 2 3 2 2 3 3 2" xfId="48451"/>
    <cellStyle name="Comma 8 2 3 2 2 3 3 3" xfId="48452"/>
    <cellStyle name="Comma 8 2 3 2 2 3 4" xfId="48453"/>
    <cellStyle name="Comma 8 2 3 2 2 3 4 2" xfId="48454"/>
    <cellStyle name="Comma 8 2 3 2 2 3 5" xfId="48455"/>
    <cellStyle name="Comma 8 2 3 2 2 3 6" xfId="48456"/>
    <cellStyle name="Comma 8 2 3 2 2 4" xfId="48457"/>
    <cellStyle name="Comma 8 2 3 2 2 4 2" xfId="48458"/>
    <cellStyle name="Comma 8 2 3 2 2 4 2 2" xfId="48459"/>
    <cellStyle name="Comma 8 2 3 2 2 4 2 3" xfId="48460"/>
    <cellStyle name="Comma 8 2 3 2 2 4 3" xfId="48461"/>
    <cellStyle name="Comma 8 2 3 2 2 4 3 2" xfId="48462"/>
    <cellStyle name="Comma 8 2 3 2 2 4 4" xfId="48463"/>
    <cellStyle name="Comma 8 2 3 2 2 4 5" xfId="48464"/>
    <cellStyle name="Comma 8 2 3 2 2 5" xfId="48465"/>
    <cellStyle name="Comma 8 2 3 2 2 5 2" xfId="48466"/>
    <cellStyle name="Comma 8 2 3 2 2 5 3" xfId="48467"/>
    <cellStyle name="Comma 8 2 3 2 2 6" xfId="48468"/>
    <cellStyle name="Comma 8 2 3 2 2 6 2" xfId="48469"/>
    <cellStyle name="Comma 8 2 3 2 2 6 3" xfId="48470"/>
    <cellStyle name="Comma 8 2 3 2 2 7" xfId="48471"/>
    <cellStyle name="Comma 8 2 3 2 2 7 2" xfId="48472"/>
    <cellStyle name="Comma 8 2 3 2 2 8" xfId="48473"/>
    <cellStyle name="Comma 8 2 3 2 2 9" xfId="48474"/>
    <cellStyle name="Comma 8 2 3 2 3" xfId="48475"/>
    <cellStyle name="Comma 8 2 3 2 3 2" xfId="48476"/>
    <cellStyle name="Comma 8 2 3 2 3 2 2" xfId="48477"/>
    <cellStyle name="Comma 8 2 3 2 3 2 3" xfId="48478"/>
    <cellStyle name="Comma 8 2 3 2 3 3" xfId="48479"/>
    <cellStyle name="Comma 8 2 3 2 3 3 2" xfId="48480"/>
    <cellStyle name="Comma 8 2 3 2 3 3 3" xfId="48481"/>
    <cellStyle name="Comma 8 2 3 2 3 4" xfId="48482"/>
    <cellStyle name="Comma 8 2 3 2 3 4 2" xfId="48483"/>
    <cellStyle name="Comma 8 2 3 2 3 5" xfId="48484"/>
    <cellStyle name="Comma 8 2 3 2 3 6" xfId="48485"/>
    <cellStyle name="Comma 8 2 3 2 4" xfId="48486"/>
    <cellStyle name="Comma 8 2 3 2 4 2" xfId="48487"/>
    <cellStyle name="Comma 8 2 3 2 4 2 2" xfId="48488"/>
    <cellStyle name="Comma 8 2 3 2 4 2 3" xfId="48489"/>
    <cellStyle name="Comma 8 2 3 2 4 3" xfId="48490"/>
    <cellStyle name="Comma 8 2 3 2 4 3 2" xfId="48491"/>
    <cellStyle name="Comma 8 2 3 2 4 3 3" xfId="48492"/>
    <cellStyle name="Comma 8 2 3 2 4 4" xfId="48493"/>
    <cellStyle name="Comma 8 2 3 2 4 4 2" xfId="48494"/>
    <cellStyle name="Comma 8 2 3 2 4 5" xfId="48495"/>
    <cellStyle name="Comma 8 2 3 2 4 6" xfId="48496"/>
    <cellStyle name="Comma 8 2 3 2 5" xfId="48497"/>
    <cellStyle name="Comma 8 2 3 2 5 2" xfId="48498"/>
    <cellStyle name="Comma 8 2 3 2 5 2 2" xfId="48499"/>
    <cellStyle name="Comma 8 2 3 2 5 2 3" xfId="48500"/>
    <cellStyle name="Comma 8 2 3 2 5 3" xfId="48501"/>
    <cellStyle name="Comma 8 2 3 2 5 3 2" xfId="48502"/>
    <cellStyle name="Comma 8 2 3 2 5 4" xfId="48503"/>
    <cellStyle name="Comma 8 2 3 2 5 5" xfId="48504"/>
    <cellStyle name="Comma 8 2 3 2 6" xfId="48505"/>
    <cellStyle name="Comma 8 2 3 2 6 2" xfId="48506"/>
    <cellStyle name="Comma 8 2 3 2 6 3" xfId="48507"/>
    <cellStyle name="Comma 8 2 3 2 7" xfId="48508"/>
    <cellStyle name="Comma 8 2 3 2 7 2" xfId="48509"/>
    <cellStyle name="Comma 8 2 3 2 7 3" xfId="48510"/>
    <cellStyle name="Comma 8 2 3 2 8" xfId="48511"/>
    <cellStyle name="Comma 8 2 3 2 8 2" xfId="48512"/>
    <cellStyle name="Comma 8 2 3 2 9" xfId="48513"/>
    <cellStyle name="Comma 8 2 3 3" xfId="48514"/>
    <cellStyle name="Comma 8 2 3 3 2" xfId="48515"/>
    <cellStyle name="Comma 8 2 3 3 2 2" xfId="48516"/>
    <cellStyle name="Comma 8 2 3 3 2 2 2" xfId="48517"/>
    <cellStyle name="Comma 8 2 3 3 2 2 3" xfId="48518"/>
    <cellStyle name="Comma 8 2 3 3 2 3" xfId="48519"/>
    <cellStyle name="Comma 8 2 3 3 2 3 2" xfId="48520"/>
    <cellStyle name="Comma 8 2 3 3 2 3 3" xfId="48521"/>
    <cellStyle name="Comma 8 2 3 3 2 4" xfId="48522"/>
    <cellStyle name="Comma 8 2 3 3 2 4 2" xfId="48523"/>
    <cellStyle name="Comma 8 2 3 3 2 5" xfId="48524"/>
    <cellStyle name="Comma 8 2 3 3 2 6" xfId="48525"/>
    <cellStyle name="Comma 8 2 3 3 3" xfId="48526"/>
    <cellStyle name="Comma 8 2 3 3 3 2" xfId="48527"/>
    <cellStyle name="Comma 8 2 3 3 3 2 2" xfId="48528"/>
    <cellStyle name="Comma 8 2 3 3 3 2 3" xfId="48529"/>
    <cellStyle name="Comma 8 2 3 3 3 3" xfId="48530"/>
    <cellStyle name="Comma 8 2 3 3 3 3 2" xfId="48531"/>
    <cellStyle name="Comma 8 2 3 3 3 3 3" xfId="48532"/>
    <cellStyle name="Comma 8 2 3 3 3 4" xfId="48533"/>
    <cellStyle name="Comma 8 2 3 3 3 4 2" xfId="48534"/>
    <cellStyle name="Comma 8 2 3 3 3 5" xfId="48535"/>
    <cellStyle name="Comma 8 2 3 3 3 6" xfId="48536"/>
    <cellStyle name="Comma 8 2 3 3 4" xfId="48537"/>
    <cellStyle name="Comma 8 2 3 3 4 2" xfId="48538"/>
    <cellStyle name="Comma 8 2 3 3 4 2 2" xfId="48539"/>
    <cellStyle name="Comma 8 2 3 3 4 2 3" xfId="48540"/>
    <cellStyle name="Comma 8 2 3 3 4 3" xfId="48541"/>
    <cellStyle name="Comma 8 2 3 3 4 3 2" xfId="48542"/>
    <cellStyle name="Comma 8 2 3 3 4 4" xfId="48543"/>
    <cellStyle name="Comma 8 2 3 3 4 5" xfId="48544"/>
    <cellStyle name="Comma 8 2 3 3 5" xfId="48545"/>
    <cellStyle name="Comma 8 2 3 3 5 2" xfId="48546"/>
    <cellStyle name="Comma 8 2 3 3 5 3" xfId="48547"/>
    <cellStyle name="Comma 8 2 3 3 6" xfId="48548"/>
    <cellStyle name="Comma 8 2 3 3 6 2" xfId="48549"/>
    <cellStyle name="Comma 8 2 3 3 6 3" xfId="48550"/>
    <cellStyle name="Comma 8 2 3 3 7" xfId="48551"/>
    <cellStyle name="Comma 8 2 3 3 7 2" xfId="48552"/>
    <cellStyle name="Comma 8 2 3 3 8" xfId="48553"/>
    <cellStyle name="Comma 8 2 3 3 9" xfId="48554"/>
    <cellStyle name="Comma 8 2 3 4" xfId="48555"/>
    <cellStyle name="Comma 8 2 3 4 2" xfId="48556"/>
    <cellStyle name="Comma 8 2 3 4 2 2" xfId="48557"/>
    <cellStyle name="Comma 8 2 3 4 2 2 2" xfId="48558"/>
    <cellStyle name="Comma 8 2 3 4 2 2 3" xfId="48559"/>
    <cellStyle name="Comma 8 2 3 4 2 3" xfId="48560"/>
    <cellStyle name="Comma 8 2 3 4 2 3 2" xfId="48561"/>
    <cellStyle name="Comma 8 2 3 4 2 3 3" xfId="48562"/>
    <cellStyle name="Comma 8 2 3 4 2 4" xfId="48563"/>
    <cellStyle name="Comma 8 2 3 4 2 4 2" xfId="48564"/>
    <cellStyle name="Comma 8 2 3 4 2 5" xfId="48565"/>
    <cellStyle name="Comma 8 2 3 4 2 6" xfId="48566"/>
    <cellStyle name="Comma 8 2 3 4 3" xfId="48567"/>
    <cellStyle name="Comma 8 2 3 4 3 2" xfId="48568"/>
    <cellStyle name="Comma 8 2 3 4 3 2 2" xfId="48569"/>
    <cellStyle name="Comma 8 2 3 4 3 2 3" xfId="48570"/>
    <cellStyle name="Comma 8 2 3 4 3 3" xfId="48571"/>
    <cellStyle name="Comma 8 2 3 4 3 3 2" xfId="48572"/>
    <cellStyle name="Comma 8 2 3 4 3 3 3" xfId="48573"/>
    <cellStyle name="Comma 8 2 3 4 3 4" xfId="48574"/>
    <cellStyle name="Comma 8 2 3 4 3 4 2" xfId="48575"/>
    <cellStyle name="Comma 8 2 3 4 3 5" xfId="48576"/>
    <cellStyle name="Comma 8 2 3 4 3 6" xfId="48577"/>
    <cellStyle name="Comma 8 2 3 4 4" xfId="48578"/>
    <cellStyle name="Comma 8 2 3 4 4 2" xfId="48579"/>
    <cellStyle name="Comma 8 2 3 4 4 2 2" xfId="48580"/>
    <cellStyle name="Comma 8 2 3 4 4 2 3" xfId="48581"/>
    <cellStyle name="Comma 8 2 3 4 4 3" xfId="48582"/>
    <cellStyle name="Comma 8 2 3 4 4 3 2" xfId="48583"/>
    <cellStyle name="Comma 8 2 3 4 4 4" xfId="48584"/>
    <cellStyle name="Comma 8 2 3 4 4 5" xfId="48585"/>
    <cellStyle name="Comma 8 2 3 4 5" xfId="48586"/>
    <cellStyle name="Comma 8 2 3 4 5 2" xfId="48587"/>
    <cellStyle name="Comma 8 2 3 4 5 3" xfId="48588"/>
    <cellStyle name="Comma 8 2 3 4 6" xfId="48589"/>
    <cellStyle name="Comma 8 2 3 4 6 2" xfId="48590"/>
    <cellStyle name="Comma 8 2 3 4 6 3" xfId="48591"/>
    <cellStyle name="Comma 8 2 3 4 7" xfId="48592"/>
    <cellStyle name="Comma 8 2 3 4 7 2" xfId="48593"/>
    <cellStyle name="Comma 8 2 3 4 8" xfId="48594"/>
    <cellStyle name="Comma 8 2 3 4 9" xfId="48595"/>
    <cellStyle name="Comma 8 2 3 5" xfId="48596"/>
    <cellStyle name="Comma 8 2 3 5 2" xfId="48597"/>
    <cellStyle name="Comma 8 2 3 5 2 2" xfId="48598"/>
    <cellStyle name="Comma 8 2 3 5 2 3" xfId="48599"/>
    <cellStyle name="Comma 8 2 3 5 3" xfId="48600"/>
    <cellStyle name="Comma 8 2 3 5 3 2" xfId="48601"/>
    <cellStyle name="Comma 8 2 3 5 3 3" xfId="48602"/>
    <cellStyle name="Comma 8 2 3 5 4" xfId="48603"/>
    <cellStyle name="Comma 8 2 3 5 4 2" xfId="48604"/>
    <cellStyle name="Comma 8 2 3 5 5" xfId="48605"/>
    <cellStyle name="Comma 8 2 3 5 6" xfId="48606"/>
    <cellStyle name="Comma 8 2 3 6" xfId="48607"/>
    <cellStyle name="Comma 8 2 3 6 2" xfId="48608"/>
    <cellStyle name="Comma 8 2 3 6 2 2" xfId="48609"/>
    <cellStyle name="Comma 8 2 3 6 2 3" xfId="48610"/>
    <cellStyle name="Comma 8 2 3 6 3" xfId="48611"/>
    <cellStyle name="Comma 8 2 3 6 3 2" xfId="48612"/>
    <cellStyle name="Comma 8 2 3 6 3 3" xfId="48613"/>
    <cellStyle name="Comma 8 2 3 6 4" xfId="48614"/>
    <cellStyle name="Comma 8 2 3 6 4 2" xfId="48615"/>
    <cellStyle name="Comma 8 2 3 6 5" xfId="48616"/>
    <cellStyle name="Comma 8 2 3 6 6" xfId="48617"/>
    <cellStyle name="Comma 8 2 3 7" xfId="48618"/>
    <cellStyle name="Comma 8 2 3 7 2" xfId="48619"/>
    <cellStyle name="Comma 8 2 3 7 2 2" xfId="48620"/>
    <cellStyle name="Comma 8 2 3 7 2 3" xfId="48621"/>
    <cellStyle name="Comma 8 2 3 7 3" xfId="48622"/>
    <cellStyle name="Comma 8 2 3 7 3 2" xfId="48623"/>
    <cellStyle name="Comma 8 2 3 7 4" xfId="48624"/>
    <cellStyle name="Comma 8 2 3 7 5" xfId="48625"/>
    <cellStyle name="Comma 8 2 3 8" xfId="48626"/>
    <cellStyle name="Comma 8 2 3 8 2" xfId="48627"/>
    <cellStyle name="Comma 8 2 3 8 3" xfId="48628"/>
    <cellStyle name="Comma 8 2 3 9" xfId="48629"/>
    <cellStyle name="Comma 8 2 3 9 2" xfId="48630"/>
    <cellStyle name="Comma 8 2 3 9 3" xfId="48631"/>
    <cellStyle name="Comma 8 2 4" xfId="9147"/>
    <cellStyle name="Comma 8 2 4 10" xfId="48632"/>
    <cellStyle name="Comma 8 2 4 2" xfId="48633"/>
    <cellStyle name="Comma 8 2 4 2 2" xfId="48634"/>
    <cellStyle name="Comma 8 2 4 2 2 2" xfId="48635"/>
    <cellStyle name="Comma 8 2 4 2 2 2 2" xfId="48636"/>
    <cellStyle name="Comma 8 2 4 2 2 2 3" xfId="48637"/>
    <cellStyle name="Comma 8 2 4 2 2 3" xfId="48638"/>
    <cellStyle name="Comma 8 2 4 2 2 3 2" xfId="48639"/>
    <cellStyle name="Comma 8 2 4 2 2 3 3" xfId="48640"/>
    <cellStyle name="Comma 8 2 4 2 2 4" xfId="48641"/>
    <cellStyle name="Comma 8 2 4 2 2 4 2" xfId="48642"/>
    <cellStyle name="Comma 8 2 4 2 2 5" xfId="48643"/>
    <cellStyle name="Comma 8 2 4 2 2 6" xfId="48644"/>
    <cellStyle name="Comma 8 2 4 2 3" xfId="48645"/>
    <cellStyle name="Comma 8 2 4 2 3 2" xfId="48646"/>
    <cellStyle name="Comma 8 2 4 2 3 2 2" xfId="48647"/>
    <cellStyle name="Comma 8 2 4 2 3 2 3" xfId="48648"/>
    <cellStyle name="Comma 8 2 4 2 3 3" xfId="48649"/>
    <cellStyle name="Comma 8 2 4 2 3 3 2" xfId="48650"/>
    <cellStyle name="Comma 8 2 4 2 3 3 3" xfId="48651"/>
    <cellStyle name="Comma 8 2 4 2 3 4" xfId="48652"/>
    <cellStyle name="Comma 8 2 4 2 3 4 2" xfId="48653"/>
    <cellStyle name="Comma 8 2 4 2 3 5" xfId="48654"/>
    <cellStyle name="Comma 8 2 4 2 3 6" xfId="48655"/>
    <cellStyle name="Comma 8 2 4 2 4" xfId="48656"/>
    <cellStyle name="Comma 8 2 4 2 4 2" xfId="48657"/>
    <cellStyle name="Comma 8 2 4 2 4 2 2" xfId="48658"/>
    <cellStyle name="Comma 8 2 4 2 4 2 3" xfId="48659"/>
    <cellStyle name="Comma 8 2 4 2 4 3" xfId="48660"/>
    <cellStyle name="Comma 8 2 4 2 4 3 2" xfId="48661"/>
    <cellStyle name="Comma 8 2 4 2 4 4" xfId="48662"/>
    <cellStyle name="Comma 8 2 4 2 4 5" xfId="48663"/>
    <cellStyle name="Comma 8 2 4 2 5" xfId="48664"/>
    <cellStyle name="Comma 8 2 4 2 5 2" xfId="48665"/>
    <cellStyle name="Comma 8 2 4 2 5 3" xfId="48666"/>
    <cellStyle name="Comma 8 2 4 2 6" xfId="48667"/>
    <cellStyle name="Comma 8 2 4 2 6 2" xfId="48668"/>
    <cellStyle name="Comma 8 2 4 2 6 3" xfId="48669"/>
    <cellStyle name="Comma 8 2 4 2 7" xfId="48670"/>
    <cellStyle name="Comma 8 2 4 2 7 2" xfId="48671"/>
    <cellStyle name="Comma 8 2 4 2 8" xfId="48672"/>
    <cellStyle name="Comma 8 2 4 2 9" xfId="48673"/>
    <cellStyle name="Comma 8 2 4 3" xfId="48674"/>
    <cellStyle name="Comma 8 2 4 3 2" xfId="48675"/>
    <cellStyle name="Comma 8 2 4 3 2 2" xfId="48676"/>
    <cellStyle name="Comma 8 2 4 3 2 3" xfId="48677"/>
    <cellStyle name="Comma 8 2 4 3 3" xfId="48678"/>
    <cellStyle name="Comma 8 2 4 3 3 2" xfId="48679"/>
    <cellStyle name="Comma 8 2 4 3 3 3" xfId="48680"/>
    <cellStyle name="Comma 8 2 4 3 4" xfId="48681"/>
    <cellStyle name="Comma 8 2 4 3 4 2" xfId="48682"/>
    <cellStyle name="Comma 8 2 4 3 5" xfId="48683"/>
    <cellStyle name="Comma 8 2 4 3 6" xfId="48684"/>
    <cellStyle name="Comma 8 2 4 4" xfId="48685"/>
    <cellStyle name="Comma 8 2 4 4 2" xfId="48686"/>
    <cellStyle name="Comma 8 2 4 4 2 2" xfId="48687"/>
    <cellStyle name="Comma 8 2 4 4 2 3" xfId="48688"/>
    <cellStyle name="Comma 8 2 4 4 3" xfId="48689"/>
    <cellStyle name="Comma 8 2 4 4 3 2" xfId="48690"/>
    <cellStyle name="Comma 8 2 4 4 3 3" xfId="48691"/>
    <cellStyle name="Comma 8 2 4 4 4" xfId="48692"/>
    <cellStyle name="Comma 8 2 4 4 4 2" xfId="48693"/>
    <cellStyle name="Comma 8 2 4 4 5" xfId="48694"/>
    <cellStyle name="Comma 8 2 4 4 6" xfId="48695"/>
    <cellStyle name="Comma 8 2 4 5" xfId="48696"/>
    <cellStyle name="Comma 8 2 4 5 2" xfId="48697"/>
    <cellStyle name="Comma 8 2 4 5 2 2" xfId="48698"/>
    <cellStyle name="Comma 8 2 4 5 2 3" xfId="48699"/>
    <cellStyle name="Comma 8 2 4 5 3" xfId="48700"/>
    <cellStyle name="Comma 8 2 4 5 3 2" xfId="48701"/>
    <cellStyle name="Comma 8 2 4 5 4" xfId="48702"/>
    <cellStyle name="Comma 8 2 4 5 5" xfId="48703"/>
    <cellStyle name="Comma 8 2 4 6" xfId="48704"/>
    <cellStyle name="Comma 8 2 4 6 2" xfId="48705"/>
    <cellStyle name="Comma 8 2 4 6 3" xfId="48706"/>
    <cellStyle name="Comma 8 2 4 7" xfId="48707"/>
    <cellStyle name="Comma 8 2 4 7 2" xfId="48708"/>
    <cellStyle name="Comma 8 2 4 7 3" xfId="48709"/>
    <cellStyle name="Comma 8 2 4 8" xfId="48710"/>
    <cellStyle name="Comma 8 2 4 8 2" xfId="48711"/>
    <cellStyle name="Comma 8 2 4 9" xfId="48712"/>
    <cellStyle name="Comma 8 2 5" xfId="48713"/>
    <cellStyle name="Comma 8 2 5 2" xfId="48714"/>
    <cellStyle name="Comma 8 2 5 2 2" xfId="48715"/>
    <cellStyle name="Comma 8 2 5 2 2 2" xfId="48716"/>
    <cellStyle name="Comma 8 2 5 2 2 3" xfId="48717"/>
    <cellStyle name="Comma 8 2 5 2 3" xfId="48718"/>
    <cellStyle name="Comma 8 2 5 2 3 2" xfId="48719"/>
    <cellStyle name="Comma 8 2 5 2 3 3" xfId="48720"/>
    <cellStyle name="Comma 8 2 5 2 4" xfId="48721"/>
    <cellStyle name="Comma 8 2 5 2 4 2" xfId="48722"/>
    <cellStyle name="Comma 8 2 5 2 5" xfId="48723"/>
    <cellStyle name="Comma 8 2 5 2 6" xfId="48724"/>
    <cellStyle name="Comma 8 2 5 3" xfId="48725"/>
    <cellStyle name="Comma 8 2 5 3 2" xfId="48726"/>
    <cellStyle name="Comma 8 2 5 3 2 2" xfId="48727"/>
    <cellStyle name="Comma 8 2 5 3 2 3" xfId="48728"/>
    <cellStyle name="Comma 8 2 5 3 3" xfId="48729"/>
    <cellStyle name="Comma 8 2 5 3 3 2" xfId="48730"/>
    <cellStyle name="Comma 8 2 5 3 3 3" xfId="48731"/>
    <cellStyle name="Comma 8 2 5 3 4" xfId="48732"/>
    <cellStyle name="Comma 8 2 5 3 4 2" xfId="48733"/>
    <cellStyle name="Comma 8 2 5 3 5" xfId="48734"/>
    <cellStyle name="Comma 8 2 5 3 6" xfId="48735"/>
    <cellStyle name="Comma 8 2 5 4" xfId="48736"/>
    <cellStyle name="Comma 8 2 5 4 2" xfId="48737"/>
    <cellStyle name="Comma 8 2 5 4 2 2" xfId="48738"/>
    <cellStyle name="Comma 8 2 5 4 2 3" xfId="48739"/>
    <cellStyle name="Comma 8 2 5 4 3" xfId="48740"/>
    <cellStyle name="Comma 8 2 5 4 3 2" xfId="48741"/>
    <cellStyle name="Comma 8 2 5 4 4" xfId="48742"/>
    <cellStyle name="Comma 8 2 5 4 5" xfId="48743"/>
    <cellStyle name="Comma 8 2 5 5" xfId="48744"/>
    <cellStyle name="Comma 8 2 5 5 2" xfId="48745"/>
    <cellStyle name="Comma 8 2 5 5 3" xfId="48746"/>
    <cellStyle name="Comma 8 2 5 6" xfId="48747"/>
    <cellStyle name="Comma 8 2 5 6 2" xfId="48748"/>
    <cellStyle name="Comma 8 2 5 6 3" xfId="48749"/>
    <cellStyle name="Comma 8 2 5 7" xfId="48750"/>
    <cellStyle name="Comma 8 2 5 7 2" xfId="48751"/>
    <cellStyle name="Comma 8 2 5 8" xfId="48752"/>
    <cellStyle name="Comma 8 2 5 9" xfId="48753"/>
    <cellStyle name="Comma 8 2 6" xfId="48754"/>
    <cellStyle name="Comma 8 2 6 2" xfId="48755"/>
    <cellStyle name="Comma 8 2 6 2 2" xfId="48756"/>
    <cellStyle name="Comma 8 2 6 2 2 2" xfId="48757"/>
    <cellStyle name="Comma 8 2 6 2 2 3" xfId="48758"/>
    <cellStyle name="Comma 8 2 6 2 3" xfId="48759"/>
    <cellStyle name="Comma 8 2 6 2 3 2" xfId="48760"/>
    <cellStyle name="Comma 8 2 6 2 3 3" xfId="48761"/>
    <cellStyle name="Comma 8 2 6 2 4" xfId="48762"/>
    <cellStyle name="Comma 8 2 6 2 4 2" xfId="48763"/>
    <cellStyle name="Comma 8 2 6 2 5" xfId="48764"/>
    <cellStyle name="Comma 8 2 6 2 6" xfId="48765"/>
    <cellStyle name="Comma 8 2 6 3" xfId="48766"/>
    <cellStyle name="Comma 8 2 6 3 2" xfId="48767"/>
    <cellStyle name="Comma 8 2 6 3 2 2" xfId="48768"/>
    <cellStyle name="Comma 8 2 6 3 2 3" xfId="48769"/>
    <cellStyle name="Comma 8 2 6 3 3" xfId="48770"/>
    <cellStyle name="Comma 8 2 6 3 3 2" xfId="48771"/>
    <cellStyle name="Comma 8 2 6 3 3 3" xfId="48772"/>
    <cellStyle name="Comma 8 2 6 3 4" xfId="48773"/>
    <cellStyle name="Comma 8 2 6 3 4 2" xfId="48774"/>
    <cellStyle name="Comma 8 2 6 3 5" xfId="48775"/>
    <cellStyle name="Comma 8 2 6 3 6" xfId="48776"/>
    <cellStyle name="Comma 8 2 6 4" xfId="48777"/>
    <cellStyle name="Comma 8 2 6 4 2" xfId="48778"/>
    <cellStyle name="Comma 8 2 6 4 2 2" xfId="48779"/>
    <cellStyle name="Comma 8 2 6 4 2 3" xfId="48780"/>
    <cellStyle name="Comma 8 2 6 4 3" xfId="48781"/>
    <cellStyle name="Comma 8 2 6 4 3 2" xfId="48782"/>
    <cellStyle name="Comma 8 2 6 4 4" xfId="48783"/>
    <cellStyle name="Comma 8 2 6 4 5" xfId="48784"/>
    <cellStyle name="Comma 8 2 6 5" xfId="48785"/>
    <cellStyle name="Comma 8 2 6 5 2" xfId="48786"/>
    <cellStyle name="Comma 8 2 6 5 3" xfId="48787"/>
    <cellStyle name="Comma 8 2 6 6" xfId="48788"/>
    <cellStyle name="Comma 8 2 6 6 2" xfId="48789"/>
    <cellStyle name="Comma 8 2 6 6 3" xfId="48790"/>
    <cellStyle name="Comma 8 2 6 7" xfId="48791"/>
    <cellStyle name="Comma 8 2 6 7 2" xfId="48792"/>
    <cellStyle name="Comma 8 2 6 8" xfId="48793"/>
    <cellStyle name="Comma 8 2 6 9" xfId="48794"/>
    <cellStyle name="Comma 8 2 7" xfId="48795"/>
    <cellStyle name="Comma 8 2 7 2" xfId="48796"/>
    <cellStyle name="Comma 8 2 7 2 2" xfId="48797"/>
    <cellStyle name="Comma 8 2 7 2 3" xfId="48798"/>
    <cellStyle name="Comma 8 2 7 3" xfId="48799"/>
    <cellStyle name="Comma 8 2 7 3 2" xfId="48800"/>
    <cellStyle name="Comma 8 2 7 3 3" xfId="48801"/>
    <cellStyle name="Comma 8 2 7 4" xfId="48802"/>
    <cellStyle name="Comma 8 2 7 4 2" xfId="48803"/>
    <cellStyle name="Comma 8 2 7 5" xfId="48804"/>
    <cellStyle name="Comma 8 2 7 6" xfId="48805"/>
    <cellStyle name="Comma 8 2 8" xfId="48806"/>
    <cellStyle name="Comma 8 2 8 2" xfId="48807"/>
    <cellStyle name="Comma 8 2 8 2 2" xfId="48808"/>
    <cellStyle name="Comma 8 2 8 2 3" xfId="48809"/>
    <cellStyle name="Comma 8 2 8 3" xfId="48810"/>
    <cellStyle name="Comma 8 2 8 3 2" xfId="48811"/>
    <cellStyle name="Comma 8 2 8 3 3" xfId="48812"/>
    <cellStyle name="Comma 8 2 8 4" xfId="48813"/>
    <cellStyle name="Comma 8 2 8 4 2" xfId="48814"/>
    <cellStyle name="Comma 8 2 8 5" xfId="48815"/>
    <cellStyle name="Comma 8 2 8 6" xfId="48816"/>
    <cellStyle name="Comma 8 2 9" xfId="48817"/>
    <cellStyle name="Comma 8 2 9 2" xfId="48818"/>
    <cellStyle name="Comma 8 2 9 2 2" xfId="48819"/>
    <cellStyle name="Comma 8 2 9 2 3" xfId="48820"/>
    <cellStyle name="Comma 8 2 9 3" xfId="48821"/>
    <cellStyle name="Comma 8 2 9 3 2" xfId="48822"/>
    <cellStyle name="Comma 8 2 9 4" xfId="48823"/>
    <cellStyle name="Comma 8 2 9 5" xfId="48824"/>
    <cellStyle name="Comma 8 3" xfId="3743"/>
    <cellStyle name="Comma 8 3 10" xfId="48825"/>
    <cellStyle name="Comma 8 3 10 2" xfId="48826"/>
    <cellStyle name="Comma 8 3 10 3" xfId="48827"/>
    <cellStyle name="Comma 8 3 11" xfId="48828"/>
    <cellStyle name="Comma 8 3 11 2" xfId="48829"/>
    <cellStyle name="Comma 8 3 12" xfId="48830"/>
    <cellStyle name="Comma 8 3 13" xfId="48831"/>
    <cellStyle name="Comma 8 3 14" xfId="48832"/>
    <cellStyle name="Comma 8 3 2" xfId="9148"/>
    <cellStyle name="Comma 8 3 2 10" xfId="48833"/>
    <cellStyle name="Comma 8 3 2 10 2" xfId="48834"/>
    <cellStyle name="Comma 8 3 2 11" xfId="48835"/>
    <cellStyle name="Comma 8 3 2 12" xfId="48836"/>
    <cellStyle name="Comma 8 3 2 13" xfId="48837"/>
    <cellStyle name="Comma 8 3 2 2" xfId="48838"/>
    <cellStyle name="Comma 8 3 2 2 10" xfId="48839"/>
    <cellStyle name="Comma 8 3 2 2 2" xfId="48840"/>
    <cellStyle name="Comma 8 3 2 2 2 2" xfId="48841"/>
    <cellStyle name="Comma 8 3 2 2 2 2 2" xfId="48842"/>
    <cellStyle name="Comma 8 3 2 2 2 2 2 2" xfId="48843"/>
    <cellStyle name="Comma 8 3 2 2 2 2 2 3" xfId="48844"/>
    <cellStyle name="Comma 8 3 2 2 2 2 3" xfId="48845"/>
    <cellStyle name="Comma 8 3 2 2 2 2 3 2" xfId="48846"/>
    <cellStyle name="Comma 8 3 2 2 2 2 3 3" xfId="48847"/>
    <cellStyle name="Comma 8 3 2 2 2 2 4" xfId="48848"/>
    <cellStyle name="Comma 8 3 2 2 2 2 4 2" xfId="48849"/>
    <cellStyle name="Comma 8 3 2 2 2 2 5" xfId="48850"/>
    <cellStyle name="Comma 8 3 2 2 2 2 6" xfId="48851"/>
    <cellStyle name="Comma 8 3 2 2 2 3" xfId="48852"/>
    <cellStyle name="Comma 8 3 2 2 2 3 2" xfId="48853"/>
    <cellStyle name="Comma 8 3 2 2 2 3 2 2" xfId="48854"/>
    <cellStyle name="Comma 8 3 2 2 2 3 2 3" xfId="48855"/>
    <cellStyle name="Comma 8 3 2 2 2 3 3" xfId="48856"/>
    <cellStyle name="Comma 8 3 2 2 2 3 3 2" xfId="48857"/>
    <cellStyle name="Comma 8 3 2 2 2 3 3 3" xfId="48858"/>
    <cellStyle name="Comma 8 3 2 2 2 3 4" xfId="48859"/>
    <cellStyle name="Comma 8 3 2 2 2 3 4 2" xfId="48860"/>
    <cellStyle name="Comma 8 3 2 2 2 3 5" xfId="48861"/>
    <cellStyle name="Comma 8 3 2 2 2 3 6" xfId="48862"/>
    <cellStyle name="Comma 8 3 2 2 2 4" xfId="48863"/>
    <cellStyle name="Comma 8 3 2 2 2 4 2" xfId="48864"/>
    <cellStyle name="Comma 8 3 2 2 2 4 2 2" xfId="48865"/>
    <cellStyle name="Comma 8 3 2 2 2 4 2 3" xfId="48866"/>
    <cellStyle name="Comma 8 3 2 2 2 4 3" xfId="48867"/>
    <cellStyle name="Comma 8 3 2 2 2 4 3 2" xfId="48868"/>
    <cellStyle name="Comma 8 3 2 2 2 4 4" xfId="48869"/>
    <cellStyle name="Comma 8 3 2 2 2 4 5" xfId="48870"/>
    <cellStyle name="Comma 8 3 2 2 2 5" xfId="48871"/>
    <cellStyle name="Comma 8 3 2 2 2 5 2" xfId="48872"/>
    <cellStyle name="Comma 8 3 2 2 2 5 3" xfId="48873"/>
    <cellStyle name="Comma 8 3 2 2 2 6" xfId="48874"/>
    <cellStyle name="Comma 8 3 2 2 2 6 2" xfId="48875"/>
    <cellStyle name="Comma 8 3 2 2 2 6 3" xfId="48876"/>
    <cellStyle name="Comma 8 3 2 2 2 7" xfId="48877"/>
    <cellStyle name="Comma 8 3 2 2 2 7 2" xfId="48878"/>
    <cellStyle name="Comma 8 3 2 2 2 8" xfId="48879"/>
    <cellStyle name="Comma 8 3 2 2 2 9" xfId="48880"/>
    <cellStyle name="Comma 8 3 2 2 3" xfId="48881"/>
    <cellStyle name="Comma 8 3 2 2 3 2" xfId="48882"/>
    <cellStyle name="Comma 8 3 2 2 3 2 2" xfId="48883"/>
    <cellStyle name="Comma 8 3 2 2 3 2 3" xfId="48884"/>
    <cellStyle name="Comma 8 3 2 2 3 3" xfId="48885"/>
    <cellStyle name="Comma 8 3 2 2 3 3 2" xfId="48886"/>
    <cellStyle name="Comma 8 3 2 2 3 3 3" xfId="48887"/>
    <cellStyle name="Comma 8 3 2 2 3 4" xfId="48888"/>
    <cellStyle name="Comma 8 3 2 2 3 4 2" xfId="48889"/>
    <cellStyle name="Comma 8 3 2 2 3 5" xfId="48890"/>
    <cellStyle name="Comma 8 3 2 2 3 6" xfId="48891"/>
    <cellStyle name="Comma 8 3 2 2 4" xfId="48892"/>
    <cellStyle name="Comma 8 3 2 2 4 2" xfId="48893"/>
    <cellStyle name="Comma 8 3 2 2 4 2 2" xfId="48894"/>
    <cellStyle name="Comma 8 3 2 2 4 2 3" xfId="48895"/>
    <cellStyle name="Comma 8 3 2 2 4 3" xfId="48896"/>
    <cellStyle name="Comma 8 3 2 2 4 3 2" xfId="48897"/>
    <cellStyle name="Comma 8 3 2 2 4 3 3" xfId="48898"/>
    <cellStyle name="Comma 8 3 2 2 4 4" xfId="48899"/>
    <cellStyle name="Comma 8 3 2 2 4 4 2" xfId="48900"/>
    <cellStyle name="Comma 8 3 2 2 4 5" xfId="48901"/>
    <cellStyle name="Comma 8 3 2 2 4 6" xfId="48902"/>
    <cellStyle name="Comma 8 3 2 2 5" xfId="48903"/>
    <cellStyle name="Comma 8 3 2 2 5 2" xfId="48904"/>
    <cellStyle name="Comma 8 3 2 2 5 2 2" xfId="48905"/>
    <cellStyle name="Comma 8 3 2 2 5 2 3" xfId="48906"/>
    <cellStyle name="Comma 8 3 2 2 5 3" xfId="48907"/>
    <cellStyle name="Comma 8 3 2 2 5 3 2" xfId="48908"/>
    <cellStyle name="Comma 8 3 2 2 5 4" xfId="48909"/>
    <cellStyle name="Comma 8 3 2 2 5 5" xfId="48910"/>
    <cellStyle name="Comma 8 3 2 2 6" xfId="48911"/>
    <cellStyle name="Comma 8 3 2 2 6 2" xfId="48912"/>
    <cellStyle name="Comma 8 3 2 2 6 3" xfId="48913"/>
    <cellStyle name="Comma 8 3 2 2 7" xfId="48914"/>
    <cellStyle name="Comma 8 3 2 2 7 2" xfId="48915"/>
    <cellStyle name="Comma 8 3 2 2 7 3" xfId="48916"/>
    <cellStyle name="Comma 8 3 2 2 8" xfId="48917"/>
    <cellStyle name="Comma 8 3 2 2 8 2" xfId="48918"/>
    <cellStyle name="Comma 8 3 2 2 9" xfId="48919"/>
    <cellStyle name="Comma 8 3 2 3" xfId="48920"/>
    <cellStyle name="Comma 8 3 2 3 2" xfId="48921"/>
    <cellStyle name="Comma 8 3 2 3 2 2" xfId="48922"/>
    <cellStyle name="Comma 8 3 2 3 2 2 2" xfId="48923"/>
    <cellStyle name="Comma 8 3 2 3 2 2 3" xfId="48924"/>
    <cellStyle name="Comma 8 3 2 3 2 3" xfId="48925"/>
    <cellStyle name="Comma 8 3 2 3 2 3 2" xfId="48926"/>
    <cellStyle name="Comma 8 3 2 3 2 3 3" xfId="48927"/>
    <cellStyle name="Comma 8 3 2 3 2 4" xfId="48928"/>
    <cellStyle name="Comma 8 3 2 3 2 4 2" xfId="48929"/>
    <cellStyle name="Comma 8 3 2 3 2 5" xfId="48930"/>
    <cellStyle name="Comma 8 3 2 3 2 6" xfId="48931"/>
    <cellStyle name="Comma 8 3 2 3 3" xfId="48932"/>
    <cellStyle name="Comma 8 3 2 3 3 2" xfId="48933"/>
    <cellStyle name="Comma 8 3 2 3 3 2 2" xfId="48934"/>
    <cellStyle name="Comma 8 3 2 3 3 2 3" xfId="48935"/>
    <cellStyle name="Comma 8 3 2 3 3 3" xfId="48936"/>
    <cellStyle name="Comma 8 3 2 3 3 3 2" xfId="48937"/>
    <cellStyle name="Comma 8 3 2 3 3 3 3" xfId="48938"/>
    <cellStyle name="Comma 8 3 2 3 3 4" xfId="48939"/>
    <cellStyle name="Comma 8 3 2 3 3 4 2" xfId="48940"/>
    <cellStyle name="Comma 8 3 2 3 3 5" xfId="48941"/>
    <cellStyle name="Comma 8 3 2 3 3 6" xfId="48942"/>
    <cellStyle name="Comma 8 3 2 3 4" xfId="48943"/>
    <cellStyle name="Comma 8 3 2 3 4 2" xfId="48944"/>
    <cellStyle name="Comma 8 3 2 3 4 2 2" xfId="48945"/>
    <cellStyle name="Comma 8 3 2 3 4 2 3" xfId="48946"/>
    <cellStyle name="Comma 8 3 2 3 4 3" xfId="48947"/>
    <cellStyle name="Comma 8 3 2 3 4 3 2" xfId="48948"/>
    <cellStyle name="Comma 8 3 2 3 4 4" xfId="48949"/>
    <cellStyle name="Comma 8 3 2 3 4 5" xfId="48950"/>
    <cellStyle name="Comma 8 3 2 3 5" xfId="48951"/>
    <cellStyle name="Comma 8 3 2 3 5 2" xfId="48952"/>
    <cellStyle name="Comma 8 3 2 3 5 3" xfId="48953"/>
    <cellStyle name="Comma 8 3 2 3 6" xfId="48954"/>
    <cellStyle name="Comma 8 3 2 3 6 2" xfId="48955"/>
    <cellStyle name="Comma 8 3 2 3 6 3" xfId="48956"/>
    <cellStyle name="Comma 8 3 2 3 7" xfId="48957"/>
    <cellStyle name="Comma 8 3 2 3 7 2" xfId="48958"/>
    <cellStyle name="Comma 8 3 2 3 8" xfId="48959"/>
    <cellStyle name="Comma 8 3 2 3 9" xfId="48960"/>
    <cellStyle name="Comma 8 3 2 4" xfId="48961"/>
    <cellStyle name="Comma 8 3 2 4 2" xfId="48962"/>
    <cellStyle name="Comma 8 3 2 4 2 2" xfId="48963"/>
    <cellStyle name="Comma 8 3 2 4 2 2 2" xfId="48964"/>
    <cellStyle name="Comma 8 3 2 4 2 2 3" xfId="48965"/>
    <cellStyle name="Comma 8 3 2 4 2 3" xfId="48966"/>
    <cellStyle name="Comma 8 3 2 4 2 3 2" xfId="48967"/>
    <cellStyle name="Comma 8 3 2 4 2 3 3" xfId="48968"/>
    <cellStyle name="Comma 8 3 2 4 2 4" xfId="48969"/>
    <cellStyle name="Comma 8 3 2 4 2 4 2" xfId="48970"/>
    <cellStyle name="Comma 8 3 2 4 2 5" xfId="48971"/>
    <cellStyle name="Comma 8 3 2 4 2 6" xfId="48972"/>
    <cellStyle name="Comma 8 3 2 4 3" xfId="48973"/>
    <cellStyle name="Comma 8 3 2 4 3 2" xfId="48974"/>
    <cellStyle name="Comma 8 3 2 4 3 2 2" xfId="48975"/>
    <cellStyle name="Comma 8 3 2 4 3 2 3" xfId="48976"/>
    <cellStyle name="Comma 8 3 2 4 3 3" xfId="48977"/>
    <cellStyle name="Comma 8 3 2 4 3 3 2" xfId="48978"/>
    <cellStyle name="Comma 8 3 2 4 3 3 3" xfId="48979"/>
    <cellStyle name="Comma 8 3 2 4 3 4" xfId="48980"/>
    <cellStyle name="Comma 8 3 2 4 3 4 2" xfId="48981"/>
    <cellStyle name="Comma 8 3 2 4 3 5" xfId="48982"/>
    <cellStyle name="Comma 8 3 2 4 3 6" xfId="48983"/>
    <cellStyle name="Comma 8 3 2 4 4" xfId="48984"/>
    <cellStyle name="Comma 8 3 2 4 4 2" xfId="48985"/>
    <cellStyle name="Comma 8 3 2 4 4 2 2" xfId="48986"/>
    <cellStyle name="Comma 8 3 2 4 4 2 3" xfId="48987"/>
    <cellStyle name="Comma 8 3 2 4 4 3" xfId="48988"/>
    <cellStyle name="Comma 8 3 2 4 4 3 2" xfId="48989"/>
    <cellStyle name="Comma 8 3 2 4 4 4" xfId="48990"/>
    <cellStyle name="Comma 8 3 2 4 4 5" xfId="48991"/>
    <cellStyle name="Comma 8 3 2 4 5" xfId="48992"/>
    <cellStyle name="Comma 8 3 2 4 5 2" xfId="48993"/>
    <cellStyle name="Comma 8 3 2 4 5 3" xfId="48994"/>
    <cellStyle name="Comma 8 3 2 4 6" xfId="48995"/>
    <cellStyle name="Comma 8 3 2 4 6 2" xfId="48996"/>
    <cellStyle name="Comma 8 3 2 4 6 3" xfId="48997"/>
    <cellStyle name="Comma 8 3 2 4 7" xfId="48998"/>
    <cellStyle name="Comma 8 3 2 4 7 2" xfId="48999"/>
    <cellStyle name="Comma 8 3 2 4 8" xfId="49000"/>
    <cellStyle name="Comma 8 3 2 4 9" xfId="49001"/>
    <cellStyle name="Comma 8 3 2 5" xfId="49002"/>
    <cellStyle name="Comma 8 3 2 5 2" xfId="49003"/>
    <cellStyle name="Comma 8 3 2 5 2 2" xfId="49004"/>
    <cellStyle name="Comma 8 3 2 5 2 3" xfId="49005"/>
    <cellStyle name="Comma 8 3 2 5 3" xfId="49006"/>
    <cellStyle name="Comma 8 3 2 5 3 2" xfId="49007"/>
    <cellStyle name="Comma 8 3 2 5 3 3" xfId="49008"/>
    <cellStyle name="Comma 8 3 2 5 4" xfId="49009"/>
    <cellStyle name="Comma 8 3 2 5 4 2" xfId="49010"/>
    <cellStyle name="Comma 8 3 2 5 5" xfId="49011"/>
    <cellStyle name="Comma 8 3 2 5 6" xfId="49012"/>
    <cellStyle name="Comma 8 3 2 6" xfId="49013"/>
    <cellStyle name="Comma 8 3 2 6 2" xfId="49014"/>
    <cellStyle name="Comma 8 3 2 6 2 2" xfId="49015"/>
    <cellStyle name="Comma 8 3 2 6 2 3" xfId="49016"/>
    <cellStyle name="Comma 8 3 2 6 3" xfId="49017"/>
    <cellStyle name="Comma 8 3 2 6 3 2" xfId="49018"/>
    <cellStyle name="Comma 8 3 2 6 3 3" xfId="49019"/>
    <cellStyle name="Comma 8 3 2 6 4" xfId="49020"/>
    <cellStyle name="Comma 8 3 2 6 4 2" xfId="49021"/>
    <cellStyle name="Comma 8 3 2 6 5" xfId="49022"/>
    <cellStyle name="Comma 8 3 2 6 6" xfId="49023"/>
    <cellStyle name="Comma 8 3 2 7" xfId="49024"/>
    <cellStyle name="Comma 8 3 2 7 2" xfId="49025"/>
    <cellStyle name="Comma 8 3 2 7 2 2" xfId="49026"/>
    <cellStyle name="Comma 8 3 2 7 2 3" xfId="49027"/>
    <cellStyle name="Comma 8 3 2 7 3" xfId="49028"/>
    <cellStyle name="Comma 8 3 2 7 3 2" xfId="49029"/>
    <cellStyle name="Comma 8 3 2 7 4" xfId="49030"/>
    <cellStyle name="Comma 8 3 2 7 5" xfId="49031"/>
    <cellStyle name="Comma 8 3 2 8" xfId="49032"/>
    <cellStyle name="Comma 8 3 2 8 2" xfId="49033"/>
    <cellStyle name="Comma 8 3 2 8 3" xfId="49034"/>
    <cellStyle name="Comma 8 3 2 9" xfId="49035"/>
    <cellStyle name="Comma 8 3 2 9 2" xfId="49036"/>
    <cellStyle name="Comma 8 3 2 9 3" xfId="49037"/>
    <cellStyle name="Comma 8 3 3" xfId="9149"/>
    <cellStyle name="Comma 8 3 3 10" xfId="49038"/>
    <cellStyle name="Comma 8 3 3 2" xfId="49039"/>
    <cellStyle name="Comma 8 3 3 2 2" xfId="49040"/>
    <cellStyle name="Comma 8 3 3 2 2 2" xfId="49041"/>
    <cellStyle name="Comma 8 3 3 2 2 2 2" xfId="49042"/>
    <cellStyle name="Comma 8 3 3 2 2 2 3" xfId="49043"/>
    <cellStyle name="Comma 8 3 3 2 2 3" xfId="49044"/>
    <cellStyle name="Comma 8 3 3 2 2 3 2" xfId="49045"/>
    <cellStyle name="Comma 8 3 3 2 2 3 3" xfId="49046"/>
    <cellStyle name="Comma 8 3 3 2 2 4" xfId="49047"/>
    <cellStyle name="Comma 8 3 3 2 2 4 2" xfId="49048"/>
    <cellStyle name="Comma 8 3 3 2 2 5" xfId="49049"/>
    <cellStyle name="Comma 8 3 3 2 2 6" xfId="49050"/>
    <cellStyle name="Comma 8 3 3 2 3" xfId="49051"/>
    <cellStyle name="Comma 8 3 3 2 3 2" xfId="49052"/>
    <cellStyle name="Comma 8 3 3 2 3 2 2" xfId="49053"/>
    <cellStyle name="Comma 8 3 3 2 3 2 3" xfId="49054"/>
    <cellStyle name="Comma 8 3 3 2 3 3" xfId="49055"/>
    <cellStyle name="Comma 8 3 3 2 3 3 2" xfId="49056"/>
    <cellStyle name="Comma 8 3 3 2 3 3 3" xfId="49057"/>
    <cellStyle name="Comma 8 3 3 2 3 4" xfId="49058"/>
    <cellStyle name="Comma 8 3 3 2 3 4 2" xfId="49059"/>
    <cellStyle name="Comma 8 3 3 2 3 5" xfId="49060"/>
    <cellStyle name="Comma 8 3 3 2 3 6" xfId="49061"/>
    <cellStyle name="Comma 8 3 3 2 4" xfId="49062"/>
    <cellStyle name="Comma 8 3 3 2 4 2" xfId="49063"/>
    <cellStyle name="Comma 8 3 3 2 4 2 2" xfId="49064"/>
    <cellStyle name="Comma 8 3 3 2 4 2 3" xfId="49065"/>
    <cellStyle name="Comma 8 3 3 2 4 3" xfId="49066"/>
    <cellStyle name="Comma 8 3 3 2 4 3 2" xfId="49067"/>
    <cellStyle name="Comma 8 3 3 2 4 4" xfId="49068"/>
    <cellStyle name="Comma 8 3 3 2 4 5" xfId="49069"/>
    <cellStyle name="Comma 8 3 3 2 5" xfId="49070"/>
    <cellStyle name="Comma 8 3 3 2 5 2" xfId="49071"/>
    <cellStyle name="Comma 8 3 3 2 5 3" xfId="49072"/>
    <cellStyle name="Comma 8 3 3 2 6" xfId="49073"/>
    <cellStyle name="Comma 8 3 3 2 6 2" xfId="49074"/>
    <cellStyle name="Comma 8 3 3 2 6 3" xfId="49075"/>
    <cellStyle name="Comma 8 3 3 2 7" xfId="49076"/>
    <cellStyle name="Comma 8 3 3 2 7 2" xfId="49077"/>
    <cellStyle name="Comma 8 3 3 2 8" xfId="49078"/>
    <cellStyle name="Comma 8 3 3 2 9" xfId="49079"/>
    <cellStyle name="Comma 8 3 3 3" xfId="49080"/>
    <cellStyle name="Comma 8 3 3 3 2" xfId="49081"/>
    <cellStyle name="Comma 8 3 3 3 2 2" xfId="49082"/>
    <cellStyle name="Comma 8 3 3 3 2 3" xfId="49083"/>
    <cellStyle name="Comma 8 3 3 3 3" xfId="49084"/>
    <cellStyle name="Comma 8 3 3 3 3 2" xfId="49085"/>
    <cellStyle name="Comma 8 3 3 3 3 3" xfId="49086"/>
    <cellStyle name="Comma 8 3 3 3 4" xfId="49087"/>
    <cellStyle name="Comma 8 3 3 3 4 2" xfId="49088"/>
    <cellStyle name="Comma 8 3 3 3 5" xfId="49089"/>
    <cellStyle name="Comma 8 3 3 3 6" xfId="49090"/>
    <cellStyle name="Comma 8 3 3 4" xfId="49091"/>
    <cellStyle name="Comma 8 3 3 4 2" xfId="49092"/>
    <cellStyle name="Comma 8 3 3 4 2 2" xfId="49093"/>
    <cellStyle name="Comma 8 3 3 4 2 3" xfId="49094"/>
    <cellStyle name="Comma 8 3 3 4 3" xfId="49095"/>
    <cellStyle name="Comma 8 3 3 4 3 2" xfId="49096"/>
    <cellStyle name="Comma 8 3 3 4 3 3" xfId="49097"/>
    <cellStyle name="Comma 8 3 3 4 4" xfId="49098"/>
    <cellStyle name="Comma 8 3 3 4 4 2" xfId="49099"/>
    <cellStyle name="Comma 8 3 3 4 5" xfId="49100"/>
    <cellStyle name="Comma 8 3 3 4 6" xfId="49101"/>
    <cellStyle name="Comma 8 3 3 5" xfId="49102"/>
    <cellStyle name="Comma 8 3 3 5 2" xfId="49103"/>
    <cellStyle name="Comma 8 3 3 5 2 2" xfId="49104"/>
    <cellStyle name="Comma 8 3 3 5 2 3" xfId="49105"/>
    <cellStyle name="Comma 8 3 3 5 3" xfId="49106"/>
    <cellStyle name="Comma 8 3 3 5 3 2" xfId="49107"/>
    <cellStyle name="Comma 8 3 3 5 4" xfId="49108"/>
    <cellStyle name="Comma 8 3 3 5 5" xfId="49109"/>
    <cellStyle name="Comma 8 3 3 6" xfId="49110"/>
    <cellStyle name="Comma 8 3 3 6 2" xfId="49111"/>
    <cellStyle name="Comma 8 3 3 6 3" xfId="49112"/>
    <cellStyle name="Comma 8 3 3 7" xfId="49113"/>
    <cellStyle name="Comma 8 3 3 7 2" xfId="49114"/>
    <cellStyle name="Comma 8 3 3 7 3" xfId="49115"/>
    <cellStyle name="Comma 8 3 3 8" xfId="49116"/>
    <cellStyle name="Comma 8 3 3 8 2" xfId="49117"/>
    <cellStyle name="Comma 8 3 3 9" xfId="49118"/>
    <cellStyle name="Comma 8 3 4" xfId="49119"/>
    <cellStyle name="Comma 8 3 4 2" xfId="49120"/>
    <cellStyle name="Comma 8 3 4 2 2" xfId="49121"/>
    <cellStyle name="Comma 8 3 4 2 2 2" xfId="49122"/>
    <cellStyle name="Comma 8 3 4 2 2 3" xfId="49123"/>
    <cellStyle name="Comma 8 3 4 2 3" xfId="49124"/>
    <cellStyle name="Comma 8 3 4 2 3 2" xfId="49125"/>
    <cellStyle name="Comma 8 3 4 2 3 3" xfId="49126"/>
    <cellStyle name="Comma 8 3 4 2 4" xfId="49127"/>
    <cellStyle name="Comma 8 3 4 2 4 2" xfId="49128"/>
    <cellStyle name="Comma 8 3 4 2 5" xfId="49129"/>
    <cellStyle name="Comma 8 3 4 2 6" xfId="49130"/>
    <cellStyle name="Comma 8 3 4 3" xfId="49131"/>
    <cellStyle name="Comma 8 3 4 3 2" xfId="49132"/>
    <cellStyle name="Comma 8 3 4 3 2 2" xfId="49133"/>
    <cellStyle name="Comma 8 3 4 3 2 3" xfId="49134"/>
    <cellStyle name="Comma 8 3 4 3 3" xfId="49135"/>
    <cellStyle name="Comma 8 3 4 3 3 2" xfId="49136"/>
    <cellStyle name="Comma 8 3 4 3 3 3" xfId="49137"/>
    <cellStyle name="Comma 8 3 4 3 4" xfId="49138"/>
    <cellStyle name="Comma 8 3 4 3 4 2" xfId="49139"/>
    <cellStyle name="Comma 8 3 4 3 5" xfId="49140"/>
    <cellStyle name="Comma 8 3 4 3 6" xfId="49141"/>
    <cellStyle name="Comma 8 3 4 4" xfId="49142"/>
    <cellStyle name="Comma 8 3 4 4 2" xfId="49143"/>
    <cellStyle name="Comma 8 3 4 4 2 2" xfId="49144"/>
    <cellStyle name="Comma 8 3 4 4 2 3" xfId="49145"/>
    <cellStyle name="Comma 8 3 4 4 3" xfId="49146"/>
    <cellStyle name="Comma 8 3 4 4 3 2" xfId="49147"/>
    <cellStyle name="Comma 8 3 4 4 4" xfId="49148"/>
    <cellStyle name="Comma 8 3 4 4 5" xfId="49149"/>
    <cellStyle name="Comma 8 3 4 5" xfId="49150"/>
    <cellStyle name="Comma 8 3 4 5 2" xfId="49151"/>
    <cellStyle name="Comma 8 3 4 5 3" xfId="49152"/>
    <cellStyle name="Comma 8 3 4 6" xfId="49153"/>
    <cellStyle name="Comma 8 3 4 6 2" xfId="49154"/>
    <cellStyle name="Comma 8 3 4 6 3" xfId="49155"/>
    <cellStyle name="Comma 8 3 4 7" xfId="49156"/>
    <cellStyle name="Comma 8 3 4 7 2" xfId="49157"/>
    <cellStyle name="Comma 8 3 4 8" xfId="49158"/>
    <cellStyle name="Comma 8 3 4 9" xfId="49159"/>
    <cellStyle name="Comma 8 3 5" xfId="49160"/>
    <cellStyle name="Comma 8 3 5 2" xfId="49161"/>
    <cellStyle name="Comma 8 3 5 2 2" xfId="49162"/>
    <cellStyle name="Comma 8 3 5 2 2 2" xfId="49163"/>
    <cellStyle name="Comma 8 3 5 2 2 3" xfId="49164"/>
    <cellStyle name="Comma 8 3 5 2 3" xfId="49165"/>
    <cellStyle name="Comma 8 3 5 2 3 2" xfId="49166"/>
    <cellStyle name="Comma 8 3 5 2 3 3" xfId="49167"/>
    <cellStyle name="Comma 8 3 5 2 4" xfId="49168"/>
    <cellStyle name="Comma 8 3 5 2 4 2" xfId="49169"/>
    <cellStyle name="Comma 8 3 5 2 5" xfId="49170"/>
    <cellStyle name="Comma 8 3 5 2 6" xfId="49171"/>
    <cellStyle name="Comma 8 3 5 3" xfId="49172"/>
    <cellStyle name="Comma 8 3 5 3 2" xfId="49173"/>
    <cellStyle name="Comma 8 3 5 3 2 2" xfId="49174"/>
    <cellStyle name="Comma 8 3 5 3 2 3" xfId="49175"/>
    <cellStyle name="Comma 8 3 5 3 3" xfId="49176"/>
    <cellStyle name="Comma 8 3 5 3 3 2" xfId="49177"/>
    <cellStyle name="Comma 8 3 5 3 3 3" xfId="49178"/>
    <cellStyle name="Comma 8 3 5 3 4" xfId="49179"/>
    <cellStyle name="Comma 8 3 5 3 4 2" xfId="49180"/>
    <cellStyle name="Comma 8 3 5 3 5" xfId="49181"/>
    <cellStyle name="Comma 8 3 5 3 6" xfId="49182"/>
    <cellStyle name="Comma 8 3 5 4" xfId="49183"/>
    <cellStyle name="Comma 8 3 5 4 2" xfId="49184"/>
    <cellStyle name="Comma 8 3 5 4 2 2" xfId="49185"/>
    <cellStyle name="Comma 8 3 5 4 2 3" xfId="49186"/>
    <cellStyle name="Comma 8 3 5 4 3" xfId="49187"/>
    <cellStyle name="Comma 8 3 5 4 3 2" xfId="49188"/>
    <cellStyle name="Comma 8 3 5 4 4" xfId="49189"/>
    <cellStyle name="Comma 8 3 5 4 5" xfId="49190"/>
    <cellStyle name="Comma 8 3 5 5" xfId="49191"/>
    <cellStyle name="Comma 8 3 5 5 2" xfId="49192"/>
    <cellStyle name="Comma 8 3 5 5 3" xfId="49193"/>
    <cellStyle name="Comma 8 3 5 6" xfId="49194"/>
    <cellStyle name="Comma 8 3 5 6 2" xfId="49195"/>
    <cellStyle name="Comma 8 3 5 6 3" xfId="49196"/>
    <cellStyle name="Comma 8 3 5 7" xfId="49197"/>
    <cellStyle name="Comma 8 3 5 7 2" xfId="49198"/>
    <cellStyle name="Comma 8 3 5 8" xfId="49199"/>
    <cellStyle name="Comma 8 3 5 9" xfId="49200"/>
    <cellStyle name="Comma 8 3 6" xfId="49201"/>
    <cellStyle name="Comma 8 3 6 2" xfId="49202"/>
    <cellStyle name="Comma 8 3 6 2 2" xfId="49203"/>
    <cellStyle name="Comma 8 3 6 2 3" xfId="49204"/>
    <cellStyle name="Comma 8 3 6 3" xfId="49205"/>
    <cellStyle name="Comma 8 3 6 3 2" xfId="49206"/>
    <cellStyle name="Comma 8 3 6 3 3" xfId="49207"/>
    <cellStyle name="Comma 8 3 6 4" xfId="49208"/>
    <cellStyle name="Comma 8 3 6 4 2" xfId="49209"/>
    <cellStyle name="Comma 8 3 6 5" xfId="49210"/>
    <cellStyle name="Comma 8 3 6 6" xfId="49211"/>
    <cellStyle name="Comma 8 3 7" xfId="49212"/>
    <cellStyle name="Comma 8 3 7 2" xfId="49213"/>
    <cellStyle name="Comma 8 3 7 2 2" xfId="49214"/>
    <cellStyle name="Comma 8 3 7 2 3" xfId="49215"/>
    <cellStyle name="Comma 8 3 7 3" xfId="49216"/>
    <cellStyle name="Comma 8 3 7 3 2" xfId="49217"/>
    <cellStyle name="Comma 8 3 7 3 3" xfId="49218"/>
    <cellStyle name="Comma 8 3 7 4" xfId="49219"/>
    <cellStyle name="Comma 8 3 7 4 2" xfId="49220"/>
    <cellStyle name="Comma 8 3 7 5" xfId="49221"/>
    <cellStyle name="Comma 8 3 7 6" xfId="49222"/>
    <cellStyle name="Comma 8 3 8" xfId="49223"/>
    <cellStyle name="Comma 8 3 8 2" xfId="49224"/>
    <cellStyle name="Comma 8 3 8 2 2" xfId="49225"/>
    <cellStyle name="Comma 8 3 8 2 3" xfId="49226"/>
    <cellStyle name="Comma 8 3 8 3" xfId="49227"/>
    <cellStyle name="Comma 8 3 8 3 2" xfId="49228"/>
    <cellStyle name="Comma 8 3 8 4" xfId="49229"/>
    <cellStyle name="Comma 8 3 8 5" xfId="49230"/>
    <cellStyle name="Comma 8 3 9" xfId="49231"/>
    <cellStyle name="Comma 8 3 9 2" xfId="49232"/>
    <cellStyle name="Comma 8 3 9 3" xfId="49233"/>
    <cellStyle name="Comma 8 4" xfId="3744"/>
    <cellStyle name="Comma 8 4 10" xfId="49234"/>
    <cellStyle name="Comma 8 4 10 2" xfId="49235"/>
    <cellStyle name="Comma 8 4 11" xfId="49236"/>
    <cellStyle name="Comma 8 4 12" xfId="49237"/>
    <cellStyle name="Comma 8 4 13" xfId="49238"/>
    <cellStyle name="Comma 8 4 2" xfId="9150"/>
    <cellStyle name="Comma 8 4 2 10" xfId="49239"/>
    <cellStyle name="Comma 8 4 2 2" xfId="49240"/>
    <cellStyle name="Comma 8 4 2 2 2" xfId="49241"/>
    <cellStyle name="Comma 8 4 2 2 2 2" xfId="49242"/>
    <cellStyle name="Comma 8 4 2 2 2 2 2" xfId="49243"/>
    <cellStyle name="Comma 8 4 2 2 2 2 3" xfId="49244"/>
    <cellStyle name="Comma 8 4 2 2 2 3" xfId="49245"/>
    <cellStyle name="Comma 8 4 2 2 2 3 2" xfId="49246"/>
    <cellStyle name="Comma 8 4 2 2 2 3 3" xfId="49247"/>
    <cellStyle name="Comma 8 4 2 2 2 4" xfId="49248"/>
    <cellStyle name="Comma 8 4 2 2 2 4 2" xfId="49249"/>
    <cellStyle name="Comma 8 4 2 2 2 5" xfId="49250"/>
    <cellStyle name="Comma 8 4 2 2 2 6" xfId="49251"/>
    <cellStyle name="Comma 8 4 2 2 3" xfId="49252"/>
    <cellStyle name="Comma 8 4 2 2 3 2" xfId="49253"/>
    <cellStyle name="Comma 8 4 2 2 3 2 2" xfId="49254"/>
    <cellStyle name="Comma 8 4 2 2 3 2 3" xfId="49255"/>
    <cellStyle name="Comma 8 4 2 2 3 3" xfId="49256"/>
    <cellStyle name="Comma 8 4 2 2 3 3 2" xfId="49257"/>
    <cellStyle name="Comma 8 4 2 2 3 3 3" xfId="49258"/>
    <cellStyle name="Comma 8 4 2 2 3 4" xfId="49259"/>
    <cellStyle name="Comma 8 4 2 2 3 4 2" xfId="49260"/>
    <cellStyle name="Comma 8 4 2 2 3 5" xfId="49261"/>
    <cellStyle name="Comma 8 4 2 2 3 6" xfId="49262"/>
    <cellStyle name="Comma 8 4 2 2 4" xfId="49263"/>
    <cellStyle name="Comma 8 4 2 2 4 2" xfId="49264"/>
    <cellStyle name="Comma 8 4 2 2 4 2 2" xfId="49265"/>
    <cellStyle name="Comma 8 4 2 2 4 2 3" xfId="49266"/>
    <cellStyle name="Comma 8 4 2 2 4 3" xfId="49267"/>
    <cellStyle name="Comma 8 4 2 2 4 3 2" xfId="49268"/>
    <cellStyle name="Comma 8 4 2 2 4 4" xfId="49269"/>
    <cellStyle name="Comma 8 4 2 2 4 5" xfId="49270"/>
    <cellStyle name="Comma 8 4 2 2 5" xfId="49271"/>
    <cellStyle name="Comma 8 4 2 2 5 2" xfId="49272"/>
    <cellStyle name="Comma 8 4 2 2 5 3" xfId="49273"/>
    <cellStyle name="Comma 8 4 2 2 6" xfId="49274"/>
    <cellStyle name="Comma 8 4 2 2 6 2" xfId="49275"/>
    <cellStyle name="Comma 8 4 2 2 6 3" xfId="49276"/>
    <cellStyle name="Comma 8 4 2 2 7" xfId="49277"/>
    <cellStyle name="Comma 8 4 2 2 7 2" xfId="49278"/>
    <cellStyle name="Comma 8 4 2 2 8" xfId="49279"/>
    <cellStyle name="Comma 8 4 2 2 9" xfId="49280"/>
    <cellStyle name="Comma 8 4 2 3" xfId="49281"/>
    <cellStyle name="Comma 8 4 2 3 2" xfId="49282"/>
    <cellStyle name="Comma 8 4 2 3 2 2" xfId="49283"/>
    <cellStyle name="Comma 8 4 2 3 2 3" xfId="49284"/>
    <cellStyle name="Comma 8 4 2 3 3" xfId="49285"/>
    <cellStyle name="Comma 8 4 2 3 3 2" xfId="49286"/>
    <cellStyle name="Comma 8 4 2 3 3 3" xfId="49287"/>
    <cellStyle name="Comma 8 4 2 3 4" xfId="49288"/>
    <cellStyle name="Comma 8 4 2 3 4 2" xfId="49289"/>
    <cellStyle name="Comma 8 4 2 3 5" xfId="49290"/>
    <cellStyle name="Comma 8 4 2 3 6" xfId="49291"/>
    <cellStyle name="Comma 8 4 2 4" xfId="49292"/>
    <cellStyle name="Comma 8 4 2 4 2" xfId="49293"/>
    <cellStyle name="Comma 8 4 2 4 2 2" xfId="49294"/>
    <cellStyle name="Comma 8 4 2 4 2 3" xfId="49295"/>
    <cellStyle name="Comma 8 4 2 4 3" xfId="49296"/>
    <cellStyle name="Comma 8 4 2 4 3 2" xfId="49297"/>
    <cellStyle name="Comma 8 4 2 4 3 3" xfId="49298"/>
    <cellStyle name="Comma 8 4 2 4 4" xfId="49299"/>
    <cellStyle name="Comma 8 4 2 4 4 2" xfId="49300"/>
    <cellStyle name="Comma 8 4 2 4 5" xfId="49301"/>
    <cellStyle name="Comma 8 4 2 4 6" xfId="49302"/>
    <cellStyle name="Comma 8 4 2 5" xfId="49303"/>
    <cellStyle name="Comma 8 4 2 5 2" xfId="49304"/>
    <cellStyle name="Comma 8 4 2 5 2 2" xfId="49305"/>
    <cellStyle name="Comma 8 4 2 5 2 3" xfId="49306"/>
    <cellStyle name="Comma 8 4 2 5 3" xfId="49307"/>
    <cellStyle name="Comma 8 4 2 5 3 2" xfId="49308"/>
    <cellStyle name="Comma 8 4 2 5 4" xfId="49309"/>
    <cellStyle name="Comma 8 4 2 5 5" xfId="49310"/>
    <cellStyle name="Comma 8 4 2 6" xfId="49311"/>
    <cellStyle name="Comma 8 4 2 6 2" xfId="49312"/>
    <cellStyle name="Comma 8 4 2 6 3" xfId="49313"/>
    <cellStyle name="Comma 8 4 2 7" xfId="49314"/>
    <cellStyle name="Comma 8 4 2 7 2" xfId="49315"/>
    <cellStyle name="Comma 8 4 2 7 3" xfId="49316"/>
    <cellStyle name="Comma 8 4 2 8" xfId="49317"/>
    <cellStyle name="Comma 8 4 2 8 2" xfId="49318"/>
    <cellStyle name="Comma 8 4 2 9" xfId="49319"/>
    <cellStyle name="Comma 8 4 3" xfId="49320"/>
    <cellStyle name="Comma 8 4 3 2" xfId="49321"/>
    <cellStyle name="Comma 8 4 3 2 2" xfId="49322"/>
    <cellStyle name="Comma 8 4 3 2 2 2" xfId="49323"/>
    <cellStyle name="Comma 8 4 3 2 2 3" xfId="49324"/>
    <cellStyle name="Comma 8 4 3 2 3" xfId="49325"/>
    <cellStyle name="Comma 8 4 3 2 3 2" xfId="49326"/>
    <cellStyle name="Comma 8 4 3 2 3 3" xfId="49327"/>
    <cellStyle name="Comma 8 4 3 2 4" xfId="49328"/>
    <cellStyle name="Comma 8 4 3 2 4 2" xfId="49329"/>
    <cellStyle name="Comma 8 4 3 2 5" xfId="49330"/>
    <cellStyle name="Comma 8 4 3 2 6" xfId="49331"/>
    <cellStyle name="Comma 8 4 3 3" xfId="49332"/>
    <cellStyle name="Comma 8 4 3 3 2" xfId="49333"/>
    <cellStyle name="Comma 8 4 3 3 2 2" xfId="49334"/>
    <cellStyle name="Comma 8 4 3 3 2 3" xfId="49335"/>
    <cellStyle name="Comma 8 4 3 3 3" xfId="49336"/>
    <cellStyle name="Comma 8 4 3 3 3 2" xfId="49337"/>
    <cellStyle name="Comma 8 4 3 3 3 3" xfId="49338"/>
    <cellStyle name="Comma 8 4 3 3 4" xfId="49339"/>
    <cellStyle name="Comma 8 4 3 3 4 2" xfId="49340"/>
    <cellStyle name="Comma 8 4 3 3 5" xfId="49341"/>
    <cellStyle name="Comma 8 4 3 3 6" xfId="49342"/>
    <cellStyle name="Comma 8 4 3 4" xfId="49343"/>
    <cellStyle name="Comma 8 4 3 4 2" xfId="49344"/>
    <cellStyle name="Comma 8 4 3 4 2 2" xfId="49345"/>
    <cellStyle name="Comma 8 4 3 4 2 3" xfId="49346"/>
    <cellStyle name="Comma 8 4 3 4 3" xfId="49347"/>
    <cellStyle name="Comma 8 4 3 4 3 2" xfId="49348"/>
    <cellStyle name="Comma 8 4 3 4 4" xfId="49349"/>
    <cellStyle name="Comma 8 4 3 4 5" xfId="49350"/>
    <cellStyle name="Comma 8 4 3 5" xfId="49351"/>
    <cellStyle name="Comma 8 4 3 5 2" xfId="49352"/>
    <cellStyle name="Comma 8 4 3 5 3" xfId="49353"/>
    <cellStyle name="Comma 8 4 3 6" xfId="49354"/>
    <cellStyle name="Comma 8 4 3 6 2" xfId="49355"/>
    <cellStyle name="Comma 8 4 3 6 3" xfId="49356"/>
    <cellStyle name="Comma 8 4 3 7" xfId="49357"/>
    <cellStyle name="Comma 8 4 3 7 2" xfId="49358"/>
    <cellStyle name="Comma 8 4 3 8" xfId="49359"/>
    <cellStyle name="Comma 8 4 3 9" xfId="49360"/>
    <cellStyle name="Comma 8 4 4" xfId="49361"/>
    <cellStyle name="Comma 8 4 4 2" xfId="49362"/>
    <cellStyle name="Comma 8 4 4 2 2" xfId="49363"/>
    <cellStyle name="Comma 8 4 4 2 2 2" xfId="49364"/>
    <cellStyle name="Comma 8 4 4 2 2 3" xfId="49365"/>
    <cellStyle name="Comma 8 4 4 2 3" xfId="49366"/>
    <cellStyle name="Comma 8 4 4 2 3 2" xfId="49367"/>
    <cellStyle name="Comma 8 4 4 2 3 3" xfId="49368"/>
    <cellStyle name="Comma 8 4 4 2 4" xfId="49369"/>
    <cellStyle name="Comma 8 4 4 2 4 2" xfId="49370"/>
    <cellStyle name="Comma 8 4 4 2 5" xfId="49371"/>
    <cellStyle name="Comma 8 4 4 2 6" xfId="49372"/>
    <cellStyle name="Comma 8 4 4 3" xfId="49373"/>
    <cellStyle name="Comma 8 4 4 3 2" xfId="49374"/>
    <cellStyle name="Comma 8 4 4 3 2 2" xfId="49375"/>
    <cellStyle name="Comma 8 4 4 3 2 3" xfId="49376"/>
    <cellStyle name="Comma 8 4 4 3 3" xfId="49377"/>
    <cellStyle name="Comma 8 4 4 3 3 2" xfId="49378"/>
    <cellStyle name="Comma 8 4 4 3 3 3" xfId="49379"/>
    <cellStyle name="Comma 8 4 4 3 4" xfId="49380"/>
    <cellStyle name="Comma 8 4 4 3 4 2" xfId="49381"/>
    <cellStyle name="Comma 8 4 4 3 5" xfId="49382"/>
    <cellStyle name="Comma 8 4 4 3 6" xfId="49383"/>
    <cellStyle name="Comma 8 4 4 4" xfId="49384"/>
    <cellStyle name="Comma 8 4 4 4 2" xfId="49385"/>
    <cellStyle name="Comma 8 4 4 4 2 2" xfId="49386"/>
    <cellStyle name="Comma 8 4 4 4 2 3" xfId="49387"/>
    <cellStyle name="Comma 8 4 4 4 3" xfId="49388"/>
    <cellStyle name="Comma 8 4 4 4 3 2" xfId="49389"/>
    <cellStyle name="Comma 8 4 4 4 4" xfId="49390"/>
    <cellStyle name="Comma 8 4 4 4 5" xfId="49391"/>
    <cellStyle name="Comma 8 4 4 5" xfId="49392"/>
    <cellStyle name="Comma 8 4 4 5 2" xfId="49393"/>
    <cellStyle name="Comma 8 4 4 5 3" xfId="49394"/>
    <cellStyle name="Comma 8 4 4 6" xfId="49395"/>
    <cellStyle name="Comma 8 4 4 6 2" xfId="49396"/>
    <cellStyle name="Comma 8 4 4 6 3" xfId="49397"/>
    <cellStyle name="Comma 8 4 4 7" xfId="49398"/>
    <cellStyle name="Comma 8 4 4 7 2" xfId="49399"/>
    <cellStyle name="Comma 8 4 4 8" xfId="49400"/>
    <cellStyle name="Comma 8 4 4 9" xfId="49401"/>
    <cellStyle name="Comma 8 4 5" xfId="49402"/>
    <cellStyle name="Comma 8 4 5 2" xfId="49403"/>
    <cellStyle name="Comma 8 4 5 2 2" xfId="49404"/>
    <cellStyle name="Comma 8 4 5 2 3" xfId="49405"/>
    <cellStyle name="Comma 8 4 5 3" xfId="49406"/>
    <cellStyle name="Comma 8 4 5 3 2" xfId="49407"/>
    <cellStyle name="Comma 8 4 5 3 3" xfId="49408"/>
    <cellStyle name="Comma 8 4 5 4" xfId="49409"/>
    <cellStyle name="Comma 8 4 5 4 2" xfId="49410"/>
    <cellStyle name="Comma 8 4 5 5" xfId="49411"/>
    <cellStyle name="Comma 8 4 5 6" xfId="49412"/>
    <cellStyle name="Comma 8 4 6" xfId="49413"/>
    <cellStyle name="Comma 8 4 6 2" xfId="49414"/>
    <cellStyle name="Comma 8 4 6 2 2" xfId="49415"/>
    <cellStyle name="Comma 8 4 6 2 3" xfId="49416"/>
    <cellStyle name="Comma 8 4 6 3" xfId="49417"/>
    <cellStyle name="Comma 8 4 6 3 2" xfId="49418"/>
    <cellStyle name="Comma 8 4 6 3 3" xfId="49419"/>
    <cellStyle name="Comma 8 4 6 4" xfId="49420"/>
    <cellStyle name="Comma 8 4 6 4 2" xfId="49421"/>
    <cellStyle name="Comma 8 4 6 5" xfId="49422"/>
    <cellStyle name="Comma 8 4 6 6" xfId="49423"/>
    <cellStyle name="Comma 8 4 7" xfId="49424"/>
    <cellStyle name="Comma 8 4 7 2" xfId="49425"/>
    <cellStyle name="Comma 8 4 7 2 2" xfId="49426"/>
    <cellStyle name="Comma 8 4 7 2 3" xfId="49427"/>
    <cellStyle name="Comma 8 4 7 3" xfId="49428"/>
    <cellStyle name="Comma 8 4 7 3 2" xfId="49429"/>
    <cellStyle name="Comma 8 4 7 4" xfId="49430"/>
    <cellStyle name="Comma 8 4 7 5" xfId="49431"/>
    <cellStyle name="Comma 8 4 8" xfId="49432"/>
    <cellStyle name="Comma 8 4 8 2" xfId="49433"/>
    <cellStyle name="Comma 8 4 8 3" xfId="49434"/>
    <cellStyle name="Comma 8 4 9" xfId="49435"/>
    <cellStyle name="Comma 8 4 9 2" xfId="49436"/>
    <cellStyle name="Comma 8 4 9 3" xfId="49437"/>
    <cellStyle name="Comma 8 5" xfId="3745"/>
    <cellStyle name="Comma 8 5 10" xfId="49438"/>
    <cellStyle name="Comma 8 5 2" xfId="49439"/>
    <cellStyle name="Comma 8 5 2 2" xfId="49440"/>
    <cellStyle name="Comma 8 5 2 2 2" xfId="49441"/>
    <cellStyle name="Comma 8 5 2 2 2 2" xfId="49442"/>
    <cellStyle name="Comma 8 5 2 2 2 3" xfId="49443"/>
    <cellStyle name="Comma 8 5 2 2 3" xfId="49444"/>
    <cellStyle name="Comma 8 5 2 2 3 2" xfId="49445"/>
    <cellStyle name="Comma 8 5 2 2 3 3" xfId="49446"/>
    <cellStyle name="Comma 8 5 2 2 4" xfId="49447"/>
    <cellStyle name="Comma 8 5 2 2 4 2" xfId="49448"/>
    <cellStyle name="Comma 8 5 2 2 5" xfId="49449"/>
    <cellStyle name="Comma 8 5 2 2 6" xfId="49450"/>
    <cellStyle name="Comma 8 5 2 3" xfId="49451"/>
    <cellStyle name="Comma 8 5 2 3 2" xfId="49452"/>
    <cellStyle name="Comma 8 5 2 3 2 2" xfId="49453"/>
    <cellStyle name="Comma 8 5 2 3 2 3" xfId="49454"/>
    <cellStyle name="Comma 8 5 2 3 3" xfId="49455"/>
    <cellStyle name="Comma 8 5 2 3 3 2" xfId="49456"/>
    <cellStyle name="Comma 8 5 2 3 3 3" xfId="49457"/>
    <cellStyle name="Comma 8 5 2 3 4" xfId="49458"/>
    <cellStyle name="Comma 8 5 2 3 4 2" xfId="49459"/>
    <cellStyle name="Comma 8 5 2 3 5" xfId="49460"/>
    <cellStyle name="Comma 8 5 2 3 6" xfId="49461"/>
    <cellStyle name="Comma 8 5 2 4" xfId="49462"/>
    <cellStyle name="Comma 8 5 2 4 2" xfId="49463"/>
    <cellStyle name="Comma 8 5 2 4 2 2" xfId="49464"/>
    <cellStyle name="Comma 8 5 2 4 2 3" xfId="49465"/>
    <cellStyle name="Comma 8 5 2 4 3" xfId="49466"/>
    <cellStyle name="Comma 8 5 2 4 3 2" xfId="49467"/>
    <cellStyle name="Comma 8 5 2 4 4" xfId="49468"/>
    <cellStyle name="Comma 8 5 2 4 5" xfId="49469"/>
    <cellStyle name="Comma 8 5 2 5" xfId="49470"/>
    <cellStyle name="Comma 8 5 2 5 2" xfId="49471"/>
    <cellStyle name="Comma 8 5 2 5 3" xfId="49472"/>
    <cellStyle name="Comma 8 5 2 6" xfId="49473"/>
    <cellStyle name="Comma 8 5 2 6 2" xfId="49474"/>
    <cellStyle name="Comma 8 5 2 6 3" xfId="49475"/>
    <cellStyle name="Comma 8 5 2 7" xfId="49476"/>
    <cellStyle name="Comma 8 5 2 7 2" xfId="49477"/>
    <cellStyle name="Comma 8 5 2 8" xfId="49478"/>
    <cellStyle name="Comma 8 5 2 9" xfId="49479"/>
    <cellStyle name="Comma 8 5 3" xfId="49480"/>
    <cellStyle name="Comma 8 5 3 2" xfId="49481"/>
    <cellStyle name="Comma 8 5 3 2 2" xfId="49482"/>
    <cellStyle name="Comma 8 5 3 2 3" xfId="49483"/>
    <cellStyle name="Comma 8 5 3 3" xfId="49484"/>
    <cellStyle name="Comma 8 5 3 3 2" xfId="49485"/>
    <cellStyle name="Comma 8 5 3 3 3" xfId="49486"/>
    <cellStyle name="Comma 8 5 3 4" xfId="49487"/>
    <cellStyle name="Comma 8 5 3 4 2" xfId="49488"/>
    <cellStyle name="Comma 8 5 3 5" xfId="49489"/>
    <cellStyle name="Comma 8 5 3 6" xfId="49490"/>
    <cellStyle name="Comma 8 5 4" xfId="49491"/>
    <cellStyle name="Comma 8 5 4 2" xfId="49492"/>
    <cellStyle name="Comma 8 5 4 2 2" xfId="49493"/>
    <cellStyle name="Comma 8 5 4 2 3" xfId="49494"/>
    <cellStyle name="Comma 8 5 4 3" xfId="49495"/>
    <cellStyle name="Comma 8 5 4 3 2" xfId="49496"/>
    <cellStyle name="Comma 8 5 4 3 3" xfId="49497"/>
    <cellStyle name="Comma 8 5 4 4" xfId="49498"/>
    <cellStyle name="Comma 8 5 4 4 2" xfId="49499"/>
    <cellStyle name="Comma 8 5 4 5" xfId="49500"/>
    <cellStyle name="Comma 8 5 4 6" xfId="49501"/>
    <cellStyle name="Comma 8 5 5" xfId="49502"/>
    <cellStyle name="Comma 8 5 5 2" xfId="49503"/>
    <cellStyle name="Comma 8 5 5 2 2" xfId="49504"/>
    <cellStyle name="Comma 8 5 5 2 3" xfId="49505"/>
    <cellStyle name="Comma 8 5 5 3" xfId="49506"/>
    <cellStyle name="Comma 8 5 5 3 2" xfId="49507"/>
    <cellStyle name="Comma 8 5 5 4" xfId="49508"/>
    <cellStyle name="Comma 8 5 5 5" xfId="49509"/>
    <cellStyle name="Comma 8 5 6" xfId="49510"/>
    <cellStyle name="Comma 8 5 6 2" xfId="49511"/>
    <cellStyle name="Comma 8 5 6 3" xfId="49512"/>
    <cellStyle name="Comma 8 5 7" xfId="49513"/>
    <cellStyle name="Comma 8 5 7 2" xfId="49514"/>
    <cellStyle name="Comma 8 5 7 3" xfId="49515"/>
    <cellStyle name="Comma 8 5 8" xfId="49516"/>
    <cellStyle name="Comma 8 5 8 2" xfId="49517"/>
    <cellStyle name="Comma 8 5 9" xfId="49518"/>
    <cellStyle name="Comma 8 6" xfId="9151"/>
    <cellStyle name="Comma 8 6 2" xfId="49519"/>
    <cellStyle name="Comma 8 6 2 2" xfId="49520"/>
    <cellStyle name="Comma 8 6 2 2 2" xfId="49521"/>
    <cellStyle name="Comma 8 6 2 2 3" xfId="49522"/>
    <cellStyle name="Comma 8 6 2 3" xfId="49523"/>
    <cellStyle name="Comma 8 6 2 3 2" xfId="49524"/>
    <cellStyle name="Comma 8 6 2 3 3" xfId="49525"/>
    <cellStyle name="Comma 8 6 2 4" xfId="49526"/>
    <cellStyle name="Comma 8 6 2 4 2" xfId="49527"/>
    <cellStyle name="Comma 8 6 2 5" xfId="49528"/>
    <cellStyle name="Comma 8 6 2 6" xfId="49529"/>
    <cellStyle name="Comma 8 6 3" xfId="49530"/>
    <cellStyle name="Comma 8 6 3 2" xfId="49531"/>
    <cellStyle name="Comma 8 6 3 2 2" xfId="49532"/>
    <cellStyle name="Comma 8 6 3 2 3" xfId="49533"/>
    <cellStyle name="Comma 8 6 3 3" xfId="49534"/>
    <cellStyle name="Comma 8 6 3 3 2" xfId="49535"/>
    <cellStyle name="Comma 8 6 3 3 3" xfId="49536"/>
    <cellStyle name="Comma 8 6 3 4" xfId="49537"/>
    <cellStyle name="Comma 8 6 3 4 2" xfId="49538"/>
    <cellStyle name="Comma 8 6 3 5" xfId="49539"/>
    <cellStyle name="Comma 8 6 3 6" xfId="49540"/>
    <cellStyle name="Comma 8 6 4" xfId="49541"/>
    <cellStyle name="Comma 8 6 4 2" xfId="49542"/>
    <cellStyle name="Comma 8 6 4 2 2" xfId="49543"/>
    <cellStyle name="Comma 8 6 4 2 3" xfId="49544"/>
    <cellStyle name="Comma 8 6 4 3" xfId="49545"/>
    <cellStyle name="Comma 8 6 4 3 2" xfId="49546"/>
    <cellStyle name="Comma 8 6 4 4" xfId="49547"/>
    <cellStyle name="Comma 8 6 4 5" xfId="49548"/>
    <cellStyle name="Comma 8 6 5" xfId="49549"/>
    <cellStyle name="Comma 8 6 5 2" xfId="49550"/>
    <cellStyle name="Comma 8 6 5 3" xfId="49551"/>
    <cellStyle name="Comma 8 6 6" xfId="49552"/>
    <cellStyle name="Comma 8 6 6 2" xfId="49553"/>
    <cellStyle name="Comma 8 6 6 3" xfId="49554"/>
    <cellStyle name="Comma 8 6 7" xfId="49555"/>
    <cellStyle name="Comma 8 6 7 2" xfId="49556"/>
    <cellStyle name="Comma 8 6 8" xfId="49557"/>
    <cellStyle name="Comma 8 6 9" xfId="49558"/>
    <cellStyle name="Comma 8 7" xfId="49559"/>
    <cellStyle name="Comma 8 7 2" xfId="49560"/>
    <cellStyle name="Comma 8 7 2 2" xfId="49561"/>
    <cellStyle name="Comma 8 7 2 2 2" xfId="49562"/>
    <cellStyle name="Comma 8 7 2 2 3" xfId="49563"/>
    <cellStyle name="Comma 8 7 2 3" xfId="49564"/>
    <cellStyle name="Comma 8 7 2 3 2" xfId="49565"/>
    <cellStyle name="Comma 8 7 2 3 3" xfId="49566"/>
    <cellStyle name="Comma 8 7 2 4" xfId="49567"/>
    <cellStyle name="Comma 8 7 2 4 2" xfId="49568"/>
    <cellStyle name="Comma 8 7 2 5" xfId="49569"/>
    <cellStyle name="Comma 8 7 2 6" xfId="49570"/>
    <cellStyle name="Comma 8 7 3" xfId="49571"/>
    <cellStyle name="Comma 8 7 3 2" xfId="49572"/>
    <cellStyle name="Comma 8 7 3 2 2" xfId="49573"/>
    <cellStyle name="Comma 8 7 3 2 3" xfId="49574"/>
    <cellStyle name="Comma 8 7 3 3" xfId="49575"/>
    <cellStyle name="Comma 8 7 3 3 2" xfId="49576"/>
    <cellStyle name="Comma 8 7 3 3 3" xfId="49577"/>
    <cellStyle name="Comma 8 7 3 4" xfId="49578"/>
    <cellStyle name="Comma 8 7 3 4 2" xfId="49579"/>
    <cellStyle name="Comma 8 7 3 5" xfId="49580"/>
    <cellStyle name="Comma 8 7 3 6" xfId="49581"/>
    <cellStyle name="Comma 8 7 4" xfId="49582"/>
    <cellStyle name="Comma 8 7 4 2" xfId="49583"/>
    <cellStyle name="Comma 8 7 4 2 2" xfId="49584"/>
    <cellStyle name="Comma 8 7 4 2 3" xfId="49585"/>
    <cellStyle name="Comma 8 7 4 3" xfId="49586"/>
    <cellStyle name="Comma 8 7 4 3 2" xfId="49587"/>
    <cellStyle name="Comma 8 7 4 4" xfId="49588"/>
    <cellStyle name="Comma 8 7 4 5" xfId="49589"/>
    <cellStyle name="Comma 8 7 5" xfId="49590"/>
    <cellStyle name="Comma 8 7 5 2" xfId="49591"/>
    <cellStyle name="Comma 8 7 5 3" xfId="49592"/>
    <cellStyle name="Comma 8 7 6" xfId="49593"/>
    <cellStyle name="Comma 8 7 6 2" xfId="49594"/>
    <cellStyle name="Comma 8 7 6 3" xfId="49595"/>
    <cellStyle name="Comma 8 7 7" xfId="49596"/>
    <cellStyle name="Comma 8 7 7 2" xfId="49597"/>
    <cellStyle name="Comma 8 7 8" xfId="49598"/>
    <cellStyle name="Comma 8 7 9" xfId="49599"/>
    <cellStyle name="Comma 8 8" xfId="49600"/>
    <cellStyle name="Comma 8 8 2" xfId="49601"/>
    <cellStyle name="Comma 8 8 2 2" xfId="49602"/>
    <cellStyle name="Comma 8 8 2 3" xfId="49603"/>
    <cellStyle name="Comma 8 8 3" xfId="49604"/>
    <cellStyle name="Comma 8 8 3 2" xfId="49605"/>
    <cellStyle name="Comma 8 8 3 3" xfId="49606"/>
    <cellStyle name="Comma 8 8 4" xfId="49607"/>
    <cellStyle name="Comma 8 8 4 2" xfId="49608"/>
    <cellStyle name="Comma 8 8 5" xfId="49609"/>
    <cellStyle name="Comma 8 8 6" xfId="49610"/>
    <cellStyle name="Comma 8 9" xfId="49611"/>
    <cellStyle name="Comma 8 9 2" xfId="49612"/>
    <cellStyle name="Comma 8 9 2 2" xfId="49613"/>
    <cellStyle name="Comma 8 9 2 3" xfId="49614"/>
    <cellStyle name="Comma 8 9 3" xfId="49615"/>
    <cellStyle name="Comma 8 9 3 2" xfId="49616"/>
    <cellStyle name="Comma 8 9 3 3" xfId="49617"/>
    <cellStyle name="Comma 8 9 4" xfId="49618"/>
    <cellStyle name="Comma 8 9 4 2" xfId="49619"/>
    <cellStyle name="Comma 8 9 5" xfId="49620"/>
    <cellStyle name="Comma 8 9 6" xfId="49621"/>
    <cellStyle name="Comma 80" xfId="3746"/>
    <cellStyle name="Comma 81" xfId="3747"/>
    <cellStyle name="Comma 82" xfId="3748"/>
    <cellStyle name="Comma 83" xfId="3749"/>
    <cellStyle name="Comma 84" xfId="3750"/>
    <cellStyle name="Comma 85" xfId="3751"/>
    <cellStyle name="Comma 86" xfId="8668"/>
    <cellStyle name="Comma 87" xfId="8722"/>
    <cellStyle name="Comma 88" xfId="8723"/>
    <cellStyle name="Comma 89" xfId="8724"/>
    <cellStyle name="Comma 9" xfId="3752"/>
    <cellStyle name="Comma 9 10" xfId="9152"/>
    <cellStyle name="Comma 9 10 2" xfId="49622"/>
    <cellStyle name="Comma 9 10 2 2" xfId="49623"/>
    <cellStyle name="Comma 9 10 2 3" xfId="49624"/>
    <cellStyle name="Comma 9 10 3" xfId="49625"/>
    <cellStyle name="Comma 9 10 3 2" xfId="49626"/>
    <cellStyle name="Comma 9 10 4" xfId="49627"/>
    <cellStyle name="Comma 9 10 5" xfId="49628"/>
    <cellStyle name="Comma 9 11" xfId="49629"/>
    <cellStyle name="Comma 9 11 2" xfId="49630"/>
    <cellStyle name="Comma 9 11 3" xfId="49631"/>
    <cellStyle name="Comma 9 12" xfId="49632"/>
    <cellStyle name="Comma 9 12 2" xfId="49633"/>
    <cellStyle name="Comma 9 12 3" xfId="49634"/>
    <cellStyle name="Comma 9 13" xfId="49635"/>
    <cellStyle name="Comma 9 13 2" xfId="49636"/>
    <cellStyle name="Comma 9 14" xfId="49637"/>
    <cellStyle name="Comma 9 15" xfId="49638"/>
    <cellStyle name="Comma 9 16" xfId="49639"/>
    <cellStyle name="Comma 9 2" xfId="3753"/>
    <cellStyle name="Comma 9 2 10" xfId="49640"/>
    <cellStyle name="Comma 9 2 10 2" xfId="49641"/>
    <cellStyle name="Comma 9 2 10 3" xfId="49642"/>
    <cellStyle name="Comma 9 2 11" xfId="49643"/>
    <cellStyle name="Comma 9 2 11 2" xfId="49644"/>
    <cellStyle name="Comma 9 2 11 3" xfId="49645"/>
    <cellStyle name="Comma 9 2 12" xfId="49646"/>
    <cellStyle name="Comma 9 2 12 2" xfId="49647"/>
    <cellStyle name="Comma 9 2 13" xfId="49648"/>
    <cellStyle name="Comma 9 2 14" xfId="49649"/>
    <cellStyle name="Comma 9 2 15" xfId="49650"/>
    <cellStyle name="Comma 9 2 2" xfId="3754"/>
    <cellStyle name="Comma 9 2 2 10" xfId="49651"/>
    <cellStyle name="Comma 9 2 2 10 2" xfId="49652"/>
    <cellStyle name="Comma 9 2 2 10 3" xfId="49653"/>
    <cellStyle name="Comma 9 2 2 11" xfId="49654"/>
    <cellStyle name="Comma 9 2 2 11 2" xfId="49655"/>
    <cellStyle name="Comma 9 2 2 12" xfId="49656"/>
    <cellStyle name="Comma 9 2 2 13" xfId="49657"/>
    <cellStyle name="Comma 9 2 2 14" xfId="49658"/>
    <cellStyle name="Comma 9 2 2 2" xfId="3755"/>
    <cellStyle name="Comma 9 2 2 2 10" xfId="49659"/>
    <cellStyle name="Comma 9 2 2 2 10 2" xfId="49660"/>
    <cellStyle name="Comma 9 2 2 2 11" xfId="49661"/>
    <cellStyle name="Comma 9 2 2 2 12" xfId="49662"/>
    <cellStyle name="Comma 9 2 2 2 2" xfId="3756"/>
    <cellStyle name="Comma 9 2 2 2 2 10" xfId="49663"/>
    <cellStyle name="Comma 9 2 2 2 2 2" xfId="3757"/>
    <cellStyle name="Comma 9 2 2 2 2 2 2" xfId="3758"/>
    <cellStyle name="Comma 9 2 2 2 2 2 2 2" xfId="49664"/>
    <cellStyle name="Comma 9 2 2 2 2 2 2 2 2" xfId="49665"/>
    <cellStyle name="Comma 9 2 2 2 2 2 2 2 3" xfId="49666"/>
    <cellStyle name="Comma 9 2 2 2 2 2 2 3" xfId="49667"/>
    <cellStyle name="Comma 9 2 2 2 2 2 2 3 2" xfId="49668"/>
    <cellStyle name="Comma 9 2 2 2 2 2 2 3 3" xfId="49669"/>
    <cellStyle name="Comma 9 2 2 2 2 2 2 4" xfId="49670"/>
    <cellStyle name="Comma 9 2 2 2 2 2 2 4 2" xfId="49671"/>
    <cellStyle name="Comma 9 2 2 2 2 2 2 5" xfId="49672"/>
    <cellStyle name="Comma 9 2 2 2 2 2 2 6" xfId="49673"/>
    <cellStyle name="Comma 9 2 2 2 2 2 3" xfId="49674"/>
    <cellStyle name="Comma 9 2 2 2 2 2 3 2" xfId="49675"/>
    <cellStyle name="Comma 9 2 2 2 2 2 3 2 2" xfId="49676"/>
    <cellStyle name="Comma 9 2 2 2 2 2 3 2 3" xfId="49677"/>
    <cellStyle name="Comma 9 2 2 2 2 2 3 3" xfId="49678"/>
    <cellStyle name="Comma 9 2 2 2 2 2 3 3 2" xfId="49679"/>
    <cellStyle name="Comma 9 2 2 2 2 2 3 3 3" xfId="49680"/>
    <cellStyle name="Comma 9 2 2 2 2 2 3 4" xfId="49681"/>
    <cellStyle name="Comma 9 2 2 2 2 2 3 4 2" xfId="49682"/>
    <cellStyle name="Comma 9 2 2 2 2 2 3 5" xfId="49683"/>
    <cellStyle name="Comma 9 2 2 2 2 2 3 6" xfId="49684"/>
    <cellStyle name="Comma 9 2 2 2 2 2 4" xfId="49685"/>
    <cellStyle name="Comma 9 2 2 2 2 2 4 2" xfId="49686"/>
    <cellStyle name="Comma 9 2 2 2 2 2 4 2 2" xfId="49687"/>
    <cellStyle name="Comma 9 2 2 2 2 2 4 2 3" xfId="49688"/>
    <cellStyle name="Comma 9 2 2 2 2 2 4 3" xfId="49689"/>
    <cellStyle name="Comma 9 2 2 2 2 2 4 3 2" xfId="49690"/>
    <cellStyle name="Comma 9 2 2 2 2 2 4 4" xfId="49691"/>
    <cellStyle name="Comma 9 2 2 2 2 2 4 5" xfId="49692"/>
    <cellStyle name="Comma 9 2 2 2 2 2 5" xfId="49693"/>
    <cellStyle name="Comma 9 2 2 2 2 2 5 2" xfId="49694"/>
    <cellStyle name="Comma 9 2 2 2 2 2 5 3" xfId="49695"/>
    <cellStyle name="Comma 9 2 2 2 2 2 6" xfId="49696"/>
    <cellStyle name="Comma 9 2 2 2 2 2 6 2" xfId="49697"/>
    <cellStyle name="Comma 9 2 2 2 2 2 6 3" xfId="49698"/>
    <cellStyle name="Comma 9 2 2 2 2 2 7" xfId="49699"/>
    <cellStyle name="Comma 9 2 2 2 2 2 7 2" xfId="49700"/>
    <cellStyle name="Comma 9 2 2 2 2 2 8" xfId="49701"/>
    <cellStyle name="Comma 9 2 2 2 2 2 9" xfId="49702"/>
    <cellStyle name="Comma 9 2 2 2 2 3" xfId="3759"/>
    <cellStyle name="Comma 9 2 2 2 2 3 2" xfId="49703"/>
    <cellStyle name="Comma 9 2 2 2 2 3 2 2" xfId="49704"/>
    <cellStyle name="Comma 9 2 2 2 2 3 2 3" xfId="49705"/>
    <cellStyle name="Comma 9 2 2 2 2 3 3" xfId="49706"/>
    <cellStyle name="Comma 9 2 2 2 2 3 3 2" xfId="49707"/>
    <cellStyle name="Comma 9 2 2 2 2 3 3 3" xfId="49708"/>
    <cellStyle name="Comma 9 2 2 2 2 3 4" xfId="49709"/>
    <cellStyle name="Comma 9 2 2 2 2 3 4 2" xfId="49710"/>
    <cellStyle name="Comma 9 2 2 2 2 3 5" xfId="49711"/>
    <cellStyle name="Comma 9 2 2 2 2 3 6" xfId="49712"/>
    <cellStyle name="Comma 9 2 2 2 2 4" xfId="49713"/>
    <cellStyle name="Comma 9 2 2 2 2 4 2" xfId="49714"/>
    <cellStyle name="Comma 9 2 2 2 2 4 2 2" xfId="49715"/>
    <cellStyle name="Comma 9 2 2 2 2 4 2 3" xfId="49716"/>
    <cellStyle name="Comma 9 2 2 2 2 4 3" xfId="49717"/>
    <cellStyle name="Comma 9 2 2 2 2 4 3 2" xfId="49718"/>
    <cellStyle name="Comma 9 2 2 2 2 4 3 3" xfId="49719"/>
    <cellStyle name="Comma 9 2 2 2 2 4 4" xfId="49720"/>
    <cellStyle name="Comma 9 2 2 2 2 4 4 2" xfId="49721"/>
    <cellStyle name="Comma 9 2 2 2 2 4 5" xfId="49722"/>
    <cellStyle name="Comma 9 2 2 2 2 4 6" xfId="49723"/>
    <cellStyle name="Comma 9 2 2 2 2 5" xfId="49724"/>
    <cellStyle name="Comma 9 2 2 2 2 5 2" xfId="49725"/>
    <cellStyle name="Comma 9 2 2 2 2 5 2 2" xfId="49726"/>
    <cellStyle name="Comma 9 2 2 2 2 5 2 3" xfId="49727"/>
    <cellStyle name="Comma 9 2 2 2 2 5 3" xfId="49728"/>
    <cellStyle name="Comma 9 2 2 2 2 5 3 2" xfId="49729"/>
    <cellStyle name="Comma 9 2 2 2 2 5 4" xfId="49730"/>
    <cellStyle name="Comma 9 2 2 2 2 5 5" xfId="49731"/>
    <cellStyle name="Comma 9 2 2 2 2 6" xfId="49732"/>
    <cellStyle name="Comma 9 2 2 2 2 6 2" xfId="49733"/>
    <cellStyle name="Comma 9 2 2 2 2 6 3" xfId="49734"/>
    <cellStyle name="Comma 9 2 2 2 2 7" xfId="49735"/>
    <cellStyle name="Comma 9 2 2 2 2 7 2" xfId="49736"/>
    <cellStyle name="Comma 9 2 2 2 2 7 3" xfId="49737"/>
    <cellStyle name="Comma 9 2 2 2 2 8" xfId="49738"/>
    <cellStyle name="Comma 9 2 2 2 2 8 2" xfId="49739"/>
    <cellStyle name="Comma 9 2 2 2 2 9" xfId="49740"/>
    <cellStyle name="Comma 9 2 2 2 3" xfId="3760"/>
    <cellStyle name="Comma 9 2 2 2 3 2" xfId="3761"/>
    <cellStyle name="Comma 9 2 2 2 3 2 2" xfId="49741"/>
    <cellStyle name="Comma 9 2 2 2 3 2 2 2" xfId="49742"/>
    <cellStyle name="Comma 9 2 2 2 3 2 2 3" xfId="49743"/>
    <cellStyle name="Comma 9 2 2 2 3 2 3" xfId="49744"/>
    <cellStyle name="Comma 9 2 2 2 3 2 3 2" xfId="49745"/>
    <cellStyle name="Comma 9 2 2 2 3 2 3 3" xfId="49746"/>
    <cellStyle name="Comma 9 2 2 2 3 2 4" xfId="49747"/>
    <cellStyle name="Comma 9 2 2 2 3 2 4 2" xfId="49748"/>
    <cellStyle name="Comma 9 2 2 2 3 2 5" xfId="49749"/>
    <cellStyle name="Comma 9 2 2 2 3 2 6" xfId="49750"/>
    <cellStyle name="Comma 9 2 2 2 3 3" xfId="49751"/>
    <cellStyle name="Comma 9 2 2 2 3 3 2" xfId="49752"/>
    <cellStyle name="Comma 9 2 2 2 3 3 2 2" xfId="49753"/>
    <cellStyle name="Comma 9 2 2 2 3 3 2 3" xfId="49754"/>
    <cellStyle name="Comma 9 2 2 2 3 3 3" xfId="49755"/>
    <cellStyle name="Comma 9 2 2 2 3 3 3 2" xfId="49756"/>
    <cellStyle name="Comma 9 2 2 2 3 3 3 3" xfId="49757"/>
    <cellStyle name="Comma 9 2 2 2 3 3 4" xfId="49758"/>
    <cellStyle name="Comma 9 2 2 2 3 3 4 2" xfId="49759"/>
    <cellStyle name="Comma 9 2 2 2 3 3 5" xfId="49760"/>
    <cellStyle name="Comma 9 2 2 2 3 3 6" xfId="49761"/>
    <cellStyle name="Comma 9 2 2 2 3 4" xfId="49762"/>
    <cellStyle name="Comma 9 2 2 2 3 4 2" xfId="49763"/>
    <cellStyle name="Comma 9 2 2 2 3 4 2 2" xfId="49764"/>
    <cellStyle name="Comma 9 2 2 2 3 4 2 3" xfId="49765"/>
    <cellStyle name="Comma 9 2 2 2 3 4 3" xfId="49766"/>
    <cellStyle name="Comma 9 2 2 2 3 4 3 2" xfId="49767"/>
    <cellStyle name="Comma 9 2 2 2 3 4 4" xfId="49768"/>
    <cellStyle name="Comma 9 2 2 2 3 4 5" xfId="49769"/>
    <cellStyle name="Comma 9 2 2 2 3 5" xfId="49770"/>
    <cellStyle name="Comma 9 2 2 2 3 5 2" xfId="49771"/>
    <cellStyle name="Comma 9 2 2 2 3 5 3" xfId="49772"/>
    <cellStyle name="Comma 9 2 2 2 3 6" xfId="49773"/>
    <cellStyle name="Comma 9 2 2 2 3 6 2" xfId="49774"/>
    <cellStyle name="Comma 9 2 2 2 3 6 3" xfId="49775"/>
    <cellStyle name="Comma 9 2 2 2 3 7" xfId="49776"/>
    <cellStyle name="Comma 9 2 2 2 3 7 2" xfId="49777"/>
    <cellStyle name="Comma 9 2 2 2 3 8" xfId="49778"/>
    <cellStyle name="Comma 9 2 2 2 3 9" xfId="49779"/>
    <cellStyle name="Comma 9 2 2 2 4" xfId="3762"/>
    <cellStyle name="Comma 9 2 2 2 4 2" xfId="49780"/>
    <cellStyle name="Comma 9 2 2 2 4 2 2" xfId="49781"/>
    <cellStyle name="Comma 9 2 2 2 4 2 2 2" xfId="49782"/>
    <cellStyle name="Comma 9 2 2 2 4 2 2 3" xfId="49783"/>
    <cellStyle name="Comma 9 2 2 2 4 2 3" xfId="49784"/>
    <cellStyle name="Comma 9 2 2 2 4 2 3 2" xfId="49785"/>
    <cellStyle name="Comma 9 2 2 2 4 2 3 3" xfId="49786"/>
    <cellStyle name="Comma 9 2 2 2 4 2 4" xfId="49787"/>
    <cellStyle name="Comma 9 2 2 2 4 2 4 2" xfId="49788"/>
    <cellStyle name="Comma 9 2 2 2 4 2 5" xfId="49789"/>
    <cellStyle name="Comma 9 2 2 2 4 2 6" xfId="49790"/>
    <cellStyle name="Comma 9 2 2 2 4 3" xfId="49791"/>
    <cellStyle name="Comma 9 2 2 2 4 3 2" xfId="49792"/>
    <cellStyle name="Comma 9 2 2 2 4 3 2 2" xfId="49793"/>
    <cellStyle name="Comma 9 2 2 2 4 3 2 3" xfId="49794"/>
    <cellStyle name="Comma 9 2 2 2 4 3 3" xfId="49795"/>
    <cellStyle name="Comma 9 2 2 2 4 3 3 2" xfId="49796"/>
    <cellStyle name="Comma 9 2 2 2 4 3 3 3" xfId="49797"/>
    <cellStyle name="Comma 9 2 2 2 4 3 4" xfId="49798"/>
    <cellStyle name="Comma 9 2 2 2 4 3 4 2" xfId="49799"/>
    <cellStyle name="Comma 9 2 2 2 4 3 5" xfId="49800"/>
    <cellStyle name="Comma 9 2 2 2 4 3 6" xfId="49801"/>
    <cellStyle name="Comma 9 2 2 2 4 4" xfId="49802"/>
    <cellStyle name="Comma 9 2 2 2 4 4 2" xfId="49803"/>
    <cellStyle name="Comma 9 2 2 2 4 4 2 2" xfId="49804"/>
    <cellStyle name="Comma 9 2 2 2 4 4 2 3" xfId="49805"/>
    <cellStyle name="Comma 9 2 2 2 4 4 3" xfId="49806"/>
    <cellStyle name="Comma 9 2 2 2 4 4 3 2" xfId="49807"/>
    <cellStyle name="Comma 9 2 2 2 4 4 4" xfId="49808"/>
    <cellStyle name="Comma 9 2 2 2 4 4 5" xfId="49809"/>
    <cellStyle name="Comma 9 2 2 2 4 5" xfId="49810"/>
    <cellStyle name="Comma 9 2 2 2 4 5 2" xfId="49811"/>
    <cellStyle name="Comma 9 2 2 2 4 5 3" xfId="49812"/>
    <cellStyle name="Comma 9 2 2 2 4 6" xfId="49813"/>
    <cellStyle name="Comma 9 2 2 2 4 6 2" xfId="49814"/>
    <cellStyle name="Comma 9 2 2 2 4 6 3" xfId="49815"/>
    <cellStyle name="Comma 9 2 2 2 4 7" xfId="49816"/>
    <cellStyle name="Comma 9 2 2 2 4 7 2" xfId="49817"/>
    <cellStyle name="Comma 9 2 2 2 4 8" xfId="49818"/>
    <cellStyle name="Comma 9 2 2 2 4 9" xfId="49819"/>
    <cellStyle name="Comma 9 2 2 2 5" xfId="49820"/>
    <cellStyle name="Comma 9 2 2 2 5 2" xfId="49821"/>
    <cellStyle name="Comma 9 2 2 2 5 2 2" xfId="49822"/>
    <cellStyle name="Comma 9 2 2 2 5 2 3" xfId="49823"/>
    <cellStyle name="Comma 9 2 2 2 5 3" xfId="49824"/>
    <cellStyle name="Comma 9 2 2 2 5 3 2" xfId="49825"/>
    <cellStyle name="Comma 9 2 2 2 5 3 3" xfId="49826"/>
    <cellStyle name="Comma 9 2 2 2 5 4" xfId="49827"/>
    <cellStyle name="Comma 9 2 2 2 5 4 2" xfId="49828"/>
    <cellStyle name="Comma 9 2 2 2 5 5" xfId="49829"/>
    <cellStyle name="Comma 9 2 2 2 5 6" xfId="49830"/>
    <cellStyle name="Comma 9 2 2 2 6" xfId="49831"/>
    <cellStyle name="Comma 9 2 2 2 6 2" xfId="49832"/>
    <cellStyle name="Comma 9 2 2 2 6 2 2" xfId="49833"/>
    <cellStyle name="Comma 9 2 2 2 6 2 3" xfId="49834"/>
    <cellStyle name="Comma 9 2 2 2 6 3" xfId="49835"/>
    <cellStyle name="Comma 9 2 2 2 6 3 2" xfId="49836"/>
    <cellStyle name="Comma 9 2 2 2 6 3 3" xfId="49837"/>
    <cellStyle name="Comma 9 2 2 2 6 4" xfId="49838"/>
    <cellStyle name="Comma 9 2 2 2 6 4 2" xfId="49839"/>
    <cellStyle name="Comma 9 2 2 2 6 5" xfId="49840"/>
    <cellStyle name="Comma 9 2 2 2 6 6" xfId="49841"/>
    <cellStyle name="Comma 9 2 2 2 7" xfId="49842"/>
    <cellStyle name="Comma 9 2 2 2 7 2" xfId="49843"/>
    <cellStyle name="Comma 9 2 2 2 7 2 2" xfId="49844"/>
    <cellStyle name="Comma 9 2 2 2 7 2 3" xfId="49845"/>
    <cellStyle name="Comma 9 2 2 2 7 3" xfId="49846"/>
    <cellStyle name="Comma 9 2 2 2 7 3 2" xfId="49847"/>
    <cellStyle name="Comma 9 2 2 2 7 4" xfId="49848"/>
    <cellStyle name="Comma 9 2 2 2 7 5" xfId="49849"/>
    <cellStyle name="Comma 9 2 2 2 8" xfId="49850"/>
    <cellStyle name="Comma 9 2 2 2 8 2" xfId="49851"/>
    <cellStyle name="Comma 9 2 2 2 8 3" xfId="49852"/>
    <cellStyle name="Comma 9 2 2 2 9" xfId="49853"/>
    <cellStyle name="Comma 9 2 2 2 9 2" xfId="49854"/>
    <cellStyle name="Comma 9 2 2 2 9 3" xfId="49855"/>
    <cellStyle name="Comma 9 2 2 3" xfId="3763"/>
    <cellStyle name="Comma 9 2 2 3 10" xfId="49856"/>
    <cellStyle name="Comma 9 2 2 3 2" xfId="3764"/>
    <cellStyle name="Comma 9 2 2 3 2 2" xfId="3765"/>
    <cellStyle name="Comma 9 2 2 3 2 2 2" xfId="49857"/>
    <cellStyle name="Comma 9 2 2 3 2 2 2 2" xfId="49858"/>
    <cellStyle name="Comma 9 2 2 3 2 2 2 3" xfId="49859"/>
    <cellStyle name="Comma 9 2 2 3 2 2 3" xfId="49860"/>
    <cellStyle name="Comma 9 2 2 3 2 2 3 2" xfId="49861"/>
    <cellStyle name="Comma 9 2 2 3 2 2 3 3" xfId="49862"/>
    <cellStyle name="Comma 9 2 2 3 2 2 4" xfId="49863"/>
    <cellStyle name="Comma 9 2 2 3 2 2 4 2" xfId="49864"/>
    <cellStyle name="Comma 9 2 2 3 2 2 5" xfId="49865"/>
    <cellStyle name="Comma 9 2 2 3 2 2 6" xfId="49866"/>
    <cellStyle name="Comma 9 2 2 3 2 3" xfId="49867"/>
    <cellStyle name="Comma 9 2 2 3 2 3 2" xfId="49868"/>
    <cellStyle name="Comma 9 2 2 3 2 3 2 2" xfId="49869"/>
    <cellStyle name="Comma 9 2 2 3 2 3 2 3" xfId="49870"/>
    <cellStyle name="Comma 9 2 2 3 2 3 3" xfId="49871"/>
    <cellStyle name="Comma 9 2 2 3 2 3 3 2" xfId="49872"/>
    <cellStyle name="Comma 9 2 2 3 2 3 3 3" xfId="49873"/>
    <cellStyle name="Comma 9 2 2 3 2 3 4" xfId="49874"/>
    <cellStyle name="Comma 9 2 2 3 2 3 4 2" xfId="49875"/>
    <cellStyle name="Comma 9 2 2 3 2 3 5" xfId="49876"/>
    <cellStyle name="Comma 9 2 2 3 2 3 6" xfId="49877"/>
    <cellStyle name="Comma 9 2 2 3 2 4" xfId="49878"/>
    <cellStyle name="Comma 9 2 2 3 2 4 2" xfId="49879"/>
    <cellStyle name="Comma 9 2 2 3 2 4 2 2" xfId="49880"/>
    <cellStyle name="Comma 9 2 2 3 2 4 2 3" xfId="49881"/>
    <cellStyle name="Comma 9 2 2 3 2 4 3" xfId="49882"/>
    <cellStyle name="Comma 9 2 2 3 2 4 3 2" xfId="49883"/>
    <cellStyle name="Comma 9 2 2 3 2 4 4" xfId="49884"/>
    <cellStyle name="Comma 9 2 2 3 2 4 5" xfId="49885"/>
    <cellStyle name="Comma 9 2 2 3 2 5" xfId="49886"/>
    <cellStyle name="Comma 9 2 2 3 2 5 2" xfId="49887"/>
    <cellStyle name="Comma 9 2 2 3 2 5 3" xfId="49888"/>
    <cellStyle name="Comma 9 2 2 3 2 6" xfId="49889"/>
    <cellStyle name="Comma 9 2 2 3 2 6 2" xfId="49890"/>
    <cellStyle name="Comma 9 2 2 3 2 6 3" xfId="49891"/>
    <cellStyle name="Comma 9 2 2 3 2 7" xfId="49892"/>
    <cellStyle name="Comma 9 2 2 3 2 7 2" xfId="49893"/>
    <cellStyle name="Comma 9 2 2 3 2 8" xfId="49894"/>
    <cellStyle name="Comma 9 2 2 3 2 9" xfId="49895"/>
    <cellStyle name="Comma 9 2 2 3 3" xfId="3766"/>
    <cellStyle name="Comma 9 2 2 3 3 2" xfId="49896"/>
    <cellStyle name="Comma 9 2 2 3 3 2 2" xfId="49897"/>
    <cellStyle name="Comma 9 2 2 3 3 2 3" xfId="49898"/>
    <cellStyle name="Comma 9 2 2 3 3 3" xfId="49899"/>
    <cellStyle name="Comma 9 2 2 3 3 3 2" xfId="49900"/>
    <cellStyle name="Comma 9 2 2 3 3 3 3" xfId="49901"/>
    <cellStyle name="Comma 9 2 2 3 3 4" xfId="49902"/>
    <cellStyle name="Comma 9 2 2 3 3 4 2" xfId="49903"/>
    <cellStyle name="Comma 9 2 2 3 3 5" xfId="49904"/>
    <cellStyle name="Comma 9 2 2 3 3 6" xfId="49905"/>
    <cellStyle name="Comma 9 2 2 3 4" xfId="49906"/>
    <cellStyle name="Comma 9 2 2 3 4 2" xfId="49907"/>
    <cellStyle name="Comma 9 2 2 3 4 2 2" xfId="49908"/>
    <cellStyle name="Comma 9 2 2 3 4 2 3" xfId="49909"/>
    <cellStyle name="Comma 9 2 2 3 4 3" xfId="49910"/>
    <cellStyle name="Comma 9 2 2 3 4 3 2" xfId="49911"/>
    <cellStyle name="Comma 9 2 2 3 4 3 3" xfId="49912"/>
    <cellStyle name="Comma 9 2 2 3 4 4" xfId="49913"/>
    <cellStyle name="Comma 9 2 2 3 4 4 2" xfId="49914"/>
    <cellStyle name="Comma 9 2 2 3 4 5" xfId="49915"/>
    <cellStyle name="Comma 9 2 2 3 4 6" xfId="49916"/>
    <cellStyle name="Comma 9 2 2 3 5" xfId="49917"/>
    <cellStyle name="Comma 9 2 2 3 5 2" xfId="49918"/>
    <cellStyle name="Comma 9 2 2 3 5 2 2" xfId="49919"/>
    <cellStyle name="Comma 9 2 2 3 5 2 3" xfId="49920"/>
    <cellStyle name="Comma 9 2 2 3 5 3" xfId="49921"/>
    <cellStyle name="Comma 9 2 2 3 5 3 2" xfId="49922"/>
    <cellStyle name="Comma 9 2 2 3 5 4" xfId="49923"/>
    <cellStyle name="Comma 9 2 2 3 5 5" xfId="49924"/>
    <cellStyle name="Comma 9 2 2 3 6" xfId="49925"/>
    <cellStyle name="Comma 9 2 2 3 6 2" xfId="49926"/>
    <cellStyle name="Comma 9 2 2 3 6 3" xfId="49927"/>
    <cellStyle name="Comma 9 2 2 3 7" xfId="49928"/>
    <cellStyle name="Comma 9 2 2 3 7 2" xfId="49929"/>
    <cellStyle name="Comma 9 2 2 3 7 3" xfId="49930"/>
    <cellStyle name="Comma 9 2 2 3 8" xfId="49931"/>
    <cellStyle name="Comma 9 2 2 3 8 2" xfId="49932"/>
    <cellStyle name="Comma 9 2 2 3 9" xfId="49933"/>
    <cellStyle name="Comma 9 2 2 4" xfId="3767"/>
    <cellStyle name="Comma 9 2 2 4 2" xfId="3768"/>
    <cellStyle name="Comma 9 2 2 4 2 2" xfId="49934"/>
    <cellStyle name="Comma 9 2 2 4 2 2 2" xfId="49935"/>
    <cellStyle name="Comma 9 2 2 4 2 2 3" xfId="49936"/>
    <cellStyle name="Comma 9 2 2 4 2 3" xfId="49937"/>
    <cellStyle name="Comma 9 2 2 4 2 3 2" xfId="49938"/>
    <cellStyle name="Comma 9 2 2 4 2 3 3" xfId="49939"/>
    <cellStyle name="Comma 9 2 2 4 2 4" xfId="49940"/>
    <cellStyle name="Comma 9 2 2 4 2 4 2" xfId="49941"/>
    <cellStyle name="Comma 9 2 2 4 2 5" xfId="49942"/>
    <cellStyle name="Comma 9 2 2 4 2 6" xfId="49943"/>
    <cellStyle name="Comma 9 2 2 4 3" xfId="49944"/>
    <cellStyle name="Comma 9 2 2 4 3 2" xfId="49945"/>
    <cellStyle name="Comma 9 2 2 4 3 2 2" xfId="49946"/>
    <cellStyle name="Comma 9 2 2 4 3 2 3" xfId="49947"/>
    <cellStyle name="Comma 9 2 2 4 3 3" xfId="49948"/>
    <cellStyle name="Comma 9 2 2 4 3 3 2" xfId="49949"/>
    <cellStyle name="Comma 9 2 2 4 3 3 3" xfId="49950"/>
    <cellStyle name="Comma 9 2 2 4 3 4" xfId="49951"/>
    <cellStyle name="Comma 9 2 2 4 3 4 2" xfId="49952"/>
    <cellStyle name="Comma 9 2 2 4 3 5" xfId="49953"/>
    <cellStyle name="Comma 9 2 2 4 3 6" xfId="49954"/>
    <cellStyle name="Comma 9 2 2 4 4" xfId="49955"/>
    <cellStyle name="Comma 9 2 2 4 4 2" xfId="49956"/>
    <cellStyle name="Comma 9 2 2 4 4 2 2" xfId="49957"/>
    <cellStyle name="Comma 9 2 2 4 4 2 3" xfId="49958"/>
    <cellStyle name="Comma 9 2 2 4 4 3" xfId="49959"/>
    <cellStyle name="Comma 9 2 2 4 4 3 2" xfId="49960"/>
    <cellStyle name="Comma 9 2 2 4 4 4" xfId="49961"/>
    <cellStyle name="Comma 9 2 2 4 4 5" xfId="49962"/>
    <cellStyle name="Comma 9 2 2 4 5" xfId="49963"/>
    <cellStyle name="Comma 9 2 2 4 5 2" xfId="49964"/>
    <cellStyle name="Comma 9 2 2 4 5 3" xfId="49965"/>
    <cellStyle name="Comma 9 2 2 4 6" xfId="49966"/>
    <cellStyle name="Comma 9 2 2 4 6 2" xfId="49967"/>
    <cellStyle name="Comma 9 2 2 4 6 3" xfId="49968"/>
    <cellStyle name="Comma 9 2 2 4 7" xfId="49969"/>
    <cellStyle name="Comma 9 2 2 4 7 2" xfId="49970"/>
    <cellStyle name="Comma 9 2 2 4 8" xfId="49971"/>
    <cellStyle name="Comma 9 2 2 4 9" xfId="49972"/>
    <cellStyle name="Comma 9 2 2 5" xfId="3769"/>
    <cellStyle name="Comma 9 2 2 5 2" xfId="49973"/>
    <cellStyle name="Comma 9 2 2 5 2 2" xfId="49974"/>
    <cellStyle name="Comma 9 2 2 5 2 2 2" xfId="49975"/>
    <cellStyle name="Comma 9 2 2 5 2 2 3" xfId="49976"/>
    <cellStyle name="Comma 9 2 2 5 2 3" xfId="49977"/>
    <cellStyle name="Comma 9 2 2 5 2 3 2" xfId="49978"/>
    <cellStyle name="Comma 9 2 2 5 2 3 3" xfId="49979"/>
    <cellStyle name="Comma 9 2 2 5 2 4" xfId="49980"/>
    <cellStyle name="Comma 9 2 2 5 2 4 2" xfId="49981"/>
    <cellStyle name="Comma 9 2 2 5 2 5" xfId="49982"/>
    <cellStyle name="Comma 9 2 2 5 2 6" xfId="49983"/>
    <cellStyle name="Comma 9 2 2 5 3" xfId="49984"/>
    <cellStyle name="Comma 9 2 2 5 3 2" xfId="49985"/>
    <cellStyle name="Comma 9 2 2 5 3 2 2" xfId="49986"/>
    <cellStyle name="Comma 9 2 2 5 3 2 3" xfId="49987"/>
    <cellStyle name="Comma 9 2 2 5 3 3" xfId="49988"/>
    <cellStyle name="Comma 9 2 2 5 3 3 2" xfId="49989"/>
    <cellStyle name="Comma 9 2 2 5 3 3 3" xfId="49990"/>
    <cellStyle name="Comma 9 2 2 5 3 4" xfId="49991"/>
    <cellStyle name="Comma 9 2 2 5 3 4 2" xfId="49992"/>
    <cellStyle name="Comma 9 2 2 5 3 5" xfId="49993"/>
    <cellStyle name="Comma 9 2 2 5 3 6" xfId="49994"/>
    <cellStyle name="Comma 9 2 2 5 4" xfId="49995"/>
    <cellStyle name="Comma 9 2 2 5 4 2" xfId="49996"/>
    <cellStyle name="Comma 9 2 2 5 4 2 2" xfId="49997"/>
    <cellStyle name="Comma 9 2 2 5 4 2 3" xfId="49998"/>
    <cellStyle name="Comma 9 2 2 5 4 3" xfId="49999"/>
    <cellStyle name="Comma 9 2 2 5 4 3 2" xfId="50000"/>
    <cellStyle name="Comma 9 2 2 5 4 4" xfId="50001"/>
    <cellStyle name="Comma 9 2 2 5 4 5" xfId="50002"/>
    <cellStyle name="Comma 9 2 2 5 5" xfId="50003"/>
    <cellStyle name="Comma 9 2 2 5 5 2" xfId="50004"/>
    <cellStyle name="Comma 9 2 2 5 5 3" xfId="50005"/>
    <cellStyle name="Comma 9 2 2 5 6" xfId="50006"/>
    <cellStyle name="Comma 9 2 2 5 6 2" xfId="50007"/>
    <cellStyle name="Comma 9 2 2 5 6 3" xfId="50008"/>
    <cellStyle name="Comma 9 2 2 5 7" xfId="50009"/>
    <cellStyle name="Comma 9 2 2 5 7 2" xfId="50010"/>
    <cellStyle name="Comma 9 2 2 5 8" xfId="50011"/>
    <cellStyle name="Comma 9 2 2 5 9" xfId="50012"/>
    <cellStyle name="Comma 9 2 2 6" xfId="50013"/>
    <cellStyle name="Comma 9 2 2 6 2" xfId="50014"/>
    <cellStyle name="Comma 9 2 2 6 2 2" xfId="50015"/>
    <cellStyle name="Comma 9 2 2 6 2 3" xfId="50016"/>
    <cellStyle name="Comma 9 2 2 6 3" xfId="50017"/>
    <cellStyle name="Comma 9 2 2 6 3 2" xfId="50018"/>
    <cellStyle name="Comma 9 2 2 6 3 3" xfId="50019"/>
    <cellStyle name="Comma 9 2 2 6 4" xfId="50020"/>
    <cellStyle name="Comma 9 2 2 6 4 2" xfId="50021"/>
    <cellStyle name="Comma 9 2 2 6 5" xfId="50022"/>
    <cellStyle name="Comma 9 2 2 6 6" xfId="50023"/>
    <cellStyle name="Comma 9 2 2 7" xfId="50024"/>
    <cellStyle name="Comma 9 2 2 7 2" xfId="50025"/>
    <cellStyle name="Comma 9 2 2 7 2 2" xfId="50026"/>
    <cellStyle name="Comma 9 2 2 7 2 3" xfId="50027"/>
    <cellStyle name="Comma 9 2 2 7 3" xfId="50028"/>
    <cellStyle name="Comma 9 2 2 7 3 2" xfId="50029"/>
    <cellStyle name="Comma 9 2 2 7 3 3" xfId="50030"/>
    <cellStyle name="Comma 9 2 2 7 4" xfId="50031"/>
    <cellStyle name="Comma 9 2 2 7 4 2" xfId="50032"/>
    <cellStyle name="Comma 9 2 2 7 5" xfId="50033"/>
    <cellStyle name="Comma 9 2 2 7 6" xfId="50034"/>
    <cellStyle name="Comma 9 2 2 8" xfId="50035"/>
    <cellStyle name="Comma 9 2 2 8 2" xfId="50036"/>
    <cellStyle name="Comma 9 2 2 8 2 2" xfId="50037"/>
    <cellStyle name="Comma 9 2 2 8 2 3" xfId="50038"/>
    <cellStyle name="Comma 9 2 2 8 3" xfId="50039"/>
    <cellStyle name="Comma 9 2 2 8 3 2" xfId="50040"/>
    <cellStyle name="Comma 9 2 2 8 4" xfId="50041"/>
    <cellStyle name="Comma 9 2 2 8 5" xfId="50042"/>
    <cellStyle name="Comma 9 2 2 9" xfId="50043"/>
    <cellStyle name="Comma 9 2 2 9 2" xfId="50044"/>
    <cellStyle name="Comma 9 2 2 9 3" xfId="50045"/>
    <cellStyle name="Comma 9 2 3" xfId="3770"/>
    <cellStyle name="Comma 9 2 3 10" xfId="50046"/>
    <cellStyle name="Comma 9 2 3 10 2" xfId="50047"/>
    <cellStyle name="Comma 9 2 3 11" xfId="50048"/>
    <cellStyle name="Comma 9 2 3 12" xfId="50049"/>
    <cellStyle name="Comma 9 2 3 2" xfId="3771"/>
    <cellStyle name="Comma 9 2 3 2 10" xfId="50050"/>
    <cellStyle name="Comma 9 2 3 2 2" xfId="3772"/>
    <cellStyle name="Comma 9 2 3 2 2 2" xfId="3773"/>
    <cellStyle name="Comma 9 2 3 2 2 2 2" xfId="50051"/>
    <cellStyle name="Comma 9 2 3 2 2 2 2 2" xfId="50052"/>
    <cellStyle name="Comma 9 2 3 2 2 2 2 3" xfId="50053"/>
    <cellStyle name="Comma 9 2 3 2 2 2 3" xfId="50054"/>
    <cellStyle name="Comma 9 2 3 2 2 2 3 2" xfId="50055"/>
    <cellStyle name="Comma 9 2 3 2 2 2 3 3" xfId="50056"/>
    <cellStyle name="Comma 9 2 3 2 2 2 4" xfId="50057"/>
    <cellStyle name="Comma 9 2 3 2 2 2 4 2" xfId="50058"/>
    <cellStyle name="Comma 9 2 3 2 2 2 5" xfId="50059"/>
    <cellStyle name="Comma 9 2 3 2 2 2 6" xfId="50060"/>
    <cellStyle name="Comma 9 2 3 2 2 3" xfId="50061"/>
    <cellStyle name="Comma 9 2 3 2 2 3 2" xfId="50062"/>
    <cellStyle name="Comma 9 2 3 2 2 3 2 2" xfId="50063"/>
    <cellStyle name="Comma 9 2 3 2 2 3 2 3" xfId="50064"/>
    <cellStyle name="Comma 9 2 3 2 2 3 3" xfId="50065"/>
    <cellStyle name="Comma 9 2 3 2 2 3 3 2" xfId="50066"/>
    <cellStyle name="Comma 9 2 3 2 2 3 3 3" xfId="50067"/>
    <cellStyle name="Comma 9 2 3 2 2 3 4" xfId="50068"/>
    <cellStyle name="Comma 9 2 3 2 2 3 4 2" xfId="50069"/>
    <cellStyle name="Comma 9 2 3 2 2 3 5" xfId="50070"/>
    <cellStyle name="Comma 9 2 3 2 2 3 6" xfId="50071"/>
    <cellStyle name="Comma 9 2 3 2 2 4" xfId="50072"/>
    <cellStyle name="Comma 9 2 3 2 2 4 2" xfId="50073"/>
    <cellStyle name="Comma 9 2 3 2 2 4 2 2" xfId="50074"/>
    <cellStyle name="Comma 9 2 3 2 2 4 2 3" xfId="50075"/>
    <cellStyle name="Comma 9 2 3 2 2 4 3" xfId="50076"/>
    <cellStyle name="Comma 9 2 3 2 2 4 3 2" xfId="50077"/>
    <cellStyle name="Comma 9 2 3 2 2 4 4" xfId="50078"/>
    <cellStyle name="Comma 9 2 3 2 2 4 5" xfId="50079"/>
    <cellStyle name="Comma 9 2 3 2 2 5" xfId="50080"/>
    <cellStyle name="Comma 9 2 3 2 2 5 2" xfId="50081"/>
    <cellStyle name="Comma 9 2 3 2 2 5 3" xfId="50082"/>
    <cellStyle name="Comma 9 2 3 2 2 6" xfId="50083"/>
    <cellStyle name="Comma 9 2 3 2 2 6 2" xfId="50084"/>
    <cellStyle name="Comma 9 2 3 2 2 6 3" xfId="50085"/>
    <cellStyle name="Comma 9 2 3 2 2 7" xfId="50086"/>
    <cellStyle name="Comma 9 2 3 2 2 7 2" xfId="50087"/>
    <cellStyle name="Comma 9 2 3 2 2 8" xfId="50088"/>
    <cellStyle name="Comma 9 2 3 2 2 9" xfId="50089"/>
    <cellStyle name="Comma 9 2 3 2 3" xfId="3774"/>
    <cellStyle name="Comma 9 2 3 2 3 2" xfId="50090"/>
    <cellStyle name="Comma 9 2 3 2 3 2 2" xfId="50091"/>
    <cellStyle name="Comma 9 2 3 2 3 2 3" xfId="50092"/>
    <cellStyle name="Comma 9 2 3 2 3 3" xfId="50093"/>
    <cellStyle name="Comma 9 2 3 2 3 3 2" xfId="50094"/>
    <cellStyle name="Comma 9 2 3 2 3 3 3" xfId="50095"/>
    <cellStyle name="Comma 9 2 3 2 3 4" xfId="50096"/>
    <cellStyle name="Comma 9 2 3 2 3 4 2" xfId="50097"/>
    <cellStyle name="Comma 9 2 3 2 3 5" xfId="50098"/>
    <cellStyle name="Comma 9 2 3 2 3 6" xfId="50099"/>
    <cellStyle name="Comma 9 2 3 2 4" xfId="50100"/>
    <cellStyle name="Comma 9 2 3 2 4 2" xfId="50101"/>
    <cellStyle name="Comma 9 2 3 2 4 2 2" xfId="50102"/>
    <cellStyle name="Comma 9 2 3 2 4 2 3" xfId="50103"/>
    <cellStyle name="Comma 9 2 3 2 4 3" xfId="50104"/>
    <cellStyle name="Comma 9 2 3 2 4 3 2" xfId="50105"/>
    <cellStyle name="Comma 9 2 3 2 4 3 3" xfId="50106"/>
    <cellStyle name="Comma 9 2 3 2 4 4" xfId="50107"/>
    <cellStyle name="Comma 9 2 3 2 4 4 2" xfId="50108"/>
    <cellStyle name="Comma 9 2 3 2 4 5" xfId="50109"/>
    <cellStyle name="Comma 9 2 3 2 4 6" xfId="50110"/>
    <cellStyle name="Comma 9 2 3 2 5" xfId="50111"/>
    <cellStyle name="Comma 9 2 3 2 5 2" xfId="50112"/>
    <cellStyle name="Comma 9 2 3 2 5 2 2" xfId="50113"/>
    <cellStyle name="Comma 9 2 3 2 5 2 3" xfId="50114"/>
    <cellStyle name="Comma 9 2 3 2 5 3" xfId="50115"/>
    <cellStyle name="Comma 9 2 3 2 5 3 2" xfId="50116"/>
    <cellStyle name="Comma 9 2 3 2 5 4" xfId="50117"/>
    <cellStyle name="Comma 9 2 3 2 5 5" xfId="50118"/>
    <cellStyle name="Comma 9 2 3 2 6" xfId="50119"/>
    <cellStyle name="Comma 9 2 3 2 6 2" xfId="50120"/>
    <cellStyle name="Comma 9 2 3 2 6 3" xfId="50121"/>
    <cellStyle name="Comma 9 2 3 2 7" xfId="50122"/>
    <cellStyle name="Comma 9 2 3 2 7 2" xfId="50123"/>
    <cellStyle name="Comma 9 2 3 2 7 3" xfId="50124"/>
    <cellStyle name="Comma 9 2 3 2 8" xfId="50125"/>
    <cellStyle name="Comma 9 2 3 2 8 2" xfId="50126"/>
    <cellStyle name="Comma 9 2 3 2 9" xfId="50127"/>
    <cellStyle name="Comma 9 2 3 3" xfId="3775"/>
    <cellStyle name="Comma 9 2 3 3 2" xfId="3776"/>
    <cellStyle name="Comma 9 2 3 3 2 2" xfId="50128"/>
    <cellStyle name="Comma 9 2 3 3 2 2 2" xfId="50129"/>
    <cellStyle name="Comma 9 2 3 3 2 2 3" xfId="50130"/>
    <cellStyle name="Comma 9 2 3 3 2 3" xfId="50131"/>
    <cellStyle name="Comma 9 2 3 3 2 3 2" xfId="50132"/>
    <cellStyle name="Comma 9 2 3 3 2 3 3" xfId="50133"/>
    <cellStyle name="Comma 9 2 3 3 2 4" xfId="50134"/>
    <cellStyle name="Comma 9 2 3 3 2 4 2" xfId="50135"/>
    <cellStyle name="Comma 9 2 3 3 2 5" xfId="50136"/>
    <cellStyle name="Comma 9 2 3 3 2 6" xfId="50137"/>
    <cellStyle name="Comma 9 2 3 3 3" xfId="50138"/>
    <cellStyle name="Comma 9 2 3 3 3 2" xfId="50139"/>
    <cellStyle name="Comma 9 2 3 3 3 2 2" xfId="50140"/>
    <cellStyle name="Comma 9 2 3 3 3 2 3" xfId="50141"/>
    <cellStyle name="Comma 9 2 3 3 3 3" xfId="50142"/>
    <cellStyle name="Comma 9 2 3 3 3 3 2" xfId="50143"/>
    <cellStyle name="Comma 9 2 3 3 3 3 3" xfId="50144"/>
    <cellStyle name="Comma 9 2 3 3 3 4" xfId="50145"/>
    <cellStyle name="Comma 9 2 3 3 3 4 2" xfId="50146"/>
    <cellStyle name="Comma 9 2 3 3 3 5" xfId="50147"/>
    <cellStyle name="Comma 9 2 3 3 3 6" xfId="50148"/>
    <cellStyle name="Comma 9 2 3 3 4" xfId="50149"/>
    <cellStyle name="Comma 9 2 3 3 4 2" xfId="50150"/>
    <cellStyle name="Comma 9 2 3 3 4 2 2" xfId="50151"/>
    <cellStyle name="Comma 9 2 3 3 4 2 3" xfId="50152"/>
    <cellStyle name="Comma 9 2 3 3 4 3" xfId="50153"/>
    <cellStyle name="Comma 9 2 3 3 4 3 2" xfId="50154"/>
    <cellStyle name="Comma 9 2 3 3 4 4" xfId="50155"/>
    <cellStyle name="Comma 9 2 3 3 4 5" xfId="50156"/>
    <cellStyle name="Comma 9 2 3 3 5" xfId="50157"/>
    <cellStyle name="Comma 9 2 3 3 5 2" xfId="50158"/>
    <cellStyle name="Comma 9 2 3 3 5 3" xfId="50159"/>
    <cellStyle name="Comma 9 2 3 3 6" xfId="50160"/>
    <cellStyle name="Comma 9 2 3 3 6 2" xfId="50161"/>
    <cellStyle name="Comma 9 2 3 3 6 3" xfId="50162"/>
    <cellStyle name="Comma 9 2 3 3 7" xfId="50163"/>
    <cellStyle name="Comma 9 2 3 3 7 2" xfId="50164"/>
    <cellStyle name="Comma 9 2 3 3 8" xfId="50165"/>
    <cellStyle name="Comma 9 2 3 3 9" xfId="50166"/>
    <cellStyle name="Comma 9 2 3 4" xfId="3777"/>
    <cellStyle name="Comma 9 2 3 4 2" xfId="50167"/>
    <cellStyle name="Comma 9 2 3 4 2 2" xfId="50168"/>
    <cellStyle name="Comma 9 2 3 4 2 2 2" xfId="50169"/>
    <cellStyle name="Comma 9 2 3 4 2 2 3" xfId="50170"/>
    <cellStyle name="Comma 9 2 3 4 2 3" xfId="50171"/>
    <cellStyle name="Comma 9 2 3 4 2 3 2" xfId="50172"/>
    <cellStyle name="Comma 9 2 3 4 2 3 3" xfId="50173"/>
    <cellStyle name="Comma 9 2 3 4 2 4" xfId="50174"/>
    <cellStyle name="Comma 9 2 3 4 2 4 2" xfId="50175"/>
    <cellStyle name="Comma 9 2 3 4 2 5" xfId="50176"/>
    <cellStyle name="Comma 9 2 3 4 2 6" xfId="50177"/>
    <cellStyle name="Comma 9 2 3 4 3" xfId="50178"/>
    <cellStyle name="Comma 9 2 3 4 3 2" xfId="50179"/>
    <cellStyle name="Comma 9 2 3 4 3 2 2" xfId="50180"/>
    <cellStyle name="Comma 9 2 3 4 3 2 3" xfId="50181"/>
    <cellStyle name="Comma 9 2 3 4 3 3" xfId="50182"/>
    <cellStyle name="Comma 9 2 3 4 3 3 2" xfId="50183"/>
    <cellStyle name="Comma 9 2 3 4 3 3 3" xfId="50184"/>
    <cellStyle name="Comma 9 2 3 4 3 4" xfId="50185"/>
    <cellStyle name="Comma 9 2 3 4 3 4 2" xfId="50186"/>
    <cellStyle name="Comma 9 2 3 4 3 5" xfId="50187"/>
    <cellStyle name="Comma 9 2 3 4 3 6" xfId="50188"/>
    <cellStyle name="Comma 9 2 3 4 4" xfId="50189"/>
    <cellStyle name="Comma 9 2 3 4 4 2" xfId="50190"/>
    <cellStyle name="Comma 9 2 3 4 4 2 2" xfId="50191"/>
    <cellStyle name="Comma 9 2 3 4 4 2 3" xfId="50192"/>
    <cellStyle name="Comma 9 2 3 4 4 3" xfId="50193"/>
    <cellStyle name="Comma 9 2 3 4 4 3 2" xfId="50194"/>
    <cellStyle name="Comma 9 2 3 4 4 4" xfId="50195"/>
    <cellStyle name="Comma 9 2 3 4 4 5" xfId="50196"/>
    <cellStyle name="Comma 9 2 3 4 5" xfId="50197"/>
    <cellStyle name="Comma 9 2 3 4 5 2" xfId="50198"/>
    <cellStyle name="Comma 9 2 3 4 5 3" xfId="50199"/>
    <cellStyle name="Comma 9 2 3 4 6" xfId="50200"/>
    <cellStyle name="Comma 9 2 3 4 6 2" xfId="50201"/>
    <cellStyle name="Comma 9 2 3 4 6 3" xfId="50202"/>
    <cellStyle name="Comma 9 2 3 4 7" xfId="50203"/>
    <cellStyle name="Comma 9 2 3 4 7 2" xfId="50204"/>
    <cellStyle name="Comma 9 2 3 4 8" xfId="50205"/>
    <cellStyle name="Comma 9 2 3 4 9" xfId="50206"/>
    <cellStyle name="Comma 9 2 3 5" xfId="50207"/>
    <cellStyle name="Comma 9 2 3 5 2" xfId="50208"/>
    <cellStyle name="Comma 9 2 3 5 2 2" xfId="50209"/>
    <cellStyle name="Comma 9 2 3 5 2 3" xfId="50210"/>
    <cellStyle name="Comma 9 2 3 5 3" xfId="50211"/>
    <cellStyle name="Comma 9 2 3 5 3 2" xfId="50212"/>
    <cellStyle name="Comma 9 2 3 5 3 3" xfId="50213"/>
    <cellStyle name="Comma 9 2 3 5 4" xfId="50214"/>
    <cellStyle name="Comma 9 2 3 5 4 2" xfId="50215"/>
    <cellStyle name="Comma 9 2 3 5 5" xfId="50216"/>
    <cellStyle name="Comma 9 2 3 5 6" xfId="50217"/>
    <cellStyle name="Comma 9 2 3 6" xfId="50218"/>
    <cellStyle name="Comma 9 2 3 6 2" xfId="50219"/>
    <cellStyle name="Comma 9 2 3 6 2 2" xfId="50220"/>
    <cellStyle name="Comma 9 2 3 6 2 3" xfId="50221"/>
    <cellStyle name="Comma 9 2 3 6 3" xfId="50222"/>
    <cellStyle name="Comma 9 2 3 6 3 2" xfId="50223"/>
    <cellStyle name="Comma 9 2 3 6 3 3" xfId="50224"/>
    <cellStyle name="Comma 9 2 3 6 4" xfId="50225"/>
    <cellStyle name="Comma 9 2 3 6 4 2" xfId="50226"/>
    <cellStyle name="Comma 9 2 3 6 5" xfId="50227"/>
    <cellStyle name="Comma 9 2 3 6 6" xfId="50228"/>
    <cellStyle name="Comma 9 2 3 7" xfId="50229"/>
    <cellStyle name="Comma 9 2 3 7 2" xfId="50230"/>
    <cellStyle name="Comma 9 2 3 7 2 2" xfId="50231"/>
    <cellStyle name="Comma 9 2 3 7 2 3" xfId="50232"/>
    <cellStyle name="Comma 9 2 3 7 3" xfId="50233"/>
    <cellStyle name="Comma 9 2 3 7 3 2" xfId="50234"/>
    <cellStyle name="Comma 9 2 3 7 4" xfId="50235"/>
    <cellStyle name="Comma 9 2 3 7 5" xfId="50236"/>
    <cellStyle name="Comma 9 2 3 8" xfId="50237"/>
    <cellStyle name="Comma 9 2 3 8 2" xfId="50238"/>
    <cellStyle name="Comma 9 2 3 8 3" xfId="50239"/>
    <cellStyle name="Comma 9 2 3 9" xfId="50240"/>
    <cellStyle name="Comma 9 2 3 9 2" xfId="50241"/>
    <cellStyle name="Comma 9 2 3 9 3" xfId="50242"/>
    <cellStyle name="Comma 9 2 4" xfId="3778"/>
    <cellStyle name="Comma 9 2 4 10" xfId="50243"/>
    <cellStyle name="Comma 9 2 4 2" xfId="3779"/>
    <cellStyle name="Comma 9 2 4 2 2" xfId="3780"/>
    <cellStyle name="Comma 9 2 4 2 2 2" xfId="50244"/>
    <cellStyle name="Comma 9 2 4 2 2 2 2" xfId="50245"/>
    <cellStyle name="Comma 9 2 4 2 2 2 3" xfId="50246"/>
    <cellStyle name="Comma 9 2 4 2 2 3" xfId="50247"/>
    <cellStyle name="Comma 9 2 4 2 2 3 2" xfId="50248"/>
    <cellStyle name="Comma 9 2 4 2 2 3 3" xfId="50249"/>
    <cellStyle name="Comma 9 2 4 2 2 4" xfId="50250"/>
    <cellStyle name="Comma 9 2 4 2 2 4 2" xfId="50251"/>
    <cellStyle name="Comma 9 2 4 2 2 5" xfId="50252"/>
    <cellStyle name="Comma 9 2 4 2 2 6" xfId="50253"/>
    <cellStyle name="Comma 9 2 4 2 3" xfId="50254"/>
    <cellStyle name="Comma 9 2 4 2 3 2" xfId="50255"/>
    <cellStyle name="Comma 9 2 4 2 3 2 2" xfId="50256"/>
    <cellStyle name="Comma 9 2 4 2 3 2 3" xfId="50257"/>
    <cellStyle name="Comma 9 2 4 2 3 3" xfId="50258"/>
    <cellStyle name="Comma 9 2 4 2 3 3 2" xfId="50259"/>
    <cellStyle name="Comma 9 2 4 2 3 3 3" xfId="50260"/>
    <cellStyle name="Comma 9 2 4 2 3 4" xfId="50261"/>
    <cellStyle name="Comma 9 2 4 2 3 4 2" xfId="50262"/>
    <cellStyle name="Comma 9 2 4 2 3 5" xfId="50263"/>
    <cellStyle name="Comma 9 2 4 2 3 6" xfId="50264"/>
    <cellStyle name="Comma 9 2 4 2 4" xfId="50265"/>
    <cellStyle name="Comma 9 2 4 2 4 2" xfId="50266"/>
    <cellStyle name="Comma 9 2 4 2 4 2 2" xfId="50267"/>
    <cellStyle name="Comma 9 2 4 2 4 2 3" xfId="50268"/>
    <cellStyle name="Comma 9 2 4 2 4 3" xfId="50269"/>
    <cellStyle name="Comma 9 2 4 2 4 3 2" xfId="50270"/>
    <cellStyle name="Comma 9 2 4 2 4 4" xfId="50271"/>
    <cellStyle name="Comma 9 2 4 2 4 5" xfId="50272"/>
    <cellStyle name="Comma 9 2 4 2 5" xfId="50273"/>
    <cellStyle name="Comma 9 2 4 2 5 2" xfId="50274"/>
    <cellStyle name="Comma 9 2 4 2 5 3" xfId="50275"/>
    <cellStyle name="Comma 9 2 4 2 6" xfId="50276"/>
    <cellStyle name="Comma 9 2 4 2 6 2" xfId="50277"/>
    <cellStyle name="Comma 9 2 4 2 6 3" xfId="50278"/>
    <cellStyle name="Comma 9 2 4 2 7" xfId="50279"/>
    <cellStyle name="Comma 9 2 4 2 7 2" xfId="50280"/>
    <cellStyle name="Comma 9 2 4 2 8" xfId="50281"/>
    <cellStyle name="Comma 9 2 4 2 9" xfId="50282"/>
    <cellStyle name="Comma 9 2 4 3" xfId="3781"/>
    <cellStyle name="Comma 9 2 4 3 2" xfId="50283"/>
    <cellStyle name="Comma 9 2 4 3 2 2" xfId="50284"/>
    <cellStyle name="Comma 9 2 4 3 2 3" xfId="50285"/>
    <cellStyle name="Comma 9 2 4 3 3" xfId="50286"/>
    <cellStyle name="Comma 9 2 4 3 3 2" xfId="50287"/>
    <cellStyle name="Comma 9 2 4 3 3 3" xfId="50288"/>
    <cellStyle name="Comma 9 2 4 3 4" xfId="50289"/>
    <cellStyle name="Comma 9 2 4 3 4 2" xfId="50290"/>
    <cellStyle name="Comma 9 2 4 3 5" xfId="50291"/>
    <cellStyle name="Comma 9 2 4 3 6" xfId="50292"/>
    <cellStyle name="Comma 9 2 4 4" xfId="50293"/>
    <cellStyle name="Comma 9 2 4 4 2" xfId="50294"/>
    <cellStyle name="Comma 9 2 4 4 2 2" xfId="50295"/>
    <cellStyle name="Comma 9 2 4 4 2 3" xfId="50296"/>
    <cellStyle name="Comma 9 2 4 4 3" xfId="50297"/>
    <cellStyle name="Comma 9 2 4 4 3 2" xfId="50298"/>
    <cellStyle name="Comma 9 2 4 4 3 3" xfId="50299"/>
    <cellStyle name="Comma 9 2 4 4 4" xfId="50300"/>
    <cellStyle name="Comma 9 2 4 4 4 2" xfId="50301"/>
    <cellStyle name="Comma 9 2 4 4 5" xfId="50302"/>
    <cellStyle name="Comma 9 2 4 4 6" xfId="50303"/>
    <cellStyle name="Comma 9 2 4 5" xfId="50304"/>
    <cellStyle name="Comma 9 2 4 5 2" xfId="50305"/>
    <cellStyle name="Comma 9 2 4 5 2 2" xfId="50306"/>
    <cellStyle name="Comma 9 2 4 5 2 3" xfId="50307"/>
    <cellStyle name="Comma 9 2 4 5 3" xfId="50308"/>
    <cellStyle name="Comma 9 2 4 5 3 2" xfId="50309"/>
    <cellStyle name="Comma 9 2 4 5 4" xfId="50310"/>
    <cellStyle name="Comma 9 2 4 5 5" xfId="50311"/>
    <cellStyle name="Comma 9 2 4 6" xfId="50312"/>
    <cellStyle name="Comma 9 2 4 6 2" xfId="50313"/>
    <cellStyle name="Comma 9 2 4 6 3" xfId="50314"/>
    <cellStyle name="Comma 9 2 4 7" xfId="50315"/>
    <cellStyle name="Comma 9 2 4 7 2" xfId="50316"/>
    <cellStyle name="Comma 9 2 4 7 3" xfId="50317"/>
    <cellStyle name="Comma 9 2 4 8" xfId="50318"/>
    <cellStyle name="Comma 9 2 4 8 2" xfId="50319"/>
    <cellStyle name="Comma 9 2 4 9" xfId="50320"/>
    <cellStyle name="Comma 9 2 5" xfId="3782"/>
    <cellStyle name="Comma 9 2 5 2" xfId="3783"/>
    <cellStyle name="Comma 9 2 5 2 2" xfId="50321"/>
    <cellStyle name="Comma 9 2 5 2 2 2" xfId="50322"/>
    <cellStyle name="Comma 9 2 5 2 2 3" xfId="50323"/>
    <cellStyle name="Comma 9 2 5 2 3" xfId="50324"/>
    <cellStyle name="Comma 9 2 5 2 3 2" xfId="50325"/>
    <cellStyle name="Comma 9 2 5 2 3 3" xfId="50326"/>
    <cellStyle name="Comma 9 2 5 2 4" xfId="50327"/>
    <cellStyle name="Comma 9 2 5 2 4 2" xfId="50328"/>
    <cellStyle name="Comma 9 2 5 2 5" xfId="50329"/>
    <cellStyle name="Comma 9 2 5 2 6" xfId="50330"/>
    <cellStyle name="Comma 9 2 5 3" xfId="50331"/>
    <cellStyle name="Comma 9 2 5 3 2" xfId="50332"/>
    <cellStyle name="Comma 9 2 5 3 2 2" xfId="50333"/>
    <cellStyle name="Comma 9 2 5 3 2 3" xfId="50334"/>
    <cellStyle name="Comma 9 2 5 3 3" xfId="50335"/>
    <cellStyle name="Comma 9 2 5 3 3 2" xfId="50336"/>
    <cellStyle name="Comma 9 2 5 3 3 3" xfId="50337"/>
    <cellStyle name="Comma 9 2 5 3 4" xfId="50338"/>
    <cellStyle name="Comma 9 2 5 3 4 2" xfId="50339"/>
    <cellStyle name="Comma 9 2 5 3 5" xfId="50340"/>
    <cellStyle name="Comma 9 2 5 3 6" xfId="50341"/>
    <cellStyle name="Comma 9 2 5 4" xfId="50342"/>
    <cellStyle name="Comma 9 2 5 4 2" xfId="50343"/>
    <cellStyle name="Comma 9 2 5 4 2 2" xfId="50344"/>
    <cellStyle name="Comma 9 2 5 4 2 3" xfId="50345"/>
    <cellStyle name="Comma 9 2 5 4 3" xfId="50346"/>
    <cellStyle name="Comma 9 2 5 4 3 2" xfId="50347"/>
    <cellStyle name="Comma 9 2 5 4 4" xfId="50348"/>
    <cellStyle name="Comma 9 2 5 4 5" xfId="50349"/>
    <cellStyle name="Comma 9 2 5 5" xfId="50350"/>
    <cellStyle name="Comma 9 2 5 5 2" xfId="50351"/>
    <cellStyle name="Comma 9 2 5 5 3" xfId="50352"/>
    <cellStyle name="Comma 9 2 5 6" xfId="50353"/>
    <cellStyle name="Comma 9 2 5 6 2" xfId="50354"/>
    <cellStyle name="Comma 9 2 5 6 3" xfId="50355"/>
    <cellStyle name="Comma 9 2 5 7" xfId="50356"/>
    <cellStyle name="Comma 9 2 5 7 2" xfId="50357"/>
    <cellStyle name="Comma 9 2 5 8" xfId="50358"/>
    <cellStyle name="Comma 9 2 5 9" xfId="50359"/>
    <cellStyle name="Comma 9 2 6" xfId="3784"/>
    <cellStyle name="Comma 9 2 6 2" xfId="50360"/>
    <cellStyle name="Comma 9 2 6 2 2" xfId="50361"/>
    <cellStyle name="Comma 9 2 6 2 2 2" xfId="50362"/>
    <cellStyle name="Comma 9 2 6 2 2 3" xfId="50363"/>
    <cellStyle name="Comma 9 2 6 2 3" xfId="50364"/>
    <cellStyle name="Comma 9 2 6 2 3 2" xfId="50365"/>
    <cellStyle name="Comma 9 2 6 2 3 3" xfId="50366"/>
    <cellStyle name="Comma 9 2 6 2 4" xfId="50367"/>
    <cellStyle name="Comma 9 2 6 2 4 2" xfId="50368"/>
    <cellStyle name="Comma 9 2 6 2 5" xfId="50369"/>
    <cellStyle name="Comma 9 2 6 2 6" xfId="50370"/>
    <cellStyle name="Comma 9 2 6 3" xfId="50371"/>
    <cellStyle name="Comma 9 2 6 3 2" xfId="50372"/>
    <cellStyle name="Comma 9 2 6 3 2 2" xfId="50373"/>
    <cellStyle name="Comma 9 2 6 3 2 3" xfId="50374"/>
    <cellStyle name="Comma 9 2 6 3 3" xfId="50375"/>
    <cellStyle name="Comma 9 2 6 3 3 2" xfId="50376"/>
    <cellStyle name="Comma 9 2 6 3 3 3" xfId="50377"/>
    <cellStyle name="Comma 9 2 6 3 4" xfId="50378"/>
    <cellStyle name="Comma 9 2 6 3 4 2" xfId="50379"/>
    <cellStyle name="Comma 9 2 6 3 5" xfId="50380"/>
    <cellStyle name="Comma 9 2 6 3 6" xfId="50381"/>
    <cellStyle name="Comma 9 2 6 4" xfId="50382"/>
    <cellStyle name="Comma 9 2 6 4 2" xfId="50383"/>
    <cellStyle name="Comma 9 2 6 4 2 2" xfId="50384"/>
    <cellStyle name="Comma 9 2 6 4 2 3" xfId="50385"/>
    <cellStyle name="Comma 9 2 6 4 3" xfId="50386"/>
    <cellStyle name="Comma 9 2 6 4 3 2" xfId="50387"/>
    <cellStyle name="Comma 9 2 6 4 4" xfId="50388"/>
    <cellStyle name="Comma 9 2 6 4 5" xfId="50389"/>
    <cellStyle name="Comma 9 2 6 5" xfId="50390"/>
    <cellStyle name="Comma 9 2 6 5 2" xfId="50391"/>
    <cellStyle name="Comma 9 2 6 5 3" xfId="50392"/>
    <cellStyle name="Comma 9 2 6 6" xfId="50393"/>
    <cellStyle name="Comma 9 2 6 6 2" xfId="50394"/>
    <cellStyle name="Comma 9 2 6 6 3" xfId="50395"/>
    <cellStyle name="Comma 9 2 6 7" xfId="50396"/>
    <cellStyle name="Comma 9 2 6 7 2" xfId="50397"/>
    <cellStyle name="Comma 9 2 6 8" xfId="50398"/>
    <cellStyle name="Comma 9 2 6 9" xfId="50399"/>
    <cellStyle name="Comma 9 2 7" xfId="3785"/>
    <cellStyle name="Comma 9 2 7 2" xfId="50400"/>
    <cellStyle name="Comma 9 2 7 2 2" xfId="50401"/>
    <cellStyle name="Comma 9 2 7 2 3" xfId="50402"/>
    <cellStyle name="Comma 9 2 7 3" xfId="50403"/>
    <cellStyle name="Comma 9 2 7 3 2" xfId="50404"/>
    <cellStyle name="Comma 9 2 7 3 3" xfId="50405"/>
    <cellStyle name="Comma 9 2 7 4" xfId="50406"/>
    <cellStyle name="Comma 9 2 7 4 2" xfId="50407"/>
    <cellStyle name="Comma 9 2 7 5" xfId="50408"/>
    <cellStyle name="Comma 9 2 7 6" xfId="50409"/>
    <cellStyle name="Comma 9 2 8" xfId="50410"/>
    <cellStyle name="Comma 9 2 8 2" xfId="50411"/>
    <cellStyle name="Comma 9 2 8 2 2" xfId="50412"/>
    <cellStyle name="Comma 9 2 8 2 3" xfId="50413"/>
    <cellStyle name="Comma 9 2 8 3" xfId="50414"/>
    <cellStyle name="Comma 9 2 8 3 2" xfId="50415"/>
    <cellStyle name="Comma 9 2 8 3 3" xfId="50416"/>
    <cellStyle name="Comma 9 2 8 4" xfId="50417"/>
    <cellStyle name="Comma 9 2 8 4 2" xfId="50418"/>
    <cellStyle name="Comma 9 2 8 5" xfId="50419"/>
    <cellStyle name="Comma 9 2 8 6" xfId="50420"/>
    <cellStyle name="Comma 9 2 9" xfId="50421"/>
    <cellStyle name="Comma 9 2 9 2" xfId="50422"/>
    <cellStyle name="Comma 9 2 9 2 2" xfId="50423"/>
    <cellStyle name="Comma 9 2 9 2 3" xfId="50424"/>
    <cellStyle name="Comma 9 2 9 3" xfId="50425"/>
    <cellStyle name="Comma 9 2 9 3 2" xfId="50426"/>
    <cellStyle name="Comma 9 2 9 4" xfId="50427"/>
    <cellStyle name="Comma 9 2 9 5" xfId="50428"/>
    <cellStyle name="Comma 9 3" xfId="3786"/>
    <cellStyle name="Comma 9 3 10" xfId="50429"/>
    <cellStyle name="Comma 9 3 10 2" xfId="50430"/>
    <cellStyle name="Comma 9 3 10 3" xfId="50431"/>
    <cellStyle name="Comma 9 3 11" xfId="50432"/>
    <cellStyle name="Comma 9 3 11 2" xfId="50433"/>
    <cellStyle name="Comma 9 3 12" xfId="50434"/>
    <cellStyle name="Comma 9 3 13" xfId="50435"/>
    <cellStyle name="Comma 9 3 14" xfId="50436"/>
    <cellStyle name="Comma 9 3 2" xfId="3787"/>
    <cellStyle name="Comma 9 3 2 10" xfId="50437"/>
    <cellStyle name="Comma 9 3 2 10 2" xfId="50438"/>
    <cellStyle name="Comma 9 3 2 11" xfId="50439"/>
    <cellStyle name="Comma 9 3 2 12" xfId="50440"/>
    <cellStyle name="Comma 9 3 2 2" xfId="3788"/>
    <cellStyle name="Comma 9 3 2 2 10" xfId="50441"/>
    <cellStyle name="Comma 9 3 2 2 2" xfId="3789"/>
    <cellStyle name="Comma 9 3 2 2 2 2" xfId="3790"/>
    <cellStyle name="Comma 9 3 2 2 2 2 2" xfId="50442"/>
    <cellStyle name="Comma 9 3 2 2 2 2 2 2" xfId="50443"/>
    <cellStyle name="Comma 9 3 2 2 2 2 2 3" xfId="50444"/>
    <cellStyle name="Comma 9 3 2 2 2 2 3" xfId="50445"/>
    <cellStyle name="Comma 9 3 2 2 2 2 3 2" xfId="50446"/>
    <cellStyle name="Comma 9 3 2 2 2 2 3 3" xfId="50447"/>
    <cellStyle name="Comma 9 3 2 2 2 2 4" xfId="50448"/>
    <cellStyle name="Comma 9 3 2 2 2 2 4 2" xfId="50449"/>
    <cellStyle name="Comma 9 3 2 2 2 2 5" xfId="50450"/>
    <cellStyle name="Comma 9 3 2 2 2 2 6" xfId="50451"/>
    <cellStyle name="Comma 9 3 2 2 2 3" xfId="50452"/>
    <cellStyle name="Comma 9 3 2 2 2 3 2" xfId="50453"/>
    <cellStyle name="Comma 9 3 2 2 2 3 2 2" xfId="50454"/>
    <cellStyle name="Comma 9 3 2 2 2 3 2 3" xfId="50455"/>
    <cellStyle name="Comma 9 3 2 2 2 3 3" xfId="50456"/>
    <cellStyle name="Comma 9 3 2 2 2 3 3 2" xfId="50457"/>
    <cellStyle name="Comma 9 3 2 2 2 3 3 3" xfId="50458"/>
    <cellStyle name="Comma 9 3 2 2 2 3 4" xfId="50459"/>
    <cellStyle name="Comma 9 3 2 2 2 3 4 2" xfId="50460"/>
    <cellStyle name="Comma 9 3 2 2 2 3 5" xfId="50461"/>
    <cellStyle name="Comma 9 3 2 2 2 3 6" xfId="50462"/>
    <cellStyle name="Comma 9 3 2 2 2 4" xfId="50463"/>
    <cellStyle name="Comma 9 3 2 2 2 4 2" xfId="50464"/>
    <cellStyle name="Comma 9 3 2 2 2 4 2 2" xfId="50465"/>
    <cellStyle name="Comma 9 3 2 2 2 4 2 3" xfId="50466"/>
    <cellStyle name="Comma 9 3 2 2 2 4 3" xfId="50467"/>
    <cellStyle name="Comma 9 3 2 2 2 4 3 2" xfId="50468"/>
    <cellStyle name="Comma 9 3 2 2 2 4 4" xfId="50469"/>
    <cellStyle name="Comma 9 3 2 2 2 4 5" xfId="50470"/>
    <cellStyle name="Comma 9 3 2 2 2 5" xfId="50471"/>
    <cellStyle name="Comma 9 3 2 2 2 5 2" xfId="50472"/>
    <cellStyle name="Comma 9 3 2 2 2 5 3" xfId="50473"/>
    <cellStyle name="Comma 9 3 2 2 2 6" xfId="50474"/>
    <cellStyle name="Comma 9 3 2 2 2 6 2" xfId="50475"/>
    <cellStyle name="Comma 9 3 2 2 2 6 3" xfId="50476"/>
    <cellStyle name="Comma 9 3 2 2 2 7" xfId="50477"/>
    <cellStyle name="Comma 9 3 2 2 2 7 2" xfId="50478"/>
    <cellStyle name="Comma 9 3 2 2 2 8" xfId="50479"/>
    <cellStyle name="Comma 9 3 2 2 2 9" xfId="50480"/>
    <cellStyle name="Comma 9 3 2 2 3" xfId="3791"/>
    <cellStyle name="Comma 9 3 2 2 3 2" xfId="50481"/>
    <cellStyle name="Comma 9 3 2 2 3 2 2" xfId="50482"/>
    <cellStyle name="Comma 9 3 2 2 3 2 3" xfId="50483"/>
    <cellStyle name="Comma 9 3 2 2 3 3" xfId="50484"/>
    <cellStyle name="Comma 9 3 2 2 3 3 2" xfId="50485"/>
    <cellStyle name="Comma 9 3 2 2 3 3 3" xfId="50486"/>
    <cellStyle name="Comma 9 3 2 2 3 4" xfId="50487"/>
    <cellStyle name="Comma 9 3 2 2 3 4 2" xfId="50488"/>
    <cellStyle name="Comma 9 3 2 2 3 5" xfId="50489"/>
    <cellStyle name="Comma 9 3 2 2 3 6" xfId="50490"/>
    <cellStyle name="Comma 9 3 2 2 4" xfId="50491"/>
    <cellStyle name="Comma 9 3 2 2 4 2" xfId="50492"/>
    <cellStyle name="Comma 9 3 2 2 4 2 2" xfId="50493"/>
    <cellStyle name="Comma 9 3 2 2 4 2 3" xfId="50494"/>
    <cellStyle name="Comma 9 3 2 2 4 3" xfId="50495"/>
    <cellStyle name="Comma 9 3 2 2 4 3 2" xfId="50496"/>
    <cellStyle name="Comma 9 3 2 2 4 3 3" xfId="50497"/>
    <cellStyle name="Comma 9 3 2 2 4 4" xfId="50498"/>
    <cellStyle name="Comma 9 3 2 2 4 4 2" xfId="50499"/>
    <cellStyle name="Comma 9 3 2 2 4 5" xfId="50500"/>
    <cellStyle name="Comma 9 3 2 2 4 6" xfId="50501"/>
    <cellStyle name="Comma 9 3 2 2 5" xfId="50502"/>
    <cellStyle name="Comma 9 3 2 2 5 2" xfId="50503"/>
    <cellStyle name="Comma 9 3 2 2 5 2 2" xfId="50504"/>
    <cellStyle name="Comma 9 3 2 2 5 2 3" xfId="50505"/>
    <cellStyle name="Comma 9 3 2 2 5 3" xfId="50506"/>
    <cellStyle name="Comma 9 3 2 2 5 3 2" xfId="50507"/>
    <cellStyle name="Comma 9 3 2 2 5 4" xfId="50508"/>
    <cellStyle name="Comma 9 3 2 2 5 5" xfId="50509"/>
    <cellStyle name="Comma 9 3 2 2 6" xfId="50510"/>
    <cellStyle name="Comma 9 3 2 2 6 2" xfId="50511"/>
    <cellStyle name="Comma 9 3 2 2 6 3" xfId="50512"/>
    <cellStyle name="Comma 9 3 2 2 7" xfId="50513"/>
    <cellStyle name="Comma 9 3 2 2 7 2" xfId="50514"/>
    <cellStyle name="Comma 9 3 2 2 7 3" xfId="50515"/>
    <cellStyle name="Comma 9 3 2 2 8" xfId="50516"/>
    <cellStyle name="Comma 9 3 2 2 8 2" xfId="50517"/>
    <cellStyle name="Comma 9 3 2 2 9" xfId="50518"/>
    <cellStyle name="Comma 9 3 2 3" xfId="3792"/>
    <cellStyle name="Comma 9 3 2 3 2" xfId="3793"/>
    <cellStyle name="Comma 9 3 2 3 2 2" xfId="50519"/>
    <cellStyle name="Comma 9 3 2 3 2 2 2" xfId="50520"/>
    <cellStyle name="Comma 9 3 2 3 2 2 3" xfId="50521"/>
    <cellStyle name="Comma 9 3 2 3 2 3" xfId="50522"/>
    <cellStyle name="Comma 9 3 2 3 2 3 2" xfId="50523"/>
    <cellStyle name="Comma 9 3 2 3 2 3 3" xfId="50524"/>
    <cellStyle name="Comma 9 3 2 3 2 4" xfId="50525"/>
    <cellStyle name="Comma 9 3 2 3 2 4 2" xfId="50526"/>
    <cellStyle name="Comma 9 3 2 3 2 5" xfId="50527"/>
    <cellStyle name="Comma 9 3 2 3 2 6" xfId="50528"/>
    <cellStyle name="Comma 9 3 2 3 3" xfId="50529"/>
    <cellStyle name="Comma 9 3 2 3 3 2" xfId="50530"/>
    <cellStyle name="Comma 9 3 2 3 3 2 2" xfId="50531"/>
    <cellStyle name="Comma 9 3 2 3 3 2 3" xfId="50532"/>
    <cellStyle name="Comma 9 3 2 3 3 3" xfId="50533"/>
    <cellStyle name="Comma 9 3 2 3 3 3 2" xfId="50534"/>
    <cellStyle name="Comma 9 3 2 3 3 3 3" xfId="50535"/>
    <cellStyle name="Comma 9 3 2 3 3 4" xfId="50536"/>
    <cellStyle name="Comma 9 3 2 3 3 4 2" xfId="50537"/>
    <cellStyle name="Comma 9 3 2 3 3 5" xfId="50538"/>
    <cellStyle name="Comma 9 3 2 3 3 6" xfId="50539"/>
    <cellStyle name="Comma 9 3 2 3 4" xfId="50540"/>
    <cellStyle name="Comma 9 3 2 3 4 2" xfId="50541"/>
    <cellStyle name="Comma 9 3 2 3 4 2 2" xfId="50542"/>
    <cellStyle name="Comma 9 3 2 3 4 2 3" xfId="50543"/>
    <cellStyle name="Comma 9 3 2 3 4 3" xfId="50544"/>
    <cellStyle name="Comma 9 3 2 3 4 3 2" xfId="50545"/>
    <cellStyle name="Comma 9 3 2 3 4 4" xfId="50546"/>
    <cellStyle name="Comma 9 3 2 3 4 5" xfId="50547"/>
    <cellStyle name="Comma 9 3 2 3 5" xfId="50548"/>
    <cellStyle name="Comma 9 3 2 3 5 2" xfId="50549"/>
    <cellStyle name="Comma 9 3 2 3 5 3" xfId="50550"/>
    <cellStyle name="Comma 9 3 2 3 6" xfId="50551"/>
    <cellStyle name="Comma 9 3 2 3 6 2" xfId="50552"/>
    <cellStyle name="Comma 9 3 2 3 6 3" xfId="50553"/>
    <cellStyle name="Comma 9 3 2 3 7" xfId="50554"/>
    <cellStyle name="Comma 9 3 2 3 7 2" xfId="50555"/>
    <cellStyle name="Comma 9 3 2 3 8" xfId="50556"/>
    <cellStyle name="Comma 9 3 2 3 9" xfId="50557"/>
    <cellStyle name="Comma 9 3 2 4" xfId="3794"/>
    <cellStyle name="Comma 9 3 2 4 2" xfId="50558"/>
    <cellStyle name="Comma 9 3 2 4 2 2" xfId="50559"/>
    <cellStyle name="Comma 9 3 2 4 2 2 2" xfId="50560"/>
    <cellStyle name="Comma 9 3 2 4 2 2 3" xfId="50561"/>
    <cellStyle name="Comma 9 3 2 4 2 3" xfId="50562"/>
    <cellStyle name="Comma 9 3 2 4 2 3 2" xfId="50563"/>
    <cellStyle name="Comma 9 3 2 4 2 3 3" xfId="50564"/>
    <cellStyle name="Comma 9 3 2 4 2 4" xfId="50565"/>
    <cellStyle name="Comma 9 3 2 4 2 4 2" xfId="50566"/>
    <cellStyle name="Comma 9 3 2 4 2 5" xfId="50567"/>
    <cellStyle name="Comma 9 3 2 4 2 6" xfId="50568"/>
    <cellStyle name="Comma 9 3 2 4 3" xfId="50569"/>
    <cellStyle name="Comma 9 3 2 4 3 2" xfId="50570"/>
    <cellStyle name="Comma 9 3 2 4 3 2 2" xfId="50571"/>
    <cellStyle name="Comma 9 3 2 4 3 2 3" xfId="50572"/>
    <cellStyle name="Comma 9 3 2 4 3 3" xfId="50573"/>
    <cellStyle name="Comma 9 3 2 4 3 3 2" xfId="50574"/>
    <cellStyle name="Comma 9 3 2 4 3 3 3" xfId="50575"/>
    <cellStyle name="Comma 9 3 2 4 3 4" xfId="50576"/>
    <cellStyle name="Comma 9 3 2 4 3 4 2" xfId="50577"/>
    <cellStyle name="Comma 9 3 2 4 3 5" xfId="50578"/>
    <cellStyle name="Comma 9 3 2 4 3 6" xfId="50579"/>
    <cellStyle name="Comma 9 3 2 4 4" xfId="50580"/>
    <cellStyle name="Comma 9 3 2 4 4 2" xfId="50581"/>
    <cellStyle name="Comma 9 3 2 4 4 2 2" xfId="50582"/>
    <cellStyle name="Comma 9 3 2 4 4 2 3" xfId="50583"/>
    <cellStyle name="Comma 9 3 2 4 4 3" xfId="50584"/>
    <cellStyle name="Comma 9 3 2 4 4 3 2" xfId="50585"/>
    <cellStyle name="Comma 9 3 2 4 4 4" xfId="50586"/>
    <cellStyle name="Comma 9 3 2 4 4 5" xfId="50587"/>
    <cellStyle name="Comma 9 3 2 4 5" xfId="50588"/>
    <cellStyle name="Comma 9 3 2 4 5 2" xfId="50589"/>
    <cellStyle name="Comma 9 3 2 4 5 3" xfId="50590"/>
    <cellStyle name="Comma 9 3 2 4 6" xfId="50591"/>
    <cellStyle name="Comma 9 3 2 4 6 2" xfId="50592"/>
    <cellStyle name="Comma 9 3 2 4 6 3" xfId="50593"/>
    <cellStyle name="Comma 9 3 2 4 7" xfId="50594"/>
    <cellStyle name="Comma 9 3 2 4 7 2" xfId="50595"/>
    <cellStyle name="Comma 9 3 2 4 8" xfId="50596"/>
    <cellStyle name="Comma 9 3 2 4 9" xfId="50597"/>
    <cellStyle name="Comma 9 3 2 5" xfId="50598"/>
    <cellStyle name="Comma 9 3 2 5 2" xfId="50599"/>
    <cellStyle name="Comma 9 3 2 5 2 2" xfId="50600"/>
    <cellStyle name="Comma 9 3 2 5 2 3" xfId="50601"/>
    <cellStyle name="Comma 9 3 2 5 3" xfId="50602"/>
    <cellStyle name="Comma 9 3 2 5 3 2" xfId="50603"/>
    <cellStyle name="Comma 9 3 2 5 3 3" xfId="50604"/>
    <cellStyle name="Comma 9 3 2 5 4" xfId="50605"/>
    <cellStyle name="Comma 9 3 2 5 4 2" xfId="50606"/>
    <cellStyle name="Comma 9 3 2 5 5" xfId="50607"/>
    <cellStyle name="Comma 9 3 2 5 6" xfId="50608"/>
    <cellStyle name="Comma 9 3 2 6" xfId="50609"/>
    <cellStyle name="Comma 9 3 2 6 2" xfId="50610"/>
    <cellStyle name="Comma 9 3 2 6 2 2" xfId="50611"/>
    <cellStyle name="Comma 9 3 2 6 2 3" xfId="50612"/>
    <cellStyle name="Comma 9 3 2 6 3" xfId="50613"/>
    <cellStyle name="Comma 9 3 2 6 3 2" xfId="50614"/>
    <cellStyle name="Comma 9 3 2 6 3 3" xfId="50615"/>
    <cellStyle name="Comma 9 3 2 6 4" xfId="50616"/>
    <cellStyle name="Comma 9 3 2 6 4 2" xfId="50617"/>
    <cellStyle name="Comma 9 3 2 6 5" xfId="50618"/>
    <cellStyle name="Comma 9 3 2 6 6" xfId="50619"/>
    <cellStyle name="Comma 9 3 2 7" xfId="50620"/>
    <cellStyle name="Comma 9 3 2 7 2" xfId="50621"/>
    <cellStyle name="Comma 9 3 2 7 2 2" xfId="50622"/>
    <cellStyle name="Comma 9 3 2 7 2 3" xfId="50623"/>
    <cellStyle name="Comma 9 3 2 7 3" xfId="50624"/>
    <cellStyle name="Comma 9 3 2 7 3 2" xfId="50625"/>
    <cellStyle name="Comma 9 3 2 7 4" xfId="50626"/>
    <cellStyle name="Comma 9 3 2 7 5" xfId="50627"/>
    <cellStyle name="Comma 9 3 2 8" xfId="50628"/>
    <cellStyle name="Comma 9 3 2 8 2" xfId="50629"/>
    <cellStyle name="Comma 9 3 2 8 3" xfId="50630"/>
    <cellStyle name="Comma 9 3 2 9" xfId="50631"/>
    <cellStyle name="Comma 9 3 2 9 2" xfId="50632"/>
    <cellStyle name="Comma 9 3 2 9 3" xfId="50633"/>
    <cellStyle name="Comma 9 3 3" xfId="3795"/>
    <cellStyle name="Comma 9 3 3 10" xfId="50634"/>
    <cellStyle name="Comma 9 3 3 2" xfId="3796"/>
    <cellStyle name="Comma 9 3 3 2 2" xfId="3797"/>
    <cellStyle name="Comma 9 3 3 2 2 2" xfId="50635"/>
    <cellStyle name="Comma 9 3 3 2 2 2 2" xfId="50636"/>
    <cellStyle name="Comma 9 3 3 2 2 2 3" xfId="50637"/>
    <cellStyle name="Comma 9 3 3 2 2 3" xfId="50638"/>
    <cellStyle name="Comma 9 3 3 2 2 3 2" xfId="50639"/>
    <cellStyle name="Comma 9 3 3 2 2 3 3" xfId="50640"/>
    <cellStyle name="Comma 9 3 3 2 2 4" xfId="50641"/>
    <cellStyle name="Comma 9 3 3 2 2 4 2" xfId="50642"/>
    <cellStyle name="Comma 9 3 3 2 2 5" xfId="50643"/>
    <cellStyle name="Comma 9 3 3 2 2 6" xfId="50644"/>
    <cellStyle name="Comma 9 3 3 2 3" xfId="50645"/>
    <cellStyle name="Comma 9 3 3 2 3 2" xfId="50646"/>
    <cellStyle name="Comma 9 3 3 2 3 2 2" xfId="50647"/>
    <cellStyle name="Comma 9 3 3 2 3 2 3" xfId="50648"/>
    <cellStyle name="Comma 9 3 3 2 3 3" xfId="50649"/>
    <cellStyle name="Comma 9 3 3 2 3 3 2" xfId="50650"/>
    <cellStyle name="Comma 9 3 3 2 3 3 3" xfId="50651"/>
    <cellStyle name="Comma 9 3 3 2 3 4" xfId="50652"/>
    <cellStyle name="Comma 9 3 3 2 3 4 2" xfId="50653"/>
    <cellStyle name="Comma 9 3 3 2 3 5" xfId="50654"/>
    <cellStyle name="Comma 9 3 3 2 3 6" xfId="50655"/>
    <cellStyle name="Comma 9 3 3 2 4" xfId="50656"/>
    <cellStyle name="Comma 9 3 3 2 4 2" xfId="50657"/>
    <cellStyle name="Comma 9 3 3 2 4 2 2" xfId="50658"/>
    <cellStyle name="Comma 9 3 3 2 4 2 3" xfId="50659"/>
    <cellStyle name="Comma 9 3 3 2 4 3" xfId="50660"/>
    <cellStyle name="Comma 9 3 3 2 4 3 2" xfId="50661"/>
    <cellStyle name="Comma 9 3 3 2 4 4" xfId="50662"/>
    <cellStyle name="Comma 9 3 3 2 4 5" xfId="50663"/>
    <cellStyle name="Comma 9 3 3 2 5" xfId="50664"/>
    <cellStyle name="Comma 9 3 3 2 5 2" xfId="50665"/>
    <cellStyle name="Comma 9 3 3 2 5 3" xfId="50666"/>
    <cellStyle name="Comma 9 3 3 2 6" xfId="50667"/>
    <cellStyle name="Comma 9 3 3 2 6 2" xfId="50668"/>
    <cellStyle name="Comma 9 3 3 2 6 3" xfId="50669"/>
    <cellStyle name="Comma 9 3 3 2 7" xfId="50670"/>
    <cellStyle name="Comma 9 3 3 2 7 2" xfId="50671"/>
    <cellStyle name="Comma 9 3 3 2 8" xfId="50672"/>
    <cellStyle name="Comma 9 3 3 2 9" xfId="50673"/>
    <cellStyle name="Comma 9 3 3 3" xfId="3798"/>
    <cellStyle name="Comma 9 3 3 3 2" xfId="50674"/>
    <cellStyle name="Comma 9 3 3 3 2 2" xfId="50675"/>
    <cellStyle name="Comma 9 3 3 3 2 3" xfId="50676"/>
    <cellStyle name="Comma 9 3 3 3 3" xfId="50677"/>
    <cellStyle name="Comma 9 3 3 3 3 2" xfId="50678"/>
    <cellStyle name="Comma 9 3 3 3 3 3" xfId="50679"/>
    <cellStyle name="Comma 9 3 3 3 4" xfId="50680"/>
    <cellStyle name="Comma 9 3 3 3 4 2" xfId="50681"/>
    <cellStyle name="Comma 9 3 3 3 5" xfId="50682"/>
    <cellStyle name="Comma 9 3 3 3 6" xfId="50683"/>
    <cellStyle name="Comma 9 3 3 4" xfId="50684"/>
    <cellStyle name="Comma 9 3 3 4 2" xfId="50685"/>
    <cellStyle name="Comma 9 3 3 4 2 2" xfId="50686"/>
    <cellStyle name="Comma 9 3 3 4 2 3" xfId="50687"/>
    <cellStyle name="Comma 9 3 3 4 3" xfId="50688"/>
    <cellStyle name="Comma 9 3 3 4 3 2" xfId="50689"/>
    <cellStyle name="Comma 9 3 3 4 3 3" xfId="50690"/>
    <cellStyle name="Comma 9 3 3 4 4" xfId="50691"/>
    <cellStyle name="Comma 9 3 3 4 4 2" xfId="50692"/>
    <cellStyle name="Comma 9 3 3 4 5" xfId="50693"/>
    <cellStyle name="Comma 9 3 3 4 6" xfId="50694"/>
    <cellStyle name="Comma 9 3 3 5" xfId="50695"/>
    <cellStyle name="Comma 9 3 3 5 2" xfId="50696"/>
    <cellStyle name="Comma 9 3 3 5 2 2" xfId="50697"/>
    <cellStyle name="Comma 9 3 3 5 2 3" xfId="50698"/>
    <cellStyle name="Comma 9 3 3 5 3" xfId="50699"/>
    <cellStyle name="Comma 9 3 3 5 3 2" xfId="50700"/>
    <cellStyle name="Comma 9 3 3 5 4" xfId="50701"/>
    <cellStyle name="Comma 9 3 3 5 5" xfId="50702"/>
    <cellStyle name="Comma 9 3 3 6" xfId="50703"/>
    <cellStyle name="Comma 9 3 3 6 2" xfId="50704"/>
    <cellStyle name="Comma 9 3 3 6 3" xfId="50705"/>
    <cellStyle name="Comma 9 3 3 7" xfId="50706"/>
    <cellStyle name="Comma 9 3 3 7 2" xfId="50707"/>
    <cellStyle name="Comma 9 3 3 7 3" xfId="50708"/>
    <cellStyle name="Comma 9 3 3 8" xfId="50709"/>
    <cellStyle name="Comma 9 3 3 8 2" xfId="50710"/>
    <cellStyle name="Comma 9 3 3 9" xfId="50711"/>
    <cellStyle name="Comma 9 3 4" xfId="3799"/>
    <cellStyle name="Comma 9 3 4 2" xfId="3800"/>
    <cellStyle name="Comma 9 3 4 2 2" xfId="50712"/>
    <cellStyle name="Comma 9 3 4 2 2 2" xfId="50713"/>
    <cellStyle name="Comma 9 3 4 2 2 3" xfId="50714"/>
    <cellStyle name="Comma 9 3 4 2 3" xfId="50715"/>
    <cellStyle name="Comma 9 3 4 2 3 2" xfId="50716"/>
    <cellStyle name="Comma 9 3 4 2 3 3" xfId="50717"/>
    <cellStyle name="Comma 9 3 4 2 4" xfId="50718"/>
    <cellStyle name="Comma 9 3 4 2 4 2" xfId="50719"/>
    <cellStyle name="Comma 9 3 4 2 5" xfId="50720"/>
    <cellStyle name="Comma 9 3 4 2 6" xfId="50721"/>
    <cellStyle name="Comma 9 3 4 3" xfId="50722"/>
    <cellStyle name="Comma 9 3 4 3 2" xfId="50723"/>
    <cellStyle name="Comma 9 3 4 3 2 2" xfId="50724"/>
    <cellStyle name="Comma 9 3 4 3 2 3" xfId="50725"/>
    <cellStyle name="Comma 9 3 4 3 3" xfId="50726"/>
    <cellStyle name="Comma 9 3 4 3 3 2" xfId="50727"/>
    <cellStyle name="Comma 9 3 4 3 3 3" xfId="50728"/>
    <cellStyle name="Comma 9 3 4 3 4" xfId="50729"/>
    <cellStyle name="Comma 9 3 4 3 4 2" xfId="50730"/>
    <cellStyle name="Comma 9 3 4 3 5" xfId="50731"/>
    <cellStyle name="Comma 9 3 4 3 6" xfId="50732"/>
    <cellStyle name="Comma 9 3 4 4" xfId="50733"/>
    <cellStyle name="Comma 9 3 4 4 2" xfId="50734"/>
    <cellStyle name="Comma 9 3 4 4 2 2" xfId="50735"/>
    <cellStyle name="Comma 9 3 4 4 2 3" xfId="50736"/>
    <cellStyle name="Comma 9 3 4 4 3" xfId="50737"/>
    <cellStyle name="Comma 9 3 4 4 3 2" xfId="50738"/>
    <cellStyle name="Comma 9 3 4 4 4" xfId="50739"/>
    <cellStyle name="Comma 9 3 4 4 5" xfId="50740"/>
    <cellStyle name="Comma 9 3 4 5" xfId="50741"/>
    <cellStyle name="Comma 9 3 4 5 2" xfId="50742"/>
    <cellStyle name="Comma 9 3 4 5 3" xfId="50743"/>
    <cellStyle name="Comma 9 3 4 6" xfId="50744"/>
    <cellStyle name="Comma 9 3 4 6 2" xfId="50745"/>
    <cellStyle name="Comma 9 3 4 6 3" xfId="50746"/>
    <cellStyle name="Comma 9 3 4 7" xfId="50747"/>
    <cellStyle name="Comma 9 3 4 7 2" xfId="50748"/>
    <cellStyle name="Comma 9 3 4 8" xfId="50749"/>
    <cellStyle name="Comma 9 3 4 9" xfId="50750"/>
    <cellStyle name="Comma 9 3 5" xfId="3801"/>
    <cellStyle name="Comma 9 3 5 2" xfId="50751"/>
    <cellStyle name="Comma 9 3 5 2 2" xfId="50752"/>
    <cellStyle name="Comma 9 3 5 2 2 2" xfId="50753"/>
    <cellStyle name="Comma 9 3 5 2 2 3" xfId="50754"/>
    <cellStyle name="Comma 9 3 5 2 3" xfId="50755"/>
    <cellStyle name="Comma 9 3 5 2 3 2" xfId="50756"/>
    <cellStyle name="Comma 9 3 5 2 3 3" xfId="50757"/>
    <cellStyle name="Comma 9 3 5 2 4" xfId="50758"/>
    <cellStyle name="Comma 9 3 5 2 4 2" xfId="50759"/>
    <cellStyle name="Comma 9 3 5 2 5" xfId="50760"/>
    <cellStyle name="Comma 9 3 5 2 6" xfId="50761"/>
    <cellStyle name="Comma 9 3 5 3" xfId="50762"/>
    <cellStyle name="Comma 9 3 5 3 2" xfId="50763"/>
    <cellStyle name="Comma 9 3 5 3 2 2" xfId="50764"/>
    <cellStyle name="Comma 9 3 5 3 2 3" xfId="50765"/>
    <cellStyle name="Comma 9 3 5 3 3" xfId="50766"/>
    <cellStyle name="Comma 9 3 5 3 3 2" xfId="50767"/>
    <cellStyle name="Comma 9 3 5 3 3 3" xfId="50768"/>
    <cellStyle name="Comma 9 3 5 3 4" xfId="50769"/>
    <cellStyle name="Comma 9 3 5 3 4 2" xfId="50770"/>
    <cellStyle name="Comma 9 3 5 3 5" xfId="50771"/>
    <cellStyle name="Comma 9 3 5 3 6" xfId="50772"/>
    <cellStyle name="Comma 9 3 5 4" xfId="50773"/>
    <cellStyle name="Comma 9 3 5 4 2" xfId="50774"/>
    <cellStyle name="Comma 9 3 5 4 2 2" xfId="50775"/>
    <cellStyle name="Comma 9 3 5 4 2 3" xfId="50776"/>
    <cellStyle name="Comma 9 3 5 4 3" xfId="50777"/>
    <cellStyle name="Comma 9 3 5 4 3 2" xfId="50778"/>
    <cellStyle name="Comma 9 3 5 4 4" xfId="50779"/>
    <cellStyle name="Comma 9 3 5 4 5" xfId="50780"/>
    <cellStyle name="Comma 9 3 5 5" xfId="50781"/>
    <cellStyle name="Comma 9 3 5 5 2" xfId="50782"/>
    <cellStyle name="Comma 9 3 5 5 3" xfId="50783"/>
    <cellStyle name="Comma 9 3 5 6" xfId="50784"/>
    <cellStyle name="Comma 9 3 5 6 2" xfId="50785"/>
    <cellStyle name="Comma 9 3 5 6 3" xfId="50786"/>
    <cellStyle name="Comma 9 3 5 7" xfId="50787"/>
    <cellStyle name="Comma 9 3 5 7 2" xfId="50788"/>
    <cellStyle name="Comma 9 3 5 8" xfId="50789"/>
    <cellStyle name="Comma 9 3 5 9" xfId="50790"/>
    <cellStyle name="Comma 9 3 6" xfId="50791"/>
    <cellStyle name="Comma 9 3 6 2" xfId="50792"/>
    <cellStyle name="Comma 9 3 6 2 2" xfId="50793"/>
    <cellStyle name="Comma 9 3 6 2 3" xfId="50794"/>
    <cellStyle name="Comma 9 3 6 3" xfId="50795"/>
    <cellStyle name="Comma 9 3 6 3 2" xfId="50796"/>
    <cellStyle name="Comma 9 3 6 3 3" xfId="50797"/>
    <cellStyle name="Comma 9 3 6 4" xfId="50798"/>
    <cellStyle name="Comma 9 3 6 4 2" xfId="50799"/>
    <cellStyle name="Comma 9 3 6 5" xfId="50800"/>
    <cellStyle name="Comma 9 3 6 6" xfId="50801"/>
    <cellStyle name="Comma 9 3 7" xfId="50802"/>
    <cellStyle name="Comma 9 3 7 2" xfId="50803"/>
    <cellStyle name="Comma 9 3 7 2 2" xfId="50804"/>
    <cellStyle name="Comma 9 3 7 2 3" xfId="50805"/>
    <cellStyle name="Comma 9 3 7 3" xfId="50806"/>
    <cellStyle name="Comma 9 3 7 3 2" xfId="50807"/>
    <cellStyle name="Comma 9 3 7 3 3" xfId="50808"/>
    <cellStyle name="Comma 9 3 7 4" xfId="50809"/>
    <cellStyle name="Comma 9 3 7 4 2" xfId="50810"/>
    <cellStyle name="Comma 9 3 7 5" xfId="50811"/>
    <cellStyle name="Comma 9 3 7 6" xfId="50812"/>
    <cellStyle name="Comma 9 3 8" xfId="50813"/>
    <cellStyle name="Comma 9 3 8 2" xfId="50814"/>
    <cellStyle name="Comma 9 3 8 2 2" xfId="50815"/>
    <cellStyle name="Comma 9 3 8 2 3" xfId="50816"/>
    <cellStyle name="Comma 9 3 8 3" xfId="50817"/>
    <cellStyle name="Comma 9 3 8 3 2" xfId="50818"/>
    <cellStyle name="Comma 9 3 8 4" xfId="50819"/>
    <cellStyle name="Comma 9 3 8 5" xfId="50820"/>
    <cellStyle name="Comma 9 3 9" xfId="50821"/>
    <cellStyle name="Comma 9 3 9 2" xfId="50822"/>
    <cellStyle name="Comma 9 3 9 3" xfId="50823"/>
    <cellStyle name="Comma 9 4" xfId="3802"/>
    <cellStyle name="Comma 9 4 10" xfId="50824"/>
    <cellStyle name="Comma 9 4 10 2" xfId="50825"/>
    <cellStyle name="Comma 9 4 11" xfId="50826"/>
    <cellStyle name="Comma 9 4 12" xfId="50827"/>
    <cellStyle name="Comma 9 4 2" xfId="3803"/>
    <cellStyle name="Comma 9 4 2 10" xfId="50828"/>
    <cellStyle name="Comma 9 4 2 2" xfId="3804"/>
    <cellStyle name="Comma 9 4 2 2 2" xfId="3805"/>
    <cellStyle name="Comma 9 4 2 2 2 2" xfId="50829"/>
    <cellStyle name="Comma 9 4 2 2 2 2 2" xfId="50830"/>
    <cellStyle name="Comma 9 4 2 2 2 2 3" xfId="50831"/>
    <cellStyle name="Comma 9 4 2 2 2 3" xfId="50832"/>
    <cellStyle name="Comma 9 4 2 2 2 3 2" xfId="50833"/>
    <cellStyle name="Comma 9 4 2 2 2 3 3" xfId="50834"/>
    <cellStyle name="Comma 9 4 2 2 2 4" xfId="50835"/>
    <cellStyle name="Comma 9 4 2 2 2 4 2" xfId="50836"/>
    <cellStyle name="Comma 9 4 2 2 2 5" xfId="50837"/>
    <cellStyle name="Comma 9 4 2 2 2 6" xfId="50838"/>
    <cellStyle name="Comma 9 4 2 2 3" xfId="50839"/>
    <cellStyle name="Comma 9 4 2 2 3 2" xfId="50840"/>
    <cellStyle name="Comma 9 4 2 2 3 2 2" xfId="50841"/>
    <cellStyle name="Comma 9 4 2 2 3 2 3" xfId="50842"/>
    <cellStyle name="Comma 9 4 2 2 3 3" xfId="50843"/>
    <cellStyle name="Comma 9 4 2 2 3 3 2" xfId="50844"/>
    <cellStyle name="Comma 9 4 2 2 3 3 3" xfId="50845"/>
    <cellStyle name="Comma 9 4 2 2 3 4" xfId="50846"/>
    <cellStyle name="Comma 9 4 2 2 3 4 2" xfId="50847"/>
    <cellStyle name="Comma 9 4 2 2 3 5" xfId="50848"/>
    <cellStyle name="Comma 9 4 2 2 3 6" xfId="50849"/>
    <cellStyle name="Comma 9 4 2 2 4" xfId="50850"/>
    <cellStyle name="Comma 9 4 2 2 4 2" xfId="50851"/>
    <cellStyle name="Comma 9 4 2 2 4 2 2" xfId="50852"/>
    <cellStyle name="Comma 9 4 2 2 4 2 3" xfId="50853"/>
    <cellStyle name="Comma 9 4 2 2 4 3" xfId="50854"/>
    <cellStyle name="Comma 9 4 2 2 4 3 2" xfId="50855"/>
    <cellStyle name="Comma 9 4 2 2 4 4" xfId="50856"/>
    <cellStyle name="Comma 9 4 2 2 4 5" xfId="50857"/>
    <cellStyle name="Comma 9 4 2 2 5" xfId="50858"/>
    <cellStyle name="Comma 9 4 2 2 5 2" xfId="50859"/>
    <cellStyle name="Comma 9 4 2 2 5 3" xfId="50860"/>
    <cellStyle name="Comma 9 4 2 2 6" xfId="50861"/>
    <cellStyle name="Comma 9 4 2 2 6 2" xfId="50862"/>
    <cellStyle name="Comma 9 4 2 2 6 3" xfId="50863"/>
    <cellStyle name="Comma 9 4 2 2 7" xfId="50864"/>
    <cellStyle name="Comma 9 4 2 2 7 2" xfId="50865"/>
    <cellStyle name="Comma 9 4 2 2 8" xfId="50866"/>
    <cellStyle name="Comma 9 4 2 2 9" xfId="50867"/>
    <cellStyle name="Comma 9 4 2 3" xfId="3806"/>
    <cellStyle name="Comma 9 4 2 3 2" xfId="50868"/>
    <cellStyle name="Comma 9 4 2 3 2 2" xfId="50869"/>
    <cellStyle name="Comma 9 4 2 3 2 3" xfId="50870"/>
    <cellStyle name="Comma 9 4 2 3 3" xfId="50871"/>
    <cellStyle name="Comma 9 4 2 3 3 2" xfId="50872"/>
    <cellStyle name="Comma 9 4 2 3 3 3" xfId="50873"/>
    <cellStyle name="Comma 9 4 2 3 4" xfId="50874"/>
    <cellStyle name="Comma 9 4 2 3 4 2" xfId="50875"/>
    <cellStyle name="Comma 9 4 2 3 5" xfId="50876"/>
    <cellStyle name="Comma 9 4 2 3 6" xfId="50877"/>
    <cellStyle name="Comma 9 4 2 4" xfId="50878"/>
    <cellStyle name="Comma 9 4 2 4 2" xfId="50879"/>
    <cellStyle name="Comma 9 4 2 4 2 2" xfId="50880"/>
    <cellStyle name="Comma 9 4 2 4 2 3" xfId="50881"/>
    <cellStyle name="Comma 9 4 2 4 3" xfId="50882"/>
    <cellStyle name="Comma 9 4 2 4 3 2" xfId="50883"/>
    <cellStyle name="Comma 9 4 2 4 3 3" xfId="50884"/>
    <cellStyle name="Comma 9 4 2 4 4" xfId="50885"/>
    <cellStyle name="Comma 9 4 2 4 4 2" xfId="50886"/>
    <cellStyle name="Comma 9 4 2 4 5" xfId="50887"/>
    <cellStyle name="Comma 9 4 2 4 6" xfId="50888"/>
    <cellStyle name="Comma 9 4 2 5" xfId="50889"/>
    <cellStyle name="Comma 9 4 2 5 2" xfId="50890"/>
    <cellStyle name="Comma 9 4 2 5 2 2" xfId="50891"/>
    <cellStyle name="Comma 9 4 2 5 2 3" xfId="50892"/>
    <cellStyle name="Comma 9 4 2 5 3" xfId="50893"/>
    <cellStyle name="Comma 9 4 2 5 3 2" xfId="50894"/>
    <cellStyle name="Comma 9 4 2 5 4" xfId="50895"/>
    <cellStyle name="Comma 9 4 2 5 5" xfId="50896"/>
    <cellStyle name="Comma 9 4 2 6" xfId="50897"/>
    <cellStyle name="Comma 9 4 2 6 2" xfId="50898"/>
    <cellStyle name="Comma 9 4 2 6 3" xfId="50899"/>
    <cellStyle name="Comma 9 4 2 7" xfId="50900"/>
    <cellStyle name="Comma 9 4 2 7 2" xfId="50901"/>
    <cellStyle name="Comma 9 4 2 7 3" xfId="50902"/>
    <cellStyle name="Comma 9 4 2 8" xfId="50903"/>
    <cellStyle name="Comma 9 4 2 8 2" xfId="50904"/>
    <cellStyle name="Comma 9 4 2 9" xfId="50905"/>
    <cellStyle name="Comma 9 4 3" xfId="3807"/>
    <cellStyle name="Comma 9 4 3 2" xfId="3808"/>
    <cellStyle name="Comma 9 4 3 2 2" xfId="50906"/>
    <cellStyle name="Comma 9 4 3 2 2 2" xfId="50907"/>
    <cellStyle name="Comma 9 4 3 2 2 3" xfId="50908"/>
    <cellStyle name="Comma 9 4 3 2 3" xfId="50909"/>
    <cellStyle name="Comma 9 4 3 2 3 2" xfId="50910"/>
    <cellStyle name="Comma 9 4 3 2 3 3" xfId="50911"/>
    <cellStyle name="Comma 9 4 3 2 4" xfId="50912"/>
    <cellStyle name="Comma 9 4 3 2 4 2" xfId="50913"/>
    <cellStyle name="Comma 9 4 3 2 5" xfId="50914"/>
    <cellStyle name="Comma 9 4 3 2 6" xfId="50915"/>
    <cellStyle name="Comma 9 4 3 3" xfId="50916"/>
    <cellStyle name="Comma 9 4 3 3 2" xfId="50917"/>
    <cellStyle name="Comma 9 4 3 3 2 2" xfId="50918"/>
    <cellStyle name="Comma 9 4 3 3 2 3" xfId="50919"/>
    <cellStyle name="Comma 9 4 3 3 3" xfId="50920"/>
    <cellStyle name="Comma 9 4 3 3 3 2" xfId="50921"/>
    <cellStyle name="Comma 9 4 3 3 3 3" xfId="50922"/>
    <cellStyle name="Comma 9 4 3 3 4" xfId="50923"/>
    <cellStyle name="Comma 9 4 3 3 4 2" xfId="50924"/>
    <cellStyle name="Comma 9 4 3 3 5" xfId="50925"/>
    <cellStyle name="Comma 9 4 3 3 6" xfId="50926"/>
    <cellStyle name="Comma 9 4 3 4" xfId="50927"/>
    <cellStyle name="Comma 9 4 3 4 2" xfId="50928"/>
    <cellStyle name="Comma 9 4 3 4 2 2" xfId="50929"/>
    <cellStyle name="Comma 9 4 3 4 2 3" xfId="50930"/>
    <cellStyle name="Comma 9 4 3 4 3" xfId="50931"/>
    <cellStyle name="Comma 9 4 3 4 3 2" xfId="50932"/>
    <cellStyle name="Comma 9 4 3 4 4" xfId="50933"/>
    <cellStyle name="Comma 9 4 3 4 5" xfId="50934"/>
    <cellStyle name="Comma 9 4 3 5" xfId="50935"/>
    <cellStyle name="Comma 9 4 3 5 2" xfId="50936"/>
    <cellStyle name="Comma 9 4 3 5 3" xfId="50937"/>
    <cellStyle name="Comma 9 4 3 6" xfId="50938"/>
    <cellStyle name="Comma 9 4 3 6 2" xfId="50939"/>
    <cellStyle name="Comma 9 4 3 6 3" xfId="50940"/>
    <cellStyle name="Comma 9 4 3 7" xfId="50941"/>
    <cellStyle name="Comma 9 4 3 7 2" xfId="50942"/>
    <cellStyle name="Comma 9 4 3 8" xfId="50943"/>
    <cellStyle name="Comma 9 4 3 9" xfId="50944"/>
    <cellStyle name="Comma 9 4 4" xfId="3809"/>
    <cellStyle name="Comma 9 4 4 2" xfId="50945"/>
    <cellStyle name="Comma 9 4 4 2 2" xfId="50946"/>
    <cellStyle name="Comma 9 4 4 2 2 2" xfId="50947"/>
    <cellStyle name="Comma 9 4 4 2 2 3" xfId="50948"/>
    <cellStyle name="Comma 9 4 4 2 3" xfId="50949"/>
    <cellStyle name="Comma 9 4 4 2 3 2" xfId="50950"/>
    <cellStyle name="Comma 9 4 4 2 3 3" xfId="50951"/>
    <cellStyle name="Comma 9 4 4 2 4" xfId="50952"/>
    <cellStyle name="Comma 9 4 4 2 4 2" xfId="50953"/>
    <cellStyle name="Comma 9 4 4 2 5" xfId="50954"/>
    <cellStyle name="Comma 9 4 4 2 6" xfId="50955"/>
    <cellStyle name="Comma 9 4 4 3" xfId="50956"/>
    <cellStyle name="Comma 9 4 4 3 2" xfId="50957"/>
    <cellStyle name="Comma 9 4 4 3 2 2" xfId="50958"/>
    <cellStyle name="Comma 9 4 4 3 2 3" xfId="50959"/>
    <cellStyle name="Comma 9 4 4 3 3" xfId="50960"/>
    <cellStyle name="Comma 9 4 4 3 3 2" xfId="50961"/>
    <cellStyle name="Comma 9 4 4 3 3 3" xfId="50962"/>
    <cellStyle name="Comma 9 4 4 3 4" xfId="50963"/>
    <cellStyle name="Comma 9 4 4 3 4 2" xfId="50964"/>
    <cellStyle name="Comma 9 4 4 3 5" xfId="50965"/>
    <cellStyle name="Comma 9 4 4 3 6" xfId="50966"/>
    <cellStyle name="Comma 9 4 4 4" xfId="50967"/>
    <cellStyle name="Comma 9 4 4 4 2" xfId="50968"/>
    <cellStyle name="Comma 9 4 4 4 2 2" xfId="50969"/>
    <cellStyle name="Comma 9 4 4 4 2 3" xfId="50970"/>
    <cellStyle name="Comma 9 4 4 4 3" xfId="50971"/>
    <cellStyle name="Comma 9 4 4 4 3 2" xfId="50972"/>
    <cellStyle name="Comma 9 4 4 4 4" xfId="50973"/>
    <cellStyle name="Comma 9 4 4 4 5" xfId="50974"/>
    <cellStyle name="Comma 9 4 4 5" xfId="50975"/>
    <cellStyle name="Comma 9 4 4 5 2" xfId="50976"/>
    <cellStyle name="Comma 9 4 4 5 3" xfId="50977"/>
    <cellStyle name="Comma 9 4 4 6" xfId="50978"/>
    <cellStyle name="Comma 9 4 4 6 2" xfId="50979"/>
    <cellStyle name="Comma 9 4 4 6 3" xfId="50980"/>
    <cellStyle name="Comma 9 4 4 7" xfId="50981"/>
    <cellStyle name="Comma 9 4 4 7 2" xfId="50982"/>
    <cellStyle name="Comma 9 4 4 8" xfId="50983"/>
    <cellStyle name="Comma 9 4 4 9" xfId="50984"/>
    <cellStyle name="Comma 9 4 5" xfId="50985"/>
    <cellStyle name="Comma 9 4 5 2" xfId="50986"/>
    <cellStyle name="Comma 9 4 5 2 2" xfId="50987"/>
    <cellStyle name="Comma 9 4 5 2 3" xfId="50988"/>
    <cellStyle name="Comma 9 4 5 3" xfId="50989"/>
    <cellStyle name="Comma 9 4 5 3 2" xfId="50990"/>
    <cellStyle name="Comma 9 4 5 3 3" xfId="50991"/>
    <cellStyle name="Comma 9 4 5 4" xfId="50992"/>
    <cellStyle name="Comma 9 4 5 4 2" xfId="50993"/>
    <cellStyle name="Comma 9 4 5 5" xfId="50994"/>
    <cellStyle name="Comma 9 4 5 6" xfId="50995"/>
    <cellStyle name="Comma 9 4 6" xfId="50996"/>
    <cellStyle name="Comma 9 4 6 2" xfId="50997"/>
    <cellStyle name="Comma 9 4 6 2 2" xfId="50998"/>
    <cellStyle name="Comma 9 4 6 2 3" xfId="50999"/>
    <cellStyle name="Comma 9 4 6 3" xfId="51000"/>
    <cellStyle name="Comma 9 4 6 3 2" xfId="51001"/>
    <cellStyle name="Comma 9 4 6 3 3" xfId="51002"/>
    <cellStyle name="Comma 9 4 6 4" xfId="51003"/>
    <cellStyle name="Comma 9 4 6 4 2" xfId="51004"/>
    <cellStyle name="Comma 9 4 6 5" xfId="51005"/>
    <cellStyle name="Comma 9 4 6 6" xfId="51006"/>
    <cellStyle name="Comma 9 4 7" xfId="51007"/>
    <cellStyle name="Comma 9 4 7 2" xfId="51008"/>
    <cellStyle name="Comma 9 4 7 2 2" xfId="51009"/>
    <cellStyle name="Comma 9 4 7 2 3" xfId="51010"/>
    <cellStyle name="Comma 9 4 7 3" xfId="51011"/>
    <cellStyle name="Comma 9 4 7 3 2" xfId="51012"/>
    <cellStyle name="Comma 9 4 7 4" xfId="51013"/>
    <cellStyle name="Comma 9 4 7 5" xfId="51014"/>
    <cellStyle name="Comma 9 4 8" xfId="51015"/>
    <cellStyle name="Comma 9 4 8 2" xfId="51016"/>
    <cellStyle name="Comma 9 4 8 3" xfId="51017"/>
    <cellStyle name="Comma 9 4 9" xfId="51018"/>
    <cellStyle name="Comma 9 4 9 2" xfId="51019"/>
    <cellStyle name="Comma 9 4 9 3" xfId="51020"/>
    <cellStyle name="Comma 9 5" xfId="3810"/>
    <cellStyle name="Comma 9 5 10" xfId="51021"/>
    <cellStyle name="Comma 9 5 2" xfId="3811"/>
    <cellStyle name="Comma 9 5 2 2" xfId="3812"/>
    <cellStyle name="Comma 9 5 2 2 2" xfId="51022"/>
    <cellStyle name="Comma 9 5 2 2 2 2" xfId="51023"/>
    <cellStyle name="Comma 9 5 2 2 2 3" xfId="51024"/>
    <cellStyle name="Comma 9 5 2 2 3" xfId="51025"/>
    <cellStyle name="Comma 9 5 2 2 3 2" xfId="51026"/>
    <cellStyle name="Comma 9 5 2 2 3 3" xfId="51027"/>
    <cellStyle name="Comma 9 5 2 2 4" xfId="51028"/>
    <cellStyle name="Comma 9 5 2 2 4 2" xfId="51029"/>
    <cellStyle name="Comma 9 5 2 2 5" xfId="51030"/>
    <cellStyle name="Comma 9 5 2 2 6" xfId="51031"/>
    <cellStyle name="Comma 9 5 2 3" xfId="51032"/>
    <cellStyle name="Comma 9 5 2 3 2" xfId="51033"/>
    <cellStyle name="Comma 9 5 2 3 2 2" xfId="51034"/>
    <cellStyle name="Comma 9 5 2 3 2 3" xfId="51035"/>
    <cellStyle name="Comma 9 5 2 3 3" xfId="51036"/>
    <cellStyle name="Comma 9 5 2 3 3 2" xfId="51037"/>
    <cellStyle name="Comma 9 5 2 3 3 3" xfId="51038"/>
    <cellStyle name="Comma 9 5 2 3 4" xfId="51039"/>
    <cellStyle name="Comma 9 5 2 3 4 2" xfId="51040"/>
    <cellStyle name="Comma 9 5 2 3 5" xfId="51041"/>
    <cellStyle name="Comma 9 5 2 3 6" xfId="51042"/>
    <cellStyle name="Comma 9 5 2 4" xfId="51043"/>
    <cellStyle name="Comma 9 5 2 4 2" xfId="51044"/>
    <cellStyle name="Comma 9 5 2 4 2 2" xfId="51045"/>
    <cellStyle name="Comma 9 5 2 4 2 3" xfId="51046"/>
    <cellStyle name="Comma 9 5 2 4 3" xfId="51047"/>
    <cellStyle name="Comma 9 5 2 4 3 2" xfId="51048"/>
    <cellStyle name="Comma 9 5 2 4 4" xfId="51049"/>
    <cellStyle name="Comma 9 5 2 4 5" xfId="51050"/>
    <cellStyle name="Comma 9 5 2 5" xfId="51051"/>
    <cellStyle name="Comma 9 5 2 5 2" xfId="51052"/>
    <cellStyle name="Comma 9 5 2 5 3" xfId="51053"/>
    <cellStyle name="Comma 9 5 2 6" xfId="51054"/>
    <cellStyle name="Comma 9 5 2 6 2" xfId="51055"/>
    <cellStyle name="Comma 9 5 2 6 3" xfId="51056"/>
    <cellStyle name="Comma 9 5 2 7" xfId="51057"/>
    <cellStyle name="Comma 9 5 2 7 2" xfId="51058"/>
    <cellStyle name="Comma 9 5 2 8" xfId="51059"/>
    <cellStyle name="Comma 9 5 2 9" xfId="51060"/>
    <cellStyle name="Comma 9 5 3" xfId="3813"/>
    <cellStyle name="Comma 9 5 3 2" xfId="51061"/>
    <cellStyle name="Comma 9 5 3 2 2" xfId="51062"/>
    <cellStyle name="Comma 9 5 3 2 3" xfId="51063"/>
    <cellStyle name="Comma 9 5 3 3" xfId="51064"/>
    <cellStyle name="Comma 9 5 3 3 2" xfId="51065"/>
    <cellStyle name="Comma 9 5 3 3 3" xfId="51066"/>
    <cellStyle name="Comma 9 5 3 4" xfId="51067"/>
    <cellStyle name="Comma 9 5 3 4 2" xfId="51068"/>
    <cellStyle name="Comma 9 5 3 5" xfId="51069"/>
    <cellStyle name="Comma 9 5 3 6" xfId="51070"/>
    <cellStyle name="Comma 9 5 4" xfId="51071"/>
    <cellStyle name="Comma 9 5 4 2" xfId="51072"/>
    <cellStyle name="Comma 9 5 4 2 2" xfId="51073"/>
    <cellStyle name="Comma 9 5 4 2 3" xfId="51074"/>
    <cellStyle name="Comma 9 5 4 3" xfId="51075"/>
    <cellStyle name="Comma 9 5 4 3 2" xfId="51076"/>
    <cellStyle name="Comma 9 5 4 3 3" xfId="51077"/>
    <cellStyle name="Comma 9 5 4 4" xfId="51078"/>
    <cellStyle name="Comma 9 5 4 4 2" xfId="51079"/>
    <cellStyle name="Comma 9 5 4 5" xfId="51080"/>
    <cellStyle name="Comma 9 5 4 6" xfId="51081"/>
    <cellStyle name="Comma 9 5 5" xfId="51082"/>
    <cellStyle name="Comma 9 5 5 2" xfId="51083"/>
    <cellStyle name="Comma 9 5 5 2 2" xfId="51084"/>
    <cellStyle name="Comma 9 5 5 2 3" xfId="51085"/>
    <cellStyle name="Comma 9 5 5 3" xfId="51086"/>
    <cellStyle name="Comma 9 5 5 3 2" xfId="51087"/>
    <cellStyle name="Comma 9 5 5 4" xfId="51088"/>
    <cellStyle name="Comma 9 5 5 5" xfId="51089"/>
    <cellStyle name="Comma 9 5 6" xfId="51090"/>
    <cellStyle name="Comma 9 5 6 2" xfId="51091"/>
    <cellStyle name="Comma 9 5 6 3" xfId="51092"/>
    <cellStyle name="Comma 9 5 7" xfId="51093"/>
    <cellStyle name="Comma 9 5 7 2" xfId="51094"/>
    <cellStyle name="Comma 9 5 7 3" xfId="51095"/>
    <cellStyle name="Comma 9 5 8" xfId="51096"/>
    <cellStyle name="Comma 9 5 8 2" xfId="51097"/>
    <cellStyle name="Comma 9 5 9" xfId="51098"/>
    <cellStyle name="Comma 9 6" xfId="3814"/>
    <cellStyle name="Comma 9 6 2" xfId="3815"/>
    <cellStyle name="Comma 9 6 2 2" xfId="51099"/>
    <cellStyle name="Comma 9 6 2 2 2" xfId="51100"/>
    <cellStyle name="Comma 9 6 2 2 3" xfId="51101"/>
    <cellStyle name="Comma 9 6 2 3" xfId="51102"/>
    <cellStyle name="Comma 9 6 2 3 2" xfId="51103"/>
    <cellStyle name="Comma 9 6 2 3 3" xfId="51104"/>
    <cellStyle name="Comma 9 6 2 4" xfId="51105"/>
    <cellStyle name="Comma 9 6 2 4 2" xfId="51106"/>
    <cellStyle name="Comma 9 6 2 5" xfId="51107"/>
    <cellStyle name="Comma 9 6 2 6" xfId="51108"/>
    <cellStyle name="Comma 9 6 3" xfId="51109"/>
    <cellStyle name="Comma 9 6 3 2" xfId="51110"/>
    <cellStyle name="Comma 9 6 3 2 2" xfId="51111"/>
    <cellStyle name="Comma 9 6 3 2 3" xfId="51112"/>
    <cellStyle name="Comma 9 6 3 3" xfId="51113"/>
    <cellStyle name="Comma 9 6 3 3 2" xfId="51114"/>
    <cellStyle name="Comma 9 6 3 3 3" xfId="51115"/>
    <cellStyle name="Comma 9 6 3 4" xfId="51116"/>
    <cellStyle name="Comma 9 6 3 4 2" xfId="51117"/>
    <cellStyle name="Comma 9 6 3 5" xfId="51118"/>
    <cellStyle name="Comma 9 6 3 6" xfId="51119"/>
    <cellStyle name="Comma 9 6 4" xfId="51120"/>
    <cellStyle name="Comma 9 6 4 2" xfId="51121"/>
    <cellStyle name="Comma 9 6 4 2 2" xfId="51122"/>
    <cellStyle name="Comma 9 6 4 2 3" xfId="51123"/>
    <cellStyle name="Comma 9 6 4 3" xfId="51124"/>
    <cellStyle name="Comma 9 6 4 3 2" xfId="51125"/>
    <cellStyle name="Comma 9 6 4 4" xfId="51126"/>
    <cellStyle name="Comma 9 6 4 5" xfId="51127"/>
    <cellStyle name="Comma 9 6 5" xfId="51128"/>
    <cellStyle name="Comma 9 6 5 2" xfId="51129"/>
    <cellStyle name="Comma 9 6 5 3" xfId="51130"/>
    <cellStyle name="Comma 9 6 6" xfId="51131"/>
    <cellStyle name="Comma 9 6 6 2" xfId="51132"/>
    <cellStyle name="Comma 9 6 6 3" xfId="51133"/>
    <cellStyle name="Comma 9 6 7" xfId="51134"/>
    <cellStyle name="Comma 9 6 7 2" xfId="51135"/>
    <cellStyle name="Comma 9 6 8" xfId="51136"/>
    <cellStyle name="Comma 9 6 9" xfId="51137"/>
    <cellStyle name="Comma 9 7" xfId="3816"/>
    <cellStyle name="Comma 9 7 2" xfId="51138"/>
    <cellStyle name="Comma 9 7 2 2" xfId="51139"/>
    <cellStyle name="Comma 9 7 2 2 2" xfId="51140"/>
    <cellStyle name="Comma 9 7 2 2 3" xfId="51141"/>
    <cellStyle name="Comma 9 7 2 3" xfId="51142"/>
    <cellStyle name="Comma 9 7 2 3 2" xfId="51143"/>
    <cellStyle name="Comma 9 7 2 3 3" xfId="51144"/>
    <cellStyle name="Comma 9 7 2 4" xfId="51145"/>
    <cellStyle name="Comma 9 7 2 4 2" xfId="51146"/>
    <cellStyle name="Comma 9 7 2 5" xfId="51147"/>
    <cellStyle name="Comma 9 7 2 6" xfId="51148"/>
    <cellStyle name="Comma 9 7 3" xfId="51149"/>
    <cellStyle name="Comma 9 7 3 2" xfId="51150"/>
    <cellStyle name="Comma 9 7 3 2 2" xfId="51151"/>
    <cellStyle name="Comma 9 7 3 2 3" xfId="51152"/>
    <cellStyle name="Comma 9 7 3 3" xfId="51153"/>
    <cellStyle name="Comma 9 7 3 3 2" xfId="51154"/>
    <cellStyle name="Comma 9 7 3 3 3" xfId="51155"/>
    <cellStyle name="Comma 9 7 3 4" xfId="51156"/>
    <cellStyle name="Comma 9 7 3 4 2" xfId="51157"/>
    <cellStyle name="Comma 9 7 3 5" xfId="51158"/>
    <cellStyle name="Comma 9 7 3 6" xfId="51159"/>
    <cellStyle name="Comma 9 7 4" xfId="51160"/>
    <cellStyle name="Comma 9 7 4 2" xfId="51161"/>
    <cellStyle name="Comma 9 7 4 2 2" xfId="51162"/>
    <cellStyle name="Comma 9 7 4 2 3" xfId="51163"/>
    <cellStyle name="Comma 9 7 4 3" xfId="51164"/>
    <cellStyle name="Comma 9 7 4 3 2" xfId="51165"/>
    <cellStyle name="Comma 9 7 4 4" xfId="51166"/>
    <cellStyle name="Comma 9 7 4 5" xfId="51167"/>
    <cellStyle name="Comma 9 7 5" xfId="51168"/>
    <cellStyle name="Comma 9 7 5 2" xfId="51169"/>
    <cellStyle name="Comma 9 7 5 3" xfId="51170"/>
    <cellStyle name="Comma 9 7 6" xfId="51171"/>
    <cellStyle name="Comma 9 7 6 2" xfId="51172"/>
    <cellStyle name="Comma 9 7 6 3" xfId="51173"/>
    <cellStyle name="Comma 9 7 7" xfId="51174"/>
    <cellStyle name="Comma 9 7 7 2" xfId="51175"/>
    <cellStyle name="Comma 9 7 8" xfId="51176"/>
    <cellStyle name="Comma 9 7 9" xfId="51177"/>
    <cellStyle name="Comma 9 8" xfId="3817"/>
    <cellStyle name="Comma 9 8 2" xfId="51178"/>
    <cellStyle name="Comma 9 8 2 2" xfId="51179"/>
    <cellStyle name="Comma 9 8 2 3" xfId="51180"/>
    <cellStyle name="Comma 9 8 3" xfId="51181"/>
    <cellStyle name="Comma 9 8 3 2" xfId="51182"/>
    <cellStyle name="Comma 9 8 3 3" xfId="51183"/>
    <cellStyle name="Comma 9 8 4" xfId="51184"/>
    <cellStyle name="Comma 9 8 4 2" xfId="51185"/>
    <cellStyle name="Comma 9 8 5" xfId="51186"/>
    <cellStyle name="Comma 9 8 6" xfId="51187"/>
    <cellStyle name="Comma 9 9" xfId="3818"/>
    <cellStyle name="Comma 9 9 2" xfId="51188"/>
    <cellStyle name="Comma 9 9 2 2" xfId="51189"/>
    <cellStyle name="Comma 9 9 2 3" xfId="51190"/>
    <cellStyle name="Comma 9 9 3" xfId="51191"/>
    <cellStyle name="Comma 9 9 3 2" xfId="51192"/>
    <cellStyle name="Comma 9 9 3 3" xfId="51193"/>
    <cellStyle name="Comma 9 9 4" xfId="51194"/>
    <cellStyle name="Comma 9 9 4 2" xfId="51195"/>
    <cellStyle name="Comma 9 9 5" xfId="51196"/>
    <cellStyle name="Comma 9 9 6" xfId="51197"/>
    <cellStyle name="Comma 90" xfId="9153"/>
    <cellStyle name="Comma 91" xfId="8725"/>
    <cellStyle name="Comma 92" xfId="8726"/>
    <cellStyle name="Comma 93" xfId="8727"/>
    <cellStyle name="Comma 94" xfId="8728"/>
    <cellStyle name="Comma 95" xfId="8729"/>
    <cellStyle name="Comma 96" xfId="8730"/>
    <cellStyle name="Comma 97" xfId="9373"/>
    <cellStyle name="Comma 98" xfId="8731"/>
    <cellStyle name="Comma 99" xfId="8732"/>
    <cellStyle name="Comma_KU COS Print File 2003q3" xfId="8672"/>
    <cellStyle name="Comma0" xfId="3819"/>
    <cellStyle name="Comma0 2" xfId="3820"/>
    <cellStyle name="Comma0 2 2" xfId="3821"/>
    <cellStyle name="Comma0 2 2 2" xfId="58875"/>
    <cellStyle name="Comma0 2 3" xfId="58876"/>
    <cellStyle name="Comma0 2 4" xfId="58877"/>
    <cellStyle name="Comma0 3" xfId="3822"/>
    <cellStyle name="Comma0 3 2" xfId="9612"/>
    <cellStyle name="Comma0 3 2 2" xfId="58878"/>
    <cellStyle name="Comma0 3 3" xfId="58879"/>
    <cellStyle name="Comma0 3 4" xfId="58880"/>
    <cellStyle name="Comma0 4" xfId="58881"/>
    <cellStyle name="Comma0_SCH11 Not Done" xfId="9613"/>
    <cellStyle name="Currency [0] 2" xfId="3823"/>
    <cellStyle name="Currency [0] 2 2" xfId="3824"/>
    <cellStyle name="Currency [0] 2 2 2" xfId="58882"/>
    <cellStyle name="Currency [0] 2 2 2 2" xfId="58883"/>
    <cellStyle name="Currency [0] 2 2 3" xfId="58884"/>
    <cellStyle name="Currency [0] 2 2 4" xfId="58885"/>
    <cellStyle name="Currency [0] 2 3" xfId="3825"/>
    <cellStyle name="Currency [0] 2 3 2" xfId="58886"/>
    <cellStyle name="Currency [0] 2 4" xfId="58887"/>
    <cellStyle name="Currency [0] 2 4 2" xfId="58888"/>
    <cellStyle name="Currency [0] 2 5" xfId="58889"/>
    <cellStyle name="Currency [0] 2 6" xfId="58890"/>
    <cellStyle name="Currency [0] 3" xfId="3826"/>
    <cellStyle name="Currency [0] 3 2" xfId="3827"/>
    <cellStyle name="Currency [0] 3 2 2" xfId="58891"/>
    <cellStyle name="Currency [0] 3 3" xfId="3828"/>
    <cellStyle name="Currency [0] 3 4" xfId="58892"/>
    <cellStyle name="Currency [0] 4" xfId="3829"/>
    <cellStyle name="Currency [0] 4 2" xfId="3830"/>
    <cellStyle name="Currency [0] 5" xfId="3831"/>
    <cellStyle name="Currency [0] 5 2" xfId="3832"/>
    <cellStyle name="Currency [0] 6" xfId="9154"/>
    <cellStyle name="Currency 10" xfId="3833"/>
    <cellStyle name="Currency 10 2" xfId="3834"/>
    <cellStyle name="Currency 10 2 2" xfId="58893"/>
    <cellStyle name="Currency 10 2 3" xfId="58894"/>
    <cellStyle name="Currency 10 3" xfId="58895"/>
    <cellStyle name="Currency 10 3 2" xfId="58896"/>
    <cellStyle name="Currency 10 4" xfId="58897"/>
    <cellStyle name="Currency 10 5" xfId="58898"/>
    <cellStyle name="Currency 10 6" xfId="58899"/>
    <cellStyle name="Currency 100" xfId="9614"/>
    <cellStyle name="Currency 101" xfId="9615"/>
    <cellStyle name="Currency 102" xfId="9616"/>
    <cellStyle name="Currency 103" xfId="9617"/>
    <cellStyle name="Currency 104" xfId="9618"/>
    <cellStyle name="Currency 105" xfId="9619"/>
    <cellStyle name="Currency 106" xfId="9620"/>
    <cellStyle name="Currency 107" xfId="9621"/>
    <cellStyle name="Currency 108" xfId="9622"/>
    <cellStyle name="Currency 109" xfId="9623"/>
    <cellStyle name="Currency 11" xfId="3835"/>
    <cellStyle name="Currency 11 2" xfId="3836"/>
    <cellStyle name="Currency 11 2 2" xfId="58900"/>
    <cellStyle name="Currency 11 3" xfId="3837"/>
    <cellStyle name="Currency 11 3 2" xfId="58901"/>
    <cellStyle name="Currency 11 4" xfId="58902"/>
    <cellStyle name="Currency 11 5" xfId="58903"/>
    <cellStyle name="Currency 110" xfId="9624"/>
    <cellStyle name="Currency 111" xfId="9625"/>
    <cellStyle name="Currency 112" xfId="9626"/>
    <cellStyle name="Currency 113" xfId="9627"/>
    <cellStyle name="Currency 114" xfId="9628"/>
    <cellStyle name="Currency 115" xfId="9629"/>
    <cellStyle name="Currency 116" xfId="9630"/>
    <cellStyle name="Currency 117" xfId="9631"/>
    <cellStyle name="Currency 118" xfId="9632"/>
    <cellStyle name="Currency 119" xfId="9633"/>
    <cellStyle name="Currency 12" xfId="3838"/>
    <cellStyle name="Currency 12 2" xfId="3839"/>
    <cellStyle name="Currency 12 2 2" xfId="58904"/>
    <cellStyle name="Currency 12 3" xfId="3840"/>
    <cellStyle name="Currency 12 3 2" xfId="58905"/>
    <cellStyle name="Currency 12 4" xfId="58906"/>
    <cellStyle name="Currency 12 5" xfId="58907"/>
    <cellStyle name="Currency 120" xfId="9634"/>
    <cellStyle name="Currency 120 2" xfId="9635"/>
    <cellStyle name="Currency 120 3" xfId="9636"/>
    <cellStyle name="Currency 121" xfId="9637"/>
    <cellStyle name="Currency 121 2" xfId="9638"/>
    <cellStyle name="Currency 121 3" xfId="9639"/>
    <cellStyle name="Currency 122" xfId="9640"/>
    <cellStyle name="Currency 122 2" xfId="58908"/>
    <cellStyle name="Currency 123" xfId="9641"/>
    <cellStyle name="Currency 123 2" xfId="58909"/>
    <cellStyle name="Currency 124" xfId="9642"/>
    <cellStyle name="Currency 124 2" xfId="58910"/>
    <cellStyle name="Currency 125" xfId="51198"/>
    <cellStyle name="Currency 126" xfId="58911"/>
    <cellStyle name="Currency 127" xfId="58912"/>
    <cellStyle name="Currency 128" xfId="58913"/>
    <cellStyle name="Currency 129" xfId="58914"/>
    <cellStyle name="Currency 13" xfId="3841"/>
    <cellStyle name="Currency 13 2" xfId="3842"/>
    <cellStyle name="Currency 13 2 2" xfId="58915"/>
    <cellStyle name="Currency 13 3" xfId="3843"/>
    <cellStyle name="Currency 13 3 2" xfId="58916"/>
    <cellStyle name="Currency 13 4" xfId="58917"/>
    <cellStyle name="Currency 13 5" xfId="58918"/>
    <cellStyle name="Currency 130" xfId="58919"/>
    <cellStyle name="Currency 131" xfId="58920"/>
    <cellStyle name="Currency 132" xfId="58921"/>
    <cellStyle name="Currency 133" xfId="58922"/>
    <cellStyle name="Currency 134" xfId="58923"/>
    <cellStyle name="Currency 135" xfId="58924"/>
    <cellStyle name="Currency 136" xfId="58925"/>
    <cellStyle name="Currency 136 2" xfId="58926"/>
    <cellStyle name="Currency 137" xfId="58927"/>
    <cellStyle name="Currency 138" xfId="58928"/>
    <cellStyle name="Currency 139" xfId="58929"/>
    <cellStyle name="Currency 14" xfId="3844"/>
    <cellStyle name="Currency 14 2" xfId="3845"/>
    <cellStyle name="Currency 14 2 2" xfId="58930"/>
    <cellStyle name="Currency 14 3" xfId="3846"/>
    <cellStyle name="Currency 14 3 2" xfId="58931"/>
    <cellStyle name="Currency 14 4" xfId="58932"/>
    <cellStyle name="Currency 14 5" xfId="58933"/>
    <cellStyle name="Currency 140" xfId="58934"/>
    <cellStyle name="Currency 141" xfId="58935"/>
    <cellStyle name="Currency 142" xfId="58936"/>
    <cellStyle name="Currency 143" xfId="58937"/>
    <cellStyle name="Currency 144" xfId="58938"/>
    <cellStyle name="Currency 145" xfId="58939"/>
    <cellStyle name="Currency 146" xfId="58940"/>
    <cellStyle name="Currency 147" xfId="58941"/>
    <cellStyle name="Currency 148" xfId="58942"/>
    <cellStyle name="Currency 149" xfId="58943"/>
    <cellStyle name="Currency 15" xfId="3847"/>
    <cellStyle name="Currency 15 2" xfId="3848"/>
    <cellStyle name="Currency 15 2 2" xfId="58944"/>
    <cellStyle name="Currency 15 3" xfId="58945"/>
    <cellStyle name="Currency 15 3 2" xfId="58946"/>
    <cellStyle name="Currency 15 4" xfId="58947"/>
    <cellStyle name="Currency 15 5" xfId="58948"/>
    <cellStyle name="Currency 150" xfId="58949"/>
    <cellStyle name="Currency 150 2" xfId="58950"/>
    <cellStyle name="Currency 151" xfId="58951"/>
    <cellStyle name="Currency 152" xfId="58952"/>
    <cellStyle name="Currency 153" xfId="58953"/>
    <cellStyle name="Currency 154" xfId="58954"/>
    <cellStyle name="Currency 155" xfId="58955"/>
    <cellStyle name="Currency 156" xfId="58956"/>
    <cellStyle name="Currency 157" xfId="58957"/>
    <cellStyle name="Currency 158" xfId="58958"/>
    <cellStyle name="Currency 159" xfId="58959"/>
    <cellStyle name="Currency 16" xfId="3849"/>
    <cellStyle name="Currency 16 2" xfId="3850"/>
    <cellStyle name="Currency 16 2 2" xfId="58960"/>
    <cellStyle name="Currency 16 3" xfId="58961"/>
    <cellStyle name="Currency 16 3 2" xfId="58962"/>
    <cellStyle name="Currency 16 4" xfId="58963"/>
    <cellStyle name="Currency 16 5" xfId="58964"/>
    <cellStyle name="Currency 160" xfId="58965"/>
    <cellStyle name="Currency 161" xfId="58966"/>
    <cellStyle name="Currency 162" xfId="58967"/>
    <cellStyle name="Currency 163" xfId="58968"/>
    <cellStyle name="Currency 164" xfId="58969"/>
    <cellStyle name="Currency 164 2" xfId="61983"/>
    <cellStyle name="Currency 165" xfId="58970"/>
    <cellStyle name="Currency 166" xfId="58971"/>
    <cellStyle name="Currency 167" xfId="58972"/>
    <cellStyle name="Currency 168" xfId="58973"/>
    <cellStyle name="Currency 169" xfId="58974"/>
    <cellStyle name="Currency 17" xfId="3851"/>
    <cellStyle name="Currency 17 2" xfId="3852"/>
    <cellStyle name="Currency 17 2 2" xfId="58975"/>
    <cellStyle name="Currency 17 3" xfId="58976"/>
    <cellStyle name="Currency 17 3 2" xfId="58977"/>
    <cellStyle name="Currency 17 4" xfId="58978"/>
    <cellStyle name="Currency 17 5" xfId="58979"/>
    <cellStyle name="Currency 170" xfId="58980"/>
    <cellStyle name="Currency 171" xfId="58981"/>
    <cellStyle name="Currency 172" xfId="58982"/>
    <cellStyle name="Currency 173" xfId="58983"/>
    <cellStyle name="Currency 174" xfId="58984"/>
    <cellStyle name="Currency 175" xfId="58985"/>
    <cellStyle name="Currency 18" xfId="3853"/>
    <cellStyle name="Currency 18 2" xfId="3854"/>
    <cellStyle name="Currency 18 2 2" xfId="58986"/>
    <cellStyle name="Currency 18 3" xfId="58987"/>
    <cellStyle name="Currency 18 3 2" xfId="58988"/>
    <cellStyle name="Currency 18 4" xfId="58989"/>
    <cellStyle name="Currency 18 5" xfId="58990"/>
    <cellStyle name="Currency 19" xfId="3855"/>
    <cellStyle name="Currency 19 2" xfId="3856"/>
    <cellStyle name="Currency 19 2 2" xfId="58991"/>
    <cellStyle name="Currency 19 3" xfId="58992"/>
    <cellStyle name="Currency 19 3 2" xfId="58993"/>
    <cellStyle name="Currency 19 4" xfId="58994"/>
    <cellStyle name="Currency 19 5" xfId="58995"/>
    <cellStyle name="Currency 2" xfId="3"/>
    <cellStyle name="Currency 2 10" xfId="51199"/>
    <cellStyle name="Currency 2 10 2" xfId="51200"/>
    <cellStyle name="Currency 2 11" xfId="51201"/>
    <cellStyle name="Currency 2 2" xfId="3857"/>
    <cellStyle name="Currency 2 2 2" xfId="8400"/>
    <cellStyle name="Currency 2 2 2 2" xfId="9643"/>
    <cellStyle name="Currency 2 2 3" xfId="9644"/>
    <cellStyle name="Currency 2 2 3 2" xfId="51202"/>
    <cellStyle name="Currency 2 2 4" xfId="51203"/>
    <cellStyle name="Currency 2 2 4 2" xfId="51204"/>
    <cellStyle name="Currency 2 3" xfId="3858"/>
    <cellStyle name="Currency 2 3 2" xfId="9645"/>
    <cellStyle name="Currency 2 3 2 2" xfId="51205"/>
    <cellStyle name="Currency 2 3 3" xfId="51206"/>
    <cellStyle name="Currency 2 3 3 2" xfId="51207"/>
    <cellStyle name="Currency 2 4" xfId="9646"/>
    <cellStyle name="Currency 2 4 2" xfId="51208"/>
    <cellStyle name="Currency 2 4 2 2" xfId="51209"/>
    <cellStyle name="Currency 2 4 3" xfId="51210"/>
    <cellStyle name="Currency 2 5" xfId="51211"/>
    <cellStyle name="Currency 2 5 2" xfId="51212"/>
    <cellStyle name="Currency 2 6" xfId="51213"/>
    <cellStyle name="Currency 2 6 2" xfId="51214"/>
    <cellStyle name="Currency 2 7" xfId="51215"/>
    <cellStyle name="Currency 2 7 2" xfId="51216"/>
    <cellStyle name="Currency 2 8" xfId="51217"/>
    <cellStyle name="Currency 2 8 2" xfId="51218"/>
    <cellStyle name="Currency 2 9" xfId="51219"/>
    <cellStyle name="Currency 2 9 2" xfId="51220"/>
    <cellStyle name="Currency 20" xfId="3859"/>
    <cellStyle name="Currency 20 2" xfId="3860"/>
    <cellStyle name="Currency 20 2 2" xfId="58996"/>
    <cellStyle name="Currency 20 3" xfId="58997"/>
    <cellStyle name="Currency 20 3 2" xfId="58998"/>
    <cellStyle name="Currency 20 4" xfId="58999"/>
    <cellStyle name="Currency 20 5" xfId="59000"/>
    <cellStyle name="Currency 21" xfId="3861"/>
    <cellStyle name="Currency 21 2" xfId="3862"/>
    <cellStyle name="Currency 21 2 2" xfId="59001"/>
    <cellStyle name="Currency 21 3" xfId="59002"/>
    <cellStyle name="Currency 21 3 2" xfId="59003"/>
    <cellStyle name="Currency 21 4" xfId="59004"/>
    <cellStyle name="Currency 21 5" xfId="59005"/>
    <cellStyle name="Currency 22" xfId="3863"/>
    <cellStyle name="Currency 22 2" xfId="3864"/>
    <cellStyle name="Currency 22 2 2" xfId="59006"/>
    <cellStyle name="Currency 22 3" xfId="59007"/>
    <cellStyle name="Currency 22 3 2" xfId="59008"/>
    <cellStyle name="Currency 22 4" xfId="59009"/>
    <cellStyle name="Currency 22 5" xfId="59010"/>
    <cellStyle name="Currency 23" xfId="3865"/>
    <cellStyle name="Currency 23 2" xfId="3866"/>
    <cellStyle name="Currency 23 2 2" xfId="59011"/>
    <cellStyle name="Currency 23 3" xfId="59012"/>
    <cellStyle name="Currency 23 3 2" xfId="59013"/>
    <cellStyle name="Currency 23 4" xfId="59014"/>
    <cellStyle name="Currency 23 5" xfId="59015"/>
    <cellStyle name="Currency 24" xfId="3867"/>
    <cellStyle name="Currency 24 2" xfId="3868"/>
    <cellStyle name="Currency 24 2 2" xfId="59016"/>
    <cellStyle name="Currency 24 3" xfId="59017"/>
    <cellStyle name="Currency 24 3 2" xfId="59018"/>
    <cellStyle name="Currency 24 4" xfId="59019"/>
    <cellStyle name="Currency 24 5" xfId="59020"/>
    <cellStyle name="Currency 25" xfId="3869"/>
    <cellStyle name="Currency 25 2" xfId="3870"/>
    <cellStyle name="Currency 25 2 2" xfId="59021"/>
    <cellStyle name="Currency 25 3" xfId="59022"/>
    <cellStyle name="Currency 25 3 2" xfId="59023"/>
    <cellStyle name="Currency 25 4" xfId="59024"/>
    <cellStyle name="Currency 25 5" xfId="59025"/>
    <cellStyle name="Currency 26" xfId="3871"/>
    <cellStyle name="Currency 26 2" xfId="3872"/>
    <cellStyle name="Currency 26 2 2" xfId="59026"/>
    <cellStyle name="Currency 26 3" xfId="59027"/>
    <cellStyle name="Currency 26 3 2" xfId="59028"/>
    <cellStyle name="Currency 26 4" xfId="59029"/>
    <cellStyle name="Currency 26 5" xfId="59030"/>
    <cellStyle name="Currency 27" xfId="3873"/>
    <cellStyle name="Currency 27 2" xfId="3874"/>
    <cellStyle name="Currency 27 2 2" xfId="59031"/>
    <cellStyle name="Currency 27 2 2 2" xfId="59032"/>
    <cellStyle name="Currency 27 2 3" xfId="59033"/>
    <cellStyle name="Currency 27 2 4" xfId="59034"/>
    <cellStyle name="Currency 27 3" xfId="3875"/>
    <cellStyle name="Currency 27 3 2" xfId="59035"/>
    <cellStyle name="Currency 27 4" xfId="59036"/>
    <cellStyle name="Currency 27 4 2" xfId="59037"/>
    <cellStyle name="Currency 27 5" xfId="59038"/>
    <cellStyle name="Currency 27 6" xfId="59039"/>
    <cellStyle name="Currency 28" xfId="3876"/>
    <cellStyle name="Currency 28 2" xfId="3877"/>
    <cellStyle name="Currency 28 2 2" xfId="59040"/>
    <cellStyle name="Currency 28 3" xfId="59041"/>
    <cellStyle name="Currency 28 3 2" xfId="59042"/>
    <cellStyle name="Currency 28 4" xfId="59043"/>
    <cellStyle name="Currency 28 5" xfId="59044"/>
    <cellStyle name="Currency 29" xfId="3878"/>
    <cellStyle name="Currency 29 2" xfId="3879"/>
    <cellStyle name="Currency 29 2 2" xfId="59045"/>
    <cellStyle name="Currency 29 3" xfId="59046"/>
    <cellStyle name="Currency 29 3 2" xfId="59047"/>
    <cellStyle name="Currency 29 4" xfId="59048"/>
    <cellStyle name="Currency 29 5" xfId="59049"/>
    <cellStyle name="Currency 3" xfId="3880"/>
    <cellStyle name="Currency 3 2" xfId="3881"/>
    <cellStyle name="Currency 3 2 2" xfId="3882"/>
    <cellStyle name="Currency 3 2 2 2" xfId="9155"/>
    <cellStyle name="Currency 3 2 2 2 2" xfId="59050"/>
    <cellStyle name="Currency 3 2 2 3" xfId="9156"/>
    <cellStyle name="Currency 3 2 2 3 2" xfId="59051"/>
    <cellStyle name="Currency 3 2 2 4" xfId="59052"/>
    <cellStyle name="Currency 3 2 2 5" xfId="59053"/>
    <cellStyle name="Currency 3 2 2 6" xfId="59054"/>
    <cellStyle name="Currency 3 2 3" xfId="9157"/>
    <cellStyle name="Currency 3 2 3 2" xfId="59055"/>
    <cellStyle name="Currency 3 2 3 3" xfId="59056"/>
    <cellStyle name="Currency 3 2 3 4" xfId="59057"/>
    <cellStyle name="Currency 3 2 4" xfId="9158"/>
    <cellStyle name="Currency 3 2 5" xfId="59058"/>
    <cellStyle name="Currency 3 3" xfId="3883"/>
    <cellStyle name="Currency 3 3 2" xfId="9159"/>
    <cellStyle name="Currency 3 3 2 2" xfId="59059"/>
    <cellStyle name="Currency 3 3 3" xfId="9160"/>
    <cellStyle name="Currency 3 3 3 2" xfId="59060"/>
    <cellStyle name="Currency 3 3 4" xfId="59061"/>
    <cellStyle name="Currency 3 3 5" xfId="59062"/>
    <cellStyle name="Currency 3 4" xfId="3884"/>
    <cellStyle name="Currency 3 4 2" xfId="9161"/>
    <cellStyle name="Currency 3 4 3" xfId="59063"/>
    <cellStyle name="Currency 3 4 3 2" xfId="59064"/>
    <cellStyle name="Currency 3 4 4" xfId="59065"/>
    <cellStyle name="Currency 3 4 5" xfId="59066"/>
    <cellStyle name="Currency 3 5" xfId="9162"/>
    <cellStyle name="Currency 3 6" xfId="51221"/>
    <cellStyle name="Currency 30" xfId="3885"/>
    <cellStyle name="Currency 30 2" xfId="3886"/>
    <cellStyle name="Currency 30 2 2" xfId="59067"/>
    <cellStyle name="Currency 30 3" xfId="59068"/>
    <cellStyle name="Currency 30 3 2" xfId="59069"/>
    <cellStyle name="Currency 30 4" xfId="59070"/>
    <cellStyle name="Currency 30 5" xfId="59071"/>
    <cellStyle name="Currency 31" xfId="3887"/>
    <cellStyle name="Currency 31 2" xfId="3888"/>
    <cellStyle name="Currency 31 2 2" xfId="59072"/>
    <cellStyle name="Currency 31 3" xfId="59073"/>
    <cellStyle name="Currency 31 3 2" xfId="59074"/>
    <cellStyle name="Currency 31 4" xfId="59075"/>
    <cellStyle name="Currency 31 5" xfId="59076"/>
    <cellStyle name="Currency 32" xfId="3889"/>
    <cellStyle name="Currency 32 2" xfId="3890"/>
    <cellStyle name="Currency 32 2 2" xfId="59077"/>
    <cellStyle name="Currency 32 3" xfId="59078"/>
    <cellStyle name="Currency 32 3 2" xfId="59079"/>
    <cellStyle name="Currency 32 4" xfId="59080"/>
    <cellStyle name="Currency 32 5" xfId="59081"/>
    <cellStyle name="Currency 33" xfId="3891"/>
    <cellStyle name="Currency 34" xfId="3892"/>
    <cellStyle name="Currency 35" xfId="3893"/>
    <cellStyle name="Currency 36" xfId="3894"/>
    <cellStyle name="Currency 37" xfId="3895"/>
    <cellStyle name="Currency 38" xfId="3896"/>
    <cellStyle name="Currency 39" xfId="3897"/>
    <cellStyle name="Currency 4" xfId="3898"/>
    <cellStyle name="Currency 4 10" xfId="51222"/>
    <cellStyle name="Currency 4 10 2" xfId="51223"/>
    <cellStyle name="Currency 4 10 2 2" xfId="51224"/>
    <cellStyle name="Currency 4 10 2 3" xfId="51225"/>
    <cellStyle name="Currency 4 10 3" xfId="51226"/>
    <cellStyle name="Currency 4 10 3 2" xfId="51227"/>
    <cellStyle name="Currency 4 10 4" xfId="51228"/>
    <cellStyle name="Currency 4 10 5" xfId="51229"/>
    <cellStyle name="Currency 4 11" xfId="51230"/>
    <cellStyle name="Currency 4 11 2" xfId="51231"/>
    <cellStyle name="Currency 4 11 3" xfId="51232"/>
    <cellStyle name="Currency 4 12" xfId="51233"/>
    <cellStyle name="Currency 4 12 2" xfId="51234"/>
    <cellStyle name="Currency 4 12 3" xfId="51235"/>
    <cellStyle name="Currency 4 13" xfId="51236"/>
    <cellStyle name="Currency 4 13 2" xfId="51237"/>
    <cellStyle name="Currency 4 14" xfId="51238"/>
    <cellStyle name="Currency 4 15" xfId="51239"/>
    <cellStyle name="Currency 4 16" xfId="51240"/>
    <cellStyle name="Currency 4 2" xfId="3899"/>
    <cellStyle name="Currency 4 2 10" xfId="51241"/>
    <cellStyle name="Currency 4 2 10 2" xfId="51242"/>
    <cellStyle name="Currency 4 2 10 3" xfId="51243"/>
    <cellStyle name="Currency 4 2 11" xfId="51244"/>
    <cellStyle name="Currency 4 2 11 2" xfId="51245"/>
    <cellStyle name="Currency 4 2 11 3" xfId="51246"/>
    <cellStyle name="Currency 4 2 12" xfId="51247"/>
    <cellStyle name="Currency 4 2 12 2" xfId="51248"/>
    <cellStyle name="Currency 4 2 13" xfId="51249"/>
    <cellStyle name="Currency 4 2 14" xfId="51250"/>
    <cellStyle name="Currency 4 2 15" xfId="51251"/>
    <cellStyle name="Currency 4 2 2" xfId="3900"/>
    <cellStyle name="Currency 4 2 2 10" xfId="51252"/>
    <cellStyle name="Currency 4 2 2 10 2" xfId="51253"/>
    <cellStyle name="Currency 4 2 2 10 3" xfId="51254"/>
    <cellStyle name="Currency 4 2 2 11" xfId="51255"/>
    <cellStyle name="Currency 4 2 2 11 2" xfId="51256"/>
    <cellStyle name="Currency 4 2 2 12" xfId="51257"/>
    <cellStyle name="Currency 4 2 2 13" xfId="51258"/>
    <cellStyle name="Currency 4 2 2 2" xfId="9163"/>
    <cellStyle name="Currency 4 2 2 2 10" xfId="51259"/>
    <cellStyle name="Currency 4 2 2 2 10 2" xfId="51260"/>
    <cellStyle name="Currency 4 2 2 2 11" xfId="51261"/>
    <cellStyle name="Currency 4 2 2 2 12" xfId="51262"/>
    <cellStyle name="Currency 4 2 2 2 2" xfId="51263"/>
    <cellStyle name="Currency 4 2 2 2 2 10" xfId="51264"/>
    <cellStyle name="Currency 4 2 2 2 2 2" xfId="51265"/>
    <cellStyle name="Currency 4 2 2 2 2 2 2" xfId="51266"/>
    <cellStyle name="Currency 4 2 2 2 2 2 2 2" xfId="51267"/>
    <cellStyle name="Currency 4 2 2 2 2 2 2 2 2" xfId="51268"/>
    <cellStyle name="Currency 4 2 2 2 2 2 2 2 3" xfId="51269"/>
    <cellStyle name="Currency 4 2 2 2 2 2 2 3" xfId="51270"/>
    <cellStyle name="Currency 4 2 2 2 2 2 2 3 2" xfId="51271"/>
    <cellStyle name="Currency 4 2 2 2 2 2 2 3 3" xfId="51272"/>
    <cellStyle name="Currency 4 2 2 2 2 2 2 4" xfId="51273"/>
    <cellStyle name="Currency 4 2 2 2 2 2 2 4 2" xfId="51274"/>
    <cellStyle name="Currency 4 2 2 2 2 2 2 5" xfId="51275"/>
    <cellStyle name="Currency 4 2 2 2 2 2 2 6" xfId="51276"/>
    <cellStyle name="Currency 4 2 2 2 2 2 3" xfId="51277"/>
    <cellStyle name="Currency 4 2 2 2 2 2 3 2" xfId="51278"/>
    <cellStyle name="Currency 4 2 2 2 2 2 3 2 2" xfId="51279"/>
    <cellStyle name="Currency 4 2 2 2 2 2 3 2 3" xfId="51280"/>
    <cellStyle name="Currency 4 2 2 2 2 2 3 3" xfId="51281"/>
    <cellStyle name="Currency 4 2 2 2 2 2 3 3 2" xfId="51282"/>
    <cellStyle name="Currency 4 2 2 2 2 2 3 3 3" xfId="51283"/>
    <cellStyle name="Currency 4 2 2 2 2 2 3 4" xfId="51284"/>
    <cellStyle name="Currency 4 2 2 2 2 2 3 4 2" xfId="51285"/>
    <cellStyle name="Currency 4 2 2 2 2 2 3 5" xfId="51286"/>
    <cellStyle name="Currency 4 2 2 2 2 2 3 6" xfId="51287"/>
    <cellStyle name="Currency 4 2 2 2 2 2 4" xfId="51288"/>
    <cellStyle name="Currency 4 2 2 2 2 2 4 2" xfId="51289"/>
    <cellStyle name="Currency 4 2 2 2 2 2 4 2 2" xfId="51290"/>
    <cellStyle name="Currency 4 2 2 2 2 2 4 2 3" xfId="51291"/>
    <cellStyle name="Currency 4 2 2 2 2 2 4 3" xfId="51292"/>
    <cellStyle name="Currency 4 2 2 2 2 2 4 3 2" xfId="51293"/>
    <cellStyle name="Currency 4 2 2 2 2 2 4 4" xfId="51294"/>
    <cellStyle name="Currency 4 2 2 2 2 2 4 5" xfId="51295"/>
    <cellStyle name="Currency 4 2 2 2 2 2 5" xfId="51296"/>
    <cellStyle name="Currency 4 2 2 2 2 2 5 2" xfId="51297"/>
    <cellStyle name="Currency 4 2 2 2 2 2 5 3" xfId="51298"/>
    <cellStyle name="Currency 4 2 2 2 2 2 6" xfId="51299"/>
    <cellStyle name="Currency 4 2 2 2 2 2 6 2" xfId="51300"/>
    <cellStyle name="Currency 4 2 2 2 2 2 6 3" xfId="51301"/>
    <cellStyle name="Currency 4 2 2 2 2 2 7" xfId="51302"/>
    <cellStyle name="Currency 4 2 2 2 2 2 7 2" xfId="51303"/>
    <cellStyle name="Currency 4 2 2 2 2 2 8" xfId="51304"/>
    <cellStyle name="Currency 4 2 2 2 2 2 9" xfId="51305"/>
    <cellStyle name="Currency 4 2 2 2 2 3" xfId="51306"/>
    <cellStyle name="Currency 4 2 2 2 2 3 2" xfId="51307"/>
    <cellStyle name="Currency 4 2 2 2 2 3 2 2" xfId="51308"/>
    <cellStyle name="Currency 4 2 2 2 2 3 2 3" xfId="51309"/>
    <cellStyle name="Currency 4 2 2 2 2 3 3" xfId="51310"/>
    <cellStyle name="Currency 4 2 2 2 2 3 3 2" xfId="51311"/>
    <cellStyle name="Currency 4 2 2 2 2 3 3 3" xfId="51312"/>
    <cellStyle name="Currency 4 2 2 2 2 3 4" xfId="51313"/>
    <cellStyle name="Currency 4 2 2 2 2 3 4 2" xfId="51314"/>
    <cellStyle name="Currency 4 2 2 2 2 3 5" xfId="51315"/>
    <cellStyle name="Currency 4 2 2 2 2 3 6" xfId="51316"/>
    <cellStyle name="Currency 4 2 2 2 2 4" xfId="51317"/>
    <cellStyle name="Currency 4 2 2 2 2 4 2" xfId="51318"/>
    <cellStyle name="Currency 4 2 2 2 2 4 2 2" xfId="51319"/>
    <cellStyle name="Currency 4 2 2 2 2 4 2 3" xfId="51320"/>
    <cellStyle name="Currency 4 2 2 2 2 4 3" xfId="51321"/>
    <cellStyle name="Currency 4 2 2 2 2 4 3 2" xfId="51322"/>
    <cellStyle name="Currency 4 2 2 2 2 4 3 3" xfId="51323"/>
    <cellStyle name="Currency 4 2 2 2 2 4 4" xfId="51324"/>
    <cellStyle name="Currency 4 2 2 2 2 4 4 2" xfId="51325"/>
    <cellStyle name="Currency 4 2 2 2 2 4 5" xfId="51326"/>
    <cellStyle name="Currency 4 2 2 2 2 4 6" xfId="51327"/>
    <cellStyle name="Currency 4 2 2 2 2 5" xfId="51328"/>
    <cellStyle name="Currency 4 2 2 2 2 5 2" xfId="51329"/>
    <cellStyle name="Currency 4 2 2 2 2 5 2 2" xfId="51330"/>
    <cellStyle name="Currency 4 2 2 2 2 5 2 3" xfId="51331"/>
    <cellStyle name="Currency 4 2 2 2 2 5 3" xfId="51332"/>
    <cellStyle name="Currency 4 2 2 2 2 5 3 2" xfId="51333"/>
    <cellStyle name="Currency 4 2 2 2 2 5 4" xfId="51334"/>
    <cellStyle name="Currency 4 2 2 2 2 5 5" xfId="51335"/>
    <cellStyle name="Currency 4 2 2 2 2 6" xfId="51336"/>
    <cellStyle name="Currency 4 2 2 2 2 6 2" xfId="51337"/>
    <cellStyle name="Currency 4 2 2 2 2 6 3" xfId="51338"/>
    <cellStyle name="Currency 4 2 2 2 2 7" xfId="51339"/>
    <cellStyle name="Currency 4 2 2 2 2 7 2" xfId="51340"/>
    <cellStyle name="Currency 4 2 2 2 2 7 3" xfId="51341"/>
    <cellStyle name="Currency 4 2 2 2 2 8" xfId="51342"/>
    <cellStyle name="Currency 4 2 2 2 2 8 2" xfId="51343"/>
    <cellStyle name="Currency 4 2 2 2 2 9" xfId="51344"/>
    <cellStyle name="Currency 4 2 2 2 3" xfId="51345"/>
    <cellStyle name="Currency 4 2 2 2 3 2" xfId="51346"/>
    <cellStyle name="Currency 4 2 2 2 3 2 2" xfId="51347"/>
    <cellStyle name="Currency 4 2 2 2 3 2 2 2" xfId="51348"/>
    <cellStyle name="Currency 4 2 2 2 3 2 2 3" xfId="51349"/>
    <cellStyle name="Currency 4 2 2 2 3 2 3" xfId="51350"/>
    <cellStyle name="Currency 4 2 2 2 3 2 3 2" xfId="51351"/>
    <cellStyle name="Currency 4 2 2 2 3 2 3 3" xfId="51352"/>
    <cellStyle name="Currency 4 2 2 2 3 2 4" xfId="51353"/>
    <cellStyle name="Currency 4 2 2 2 3 2 4 2" xfId="51354"/>
    <cellStyle name="Currency 4 2 2 2 3 2 5" xfId="51355"/>
    <cellStyle name="Currency 4 2 2 2 3 2 6" xfId="51356"/>
    <cellStyle name="Currency 4 2 2 2 3 3" xfId="51357"/>
    <cellStyle name="Currency 4 2 2 2 3 3 2" xfId="51358"/>
    <cellStyle name="Currency 4 2 2 2 3 3 2 2" xfId="51359"/>
    <cellStyle name="Currency 4 2 2 2 3 3 2 3" xfId="51360"/>
    <cellStyle name="Currency 4 2 2 2 3 3 3" xfId="51361"/>
    <cellStyle name="Currency 4 2 2 2 3 3 3 2" xfId="51362"/>
    <cellStyle name="Currency 4 2 2 2 3 3 3 3" xfId="51363"/>
    <cellStyle name="Currency 4 2 2 2 3 3 4" xfId="51364"/>
    <cellStyle name="Currency 4 2 2 2 3 3 4 2" xfId="51365"/>
    <cellStyle name="Currency 4 2 2 2 3 3 5" xfId="51366"/>
    <cellStyle name="Currency 4 2 2 2 3 3 6" xfId="51367"/>
    <cellStyle name="Currency 4 2 2 2 3 4" xfId="51368"/>
    <cellStyle name="Currency 4 2 2 2 3 4 2" xfId="51369"/>
    <cellStyle name="Currency 4 2 2 2 3 4 2 2" xfId="51370"/>
    <cellStyle name="Currency 4 2 2 2 3 4 2 3" xfId="51371"/>
    <cellStyle name="Currency 4 2 2 2 3 4 3" xfId="51372"/>
    <cellStyle name="Currency 4 2 2 2 3 4 3 2" xfId="51373"/>
    <cellStyle name="Currency 4 2 2 2 3 4 4" xfId="51374"/>
    <cellStyle name="Currency 4 2 2 2 3 4 5" xfId="51375"/>
    <cellStyle name="Currency 4 2 2 2 3 5" xfId="51376"/>
    <cellStyle name="Currency 4 2 2 2 3 5 2" xfId="51377"/>
    <cellStyle name="Currency 4 2 2 2 3 5 3" xfId="51378"/>
    <cellStyle name="Currency 4 2 2 2 3 6" xfId="51379"/>
    <cellStyle name="Currency 4 2 2 2 3 6 2" xfId="51380"/>
    <cellStyle name="Currency 4 2 2 2 3 6 3" xfId="51381"/>
    <cellStyle name="Currency 4 2 2 2 3 7" xfId="51382"/>
    <cellStyle name="Currency 4 2 2 2 3 7 2" xfId="51383"/>
    <cellStyle name="Currency 4 2 2 2 3 8" xfId="51384"/>
    <cellStyle name="Currency 4 2 2 2 3 9" xfId="51385"/>
    <cellStyle name="Currency 4 2 2 2 4" xfId="51386"/>
    <cellStyle name="Currency 4 2 2 2 4 2" xfId="51387"/>
    <cellStyle name="Currency 4 2 2 2 4 2 2" xfId="51388"/>
    <cellStyle name="Currency 4 2 2 2 4 2 2 2" xfId="51389"/>
    <cellStyle name="Currency 4 2 2 2 4 2 2 3" xfId="51390"/>
    <cellStyle name="Currency 4 2 2 2 4 2 3" xfId="51391"/>
    <cellStyle name="Currency 4 2 2 2 4 2 3 2" xfId="51392"/>
    <cellStyle name="Currency 4 2 2 2 4 2 3 3" xfId="51393"/>
    <cellStyle name="Currency 4 2 2 2 4 2 4" xfId="51394"/>
    <cellStyle name="Currency 4 2 2 2 4 2 4 2" xfId="51395"/>
    <cellStyle name="Currency 4 2 2 2 4 2 5" xfId="51396"/>
    <cellStyle name="Currency 4 2 2 2 4 2 6" xfId="51397"/>
    <cellStyle name="Currency 4 2 2 2 4 3" xfId="51398"/>
    <cellStyle name="Currency 4 2 2 2 4 3 2" xfId="51399"/>
    <cellStyle name="Currency 4 2 2 2 4 3 2 2" xfId="51400"/>
    <cellStyle name="Currency 4 2 2 2 4 3 2 3" xfId="51401"/>
    <cellStyle name="Currency 4 2 2 2 4 3 3" xfId="51402"/>
    <cellStyle name="Currency 4 2 2 2 4 3 3 2" xfId="51403"/>
    <cellStyle name="Currency 4 2 2 2 4 3 3 3" xfId="51404"/>
    <cellStyle name="Currency 4 2 2 2 4 3 4" xfId="51405"/>
    <cellStyle name="Currency 4 2 2 2 4 3 4 2" xfId="51406"/>
    <cellStyle name="Currency 4 2 2 2 4 3 5" xfId="51407"/>
    <cellStyle name="Currency 4 2 2 2 4 3 6" xfId="51408"/>
    <cellStyle name="Currency 4 2 2 2 4 4" xfId="51409"/>
    <cellStyle name="Currency 4 2 2 2 4 4 2" xfId="51410"/>
    <cellStyle name="Currency 4 2 2 2 4 4 2 2" xfId="51411"/>
    <cellStyle name="Currency 4 2 2 2 4 4 2 3" xfId="51412"/>
    <cellStyle name="Currency 4 2 2 2 4 4 3" xfId="51413"/>
    <cellStyle name="Currency 4 2 2 2 4 4 3 2" xfId="51414"/>
    <cellStyle name="Currency 4 2 2 2 4 4 4" xfId="51415"/>
    <cellStyle name="Currency 4 2 2 2 4 4 5" xfId="51416"/>
    <cellStyle name="Currency 4 2 2 2 4 5" xfId="51417"/>
    <cellStyle name="Currency 4 2 2 2 4 5 2" xfId="51418"/>
    <cellStyle name="Currency 4 2 2 2 4 5 3" xfId="51419"/>
    <cellStyle name="Currency 4 2 2 2 4 6" xfId="51420"/>
    <cellStyle name="Currency 4 2 2 2 4 6 2" xfId="51421"/>
    <cellStyle name="Currency 4 2 2 2 4 6 3" xfId="51422"/>
    <cellStyle name="Currency 4 2 2 2 4 7" xfId="51423"/>
    <cellStyle name="Currency 4 2 2 2 4 7 2" xfId="51424"/>
    <cellStyle name="Currency 4 2 2 2 4 8" xfId="51425"/>
    <cellStyle name="Currency 4 2 2 2 4 9" xfId="51426"/>
    <cellStyle name="Currency 4 2 2 2 5" xfId="51427"/>
    <cellStyle name="Currency 4 2 2 2 5 2" xfId="51428"/>
    <cellStyle name="Currency 4 2 2 2 5 2 2" xfId="51429"/>
    <cellStyle name="Currency 4 2 2 2 5 2 3" xfId="51430"/>
    <cellStyle name="Currency 4 2 2 2 5 3" xfId="51431"/>
    <cellStyle name="Currency 4 2 2 2 5 3 2" xfId="51432"/>
    <cellStyle name="Currency 4 2 2 2 5 3 3" xfId="51433"/>
    <cellStyle name="Currency 4 2 2 2 5 4" xfId="51434"/>
    <cellStyle name="Currency 4 2 2 2 5 4 2" xfId="51435"/>
    <cellStyle name="Currency 4 2 2 2 5 5" xfId="51436"/>
    <cellStyle name="Currency 4 2 2 2 5 6" xfId="51437"/>
    <cellStyle name="Currency 4 2 2 2 6" xfId="51438"/>
    <cellStyle name="Currency 4 2 2 2 6 2" xfId="51439"/>
    <cellStyle name="Currency 4 2 2 2 6 2 2" xfId="51440"/>
    <cellStyle name="Currency 4 2 2 2 6 2 3" xfId="51441"/>
    <cellStyle name="Currency 4 2 2 2 6 3" xfId="51442"/>
    <cellStyle name="Currency 4 2 2 2 6 3 2" xfId="51443"/>
    <cellStyle name="Currency 4 2 2 2 6 3 3" xfId="51444"/>
    <cellStyle name="Currency 4 2 2 2 6 4" xfId="51445"/>
    <cellStyle name="Currency 4 2 2 2 6 4 2" xfId="51446"/>
    <cellStyle name="Currency 4 2 2 2 6 5" xfId="51447"/>
    <cellStyle name="Currency 4 2 2 2 6 6" xfId="51448"/>
    <cellStyle name="Currency 4 2 2 2 7" xfId="51449"/>
    <cellStyle name="Currency 4 2 2 2 7 2" xfId="51450"/>
    <cellStyle name="Currency 4 2 2 2 7 2 2" xfId="51451"/>
    <cellStyle name="Currency 4 2 2 2 7 2 3" xfId="51452"/>
    <cellStyle name="Currency 4 2 2 2 7 3" xfId="51453"/>
    <cellStyle name="Currency 4 2 2 2 7 3 2" xfId="51454"/>
    <cellStyle name="Currency 4 2 2 2 7 4" xfId="51455"/>
    <cellStyle name="Currency 4 2 2 2 7 5" xfId="51456"/>
    <cellStyle name="Currency 4 2 2 2 8" xfId="51457"/>
    <cellStyle name="Currency 4 2 2 2 8 2" xfId="51458"/>
    <cellStyle name="Currency 4 2 2 2 8 3" xfId="51459"/>
    <cellStyle name="Currency 4 2 2 2 9" xfId="51460"/>
    <cellStyle name="Currency 4 2 2 2 9 2" xfId="51461"/>
    <cellStyle name="Currency 4 2 2 2 9 3" xfId="51462"/>
    <cellStyle name="Currency 4 2 2 3" xfId="9164"/>
    <cellStyle name="Currency 4 2 2 3 10" xfId="51463"/>
    <cellStyle name="Currency 4 2 2 3 2" xfId="51464"/>
    <cellStyle name="Currency 4 2 2 3 2 2" xfId="51465"/>
    <cellStyle name="Currency 4 2 2 3 2 2 2" xfId="51466"/>
    <cellStyle name="Currency 4 2 2 3 2 2 2 2" xfId="51467"/>
    <cellStyle name="Currency 4 2 2 3 2 2 2 3" xfId="51468"/>
    <cellStyle name="Currency 4 2 2 3 2 2 3" xfId="51469"/>
    <cellStyle name="Currency 4 2 2 3 2 2 3 2" xfId="51470"/>
    <cellStyle name="Currency 4 2 2 3 2 2 3 3" xfId="51471"/>
    <cellStyle name="Currency 4 2 2 3 2 2 4" xfId="51472"/>
    <cellStyle name="Currency 4 2 2 3 2 2 4 2" xfId="51473"/>
    <cellStyle name="Currency 4 2 2 3 2 2 5" xfId="51474"/>
    <cellStyle name="Currency 4 2 2 3 2 2 6" xfId="51475"/>
    <cellStyle name="Currency 4 2 2 3 2 3" xfId="51476"/>
    <cellStyle name="Currency 4 2 2 3 2 3 2" xfId="51477"/>
    <cellStyle name="Currency 4 2 2 3 2 3 2 2" xfId="51478"/>
    <cellStyle name="Currency 4 2 2 3 2 3 2 3" xfId="51479"/>
    <cellStyle name="Currency 4 2 2 3 2 3 3" xfId="51480"/>
    <cellStyle name="Currency 4 2 2 3 2 3 3 2" xfId="51481"/>
    <cellStyle name="Currency 4 2 2 3 2 3 3 3" xfId="51482"/>
    <cellStyle name="Currency 4 2 2 3 2 3 4" xfId="51483"/>
    <cellStyle name="Currency 4 2 2 3 2 3 4 2" xfId="51484"/>
    <cellStyle name="Currency 4 2 2 3 2 3 5" xfId="51485"/>
    <cellStyle name="Currency 4 2 2 3 2 3 6" xfId="51486"/>
    <cellStyle name="Currency 4 2 2 3 2 4" xfId="51487"/>
    <cellStyle name="Currency 4 2 2 3 2 4 2" xfId="51488"/>
    <cellStyle name="Currency 4 2 2 3 2 4 2 2" xfId="51489"/>
    <cellStyle name="Currency 4 2 2 3 2 4 2 3" xfId="51490"/>
    <cellStyle name="Currency 4 2 2 3 2 4 3" xfId="51491"/>
    <cellStyle name="Currency 4 2 2 3 2 4 3 2" xfId="51492"/>
    <cellStyle name="Currency 4 2 2 3 2 4 4" xfId="51493"/>
    <cellStyle name="Currency 4 2 2 3 2 4 5" xfId="51494"/>
    <cellStyle name="Currency 4 2 2 3 2 5" xfId="51495"/>
    <cellStyle name="Currency 4 2 2 3 2 5 2" xfId="51496"/>
    <cellStyle name="Currency 4 2 2 3 2 5 3" xfId="51497"/>
    <cellStyle name="Currency 4 2 2 3 2 6" xfId="51498"/>
    <cellStyle name="Currency 4 2 2 3 2 6 2" xfId="51499"/>
    <cellStyle name="Currency 4 2 2 3 2 6 3" xfId="51500"/>
    <cellStyle name="Currency 4 2 2 3 2 7" xfId="51501"/>
    <cellStyle name="Currency 4 2 2 3 2 7 2" xfId="51502"/>
    <cellStyle name="Currency 4 2 2 3 2 8" xfId="51503"/>
    <cellStyle name="Currency 4 2 2 3 2 9" xfId="51504"/>
    <cellStyle name="Currency 4 2 2 3 3" xfId="51505"/>
    <cellStyle name="Currency 4 2 2 3 3 2" xfId="51506"/>
    <cellStyle name="Currency 4 2 2 3 3 2 2" xfId="51507"/>
    <cellStyle name="Currency 4 2 2 3 3 2 3" xfId="51508"/>
    <cellStyle name="Currency 4 2 2 3 3 3" xfId="51509"/>
    <cellStyle name="Currency 4 2 2 3 3 3 2" xfId="51510"/>
    <cellStyle name="Currency 4 2 2 3 3 3 3" xfId="51511"/>
    <cellStyle name="Currency 4 2 2 3 3 4" xfId="51512"/>
    <cellStyle name="Currency 4 2 2 3 3 4 2" xfId="51513"/>
    <cellStyle name="Currency 4 2 2 3 3 5" xfId="51514"/>
    <cellStyle name="Currency 4 2 2 3 3 6" xfId="51515"/>
    <cellStyle name="Currency 4 2 2 3 4" xfId="51516"/>
    <cellStyle name="Currency 4 2 2 3 4 2" xfId="51517"/>
    <cellStyle name="Currency 4 2 2 3 4 2 2" xfId="51518"/>
    <cellStyle name="Currency 4 2 2 3 4 2 3" xfId="51519"/>
    <cellStyle name="Currency 4 2 2 3 4 3" xfId="51520"/>
    <cellStyle name="Currency 4 2 2 3 4 3 2" xfId="51521"/>
    <cellStyle name="Currency 4 2 2 3 4 3 3" xfId="51522"/>
    <cellStyle name="Currency 4 2 2 3 4 4" xfId="51523"/>
    <cellStyle name="Currency 4 2 2 3 4 4 2" xfId="51524"/>
    <cellStyle name="Currency 4 2 2 3 4 5" xfId="51525"/>
    <cellStyle name="Currency 4 2 2 3 4 6" xfId="51526"/>
    <cellStyle name="Currency 4 2 2 3 5" xfId="51527"/>
    <cellStyle name="Currency 4 2 2 3 5 2" xfId="51528"/>
    <cellStyle name="Currency 4 2 2 3 5 2 2" xfId="51529"/>
    <cellStyle name="Currency 4 2 2 3 5 2 3" xfId="51530"/>
    <cellStyle name="Currency 4 2 2 3 5 3" xfId="51531"/>
    <cellStyle name="Currency 4 2 2 3 5 3 2" xfId="51532"/>
    <cellStyle name="Currency 4 2 2 3 5 4" xfId="51533"/>
    <cellStyle name="Currency 4 2 2 3 5 5" xfId="51534"/>
    <cellStyle name="Currency 4 2 2 3 6" xfId="51535"/>
    <cellStyle name="Currency 4 2 2 3 6 2" xfId="51536"/>
    <cellStyle name="Currency 4 2 2 3 6 3" xfId="51537"/>
    <cellStyle name="Currency 4 2 2 3 7" xfId="51538"/>
    <cellStyle name="Currency 4 2 2 3 7 2" xfId="51539"/>
    <cellStyle name="Currency 4 2 2 3 7 3" xfId="51540"/>
    <cellStyle name="Currency 4 2 2 3 8" xfId="51541"/>
    <cellStyle name="Currency 4 2 2 3 8 2" xfId="51542"/>
    <cellStyle name="Currency 4 2 2 3 9" xfId="51543"/>
    <cellStyle name="Currency 4 2 2 4" xfId="51544"/>
    <cellStyle name="Currency 4 2 2 4 2" xfId="51545"/>
    <cellStyle name="Currency 4 2 2 4 2 2" xfId="51546"/>
    <cellStyle name="Currency 4 2 2 4 2 2 2" xfId="51547"/>
    <cellStyle name="Currency 4 2 2 4 2 2 3" xfId="51548"/>
    <cellStyle name="Currency 4 2 2 4 2 3" xfId="51549"/>
    <cellStyle name="Currency 4 2 2 4 2 3 2" xfId="51550"/>
    <cellStyle name="Currency 4 2 2 4 2 3 3" xfId="51551"/>
    <cellStyle name="Currency 4 2 2 4 2 4" xfId="51552"/>
    <cellStyle name="Currency 4 2 2 4 2 4 2" xfId="51553"/>
    <cellStyle name="Currency 4 2 2 4 2 5" xfId="51554"/>
    <cellStyle name="Currency 4 2 2 4 2 6" xfId="51555"/>
    <cellStyle name="Currency 4 2 2 4 3" xfId="51556"/>
    <cellStyle name="Currency 4 2 2 4 3 2" xfId="51557"/>
    <cellStyle name="Currency 4 2 2 4 3 2 2" xfId="51558"/>
    <cellStyle name="Currency 4 2 2 4 3 2 3" xfId="51559"/>
    <cellStyle name="Currency 4 2 2 4 3 3" xfId="51560"/>
    <cellStyle name="Currency 4 2 2 4 3 3 2" xfId="51561"/>
    <cellStyle name="Currency 4 2 2 4 3 3 3" xfId="51562"/>
    <cellStyle name="Currency 4 2 2 4 3 4" xfId="51563"/>
    <cellStyle name="Currency 4 2 2 4 3 4 2" xfId="51564"/>
    <cellStyle name="Currency 4 2 2 4 3 5" xfId="51565"/>
    <cellStyle name="Currency 4 2 2 4 3 6" xfId="51566"/>
    <cellStyle name="Currency 4 2 2 4 4" xfId="51567"/>
    <cellStyle name="Currency 4 2 2 4 4 2" xfId="51568"/>
    <cellStyle name="Currency 4 2 2 4 4 2 2" xfId="51569"/>
    <cellStyle name="Currency 4 2 2 4 4 2 3" xfId="51570"/>
    <cellStyle name="Currency 4 2 2 4 4 3" xfId="51571"/>
    <cellStyle name="Currency 4 2 2 4 4 3 2" xfId="51572"/>
    <cellStyle name="Currency 4 2 2 4 4 4" xfId="51573"/>
    <cellStyle name="Currency 4 2 2 4 4 5" xfId="51574"/>
    <cellStyle name="Currency 4 2 2 4 5" xfId="51575"/>
    <cellStyle name="Currency 4 2 2 4 5 2" xfId="51576"/>
    <cellStyle name="Currency 4 2 2 4 5 3" xfId="51577"/>
    <cellStyle name="Currency 4 2 2 4 6" xfId="51578"/>
    <cellStyle name="Currency 4 2 2 4 6 2" xfId="51579"/>
    <cellStyle name="Currency 4 2 2 4 6 3" xfId="51580"/>
    <cellStyle name="Currency 4 2 2 4 7" xfId="51581"/>
    <cellStyle name="Currency 4 2 2 4 7 2" xfId="51582"/>
    <cellStyle name="Currency 4 2 2 4 8" xfId="51583"/>
    <cellStyle name="Currency 4 2 2 4 9" xfId="51584"/>
    <cellStyle name="Currency 4 2 2 5" xfId="51585"/>
    <cellStyle name="Currency 4 2 2 5 2" xfId="51586"/>
    <cellStyle name="Currency 4 2 2 5 2 2" xfId="51587"/>
    <cellStyle name="Currency 4 2 2 5 2 2 2" xfId="51588"/>
    <cellStyle name="Currency 4 2 2 5 2 2 3" xfId="51589"/>
    <cellStyle name="Currency 4 2 2 5 2 3" xfId="51590"/>
    <cellStyle name="Currency 4 2 2 5 2 3 2" xfId="51591"/>
    <cellStyle name="Currency 4 2 2 5 2 3 3" xfId="51592"/>
    <cellStyle name="Currency 4 2 2 5 2 4" xfId="51593"/>
    <cellStyle name="Currency 4 2 2 5 2 4 2" xfId="51594"/>
    <cellStyle name="Currency 4 2 2 5 2 5" xfId="51595"/>
    <cellStyle name="Currency 4 2 2 5 2 6" xfId="51596"/>
    <cellStyle name="Currency 4 2 2 5 3" xfId="51597"/>
    <cellStyle name="Currency 4 2 2 5 3 2" xfId="51598"/>
    <cellStyle name="Currency 4 2 2 5 3 2 2" xfId="51599"/>
    <cellStyle name="Currency 4 2 2 5 3 2 3" xfId="51600"/>
    <cellStyle name="Currency 4 2 2 5 3 3" xfId="51601"/>
    <cellStyle name="Currency 4 2 2 5 3 3 2" xfId="51602"/>
    <cellStyle name="Currency 4 2 2 5 3 3 3" xfId="51603"/>
    <cellStyle name="Currency 4 2 2 5 3 4" xfId="51604"/>
    <cellStyle name="Currency 4 2 2 5 3 4 2" xfId="51605"/>
    <cellStyle name="Currency 4 2 2 5 3 5" xfId="51606"/>
    <cellStyle name="Currency 4 2 2 5 3 6" xfId="51607"/>
    <cellStyle name="Currency 4 2 2 5 4" xfId="51608"/>
    <cellStyle name="Currency 4 2 2 5 4 2" xfId="51609"/>
    <cellStyle name="Currency 4 2 2 5 4 2 2" xfId="51610"/>
    <cellStyle name="Currency 4 2 2 5 4 2 3" xfId="51611"/>
    <cellStyle name="Currency 4 2 2 5 4 3" xfId="51612"/>
    <cellStyle name="Currency 4 2 2 5 4 3 2" xfId="51613"/>
    <cellStyle name="Currency 4 2 2 5 4 4" xfId="51614"/>
    <cellStyle name="Currency 4 2 2 5 4 5" xfId="51615"/>
    <cellStyle name="Currency 4 2 2 5 5" xfId="51616"/>
    <cellStyle name="Currency 4 2 2 5 5 2" xfId="51617"/>
    <cellStyle name="Currency 4 2 2 5 5 3" xfId="51618"/>
    <cellStyle name="Currency 4 2 2 5 6" xfId="51619"/>
    <cellStyle name="Currency 4 2 2 5 6 2" xfId="51620"/>
    <cellStyle name="Currency 4 2 2 5 6 3" xfId="51621"/>
    <cellStyle name="Currency 4 2 2 5 7" xfId="51622"/>
    <cellStyle name="Currency 4 2 2 5 7 2" xfId="51623"/>
    <cellStyle name="Currency 4 2 2 5 8" xfId="51624"/>
    <cellStyle name="Currency 4 2 2 5 9" xfId="51625"/>
    <cellStyle name="Currency 4 2 2 6" xfId="51626"/>
    <cellStyle name="Currency 4 2 2 6 2" xfId="51627"/>
    <cellStyle name="Currency 4 2 2 6 2 2" xfId="51628"/>
    <cellStyle name="Currency 4 2 2 6 2 3" xfId="51629"/>
    <cellStyle name="Currency 4 2 2 6 3" xfId="51630"/>
    <cellStyle name="Currency 4 2 2 6 3 2" xfId="51631"/>
    <cellStyle name="Currency 4 2 2 6 3 3" xfId="51632"/>
    <cellStyle name="Currency 4 2 2 6 4" xfId="51633"/>
    <cellStyle name="Currency 4 2 2 6 4 2" xfId="51634"/>
    <cellStyle name="Currency 4 2 2 6 5" xfId="51635"/>
    <cellStyle name="Currency 4 2 2 6 6" xfId="51636"/>
    <cellStyle name="Currency 4 2 2 7" xfId="51637"/>
    <cellStyle name="Currency 4 2 2 7 2" xfId="51638"/>
    <cellStyle name="Currency 4 2 2 7 2 2" xfId="51639"/>
    <cellStyle name="Currency 4 2 2 7 2 3" xfId="51640"/>
    <cellStyle name="Currency 4 2 2 7 3" xfId="51641"/>
    <cellStyle name="Currency 4 2 2 7 3 2" xfId="51642"/>
    <cellStyle name="Currency 4 2 2 7 3 3" xfId="51643"/>
    <cellStyle name="Currency 4 2 2 7 4" xfId="51644"/>
    <cellStyle name="Currency 4 2 2 7 4 2" xfId="51645"/>
    <cellStyle name="Currency 4 2 2 7 5" xfId="51646"/>
    <cellStyle name="Currency 4 2 2 7 6" xfId="51647"/>
    <cellStyle name="Currency 4 2 2 8" xfId="51648"/>
    <cellStyle name="Currency 4 2 2 8 2" xfId="51649"/>
    <cellStyle name="Currency 4 2 2 8 2 2" xfId="51650"/>
    <cellStyle name="Currency 4 2 2 8 2 3" xfId="51651"/>
    <cellStyle name="Currency 4 2 2 8 3" xfId="51652"/>
    <cellStyle name="Currency 4 2 2 8 3 2" xfId="51653"/>
    <cellStyle name="Currency 4 2 2 8 4" xfId="51654"/>
    <cellStyle name="Currency 4 2 2 8 5" xfId="51655"/>
    <cellStyle name="Currency 4 2 2 9" xfId="51656"/>
    <cellStyle name="Currency 4 2 2 9 2" xfId="51657"/>
    <cellStyle name="Currency 4 2 2 9 3" xfId="51658"/>
    <cellStyle name="Currency 4 2 3" xfId="3901"/>
    <cellStyle name="Currency 4 2 3 10" xfId="51659"/>
    <cellStyle name="Currency 4 2 3 10 2" xfId="51660"/>
    <cellStyle name="Currency 4 2 3 11" xfId="51661"/>
    <cellStyle name="Currency 4 2 3 12" xfId="51662"/>
    <cellStyle name="Currency 4 2 3 2" xfId="9165"/>
    <cellStyle name="Currency 4 2 3 2 10" xfId="51663"/>
    <cellStyle name="Currency 4 2 3 2 2" xfId="51664"/>
    <cellStyle name="Currency 4 2 3 2 2 2" xfId="51665"/>
    <cellStyle name="Currency 4 2 3 2 2 2 2" xfId="51666"/>
    <cellStyle name="Currency 4 2 3 2 2 2 2 2" xfId="51667"/>
    <cellStyle name="Currency 4 2 3 2 2 2 2 3" xfId="51668"/>
    <cellStyle name="Currency 4 2 3 2 2 2 3" xfId="51669"/>
    <cellStyle name="Currency 4 2 3 2 2 2 3 2" xfId="51670"/>
    <cellStyle name="Currency 4 2 3 2 2 2 3 3" xfId="51671"/>
    <cellStyle name="Currency 4 2 3 2 2 2 4" xfId="51672"/>
    <cellStyle name="Currency 4 2 3 2 2 2 4 2" xfId="51673"/>
    <cellStyle name="Currency 4 2 3 2 2 2 5" xfId="51674"/>
    <cellStyle name="Currency 4 2 3 2 2 2 6" xfId="51675"/>
    <cellStyle name="Currency 4 2 3 2 2 3" xfId="51676"/>
    <cellStyle name="Currency 4 2 3 2 2 3 2" xfId="51677"/>
    <cellStyle name="Currency 4 2 3 2 2 3 2 2" xfId="51678"/>
    <cellStyle name="Currency 4 2 3 2 2 3 2 3" xfId="51679"/>
    <cellStyle name="Currency 4 2 3 2 2 3 3" xfId="51680"/>
    <cellStyle name="Currency 4 2 3 2 2 3 3 2" xfId="51681"/>
    <cellStyle name="Currency 4 2 3 2 2 3 3 3" xfId="51682"/>
    <cellStyle name="Currency 4 2 3 2 2 3 4" xfId="51683"/>
    <cellStyle name="Currency 4 2 3 2 2 3 4 2" xfId="51684"/>
    <cellStyle name="Currency 4 2 3 2 2 3 5" xfId="51685"/>
    <cellStyle name="Currency 4 2 3 2 2 3 6" xfId="51686"/>
    <cellStyle name="Currency 4 2 3 2 2 4" xfId="51687"/>
    <cellStyle name="Currency 4 2 3 2 2 4 2" xfId="51688"/>
    <cellStyle name="Currency 4 2 3 2 2 4 2 2" xfId="51689"/>
    <cellStyle name="Currency 4 2 3 2 2 4 2 3" xfId="51690"/>
    <cellStyle name="Currency 4 2 3 2 2 4 3" xfId="51691"/>
    <cellStyle name="Currency 4 2 3 2 2 4 3 2" xfId="51692"/>
    <cellStyle name="Currency 4 2 3 2 2 4 4" xfId="51693"/>
    <cellStyle name="Currency 4 2 3 2 2 4 5" xfId="51694"/>
    <cellStyle name="Currency 4 2 3 2 2 5" xfId="51695"/>
    <cellStyle name="Currency 4 2 3 2 2 5 2" xfId="51696"/>
    <cellStyle name="Currency 4 2 3 2 2 5 3" xfId="51697"/>
    <cellStyle name="Currency 4 2 3 2 2 6" xfId="51698"/>
    <cellStyle name="Currency 4 2 3 2 2 6 2" xfId="51699"/>
    <cellStyle name="Currency 4 2 3 2 2 6 3" xfId="51700"/>
    <cellStyle name="Currency 4 2 3 2 2 7" xfId="51701"/>
    <cellStyle name="Currency 4 2 3 2 2 7 2" xfId="51702"/>
    <cellStyle name="Currency 4 2 3 2 2 8" xfId="51703"/>
    <cellStyle name="Currency 4 2 3 2 2 9" xfId="51704"/>
    <cellStyle name="Currency 4 2 3 2 3" xfId="51705"/>
    <cellStyle name="Currency 4 2 3 2 3 2" xfId="51706"/>
    <cellStyle name="Currency 4 2 3 2 3 2 2" xfId="51707"/>
    <cellStyle name="Currency 4 2 3 2 3 2 3" xfId="51708"/>
    <cellStyle name="Currency 4 2 3 2 3 3" xfId="51709"/>
    <cellStyle name="Currency 4 2 3 2 3 3 2" xfId="51710"/>
    <cellStyle name="Currency 4 2 3 2 3 3 3" xfId="51711"/>
    <cellStyle name="Currency 4 2 3 2 3 4" xfId="51712"/>
    <cellStyle name="Currency 4 2 3 2 3 4 2" xfId="51713"/>
    <cellStyle name="Currency 4 2 3 2 3 5" xfId="51714"/>
    <cellStyle name="Currency 4 2 3 2 3 6" xfId="51715"/>
    <cellStyle name="Currency 4 2 3 2 4" xfId="51716"/>
    <cellStyle name="Currency 4 2 3 2 4 2" xfId="51717"/>
    <cellStyle name="Currency 4 2 3 2 4 2 2" xfId="51718"/>
    <cellStyle name="Currency 4 2 3 2 4 2 3" xfId="51719"/>
    <cellStyle name="Currency 4 2 3 2 4 3" xfId="51720"/>
    <cellStyle name="Currency 4 2 3 2 4 3 2" xfId="51721"/>
    <cellStyle name="Currency 4 2 3 2 4 3 3" xfId="51722"/>
    <cellStyle name="Currency 4 2 3 2 4 4" xfId="51723"/>
    <cellStyle name="Currency 4 2 3 2 4 4 2" xfId="51724"/>
    <cellStyle name="Currency 4 2 3 2 4 5" xfId="51725"/>
    <cellStyle name="Currency 4 2 3 2 4 6" xfId="51726"/>
    <cellStyle name="Currency 4 2 3 2 5" xfId="51727"/>
    <cellStyle name="Currency 4 2 3 2 5 2" xfId="51728"/>
    <cellStyle name="Currency 4 2 3 2 5 2 2" xfId="51729"/>
    <cellStyle name="Currency 4 2 3 2 5 2 3" xfId="51730"/>
    <cellStyle name="Currency 4 2 3 2 5 3" xfId="51731"/>
    <cellStyle name="Currency 4 2 3 2 5 3 2" xfId="51732"/>
    <cellStyle name="Currency 4 2 3 2 5 4" xfId="51733"/>
    <cellStyle name="Currency 4 2 3 2 5 5" xfId="51734"/>
    <cellStyle name="Currency 4 2 3 2 6" xfId="51735"/>
    <cellStyle name="Currency 4 2 3 2 6 2" xfId="51736"/>
    <cellStyle name="Currency 4 2 3 2 6 3" xfId="51737"/>
    <cellStyle name="Currency 4 2 3 2 7" xfId="51738"/>
    <cellStyle name="Currency 4 2 3 2 7 2" xfId="51739"/>
    <cellStyle name="Currency 4 2 3 2 7 3" xfId="51740"/>
    <cellStyle name="Currency 4 2 3 2 8" xfId="51741"/>
    <cellStyle name="Currency 4 2 3 2 8 2" xfId="51742"/>
    <cellStyle name="Currency 4 2 3 2 9" xfId="51743"/>
    <cellStyle name="Currency 4 2 3 3" xfId="51744"/>
    <cellStyle name="Currency 4 2 3 3 2" xfId="51745"/>
    <cellStyle name="Currency 4 2 3 3 2 2" xfId="51746"/>
    <cellStyle name="Currency 4 2 3 3 2 2 2" xfId="51747"/>
    <cellStyle name="Currency 4 2 3 3 2 2 3" xfId="51748"/>
    <cellStyle name="Currency 4 2 3 3 2 3" xfId="51749"/>
    <cellStyle name="Currency 4 2 3 3 2 3 2" xfId="51750"/>
    <cellStyle name="Currency 4 2 3 3 2 3 3" xfId="51751"/>
    <cellStyle name="Currency 4 2 3 3 2 4" xfId="51752"/>
    <cellStyle name="Currency 4 2 3 3 2 4 2" xfId="51753"/>
    <cellStyle name="Currency 4 2 3 3 2 5" xfId="51754"/>
    <cellStyle name="Currency 4 2 3 3 2 6" xfId="51755"/>
    <cellStyle name="Currency 4 2 3 3 3" xfId="51756"/>
    <cellStyle name="Currency 4 2 3 3 3 2" xfId="51757"/>
    <cellStyle name="Currency 4 2 3 3 3 2 2" xfId="51758"/>
    <cellStyle name="Currency 4 2 3 3 3 2 3" xfId="51759"/>
    <cellStyle name="Currency 4 2 3 3 3 3" xfId="51760"/>
    <cellStyle name="Currency 4 2 3 3 3 3 2" xfId="51761"/>
    <cellStyle name="Currency 4 2 3 3 3 3 3" xfId="51762"/>
    <cellStyle name="Currency 4 2 3 3 3 4" xfId="51763"/>
    <cellStyle name="Currency 4 2 3 3 3 4 2" xfId="51764"/>
    <cellStyle name="Currency 4 2 3 3 3 5" xfId="51765"/>
    <cellStyle name="Currency 4 2 3 3 3 6" xfId="51766"/>
    <cellStyle name="Currency 4 2 3 3 4" xfId="51767"/>
    <cellStyle name="Currency 4 2 3 3 4 2" xfId="51768"/>
    <cellStyle name="Currency 4 2 3 3 4 2 2" xfId="51769"/>
    <cellStyle name="Currency 4 2 3 3 4 2 3" xfId="51770"/>
    <cellStyle name="Currency 4 2 3 3 4 3" xfId="51771"/>
    <cellStyle name="Currency 4 2 3 3 4 3 2" xfId="51772"/>
    <cellStyle name="Currency 4 2 3 3 4 4" xfId="51773"/>
    <cellStyle name="Currency 4 2 3 3 4 5" xfId="51774"/>
    <cellStyle name="Currency 4 2 3 3 5" xfId="51775"/>
    <cellStyle name="Currency 4 2 3 3 5 2" xfId="51776"/>
    <cellStyle name="Currency 4 2 3 3 5 3" xfId="51777"/>
    <cellStyle name="Currency 4 2 3 3 6" xfId="51778"/>
    <cellStyle name="Currency 4 2 3 3 6 2" xfId="51779"/>
    <cellStyle name="Currency 4 2 3 3 6 3" xfId="51780"/>
    <cellStyle name="Currency 4 2 3 3 7" xfId="51781"/>
    <cellStyle name="Currency 4 2 3 3 7 2" xfId="51782"/>
    <cellStyle name="Currency 4 2 3 3 8" xfId="51783"/>
    <cellStyle name="Currency 4 2 3 3 9" xfId="51784"/>
    <cellStyle name="Currency 4 2 3 4" xfId="51785"/>
    <cellStyle name="Currency 4 2 3 4 2" xfId="51786"/>
    <cellStyle name="Currency 4 2 3 4 2 2" xfId="51787"/>
    <cellStyle name="Currency 4 2 3 4 2 2 2" xfId="51788"/>
    <cellStyle name="Currency 4 2 3 4 2 2 3" xfId="51789"/>
    <cellStyle name="Currency 4 2 3 4 2 3" xfId="51790"/>
    <cellStyle name="Currency 4 2 3 4 2 3 2" xfId="51791"/>
    <cellStyle name="Currency 4 2 3 4 2 3 3" xfId="51792"/>
    <cellStyle name="Currency 4 2 3 4 2 4" xfId="51793"/>
    <cellStyle name="Currency 4 2 3 4 2 4 2" xfId="51794"/>
    <cellStyle name="Currency 4 2 3 4 2 5" xfId="51795"/>
    <cellStyle name="Currency 4 2 3 4 2 6" xfId="51796"/>
    <cellStyle name="Currency 4 2 3 4 3" xfId="51797"/>
    <cellStyle name="Currency 4 2 3 4 3 2" xfId="51798"/>
    <cellStyle name="Currency 4 2 3 4 3 2 2" xfId="51799"/>
    <cellStyle name="Currency 4 2 3 4 3 2 3" xfId="51800"/>
    <cellStyle name="Currency 4 2 3 4 3 3" xfId="51801"/>
    <cellStyle name="Currency 4 2 3 4 3 3 2" xfId="51802"/>
    <cellStyle name="Currency 4 2 3 4 3 3 3" xfId="51803"/>
    <cellStyle name="Currency 4 2 3 4 3 4" xfId="51804"/>
    <cellStyle name="Currency 4 2 3 4 3 4 2" xfId="51805"/>
    <cellStyle name="Currency 4 2 3 4 3 5" xfId="51806"/>
    <cellStyle name="Currency 4 2 3 4 3 6" xfId="51807"/>
    <cellStyle name="Currency 4 2 3 4 4" xfId="51808"/>
    <cellStyle name="Currency 4 2 3 4 4 2" xfId="51809"/>
    <cellStyle name="Currency 4 2 3 4 4 2 2" xfId="51810"/>
    <cellStyle name="Currency 4 2 3 4 4 2 3" xfId="51811"/>
    <cellStyle name="Currency 4 2 3 4 4 3" xfId="51812"/>
    <cellStyle name="Currency 4 2 3 4 4 3 2" xfId="51813"/>
    <cellStyle name="Currency 4 2 3 4 4 4" xfId="51814"/>
    <cellStyle name="Currency 4 2 3 4 4 5" xfId="51815"/>
    <cellStyle name="Currency 4 2 3 4 5" xfId="51816"/>
    <cellStyle name="Currency 4 2 3 4 5 2" xfId="51817"/>
    <cellStyle name="Currency 4 2 3 4 5 3" xfId="51818"/>
    <cellStyle name="Currency 4 2 3 4 6" xfId="51819"/>
    <cellStyle name="Currency 4 2 3 4 6 2" xfId="51820"/>
    <cellStyle name="Currency 4 2 3 4 6 3" xfId="51821"/>
    <cellStyle name="Currency 4 2 3 4 7" xfId="51822"/>
    <cellStyle name="Currency 4 2 3 4 7 2" xfId="51823"/>
    <cellStyle name="Currency 4 2 3 4 8" xfId="51824"/>
    <cellStyle name="Currency 4 2 3 4 9" xfId="51825"/>
    <cellStyle name="Currency 4 2 3 5" xfId="51826"/>
    <cellStyle name="Currency 4 2 3 5 2" xfId="51827"/>
    <cellStyle name="Currency 4 2 3 5 2 2" xfId="51828"/>
    <cellStyle name="Currency 4 2 3 5 2 3" xfId="51829"/>
    <cellStyle name="Currency 4 2 3 5 3" xfId="51830"/>
    <cellStyle name="Currency 4 2 3 5 3 2" xfId="51831"/>
    <cellStyle name="Currency 4 2 3 5 3 3" xfId="51832"/>
    <cellStyle name="Currency 4 2 3 5 4" xfId="51833"/>
    <cellStyle name="Currency 4 2 3 5 4 2" xfId="51834"/>
    <cellStyle name="Currency 4 2 3 5 5" xfId="51835"/>
    <cellStyle name="Currency 4 2 3 5 6" xfId="51836"/>
    <cellStyle name="Currency 4 2 3 6" xfId="51837"/>
    <cellStyle name="Currency 4 2 3 6 2" xfId="51838"/>
    <cellStyle name="Currency 4 2 3 6 2 2" xfId="51839"/>
    <cellStyle name="Currency 4 2 3 6 2 3" xfId="51840"/>
    <cellStyle name="Currency 4 2 3 6 3" xfId="51841"/>
    <cellStyle name="Currency 4 2 3 6 3 2" xfId="51842"/>
    <cellStyle name="Currency 4 2 3 6 3 3" xfId="51843"/>
    <cellStyle name="Currency 4 2 3 6 4" xfId="51844"/>
    <cellStyle name="Currency 4 2 3 6 4 2" xfId="51845"/>
    <cellStyle name="Currency 4 2 3 6 5" xfId="51846"/>
    <cellStyle name="Currency 4 2 3 6 6" xfId="51847"/>
    <cellStyle name="Currency 4 2 3 7" xfId="51848"/>
    <cellStyle name="Currency 4 2 3 7 2" xfId="51849"/>
    <cellStyle name="Currency 4 2 3 7 2 2" xfId="51850"/>
    <cellStyle name="Currency 4 2 3 7 2 3" xfId="51851"/>
    <cellStyle name="Currency 4 2 3 7 3" xfId="51852"/>
    <cellStyle name="Currency 4 2 3 7 3 2" xfId="51853"/>
    <cellStyle name="Currency 4 2 3 7 4" xfId="51854"/>
    <cellStyle name="Currency 4 2 3 7 5" xfId="51855"/>
    <cellStyle name="Currency 4 2 3 8" xfId="51856"/>
    <cellStyle name="Currency 4 2 3 8 2" xfId="51857"/>
    <cellStyle name="Currency 4 2 3 8 3" xfId="51858"/>
    <cellStyle name="Currency 4 2 3 9" xfId="51859"/>
    <cellStyle name="Currency 4 2 3 9 2" xfId="51860"/>
    <cellStyle name="Currency 4 2 3 9 3" xfId="51861"/>
    <cellStyle name="Currency 4 2 4" xfId="9166"/>
    <cellStyle name="Currency 4 2 4 10" xfId="51862"/>
    <cellStyle name="Currency 4 2 4 2" xfId="51863"/>
    <cellStyle name="Currency 4 2 4 2 2" xfId="51864"/>
    <cellStyle name="Currency 4 2 4 2 2 2" xfId="51865"/>
    <cellStyle name="Currency 4 2 4 2 2 2 2" xfId="51866"/>
    <cellStyle name="Currency 4 2 4 2 2 2 3" xfId="51867"/>
    <cellStyle name="Currency 4 2 4 2 2 3" xfId="51868"/>
    <cellStyle name="Currency 4 2 4 2 2 3 2" xfId="51869"/>
    <cellStyle name="Currency 4 2 4 2 2 3 3" xfId="51870"/>
    <cellStyle name="Currency 4 2 4 2 2 4" xfId="51871"/>
    <cellStyle name="Currency 4 2 4 2 2 4 2" xfId="51872"/>
    <cellStyle name="Currency 4 2 4 2 2 5" xfId="51873"/>
    <cellStyle name="Currency 4 2 4 2 2 6" xfId="51874"/>
    <cellStyle name="Currency 4 2 4 2 3" xfId="51875"/>
    <cellStyle name="Currency 4 2 4 2 3 2" xfId="51876"/>
    <cellStyle name="Currency 4 2 4 2 3 2 2" xfId="51877"/>
    <cellStyle name="Currency 4 2 4 2 3 2 3" xfId="51878"/>
    <cellStyle name="Currency 4 2 4 2 3 3" xfId="51879"/>
    <cellStyle name="Currency 4 2 4 2 3 3 2" xfId="51880"/>
    <cellStyle name="Currency 4 2 4 2 3 3 3" xfId="51881"/>
    <cellStyle name="Currency 4 2 4 2 3 4" xfId="51882"/>
    <cellStyle name="Currency 4 2 4 2 3 4 2" xfId="51883"/>
    <cellStyle name="Currency 4 2 4 2 3 5" xfId="51884"/>
    <cellStyle name="Currency 4 2 4 2 3 6" xfId="51885"/>
    <cellStyle name="Currency 4 2 4 2 4" xfId="51886"/>
    <cellStyle name="Currency 4 2 4 2 4 2" xfId="51887"/>
    <cellStyle name="Currency 4 2 4 2 4 2 2" xfId="51888"/>
    <cellStyle name="Currency 4 2 4 2 4 2 3" xfId="51889"/>
    <cellStyle name="Currency 4 2 4 2 4 3" xfId="51890"/>
    <cellStyle name="Currency 4 2 4 2 4 3 2" xfId="51891"/>
    <cellStyle name="Currency 4 2 4 2 4 4" xfId="51892"/>
    <cellStyle name="Currency 4 2 4 2 4 5" xfId="51893"/>
    <cellStyle name="Currency 4 2 4 2 5" xfId="51894"/>
    <cellStyle name="Currency 4 2 4 2 5 2" xfId="51895"/>
    <cellStyle name="Currency 4 2 4 2 5 3" xfId="51896"/>
    <cellStyle name="Currency 4 2 4 2 6" xfId="51897"/>
    <cellStyle name="Currency 4 2 4 2 6 2" xfId="51898"/>
    <cellStyle name="Currency 4 2 4 2 6 3" xfId="51899"/>
    <cellStyle name="Currency 4 2 4 2 7" xfId="51900"/>
    <cellStyle name="Currency 4 2 4 2 7 2" xfId="51901"/>
    <cellStyle name="Currency 4 2 4 2 8" xfId="51902"/>
    <cellStyle name="Currency 4 2 4 2 9" xfId="51903"/>
    <cellStyle name="Currency 4 2 4 3" xfId="51904"/>
    <cellStyle name="Currency 4 2 4 3 2" xfId="51905"/>
    <cellStyle name="Currency 4 2 4 3 2 2" xfId="51906"/>
    <cellStyle name="Currency 4 2 4 3 2 3" xfId="51907"/>
    <cellStyle name="Currency 4 2 4 3 3" xfId="51908"/>
    <cellStyle name="Currency 4 2 4 3 3 2" xfId="51909"/>
    <cellStyle name="Currency 4 2 4 3 3 3" xfId="51910"/>
    <cellStyle name="Currency 4 2 4 3 4" xfId="51911"/>
    <cellStyle name="Currency 4 2 4 3 4 2" xfId="51912"/>
    <cellStyle name="Currency 4 2 4 3 5" xfId="51913"/>
    <cellStyle name="Currency 4 2 4 3 6" xfId="51914"/>
    <cellStyle name="Currency 4 2 4 4" xfId="51915"/>
    <cellStyle name="Currency 4 2 4 4 2" xfId="51916"/>
    <cellStyle name="Currency 4 2 4 4 2 2" xfId="51917"/>
    <cellStyle name="Currency 4 2 4 4 2 3" xfId="51918"/>
    <cellStyle name="Currency 4 2 4 4 3" xfId="51919"/>
    <cellStyle name="Currency 4 2 4 4 3 2" xfId="51920"/>
    <cellStyle name="Currency 4 2 4 4 3 3" xfId="51921"/>
    <cellStyle name="Currency 4 2 4 4 4" xfId="51922"/>
    <cellStyle name="Currency 4 2 4 4 4 2" xfId="51923"/>
    <cellStyle name="Currency 4 2 4 4 5" xfId="51924"/>
    <cellStyle name="Currency 4 2 4 4 6" xfId="51925"/>
    <cellStyle name="Currency 4 2 4 5" xfId="51926"/>
    <cellStyle name="Currency 4 2 4 5 2" xfId="51927"/>
    <cellStyle name="Currency 4 2 4 5 2 2" xfId="51928"/>
    <cellStyle name="Currency 4 2 4 5 2 3" xfId="51929"/>
    <cellStyle name="Currency 4 2 4 5 3" xfId="51930"/>
    <cellStyle name="Currency 4 2 4 5 3 2" xfId="51931"/>
    <cellStyle name="Currency 4 2 4 5 4" xfId="51932"/>
    <cellStyle name="Currency 4 2 4 5 5" xfId="51933"/>
    <cellStyle name="Currency 4 2 4 6" xfId="51934"/>
    <cellStyle name="Currency 4 2 4 6 2" xfId="51935"/>
    <cellStyle name="Currency 4 2 4 6 3" xfId="51936"/>
    <cellStyle name="Currency 4 2 4 7" xfId="51937"/>
    <cellStyle name="Currency 4 2 4 7 2" xfId="51938"/>
    <cellStyle name="Currency 4 2 4 7 3" xfId="51939"/>
    <cellStyle name="Currency 4 2 4 8" xfId="51940"/>
    <cellStyle name="Currency 4 2 4 8 2" xfId="51941"/>
    <cellStyle name="Currency 4 2 4 9" xfId="51942"/>
    <cellStyle name="Currency 4 2 5" xfId="51943"/>
    <cellStyle name="Currency 4 2 5 2" xfId="51944"/>
    <cellStyle name="Currency 4 2 5 2 2" xfId="51945"/>
    <cellStyle name="Currency 4 2 5 2 2 2" xfId="51946"/>
    <cellStyle name="Currency 4 2 5 2 2 3" xfId="51947"/>
    <cellStyle name="Currency 4 2 5 2 3" xfId="51948"/>
    <cellStyle name="Currency 4 2 5 2 3 2" xfId="51949"/>
    <cellStyle name="Currency 4 2 5 2 3 3" xfId="51950"/>
    <cellStyle name="Currency 4 2 5 2 4" xfId="51951"/>
    <cellStyle name="Currency 4 2 5 2 4 2" xfId="51952"/>
    <cellStyle name="Currency 4 2 5 2 5" xfId="51953"/>
    <cellStyle name="Currency 4 2 5 2 6" xfId="51954"/>
    <cellStyle name="Currency 4 2 5 3" xfId="51955"/>
    <cellStyle name="Currency 4 2 5 3 2" xfId="51956"/>
    <cellStyle name="Currency 4 2 5 3 2 2" xfId="51957"/>
    <cellStyle name="Currency 4 2 5 3 2 3" xfId="51958"/>
    <cellStyle name="Currency 4 2 5 3 3" xfId="51959"/>
    <cellStyle name="Currency 4 2 5 3 3 2" xfId="51960"/>
    <cellStyle name="Currency 4 2 5 3 3 3" xfId="51961"/>
    <cellStyle name="Currency 4 2 5 3 4" xfId="51962"/>
    <cellStyle name="Currency 4 2 5 3 4 2" xfId="51963"/>
    <cellStyle name="Currency 4 2 5 3 5" xfId="51964"/>
    <cellStyle name="Currency 4 2 5 3 6" xfId="51965"/>
    <cellStyle name="Currency 4 2 5 4" xfId="51966"/>
    <cellStyle name="Currency 4 2 5 4 2" xfId="51967"/>
    <cellStyle name="Currency 4 2 5 4 2 2" xfId="51968"/>
    <cellStyle name="Currency 4 2 5 4 2 3" xfId="51969"/>
    <cellStyle name="Currency 4 2 5 4 3" xfId="51970"/>
    <cellStyle name="Currency 4 2 5 4 3 2" xfId="51971"/>
    <cellStyle name="Currency 4 2 5 4 4" xfId="51972"/>
    <cellStyle name="Currency 4 2 5 4 5" xfId="51973"/>
    <cellStyle name="Currency 4 2 5 5" xfId="51974"/>
    <cellStyle name="Currency 4 2 5 5 2" xfId="51975"/>
    <cellStyle name="Currency 4 2 5 5 3" xfId="51976"/>
    <cellStyle name="Currency 4 2 5 6" xfId="51977"/>
    <cellStyle name="Currency 4 2 5 6 2" xfId="51978"/>
    <cellStyle name="Currency 4 2 5 6 3" xfId="51979"/>
    <cellStyle name="Currency 4 2 5 7" xfId="51980"/>
    <cellStyle name="Currency 4 2 5 7 2" xfId="51981"/>
    <cellStyle name="Currency 4 2 5 8" xfId="51982"/>
    <cellStyle name="Currency 4 2 5 9" xfId="51983"/>
    <cellStyle name="Currency 4 2 6" xfId="51984"/>
    <cellStyle name="Currency 4 2 6 2" xfId="51985"/>
    <cellStyle name="Currency 4 2 6 2 2" xfId="51986"/>
    <cellStyle name="Currency 4 2 6 2 2 2" xfId="51987"/>
    <cellStyle name="Currency 4 2 6 2 2 3" xfId="51988"/>
    <cellStyle name="Currency 4 2 6 2 3" xfId="51989"/>
    <cellStyle name="Currency 4 2 6 2 3 2" xfId="51990"/>
    <cellStyle name="Currency 4 2 6 2 3 3" xfId="51991"/>
    <cellStyle name="Currency 4 2 6 2 4" xfId="51992"/>
    <cellStyle name="Currency 4 2 6 2 4 2" xfId="51993"/>
    <cellStyle name="Currency 4 2 6 2 5" xfId="51994"/>
    <cellStyle name="Currency 4 2 6 2 6" xfId="51995"/>
    <cellStyle name="Currency 4 2 6 3" xfId="51996"/>
    <cellStyle name="Currency 4 2 6 3 2" xfId="51997"/>
    <cellStyle name="Currency 4 2 6 3 2 2" xfId="51998"/>
    <cellStyle name="Currency 4 2 6 3 2 3" xfId="51999"/>
    <cellStyle name="Currency 4 2 6 3 3" xfId="52000"/>
    <cellStyle name="Currency 4 2 6 3 3 2" xfId="52001"/>
    <cellStyle name="Currency 4 2 6 3 3 3" xfId="52002"/>
    <cellStyle name="Currency 4 2 6 3 4" xfId="52003"/>
    <cellStyle name="Currency 4 2 6 3 4 2" xfId="52004"/>
    <cellStyle name="Currency 4 2 6 3 5" xfId="52005"/>
    <cellStyle name="Currency 4 2 6 3 6" xfId="52006"/>
    <cellStyle name="Currency 4 2 6 4" xfId="52007"/>
    <cellStyle name="Currency 4 2 6 4 2" xfId="52008"/>
    <cellStyle name="Currency 4 2 6 4 2 2" xfId="52009"/>
    <cellStyle name="Currency 4 2 6 4 2 3" xfId="52010"/>
    <cellStyle name="Currency 4 2 6 4 3" xfId="52011"/>
    <cellStyle name="Currency 4 2 6 4 3 2" xfId="52012"/>
    <cellStyle name="Currency 4 2 6 4 4" xfId="52013"/>
    <cellStyle name="Currency 4 2 6 4 5" xfId="52014"/>
    <cellStyle name="Currency 4 2 6 5" xfId="52015"/>
    <cellStyle name="Currency 4 2 6 5 2" xfId="52016"/>
    <cellStyle name="Currency 4 2 6 5 3" xfId="52017"/>
    <cellStyle name="Currency 4 2 6 6" xfId="52018"/>
    <cellStyle name="Currency 4 2 6 6 2" xfId="52019"/>
    <cellStyle name="Currency 4 2 6 6 3" xfId="52020"/>
    <cellStyle name="Currency 4 2 6 7" xfId="52021"/>
    <cellStyle name="Currency 4 2 6 7 2" xfId="52022"/>
    <cellStyle name="Currency 4 2 6 8" xfId="52023"/>
    <cellStyle name="Currency 4 2 6 9" xfId="52024"/>
    <cellStyle name="Currency 4 2 7" xfId="52025"/>
    <cellStyle name="Currency 4 2 7 2" xfId="52026"/>
    <cellStyle name="Currency 4 2 7 2 2" xfId="52027"/>
    <cellStyle name="Currency 4 2 7 2 3" xfId="52028"/>
    <cellStyle name="Currency 4 2 7 3" xfId="52029"/>
    <cellStyle name="Currency 4 2 7 3 2" xfId="52030"/>
    <cellStyle name="Currency 4 2 7 3 3" xfId="52031"/>
    <cellStyle name="Currency 4 2 7 4" xfId="52032"/>
    <cellStyle name="Currency 4 2 7 4 2" xfId="52033"/>
    <cellStyle name="Currency 4 2 7 5" xfId="52034"/>
    <cellStyle name="Currency 4 2 7 6" xfId="52035"/>
    <cellStyle name="Currency 4 2 8" xfId="52036"/>
    <cellStyle name="Currency 4 2 8 2" xfId="52037"/>
    <cellStyle name="Currency 4 2 8 2 2" xfId="52038"/>
    <cellStyle name="Currency 4 2 8 2 3" xfId="52039"/>
    <cellStyle name="Currency 4 2 8 3" xfId="52040"/>
    <cellStyle name="Currency 4 2 8 3 2" xfId="52041"/>
    <cellStyle name="Currency 4 2 8 3 3" xfId="52042"/>
    <cellStyle name="Currency 4 2 8 4" xfId="52043"/>
    <cellStyle name="Currency 4 2 8 4 2" xfId="52044"/>
    <cellStyle name="Currency 4 2 8 5" xfId="52045"/>
    <cellStyle name="Currency 4 2 8 6" xfId="52046"/>
    <cellStyle name="Currency 4 2 9" xfId="52047"/>
    <cellStyle name="Currency 4 2 9 2" xfId="52048"/>
    <cellStyle name="Currency 4 2 9 2 2" xfId="52049"/>
    <cellStyle name="Currency 4 2 9 2 3" xfId="52050"/>
    <cellStyle name="Currency 4 2 9 3" xfId="52051"/>
    <cellStyle name="Currency 4 2 9 3 2" xfId="52052"/>
    <cellStyle name="Currency 4 2 9 4" xfId="52053"/>
    <cellStyle name="Currency 4 2 9 5" xfId="52054"/>
    <cellStyle name="Currency 4 3" xfId="3902"/>
    <cellStyle name="Currency 4 3 10" xfId="52055"/>
    <cellStyle name="Currency 4 3 10 2" xfId="52056"/>
    <cellStyle name="Currency 4 3 10 3" xfId="52057"/>
    <cellStyle name="Currency 4 3 11" xfId="52058"/>
    <cellStyle name="Currency 4 3 11 2" xfId="52059"/>
    <cellStyle name="Currency 4 3 12" xfId="52060"/>
    <cellStyle name="Currency 4 3 13" xfId="52061"/>
    <cellStyle name="Currency 4 3 14" xfId="52062"/>
    <cellStyle name="Currency 4 3 2" xfId="9167"/>
    <cellStyle name="Currency 4 3 2 10" xfId="52063"/>
    <cellStyle name="Currency 4 3 2 10 2" xfId="52064"/>
    <cellStyle name="Currency 4 3 2 11" xfId="52065"/>
    <cellStyle name="Currency 4 3 2 12" xfId="52066"/>
    <cellStyle name="Currency 4 3 2 2" xfId="52067"/>
    <cellStyle name="Currency 4 3 2 2 10" xfId="52068"/>
    <cellStyle name="Currency 4 3 2 2 2" xfId="52069"/>
    <cellStyle name="Currency 4 3 2 2 2 2" xfId="52070"/>
    <cellStyle name="Currency 4 3 2 2 2 2 2" xfId="52071"/>
    <cellStyle name="Currency 4 3 2 2 2 2 2 2" xfId="52072"/>
    <cellStyle name="Currency 4 3 2 2 2 2 2 3" xfId="52073"/>
    <cellStyle name="Currency 4 3 2 2 2 2 3" xfId="52074"/>
    <cellStyle name="Currency 4 3 2 2 2 2 3 2" xfId="52075"/>
    <cellStyle name="Currency 4 3 2 2 2 2 3 3" xfId="52076"/>
    <cellStyle name="Currency 4 3 2 2 2 2 4" xfId="52077"/>
    <cellStyle name="Currency 4 3 2 2 2 2 4 2" xfId="52078"/>
    <cellStyle name="Currency 4 3 2 2 2 2 5" xfId="52079"/>
    <cellStyle name="Currency 4 3 2 2 2 2 6" xfId="52080"/>
    <cellStyle name="Currency 4 3 2 2 2 3" xfId="52081"/>
    <cellStyle name="Currency 4 3 2 2 2 3 2" xfId="52082"/>
    <cellStyle name="Currency 4 3 2 2 2 3 2 2" xfId="52083"/>
    <cellStyle name="Currency 4 3 2 2 2 3 2 3" xfId="52084"/>
    <cellStyle name="Currency 4 3 2 2 2 3 3" xfId="52085"/>
    <cellStyle name="Currency 4 3 2 2 2 3 3 2" xfId="52086"/>
    <cellStyle name="Currency 4 3 2 2 2 3 3 3" xfId="52087"/>
    <cellStyle name="Currency 4 3 2 2 2 3 4" xfId="52088"/>
    <cellStyle name="Currency 4 3 2 2 2 3 4 2" xfId="52089"/>
    <cellStyle name="Currency 4 3 2 2 2 3 5" xfId="52090"/>
    <cellStyle name="Currency 4 3 2 2 2 3 6" xfId="52091"/>
    <cellStyle name="Currency 4 3 2 2 2 4" xfId="52092"/>
    <cellStyle name="Currency 4 3 2 2 2 4 2" xfId="52093"/>
    <cellStyle name="Currency 4 3 2 2 2 4 2 2" xfId="52094"/>
    <cellStyle name="Currency 4 3 2 2 2 4 2 3" xfId="52095"/>
    <cellStyle name="Currency 4 3 2 2 2 4 3" xfId="52096"/>
    <cellStyle name="Currency 4 3 2 2 2 4 3 2" xfId="52097"/>
    <cellStyle name="Currency 4 3 2 2 2 4 4" xfId="52098"/>
    <cellStyle name="Currency 4 3 2 2 2 4 5" xfId="52099"/>
    <cellStyle name="Currency 4 3 2 2 2 5" xfId="52100"/>
    <cellStyle name="Currency 4 3 2 2 2 5 2" xfId="52101"/>
    <cellStyle name="Currency 4 3 2 2 2 5 3" xfId="52102"/>
    <cellStyle name="Currency 4 3 2 2 2 6" xfId="52103"/>
    <cellStyle name="Currency 4 3 2 2 2 6 2" xfId="52104"/>
    <cellStyle name="Currency 4 3 2 2 2 6 3" xfId="52105"/>
    <cellStyle name="Currency 4 3 2 2 2 7" xfId="52106"/>
    <cellStyle name="Currency 4 3 2 2 2 7 2" xfId="52107"/>
    <cellStyle name="Currency 4 3 2 2 2 8" xfId="52108"/>
    <cellStyle name="Currency 4 3 2 2 2 9" xfId="52109"/>
    <cellStyle name="Currency 4 3 2 2 3" xfId="52110"/>
    <cellStyle name="Currency 4 3 2 2 3 2" xfId="52111"/>
    <cellStyle name="Currency 4 3 2 2 3 2 2" xfId="52112"/>
    <cellStyle name="Currency 4 3 2 2 3 2 3" xfId="52113"/>
    <cellStyle name="Currency 4 3 2 2 3 3" xfId="52114"/>
    <cellStyle name="Currency 4 3 2 2 3 3 2" xfId="52115"/>
    <cellStyle name="Currency 4 3 2 2 3 3 3" xfId="52116"/>
    <cellStyle name="Currency 4 3 2 2 3 4" xfId="52117"/>
    <cellStyle name="Currency 4 3 2 2 3 4 2" xfId="52118"/>
    <cellStyle name="Currency 4 3 2 2 3 5" xfId="52119"/>
    <cellStyle name="Currency 4 3 2 2 3 6" xfId="52120"/>
    <cellStyle name="Currency 4 3 2 2 4" xfId="52121"/>
    <cellStyle name="Currency 4 3 2 2 4 2" xfId="52122"/>
    <cellStyle name="Currency 4 3 2 2 4 2 2" xfId="52123"/>
    <cellStyle name="Currency 4 3 2 2 4 2 3" xfId="52124"/>
    <cellStyle name="Currency 4 3 2 2 4 3" xfId="52125"/>
    <cellStyle name="Currency 4 3 2 2 4 3 2" xfId="52126"/>
    <cellStyle name="Currency 4 3 2 2 4 3 3" xfId="52127"/>
    <cellStyle name="Currency 4 3 2 2 4 4" xfId="52128"/>
    <cellStyle name="Currency 4 3 2 2 4 4 2" xfId="52129"/>
    <cellStyle name="Currency 4 3 2 2 4 5" xfId="52130"/>
    <cellStyle name="Currency 4 3 2 2 4 6" xfId="52131"/>
    <cellStyle name="Currency 4 3 2 2 5" xfId="52132"/>
    <cellStyle name="Currency 4 3 2 2 5 2" xfId="52133"/>
    <cellStyle name="Currency 4 3 2 2 5 2 2" xfId="52134"/>
    <cellStyle name="Currency 4 3 2 2 5 2 3" xfId="52135"/>
    <cellStyle name="Currency 4 3 2 2 5 3" xfId="52136"/>
    <cellStyle name="Currency 4 3 2 2 5 3 2" xfId="52137"/>
    <cellStyle name="Currency 4 3 2 2 5 4" xfId="52138"/>
    <cellStyle name="Currency 4 3 2 2 5 5" xfId="52139"/>
    <cellStyle name="Currency 4 3 2 2 6" xfId="52140"/>
    <cellStyle name="Currency 4 3 2 2 6 2" xfId="52141"/>
    <cellStyle name="Currency 4 3 2 2 6 3" xfId="52142"/>
    <cellStyle name="Currency 4 3 2 2 7" xfId="52143"/>
    <cellStyle name="Currency 4 3 2 2 7 2" xfId="52144"/>
    <cellStyle name="Currency 4 3 2 2 7 3" xfId="52145"/>
    <cellStyle name="Currency 4 3 2 2 8" xfId="52146"/>
    <cellStyle name="Currency 4 3 2 2 8 2" xfId="52147"/>
    <cellStyle name="Currency 4 3 2 2 9" xfId="52148"/>
    <cellStyle name="Currency 4 3 2 3" xfId="52149"/>
    <cellStyle name="Currency 4 3 2 3 2" xfId="52150"/>
    <cellStyle name="Currency 4 3 2 3 2 2" xfId="52151"/>
    <cellStyle name="Currency 4 3 2 3 2 2 2" xfId="52152"/>
    <cellStyle name="Currency 4 3 2 3 2 2 3" xfId="52153"/>
    <cellStyle name="Currency 4 3 2 3 2 3" xfId="52154"/>
    <cellStyle name="Currency 4 3 2 3 2 3 2" xfId="52155"/>
    <cellStyle name="Currency 4 3 2 3 2 3 3" xfId="52156"/>
    <cellStyle name="Currency 4 3 2 3 2 4" xfId="52157"/>
    <cellStyle name="Currency 4 3 2 3 2 4 2" xfId="52158"/>
    <cellStyle name="Currency 4 3 2 3 2 5" xfId="52159"/>
    <cellStyle name="Currency 4 3 2 3 2 6" xfId="52160"/>
    <cellStyle name="Currency 4 3 2 3 3" xfId="52161"/>
    <cellStyle name="Currency 4 3 2 3 3 2" xfId="52162"/>
    <cellStyle name="Currency 4 3 2 3 3 2 2" xfId="52163"/>
    <cellStyle name="Currency 4 3 2 3 3 2 3" xfId="52164"/>
    <cellStyle name="Currency 4 3 2 3 3 3" xfId="52165"/>
    <cellStyle name="Currency 4 3 2 3 3 3 2" xfId="52166"/>
    <cellStyle name="Currency 4 3 2 3 3 3 3" xfId="52167"/>
    <cellStyle name="Currency 4 3 2 3 3 4" xfId="52168"/>
    <cellStyle name="Currency 4 3 2 3 3 4 2" xfId="52169"/>
    <cellStyle name="Currency 4 3 2 3 3 5" xfId="52170"/>
    <cellStyle name="Currency 4 3 2 3 3 6" xfId="52171"/>
    <cellStyle name="Currency 4 3 2 3 4" xfId="52172"/>
    <cellStyle name="Currency 4 3 2 3 4 2" xfId="52173"/>
    <cellStyle name="Currency 4 3 2 3 4 2 2" xfId="52174"/>
    <cellStyle name="Currency 4 3 2 3 4 2 3" xfId="52175"/>
    <cellStyle name="Currency 4 3 2 3 4 3" xfId="52176"/>
    <cellStyle name="Currency 4 3 2 3 4 3 2" xfId="52177"/>
    <cellStyle name="Currency 4 3 2 3 4 4" xfId="52178"/>
    <cellStyle name="Currency 4 3 2 3 4 5" xfId="52179"/>
    <cellStyle name="Currency 4 3 2 3 5" xfId="52180"/>
    <cellStyle name="Currency 4 3 2 3 5 2" xfId="52181"/>
    <cellStyle name="Currency 4 3 2 3 5 3" xfId="52182"/>
    <cellStyle name="Currency 4 3 2 3 6" xfId="52183"/>
    <cellStyle name="Currency 4 3 2 3 6 2" xfId="52184"/>
    <cellStyle name="Currency 4 3 2 3 6 3" xfId="52185"/>
    <cellStyle name="Currency 4 3 2 3 7" xfId="52186"/>
    <cellStyle name="Currency 4 3 2 3 7 2" xfId="52187"/>
    <cellStyle name="Currency 4 3 2 3 8" xfId="52188"/>
    <cellStyle name="Currency 4 3 2 3 9" xfId="52189"/>
    <cellStyle name="Currency 4 3 2 4" xfId="52190"/>
    <cellStyle name="Currency 4 3 2 4 2" xfId="52191"/>
    <cellStyle name="Currency 4 3 2 4 2 2" xfId="52192"/>
    <cellStyle name="Currency 4 3 2 4 2 2 2" xfId="52193"/>
    <cellStyle name="Currency 4 3 2 4 2 2 3" xfId="52194"/>
    <cellStyle name="Currency 4 3 2 4 2 3" xfId="52195"/>
    <cellStyle name="Currency 4 3 2 4 2 3 2" xfId="52196"/>
    <cellStyle name="Currency 4 3 2 4 2 3 3" xfId="52197"/>
    <cellStyle name="Currency 4 3 2 4 2 4" xfId="52198"/>
    <cellStyle name="Currency 4 3 2 4 2 4 2" xfId="52199"/>
    <cellStyle name="Currency 4 3 2 4 2 5" xfId="52200"/>
    <cellStyle name="Currency 4 3 2 4 2 6" xfId="52201"/>
    <cellStyle name="Currency 4 3 2 4 3" xfId="52202"/>
    <cellStyle name="Currency 4 3 2 4 3 2" xfId="52203"/>
    <cellStyle name="Currency 4 3 2 4 3 2 2" xfId="52204"/>
    <cellStyle name="Currency 4 3 2 4 3 2 3" xfId="52205"/>
    <cellStyle name="Currency 4 3 2 4 3 3" xfId="52206"/>
    <cellStyle name="Currency 4 3 2 4 3 3 2" xfId="52207"/>
    <cellStyle name="Currency 4 3 2 4 3 3 3" xfId="52208"/>
    <cellStyle name="Currency 4 3 2 4 3 4" xfId="52209"/>
    <cellStyle name="Currency 4 3 2 4 3 4 2" xfId="52210"/>
    <cellStyle name="Currency 4 3 2 4 3 5" xfId="52211"/>
    <cellStyle name="Currency 4 3 2 4 3 6" xfId="52212"/>
    <cellStyle name="Currency 4 3 2 4 4" xfId="52213"/>
    <cellStyle name="Currency 4 3 2 4 4 2" xfId="52214"/>
    <cellStyle name="Currency 4 3 2 4 4 2 2" xfId="52215"/>
    <cellStyle name="Currency 4 3 2 4 4 2 3" xfId="52216"/>
    <cellStyle name="Currency 4 3 2 4 4 3" xfId="52217"/>
    <cellStyle name="Currency 4 3 2 4 4 3 2" xfId="52218"/>
    <cellStyle name="Currency 4 3 2 4 4 4" xfId="52219"/>
    <cellStyle name="Currency 4 3 2 4 4 5" xfId="52220"/>
    <cellStyle name="Currency 4 3 2 4 5" xfId="52221"/>
    <cellStyle name="Currency 4 3 2 4 5 2" xfId="52222"/>
    <cellStyle name="Currency 4 3 2 4 5 3" xfId="52223"/>
    <cellStyle name="Currency 4 3 2 4 6" xfId="52224"/>
    <cellStyle name="Currency 4 3 2 4 6 2" xfId="52225"/>
    <cellStyle name="Currency 4 3 2 4 6 3" xfId="52226"/>
    <cellStyle name="Currency 4 3 2 4 7" xfId="52227"/>
    <cellStyle name="Currency 4 3 2 4 7 2" xfId="52228"/>
    <cellStyle name="Currency 4 3 2 4 8" xfId="52229"/>
    <cellStyle name="Currency 4 3 2 4 9" xfId="52230"/>
    <cellStyle name="Currency 4 3 2 5" xfId="52231"/>
    <cellStyle name="Currency 4 3 2 5 2" xfId="52232"/>
    <cellStyle name="Currency 4 3 2 5 2 2" xfId="52233"/>
    <cellStyle name="Currency 4 3 2 5 2 3" xfId="52234"/>
    <cellStyle name="Currency 4 3 2 5 3" xfId="52235"/>
    <cellStyle name="Currency 4 3 2 5 3 2" xfId="52236"/>
    <cellStyle name="Currency 4 3 2 5 3 3" xfId="52237"/>
    <cellStyle name="Currency 4 3 2 5 4" xfId="52238"/>
    <cellStyle name="Currency 4 3 2 5 4 2" xfId="52239"/>
    <cellStyle name="Currency 4 3 2 5 5" xfId="52240"/>
    <cellStyle name="Currency 4 3 2 5 6" xfId="52241"/>
    <cellStyle name="Currency 4 3 2 6" xfId="52242"/>
    <cellStyle name="Currency 4 3 2 6 2" xfId="52243"/>
    <cellStyle name="Currency 4 3 2 6 2 2" xfId="52244"/>
    <cellStyle name="Currency 4 3 2 6 2 3" xfId="52245"/>
    <cellStyle name="Currency 4 3 2 6 3" xfId="52246"/>
    <cellStyle name="Currency 4 3 2 6 3 2" xfId="52247"/>
    <cellStyle name="Currency 4 3 2 6 3 3" xfId="52248"/>
    <cellStyle name="Currency 4 3 2 6 4" xfId="52249"/>
    <cellStyle name="Currency 4 3 2 6 4 2" xfId="52250"/>
    <cellStyle name="Currency 4 3 2 6 5" xfId="52251"/>
    <cellStyle name="Currency 4 3 2 6 6" xfId="52252"/>
    <cellStyle name="Currency 4 3 2 7" xfId="52253"/>
    <cellStyle name="Currency 4 3 2 7 2" xfId="52254"/>
    <cellStyle name="Currency 4 3 2 7 2 2" xfId="52255"/>
    <cellStyle name="Currency 4 3 2 7 2 3" xfId="52256"/>
    <cellStyle name="Currency 4 3 2 7 3" xfId="52257"/>
    <cellStyle name="Currency 4 3 2 7 3 2" xfId="52258"/>
    <cellStyle name="Currency 4 3 2 7 4" xfId="52259"/>
    <cellStyle name="Currency 4 3 2 7 5" xfId="52260"/>
    <cellStyle name="Currency 4 3 2 8" xfId="52261"/>
    <cellStyle name="Currency 4 3 2 8 2" xfId="52262"/>
    <cellStyle name="Currency 4 3 2 8 3" xfId="52263"/>
    <cellStyle name="Currency 4 3 2 9" xfId="52264"/>
    <cellStyle name="Currency 4 3 2 9 2" xfId="52265"/>
    <cellStyle name="Currency 4 3 2 9 3" xfId="52266"/>
    <cellStyle name="Currency 4 3 3" xfId="9168"/>
    <cellStyle name="Currency 4 3 3 10" xfId="52267"/>
    <cellStyle name="Currency 4 3 3 2" xfId="52268"/>
    <cellStyle name="Currency 4 3 3 2 2" xfId="52269"/>
    <cellStyle name="Currency 4 3 3 2 2 2" xfId="52270"/>
    <cellStyle name="Currency 4 3 3 2 2 2 2" xfId="52271"/>
    <cellStyle name="Currency 4 3 3 2 2 2 3" xfId="52272"/>
    <cellStyle name="Currency 4 3 3 2 2 3" xfId="52273"/>
    <cellStyle name="Currency 4 3 3 2 2 3 2" xfId="52274"/>
    <cellStyle name="Currency 4 3 3 2 2 3 3" xfId="52275"/>
    <cellStyle name="Currency 4 3 3 2 2 4" xfId="52276"/>
    <cellStyle name="Currency 4 3 3 2 2 4 2" xfId="52277"/>
    <cellStyle name="Currency 4 3 3 2 2 5" xfId="52278"/>
    <cellStyle name="Currency 4 3 3 2 2 6" xfId="52279"/>
    <cellStyle name="Currency 4 3 3 2 3" xfId="52280"/>
    <cellStyle name="Currency 4 3 3 2 3 2" xfId="52281"/>
    <cellStyle name="Currency 4 3 3 2 3 2 2" xfId="52282"/>
    <cellStyle name="Currency 4 3 3 2 3 2 3" xfId="52283"/>
    <cellStyle name="Currency 4 3 3 2 3 3" xfId="52284"/>
    <cellStyle name="Currency 4 3 3 2 3 3 2" xfId="52285"/>
    <cellStyle name="Currency 4 3 3 2 3 3 3" xfId="52286"/>
    <cellStyle name="Currency 4 3 3 2 3 4" xfId="52287"/>
    <cellStyle name="Currency 4 3 3 2 3 4 2" xfId="52288"/>
    <cellStyle name="Currency 4 3 3 2 3 5" xfId="52289"/>
    <cellStyle name="Currency 4 3 3 2 3 6" xfId="52290"/>
    <cellStyle name="Currency 4 3 3 2 4" xfId="52291"/>
    <cellStyle name="Currency 4 3 3 2 4 2" xfId="52292"/>
    <cellStyle name="Currency 4 3 3 2 4 2 2" xfId="52293"/>
    <cellStyle name="Currency 4 3 3 2 4 2 3" xfId="52294"/>
    <cellStyle name="Currency 4 3 3 2 4 3" xfId="52295"/>
    <cellStyle name="Currency 4 3 3 2 4 3 2" xfId="52296"/>
    <cellStyle name="Currency 4 3 3 2 4 4" xfId="52297"/>
    <cellStyle name="Currency 4 3 3 2 4 5" xfId="52298"/>
    <cellStyle name="Currency 4 3 3 2 5" xfId="52299"/>
    <cellStyle name="Currency 4 3 3 2 5 2" xfId="52300"/>
    <cellStyle name="Currency 4 3 3 2 5 3" xfId="52301"/>
    <cellStyle name="Currency 4 3 3 2 6" xfId="52302"/>
    <cellStyle name="Currency 4 3 3 2 6 2" xfId="52303"/>
    <cellStyle name="Currency 4 3 3 2 6 3" xfId="52304"/>
    <cellStyle name="Currency 4 3 3 2 7" xfId="52305"/>
    <cellStyle name="Currency 4 3 3 2 7 2" xfId="52306"/>
    <cellStyle name="Currency 4 3 3 2 8" xfId="52307"/>
    <cellStyle name="Currency 4 3 3 2 9" xfId="52308"/>
    <cellStyle name="Currency 4 3 3 3" xfId="52309"/>
    <cellStyle name="Currency 4 3 3 3 2" xfId="52310"/>
    <cellStyle name="Currency 4 3 3 3 2 2" xfId="52311"/>
    <cellStyle name="Currency 4 3 3 3 2 3" xfId="52312"/>
    <cellStyle name="Currency 4 3 3 3 3" xfId="52313"/>
    <cellStyle name="Currency 4 3 3 3 3 2" xfId="52314"/>
    <cellStyle name="Currency 4 3 3 3 3 3" xfId="52315"/>
    <cellStyle name="Currency 4 3 3 3 4" xfId="52316"/>
    <cellStyle name="Currency 4 3 3 3 4 2" xfId="52317"/>
    <cellStyle name="Currency 4 3 3 3 5" xfId="52318"/>
    <cellStyle name="Currency 4 3 3 3 6" xfId="52319"/>
    <cellStyle name="Currency 4 3 3 4" xfId="52320"/>
    <cellStyle name="Currency 4 3 3 4 2" xfId="52321"/>
    <cellStyle name="Currency 4 3 3 4 2 2" xfId="52322"/>
    <cellStyle name="Currency 4 3 3 4 2 3" xfId="52323"/>
    <cellStyle name="Currency 4 3 3 4 3" xfId="52324"/>
    <cellStyle name="Currency 4 3 3 4 3 2" xfId="52325"/>
    <cellStyle name="Currency 4 3 3 4 3 3" xfId="52326"/>
    <cellStyle name="Currency 4 3 3 4 4" xfId="52327"/>
    <cellStyle name="Currency 4 3 3 4 4 2" xfId="52328"/>
    <cellStyle name="Currency 4 3 3 4 5" xfId="52329"/>
    <cellStyle name="Currency 4 3 3 4 6" xfId="52330"/>
    <cellStyle name="Currency 4 3 3 5" xfId="52331"/>
    <cellStyle name="Currency 4 3 3 5 2" xfId="52332"/>
    <cellStyle name="Currency 4 3 3 5 2 2" xfId="52333"/>
    <cellStyle name="Currency 4 3 3 5 2 3" xfId="52334"/>
    <cellStyle name="Currency 4 3 3 5 3" xfId="52335"/>
    <cellStyle name="Currency 4 3 3 5 3 2" xfId="52336"/>
    <cellStyle name="Currency 4 3 3 5 4" xfId="52337"/>
    <cellStyle name="Currency 4 3 3 5 5" xfId="52338"/>
    <cellStyle name="Currency 4 3 3 6" xfId="52339"/>
    <cellStyle name="Currency 4 3 3 6 2" xfId="52340"/>
    <cellStyle name="Currency 4 3 3 6 3" xfId="52341"/>
    <cellStyle name="Currency 4 3 3 7" xfId="52342"/>
    <cellStyle name="Currency 4 3 3 7 2" xfId="52343"/>
    <cellStyle name="Currency 4 3 3 7 3" xfId="52344"/>
    <cellStyle name="Currency 4 3 3 8" xfId="52345"/>
    <cellStyle name="Currency 4 3 3 8 2" xfId="52346"/>
    <cellStyle name="Currency 4 3 3 9" xfId="52347"/>
    <cellStyle name="Currency 4 3 4" xfId="52348"/>
    <cellStyle name="Currency 4 3 4 2" xfId="52349"/>
    <cellStyle name="Currency 4 3 4 2 2" xfId="52350"/>
    <cellStyle name="Currency 4 3 4 2 2 2" xfId="52351"/>
    <cellStyle name="Currency 4 3 4 2 2 3" xfId="52352"/>
    <cellStyle name="Currency 4 3 4 2 3" xfId="52353"/>
    <cellStyle name="Currency 4 3 4 2 3 2" xfId="52354"/>
    <cellStyle name="Currency 4 3 4 2 3 3" xfId="52355"/>
    <cellStyle name="Currency 4 3 4 2 4" xfId="52356"/>
    <cellStyle name="Currency 4 3 4 2 4 2" xfId="52357"/>
    <cellStyle name="Currency 4 3 4 2 5" xfId="52358"/>
    <cellStyle name="Currency 4 3 4 2 6" xfId="52359"/>
    <cellStyle name="Currency 4 3 4 3" xfId="52360"/>
    <cellStyle name="Currency 4 3 4 3 2" xfId="52361"/>
    <cellStyle name="Currency 4 3 4 3 2 2" xfId="52362"/>
    <cellStyle name="Currency 4 3 4 3 2 3" xfId="52363"/>
    <cellStyle name="Currency 4 3 4 3 3" xfId="52364"/>
    <cellStyle name="Currency 4 3 4 3 3 2" xfId="52365"/>
    <cellStyle name="Currency 4 3 4 3 3 3" xfId="52366"/>
    <cellStyle name="Currency 4 3 4 3 4" xfId="52367"/>
    <cellStyle name="Currency 4 3 4 3 4 2" xfId="52368"/>
    <cellStyle name="Currency 4 3 4 3 5" xfId="52369"/>
    <cellStyle name="Currency 4 3 4 3 6" xfId="52370"/>
    <cellStyle name="Currency 4 3 4 4" xfId="52371"/>
    <cellStyle name="Currency 4 3 4 4 2" xfId="52372"/>
    <cellStyle name="Currency 4 3 4 4 2 2" xfId="52373"/>
    <cellStyle name="Currency 4 3 4 4 2 3" xfId="52374"/>
    <cellStyle name="Currency 4 3 4 4 3" xfId="52375"/>
    <cellStyle name="Currency 4 3 4 4 3 2" xfId="52376"/>
    <cellStyle name="Currency 4 3 4 4 4" xfId="52377"/>
    <cellStyle name="Currency 4 3 4 4 5" xfId="52378"/>
    <cellStyle name="Currency 4 3 4 5" xfId="52379"/>
    <cellStyle name="Currency 4 3 4 5 2" xfId="52380"/>
    <cellStyle name="Currency 4 3 4 5 3" xfId="52381"/>
    <cellStyle name="Currency 4 3 4 6" xfId="52382"/>
    <cellStyle name="Currency 4 3 4 6 2" xfId="52383"/>
    <cellStyle name="Currency 4 3 4 6 3" xfId="52384"/>
    <cellStyle name="Currency 4 3 4 7" xfId="52385"/>
    <cellStyle name="Currency 4 3 4 7 2" xfId="52386"/>
    <cellStyle name="Currency 4 3 4 8" xfId="52387"/>
    <cellStyle name="Currency 4 3 4 9" xfId="52388"/>
    <cellStyle name="Currency 4 3 5" xfId="52389"/>
    <cellStyle name="Currency 4 3 5 2" xfId="52390"/>
    <cellStyle name="Currency 4 3 5 2 2" xfId="52391"/>
    <cellStyle name="Currency 4 3 5 2 2 2" xfId="52392"/>
    <cellStyle name="Currency 4 3 5 2 2 3" xfId="52393"/>
    <cellStyle name="Currency 4 3 5 2 3" xfId="52394"/>
    <cellStyle name="Currency 4 3 5 2 3 2" xfId="52395"/>
    <cellStyle name="Currency 4 3 5 2 3 3" xfId="52396"/>
    <cellStyle name="Currency 4 3 5 2 4" xfId="52397"/>
    <cellStyle name="Currency 4 3 5 2 4 2" xfId="52398"/>
    <cellStyle name="Currency 4 3 5 2 5" xfId="52399"/>
    <cellStyle name="Currency 4 3 5 2 6" xfId="52400"/>
    <cellStyle name="Currency 4 3 5 3" xfId="52401"/>
    <cellStyle name="Currency 4 3 5 3 2" xfId="52402"/>
    <cellStyle name="Currency 4 3 5 3 2 2" xfId="52403"/>
    <cellStyle name="Currency 4 3 5 3 2 3" xfId="52404"/>
    <cellStyle name="Currency 4 3 5 3 3" xfId="52405"/>
    <cellStyle name="Currency 4 3 5 3 3 2" xfId="52406"/>
    <cellStyle name="Currency 4 3 5 3 3 3" xfId="52407"/>
    <cellStyle name="Currency 4 3 5 3 4" xfId="52408"/>
    <cellStyle name="Currency 4 3 5 3 4 2" xfId="52409"/>
    <cellStyle name="Currency 4 3 5 3 5" xfId="52410"/>
    <cellStyle name="Currency 4 3 5 3 6" xfId="52411"/>
    <cellStyle name="Currency 4 3 5 4" xfId="52412"/>
    <cellStyle name="Currency 4 3 5 4 2" xfId="52413"/>
    <cellStyle name="Currency 4 3 5 4 2 2" xfId="52414"/>
    <cellStyle name="Currency 4 3 5 4 2 3" xfId="52415"/>
    <cellStyle name="Currency 4 3 5 4 3" xfId="52416"/>
    <cellStyle name="Currency 4 3 5 4 3 2" xfId="52417"/>
    <cellStyle name="Currency 4 3 5 4 4" xfId="52418"/>
    <cellStyle name="Currency 4 3 5 4 5" xfId="52419"/>
    <cellStyle name="Currency 4 3 5 5" xfId="52420"/>
    <cellStyle name="Currency 4 3 5 5 2" xfId="52421"/>
    <cellStyle name="Currency 4 3 5 5 3" xfId="52422"/>
    <cellStyle name="Currency 4 3 5 6" xfId="52423"/>
    <cellStyle name="Currency 4 3 5 6 2" xfId="52424"/>
    <cellStyle name="Currency 4 3 5 6 3" xfId="52425"/>
    <cellStyle name="Currency 4 3 5 7" xfId="52426"/>
    <cellStyle name="Currency 4 3 5 7 2" xfId="52427"/>
    <cellStyle name="Currency 4 3 5 8" xfId="52428"/>
    <cellStyle name="Currency 4 3 5 9" xfId="52429"/>
    <cellStyle name="Currency 4 3 6" xfId="52430"/>
    <cellStyle name="Currency 4 3 6 2" xfId="52431"/>
    <cellStyle name="Currency 4 3 6 2 2" xfId="52432"/>
    <cellStyle name="Currency 4 3 6 2 3" xfId="52433"/>
    <cellStyle name="Currency 4 3 6 3" xfId="52434"/>
    <cellStyle name="Currency 4 3 6 3 2" xfId="52435"/>
    <cellStyle name="Currency 4 3 6 3 3" xfId="52436"/>
    <cellStyle name="Currency 4 3 6 4" xfId="52437"/>
    <cellStyle name="Currency 4 3 6 4 2" xfId="52438"/>
    <cellStyle name="Currency 4 3 6 5" xfId="52439"/>
    <cellStyle name="Currency 4 3 6 6" xfId="52440"/>
    <cellStyle name="Currency 4 3 7" xfId="52441"/>
    <cellStyle name="Currency 4 3 7 2" xfId="52442"/>
    <cellStyle name="Currency 4 3 7 2 2" xfId="52443"/>
    <cellStyle name="Currency 4 3 7 2 3" xfId="52444"/>
    <cellStyle name="Currency 4 3 7 3" xfId="52445"/>
    <cellStyle name="Currency 4 3 7 3 2" xfId="52446"/>
    <cellStyle name="Currency 4 3 7 3 3" xfId="52447"/>
    <cellStyle name="Currency 4 3 7 4" xfId="52448"/>
    <cellStyle name="Currency 4 3 7 4 2" xfId="52449"/>
    <cellStyle name="Currency 4 3 7 5" xfId="52450"/>
    <cellStyle name="Currency 4 3 7 6" xfId="52451"/>
    <cellStyle name="Currency 4 3 8" xfId="52452"/>
    <cellStyle name="Currency 4 3 8 2" xfId="52453"/>
    <cellStyle name="Currency 4 3 8 2 2" xfId="52454"/>
    <cellStyle name="Currency 4 3 8 2 3" xfId="52455"/>
    <cellStyle name="Currency 4 3 8 3" xfId="52456"/>
    <cellStyle name="Currency 4 3 8 3 2" xfId="52457"/>
    <cellStyle name="Currency 4 3 8 4" xfId="52458"/>
    <cellStyle name="Currency 4 3 8 5" xfId="52459"/>
    <cellStyle name="Currency 4 3 9" xfId="52460"/>
    <cellStyle name="Currency 4 3 9 2" xfId="52461"/>
    <cellStyle name="Currency 4 3 9 3" xfId="52462"/>
    <cellStyle name="Currency 4 4" xfId="3903"/>
    <cellStyle name="Currency 4 4 10" xfId="52463"/>
    <cellStyle name="Currency 4 4 10 2" xfId="52464"/>
    <cellStyle name="Currency 4 4 11" xfId="52465"/>
    <cellStyle name="Currency 4 4 12" xfId="52466"/>
    <cellStyle name="Currency 4 4 2" xfId="9169"/>
    <cellStyle name="Currency 4 4 2 10" xfId="52467"/>
    <cellStyle name="Currency 4 4 2 2" xfId="52468"/>
    <cellStyle name="Currency 4 4 2 2 2" xfId="52469"/>
    <cellStyle name="Currency 4 4 2 2 2 2" xfId="52470"/>
    <cellStyle name="Currency 4 4 2 2 2 2 2" xfId="52471"/>
    <cellStyle name="Currency 4 4 2 2 2 2 3" xfId="52472"/>
    <cellStyle name="Currency 4 4 2 2 2 3" xfId="52473"/>
    <cellStyle name="Currency 4 4 2 2 2 3 2" xfId="52474"/>
    <cellStyle name="Currency 4 4 2 2 2 3 3" xfId="52475"/>
    <cellStyle name="Currency 4 4 2 2 2 4" xfId="52476"/>
    <cellStyle name="Currency 4 4 2 2 2 4 2" xfId="52477"/>
    <cellStyle name="Currency 4 4 2 2 2 5" xfId="52478"/>
    <cellStyle name="Currency 4 4 2 2 2 6" xfId="52479"/>
    <cellStyle name="Currency 4 4 2 2 3" xfId="52480"/>
    <cellStyle name="Currency 4 4 2 2 3 2" xfId="52481"/>
    <cellStyle name="Currency 4 4 2 2 3 2 2" xfId="52482"/>
    <cellStyle name="Currency 4 4 2 2 3 2 3" xfId="52483"/>
    <cellStyle name="Currency 4 4 2 2 3 3" xfId="52484"/>
    <cellStyle name="Currency 4 4 2 2 3 3 2" xfId="52485"/>
    <cellStyle name="Currency 4 4 2 2 3 3 3" xfId="52486"/>
    <cellStyle name="Currency 4 4 2 2 3 4" xfId="52487"/>
    <cellStyle name="Currency 4 4 2 2 3 4 2" xfId="52488"/>
    <cellStyle name="Currency 4 4 2 2 3 5" xfId="52489"/>
    <cellStyle name="Currency 4 4 2 2 3 6" xfId="52490"/>
    <cellStyle name="Currency 4 4 2 2 4" xfId="52491"/>
    <cellStyle name="Currency 4 4 2 2 4 2" xfId="52492"/>
    <cellStyle name="Currency 4 4 2 2 4 2 2" xfId="52493"/>
    <cellStyle name="Currency 4 4 2 2 4 2 3" xfId="52494"/>
    <cellStyle name="Currency 4 4 2 2 4 3" xfId="52495"/>
    <cellStyle name="Currency 4 4 2 2 4 3 2" xfId="52496"/>
    <cellStyle name="Currency 4 4 2 2 4 4" xfId="52497"/>
    <cellStyle name="Currency 4 4 2 2 4 5" xfId="52498"/>
    <cellStyle name="Currency 4 4 2 2 5" xfId="52499"/>
    <cellStyle name="Currency 4 4 2 2 5 2" xfId="52500"/>
    <cellStyle name="Currency 4 4 2 2 5 3" xfId="52501"/>
    <cellStyle name="Currency 4 4 2 2 6" xfId="52502"/>
    <cellStyle name="Currency 4 4 2 2 6 2" xfId="52503"/>
    <cellStyle name="Currency 4 4 2 2 6 3" xfId="52504"/>
    <cellStyle name="Currency 4 4 2 2 7" xfId="52505"/>
    <cellStyle name="Currency 4 4 2 2 7 2" xfId="52506"/>
    <cellStyle name="Currency 4 4 2 2 8" xfId="52507"/>
    <cellStyle name="Currency 4 4 2 2 9" xfId="52508"/>
    <cellStyle name="Currency 4 4 2 3" xfId="52509"/>
    <cellStyle name="Currency 4 4 2 3 2" xfId="52510"/>
    <cellStyle name="Currency 4 4 2 3 2 2" xfId="52511"/>
    <cellStyle name="Currency 4 4 2 3 2 3" xfId="52512"/>
    <cellStyle name="Currency 4 4 2 3 3" xfId="52513"/>
    <cellStyle name="Currency 4 4 2 3 3 2" xfId="52514"/>
    <cellStyle name="Currency 4 4 2 3 3 3" xfId="52515"/>
    <cellStyle name="Currency 4 4 2 3 4" xfId="52516"/>
    <cellStyle name="Currency 4 4 2 3 4 2" xfId="52517"/>
    <cellStyle name="Currency 4 4 2 3 5" xfId="52518"/>
    <cellStyle name="Currency 4 4 2 3 6" xfId="52519"/>
    <cellStyle name="Currency 4 4 2 4" xfId="52520"/>
    <cellStyle name="Currency 4 4 2 4 2" xfId="52521"/>
    <cellStyle name="Currency 4 4 2 4 2 2" xfId="52522"/>
    <cellStyle name="Currency 4 4 2 4 2 3" xfId="52523"/>
    <cellStyle name="Currency 4 4 2 4 3" xfId="52524"/>
    <cellStyle name="Currency 4 4 2 4 3 2" xfId="52525"/>
    <cellStyle name="Currency 4 4 2 4 3 3" xfId="52526"/>
    <cellStyle name="Currency 4 4 2 4 4" xfId="52527"/>
    <cellStyle name="Currency 4 4 2 4 4 2" xfId="52528"/>
    <cellStyle name="Currency 4 4 2 4 5" xfId="52529"/>
    <cellStyle name="Currency 4 4 2 4 6" xfId="52530"/>
    <cellStyle name="Currency 4 4 2 5" xfId="52531"/>
    <cellStyle name="Currency 4 4 2 5 2" xfId="52532"/>
    <cellStyle name="Currency 4 4 2 5 2 2" xfId="52533"/>
    <cellStyle name="Currency 4 4 2 5 2 3" xfId="52534"/>
    <cellStyle name="Currency 4 4 2 5 3" xfId="52535"/>
    <cellStyle name="Currency 4 4 2 5 3 2" xfId="52536"/>
    <cellStyle name="Currency 4 4 2 5 4" xfId="52537"/>
    <cellStyle name="Currency 4 4 2 5 5" xfId="52538"/>
    <cellStyle name="Currency 4 4 2 6" xfId="52539"/>
    <cellStyle name="Currency 4 4 2 6 2" xfId="52540"/>
    <cellStyle name="Currency 4 4 2 6 3" xfId="52541"/>
    <cellStyle name="Currency 4 4 2 7" xfId="52542"/>
    <cellStyle name="Currency 4 4 2 7 2" xfId="52543"/>
    <cellStyle name="Currency 4 4 2 7 3" xfId="52544"/>
    <cellStyle name="Currency 4 4 2 8" xfId="52545"/>
    <cellStyle name="Currency 4 4 2 8 2" xfId="52546"/>
    <cellStyle name="Currency 4 4 2 9" xfId="52547"/>
    <cellStyle name="Currency 4 4 3" xfId="52548"/>
    <cellStyle name="Currency 4 4 3 2" xfId="52549"/>
    <cellStyle name="Currency 4 4 3 2 2" xfId="52550"/>
    <cellStyle name="Currency 4 4 3 2 2 2" xfId="52551"/>
    <cellStyle name="Currency 4 4 3 2 2 3" xfId="52552"/>
    <cellStyle name="Currency 4 4 3 2 3" xfId="52553"/>
    <cellStyle name="Currency 4 4 3 2 3 2" xfId="52554"/>
    <cellStyle name="Currency 4 4 3 2 3 3" xfId="52555"/>
    <cellStyle name="Currency 4 4 3 2 4" xfId="52556"/>
    <cellStyle name="Currency 4 4 3 2 4 2" xfId="52557"/>
    <cellStyle name="Currency 4 4 3 2 5" xfId="52558"/>
    <cellStyle name="Currency 4 4 3 2 6" xfId="52559"/>
    <cellStyle name="Currency 4 4 3 3" xfId="52560"/>
    <cellStyle name="Currency 4 4 3 3 2" xfId="52561"/>
    <cellStyle name="Currency 4 4 3 3 2 2" xfId="52562"/>
    <cellStyle name="Currency 4 4 3 3 2 3" xfId="52563"/>
    <cellStyle name="Currency 4 4 3 3 3" xfId="52564"/>
    <cellStyle name="Currency 4 4 3 3 3 2" xfId="52565"/>
    <cellStyle name="Currency 4 4 3 3 3 3" xfId="52566"/>
    <cellStyle name="Currency 4 4 3 3 4" xfId="52567"/>
    <cellStyle name="Currency 4 4 3 3 4 2" xfId="52568"/>
    <cellStyle name="Currency 4 4 3 3 5" xfId="52569"/>
    <cellStyle name="Currency 4 4 3 3 6" xfId="52570"/>
    <cellStyle name="Currency 4 4 3 4" xfId="52571"/>
    <cellStyle name="Currency 4 4 3 4 2" xfId="52572"/>
    <cellStyle name="Currency 4 4 3 4 2 2" xfId="52573"/>
    <cellStyle name="Currency 4 4 3 4 2 3" xfId="52574"/>
    <cellStyle name="Currency 4 4 3 4 3" xfId="52575"/>
    <cellStyle name="Currency 4 4 3 4 3 2" xfId="52576"/>
    <cellStyle name="Currency 4 4 3 4 4" xfId="52577"/>
    <cellStyle name="Currency 4 4 3 4 5" xfId="52578"/>
    <cellStyle name="Currency 4 4 3 5" xfId="52579"/>
    <cellStyle name="Currency 4 4 3 5 2" xfId="52580"/>
    <cellStyle name="Currency 4 4 3 5 3" xfId="52581"/>
    <cellStyle name="Currency 4 4 3 6" xfId="52582"/>
    <cellStyle name="Currency 4 4 3 6 2" xfId="52583"/>
    <cellStyle name="Currency 4 4 3 6 3" xfId="52584"/>
    <cellStyle name="Currency 4 4 3 7" xfId="52585"/>
    <cellStyle name="Currency 4 4 3 7 2" xfId="52586"/>
    <cellStyle name="Currency 4 4 3 8" xfId="52587"/>
    <cellStyle name="Currency 4 4 3 9" xfId="52588"/>
    <cellStyle name="Currency 4 4 4" xfId="52589"/>
    <cellStyle name="Currency 4 4 4 2" xfId="52590"/>
    <cellStyle name="Currency 4 4 4 2 2" xfId="52591"/>
    <cellStyle name="Currency 4 4 4 2 2 2" xfId="52592"/>
    <cellStyle name="Currency 4 4 4 2 2 3" xfId="52593"/>
    <cellStyle name="Currency 4 4 4 2 3" xfId="52594"/>
    <cellStyle name="Currency 4 4 4 2 3 2" xfId="52595"/>
    <cellStyle name="Currency 4 4 4 2 3 3" xfId="52596"/>
    <cellStyle name="Currency 4 4 4 2 4" xfId="52597"/>
    <cellStyle name="Currency 4 4 4 2 4 2" xfId="52598"/>
    <cellStyle name="Currency 4 4 4 2 5" xfId="52599"/>
    <cellStyle name="Currency 4 4 4 2 6" xfId="52600"/>
    <cellStyle name="Currency 4 4 4 3" xfId="52601"/>
    <cellStyle name="Currency 4 4 4 3 2" xfId="52602"/>
    <cellStyle name="Currency 4 4 4 3 2 2" xfId="52603"/>
    <cellStyle name="Currency 4 4 4 3 2 3" xfId="52604"/>
    <cellStyle name="Currency 4 4 4 3 3" xfId="52605"/>
    <cellStyle name="Currency 4 4 4 3 3 2" xfId="52606"/>
    <cellStyle name="Currency 4 4 4 3 3 3" xfId="52607"/>
    <cellStyle name="Currency 4 4 4 3 4" xfId="52608"/>
    <cellStyle name="Currency 4 4 4 3 4 2" xfId="52609"/>
    <cellStyle name="Currency 4 4 4 3 5" xfId="52610"/>
    <cellStyle name="Currency 4 4 4 3 6" xfId="52611"/>
    <cellStyle name="Currency 4 4 4 4" xfId="52612"/>
    <cellStyle name="Currency 4 4 4 4 2" xfId="52613"/>
    <cellStyle name="Currency 4 4 4 4 2 2" xfId="52614"/>
    <cellStyle name="Currency 4 4 4 4 2 3" xfId="52615"/>
    <cellStyle name="Currency 4 4 4 4 3" xfId="52616"/>
    <cellStyle name="Currency 4 4 4 4 3 2" xfId="52617"/>
    <cellStyle name="Currency 4 4 4 4 4" xfId="52618"/>
    <cellStyle name="Currency 4 4 4 4 5" xfId="52619"/>
    <cellStyle name="Currency 4 4 4 5" xfId="52620"/>
    <cellStyle name="Currency 4 4 4 5 2" xfId="52621"/>
    <cellStyle name="Currency 4 4 4 5 3" xfId="52622"/>
    <cellStyle name="Currency 4 4 4 6" xfId="52623"/>
    <cellStyle name="Currency 4 4 4 6 2" xfId="52624"/>
    <cellStyle name="Currency 4 4 4 6 3" xfId="52625"/>
    <cellStyle name="Currency 4 4 4 7" xfId="52626"/>
    <cellStyle name="Currency 4 4 4 7 2" xfId="52627"/>
    <cellStyle name="Currency 4 4 4 8" xfId="52628"/>
    <cellStyle name="Currency 4 4 4 9" xfId="52629"/>
    <cellStyle name="Currency 4 4 5" xfId="52630"/>
    <cellStyle name="Currency 4 4 5 2" xfId="52631"/>
    <cellStyle name="Currency 4 4 5 2 2" xfId="52632"/>
    <cellStyle name="Currency 4 4 5 2 3" xfId="52633"/>
    <cellStyle name="Currency 4 4 5 3" xfId="52634"/>
    <cellStyle name="Currency 4 4 5 3 2" xfId="52635"/>
    <cellStyle name="Currency 4 4 5 3 3" xfId="52636"/>
    <cellStyle name="Currency 4 4 5 4" xfId="52637"/>
    <cellStyle name="Currency 4 4 5 4 2" xfId="52638"/>
    <cellStyle name="Currency 4 4 5 5" xfId="52639"/>
    <cellStyle name="Currency 4 4 5 6" xfId="52640"/>
    <cellStyle name="Currency 4 4 6" xfId="52641"/>
    <cellStyle name="Currency 4 4 6 2" xfId="52642"/>
    <cellStyle name="Currency 4 4 6 2 2" xfId="52643"/>
    <cellStyle name="Currency 4 4 6 2 3" xfId="52644"/>
    <cellStyle name="Currency 4 4 6 3" xfId="52645"/>
    <cellStyle name="Currency 4 4 6 3 2" xfId="52646"/>
    <cellStyle name="Currency 4 4 6 3 3" xfId="52647"/>
    <cellStyle name="Currency 4 4 6 4" xfId="52648"/>
    <cellStyle name="Currency 4 4 6 4 2" xfId="52649"/>
    <cellStyle name="Currency 4 4 6 5" xfId="52650"/>
    <cellStyle name="Currency 4 4 6 6" xfId="52651"/>
    <cellStyle name="Currency 4 4 7" xfId="52652"/>
    <cellStyle name="Currency 4 4 7 2" xfId="52653"/>
    <cellStyle name="Currency 4 4 7 2 2" xfId="52654"/>
    <cellStyle name="Currency 4 4 7 2 3" xfId="52655"/>
    <cellStyle name="Currency 4 4 7 3" xfId="52656"/>
    <cellStyle name="Currency 4 4 7 3 2" xfId="52657"/>
    <cellStyle name="Currency 4 4 7 4" xfId="52658"/>
    <cellStyle name="Currency 4 4 7 5" xfId="52659"/>
    <cellStyle name="Currency 4 4 8" xfId="52660"/>
    <cellStyle name="Currency 4 4 8 2" xfId="52661"/>
    <cellStyle name="Currency 4 4 8 3" xfId="52662"/>
    <cellStyle name="Currency 4 4 9" xfId="52663"/>
    <cellStyle name="Currency 4 4 9 2" xfId="52664"/>
    <cellStyle name="Currency 4 4 9 3" xfId="52665"/>
    <cellStyle name="Currency 4 5" xfId="3904"/>
    <cellStyle name="Currency 4 5 10" xfId="52666"/>
    <cellStyle name="Currency 4 5 2" xfId="52667"/>
    <cellStyle name="Currency 4 5 2 2" xfId="52668"/>
    <cellStyle name="Currency 4 5 2 2 2" xfId="52669"/>
    <cellStyle name="Currency 4 5 2 2 2 2" xfId="52670"/>
    <cellStyle name="Currency 4 5 2 2 2 3" xfId="52671"/>
    <cellStyle name="Currency 4 5 2 2 3" xfId="52672"/>
    <cellStyle name="Currency 4 5 2 2 3 2" xfId="52673"/>
    <cellStyle name="Currency 4 5 2 2 3 3" xfId="52674"/>
    <cellStyle name="Currency 4 5 2 2 4" xfId="52675"/>
    <cellStyle name="Currency 4 5 2 2 4 2" xfId="52676"/>
    <cellStyle name="Currency 4 5 2 2 5" xfId="52677"/>
    <cellStyle name="Currency 4 5 2 2 6" xfId="52678"/>
    <cellStyle name="Currency 4 5 2 3" xfId="52679"/>
    <cellStyle name="Currency 4 5 2 3 2" xfId="52680"/>
    <cellStyle name="Currency 4 5 2 3 2 2" xfId="52681"/>
    <cellStyle name="Currency 4 5 2 3 2 3" xfId="52682"/>
    <cellStyle name="Currency 4 5 2 3 3" xfId="52683"/>
    <cellStyle name="Currency 4 5 2 3 3 2" xfId="52684"/>
    <cellStyle name="Currency 4 5 2 3 3 3" xfId="52685"/>
    <cellStyle name="Currency 4 5 2 3 4" xfId="52686"/>
    <cellStyle name="Currency 4 5 2 3 4 2" xfId="52687"/>
    <cellStyle name="Currency 4 5 2 3 5" xfId="52688"/>
    <cellStyle name="Currency 4 5 2 3 6" xfId="52689"/>
    <cellStyle name="Currency 4 5 2 4" xfId="52690"/>
    <cellStyle name="Currency 4 5 2 4 2" xfId="52691"/>
    <cellStyle name="Currency 4 5 2 4 2 2" xfId="52692"/>
    <cellStyle name="Currency 4 5 2 4 2 3" xfId="52693"/>
    <cellStyle name="Currency 4 5 2 4 3" xfId="52694"/>
    <cellStyle name="Currency 4 5 2 4 3 2" xfId="52695"/>
    <cellStyle name="Currency 4 5 2 4 4" xfId="52696"/>
    <cellStyle name="Currency 4 5 2 4 5" xfId="52697"/>
    <cellStyle name="Currency 4 5 2 5" xfId="52698"/>
    <cellStyle name="Currency 4 5 2 5 2" xfId="52699"/>
    <cellStyle name="Currency 4 5 2 5 3" xfId="52700"/>
    <cellStyle name="Currency 4 5 2 6" xfId="52701"/>
    <cellStyle name="Currency 4 5 2 6 2" xfId="52702"/>
    <cellStyle name="Currency 4 5 2 6 3" xfId="52703"/>
    <cellStyle name="Currency 4 5 2 7" xfId="52704"/>
    <cellStyle name="Currency 4 5 2 7 2" xfId="52705"/>
    <cellStyle name="Currency 4 5 2 8" xfId="52706"/>
    <cellStyle name="Currency 4 5 2 9" xfId="52707"/>
    <cellStyle name="Currency 4 5 3" xfId="52708"/>
    <cellStyle name="Currency 4 5 3 2" xfId="52709"/>
    <cellStyle name="Currency 4 5 3 2 2" xfId="52710"/>
    <cellStyle name="Currency 4 5 3 2 3" xfId="52711"/>
    <cellStyle name="Currency 4 5 3 3" xfId="52712"/>
    <cellStyle name="Currency 4 5 3 3 2" xfId="52713"/>
    <cellStyle name="Currency 4 5 3 3 3" xfId="52714"/>
    <cellStyle name="Currency 4 5 3 4" xfId="52715"/>
    <cellStyle name="Currency 4 5 3 4 2" xfId="52716"/>
    <cellStyle name="Currency 4 5 3 5" xfId="52717"/>
    <cellStyle name="Currency 4 5 3 6" xfId="52718"/>
    <cellStyle name="Currency 4 5 4" xfId="52719"/>
    <cellStyle name="Currency 4 5 4 2" xfId="52720"/>
    <cellStyle name="Currency 4 5 4 2 2" xfId="52721"/>
    <cellStyle name="Currency 4 5 4 2 3" xfId="52722"/>
    <cellStyle name="Currency 4 5 4 3" xfId="52723"/>
    <cellStyle name="Currency 4 5 4 3 2" xfId="52724"/>
    <cellStyle name="Currency 4 5 4 3 3" xfId="52725"/>
    <cellStyle name="Currency 4 5 4 4" xfId="52726"/>
    <cellStyle name="Currency 4 5 4 4 2" xfId="52727"/>
    <cellStyle name="Currency 4 5 4 5" xfId="52728"/>
    <cellStyle name="Currency 4 5 4 6" xfId="52729"/>
    <cellStyle name="Currency 4 5 5" xfId="52730"/>
    <cellStyle name="Currency 4 5 5 2" xfId="52731"/>
    <cellStyle name="Currency 4 5 5 2 2" xfId="52732"/>
    <cellStyle name="Currency 4 5 5 2 3" xfId="52733"/>
    <cellStyle name="Currency 4 5 5 3" xfId="52734"/>
    <cellStyle name="Currency 4 5 5 3 2" xfId="52735"/>
    <cellStyle name="Currency 4 5 5 4" xfId="52736"/>
    <cellStyle name="Currency 4 5 5 5" xfId="52737"/>
    <cellStyle name="Currency 4 5 6" xfId="52738"/>
    <cellStyle name="Currency 4 5 6 2" xfId="52739"/>
    <cellStyle name="Currency 4 5 6 3" xfId="52740"/>
    <cellStyle name="Currency 4 5 7" xfId="52741"/>
    <cellStyle name="Currency 4 5 7 2" xfId="52742"/>
    <cellStyle name="Currency 4 5 7 3" xfId="52743"/>
    <cellStyle name="Currency 4 5 8" xfId="52744"/>
    <cellStyle name="Currency 4 5 8 2" xfId="52745"/>
    <cellStyle name="Currency 4 5 9" xfId="52746"/>
    <cellStyle name="Currency 4 6" xfId="9170"/>
    <cellStyle name="Currency 4 6 2" xfId="52747"/>
    <cellStyle name="Currency 4 6 2 2" xfId="52748"/>
    <cellStyle name="Currency 4 6 2 2 2" xfId="52749"/>
    <cellStyle name="Currency 4 6 2 2 3" xfId="52750"/>
    <cellStyle name="Currency 4 6 2 3" xfId="52751"/>
    <cellStyle name="Currency 4 6 2 3 2" xfId="52752"/>
    <cellStyle name="Currency 4 6 2 3 3" xfId="52753"/>
    <cellStyle name="Currency 4 6 2 4" xfId="52754"/>
    <cellStyle name="Currency 4 6 2 4 2" xfId="52755"/>
    <cellStyle name="Currency 4 6 2 5" xfId="52756"/>
    <cellStyle name="Currency 4 6 2 6" xfId="52757"/>
    <cellStyle name="Currency 4 6 3" xfId="52758"/>
    <cellStyle name="Currency 4 6 3 2" xfId="52759"/>
    <cellStyle name="Currency 4 6 3 2 2" xfId="52760"/>
    <cellStyle name="Currency 4 6 3 2 3" xfId="52761"/>
    <cellStyle name="Currency 4 6 3 3" xfId="52762"/>
    <cellStyle name="Currency 4 6 3 3 2" xfId="52763"/>
    <cellStyle name="Currency 4 6 3 3 3" xfId="52764"/>
    <cellStyle name="Currency 4 6 3 4" xfId="52765"/>
    <cellStyle name="Currency 4 6 3 4 2" xfId="52766"/>
    <cellStyle name="Currency 4 6 3 5" xfId="52767"/>
    <cellStyle name="Currency 4 6 3 6" xfId="52768"/>
    <cellStyle name="Currency 4 6 4" xfId="52769"/>
    <cellStyle name="Currency 4 6 4 2" xfId="52770"/>
    <cellStyle name="Currency 4 6 4 2 2" xfId="52771"/>
    <cellStyle name="Currency 4 6 4 2 3" xfId="52772"/>
    <cellStyle name="Currency 4 6 4 3" xfId="52773"/>
    <cellStyle name="Currency 4 6 4 3 2" xfId="52774"/>
    <cellStyle name="Currency 4 6 4 4" xfId="52775"/>
    <cellStyle name="Currency 4 6 4 5" xfId="52776"/>
    <cellStyle name="Currency 4 6 5" xfId="52777"/>
    <cellStyle name="Currency 4 6 5 2" xfId="52778"/>
    <cellStyle name="Currency 4 6 5 3" xfId="52779"/>
    <cellStyle name="Currency 4 6 6" xfId="52780"/>
    <cellStyle name="Currency 4 6 6 2" xfId="52781"/>
    <cellStyle name="Currency 4 6 6 3" xfId="52782"/>
    <cellStyle name="Currency 4 6 7" xfId="52783"/>
    <cellStyle name="Currency 4 6 7 2" xfId="52784"/>
    <cellStyle name="Currency 4 6 8" xfId="52785"/>
    <cellStyle name="Currency 4 6 9" xfId="52786"/>
    <cellStyle name="Currency 4 7" xfId="52787"/>
    <cellStyle name="Currency 4 7 2" xfId="52788"/>
    <cellStyle name="Currency 4 7 2 2" xfId="52789"/>
    <cellStyle name="Currency 4 7 2 2 2" xfId="52790"/>
    <cellStyle name="Currency 4 7 2 2 3" xfId="52791"/>
    <cellStyle name="Currency 4 7 2 3" xfId="52792"/>
    <cellStyle name="Currency 4 7 2 3 2" xfId="52793"/>
    <cellStyle name="Currency 4 7 2 3 3" xfId="52794"/>
    <cellStyle name="Currency 4 7 2 4" xfId="52795"/>
    <cellStyle name="Currency 4 7 2 4 2" xfId="52796"/>
    <cellStyle name="Currency 4 7 2 5" xfId="52797"/>
    <cellStyle name="Currency 4 7 2 6" xfId="52798"/>
    <cellStyle name="Currency 4 7 3" xfId="52799"/>
    <cellStyle name="Currency 4 7 3 2" xfId="52800"/>
    <cellStyle name="Currency 4 7 3 2 2" xfId="52801"/>
    <cellStyle name="Currency 4 7 3 2 3" xfId="52802"/>
    <cellStyle name="Currency 4 7 3 3" xfId="52803"/>
    <cellStyle name="Currency 4 7 3 3 2" xfId="52804"/>
    <cellStyle name="Currency 4 7 3 3 3" xfId="52805"/>
    <cellStyle name="Currency 4 7 3 4" xfId="52806"/>
    <cellStyle name="Currency 4 7 3 4 2" xfId="52807"/>
    <cellStyle name="Currency 4 7 3 5" xfId="52808"/>
    <cellStyle name="Currency 4 7 3 6" xfId="52809"/>
    <cellStyle name="Currency 4 7 4" xfId="52810"/>
    <cellStyle name="Currency 4 7 4 2" xfId="52811"/>
    <cellStyle name="Currency 4 7 4 2 2" xfId="52812"/>
    <cellStyle name="Currency 4 7 4 2 3" xfId="52813"/>
    <cellStyle name="Currency 4 7 4 3" xfId="52814"/>
    <cellStyle name="Currency 4 7 4 3 2" xfId="52815"/>
    <cellStyle name="Currency 4 7 4 4" xfId="52816"/>
    <cellStyle name="Currency 4 7 4 5" xfId="52817"/>
    <cellStyle name="Currency 4 7 5" xfId="52818"/>
    <cellStyle name="Currency 4 7 5 2" xfId="52819"/>
    <cellStyle name="Currency 4 7 5 3" xfId="52820"/>
    <cellStyle name="Currency 4 7 6" xfId="52821"/>
    <cellStyle name="Currency 4 7 6 2" xfId="52822"/>
    <cellStyle name="Currency 4 7 6 3" xfId="52823"/>
    <cellStyle name="Currency 4 7 7" xfId="52824"/>
    <cellStyle name="Currency 4 7 7 2" xfId="52825"/>
    <cellStyle name="Currency 4 7 8" xfId="52826"/>
    <cellStyle name="Currency 4 7 9" xfId="52827"/>
    <cellStyle name="Currency 4 8" xfId="52828"/>
    <cellStyle name="Currency 4 8 2" xfId="52829"/>
    <cellStyle name="Currency 4 8 2 2" xfId="52830"/>
    <cellStyle name="Currency 4 8 2 3" xfId="52831"/>
    <cellStyle name="Currency 4 8 3" xfId="52832"/>
    <cellStyle name="Currency 4 8 3 2" xfId="52833"/>
    <cellStyle name="Currency 4 8 3 3" xfId="52834"/>
    <cellStyle name="Currency 4 8 4" xfId="52835"/>
    <cellStyle name="Currency 4 8 4 2" xfId="52836"/>
    <cellStyle name="Currency 4 8 5" xfId="52837"/>
    <cellStyle name="Currency 4 8 6" xfId="52838"/>
    <cellStyle name="Currency 4 9" xfId="52839"/>
    <cellStyle name="Currency 4 9 2" xfId="52840"/>
    <cellStyle name="Currency 4 9 2 2" xfId="52841"/>
    <cellStyle name="Currency 4 9 2 3" xfId="52842"/>
    <cellStyle name="Currency 4 9 3" xfId="52843"/>
    <cellStyle name="Currency 4 9 3 2" xfId="52844"/>
    <cellStyle name="Currency 4 9 3 3" xfId="52845"/>
    <cellStyle name="Currency 4 9 4" xfId="52846"/>
    <cellStyle name="Currency 4 9 4 2" xfId="52847"/>
    <cellStyle name="Currency 4 9 5" xfId="52848"/>
    <cellStyle name="Currency 4 9 6" xfId="52849"/>
    <cellStyle name="Currency 40" xfId="3905"/>
    <cellStyle name="Currency 41" xfId="3906"/>
    <cellStyle name="Currency 42" xfId="3907"/>
    <cellStyle name="Currency 43" xfId="3908"/>
    <cellStyle name="Currency 44" xfId="3909"/>
    <cellStyle name="Currency 45" xfId="3910"/>
    <cellStyle name="Currency 46" xfId="3911"/>
    <cellStyle name="Currency 47" xfId="3912"/>
    <cellStyle name="Currency 48" xfId="3913"/>
    <cellStyle name="Currency 49" xfId="3914"/>
    <cellStyle name="Currency 5" xfId="3915"/>
    <cellStyle name="Currency 5 2" xfId="3916"/>
    <cellStyle name="Currency 5 2 2" xfId="9171"/>
    <cellStyle name="Currency 5 2 2 2" xfId="9172"/>
    <cellStyle name="Currency 5 2 2 3" xfId="59082"/>
    <cellStyle name="Currency 5 2 2 4" xfId="59083"/>
    <cellStyle name="Currency 5 2 3" xfId="9173"/>
    <cellStyle name="Currency 5 2 3 2" xfId="59084"/>
    <cellStyle name="Currency 5 2 4" xfId="9174"/>
    <cellStyle name="Currency 5 2 5" xfId="59085"/>
    <cellStyle name="Currency 5 2 6" xfId="59086"/>
    <cellStyle name="Currency 5 2 7" xfId="59087"/>
    <cellStyle name="Currency 5 3" xfId="3917"/>
    <cellStyle name="Currency 5 3 2" xfId="9175"/>
    <cellStyle name="Currency 5 3 3" xfId="9176"/>
    <cellStyle name="Currency 5 3 4" xfId="59088"/>
    <cellStyle name="Currency 5 4" xfId="9177"/>
    <cellStyle name="Currency 5 4 2" xfId="52850"/>
    <cellStyle name="Currency 5 5" xfId="9178"/>
    <cellStyle name="Currency 5 6" xfId="52851"/>
    <cellStyle name="Currency 5 7" xfId="59089"/>
    <cellStyle name="Currency 5 8" xfId="59090"/>
    <cellStyle name="Currency 50" xfId="3918"/>
    <cellStyle name="Currency 51" xfId="3919"/>
    <cellStyle name="Currency 52" xfId="3920"/>
    <cellStyle name="Currency 53" xfId="3921"/>
    <cellStyle name="Currency 54" xfId="3922"/>
    <cellStyle name="Currency 55" xfId="3923"/>
    <cellStyle name="Currency 56" xfId="3924"/>
    <cellStyle name="Currency 56 2" xfId="3925"/>
    <cellStyle name="Currency 57" xfId="3926"/>
    <cellStyle name="Currency 57 2" xfId="3927"/>
    <cellStyle name="Currency 58" xfId="3928"/>
    <cellStyle name="Currency 59" xfId="3929"/>
    <cellStyle name="Currency 6" xfId="3930"/>
    <cellStyle name="Currency 6 2" xfId="3931"/>
    <cellStyle name="Currency 6 2 2" xfId="8401"/>
    <cellStyle name="Currency 6 2 2 2" xfId="8402"/>
    <cellStyle name="Currency 6 2 2 2 2" xfId="8403"/>
    <cellStyle name="Currency 6 2 2 2 3" xfId="59091"/>
    <cellStyle name="Currency 6 2 2 3" xfId="8404"/>
    <cellStyle name="Currency 6 2 2 3 2" xfId="59092"/>
    <cellStyle name="Currency 6 2 2 4" xfId="59093"/>
    <cellStyle name="Currency 6 2 2 5" xfId="59094"/>
    <cellStyle name="Currency 6 2 2 6" xfId="59095"/>
    <cellStyle name="Currency 6 2 3" xfId="8405"/>
    <cellStyle name="Currency 6 2 3 2" xfId="8406"/>
    <cellStyle name="Currency 6 2 3 3" xfId="59096"/>
    <cellStyle name="Currency 6 2 4" xfId="8407"/>
    <cellStyle name="Currency 6 2 4 2" xfId="59097"/>
    <cellStyle name="Currency 6 2 5" xfId="52852"/>
    <cellStyle name="Currency 6 3" xfId="3932"/>
    <cellStyle name="Currency 6 3 2" xfId="8408"/>
    <cellStyle name="Currency 6 3 2 2" xfId="8409"/>
    <cellStyle name="Currency 6 3 2 2 2" xfId="59098"/>
    <cellStyle name="Currency 6 3 2 3" xfId="59099"/>
    <cellStyle name="Currency 6 3 2 4" xfId="59100"/>
    <cellStyle name="Currency 6 3 2 5" xfId="59101"/>
    <cellStyle name="Currency 6 3 3" xfId="8410"/>
    <cellStyle name="Currency 6 3 3 2" xfId="59102"/>
    <cellStyle name="Currency 6 3 4" xfId="59103"/>
    <cellStyle name="Currency 6 3 5" xfId="59104"/>
    <cellStyle name="Currency 6 3 6" xfId="59105"/>
    <cellStyle name="Currency 6 3 7" xfId="59106"/>
    <cellStyle name="Currency 6 4" xfId="8411"/>
    <cellStyle name="Currency 6 4 2" xfId="8412"/>
    <cellStyle name="Currency 6 4 2 2" xfId="59107"/>
    <cellStyle name="Currency 6 4 3" xfId="59108"/>
    <cellStyle name="Currency 6 4 4" xfId="59109"/>
    <cellStyle name="Currency 6 4 5" xfId="59110"/>
    <cellStyle name="Currency 6 5" xfId="8413"/>
    <cellStyle name="Currency 6 5 2" xfId="8414"/>
    <cellStyle name="Currency 6 5 2 2" xfId="59111"/>
    <cellStyle name="Currency 6 5 3" xfId="59112"/>
    <cellStyle name="Currency 6 5 4" xfId="59113"/>
    <cellStyle name="Currency 6 5 5" xfId="59114"/>
    <cellStyle name="Currency 6 6" xfId="8415"/>
    <cellStyle name="Currency 6 6 2" xfId="59115"/>
    <cellStyle name="Currency 6 6 2 2" xfId="59116"/>
    <cellStyle name="Currency 6 6 3" xfId="59117"/>
    <cellStyle name="Currency 6 6 4" xfId="59118"/>
    <cellStyle name="Currency 6 6 5" xfId="59119"/>
    <cellStyle name="Currency 6 7" xfId="52853"/>
    <cellStyle name="Currency 60" xfId="3933"/>
    <cellStyle name="Currency 61" xfId="3934"/>
    <cellStyle name="Currency 62" xfId="3935"/>
    <cellStyle name="Currency 62 2" xfId="3936"/>
    <cellStyle name="Currency 63" xfId="3937"/>
    <cellStyle name="Currency 64" xfId="3938"/>
    <cellStyle name="Currency 65" xfId="3939"/>
    <cellStyle name="Currency 66" xfId="3940"/>
    <cellStyle name="Currency 67" xfId="3941"/>
    <cellStyle name="Currency 68" xfId="3942"/>
    <cellStyle name="Currency 69" xfId="3943"/>
    <cellStyle name="Currency 7" xfId="3944"/>
    <cellStyle name="Currency 7 2" xfId="3945"/>
    <cellStyle name="Currency 7 2 2" xfId="9179"/>
    <cellStyle name="Currency 7 2 2 2" xfId="9180"/>
    <cellStyle name="Currency 7 2 3" xfId="9181"/>
    <cellStyle name="Currency 7 2 4" xfId="9182"/>
    <cellStyle name="Currency 7 3" xfId="3946"/>
    <cellStyle name="Currency 7 3 2" xfId="9183"/>
    <cellStyle name="Currency 7 3 3" xfId="9184"/>
    <cellStyle name="Currency 7 3 4" xfId="59120"/>
    <cellStyle name="Currency 7 4" xfId="9185"/>
    <cellStyle name="Currency 7 4 2" xfId="59121"/>
    <cellStyle name="Currency 7 5" xfId="9186"/>
    <cellStyle name="Currency 7 6" xfId="59122"/>
    <cellStyle name="Currency 7 7" xfId="59123"/>
    <cellStyle name="Currency 7 8" xfId="59124"/>
    <cellStyle name="Currency 70" xfId="3947"/>
    <cellStyle name="Currency 71" xfId="3948"/>
    <cellStyle name="Currency 72" xfId="3949"/>
    <cellStyle name="Currency 73" xfId="3950"/>
    <cellStyle name="Currency 74" xfId="3951"/>
    <cellStyle name="Currency 75" xfId="3952"/>
    <cellStyle name="Currency 76" xfId="8781"/>
    <cellStyle name="Currency 77" xfId="9187"/>
    <cellStyle name="Currency 78" xfId="9188"/>
    <cellStyle name="Currency 79" xfId="9189"/>
    <cellStyle name="Currency 8" xfId="3953"/>
    <cellStyle name="Currency 8 2" xfId="3954"/>
    <cellStyle name="Currency 8 2 2" xfId="9190"/>
    <cellStyle name="Currency 8 2 2 2" xfId="9191"/>
    <cellStyle name="Currency 8 2 3" xfId="9192"/>
    <cellStyle name="Currency 8 2 3 2" xfId="59125"/>
    <cellStyle name="Currency 8 2 4" xfId="9193"/>
    <cellStyle name="Currency 8 2 5" xfId="59126"/>
    <cellStyle name="Currency 8 3" xfId="9194"/>
    <cellStyle name="Currency 8 3 2" xfId="9195"/>
    <cellStyle name="Currency 8 3 3" xfId="59127"/>
    <cellStyle name="Currency 8 4" xfId="9196"/>
    <cellStyle name="Currency 8 5" xfId="9197"/>
    <cellStyle name="Currency 8 6" xfId="59128"/>
    <cellStyle name="Currency 8 7" xfId="59129"/>
    <cellStyle name="Currency 80" xfId="9374"/>
    <cellStyle name="Currency 81" xfId="9647"/>
    <cellStyle name="Currency 82" xfId="9648"/>
    <cellStyle name="Currency 83" xfId="9649"/>
    <cellStyle name="Currency 84" xfId="9650"/>
    <cellStyle name="Currency 85" xfId="9651"/>
    <cellStyle name="Currency 86" xfId="9652"/>
    <cellStyle name="Currency 87" xfId="9653"/>
    <cellStyle name="Currency 88" xfId="9654"/>
    <cellStyle name="Currency 89" xfId="9655"/>
    <cellStyle name="Currency 9" xfId="3955"/>
    <cellStyle name="Currency 9 2" xfId="3956"/>
    <cellStyle name="Currency 9 2 2" xfId="59130"/>
    <cellStyle name="Currency 9 2 3" xfId="59131"/>
    <cellStyle name="Currency 9 3" xfId="9198"/>
    <cellStyle name="Currency 9 3 2" xfId="59132"/>
    <cellStyle name="Currency 9 4" xfId="59133"/>
    <cellStyle name="Currency 9 5" xfId="59134"/>
    <cellStyle name="Currency 9 6" xfId="59135"/>
    <cellStyle name="Currency 90" xfId="9656"/>
    <cellStyle name="Currency 91" xfId="9657"/>
    <cellStyle name="Currency 92" xfId="9658"/>
    <cellStyle name="Currency 93" xfId="9659"/>
    <cellStyle name="Currency 94" xfId="9660"/>
    <cellStyle name="Currency 95" xfId="9661"/>
    <cellStyle name="Currency 96" xfId="9662"/>
    <cellStyle name="Currency 97" xfId="9663"/>
    <cellStyle name="Currency 98" xfId="9664"/>
    <cellStyle name="Currency 99" xfId="9665"/>
    <cellStyle name="Currency0" xfId="3957"/>
    <cellStyle name="Currency0 2" xfId="3958"/>
    <cellStyle name="Currency0 2 2" xfId="9666"/>
    <cellStyle name="Currency0 2 3" xfId="59136"/>
    <cellStyle name="Currency0 3" xfId="3959"/>
    <cellStyle name="Currency0 3 2" xfId="9667"/>
    <cellStyle name="Currency0 3 3" xfId="59137"/>
    <cellStyle name="Custom - Style1" xfId="59138"/>
    <cellStyle name="Data   - Style2" xfId="59139"/>
    <cellStyle name="Date" xfId="3960"/>
    <cellStyle name="Date 2" xfId="3961"/>
    <cellStyle name="Date 2 2" xfId="9668"/>
    <cellStyle name="Date 2 3" xfId="59140"/>
    <cellStyle name="Date 3" xfId="3962"/>
    <cellStyle name="Date 3 2" xfId="9669"/>
    <cellStyle name="Date 3 3" xfId="59141"/>
    <cellStyle name="Eingabe" xfId="3963"/>
    <cellStyle name="Eingabe 2" xfId="3964"/>
    <cellStyle name="Eingabe 3" xfId="52854"/>
    <cellStyle name="Euro" xfId="3965"/>
    <cellStyle name="Euro 2" xfId="3966"/>
    <cellStyle name="Euro 2 2" xfId="3967"/>
    <cellStyle name="Euro 2 2 2" xfId="59142"/>
    <cellStyle name="Euro 2 3" xfId="59143"/>
    <cellStyle name="Euro 3" xfId="3968"/>
    <cellStyle name="Euro 3 2" xfId="9670"/>
    <cellStyle name="Euro 3 3" xfId="59144"/>
    <cellStyle name="Explanatory Text 10" xfId="9671"/>
    <cellStyle name="Explanatory Text 11" xfId="9672"/>
    <cellStyle name="Explanatory Text 12" xfId="9673"/>
    <cellStyle name="Explanatory Text 13" xfId="9674"/>
    <cellStyle name="Explanatory Text 14" xfId="9675"/>
    <cellStyle name="Explanatory Text 15" xfId="9676"/>
    <cellStyle name="Explanatory Text 16" xfId="9677"/>
    <cellStyle name="Explanatory Text 17" xfId="9678"/>
    <cellStyle name="Explanatory Text 2" xfId="3969"/>
    <cellStyle name="Explanatory Text 2 2" xfId="3970"/>
    <cellStyle name="Explanatory Text 2 2 2" xfId="59145"/>
    <cellStyle name="Explanatory Text 2 3" xfId="52855"/>
    <cellStyle name="Explanatory Text 2 4" xfId="52856"/>
    <cellStyle name="Explanatory Text 2 5" xfId="52857"/>
    <cellStyle name="Explanatory Text 3" xfId="3971"/>
    <cellStyle name="Explanatory Text 3 2" xfId="9199"/>
    <cellStyle name="Explanatory Text 4" xfId="9200"/>
    <cellStyle name="Explanatory Text 4 2" xfId="52858"/>
    <cellStyle name="Explanatory Text 5" xfId="9679"/>
    <cellStyle name="Explanatory Text 5 2" xfId="52859"/>
    <cellStyle name="Explanatory Text 6" xfId="9680"/>
    <cellStyle name="Explanatory Text 6 2" xfId="52860"/>
    <cellStyle name="Explanatory Text 7" xfId="9681"/>
    <cellStyle name="Explanatory Text 7 2" xfId="52861"/>
    <cellStyle name="Explanatory Text 8" xfId="9682"/>
    <cellStyle name="Explanatory Text 9" xfId="9683"/>
    <cellStyle name="F2" xfId="3972"/>
    <cellStyle name="F2 2" xfId="3973"/>
    <cellStyle name="F2 2 2" xfId="9684"/>
    <cellStyle name="F2 3" xfId="9685"/>
    <cellStyle name="F2 3 2" xfId="9686"/>
    <cellStyle name="F2 4" xfId="9687"/>
    <cellStyle name="F2 5" xfId="9688"/>
    <cellStyle name="F2 6" xfId="9689"/>
    <cellStyle name="F2 7" xfId="9690"/>
    <cellStyle name="F2 8" xfId="9691"/>
    <cellStyle name="F2 9" xfId="9692"/>
    <cellStyle name="F2_Regenerated Revenues LGE Gas 2008-04 with Elec Gen-Seelye final version " xfId="9693"/>
    <cellStyle name="F3" xfId="3974"/>
    <cellStyle name="F3 2" xfId="3975"/>
    <cellStyle name="F3 2 2" xfId="9694"/>
    <cellStyle name="F3 3" xfId="9695"/>
    <cellStyle name="F3 3 2" xfId="9696"/>
    <cellStyle name="F3 4" xfId="9697"/>
    <cellStyle name="F3 5" xfId="9698"/>
    <cellStyle name="F3 6" xfId="9699"/>
    <cellStyle name="F3 7" xfId="9700"/>
    <cellStyle name="F3 8" xfId="9701"/>
    <cellStyle name="F3 9" xfId="9702"/>
    <cellStyle name="F3_Regenerated Revenues LGE Gas 2008-04 with Elec Gen-Seelye final version " xfId="9703"/>
    <cellStyle name="F4" xfId="3976"/>
    <cellStyle name="F4 2" xfId="3977"/>
    <cellStyle name="F4 2 2" xfId="9704"/>
    <cellStyle name="F4 3" xfId="9705"/>
    <cellStyle name="F4 3 2" xfId="9706"/>
    <cellStyle name="F4 4" xfId="9707"/>
    <cellStyle name="F4 5" xfId="9708"/>
    <cellStyle name="F4 6" xfId="9709"/>
    <cellStyle name="F4 7" xfId="9710"/>
    <cellStyle name="F4 8" xfId="9711"/>
    <cellStyle name="F4 9" xfId="9712"/>
    <cellStyle name="F4_Regenerated Revenues LGE Gas 2008-04 with Elec Gen-Seelye final version " xfId="9713"/>
    <cellStyle name="F5" xfId="3978"/>
    <cellStyle name="F5 2" xfId="3979"/>
    <cellStyle name="F5 2 2" xfId="9714"/>
    <cellStyle name="F5 3" xfId="3980"/>
    <cellStyle name="F5 3 2" xfId="9715"/>
    <cellStyle name="F5 4" xfId="9716"/>
    <cellStyle name="F5 5" xfId="9717"/>
    <cellStyle name="F5 6" xfId="9718"/>
    <cellStyle name="F5 7" xfId="9719"/>
    <cellStyle name="F5 8" xfId="9720"/>
    <cellStyle name="F5 9" xfId="9721"/>
    <cellStyle name="F5_Regenerated Revenues LGE Gas 2008-04 with Elec Gen-Seelye final version " xfId="9722"/>
    <cellStyle name="F6" xfId="3981"/>
    <cellStyle name="F6 10" xfId="59146"/>
    <cellStyle name="F6 10 2" xfId="59147"/>
    <cellStyle name="F6 11" xfId="59148"/>
    <cellStyle name="F6 2" xfId="3982"/>
    <cellStyle name="F6 2 2" xfId="3983"/>
    <cellStyle name="F6 2 2 2" xfId="59149"/>
    <cellStyle name="F6 3" xfId="3984"/>
    <cellStyle name="F6 3 2" xfId="9723"/>
    <cellStyle name="F6 4" xfId="9724"/>
    <cellStyle name="F6 5" xfId="9725"/>
    <cellStyle name="F6 6" xfId="9726"/>
    <cellStyle name="F6 7" xfId="9727"/>
    <cellStyle name="F6 8" xfId="9728"/>
    <cellStyle name="F6 9" xfId="9729"/>
    <cellStyle name="F6_Regenerated Revenues LGE Gas 2008-04 with Elec Gen-Seelye final version " xfId="9730"/>
    <cellStyle name="F7" xfId="3985"/>
    <cellStyle name="F7 2" xfId="3986"/>
    <cellStyle name="F7 2 2" xfId="9731"/>
    <cellStyle name="F7 3" xfId="9732"/>
    <cellStyle name="F7 3 2" xfId="9733"/>
    <cellStyle name="F7 4" xfId="9734"/>
    <cellStyle name="F7 5" xfId="9735"/>
    <cellStyle name="F7 6" xfId="9736"/>
    <cellStyle name="F7 7" xfId="9737"/>
    <cellStyle name="F7 8" xfId="9738"/>
    <cellStyle name="F7 9" xfId="9739"/>
    <cellStyle name="F7_Regenerated Revenues LGE Gas 2008-04 with Elec Gen-Seelye final version " xfId="9740"/>
    <cellStyle name="F8" xfId="3987"/>
    <cellStyle name="F8 2" xfId="3988"/>
    <cellStyle name="F8 2 2" xfId="9741"/>
    <cellStyle name="F8 3" xfId="9742"/>
    <cellStyle name="F8 3 2" xfId="9743"/>
    <cellStyle name="F8 4" xfId="9744"/>
    <cellStyle name="F8 5" xfId="9745"/>
    <cellStyle name="F8 6" xfId="9746"/>
    <cellStyle name="F8 7" xfId="9747"/>
    <cellStyle name="F8 8" xfId="9748"/>
    <cellStyle name="F8 9" xfId="9749"/>
    <cellStyle name="F8_Regenerated Revenues LGE Gas 2008-04 with Elec Gen-Seelye final version " xfId="9750"/>
    <cellStyle name="Fixed" xfId="3989"/>
    <cellStyle name="Fixed 2" xfId="3990"/>
    <cellStyle name="Fixed 2 2" xfId="9751"/>
    <cellStyle name="Fixed 2 3" xfId="59150"/>
    <cellStyle name="Fixed 3" xfId="3991"/>
    <cellStyle name="Fixed 3 2" xfId="9752"/>
    <cellStyle name="Fixed 3 3" xfId="59151"/>
    <cellStyle name="Good 10" xfId="9753"/>
    <cellStyle name="Good 11" xfId="9754"/>
    <cellStyle name="Good 12" xfId="9755"/>
    <cellStyle name="Good 13" xfId="9756"/>
    <cellStyle name="Good 14" xfId="9757"/>
    <cellStyle name="Good 15" xfId="9758"/>
    <cellStyle name="Good 16" xfId="9759"/>
    <cellStyle name="Good 17" xfId="9760"/>
    <cellStyle name="Good 17 2" xfId="59152"/>
    <cellStyle name="Good 2" xfId="3992"/>
    <cellStyle name="Good 2 2" xfId="3993"/>
    <cellStyle name="Good 2 2 2" xfId="52862"/>
    <cellStyle name="Good 2 3" xfId="52863"/>
    <cellStyle name="Good 2 4" xfId="52864"/>
    <cellStyle name="Good 2 5" xfId="52865"/>
    <cellStyle name="Good 3" xfId="3994"/>
    <cellStyle name="Good 3 2" xfId="9201"/>
    <cellStyle name="Good 4" xfId="9202"/>
    <cellStyle name="Good 4 2" xfId="52866"/>
    <cellStyle name="Good 5" xfId="9761"/>
    <cellStyle name="Good 5 2" xfId="52867"/>
    <cellStyle name="Good 6" xfId="9762"/>
    <cellStyle name="Good 6 2" xfId="52868"/>
    <cellStyle name="Good 7" xfId="9763"/>
    <cellStyle name="Good 7 2" xfId="52869"/>
    <cellStyle name="Good 8" xfId="9764"/>
    <cellStyle name="Good 9" xfId="9765"/>
    <cellStyle name="Heading 1 10" xfId="9766"/>
    <cellStyle name="Heading 1 11" xfId="9767"/>
    <cellStyle name="Heading 1 12" xfId="9768"/>
    <cellStyle name="Heading 1 13" xfId="9769"/>
    <cellStyle name="Heading 1 14" xfId="9770"/>
    <cellStyle name="Heading 1 15" xfId="9771"/>
    <cellStyle name="Heading 1 16" xfId="9772"/>
    <cellStyle name="Heading 1 17" xfId="9773"/>
    <cellStyle name="Heading 1 17 2" xfId="59153"/>
    <cellStyle name="Heading 1 17 3" xfId="59154"/>
    <cellStyle name="Heading 1 17 4" xfId="59155"/>
    <cellStyle name="Heading 1 2" xfId="3995"/>
    <cellStyle name="Heading 1 2 2" xfId="3996"/>
    <cellStyle name="Heading 1 2 2 2" xfId="52870"/>
    <cellStyle name="Heading 1 2 3" xfId="52871"/>
    <cellStyle name="Heading 1 2 4" xfId="52872"/>
    <cellStyle name="Heading 1 2 5" xfId="52873"/>
    <cellStyle name="Heading 1 3" xfId="3997"/>
    <cellStyle name="Heading 1 3 2" xfId="3998"/>
    <cellStyle name="Heading 1 3 2 2" xfId="59156"/>
    <cellStyle name="Heading 1 3 3" xfId="52874"/>
    <cellStyle name="Heading 1 4" xfId="9203"/>
    <cellStyle name="Heading 1 4 2" xfId="52875"/>
    <cellStyle name="Heading 1 5" xfId="9204"/>
    <cellStyle name="Heading 1 5 2" xfId="52876"/>
    <cellStyle name="Heading 1 6" xfId="9774"/>
    <cellStyle name="Heading 1 6 2" xfId="52877"/>
    <cellStyle name="Heading 1 7" xfId="9775"/>
    <cellStyle name="Heading 1 7 2" xfId="52878"/>
    <cellStyle name="Heading 1 8" xfId="9776"/>
    <cellStyle name="Heading 1 9" xfId="9777"/>
    <cellStyle name="Heading 2 10" xfId="9778"/>
    <cellStyle name="Heading 2 11" xfId="9779"/>
    <cellStyle name="Heading 2 12" xfId="9780"/>
    <cellStyle name="Heading 2 13" xfId="9781"/>
    <cellStyle name="Heading 2 14" xfId="9782"/>
    <cellStyle name="Heading 2 15" xfId="9783"/>
    <cellStyle name="Heading 2 16" xfId="9784"/>
    <cellStyle name="Heading 2 17" xfId="9785"/>
    <cellStyle name="Heading 2 17 2" xfId="59157"/>
    <cellStyle name="Heading 2 17 3" xfId="59158"/>
    <cellStyle name="Heading 2 17 4" xfId="59159"/>
    <cellStyle name="Heading 2 2" xfId="3999"/>
    <cellStyle name="Heading 2 2 2" xfId="4000"/>
    <cellStyle name="Heading 2 2 2 2" xfId="52879"/>
    <cellStyle name="Heading 2 2 3" xfId="52880"/>
    <cellStyle name="Heading 2 2 4" xfId="52881"/>
    <cellStyle name="Heading 2 2 5" xfId="52882"/>
    <cellStyle name="Heading 2 3" xfId="4001"/>
    <cellStyle name="Heading 2 3 2" xfId="4002"/>
    <cellStyle name="Heading 2 3 2 2" xfId="52883"/>
    <cellStyle name="Heading 2 3 3" xfId="52884"/>
    <cellStyle name="Heading 2 4" xfId="9205"/>
    <cellStyle name="Heading 2 4 2" xfId="52885"/>
    <cellStyle name="Heading 2 5" xfId="9206"/>
    <cellStyle name="Heading 2 5 2" xfId="52886"/>
    <cellStyle name="Heading 2 6" xfId="9786"/>
    <cellStyle name="Heading 2 6 2" xfId="52887"/>
    <cellStyle name="Heading 2 7" xfId="9787"/>
    <cellStyle name="Heading 2 7 2" xfId="52888"/>
    <cellStyle name="Heading 2 8" xfId="9788"/>
    <cellStyle name="Heading 2 9" xfId="9789"/>
    <cellStyle name="Heading 3 10" xfId="9790"/>
    <cellStyle name="Heading 3 11" xfId="9791"/>
    <cellStyle name="Heading 3 12" xfId="9792"/>
    <cellStyle name="Heading 3 13" xfId="9793"/>
    <cellStyle name="Heading 3 14" xfId="9794"/>
    <cellStyle name="Heading 3 15" xfId="9795"/>
    <cellStyle name="Heading 3 16" xfId="9796"/>
    <cellStyle name="Heading 3 17" xfId="9797"/>
    <cellStyle name="Heading 3 17 2" xfId="59160"/>
    <cellStyle name="Heading 3 2" xfId="4003"/>
    <cellStyle name="Heading 3 2 2" xfId="4004"/>
    <cellStyle name="Heading 3 2 2 2" xfId="52889"/>
    <cellStyle name="Heading 3 2 3" xfId="4005"/>
    <cellStyle name="Heading 3 2 4" xfId="52890"/>
    <cellStyle name="Heading 3 2 5" xfId="52891"/>
    <cellStyle name="Heading 3 2 6" xfId="52892"/>
    <cellStyle name="Heading 3 2 7" xfId="52893"/>
    <cellStyle name="Heading 3 3" xfId="4006"/>
    <cellStyle name="Heading 3 3 2" xfId="9207"/>
    <cellStyle name="Heading 3 3 3" xfId="52894"/>
    <cellStyle name="Heading 3 4" xfId="4007"/>
    <cellStyle name="Heading 3 4 2" xfId="52895"/>
    <cellStyle name="Heading 3 5" xfId="4008"/>
    <cellStyle name="Heading 3 5 2" xfId="52896"/>
    <cellStyle name="Heading 3 6" xfId="9208"/>
    <cellStyle name="Heading 3 6 2" xfId="52897"/>
    <cellStyle name="Heading 3 7" xfId="9798"/>
    <cellStyle name="Heading 3 7 2" xfId="52898"/>
    <cellStyle name="Heading 3 8" xfId="9799"/>
    <cellStyle name="Heading 3 8 2" xfId="52899"/>
    <cellStyle name="Heading 3 9" xfId="9800"/>
    <cellStyle name="Heading 3 9 2" xfId="52900"/>
    <cellStyle name="Heading 4 10" xfId="9801"/>
    <cellStyle name="Heading 4 11" xfId="9802"/>
    <cellStyle name="Heading 4 12" xfId="9803"/>
    <cellStyle name="Heading 4 13" xfId="9804"/>
    <cellStyle name="Heading 4 14" xfId="9805"/>
    <cellStyle name="Heading 4 15" xfId="9806"/>
    <cellStyle name="Heading 4 16" xfId="9807"/>
    <cellStyle name="Heading 4 17" xfId="9808"/>
    <cellStyle name="Heading 4 17 2" xfId="59161"/>
    <cellStyle name="Heading 4 2" xfId="4009"/>
    <cellStyle name="Heading 4 2 2" xfId="4010"/>
    <cellStyle name="Heading 4 2 2 2" xfId="52901"/>
    <cellStyle name="Heading 4 2 3" xfId="52902"/>
    <cellStyle name="Heading 4 2 4" xfId="52903"/>
    <cellStyle name="Heading 4 2 5" xfId="52904"/>
    <cellStyle name="Heading 4 3" xfId="4011"/>
    <cellStyle name="Heading 4 3 2" xfId="9209"/>
    <cellStyle name="Heading 4 4" xfId="9210"/>
    <cellStyle name="Heading 4 4 2" xfId="52905"/>
    <cellStyle name="Heading 4 5" xfId="9809"/>
    <cellStyle name="Heading 4 5 2" xfId="52906"/>
    <cellStyle name="Heading 4 6" xfId="9810"/>
    <cellStyle name="Heading 4 6 2" xfId="52907"/>
    <cellStyle name="Heading 4 7" xfId="9811"/>
    <cellStyle name="Heading 4 7 2" xfId="52908"/>
    <cellStyle name="Heading 4 8" xfId="9812"/>
    <cellStyle name="Heading 4 9" xfId="9813"/>
    <cellStyle name="Hyperlink 2" xfId="4012"/>
    <cellStyle name="Hyperlink 2 2" xfId="52909"/>
    <cellStyle name="Input 10" xfId="4013"/>
    <cellStyle name="Input 10 10" xfId="4014"/>
    <cellStyle name="Input 10 11" xfId="59162"/>
    <cellStyle name="Input 10 12" xfId="59163"/>
    <cellStyle name="Input 10 2" xfId="4015"/>
    <cellStyle name="Input 10 2 2" xfId="4016"/>
    <cellStyle name="Input 10 2 2 2" xfId="59164"/>
    <cellStyle name="Input 10 2 3" xfId="4017"/>
    <cellStyle name="Input 10 2 3 2" xfId="59165"/>
    <cellStyle name="Input 10 2 4" xfId="4018"/>
    <cellStyle name="Input 10 2 4 2" xfId="59166"/>
    <cellStyle name="Input 10 2 5" xfId="4019"/>
    <cellStyle name="Input 10 2 5 2" xfId="59167"/>
    <cellStyle name="Input 10 2 6" xfId="4020"/>
    <cellStyle name="Input 10 2 6 2" xfId="59168"/>
    <cellStyle name="Input 10 2 7" xfId="4021"/>
    <cellStyle name="Input 10 2 7 2" xfId="59169"/>
    <cellStyle name="Input 10 2 8" xfId="4022"/>
    <cellStyle name="Input 10 2 8 2" xfId="59170"/>
    <cellStyle name="Input 10 2 9" xfId="4023"/>
    <cellStyle name="Input 10 3" xfId="4024"/>
    <cellStyle name="Input 10 3 2" xfId="59171"/>
    <cellStyle name="Input 10 4" xfId="4025"/>
    <cellStyle name="Input 10 4 2" xfId="59172"/>
    <cellStyle name="Input 10 5" xfId="4026"/>
    <cellStyle name="Input 10 5 2" xfId="59173"/>
    <cellStyle name="Input 10 6" xfId="4027"/>
    <cellStyle name="Input 10 6 2" xfId="59174"/>
    <cellStyle name="Input 10 7" xfId="4028"/>
    <cellStyle name="Input 10 7 2" xfId="59175"/>
    <cellStyle name="Input 10 8" xfId="4029"/>
    <cellStyle name="Input 10 8 2" xfId="59176"/>
    <cellStyle name="Input 10 9" xfId="4030"/>
    <cellStyle name="Input 10 9 2" xfId="59177"/>
    <cellStyle name="Input 11" xfId="4031"/>
    <cellStyle name="Input 11 10" xfId="4032"/>
    <cellStyle name="Input 11 11" xfId="59178"/>
    <cellStyle name="Input 11 12" xfId="59179"/>
    <cellStyle name="Input 11 2" xfId="4033"/>
    <cellStyle name="Input 11 2 2" xfId="4034"/>
    <cellStyle name="Input 11 2 2 2" xfId="59180"/>
    <cellStyle name="Input 11 2 3" xfId="4035"/>
    <cellStyle name="Input 11 2 3 2" xfId="59181"/>
    <cellStyle name="Input 11 2 4" xfId="4036"/>
    <cellStyle name="Input 11 2 4 2" xfId="59182"/>
    <cellStyle name="Input 11 2 5" xfId="4037"/>
    <cellStyle name="Input 11 2 5 2" xfId="59183"/>
    <cellStyle name="Input 11 2 6" xfId="4038"/>
    <cellStyle name="Input 11 2 6 2" xfId="59184"/>
    <cellStyle name="Input 11 2 7" xfId="4039"/>
    <cellStyle name="Input 11 2 7 2" xfId="59185"/>
    <cellStyle name="Input 11 2 8" xfId="4040"/>
    <cellStyle name="Input 11 2 8 2" xfId="59186"/>
    <cellStyle name="Input 11 2 9" xfId="4041"/>
    <cellStyle name="Input 11 3" xfId="4042"/>
    <cellStyle name="Input 11 3 2" xfId="59187"/>
    <cellStyle name="Input 11 4" xfId="4043"/>
    <cellStyle name="Input 11 4 2" xfId="59188"/>
    <cellStyle name="Input 11 5" xfId="4044"/>
    <cellStyle name="Input 11 5 2" xfId="59189"/>
    <cellStyle name="Input 11 6" xfId="4045"/>
    <cellStyle name="Input 11 6 2" xfId="59190"/>
    <cellStyle name="Input 11 7" xfId="4046"/>
    <cellStyle name="Input 11 7 2" xfId="59191"/>
    <cellStyle name="Input 11 8" xfId="4047"/>
    <cellStyle name="Input 11 8 2" xfId="59192"/>
    <cellStyle name="Input 11 9" xfId="4048"/>
    <cellStyle name="Input 11 9 2" xfId="59193"/>
    <cellStyle name="Input 12" xfId="4049"/>
    <cellStyle name="Input 12 10" xfId="4050"/>
    <cellStyle name="Input 12 11" xfId="59194"/>
    <cellStyle name="Input 12 12" xfId="59195"/>
    <cellStyle name="Input 12 2" xfId="4051"/>
    <cellStyle name="Input 12 2 2" xfId="4052"/>
    <cellStyle name="Input 12 2 2 2" xfId="59196"/>
    <cellStyle name="Input 12 2 3" xfId="4053"/>
    <cellStyle name="Input 12 2 3 2" xfId="59197"/>
    <cellStyle name="Input 12 2 4" xfId="4054"/>
    <cellStyle name="Input 12 2 4 2" xfId="59198"/>
    <cellStyle name="Input 12 2 5" xfId="4055"/>
    <cellStyle name="Input 12 2 5 2" xfId="59199"/>
    <cellStyle name="Input 12 2 6" xfId="4056"/>
    <cellStyle name="Input 12 2 6 2" xfId="59200"/>
    <cellStyle name="Input 12 2 7" xfId="4057"/>
    <cellStyle name="Input 12 2 7 2" xfId="59201"/>
    <cellStyle name="Input 12 2 8" xfId="4058"/>
    <cellStyle name="Input 12 2 8 2" xfId="59202"/>
    <cellStyle name="Input 12 2 9" xfId="4059"/>
    <cellStyle name="Input 12 3" xfId="4060"/>
    <cellStyle name="Input 12 3 2" xfId="59203"/>
    <cellStyle name="Input 12 4" xfId="4061"/>
    <cellStyle name="Input 12 4 2" xfId="59204"/>
    <cellStyle name="Input 12 5" xfId="4062"/>
    <cellStyle name="Input 12 5 2" xfId="59205"/>
    <cellStyle name="Input 12 6" xfId="4063"/>
    <cellStyle name="Input 12 6 2" xfId="59206"/>
    <cellStyle name="Input 12 7" xfId="4064"/>
    <cellStyle name="Input 12 7 2" xfId="59207"/>
    <cellStyle name="Input 12 8" xfId="4065"/>
    <cellStyle name="Input 12 8 2" xfId="59208"/>
    <cellStyle name="Input 12 9" xfId="4066"/>
    <cellStyle name="Input 12 9 2" xfId="59209"/>
    <cellStyle name="Input 13" xfId="4067"/>
    <cellStyle name="Input 13 10" xfId="4068"/>
    <cellStyle name="Input 13 11" xfId="59210"/>
    <cellStyle name="Input 13 12" xfId="59211"/>
    <cellStyle name="Input 13 2" xfId="4069"/>
    <cellStyle name="Input 13 2 2" xfId="4070"/>
    <cellStyle name="Input 13 2 2 2" xfId="59212"/>
    <cellStyle name="Input 13 2 3" xfId="4071"/>
    <cellStyle name="Input 13 2 3 2" xfId="59213"/>
    <cellStyle name="Input 13 2 4" xfId="4072"/>
    <cellStyle name="Input 13 2 4 2" xfId="59214"/>
    <cellStyle name="Input 13 2 5" xfId="4073"/>
    <cellStyle name="Input 13 2 5 2" xfId="59215"/>
    <cellStyle name="Input 13 2 6" xfId="4074"/>
    <cellStyle name="Input 13 2 6 2" xfId="59216"/>
    <cellStyle name="Input 13 2 7" xfId="4075"/>
    <cellStyle name="Input 13 2 7 2" xfId="59217"/>
    <cellStyle name="Input 13 2 8" xfId="4076"/>
    <cellStyle name="Input 13 2 8 2" xfId="59218"/>
    <cellStyle name="Input 13 2 9" xfId="4077"/>
    <cellStyle name="Input 13 3" xfId="4078"/>
    <cellStyle name="Input 13 3 2" xfId="59219"/>
    <cellStyle name="Input 13 4" xfId="4079"/>
    <cellStyle name="Input 13 4 2" xfId="59220"/>
    <cellStyle name="Input 13 5" xfId="4080"/>
    <cellStyle name="Input 13 5 2" xfId="59221"/>
    <cellStyle name="Input 13 6" xfId="4081"/>
    <cellStyle name="Input 13 6 2" xfId="59222"/>
    <cellStyle name="Input 13 7" xfId="4082"/>
    <cellStyle name="Input 13 7 2" xfId="59223"/>
    <cellStyle name="Input 13 8" xfId="4083"/>
    <cellStyle name="Input 13 8 2" xfId="59224"/>
    <cellStyle name="Input 13 9" xfId="4084"/>
    <cellStyle name="Input 13 9 2" xfId="59225"/>
    <cellStyle name="Input 14" xfId="4085"/>
    <cellStyle name="Input 14 10" xfId="4086"/>
    <cellStyle name="Input 14 11" xfId="59226"/>
    <cellStyle name="Input 14 12" xfId="59227"/>
    <cellStyle name="Input 14 2" xfId="4087"/>
    <cellStyle name="Input 14 2 2" xfId="4088"/>
    <cellStyle name="Input 14 2 2 2" xfId="59228"/>
    <cellStyle name="Input 14 2 3" xfId="4089"/>
    <cellStyle name="Input 14 2 3 2" xfId="59229"/>
    <cellStyle name="Input 14 2 4" xfId="4090"/>
    <cellStyle name="Input 14 2 4 2" xfId="59230"/>
    <cellStyle name="Input 14 2 5" xfId="4091"/>
    <cellStyle name="Input 14 2 5 2" xfId="59231"/>
    <cellStyle name="Input 14 2 6" xfId="4092"/>
    <cellStyle name="Input 14 2 6 2" xfId="59232"/>
    <cellStyle name="Input 14 2 7" xfId="4093"/>
    <cellStyle name="Input 14 2 7 2" xfId="59233"/>
    <cellStyle name="Input 14 2 8" xfId="4094"/>
    <cellStyle name="Input 14 2 8 2" xfId="59234"/>
    <cellStyle name="Input 14 2 9" xfId="4095"/>
    <cellStyle name="Input 14 3" xfId="4096"/>
    <cellStyle name="Input 14 3 2" xfId="59235"/>
    <cellStyle name="Input 14 4" xfId="4097"/>
    <cellStyle name="Input 14 4 2" xfId="59236"/>
    <cellStyle name="Input 14 5" xfId="4098"/>
    <cellStyle name="Input 14 5 2" xfId="59237"/>
    <cellStyle name="Input 14 6" xfId="4099"/>
    <cellStyle name="Input 14 6 2" xfId="59238"/>
    <cellStyle name="Input 14 7" xfId="4100"/>
    <cellStyle name="Input 14 7 2" xfId="59239"/>
    <cellStyle name="Input 14 8" xfId="4101"/>
    <cellStyle name="Input 14 8 2" xfId="59240"/>
    <cellStyle name="Input 14 9" xfId="4102"/>
    <cellStyle name="Input 14 9 2" xfId="59241"/>
    <cellStyle name="Input 15" xfId="4103"/>
    <cellStyle name="Input 15 10" xfId="4104"/>
    <cellStyle name="Input 15 11" xfId="59242"/>
    <cellStyle name="Input 15 12" xfId="59243"/>
    <cellStyle name="Input 15 2" xfId="4105"/>
    <cellStyle name="Input 15 2 2" xfId="4106"/>
    <cellStyle name="Input 15 2 2 2" xfId="59244"/>
    <cellStyle name="Input 15 2 3" xfId="4107"/>
    <cellStyle name="Input 15 2 3 2" xfId="59245"/>
    <cellStyle name="Input 15 2 4" xfId="4108"/>
    <cellStyle name="Input 15 2 4 2" xfId="59246"/>
    <cellStyle name="Input 15 2 5" xfId="4109"/>
    <cellStyle name="Input 15 2 5 2" xfId="59247"/>
    <cellStyle name="Input 15 2 6" xfId="4110"/>
    <cellStyle name="Input 15 2 6 2" xfId="59248"/>
    <cellStyle name="Input 15 2 7" xfId="4111"/>
    <cellStyle name="Input 15 2 7 2" xfId="59249"/>
    <cellStyle name="Input 15 2 8" xfId="4112"/>
    <cellStyle name="Input 15 2 8 2" xfId="59250"/>
    <cellStyle name="Input 15 2 9" xfId="4113"/>
    <cellStyle name="Input 15 3" xfId="4114"/>
    <cellStyle name="Input 15 3 2" xfId="59251"/>
    <cellStyle name="Input 15 4" xfId="4115"/>
    <cellStyle name="Input 15 4 2" xfId="59252"/>
    <cellStyle name="Input 15 5" xfId="4116"/>
    <cellStyle name="Input 15 5 2" xfId="59253"/>
    <cellStyle name="Input 15 6" xfId="4117"/>
    <cellStyle name="Input 15 6 2" xfId="59254"/>
    <cellStyle name="Input 15 7" xfId="4118"/>
    <cellStyle name="Input 15 7 2" xfId="59255"/>
    <cellStyle name="Input 15 8" xfId="4119"/>
    <cellStyle name="Input 15 8 2" xfId="59256"/>
    <cellStyle name="Input 15 9" xfId="4120"/>
    <cellStyle name="Input 15 9 2" xfId="59257"/>
    <cellStyle name="Input 16" xfId="4121"/>
    <cellStyle name="Input 16 10" xfId="4122"/>
    <cellStyle name="Input 16 11" xfId="59258"/>
    <cellStyle name="Input 16 12" xfId="59259"/>
    <cellStyle name="Input 16 2" xfId="4123"/>
    <cellStyle name="Input 16 2 2" xfId="4124"/>
    <cellStyle name="Input 16 2 2 2" xfId="59260"/>
    <cellStyle name="Input 16 2 3" xfId="4125"/>
    <cellStyle name="Input 16 2 3 2" xfId="59261"/>
    <cellStyle name="Input 16 2 4" xfId="4126"/>
    <cellStyle name="Input 16 2 4 2" xfId="59262"/>
    <cellStyle name="Input 16 2 5" xfId="4127"/>
    <cellStyle name="Input 16 2 5 2" xfId="59263"/>
    <cellStyle name="Input 16 2 6" xfId="4128"/>
    <cellStyle name="Input 16 2 6 2" xfId="59264"/>
    <cellStyle name="Input 16 2 7" xfId="4129"/>
    <cellStyle name="Input 16 2 7 2" xfId="59265"/>
    <cellStyle name="Input 16 2 8" xfId="4130"/>
    <cellStyle name="Input 16 2 8 2" xfId="59266"/>
    <cellStyle name="Input 16 2 9" xfId="4131"/>
    <cellStyle name="Input 16 3" xfId="4132"/>
    <cellStyle name="Input 16 3 2" xfId="59267"/>
    <cellStyle name="Input 16 4" xfId="4133"/>
    <cellStyle name="Input 16 4 2" xfId="59268"/>
    <cellStyle name="Input 16 5" xfId="4134"/>
    <cellStyle name="Input 16 5 2" xfId="59269"/>
    <cellStyle name="Input 16 6" xfId="4135"/>
    <cellStyle name="Input 16 6 2" xfId="59270"/>
    <cellStyle name="Input 16 7" xfId="4136"/>
    <cellStyle name="Input 16 7 2" xfId="59271"/>
    <cellStyle name="Input 16 8" xfId="4137"/>
    <cellStyle name="Input 16 8 2" xfId="59272"/>
    <cellStyle name="Input 16 9" xfId="4138"/>
    <cellStyle name="Input 16 9 2" xfId="59273"/>
    <cellStyle name="Input 17" xfId="4139"/>
    <cellStyle name="Input 17 10" xfId="4140"/>
    <cellStyle name="Input 17 11" xfId="59274"/>
    <cellStyle name="Input 17 2" xfId="4141"/>
    <cellStyle name="Input 17 2 2" xfId="4142"/>
    <cellStyle name="Input 17 2 2 2" xfId="59275"/>
    <cellStyle name="Input 17 2 3" xfId="4143"/>
    <cellStyle name="Input 17 2 3 2" xfId="59276"/>
    <cellStyle name="Input 17 2 4" xfId="4144"/>
    <cellStyle name="Input 17 2 4 2" xfId="59277"/>
    <cellStyle name="Input 17 2 5" xfId="4145"/>
    <cellStyle name="Input 17 2 5 2" xfId="59278"/>
    <cellStyle name="Input 17 2 6" xfId="4146"/>
    <cellStyle name="Input 17 2 6 2" xfId="59279"/>
    <cellStyle name="Input 17 2 7" xfId="4147"/>
    <cellStyle name="Input 17 2 7 2" xfId="59280"/>
    <cellStyle name="Input 17 2 8" xfId="4148"/>
    <cellStyle name="Input 17 2 8 2" xfId="59281"/>
    <cellStyle name="Input 17 2 9" xfId="4149"/>
    <cellStyle name="Input 17 3" xfId="4150"/>
    <cellStyle name="Input 17 3 2" xfId="59282"/>
    <cellStyle name="Input 17 4" xfId="4151"/>
    <cellStyle name="Input 17 4 2" xfId="59283"/>
    <cellStyle name="Input 17 5" xfId="4152"/>
    <cellStyle name="Input 17 5 2" xfId="59284"/>
    <cellStyle name="Input 17 6" xfId="4153"/>
    <cellStyle name="Input 17 6 2" xfId="59285"/>
    <cellStyle name="Input 17 7" xfId="4154"/>
    <cellStyle name="Input 17 7 2" xfId="59286"/>
    <cellStyle name="Input 17 8" xfId="4155"/>
    <cellStyle name="Input 17 8 2" xfId="59287"/>
    <cellStyle name="Input 17 9" xfId="4156"/>
    <cellStyle name="Input 17 9 2" xfId="59288"/>
    <cellStyle name="Input 18" xfId="4157"/>
    <cellStyle name="Input 18 10" xfId="4158"/>
    <cellStyle name="Input 18 2" xfId="4159"/>
    <cellStyle name="Input 18 2 2" xfId="4160"/>
    <cellStyle name="Input 18 2 2 2" xfId="59289"/>
    <cellStyle name="Input 18 2 3" xfId="4161"/>
    <cellStyle name="Input 18 2 3 2" xfId="59290"/>
    <cellStyle name="Input 18 2 4" xfId="4162"/>
    <cellStyle name="Input 18 2 4 2" xfId="59291"/>
    <cellStyle name="Input 18 2 5" xfId="4163"/>
    <cellStyle name="Input 18 2 5 2" xfId="59292"/>
    <cellStyle name="Input 18 2 6" xfId="4164"/>
    <cellStyle name="Input 18 2 6 2" xfId="59293"/>
    <cellStyle name="Input 18 2 7" xfId="4165"/>
    <cellStyle name="Input 18 2 7 2" xfId="59294"/>
    <cellStyle name="Input 18 2 8" xfId="4166"/>
    <cellStyle name="Input 18 2 8 2" xfId="59295"/>
    <cellStyle name="Input 18 2 9" xfId="4167"/>
    <cellStyle name="Input 18 3" xfId="4168"/>
    <cellStyle name="Input 18 3 2" xfId="59296"/>
    <cellStyle name="Input 18 4" xfId="4169"/>
    <cellStyle name="Input 18 4 2" xfId="59297"/>
    <cellStyle name="Input 18 5" xfId="4170"/>
    <cellStyle name="Input 18 5 2" xfId="59298"/>
    <cellStyle name="Input 18 6" xfId="4171"/>
    <cellStyle name="Input 18 6 2" xfId="59299"/>
    <cellStyle name="Input 18 7" xfId="4172"/>
    <cellStyle name="Input 18 7 2" xfId="59300"/>
    <cellStyle name="Input 18 8" xfId="4173"/>
    <cellStyle name="Input 18 8 2" xfId="59301"/>
    <cellStyle name="Input 18 9" xfId="4174"/>
    <cellStyle name="Input 18 9 2" xfId="59302"/>
    <cellStyle name="Input 19" xfId="4175"/>
    <cellStyle name="Input 19 10" xfId="4176"/>
    <cellStyle name="Input 19 2" xfId="4177"/>
    <cellStyle name="Input 19 2 2" xfId="4178"/>
    <cellStyle name="Input 19 2 2 2" xfId="59303"/>
    <cellStyle name="Input 19 2 3" xfId="4179"/>
    <cellStyle name="Input 19 2 3 2" xfId="59304"/>
    <cellStyle name="Input 19 2 4" xfId="4180"/>
    <cellStyle name="Input 19 2 4 2" xfId="59305"/>
    <cellStyle name="Input 19 2 5" xfId="4181"/>
    <cellStyle name="Input 19 2 5 2" xfId="59306"/>
    <cellStyle name="Input 19 2 6" xfId="4182"/>
    <cellStyle name="Input 19 2 6 2" xfId="59307"/>
    <cellStyle name="Input 19 2 7" xfId="4183"/>
    <cellStyle name="Input 19 2 7 2" xfId="59308"/>
    <cellStyle name="Input 19 2 8" xfId="4184"/>
    <cellStyle name="Input 19 2 8 2" xfId="59309"/>
    <cellStyle name="Input 19 2 9" xfId="4185"/>
    <cellStyle name="Input 19 3" xfId="4186"/>
    <cellStyle name="Input 19 3 2" xfId="59310"/>
    <cellStyle name="Input 19 4" xfId="4187"/>
    <cellStyle name="Input 19 4 2" xfId="59311"/>
    <cellStyle name="Input 19 5" xfId="4188"/>
    <cellStyle name="Input 19 5 2" xfId="59312"/>
    <cellStyle name="Input 19 6" xfId="4189"/>
    <cellStyle name="Input 19 6 2" xfId="59313"/>
    <cellStyle name="Input 19 7" xfId="4190"/>
    <cellStyle name="Input 19 7 2" xfId="59314"/>
    <cellStyle name="Input 19 8" xfId="4191"/>
    <cellStyle name="Input 19 8 2" xfId="59315"/>
    <cellStyle name="Input 19 9" xfId="4192"/>
    <cellStyle name="Input 19 9 2" xfId="59316"/>
    <cellStyle name="Input 2" xfId="4193"/>
    <cellStyle name="Input 2 10" xfId="59317"/>
    <cellStyle name="Input 2 2" xfId="4194"/>
    <cellStyle name="Input 2 2 10" xfId="4195"/>
    <cellStyle name="Input 2 2 11" xfId="59318"/>
    <cellStyle name="Input 2 2 2" xfId="4196"/>
    <cellStyle name="Input 2 2 2 2" xfId="59319"/>
    <cellStyle name="Input 2 2 3" xfId="4197"/>
    <cellStyle name="Input 2 2 3 2" xfId="59320"/>
    <cellStyle name="Input 2 2 4" xfId="4198"/>
    <cellStyle name="Input 2 2 4 2" xfId="59321"/>
    <cellStyle name="Input 2 2 5" xfId="4199"/>
    <cellStyle name="Input 2 2 5 2" xfId="59322"/>
    <cellStyle name="Input 2 2 6" xfId="4200"/>
    <cellStyle name="Input 2 2 6 2" xfId="59323"/>
    <cellStyle name="Input 2 2 7" xfId="4201"/>
    <cellStyle name="Input 2 2 7 2" xfId="59324"/>
    <cellStyle name="Input 2 2 8" xfId="4202"/>
    <cellStyle name="Input 2 2 8 2" xfId="59325"/>
    <cellStyle name="Input 2 2 9" xfId="4203"/>
    <cellStyle name="Input 2 3" xfId="4204"/>
    <cellStyle name="Input 2 3 2" xfId="59326"/>
    <cellStyle name="Input 2 4" xfId="4205"/>
    <cellStyle name="Input 2 4 2" xfId="59327"/>
    <cellStyle name="Input 2 5" xfId="4206"/>
    <cellStyle name="Input 2 5 2" xfId="59328"/>
    <cellStyle name="Input 2 6" xfId="4207"/>
    <cellStyle name="Input 2 6 2" xfId="59329"/>
    <cellStyle name="Input 2 7" xfId="4208"/>
    <cellStyle name="Input 2 7 2" xfId="59330"/>
    <cellStyle name="Input 2 8" xfId="4209"/>
    <cellStyle name="Input 2 8 2" xfId="59331"/>
    <cellStyle name="Input 2 9" xfId="4210"/>
    <cellStyle name="Input 20" xfId="4211"/>
    <cellStyle name="Input 20 10" xfId="4212"/>
    <cellStyle name="Input 20 2" xfId="4213"/>
    <cellStyle name="Input 20 2 2" xfId="4214"/>
    <cellStyle name="Input 20 2 2 2" xfId="59332"/>
    <cellStyle name="Input 20 2 3" xfId="4215"/>
    <cellStyle name="Input 20 2 3 2" xfId="59333"/>
    <cellStyle name="Input 20 2 4" xfId="4216"/>
    <cellStyle name="Input 20 2 4 2" xfId="59334"/>
    <cellStyle name="Input 20 2 5" xfId="4217"/>
    <cellStyle name="Input 20 2 5 2" xfId="59335"/>
    <cellStyle name="Input 20 2 6" xfId="4218"/>
    <cellStyle name="Input 20 2 6 2" xfId="59336"/>
    <cellStyle name="Input 20 2 7" xfId="4219"/>
    <cellStyle name="Input 20 2 7 2" xfId="59337"/>
    <cellStyle name="Input 20 2 8" xfId="4220"/>
    <cellStyle name="Input 20 2 8 2" xfId="59338"/>
    <cellStyle name="Input 20 2 9" xfId="4221"/>
    <cellStyle name="Input 20 3" xfId="4222"/>
    <cellStyle name="Input 20 3 2" xfId="59339"/>
    <cellStyle name="Input 20 4" xfId="4223"/>
    <cellStyle name="Input 20 4 2" xfId="59340"/>
    <cellStyle name="Input 20 5" xfId="4224"/>
    <cellStyle name="Input 20 5 2" xfId="59341"/>
    <cellStyle name="Input 20 6" xfId="4225"/>
    <cellStyle name="Input 20 6 2" xfId="59342"/>
    <cellStyle name="Input 20 7" xfId="4226"/>
    <cellStyle name="Input 20 7 2" xfId="59343"/>
    <cellStyle name="Input 20 8" xfId="4227"/>
    <cellStyle name="Input 20 8 2" xfId="59344"/>
    <cellStyle name="Input 20 9" xfId="4228"/>
    <cellStyle name="Input 20 9 2" xfId="59345"/>
    <cellStyle name="Input 21" xfId="4229"/>
    <cellStyle name="Input 21 10" xfId="4230"/>
    <cellStyle name="Input 21 2" xfId="4231"/>
    <cellStyle name="Input 21 2 2" xfId="4232"/>
    <cellStyle name="Input 21 2 2 2" xfId="59346"/>
    <cellStyle name="Input 21 2 3" xfId="4233"/>
    <cellStyle name="Input 21 2 3 2" xfId="59347"/>
    <cellStyle name="Input 21 2 4" xfId="4234"/>
    <cellStyle name="Input 21 2 4 2" xfId="59348"/>
    <cellStyle name="Input 21 2 5" xfId="4235"/>
    <cellStyle name="Input 21 2 5 2" xfId="59349"/>
    <cellStyle name="Input 21 2 6" xfId="4236"/>
    <cellStyle name="Input 21 2 6 2" xfId="59350"/>
    <cellStyle name="Input 21 2 7" xfId="4237"/>
    <cellStyle name="Input 21 2 7 2" xfId="59351"/>
    <cellStyle name="Input 21 2 8" xfId="4238"/>
    <cellStyle name="Input 21 2 8 2" xfId="59352"/>
    <cellStyle name="Input 21 2 9" xfId="4239"/>
    <cellStyle name="Input 21 3" xfId="4240"/>
    <cellStyle name="Input 21 3 2" xfId="59353"/>
    <cellStyle name="Input 21 4" xfId="4241"/>
    <cellStyle name="Input 21 4 2" xfId="59354"/>
    <cellStyle name="Input 21 5" xfId="4242"/>
    <cellStyle name="Input 21 5 2" xfId="59355"/>
    <cellStyle name="Input 21 6" xfId="4243"/>
    <cellStyle name="Input 21 6 2" xfId="59356"/>
    <cellStyle name="Input 21 7" xfId="4244"/>
    <cellStyle name="Input 21 7 2" xfId="59357"/>
    <cellStyle name="Input 21 8" xfId="4245"/>
    <cellStyle name="Input 21 8 2" xfId="59358"/>
    <cellStyle name="Input 21 9" xfId="4246"/>
    <cellStyle name="Input 21 9 2" xfId="59359"/>
    <cellStyle name="Input 22" xfId="4247"/>
    <cellStyle name="Input 22 2" xfId="4248"/>
    <cellStyle name="Input 22 2 2" xfId="59360"/>
    <cellStyle name="Input 22 3" xfId="4249"/>
    <cellStyle name="Input 22 3 2" xfId="59361"/>
    <cellStyle name="Input 22 4" xfId="4250"/>
    <cellStyle name="Input 22 4 2" xfId="59362"/>
    <cellStyle name="Input 22 5" xfId="4251"/>
    <cellStyle name="Input 22 5 2" xfId="59363"/>
    <cellStyle name="Input 22 6" xfId="4252"/>
    <cellStyle name="Input 22 6 2" xfId="59364"/>
    <cellStyle name="Input 22 7" xfId="4253"/>
    <cellStyle name="Input 22 7 2" xfId="59365"/>
    <cellStyle name="Input 22 8" xfId="4254"/>
    <cellStyle name="Input 22 8 2" xfId="59366"/>
    <cellStyle name="Input 22 9" xfId="4255"/>
    <cellStyle name="Input 23" xfId="9211"/>
    <cellStyle name="Input 3" xfId="4256"/>
    <cellStyle name="Input 3 10" xfId="4257"/>
    <cellStyle name="Input 3 11" xfId="9212"/>
    <cellStyle name="Input 3 2" xfId="4258"/>
    <cellStyle name="Input 3 2 10" xfId="4259"/>
    <cellStyle name="Input 3 2 2" xfId="4260"/>
    <cellStyle name="Input 3 2 2 2" xfId="59367"/>
    <cellStyle name="Input 3 2 3" xfId="4261"/>
    <cellStyle name="Input 3 2 3 2" xfId="59368"/>
    <cellStyle name="Input 3 2 4" xfId="4262"/>
    <cellStyle name="Input 3 2 4 2" xfId="59369"/>
    <cellStyle name="Input 3 2 5" xfId="4263"/>
    <cellStyle name="Input 3 2 5 2" xfId="59370"/>
    <cellStyle name="Input 3 2 6" xfId="4264"/>
    <cellStyle name="Input 3 2 6 2" xfId="59371"/>
    <cellStyle name="Input 3 2 7" xfId="4265"/>
    <cellStyle name="Input 3 2 7 2" xfId="59372"/>
    <cellStyle name="Input 3 2 8" xfId="4266"/>
    <cellStyle name="Input 3 2 8 2" xfId="59373"/>
    <cellStyle name="Input 3 2 9" xfId="4267"/>
    <cellStyle name="Input 3 3" xfId="4268"/>
    <cellStyle name="Input 3 3 2" xfId="59374"/>
    <cellStyle name="Input 3 4" xfId="4269"/>
    <cellStyle name="Input 3 4 2" xfId="59375"/>
    <cellStyle name="Input 3 5" xfId="4270"/>
    <cellStyle name="Input 3 5 2" xfId="59376"/>
    <cellStyle name="Input 3 6" xfId="4271"/>
    <cellStyle name="Input 3 6 2" xfId="59377"/>
    <cellStyle name="Input 3 7" xfId="4272"/>
    <cellStyle name="Input 3 7 2" xfId="59378"/>
    <cellStyle name="Input 3 8" xfId="4273"/>
    <cellStyle name="Input 3 8 2" xfId="59379"/>
    <cellStyle name="Input 3 9" xfId="4274"/>
    <cellStyle name="Input 3 9 2" xfId="59380"/>
    <cellStyle name="Input 4" xfId="4275"/>
    <cellStyle name="Input 4 10" xfId="4276"/>
    <cellStyle name="Input 4 11" xfId="59381"/>
    <cellStyle name="Input 4 12" xfId="59382"/>
    <cellStyle name="Input 4 2" xfId="4277"/>
    <cellStyle name="Input 4 2 2" xfId="4278"/>
    <cellStyle name="Input 4 2 2 2" xfId="59383"/>
    <cellStyle name="Input 4 2 3" xfId="4279"/>
    <cellStyle name="Input 4 2 3 2" xfId="59384"/>
    <cellStyle name="Input 4 2 4" xfId="4280"/>
    <cellStyle name="Input 4 2 4 2" xfId="59385"/>
    <cellStyle name="Input 4 2 5" xfId="4281"/>
    <cellStyle name="Input 4 2 5 2" xfId="59386"/>
    <cellStyle name="Input 4 2 6" xfId="4282"/>
    <cellStyle name="Input 4 2 6 2" xfId="59387"/>
    <cellStyle name="Input 4 2 7" xfId="4283"/>
    <cellStyle name="Input 4 2 7 2" xfId="59388"/>
    <cellStyle name="Input 4 2 8" xfId="4284"/>
    <cellStyle name="Input 4 2 8 2" xfId="59389"/>
    <cellStyle name="Input 4 2 9" xfId="4285"/>
    <cellStyle name="Input 4 3" xfId="4286"/>
    <cellStyle name="Input 4 3 2" xfId="59390"/>
    <cellStyle name="Input 4 4" xfId="4287"/>
    <cellStyle name="Input 4 4 2" xfId="59391"/>
    <cellStyle name="Input 4 5" xfId="4288"/>
    <cellStyle name="Input 4 5 2" xfId="59392"/>
    <cellStyle name="Input 4 6" xfId="4289"/>
    <cellStyle name="Input 4 6 2" xfId="59393"/>
    <cellStyle name="Input 4 7" xfId="4290"/>
    <cellStyle name="Input 4 7 2" xfId="59394"/>
    <cellStyle name="Input 4 8" xfId="4291"/>
    <cellStyle name="Input 4 8 2" xfId="59395"/>
    <cellStyle name="Input 4 9" xfId="4292"/>
    <cellStyle name="Input 4 9 2" xfId="59396"/>
    <cellStyle name="Input 5" xfId="4293"/>
    <cellStyle name="Input 5 10" xfId="4294"/>
    <cellStyle name="Input 5 11" xfId="59397"/>
    <cellStyle name="Input 5 12" xfId="59398"/>
    <cellStyle name="Input 5 2" xfId="4295"/>
    <cellStyle name="Input 5 2 2" xfId="4296"/>
    <cellStyle name="Input 5 2 2 2" xfId="59399"/>
    <cellStyle name="Input 5 2 3" xfId="4297"/>
    <cellStyle name="Input 5 2 3 2" xfId="59400"/>
    <cellStyle name="Input 5 2 4" xfId="4298"/>
    <cellStyle name="Input 5 2 4 2" xfId="59401"/>
    <cellStyle name="Input 5 2 5" xfId="4299"/>
    <cellStyle name="Input 5 2 5 2" xfId="59402"/>
    <cellStyle name="Input 5 2 6" xfId="4300"/>
    <cellStyle name="Input 5 2 6 2" xfId="59403"/>
    <cellStyle name="Input 5 2 7" xfId="4301"/>
    <cellStyle name="Input 5 2 7 2" xfId="59404"/>
    <cellStyle name="Input 5 2 8" xfId="4302"/>
    <cellStyle name="Input 5 2 8 2" xfId="59405"/>
    <cellStyle name="Input 5 2 9" xfId="4303"/>
    <cellStyle name="Input 5 3" xfId="4304"/>
    <cellStyle name="Input 5 3 2" xfId="59406"/>
    <cellStyle name="Input 5 4" xfId="4305"/>
    <cellStyle name="Input 5 4 2" xfId="59407"/>
    <cellStyle name="Input 5 5" xfId="4306"/>
    <cellStyle name="Input 5 5 2" xfId="59408"/>
    <cellStyle name="Input 5 6" xfId="4307"/>
    <cellStyle name="Input 5 6 2" xfId="59409"/>
    <cellStyle name="Input 5 7" xfId="4308"/>
    <cellStyle name="Input 5 7 2" xfId="59410"/>
    <cellStyle name="Input 5 8" xfId="4309"/>
    <cellStyle name="Input 5 8 2" xfId="59411"/>
    <cellStyle name="Input 5 9" xfId="4310"/>
    <cellStyle name="Input 5 9 2" xfId="59412"/>
    <cellStyle name="Input 6" xfId="4311"/>
    <cellStyle name="Input 6 10" xfId="4312"/>
    <cellStyle name="Input 6 11" xfId="59413"/>
    <cellStyle name="Input 6 12" xfId="59414"/>
    <cellStyle name="Input 6 2" xfId="4313"/>
    <cellStyle name="Input 6 2 2" xfId="4314"/>
    <cellStyle name="Input 6 2 2 2" xfId="59415"/>
    <cellStyle name="Input 6 2 3" xfId="4315"/>
    <cellStyle name="Input 6 2 3 2" xfId="59416"/>
    <cellStyle name="Input 6 2 4" xfId="4316"/>
    <cellStyle name="Input 6 2 4 2" xfId="59417"/>
    <cellStyle name="Input 6 2 5" xfId="4317"/>
    <cellStyle name="Input 6 2 5 2" xfId="59418"/>
    <cellStyle name="Input 6 2 6" xfId="4318"/>
    <cellStyle name="Input 6 2 6 2" xfId="59419"/>
    <cellStyle name="Input 6 2 7" xfId="4319"/>
    <cellStyle name="Input 6 2 7 2" xfId="59420"/>
    <cellStyle name="Input 6 2 8" xfId="4320"/>
    <cellStyle name="Input 6 2 8 2" xfId="59421"/>
    <cellStyle name="Input 6 2 9" xfId="4321"/>
    <cellStyle name="Input 6 3" xfId="4322"/>
    <cellStyle name="Input 6 3 2" xfId="59422"/>
    <cellStyle name="Input 6 4" xfId="4323"/>
    <cellStyle name="Input 6 4 2" xfId="59423"/>
    <cellStyle name="Input 6 5" xfId="4324"/>
    <cellStyle name="Input 6 5 2" xfId="59424"/>
    <cellStyle name="Input 6 6" xfId="4325"/>
    <cellStyle name="Input 6 6 2" xfId="59425"/>
    <cellStyle name="Input 6 7" xfId="4326"/>
    <cellStyle name="Input 6 7 2" xfId="59426"/>
    <cellStyle name="Input 6 8" xfId="4327"/>
    <cellStyle name="Input 6 8 2" xfId="59427"/>
    <cellStyle name="Input 6 9" xfId="4328"/>
    <cellStyle name="Input 6 9 2" xfId="59428"/>
    <cellStyle name="Input 7" xfId="4329"/>
    <cellStyle name="Input 7 10" xfId="4330"/>
    <cellStyle name="Input 7 11" xfId="59429"/>
    <cellStyle name="Input 7 12" xfId="59430"/>
    <cellStyle name="Input 7 2" xfId="4331"/>
    <cellStyle name="Input 7 2 2" xfId="4332"/>
    <cellStyle name="Input 7 2 2 2" xfId="59431"/>
    <cellStyle name="Input 7 2 3" xfId="4333"/>
    <cellStyle name="Input 7 2 3 2" xfId="59432"/>
    <cellStyle name="Input 7 2 4" xfId="4334"/>
    <cellStyle name="Input 7 2 4 2" xfId="59433"/>
    <cellStyle name="Input 7 2 5" xfId="4335"/>
    <cellStyle name="Input 7 2 5 2" xfId="59434"/>
    <cellStyle name="Input 7 2 6" xfId="4336"/>
    <cellStyle name="Input 7 2 6 2" xfId="59435"/>
    <cellStyle name="Input 7 2 7" xfId="4337"/>
    <cellStyle name="Input 7 2 7 2" xfId="59436"/>
    <cellStyle name="Input 7 2 8" xfId="4338"/>
    <cellStyle name="Input 7 2 8 2" xfId="59437"/>
    <cellStyle name="Input 7 2 9" xfId="4339"/>
    <cellStyle name="Input 7 3" xfId="4340"/>
    <cellStyle name="Input 7 3 2" xfId="59438"/>
    <cellStyle name="Input 7 4" xfId="4341"/>
    <cellStyle name="Input 7 4 2" xfId="59439"/>
    <cellStyle name="Input 7 5" xfId="4342"/>
    <cellStyle name="Input 7 5 2" xfId="59440"/>
    <cellStyle name="Input 7 6" xfId="4343"/>
    <cellStyle name="Input 7 6 2" xfId="59441"/>
    <cellStyle name="Input 7 7" xfId="4344"/>
    <cellStyle name="Input 7 7 2" xfId="59442"/>
    <cellStyle name="Input 7 8" xfId="4345"/>
    <cellStyle name="Input 7 8 2" xfId="59443"/>
    <cellStyle name="Input 7 9" xfId="4346"/>
    <cellStyle name="Input 7 9 2" xfId="59444"/>
    <cellStyle name="Input 8" xfId="4347"/>
    <cellStyle name="Input 8 10" xfId="4348"/>
    <cellStyle name="Input 8 11" xfId="59445"/>
    <cellStyle name="Input 8 12" xfId="59446"/>
    <cellStyle name="Input 8 2" xfId="4349"/>
    <cellStyle name="Input 8 2 2" xfId="4350"/>
    <cellStyle name="Input 8 2 2 2" xfId="59447"/>
    <cellStyle name="Input 8 2 3" xfId="4351"/>
    <cellStyle name="Input 8 2 3 2" xfId="59448"/>
    <cellStyle name="Input 8 2 4" xfId="4352"/>
    <cellStyle name="Input 8 2 4 2" xfId="59449"/>
    <cellStyle name="Input 8 2 5" xfId="4353"/>
    <cellStyle name="Input 8 2 5 2" xfId="59450"/>
    <cellStyle name="Input 8 2 6" xfId="4354"/>
    <cellStyle name="Input 8 2 6 2" xfId="59451"/>
    <cellStyle name="Input 8 2 7" xfId="4355"/>
    <cellStyle name="Input 8 2 7 2" xfId="59452"/>
    <cellStyle name="Input 8 2 8" xfId="4356"/>
    <cellStyle name="Input 8 2 8 2" xfId="59453"/>
    <cellStyle name="Input 8 2 9" xfId="4357"/>
    <cellStyle name="Input 8 3" xfId="4358"/>
    <cellStyle name="Input 8 3 2" xfId="59454"/>
    <cellStyle name="Input 8 4" xfId="4359"/>
    <cellStyle name="Input 8 4 2" xfId="59455"/>
    <cellStyle name="Input 8 5" xfId="4360"/>
    <cellStyle name="Input 8 5 2" xfId="59456"/>
    <cellStyle name="Input 8 6" xfId="4361"/>
    <cellStyle name="Input 8 6 2" xfId="59457"/>
    <cellStyle name="Input 8 7" xfId="4362"/>
    <cellStyle name="Input 8 7 2" xfId="59458"/>
    <cellStyle name="Input 8 8" xfId="4363"/>
    <cellStyle name="Input 8 8 2" xfId="59459"/>
    <cellStyle name="Input 8 9" xfId="4364"/>
    <cellStyle name="Input 8 9 2" xfId="59460"/>
    <cellStyle name="Input 9" xfId="4365"/>
    <cellStyle name="Input 9 10" xfId="4366"/>
    <cellStyle name="Input 9 11" xfId="59461"/>
    <cellStyle name="Input 9 12" xfId="59462"/>
    <cellStyle name="Input 9 2" xfId="4367"/>
    <cellStyle name="Input 9 2 2" xfId="4368"/>
    <cellStyle name="Input 9 2 2 2" xfId="59463"/>
    <cellStyle name="Input 9 2 3" xfId="4369"/>
    <cellStyle name="Input 9 2 3 2" xfId="59464"/>
    <cellStyle name="Input 9 2 4" xfId="4370"/>
    <cellStyle name="Input 9 2 4 2" xfId="59465"/>
    <cellStyle name="Input 9 2 5" xfId="4371"/>
    <cellStyle name="Input 9 2 5 2" xfId="59466"/>
    <cellStyle name="Input 9 2 6" xfId="4372"/>
    <cellStyle name="Input 9 2 6 2" xfId="59467"/>
    <cellStyle name="Input 9 2 7" xfId="4373"/>
    <cellStyle name="Input 9 2 7 2" xfId="59468"/>
    <cellStyle name="Input 9 2 8" xfId="4374"/>
    <cellStyle name="Input 9 2 8 2" xfId="59469"/>
    <cellStyle name="Input 9 2 9" xfId="4375"/>
    <cellStyle name="Input 9 3" xfId="4376"/>
    <cellStyle name="Input 9 3 2" xfId="59470"/>
    <cellStyle name="Input 9 4" xfId="4377"/>
    <cellStyle name="Input 9 4 2" xfId="59471"/>
    <cellStyle name="Input 9 5" xfId="4378"/>
    <cellStyle name="Input 9 5 2" xfId="59472"/>
    <cellStyle name="Input 9 6" xfId="4379"/>
    <cellStyle name="Input 9 6 2" xfId="59473"/>
    <cellStyle name="Input 9 7" xfId="4380"/>
    <cellStyle name="Input 9 7 2" xfId="59474"/>
    <cellStyle name="Input 9 8" xfId="4381"/>
    <cellStyle name="Input 9 8 2" xfId="59475"/>
    <cellStyle name="Input 9 9" xfId="4382"/>
    <cellStyle name="Input 9 9 2" xfId="59476"/>
    <cellStyle name="Labels - Style3" xfId="59477"/>
    <cellStyle name="LineItemPrompt" xfId="4383"/>
    <cellStyle name="LineItemPrompt 2" xfId="4384"/>
    <cellStyle name="LineItemPrompt 2 2" xfId="9814"/>
    <cellStyle name="LineItemPrompt 2 3" xfId="9815"/>
    <cellStyle name="LineItemPrompt 3" xfId="4385"/>
    <cellStyle name="LineItemPrompt 4" xfId="9213"/>
    <cellStyle name="LineItemValue" xfId="4386"/>
    <cellStyle name="LineItemValue 2" xfId="4387"/>
    <cellStyle name="LineItemValue 2 2" xfId="9816"/>
    <cellStyle name="LineItemValue 2 3" xfId="9817"/>
    <cellStyle name="LineItemValue 3" xfId="4388"/>
    <cellStyle name="LineItemValue 4" xfId="4389"/>
    <cellStyle name="LineItemValue 5" xfId="9214"/>
    <cellStyle name="Linked Cell 10" xfId="9818"/>
    <cellStyle name="Linked Cell 11" xfId="9819"/>
    <cellStyle name="Linked Cell 12" xfId="9820"/>
    <cellStyle name="Linked Cell 13" xfId="9821"/>
    <cellStyle name="Linked Cell 14" xfId="9822"/>
    <cellStyle name="Linked Cell 15" xfId="9823"/>
    <cellStyle name="Linked Cell 16" xfId="9824"/>
    <cellStyle name="Linked Cell 17" xfId="9825"/>
    <cellStyle name="Linked Cell 17 2" xfId="59478"/>
    <cellStyle name="Linked Cell 2" xfId="4390"/>
    <cellStyle name="Linked Cell 2 2" xfId="4391"/>
    <cellStyle name="Linked Cell 2 2 2" xfId="52910"/>
    <cellStyle name="Linked Cell 2 3" xfId="52911"/>
    <cellStyle name="Linked Cell 2 4" xfId="52912"/>
    <cellStyle name="Linked Cell 2 5" xfId="52913"/>
    <cellStyle name="Linked Cell 3" xfId="4392"/>
    <cellStyle name="Linked Cell 3 2" xfId="9215"/>
    <cellStyle name="Linked Cell 4" xfId="9216"/>
    <cellStyle name="Linked Cell 4 2" xfId="52914"/>
    <cellStyle name="Linked Cell 5" xfId="9826"/>
    <cellStyle name="Linked Cell 5 2" xfId="52915"/>
    <cellStyle name="Linked Cell 6" xfId="9827"/>
    <cellStyle name="Linked Cell 6 2" xfId="52916"/>
    <cellStyle name="Linked Cell 7" xfId="9828"/>
    <cellStyle name="Linked Cell 7 2" xfId="52917"/>
    <cellStyle name="Linked Cell 8" xfId="9829"/>
    <cellStyle name="Linked Cell 9" xfId="9830"/>
    <cellStyle name="Milliers [0]_EDYAN" xfId="52918"/>
    <cellStyle name="Milliers_EDYAN" xfId="52919"/>
    <cellStyle name="Monétaire [0]_EDYAN" xfId="52920"/>
    <cellStyle name="Monétaire_EDYAN" xfId="52921"/>
    <cellStyle name="MTH" xfId="52922"/>
    <cellStyle name="Neutral 10" xfId="9831"/>
    <cellStyle name="Neutral 11" xfId="9832"/>
    <cellStyle name="Neutral 12" xfId="9833"/>
    <cellStyle name="Neutral 13" xfId="9834"/>
    <cellStyle name="Neutral 14" xfId="9835"/>
    <cellStyle name="Neutral 15" xfId="9836"/>
    <cellStyle name="Neutral 16" xfId="9837"/>
    <cellStyle name="Neutral 17" xfId="9838"/>
    <cellStyle name="Neutral 17 2" xfId="59479"/>
    <cellStyle name="Neutral 2" xfId="4393"/>
    <cellStyle name="Neutral 2 2" xfId="4394"/>
    <cellStyle name="Neutral 2 2 2" xfId="52923"/>
    <cellStyle name="Neutral 2 3" xfId="52924"/>
    <cellStyle name="Neutral 2 4" xfId="52925"/>
    <cellStyle name="Neutral 2 5" xfId="52926"/>
    <cellStyle name="Neutral 3" xfId="4395"/>
    <cellStyle name="Neutral 3 2" xfId="9217"/>
    <cellStyle name="Neutral 4" xfId="9218"/>
    <cellStyle name="Neutral 4 2" xfId="52927"/>
    <cellStyle name="Neutral 5" xfId="9839"/>
    <cellStyle name="Neutral 5 2" xfId="52928"/>
    <cellStyle name="Neutral 6" xfId="9840"/>
    <cellStyle name="Neutral 6 2" xfId="52929"/>
    <cellStyle name="Neutral 7" xfId="9841"/>
    <cellStyle name="Neutral 7 2" xfId="52930"/>
    <cellStyle name="Neutral 8" xfId="9842"/>
    <cellStyle name="Neutral 9" xfId="9843"/>
    <cellStyle name="Normal" xfId="0" builtinId="0"/>
    <cellStyle name="Normal - Style1" xfId="52931"/>
    <cellStyle name="Normal - Style1 2" xfId="59480"/>
    <cellStyle name="Normal - Style2" xfId="59481"/>
    <cellStyle name="Normal - Style3" xfId="59482"/>
    <cellStyle name="Normal - Style4" xfId="59483"/>
    <cellStyle name="Normal - Style5" xfId="59484"/>
    <cellStyle name="Normal - Style6" xfId="59485"/>
    <cellStyle name="Normal - Style7" xfId="59486"/>
    <cellStyle name="Normal - Style8" xfId="59487"/>
    <cellStyle name="Normal 10" xfId="4396"/>
    <cellStyle name="Normal 10 2" xfId="4397"/>
    <cellStyle name="Normal 10 2 2" xfId="59488"/>
    <cellStyle name="Normal 10 3" xfId="4398"/>
    <cellStyle name="Normal 10 3 2" xfId="52932"/>
    <cellStyle name="Normal 10 3 3" xfId="52933"/>
    <cellStyle name="Normal 10 4" xfId="9219"/>
    <cellStyle name="Normal 11" xfId="4399"/>
    <cellStyle name="Normal 11 10" xfId="10006"/>
    <cellStyle name="Normal 11 10 2" xfId="52934"/>
    <cellStyle name="Normal 11 10 2 2" xfId="52935"/>
    <cellStyle name="Normal 11 10 2 3" xfId="52936"/>
    <cellStyle name="Normal 11 10 3" xfId="52937"/>
    <cellStyle name="Normal 11 10 3 2" xfId="52938"/>
    <cellStyle name="Normal 11 10 4" xfId="52939"/>
    <cellStyle name="Normal 11 10 5" xfId="52940"/>
    <cellStyle name="Normal 11 11" xfId="52941"/>
    <cellStyle name="Normal 11 11 2" xfId="52942"/>
    <cellStyle name="Normal 11 11 3" xfId="52943"/>
    <cellStyle name="Normal 11 12" xfId="52944"/>
    <cellStyle name="Normal 11 12 2" xfId="52945"/>
    <cellStyle name="Normal 11 12 3" xfId="52946"/>
    <cellStyle name="Normal 11 13" xfId="52947"/>
    <cellStyle name="Normal 11 13 2" xfId="52948"/>
    <cellStyle name="Normal 11 14" xfId="52949"/>
    <cellStyle name="Normal 11 15" xfId="52950"/>
    <cellStyle name="Normal 11 16" xfId="52951"/>
    <cellStyle name="Normal 11 2" xfId="4400"/>
    <cellStyle name="Normal 11 2 10" xfId="52952"/>
    <cellStyle name="Normal 11 2 10 2" xfId="52953"/>
    <cellStyle name="Normal 11 2 10 3" xfId="52954"/>
    <cellStyle name="Normal 11 2 11" xfId="52955"/>
    <cellStyle name="Normal 11 2 11 2" xfId="52956"/>
    <cellStyle name="Normal 11 2 11 3" xfId="52957"/>
    <cellStyle name="Normal 11 2 12" xfId="52958"/>
    <cellStyle name="Normal 11 2 12 2" xfId="52959"/>
    <cellStyle name="Normal 11 2 13" xfId="52960"/>
    <cellStyle name="Normal 11 2 14" xfId="52961"/>
    <cellStyle name="Normal 11 2 15" xfId="52962"/>
    <cellStyle name="Normal 11 2 2" xfId="52963"/>
    <cellStyle name="Normal 11 2 2 10" xfId="52964"/>
    <cellStyle name="Normal 11 2 2 10 2" xfId="52965"/>
    <cellStyle name="Normal 11 2 2 10 3" xfId="52966"/>
    <cellStyle name="Normal 11 2 2 11" xfId="52967"/>
    <cellStyle name="Normal 11 2 2 11 2" xfId="52968"/>
    <cellStyle name="Normal 11 2 2 12" xfId="52969"/>
    <cellStyle name="Normal 11 2 2 13" xfId="52970"/>
    <cellStyle name="Normal 11 2 2 2" xfId="52971"/>
    <cellStyle name="Normal 11 2 2 2 10" xfId="52972"/>
    <cellStyle name="Normal 11 2 2 2 10 2" xfId="52973"/>
    <cellStyle name="Normal 11 2 2 2 11" xfId="52974"/>
    <cellStyle name="Normal 11 2 2 2 12" xfId="52975"/>
    <cellStyle name="Normal 11 2 2 2 2" xfId="52976"/>
    <cellStyle name="Normal 11 2 2 2 2 10" xfId="52977"/>
    <cellStyle name="Normal 11 2 2 2 2 2" xfId="52978"/>
    <cellStyle name="Normal 11 2 2 2 2 2 2" xfId="52979"/>
    <cellStyle name="Normal 11 2 2 2 2 2 2 2" xfId="52980"/>
    <cellStyle name="Normal 11 2 2 2 2 2 2 2 2" xfId="52981"/>
    <cellStyle name="Normal 11 2 2 2 2 2 2 2 3" xfId="52982"/>
    <cellStyle name="Normal 11 2 2 2 2 2 2 3" xfId="52983"/>
    <cellStyle name="Normal 11 2 2 2 2 2 2 3 2" xfId="52984"/>
    <cellStyle name="Normal 11 2 2 2 2 2 2 3 3" xfId="52985"/>
    <cellStyle name="Normal 11 2 2 2 2 2 2 4" xfId="52986"/>
    <cellStyle name="Normal 11 2 2 2 2 2 2 4 2" xfId="52987"/>
    <cellStyle name="Normal 11 2 2 2 2 2 2 5" xfId="52988"/>
    <cellStyle name="Normal 11 2 2 2 2 2 2 6" xfId="52989"/>
    <cellStyle name="Normal 11 2 2 2 2 2 3" xfId="52990"/>
    <cellStyle name="Normal 11 2 2 2 2 2 3 2" xfId="52991"/>
    <cellStyle name="Normal 11 2 2 2 2 2 3 2 2" xfId="52992"/>
    <cellStyle name="Normal 11 2 2 2 2 2 3 2 3" xfId="52993"/>
    <cellStyle name="Normal 11 2 2 2 2 2 3 3" xfId="52994"/>
    <cellStyle name="Normal 11 2 2 2 2 2 3 3 2" xfId="52995"/>
    <cellStyle name="Normal 11 2 2 2 2 2 3 3 3" xfId="52996"/>
    <cellStyle name="Normal 11 2 2 2 2 2 3 4" xfId="52997"/>
    <cellStyle name="Normal 11 2 2 2 2 2 3 4 2" xfId="52998"/>
    <cellStyle name="Normal 11 2 2 2 2 2 3 5" xfId="52999"/>
    <cellStyle name="Normal 11 2 2 2 2 2 3 6" xfId="53000"/>
    <cellStyle name="Normal 11 2 2 2 2 2 4" xfId="53001"/>
    <cellStyle name="Normal 11 2 2 2 2 2 4 2" xfId="53002"/>
    <cellStyle name="Normal 11 2 2 2 2 2 4 2 2" xfId="53003"/>
    <cellStyle name="Normal 11 2 2 2 2 2 4 2 3" xfId="53004"/>
    <cellStyle name="Normal 11 2 2 2 2 2 4 3" xfId="53005"/>
    <cellStyle name="Normal 11 2 2 2 2 2 4 3 2" xfId="53006"/>
    <cellStyle name="Normal 11 2 2 2 2 2 4 4" xfId="53007"/>
    <cellStyle name="Normal 11 2 2 2 2 2 4 5" xfId="53008"/>
    <cellStyle name="Normal 11 2 2 2 2 2 5" xfId="53009"/>
    <cellStyle name="Normal 11 2 2 2 2 2 5 2" xfId="53010"/>
    <cellStyle name="Normal 11 2 2 2 2 2 5 3" xfId="53011"/>
    <cellStyle name="Normal 11 2 2 2 2 2 6" xfId="53012"/>
    <cellStyle name="Normal 11 2 2 2 2 2 6 2" xfId="53013"/>
    <cellStyle name="Normal 11 2 2 2 2 2 6 3" xfId="53014"/>
    <cellStyle name="Normal 11 2 2 2 2 2 7" xfId="53015"/>
    <cellStyle name="Normal 11 2 2 2 2 2 7 2" xfId="53016"/>
    <cellStyle name="Normal 11 2 2 2 2 2 8" xfId="53017"/>
    <cellStyle name="Normal 11 2 2 2 2 2 9" xfId="53018"/>
    <cellStyle name="Normal 11 2 2 2 2 3" xfId="53019"/>
    <cellStyle name="Normal 11 2 2 2 2 3 2" xfId="53020"/>
    <cellStyle name="Normal 11 2 2 2 2 3 2 2" xfId="53021"/>
    <cellStyle name="Normal 11 2 2 2 2 3 2 3" xfId="53022"/>
    <cellStyle name="Normal 11 2 2 2 2 3 3" xfId="53023"/>
    <cellStyle name="Normal 11 2 2 2 2 3 3 2" xfId="53024"/>
    <cellStyle name="Normal 11 2 2 2 2 3 3 3" xfId="53025"/>
    <cellStyle name="Normal 11 2 2 2 2 3 4" xfId="53026"/>
    <cellStyle name="Normal 11 2 2 2 2 3 4 2" xfId="53027"/>
    <cellStyle name="Normal 11 2 2 2 2 3 5" xfId="53028"/>
    <cellStyle name="Normal 11 2 2 2 2 3 6" xfId="53029"/>
    <cellStyle name="Normal 11 2 2 2 2 4" xfId="53030"/>
    <cellStyle name="Normal 11 2 2 2 2 4 2" xfId="53031"/>
    <cellStyle name="Normal 11 2 2 2 2 4 2 2" xfId="53032"/>
    <cellStyle name="Normal 11 2 2 2 2 4 2 3" xfId="53033"/>
    <cellStyle name="Normal 11 2 2 2 2 4 3" xfId="53034"/>
    <cellStyle name="Normal 11 2 2 2 2 4 3 2" xfId="53035"/>
    <cellStyle name="Normal 11 2 2 2 2 4 3 3" xfId="53036"/>
    <cellStyle name="Normal 11 2 2 2 2 4 4" xfId="53037"/>
    <cellStyle name="Normal 11 2 2 2 2 4 4 2" xfId="53038"/>
    <cellStyle name="Normal 11 2 2 2 2 4 5" xfId="53039"/>
    <cellStyle name="Normal 11 2 2 2 2 4 6" xfId="53040"/>
    <cellStyle name="Normal 11 2 2 2 2 5" xfId="53041"/>
    <cellStyle name="Normal 11 2 2 2 2 5 2" xfId="53042"/>
    <cellStyle name="Normal 11 2 2 2 2 5 2 2" xfId="53043"/>
    <cellStyle name="Normal 11 2 2 2 2 5 2 3" xfId="53044"/>
    <cellStyle name="Normal 11 2 2 2 2 5 3" xfId="53045"/>
    <cellStyle name="Normal 11 2 2 2 2 5 3 2" xfId="53046"/>
    <cellStyle name="Normal 11 2 2 2 2 5 4" xfId="53047"/>
    <cellStyle name="Normal 11 2 2 2 2 5 5" xfId="53048"/>
    <cellStyle name="Normal 11 2 2 2 2 6" xfId="53049"/>
    <cellStyle name="Normal 11 2 2 2 2 6 2" xfId="53050"/>
    <cellStyle name="Normal 11 2 2 2 2 6 3" xfId="53051"/>
    <cellStyle name="Normal 11 2 2 2 2 7" xfId="53052"/>
    <cellStyle name="Normal 11 2 2 2 2 7 2" xfId="53053"/>
    <cellStyle name="Normal 11 2 2 2 2 7 3" xfId="53054"/>
    <cellStyle name="Normal 11 2 2 2 2 8" xfId="53055"/>
    <cellStyle name="Normal 11 2 2 2 2 8 2" xfId="53056"/>
    <cellStyle name="Normal 11 2 2 2 2 9" xfId="53057"/>
    <cellStyle name="Normal 11 2 2 2 3" xfId="53058"/>
    <cellStyle name="Normal 11 2 2 2 3 2" xfId="53059"/>
    <cellStyle name="Normal 11 2 2 2 3 2 2" xfId="53060"/>
    <cellStyle name="Normal 11 2 2 2 3 2 2 2" xfId="53061"/>
    <cellStyle name="Normal 11 2 2 2 3 2 2 3" xfId="53062"/>
    <cellStyle name="Normal 11 2 2 2 3 2 3" xfId="53063"/>
    <cellStyle name="Normal 11 2 2 2 3 2 3 2" xfId="53064"/>
    <cellStyle name="Normal 11 2 2 2 3 2 3 3" xfId="53065"/>
    <cellStyle name="Normal 11 2 2 2 3 2 4" xfId="53066"/>
    <cellStyle name="Normal 11 2 2 2 3 2 4 2" xfId="53067"/>
    <cellStyle name="Normal 11 2 2 2 3 2 5" xfId="53068"/>
    <cellStyle name="Normal 11 2 2 2 3 2 6" xfId="53069"/>
    <cellStyle name="Normal 11 2 2 2 3 3" xfId="53070"/>
    <cellStyle name="Normal 11 2 2 2 3 3 2" xfId="53071"/>
    <cellStyle name="Normal 11 2 2 2 3 3 2 2" xfId="53072"/>
    <cellStyle name="Normal 11 2 2 2 3 3 2 3" xfId="53073"/>
    <cellStyle name="Normal 11 2 2 2 3 3 3" xfId="53074"/>
    <cellStyle name="Normal 11 2 2 2 3 3 3 2" xfId="53075"/>
    <cellStyle name="Normal 11 2 2 2 3 3 3 3" xfId="53076"/>
    <cellStyle name="Normal 11 2 2 2 3 3 4" xfId="53077"/>
    <cellStyle name="Normal 11 2 2 2 3 3 4 2" xfId="53078"/>
    <cellStyle name="Normal 11 2 2 2 3 3 5" xfId="53079"/>
    <cellStyle name="Normal 11 2 2 2 3 3 6" xfId="53080"/>
    <cellStyle name="Normal 11 2 2 2 3 4" xfId="53081"/>
    <cellStyle name="Normal 11 2 2 2 3 4 2" xfId="53082"/>
    <cellStyle name="Normal 11 2 2 2 3 4 2 2" xfId="53083"/>
    <cellStyle name="Normal 11 2 2 2 3 4 2 3" xfId="53084"/>
    <cellStyle name="Normal 11 2 2 2 3 4 3" xfId="53085"/>
    <cellStyle name="Normal 11 2 2 2 3 4 3 2" xfId="53086"/>
    <cellStyle name="Normal 11 2 2 2 3 4 4" xfId="53087"/>
    <cellStyle name="Normal 11 2 2 2 3 4 5" xfId="53088"/>
    <cellStyle name="Normal 11 2 2 2 3 5" xfId="53089"/>
    <cellStyle name="Normal 11 2 2 2 3 5 2" xfId="53090"/>
    <cellStyle name="Normal 11 2 2 2 3 5 3" xfId="53091"/>
    <cellStyle name="Normal 11 2 2 2 3 6" xfId="53092"/>
    <cellStyle name="Normal 11 2 2 2 3 6 2" xfId="53093"/>
    <cellStyle name="Normal 11 2 2 2 3 6 3" xfId="53094"/>
    <cellStyle name="Normal 11 2 2 2 3 7" xfId="53095"/>
    <cellStyle name="Normal 11 2 2 2 3 7 2" xfId="53096"/>
    <cellStyle name="Normal 11 2 2 2 3 8" xfId="53097"/>
    <cellStyle name="Normal 11 2 2 2 3 9" xfId="53098"/>
    <cellStyle name="Normal 11 2 2 2 4" xfId="53099"/>
    <cellStyle name="Normal 11 2 2 2 4 2" xfId="53100"/>
    <cellStyle name="Normal 11 2 2 2 4 2 2" xfId="53101"/>
    <cellStyle name="Normal 11 2 2 2 4 2 2 2" xfId="53102"/>
    <cellStyle name="Normal 11 2 2 2 4 2 2 3" xfId="53103"/>
    <cellStyle name="Normal 11 2 2 2 4 2 3" xfId="53104"/>
    <cellStyle name="Normal 11 2 2 2 4 2 3 2" xfId="53105"/>
    <cellStyle name="Normal 11 2 2 2 4 2 3 3" xfId="53106"/>
    <cellStyle name="Normal 11 2 2 2 4 2 4" xfId="53107"/>
    <cellStyle name="Normal 11 2 2 2 4 2 4 2" xfId="53108"/>
    <cellStyle name="Normal 11 2 2 2 4 2 5" xfId="53109"/>
    <cellStyle name="Normal 11 2 2 2 4 2 6" xfId="53110"/>
    <cellStyle name="Normal 11 2 2 2 4 3" xfId="53111"/>
    <cellStyle name="Normal 11 2 2 2 4 3 2" xfId="53112"/>
    <cellStyle name="Normal 11 2 2 2 4 3 2 2" xfId="53113"/>
    <cellStyle name="Normal 11 2 2 2 4 3 2 3" xfId="53114"/>
    <cellStyle name="Normal 11 2 2 2 4 3 3" xfId="53115"/>
    <cellStyle name="Normal 11 2 2 2 4 3 3 2" xfId="53116"/>
    <cellStyle name="Normal 11 2 2 2 4 3 3 3" xfId="53117"/>
    <cellStyle name="Normal 11 2 2 2 4 3 4" xfId="53118"/>
    <cellStyle name="Normal 11 2 2 2 4 3 4 2" xfId="53119"/>
    <cellStyle name="Normal 11 2 2 2 4 3 5" xfId="53120"/>
    <cellStyle name="Normal 11 2 2 2 4 3 6" xfId="53121"/>
    <cellStyle name="Normal 11 2 2 2 4 4" xfId="53122"/>
    <cellStyle name="Normal 11 2 2 2 4 4 2" xfId="53123"/>
    <cellStyle name="Normal 11 2 2 2 4 4 2 2" xfId="53124"/>
    <cellStyle name="Normal 11 2 2 2 4 4 2 3" xfId="53125"/>
    <cellStyle name="Normal 11 2 2 2 4 4 3" xfId="53126"/>
    <cellStyle name="Normal 11 2 2 2 4 4 3 2" xfId="53127"/>
    <cellStyle name="Normal 11 2 2 2 4 4 4" xfId="53128"/>
    <cellStyle name="Normal 11 2 2 2 4 4 5" xfId="53129"/>
    <cellStyle name="Normal 11 2 2 2 4 5" xfId="53130"/>
    <cellStyle name="Normal 11 2 2 2 4 5 2" xfId="53131"/>
    <cellStyle name="Normal 11 2 2 2 4 5 3" xfId="53132"/>
    <cellStyle name="Normal 11 2 2 2 4 6" xfId="53133"/>
    <cellStyle name="Normal 11 2 2 2 4 6 2" xfId="53134"/>
    <cellStyle name="Normal 11 2 2 2 4 6 3" xfId="53135"/>
    <cellStyle name="Normal 11 2 2 2 4 7" xfId="53136"/>
    <cellStyle name="Normal 11 2 2 2 4 7 2" xfId="53137"/>
    <cellStyle name="Normal 11 2 2 2 4 8" xfId="53138"/>
    <cellStyle name="Normal 11 2 2 2 4 9" xfId="53139"/>
    <cellStyle name="Normal 11 2 2 2 5" xfId="53140"/>
    <cellStyle name="Normal 11 2 2 2 5 2" xfId="53141"/>
    <cellStyle name="Normal 11 2 2 2 5 2 2" xfId="53142"/>
    <cellStyle name="Normal 11 2 2 2 5 2 3" xfId="53143"/>
    <cellStyle name="Normal 11 2 2 2 5 3" xfId="53144"/>
    <cellStyle name="Normal 11 2 2 2 5 3 2" xfId="53145"/>
    <cellStyle name="Normal 11 2 2 2 5 3 3" xfId="53146"/>
    <cellStyle name="Normal 11 2 2 2 5 4" xfId="53147"/>
    <cellStyle name="Normal 11 2 2 2 5 4 2" xfId="53148"/>
    <cellStyle name="Normal 11 2 2 2 5 5" xfId="53149"/>
    <cellStyle name="Normal 11 2 2 2 5 6" xfId="53150"/>
    <cellStyle name="Normal 11 2 2 2 6" xfId="53151"/>
    <cellStyle name="Normal 11 2 2 2 6 2" xfId="53152"/>
    <cellStyle name="Normal 11 2 2 2 6 2 2" xfId="53153"/>
    <cellStyle name="Normal 11 2 2 2 6 2 3" xfId="53154"/>
    <cellStyle name="Normal 11 2 2 2 6 3" xfId="53155"/>
    <cellStyle name="Normal 11 2 2 2 6 3 2" xfId="53156"/>
    <cellStyle name="Normal 11 2 2 2 6 3 3" xfId="53157"/>
    <cellStyle name="Normal 11 2 2 2 6 4" xfId="53158"/>
    <cellStyle name="Normal 11 2 2 2 6 4 2" xfId="53159"/>
    <cellStyle name="Normal 11 2 2 2 6 5" xfId="53160"/>
    <cellStyle name="Normal 11 2 2 2 6 6" xfId="53161"/>
    <cellStyle name="Normal 11 2 2 2 7" xfId="53162"/>
    <cellStyle name="Normal 11 2 2 2 7 2" xfId="53163"/>
    <cellStyle name="Normal 11 2 2 2 7 2 2" xfId="53164"/>
    <cellStyle name="Normal 11 2 2 2 7 2 3" xfId="53165"/>
    <cellStyle name="Normal 11 2 2 2 7 3" xfId="53166"/>
    <cellStyle name="Normal 11 2 2 2 7 3 2" xfId="53167"/>
    <cellStyle name="Normal 11 2 2 2 7 4" xfId="53168"/>
    <cellStyle name="Normal 11 2 2 2 7 5" xfId="53169"/>
    <cellStyle name="Normal 11 2 2 2 8" xfId="53170"/>
    <cellStyle name="Normal 11 2 2 2 8 2" xfId="53171"/>
    <cellStyle name="Normal 11 2 2 2 8 3" xfId="53172"/>
    <cellStyle name="Normal 11 2 2 2 9" xfId="53173"/>
    <cellStyle name="Normal 11 2 2 2 9 2" xfId="53174"/>
    <cellStyle name="Normal 11 2 2 2 9 3" xfId="53175"/>
    <cellStyle name="Normal 11 2 2 3" xfId="53176"/>
    <cellStyle name="Normal 11 2 2 3 10" xfId="53177"/>
    <cellStyle name="Normal 11 2 2 3 2" xfId="53178"/>
    <cellStyle name="Normal 11 2 2 3 2 2" xfId="53179"/>
    <cellStyle name="Normal 11 2 2 3 2 2 2" xfId="53180"/>
    <cellStyle name="Normal 11 2 2 3 2 2 2 2" xfId="53181"/>
    <cellStyle name="Normal 11 2 2 3 2 2 2 3" xfId="53182"/>
    <cellStyle name="Normal 11 2 2 3 2 2 3" xfId="53183"/>
    <cellStyle name="Normal 11 2 2 3 2 2 3 2" xfId="53184"/>
    <cellStyle name="Normal 11 2 2 3 2 2 3 3" xfId="53185"/>
    <cellStyle name="Normal 11 2 2 3 2 2 4" xfId="53186"/>
    <cellStyle name="Normal 11 2 2 3 2 2 4 2" xfId="53187"/>
    <cellStyle name="Normal 11 2 2 3 2 2 5" xfId="53188"/>
    <cellStyle name="Normal 11 2 2 3 2 2 6" xfId="53189"/>
    <cellStyle name="Normal 11 2 2 3 2 3" xfId="53190"/>
    <cellStyle name="Normal 11 2 2 3 2 3 2" xfId="53191"/>
    <cellStyle name="Normal 11 2 2 3 2 3 2 2" xfId="53192"/>
    <cellStyle name="Normal 11 2 2 3 2 3 2 3" xfId="53193"/>
    <cellStyle name="Normal 11 2 2 3 2 3 3" xfId="53194"/>
    <cellStyle name="Normal 11 2 2 3 2 3 3 2" xfId="53195"/>
    <cellStyle name="Normal 11 2 2 3 2 3 3 3" xfId="53196"/>
    <cellStyle name="Normal 11 2 2 3 2 3 4" xfId="53197"/>
    <cellStyle name="Normal 11 2 2 3 2 3 4 2" xfId="53198"/>
    <cellStyle name="Normal 11 2 2 3 2 3 5" xfId="53199"/>
    <cellStyle name="Normal 11 2 2 3 2 3 6" xfId="53200"/>
    <cellStyle name="Normal 11 2 2 3 2 4" xfId="53201"/>
    <cellStyle name="Normal 11 2 2 3 2 4 2" xfId="53202"/>
    <cellStyle name="Normal 11 2 2 3 2 4 2 2" xfId="53203"/>
    <cellStyle name="Normal 11 2 2 3 2 4 2 3" xfId="53204"/>
    <cellStyle name="Normal 11 2 2 3 2 4 3" xfId="53205"/>
    <cellStyle name="Normal 11 2 2 3 2 4 3 2" xfId="53206"/>
    <cellStyle name="Normal 11 2 2 3 2 4 4" xfId="53207"/>
    <cellStyle name="Normal 11 2 2 3 2 4 5" xfId="53208"/>
    <cellStyle name="Normal 11 2 2 3 2 5" xfId="53209"/>
    <cellStyle name="Normal 11 2 2 3 2 5 2" xfId="53210"/>
    <cellStyle name="Normal 11 2 2 3 2 5 3" xfId="53211"/>
    <cellStyle name="Normal 11 2 2 3 2 6" xfId="53212"/>
    <cellStyle name="Normal 11 2 2 3 2 6 2" xfId="53213"/>
    <cellStyle name="Normal 11 2 2 3 2 6 3" xfId="53214"/>
    <cellStyle name="Normal 11 2 2 3 2 7" xfId="53215"/>
    <cellStyle name="Normal 11 2 2 3 2 7 2" xfId="53216"/>
    <cellStyle name="Normal 11 2 2 3 2 8" xfId="53217"/>
    <cellStyle name="Normal 11 2 2 3 2 9" xfId="53218"/>
    <cellStyle name="Normal 11 2 2 3 3" xfId="53219"/>
    <cellStyle name="Normal 11 2 2 3 3 2" xfId="53220"/>
    <cellStyle name="Normal 11 2 2 3 3 2 2" xfId="53221"/>
    <cellStyle name="Normal 11 2 2 3 3 2 3" xfId="53222"/>
    <cellStyle name="Normal 11 2 2 3 3 3" xfId="53223"/>
    <cellStyle name="Normal 11 2 2 3 3 3 2" xfId="53224"/>
    <cellStyle name="Normal 11 2 2 3 3 3 3" xfId="53225"/>
    <cellStyle name="Normal 11 2 2 3 3 4" xfId="53226"/>
    <cellStyle name="Normal 11 2 2 3 3 4 2" xfId="53227"/>
    <cellStyle name="Normal 11 2 2 3 3 5" xfId="53228"/>
    <cellStyle name="Normal 11 2 2 3 3 6" xfId="53229"/>
    <cellStyle name="Normal 11 2 2 3 4" xfId="53230"/>
    <cellStyle name="Normal 11 2 2 3 4 2" xfId="53231"/>
    <cellStyle name="Normal 11 2 2 3 4 2 2" xfId="53232"/>
    <cellStyle name="Normal 11 2 2 3 4 2 3" xfId="53233"/>
    <cellStyle name="Normal 11 2 2 3 4 3" xfId="53234"/>
    <cellStyle name="Normal 11 2 2 3 4 3 2" xfId="53235"/>
    <cellStyle name="Normal 11 2 2 3 4 3 3" xfId="53236"/>
    <cellStyle name="Normal 11 2 2 3 4 4" xfId="53237"/>
    <cellStyle name="Normal 11 2 2 3 4 4 2" xfId="53238"/>
    <cellStyle name="Normal 11 2 2 3 4 5" xfId="53239"/>
    <cellStyle name="Normal 11 2 2 3 4 6" xfId="53240"/>
    <cellStyle name="Normal 11 2 2 3 5" xfId="53241"/>
    <cellStyle name="Normal 11 2 2 3 5 2" xfId="53242"/>
    <cellStyle name="Normal 11 2 2 3 5 2 2" xfId="53243"/>
    <cellStyle name="Normal 11 2 2 3 5 2 3" xfId="53244"/>
    <cellStyle name="Normal 11 2 2 3 5 3" xfId="53245"/>
    <cellStyle name="Normal 11 2 2 3 5 3 2" xfId="53246"/>
    <cellStyle name="Normal 11 2 2 3 5 4" xfId="53247"/>
    <cellStyle name="Normal 11 2 2 3 5 5" xfId="53248"/>
    <cellStyle name="Normal 11 2 2 3 6" xfId="53249"/>
    <cellStyle name="Normal 11 2 2 3 6 2" xfId="53250"/>
    <cellStyle name="Normal 11 2 2 3 6 3" xfId="53251"/>
    <cellStyle name="Normal 11 2 2 3 7" xfId="53252"/>
    <cellStyle name="Normal 11 2 2 3 7 2" xfId="53253"/>
    <cellStyle name="Normal 11 2 2 3 7 3" xfId="53254"/>
    <cellStyle name="Normal 11 2 2 3 8" xfId="53255"/>
    <cellStyle name="Normal 11 2 2 3 8 2" xfId="53256"/>
    <cellStyle name="Normal 11 2 2 3 9" xfId="53257"/>
    <cellStyle name="Normal 11 2 2 4" xfId="53258"/>
    <cellStyle name="Normal 11 2 2 4 2" xfId="53259"/>
    <cellStyle name="Normal 11 2 2 4 2 2" xfId="53260"/>
    <cellStyle name="Normal 11 2 2 4 2 2 2" xfId="53261"/>
    <cellStyle name="Normal 11 2 2 4 2 2 3" xfId="53262"/>
    <cellStyle name="Normal 11 2 2 4 2 3" xfId="53263"/>
    <cellStyle name="Normal 11 2 2 4 2 3 2" xfId="53264"/>
    <cellStyle name="Normal 11 2 2 4 2 3 3" xfId="53265"/>
    <cellStyle name="Normal 11 2 2 4 2 4" xfId="53266"/>
    <cellStyle name="Normal 11 2 2 4 2 4 2" xfId="53267"/>
    <cellStyle name="Normal 11 2 2 4 2 5" xfId="53268"/>
    <cellStyle name="Normal 11 2 2 4 2 6" xfId="53269"/>
    <cellStyle name="Normal 11 2 2 4 3" xfId="53270"/>
    <cellStyle name="Normal 11 2 2 4 3 2" xfId="53271"/>
    <cellStyle name="Normal 11 2 2 4 3 2 2" xfId="53272"/>
    <cellStyle name="Normal 11 2 2 4 3 2 3" xfId="53273"/>
    <cellStyle name="Normal 11 2 2 4 3 3" xfId="53274"/>
    <cellStyle name="Normal 11 2 2 4 3 3 2" xfId="53275"/>
    <cellStyle name="Normal 11 2 2 4 3 3 3" xfId="53276"/>
    <cellStyle name="Normal 11 2 2 4 3 4" xfId="53277"/>
    <cellStyle name="Normal 11 2 2 4 3 4 2" xfId="53278"/>
    <cellStyle name="Normal 11 2 2 4 3 5" xfId="53279"/>
    <cellStyle name="Normal 11 2 2 4 3 6" xfId="53280"/>
    <cellStyle name="Normal 11 2 2 4 4" xfId="53281"/>
    <cellStyle name="Normal 11 2 2 4 4 2" xfId="53282"/>
    <cellStyle name="Normal 11 2 2 4 4 2 2" xfId="53283"/>
    <cellStyle name="Normal 11 2 2 4 4 2 3" xfId="53284"/>
    <cellStyle name="Normal 11 2 2 4 4 3" xfId="53285"/>
    <cellStyle name="Normal 11 2 2 4 4 3 2" xfId="53286"/>
    <cellStyle name="Normal 11 2 2 4 4 4" xfId="53287"/>
    <cellStyle name="Normal 11 2 2 4 4 5" xfId="53288"/>
    <cellStyle name="Normal 11 2 2 4 5" xfId="53289"/>
    <cellStyle name="Normal 11 2 2 4 5 2" xfId="53290"/>
    <cellStyle name="Normal 11 2 2 4 5 3" xfId="53291"/>
    <cellStyle name="Normal 11 2 2 4 6" xfId="53292"/>
    <cellStyle name="Normal 11 2 2 4 6 2" xfId="53293"/>
    <cellStyle name="Normal 11 2 2 4 6 3" xfId="53294"/>
    <cellStyle name="Normal 11 2 2 4 7" xfId="53295"/>
    <cellStyle name="Normal 11 2 2 4 7 2" xfId="53296"/>
    <cellStyle name="Normal 11 2 2 4 8" xfId="53297"/>
    <cellStyle name="Normal 11 2 2 4 9" xfId="53298"/>
    <cellStyle name="Normal 11 2 2 5" xfId="53299"/>
    <cellStyle name="Normal 11 2 2 5 2" xfId="53300"/>
    <cellStyle name="Normal 11 2 2 5 2 2" xfId="53301"/>
    <cellStyle name="Normal 11 2 2 5 2 2 2" xfId="53302"/>
    <cellStyle name="Normal 11 2 2 5 2 2 3" xfId="53303"/>
    <cellStyle name="Normal 11 2 2 5 2 3" xfId="53304"/>
    <cellStyle name="Normal 11 2 2 5 2 3 2" xfId="53305"/>
    <cellStyle name="Normal 11 2 2 5 2 3 3" xfId="53306"/>
    <cellStyle name="Normal 11 2 2 5 2 4" xfId="53307"/>
    <cellStyle name="Normal 11 2 2 5 2 4 2" xfId="53308"/>
    <cellStyle name="Normal 11 2 2 5 2 5" xfId="53309"/>
    <cellStyle name="Normal 11 2 2 5 2 6" xfId="53310"/>
    <cellStyle name="Normal 11 2 2 5 3" xfId="53311"/>
    <cellStyle name="Normal 11 2 2 5 3 2" xfId="53312"/>
    <cellStyle name="Normal 11 2 2 5 3 2 2" xfId="53313"/>
    <cellStyle name="Normal 11 2 2 5 3 2 3" xfId="53314"/>
    <cellStyle name="Normal 11 2 2 5 3 3" xfId="53315"/>
    <cellStyle name="Normal 11 2 2 5 3 3 2" xfId="53316"/>
    <cellStyle name="Normal 11 2 2 5 3 3 3" xfId="53317"/>
    <cellStyle name="Normal 11 2 2 5 3 4" xfId="53318"/>
    <cellStyle name="Normal 11 2 2 5 3 4 2" xfId="53319"/>
    <cellStyle name="Normal 11 2 2 5 3 5" xfId="53320"/>
    <cellStyle name="Normal 11 2 2 5 3 6" xfId="53321"/>
    <cellStyle name="Normal 11 2 2 5 4" xfId="53322"/>
    <cellStyle name="Normal 11 2 2 5 4 2" xfId="53323"/>
    <cellStyle name="Normal 11 2 2 5 4 2 2" xfId="53324"/>
    <cellStyle name="Normal 11 2 2 5 4 2 3" xfId="53325"/>
    <cellStyle name="Normal 11 2 2 5 4 3" xfId="53326"/>
    <cellStyle name="Normal 11 2 2 5 4 3 2" xfId="53327"/>
    <cellStyle name="Normal 11 2 2 5 4 4" xfId="53328"/>
    <cellStyle name="Normal 11 2 2 5 4 5" xfId="53329"/>
    <cellStyle name="Normal 11 2 2 5 5" xfId="53330"/>
    <cellStyle name="Normal 11 2 2 5 5 2" xfId="53331"/>
    <cellStyle name="Normal 11 2 2 5 5 3" xfId="53332"/>
    <cellStyle name="Normal 11 2 2 5 6" xfId="53333"/>
    <cellStyle name="Normal 11 2 2 5 6 2" xfId="53334"/>
    <cellStyle name="Normal 11 2 2 5 6 3" xfId="53335"/>
    <cellStyle name="Normal 11 2 2 5 7" xfId="53336"/>
    <cellStyle name="Normal 11 2 2 5 7 2" xfId="53337"/>
    <cellStyle name="Normal 11 2 2 5 8" xfId="53338"/>
    <cellStyle name="Normal 11 2 2 5 9" xfId="53339"/>
    <cellStyle name="Normal 11 2 2 6" xfId="53340"/>
    <cellStyle name="Normal 11 2 2 6 2" xfId="53341"/>
    <cellStyle name="Normal 11 2 2 6 2 2" xfId="53342"/>
    <cellStyle name="Normal 11 2 2 6 2 3" xfId="53343"/>
    <cellStyle name="Normal 11 2 2 6 3" xfId="53344"/>
    <cellStyle name="Normal 11 2 2 6 3 2" xfId="53345"/>
    <cellStyle name="Normal 11 2 2 6 3 3" xfId="53346"/>
    <cellStyle name="Normal 11 2 2 6 4" xfId="53347"/>
    <cellStyle name="Normal 11 2 2 6 4 2" xfId="53348"/>
    <cellStyle name="Normal 11 2 2 6 5" xfId="53349"/>
    <cellStyle name="Normal 11 2 2 6 6" xfId="53350"/>
    <cellStyle name="Normal 11 2 2 7" xfId="53351"/>
    <cellStyle name="Normal 11 2 2 7 2" xfId="53352"/>
    <cellStyle name="Normal 11 2 2 7 2 2" xfId="53353"/>
    <cellStyle name="Normal 11 2 2 7 2 3" xfId="53354"/>
    <cellStyle name="Normal 11 2 2 7 3" xfId="53355"/>
    <cellStyle name="Normal 11 2 2 7 3 2" xfId="53356"/>
    <cellStyle name="Normal 11 2 2 7 3 3" xfId="53357"/>
    <cellStyle name="Normal 11 2 2 7 4" xfId="53358"/>
    <cellStyle name="Normal 11 2 2 7 4 2" xfId="53359"/>
    <cellStyle name="Normal 11 2 2 7 5" xfId="53360"/>
    <cellStyle name="Normal 11 2 2 7 6" xfId="53361"/>
    <cellStyle name="Normal 11 2 2 8" xfId="53362"/>
    <cellStyle name="Normal 11 2 2 8 2" xfId="53363"/>
    <cellStyle name="Normal 11 2 2 8 2 2" xfId="53364"/>
    <cellStyle name="Normal 11 2 2 8 2 3" xfId="53365"/>
    <cellStyle name="Normal 11 2 2 8 3" xfId="53366"/>
    <cellStyle name="Normal 11 2 2 8 3 2" xfId="53367"/>
    <cellStyle name="Normal 11 2 2 8 4" xfId="53368"/>
    <cellStyle name="Normal 11 2 2 8 5" xfId="53369"/>
    <cellStyle name="Normal 11 2 2 9" xfId="53370"/>
    <cellStyle name="Normal 11 2 2 9 2" xfId="53371"/>
    <cellStyle name="Normal 11 2 2 9 3" xfId="53372"/>
    <cellStyle name="Normal 11 2 3" xfId="53373"/>
    <cellStyle name="Normal 11 2 3 10" xfId="53374"/>
    <cellStyle name="Normal 11 2 3 10 2" xfId="53375"/>
    <cellStyle name="Normal 11 2 3 11" xfId="53376"/>
    <cellStyle name="Normal 11 2 3 12" xfId="53377"/>
    <cellStyle name="Normal 11 2 3 2" xfId="53378"/>
    <cellStyle name="Normal 11 2 3 2 10" xfId="53379"/>
    <cellStyle name="Normal 11 2 3 2 2" xfId="53380"/>
    <cellStyle name="Normal 11 2 3 2 2 2" xfId="53381"/>
    <cellStyle name="Normal 11 2 3 2 2 2 2" xfId="53382"/>
    <cellStyle name="Normal 11 2 3 2 2 2 2 2" xfId="53383"/>
    <cellStyle name="Normal 11 2 3 2 2 2 2 3" xfId="53384"/>
    <cellStyle name="Normal 11 2 3 2 2 2 3" xfId="53385"/>
    <cellStyle name="Normal 11 2 3 2 2 2 3 2" xfId="53386"/>
    <cellStyle name="Normal 11 2 3 2 2 2 3 3" xfId="53387"/>
    <cellStyle name="Normal 11 2 3 2 2 2 4" xfId="53388"/>
    <cellStyle name="Normal 11 2 3 2 2 2 4 2" xfId="53389"/>
    <cellStyle name="Normal 11 2 3 2 2 2 5" xfId="53390"/>
    <cellStyle name="Normal 11 2 3 2 2 2 6" xfId="53391"/>
    <cellStyle name="Normal 11 2 3 2 2 3" xfId="53392"/>
    <cellStyle name="Normal 11 2 3 2 2 3 2" xfId="53393"/>
    <cellStyle name="Normal 11 2 3 2 2 3 2 2" xfId="53394"/>
    <cellStyle name="Normal 11 2 3 2 2 3 2 3" xfId="53395"/>
    <cellStyle name="Normal 11 2 3 2 2 3 3" xfId="53396"/>
    <cellStyle name="Normal 11 2 3 2 2 3 3 2" xfId="53397"/>
    <cellStyle name="Normal 11 2 3 2 2 3 3 3" xfId="53398"/>
    <cellStyle name="Normal 11 2 3 2 2 3 4" xfId="53399"/>
    <cellStyle name="Normal 11 2 3 2 2 3 4 2" xfId="53400"/>
    <cellStyle name="Normal 11 2 3 2 2 3 5" xfId="53401"/>
    <cellStyle name="Normal 11 2 3 2 2 3 6" xfId="53402"/>
    <cellStyle name="Normal 11 2 3 2 2 4" xfId="53403"/>
    <cellStyle name="Normal 11 2 3 2 2 4 2" xfId="53404"/>
    <cellStyle name="Normal 11 2 3 2 2 4 2 2" xfId="53405"/>
    <cellStyle name="Normal 11 2 3 2 2 4 2 3" xfId="53406"/>
    <cellStyle name="Normal 11 2 3 2 2 4 3" xfId="53407"/>
    <cellStyle name="Normal 11 2 3 2 2 4 3 2" xfId="53408"/>
    <cellStyle name="Normal 11 2 3 2 2 4 4" xfId="53409"/>
    <cellStyle name="Normal 11 2 3 2 2 4 5" xfId="53410"/>
    <cellStyle name="Normal 11 2 3 2 2 5" xfId="53411"/>
    <cellStyle name="Normal 11 2 3 2 2 5 2" xfId="53412"/>
    <cellStyle name="Normal 11 2 3 2 2 5 3" xfId="53413"/>
    <cellStyle name="Normal 11 2 3 2 2 6" xfId="53414"/>
    <cellStyle name="Normal 11 2 3 2 2 6 2" xfId="53415"/>
    <cellStyle name="Normal 11 2 3 2 2 6 3" xfId="53416"/>
    <cellStyle name="Normal 11 2 3 2 2 7" xfId="53417"/>
    <cellStyle name="Normal 11 2 3 2 2 7 2" xfId="53418"/>
    <cellStyle name="Normal 11 2 3 2 2 8" xfId="53419"/>
    <cellStyle name="Normal 11 2 3 2 2 9" xfId="53420"/>
    <cellStyle name="Normal 11 2 3 2 3" xfId="53421"/>
    <cellStyle name="Normal 11 2 3 2 3 2" xfId="53422"/>
    <cellStyle name="Normal 11 2 3 2 3 2 2" xfId="53423"/>
    <cellStyle name="Normal 11 2 3 2 3 2 3" xfId="53424"/>
    <cellStyle name="Normal 11 2 3 2 3 3" xfId="53425"/>
    <cellStyle name="Normal 11 2 3 2 3 3 2" xfId="53426"/>
    <cellStyle name="Normal 11 2 3 2 3 3 3" xfId="53427"/>
    <cellStyle name="Normal 11 2 3 2 3 4" xfId="53428"/>
    <cellStyle name="Normal 11 2 3 2 3 4 2" xfId="53429"/>
    <cellStyle name="Normal 11 2 3 2 3 5" xfId="53430"/>
    <cellStyle name="Normal 11 2 3 2 3 6" xfId="53431"/>
    <cellStyle name="Normal 11 2 3 2 4" xfId="53432"/>
    <cellStyle name="Normal 11 2 3 2 4 2" xfId="53433"/>
    <cellStyle name="Normal 11 2 3 2 4 2 2" xfId="53434"/>
    <cellStyle name="Normal 11 2 3 2 4 2 3" xfId="53435"/>
    <cellStyle name="Normal 11 2 3 2 4 3" xfId="53436"/>
    <cellStyle name="Normal 11 2 3 2 4 3 2" xfId="53437"/>
    <cellStyle name="Normal 11 2 3 2 4 3 3" xfId="53438"/>
    <cellStyle name="Normal 11 2 3 2 4 4" xfId="53439"/>
    <cellStyle name="Normal 11 2 3 2 4 4 2" xfId="53440"/>
    <cellStyle name="Normal 11 2 3 2 4 5" xfId="53441"/>
    <cellStyle name="Normal 11 2 3 2 4 6" xfId="53442"/>
    <cellStyle name="Normal 11 2 3 2 5" xfId="53443"/>
    <cellStyle name="Normal 11 2 3 2 5 2" xfId="53444"/>
    <cellStyle name="Normal 11 2 3 2 5 2 2" xfId="53445"/>
    <cellStyle name="Normal 11 2 3 2 5 2 3" xfId="53446"/>
    <cellStyle name="Normal 11 2 3 2 5 3" xfId="53447"/>
    <cellStyle name="Normal 11 2 3 2 5 3 2" xfId="53448"/>
    <cellStyle name="Normal 11 2 3 2 5 4" xfId="53449"/>
    <cellStyle name="Normal 11 2 3 2 5 5" xfId="53450"/>
    <cellStyle name="Normal 11 2 3 2 6" xfId="53451"/>
    <cellStyle name="Normal 11 2 3 2 6 2" xfId="53452"/>
    <cellStyle name="Normal 11 2 3 2 6 3" xfId="53453"/>
    <cellStyle name="Normal 11 2 3 2 7" xfId="53454"/>
    <cellStyle name="Normal 11 2 3 2 7 2" xfId="53455"/>
    <cellStyle name="Normal 11 2 3 2 7 3" xfId="53456"/>
    <cellStyle name="Normal 11 2 3 2 8" xfId="53457"/>
    <cellStyle name="Normal 11 2 3 2 8 2" xfId="53458"/>
    <cellStyle name="Normal 11 2 3 2 9" xfId="53459"/>
    <cellStyle name="Normal 11 2 3 3" xfId="53460"/>
    <cellStyle name="Normal 11 2 3 3 2" xfId="53461"/>
    <cellStyle name="Normal 11 2 3 3 2 2" xfId="53462"/>
    <cellStyle name="Normal 11 2 3 3 2 2 2" xfId="53463"/>
    <cellStyle name="Normal 11 2 3 3 2 2 3" xfId="53464"/>
    <cellStyle name="Normal 11 2 3 3 2 3" xfId="53465"/>
    <cellStyle name="Normal 11 2 3 3 2 3 2" xfId="53466"/>
    <cellStyle name="Normal 11 2 3 3 2 3 3" xfId="53467"/>
    <cellStyle name="Normal 11 2 3 3 2 4" xfId="53468"/>
    <cellStyle name="Normal 11 2 3 3 2 4 2" xfId="53469"/>
    <cellStyle name="Normal 11 2 3 3 2 5" xfId="53470"/>
    <cellStyle name="Normal 11 2 3 3 2 6" xfId="53471"/>
    <cellStyle name="Normal 11 2 3 3 3" xfId="53472"/>
    <cellStyle name="Normal 11 2 3 3 3 2" xfId="53473"/>
    <cellStyle name="Normal 11 2 3 3 3 2 2" xfId="53474"/>
    <cellStyle name="Normal 11 2 3 3 3 2 3" xfId="53475"/>
    <cellStyle name="Normal 11 2 3 3 3 3" xfId="53476"/>
    <cellStyle name="Normal 11 2 3 3 3 3 2" xfId="53477"/>
    <cellStyle name="Normal 11 2 3 3 3 3 3" xfId="53478"/>
    <cellStyle name="Normal 11 2 3 3 3 4" xfId="53479"/>
    <cellStyle name="Normal 11 2 3 3 3 4 2" xfId="53480"/>
    <cellStyle name="Normal 11 2 3 3 3 5" xfId="53481"/>
    <cellStyle name="Normal 11 2 3 3 3 6" xfId="53482"/>
    <cellStyle name="Normal 11 2 3 3 4" xfId="53483"/>
    <cellStyle name="Normal 11 2 3 3 4 2" xfId="53484"/>
    <cellStyle name="Normal 11 2 3 3 4 2 2" xfId="53485"/>
    <cellStyle name="Normal 11 2 3 3 4 2 3" xfId="53486"/>
    <cellStyle name="Normal 11 2 3 3 4 3" xfId="53487"/>
    <cellStyle name="Normal 11 2 3 3 4 3 2" xfId="53488"/>
    <cellStyle name="Normal 11 2 3 3 4 4" xfId="53489"/>
    <cellStyle name="Normal 11 2 3 3 4 5" xfId="53490"/>
    <cellStyle name="Normal 11 2 3 3 5" xfId="53491"/>
    <cellStyle name="Normal 11 2 3 3 5 2" xfId="53492"/>
    <cellStyle name="Normal 11 2 3 3 5 3" xfId="53493"/>
    <cellStyle name="Normal 11 2 3 3 6" xfId="53494"/>
    <cellStyle name="Normal 11 2 3 3 6 2" xfId="53495"/>
    <cellStyle name="Normal 11 2 3 3 6 3" xfId="53496"/>
    <cellStyle name="Normal 11 2 3 3 7" xfId="53497"/>
    <cellStyle name="Normal 11 2 3 3 7 2" xfId="53498"/>
    <cellStyle name="Normal 11 2 3 3 8" xfId="53499"/>
    <cellStyle name="Normal 11 2 3 3 9" xfId="53500"/>
    <cellStyle name="Normal 11 2 3 4" xfId="53501"/>
    <cellStyle name="Normal 11 2 3 4 2" xfId="53502"/>
    <cellStyle name="Normal 11 2 3 4 2 2" xfId="53503"/>
    <cellStyle name="Normal 11 2 3 4 2 2 2" xfId="53504"/>
    <cellStyle name="Normal 11 2 3 4 2 2 3" xfId="53505"/>
    <cellStyle name="Normal 11 2 3 4 2 3" xfId="53506"/>
    <cellStyle name="Normal 11 2 3 4 2 3 2" xfId="53507"/>
    <cellStyle name="Normal 11 2 3 4 2 3 3" xfId="53508"/>
    <cellStyle name="Normal 11 2 3 4 2 4" xfId="53509"/>
    <cellStyle name="Normal 11 2 3 4 2 4 2" xfId="53510"/>
    <cellStyle name="Normal 11 2 3 4 2 5" xfId="53511"/>
    <cellStyle name="Normal 11 2 3 4 2 6" xfId="53512"/>
    <cellStyle name="Normal 11 2 3 4 3" xfId="53513"/>
    <cellStyle name="Normal 11 2 3 4 3 2" xfId="53514"/>
    <cellStyle name="Normal 11 2 3 4 3 2 2" xfId="53515"/>
    <cellStyle name="Normal 11 2 3 4 3 2 3" xfId="53516"/>
    <cellStyle name="Normal 11 2 3 4 3 3" xfId="53517"/>
    <cellStyle name="Normal 11 2 3 4 3 3 2" xfId="53518"/>
    <cellStyle name="Normal 11 2 3 4 3 3 3" xfId="53519"/>
    <cellStyle name="Normal 11 2 3 4 3 4" xfId="53520"/>
    <cellStyle name="Normal 11 2 3 4 3 4 2" xfId="53521"/>
    <cellStyle name="Normal 11 2 3 4 3 5" xfId="53522"/>
    <cellStyle name="Normal 11 2 3 4 3 6" xfId="53523"/>
    <cellStyle name="Normal 11 2 3 4 4" xfId="53524"/>
    <cellStyle name="Normal 11 2 3 4 4 2" xfId="53525"/>
    <cellStyle name="Normal 11 2 3 4 4 2 2" xfId="53526"/>
    <cellStyle name="Normal 11 2 3 4 4 2 3" xfId="53527"/>
    <cellStyle name="Normal 11 2 3 4 4 3" xfId="53528"/>
    <cellStyle name="Normal 11 2 3 4 4 3 2" xfId="53529"/>
    <cellStyle name="Normal 11 2 3 4 4 4" xfId="53530"/>
    <cellStyle name="Normal 11 2 3 4 4 5" xfId="53531"/>
    <cellStyle name="Normal 11 2 3 4 5" xfId="53532"/>
    <cellStyle name="Normal 11 2 3 4 5 2" xfId="53533"/>
    <cellStyle name="Normal 11 2 3 4 5 3" xfId="53534"/>
    <cellStyle name="Normal 11 2 3 4 6" xfId="53535"/>
    <cellStyle name="Normal 11 2 3 4 6 2" xfId="53536"/>
    <cellStyle name="Normal 11 2 3 4 6 3" xfId="53537"/>
    <cellStyle name="Normal 11 2 3 4 7" xfId="53538"/>
    <cellStyle name="Normal 11 2 3 4 7 2" xfId="53539"/>
    <cellStyle name="Normal 11 2 3 4 8" xfId="53540"/>
    <cellStyle name="Normal 11 2 3 4 9" xfId="53541"/>
    <cellStyle name="Normal 11 2 3 5" xfId="53542"/>
    <cellStyle name="Normal 11 2 3 5 2" xfId="53543"/>
    <cellStyle name="Normal 11 2 3 5 2 2" xfId="53544"/>
    <cellStyle name="Normal 11 2 3 5 2 3" xfId="53545"/>
    <cellStyle name="Normal 11 2 3 5 3" xfId="53546"/>
    <cellStyle name="Normal 11 2 3 5 3 2" xfId="53547"/>
    <cellStyle name="Normal 11 2 3 5 3 3" xfId="53548"/>
    <cellStyle name="Normal 11 2 3 5 4" xfId="53549"/>
    <cellStyle name="Normal 11 2 3 5 4 2" xfId="53550"/>
    <cellStyle name="Normal 11 2 3 5 5" xfId="53551"/>
    <cellStyle name="Normal 11 2 3 5 6" xfId="53552"/>
    <cellStyle name="Normal 11 2 3 6" xfId="53553"/>
    <cellStyle name="Normal 11 2 3 6 2" xfId="53554"/>
    <cellStyle name="Normal 11 2 3 6 2 2" xfId="53555"/>
    <cellStyle name="Normal 11 2 3 6 2 3" xfId="53556"/>
    <cellStyle name="Normal 11 2 3 6 3" xfId="53557"/>
    <cellStyle name="Normal 11 2 3 6 3 2" xfId="53558"/>
    <cellStyle name="Normal 11 2 3 6 3 3" xfId="53559"/>
    <cellStyle name="Normal 11 2 3 6 4" xfId="53560"/>
    <cellStyle name="Normal 11 2 3 6 4 2" xfId="53561"/>
    <cellStyle name="Normal 11 2 3 6 5" xfId="53562"/>
    <cellStyle name="Normal 11 2 3 6 6" xfId="53563"/>
    <cellStyle name="Normal 11 2 3 7" xfId="53564"/>
    <cellStyle name="Normal 11 2 3 7 2" xfId="53565"/>
    <cellStyle name="Normal 11 2 3 7 2 2" xfId="53566"/>
    <cellStyle name="Normal 11 2 3 7 2 3" xfId="53567"/>
    <cellStyle name="Normal 11 2 3 7 3" xfId="53568"/>
    <cellStyle name="Normal 11 2 3 7 3 2" xfId="53569"/>
    <cellStyle name="Normal 11 2 3 7 4" xfId="53570"/>
    <cellStyle name="Normal 11 2 3 7 5" xfId="53571"/>
    <cellStyle name="Normal 11 2 3 8" xfId="53572"/>
    <cellStyle name="Normal 11 2 3 8 2" xfId="53573"/>
    <cellStyle name="Normal 11 2 3 8 3" xfId="53574"/>
    <cellStyle name="Normal 11 2 3 9" xfId="53575"/>
    <cellStyle name="Normal 11 2 3 9 2" xfId="53576"/>
    <cellStyle name="Normal 11 2 3 9 3" xfId="53577"/>
    <cellStyle name="Normal 11 2 4" xfId="53578"/>
    <cellStyle name="Normal 11 2 4 10" xfId="53579"/>
    <cellStyle name="Normal 11 2 4 2" xfId="53580"/>
    <cellStyle name="Normal 11 2 4 2 2" xfId="53581"/>
    <cellStyle name="Normal 11 2 4 2 2 2" xfId="53582"/>
    <cellStyle name="Normal 11 2 4 2 2 2 2" xfId="53583"/>
    <cellStyle name="Normal 11 2 4 2 2 2 3" xfId="53584"/>
    <cellStyle name="Normal 11 2 4 2 2 3" xfId="53585"/>
    <cellStyle name="Normal 11 2 4 2 2 3 2" xfId="53586"/>
    <cellStyle name="Normal 11 2 4 2 2 3 3" xfId="53587"/>
    <cellStyle name="Normal 11 2 4 2 2 4" xfId="53588"/>
    <cellStyle name="Normal 11 2 4 2 2 4 2" xfId="53589"/>
    <cellStyle name="Normal 11 2 4 2 2 5" xfId="53590"/>
    <cellStyle name="Normal 11 2 4 2 2 6" xfId="53591"/>
    <cellStyle name="Normal 11 2 4 2 3" xfId="53592"/>
    <cellStyle name="Normal 11 2 4 2 3 2" xfId="53593"/>
    <cellStyle name="Normal 11 2 4 2 3 2 2" xfId="53594"/>
    <cellStyle name="Normal 11 2 4 2 3 2 3" xfId="53595"/>
    <cellStyle name="Normal 11 2 4 2 3 3" xfId="53596"/>
    <cellStyle name="Normal 11 2 4 2 3 3 2" xfId="53597"/>
    <cellStyle name="Normal 11 2 4 2 3 3 3" xfId="53598"/>
    <cellStyle name="Normal 11 2 4 2 3 4" xfId="53599"/>
    <cellStyle name="Normal 11 2 4 2 3 4 2" xfId="53600"/>
    <cellStyle name="Normal 11 2 4 2 3 5" xfId="53601"/>
    <cellStyle name="Normal 11 2 4 2 3 6" xfId="53602"/>
    <cellStyle name="Normal 11 2 4 2 4" xfId="53603"/>
    <cellStyle name="Normal 11 2 4 2 4 2" xfId="53604"/>
    <cellStyle name="Normal 11 2 4 2 4 2 2" xfId="53605"/>
    <cellStyle name="Normal 11 2 4 2 4 2 3" xfId="53606"/>
    <cellStyle name="Normal 11 2 4 2 4 3" xfId="53607"/>
    <cellStyle name="Normal 11 2 4 2 4 3 2" xfId="53608"/>
    <cellStyle name="Normal 11 2 4 2 4 4" xfId="53609"/>
    <cellStyle name="Normal 11 2 4 2 4 5" xfId="53610"/>
    <cellStyle name="Normal 11 2 4 2 5" xfId="53611"/>
    <cellStyle name="Normal 11 2 4 2 5 2" xfId="53612"/>
    <cellStyle name="Normal 11 2 4 2 5 3" xfId="53613"/>
    <cellStyle name="Normal 11 2 4 2 6" xfId="53614"/>
    <cellStyle name="Normal 11 2 4 2 6 2" xfId="53615"/>
    <cellStyle name="Normal 11 2 4 2 6 3" xfId="53616"/>
    <cellStyle name="Normal 11 2 4 2 7" xfId="53617"/>
    <cellStyle name="Normal 11 2 4 2 7 2" xfId="53618"/>
    <cellStyle name="Normal 11 2 4 2 8" xfId="53619"/>
    <cellStyle name="Normal 11 2 4 2 9" xfId="53620"/>
    <cellStyle name="Normal 11 2 4 3" xfId="53621"/>
    <cellStyle name="Normal 11 2 4 3 2" xfId="53622"/>
    <cellStyle name="Normal 11 2 4 3 2 2" xfId="53623"/>
    <cellStyle name="Normal 11 2 4 3 2 3" xfId="53624"/>
    <cellStyle name="Normal 11 2 4 3 3" xfId="53625"/>
    <cellStyle name="Normal 11 2 4 3 3 2" xfId="53626"/>
    <cellStyle name="Normal 11 2 4 3 3 3" xfId="53627"/>
    <cellStyle name="Normal 11 2 4 3 4" xfId="53628"/>
    <cellStyle name="Normal 11 2 4 3 4 2" xfId="53629"/>
    <cellStyle name="Normal 11 2 4 3 5" xfId="53630"/>
    <cellStyle name="Normal 11 2 4 3 6" xfId="53631"/>
    <cellStyle name="Normal 11 2 4 4" xfId="53632"/>
    <cellStyle name="Normal 11 2 4 4 2" xfId="53633"/>
    <cellStyle name="Normal 11 2 4 4 2 2" xfId="53634"/>
    <cellStyle name="Normal 11 2 4 4 2 3" xfId="53635"/>
    <cellStyle name="Normal 11 2 4 4 3" xfId="53636"/>
    <cellStyle name="Normal 11 2 4 4 3 2" xfId="53637"/>
    <cellStyle name="Normal 11 2 4 4 3 3" xfId="53638"/>
    <cellStyle name="Normal 11 2 4 4 4" xfId="53639"/>
    <cellStyle name="Normal 11 2 4 4 4 2" xfId="53640"/>
    <cellStyle name="Normal 11 2 4 4 5" xfId="53641"/>
    <cellStyle name="Normal 11 2 4 4 6" xfId="53642"/>
    <cellStyle name="Normal 11 2 4 5" xfId="53643"/>
    <cellStyle name="Normal 11 2 4 5 2" xfId="53644"/>
    <cellStyle name="Normal 11 2 4 5 2 2" xfId="53645"/>
    <cellStyle name="Normal 11 2 4 5 2 3" xfId="53646"/>
    <cellStyle name="Normal 11 2 4 5 3" xfId="53647"/>
    <cellStyle name="Normal 11 2 4 5 3 2" xfId="53648"/>
    <cellStyle name="Normal 11 2 4 5 4" xfId="53649"/>
    <cellStyle name="Normal 11 2 4 5 5" xfId="53650"/>
    <cellStyle name="Normal 11 2 4 6" xfId="53651"/>
    <cellStyle name="Normal 11 2 4 6 2" xfId="53652"/>
    <cellStyle name="Normal 11 2 4 6 3" xfId="53653"/>
    <cellStyle name="Normal 11 2 4 7" xfId="53654"/>
    <cellStyle name="Normal 11 2 4 7 2" xfId="53655"/>
    <cellStyle name="Normal 11 2 4 7 3" xfId="53656"/>
    <cellStyle name="Normal 11 2 4 8" xfId="53657"/>
    <cellStyle name="Normal 11 2 4 8 2" xfId="53658"/>
    <cellStyle name="Normal 11 2 4 9" xfId="53659"/>
    <cellStyle name="Normal 11 2 5" xfId="53660"/>
    <cellStyle name="Normal 11 2 5 2" xfId="53661"/>
    <cellStyle name="Normal 11 2 5 2 2" xfId="53662"/>
    <cellStyle name="Normal 11 2 5 2 2 2" xfId="53663"/>
    <cellStyle name="Normal 11 2 5 2 2 3" xfId="53664"/>
    <cellStyle name="Normal 11 2 5 2 3" xfId="53665"/>
    <cellStyle name="Normal 11 2 5 2 3 2" xfId="53666"/>
    <cellStyle name="Normal 11 2 5 2 3 3" xfId="53667"/>
    <cellStyle name="Normal 11 2 5 2 4" xfId="53668"/>
    <cellStyle name="Normal 11 2 5 2 4 2" xfId="53669"/>
    <cellStyle name="Normal 11 2 5 2 5" xfId="53670"/>
    <cellStyle name="Normal 11 2 5 2 6" xfId="53671"/>
    <cellStyle name="Normal 11 2 5 3" xfId="53672"/>
    <cellStyle name="Normal 11 2 5 3 2" xfId="53673"/>
    <cellStyle name="Normal 11 2 5 3 2 2" xfId="53674"/>
    <cellStyle name="Normal 11 2 5 3 2 3" xfId="53675"/>
    <cellStyle name="Normal 11 2 5 3 3" xfId="53676"/>
    <cellStyle name="Normal 11 2 5 3 3 2" xfId="53677"/>
    <cellStyle name="Normal 11 2 5 3 3 3" xfId="53678"/>
    <cellStyle name="Normal 11 2 5 3 4" xfId="53679"/>
    <cellStyle name="Normal 11 2 5 3 4 2" xfId="53680"/>
    <cellStyle name="Normal 11 2 5 3 5" xfId="53681"/>
    <cellStyle name="Normal 11 2 5 3 6" xfId="53682"/>
    <cellStyle name="Normal 11 2 5 4" xfId="53683"/>
    <cellStyle name="Normal 11 2 5 4 2" xfId="53684"/>
    <cellStyle name="Normal 11 2 5 4 2 2" xfId="53685"/>
    <cellStyle name="Normal 11 2 5 4 2 3" xfId="53686"/>
    <cellStyle name="Normal 11 2 5 4 3" xfId="53687"/>
    <cellStyle name="Normal 11 2 5 4 3 2" xfId="53688"/>
    <cellStyle name="Normal 11 2 5 4 4" xfId="53689"/>
    <cellStyle name="Normal 11 2 5 4 5" xfId="53690"/>
    <cellStyle name="Normal 11 2 5 5" xfId="53691"/>
    <cellStyle name="Normal 11 2 5 5 2" xfId="53692"/>
    <cellStyle name="Normal 11 2 5 5 3" xfId="53693"/>
    <cellStyle name="Normal 11 2 5 6" xfId="53694"/>
    <cellStyle name="Normal 11 2 5 6 2" xfId="53695"/>
    <cellStyle name="Normal 11 2 5 6 3" xfId="53696"/>
    <cellStyle name="Normal 11 2 5 7" xfId="53697"/>
    <cellStyle name="Normal 11 2 5 7 2" xfId="53698"/>
    <cellStyle name="Normal 11 2 5 8" xfId="53699"/>
    <cellStyle name="Normal 11 2 5 9" xfId="53700"/>
    <cellStyle name="Normal 11 2 6" xfId="53701"/>
    <cellStyle name="Normal 11 2 6 2" xfId="53702"/>
    <cellStyle name="Normal 11 2 6 2 2" xfId="53703"/>
    <cellStyle name="Normal 11 2 6 2 2 2" xfId="53704"/>
    <cellStyle name="Normal 11 2 6 2 2 3" xfId="53705"/>
    <cellStyle name="Normal 11 2 6 2 3" xfId="53706"/>
    <cellStyle name="Normal 11 2 6 2 3 2" xfId="53707"/>
    <cellStyle name="Normal 11 2 6 2 3 3" xfId="53708"/>
    <cellStyle name="Normal 11 2 6 2 4" xfId="53709"/>
    <cellStyle name="Normal 11 2 6 2 4 2" xfId="53710"/>
    <cellStyle name="Normal 11 2 6 2 5" xfId="53711"/>
    <cellStyle name="Normal 11 2 6 2 6" xfId="53712"/>
    <cellStyle name="Normal 11 2 6 3" xfId="53713"/>
    <cellStyle name="Normal 11 2 6 3 2" xfId="53714"/>
    <cellStyle name="Normal 11 2 6 3 2 2" xfId="53715"/>
    <cellStyle name="Normal 11 2 6 3 2 3" xfId="53716"/>
    <cellStyle name="Normal 11 2 6 3 3" xfId="53717"/>
    <cellStyle name="Normal 11 2 6 3 3 2" xfId="53718"/>
    <cellStyle name="Normal 11 2 6 3 3 3" xfId="53719"/>
    <cellStyle name="Normal 11 2 6 3 4" xfId="53720"/>
    <cellStyle name="Normal 11 2 6 3 4 2" xfId="53721"/>
    <cellStyle name="Normal 11 2 6 3 5" xfId="53722"/>
    <cellStyle name="Normal 11 2 6 3 6" xfId="53723"/>
    <cellStyle name="Normal 11 2 6 4" xfId="53724"/>
    <cellStyle name="Normal 11 2 6 4 2" xfId="53725"/>
    <cellStyle name="Normal 11 2 6 4 2 2" xfId="53726"/>
    <cellStyle name="Normal 11 2 6 4 2 3" xfId="53727"/>
    <cellStyle name="Normal 11 2 6 4 3" xfId="53728"/>
    <cellStyle name="Normal 11 2 6 4 3 2" xfId="53729"/>
    <cellStyle name="Normal 11 2 6 4 4" xfId="53730"/>
    <cellStyle name="Normal 11 2 6 4 5" xfId="53731"/>
    <cellStyle name="Normal 11 2 6 5" xfId="53732"/>
    <cellStyle name="Normal 11 2 6 5 2" xfId="53733"/>
    <cellStyle name="Normal 11 2 6 5 3" xfId="53734"/>
    <cellStyle name="Normal 11 2 6 6" xfId="53735"/>
    <cellStyle name="Normal 11 2 6 6 2" xfId="53736"/>
    <cellStyle name="Normal 11 2 6 6 3" xfId="53737"/>
    <cellStyle name="Normal 11 2 6 7" xfId="53738"/>
    <cellStyle name="Normal 11 2 6 7 2" xfId="53739"/>
    <cellStyle name="Normal 11 2 6 8" xfId="53740"/>
    <cellStyle name="Normal 11 2 6 9" xfId="53741"/>
    <cellStyle name="Normal 11 2 7" xfId="53742"/>
    <cellStyle name="Normal 11 2 7 2" xfId="53743"/>
    <cellStyle name="Normal 11 2 7 2 2" xfId="53744"/>
    <cellStyle name="Normal 11 2 7 2 3" xfId="53745"/>
    <cellStyle name="Normal 11 2 7 3" xfId="53746"/>
    <cellStyle name="Normal 11 2 7 3 2" xfId="53747"/>
    <cellStyle name="Normal 11 2 7 3 3" xfId="53748"/>
    <cellStyle name="Normal 11 2 7 4" xfId="53749"/>
    <cellStyle name="Normal 11 2 7 4 2" xfId="53750"/>
    <cellStyle name="Normal 11 2 7 5" xfId="53751"/>
    <cellStyle name="Normal 11 2 7 6" xfId="53752"/>
    <cellStyle name="Normal 11 2 8" xfId="53753"/>
    <cellStyle name="Normal 11 2 8 2" xfId="53754"/>
    <cellStyle name="Normal 11 2 8 2 2" xfId="53755"/>
    <cellStyle name="Normal 11 2 8 2 3" xfId="53756"/>
    <cellStyle name="Normal 11 2 8 3" xfId="53757"/>
    <cellStyle name="Normal 11 2 8 3 2" xfId="53758"/>
    <cellStyle name="Normal 11 2 8 3 3" xfId="53759"/>
    <cellStyle name="Normal 11 2 8 4" xfId="53760"/>
    <cellStyle name="Normal 11 2 8 4 2" xfId="53761"/>
    <cellStyle name="Normal 11 2 8 5" xfId="53762"/>
    <cellStyle name="Normal 11 2 8 6" xfId="53763"/>
    <cellStyle name="Normal 11 2 9" xfId="53764"/>
    <cellStyle name="Normal 11 2 9 2" xfId="53765"/>
    <cellStyle name="Normal 11 2 9 2 2" xfId="53766"/>
    <cellStyle name="Normal 11 2 9 2 3" xfId="53767"/>
    <cellStyle name="Normal 11 2 9 3" xfId="53768"/>
    <cellStyle name="Normal 11 2 9 3 2" xfId="53769"/>
    <cellStyle name="Normal 11 2 9 4" xfId="53770"/>
    <cellStyle name="Normal 11 2 9 5" xfId="53771"/>
    <cellStyle name="Normal 11 3" xfId="9220"/>
    <cellStyle name="Normal 11 3 10" xfId="53772"/>
    <cellStyle name="Normal 11 3 10 2" xfId="53773"/>
    <cellStyle name="Normal 11 3 10 3" xfId="53774"/>
    <cellStyle name="Normal 11 3 11" xfId="53775"/>
    <cellStyle name="Normal 11 3 11 2" xfId="53776"/>
    <cellStyle name="Normal 11 3 12" xfId="53777"/>
    <cellStyle name="Normal 11 3 13" xfId="53778"/>
    <cellStyle name="Normal 11 3 2" xfId="53779"/>
    <cellStyle name="Normal 11 3 2 10" xfId="53780"/>
    <cellStyle name="Normal 11 3 2 10 2" xfId="53781"/>
    <cellStyle name="Normal 11 3 2 11" xfId="53782"/>
    <cellStyle name="Normal 11 3 2 12" xfId="53783"/>
    <cellStyle name="Normal 11 3 2 2" xfId="53784"/>
    <cellStyle name="Normal 11 3 2 2 10" xfId="53785"/>
    <cellStyle name="Normal 11 3 2 2 2" xfId="53786"/>
    <cellStyle name="Normal 11 3 2 2 2 2" xfId="53787"/>
    <cellStyle name="Normal 11 3 2 2 2 2 2" xfId="53788"/>
    <cellStyle name="Normal 11 3 2 2 2 2 2 2" xfId="53789"/>
    <cellStyle name="Normal 11 3 2 2 2 2 2 3" xfId="53790"/>
    <cellStyle name="Normal 11 3 2 2 2 2 3" xfId="53791"/>
    <cellStyle name="Normal 11 3 2 2 2 2 3 2" xfId="53792"/>
    <cellStyle name="Normal 11 3 2 2 2 2 3 3" xfId="53793"/>
    <cellStyle name="Normal 11 3 2 2 2 2 4" xfId="53794"/>
    <cellStyle name="Normal 11 3 2 2 2 2 4 2" xfId="53795"/>
    <cellStyle name="Normal 11 3 2 2 2 2 5" xfId="53796"/>
    <cellStyle name="Normal 11 3 2 2 2 2 6" xfId="53797"/>
    <cellStyle name="Normal 11 3 2 2 2 3" xfId="53798"/>
    <cellStyle name="Normal 11 3 2 2 2 3 2" xfId="53799"/>
    <cellStyle name="Normal 11 3 2 2 2 3 2 2" xfId="53800"/>
    <cellStyle name="Normal 11 3 2 2 2 3 2 3" xfId="53801"/>
    <cellStyle name="Normal 11 3 2 2 2 3 3" xfId="53802"/>
    <cellStyle name="Normal 11 3 2 2 2 3 3 2" xfId="53803"/>
    <cellStyle name="Normal 11 3 2 2 2 3 3 3" xfId="53804"/>
    <cellStyle name="Normal 11 3 2 2 2 3 4" xfId="53805"/>
    <cellStyle name="Normal 11 3 2 2 2 3 4 2" xfId="53806"/>
    <cellStyle name="Normal 11 3 2 2 2 3 5" xfId="53807"/>
    <cellStyle name="Normal 11 3 2 2 2 3 6" xfId="53808"/>
    <cellStyle name="Normal 11 3 2 2 2 4" xfId="53809"/>
    <cellStyle name="Normal 11 3 2 2 2 4 2" xfId="53810"/>
    <cellStyle name="Normal 11 3 2 2 2 4 2 2" xfId="53811"/>
    <cellStyle name="Normal 11 3 2 2 2 4 2 3" xfId="53812"/>
    <cellStyle name="Normal 11 3 2 2 2 4 3" xfId="53813"/>
    <cellStyle name="Normal 11 3 2 2 2 4 3 2" xfId="53814"/>
    <cellStyle name="Normal 11 3 2 2 2 4 4" xfId="53815"/>
    <cellStyle name="Normal 11 3 2 2 2 4 5" xfId="53816"/>
    <cellStyle name="Normal 11 3 2 2 2 5" xfId="53817"/>
    <cellStyle name="Normal 11 3 2 2 2 5 2" xfId="53818"/>
    <cellStyle name="Normal 11 3 2 2 2 5 3" xfId="53819"/>
    <cellStyle name="Normal 11 3 2 2 2 6" xfId="53820"/>
    <cellStyle name="Normal 11 3 2 2 2 6 2" xfId="53821"/>
    <cellStyle name="Normal 11 3 2 2 2 6 3" xfId="53822"/>
    <cellStyle name="Normal 11 3 2 2 2 7" xfId="53823"/>
    <cellStyle name="Normal 11 3 2 2 2 7 2" xfId="53824"/>
    <cellStyle name="Normal 11 3 2 2 2 8" xfId="53825"/>
    <cellStyle name="Normal 11 3 2 2 2 9" xfId="53826"/>
    <cellStyle name="Normal 11 3 2 2 3" xfId="53827"/>
    <cellStyle name="Normal 11 3 2 2 3 2" xfId="53828"/>
    <cellStyle name="Normal 11 3 2 2 3 2 2" xfId="53829"/>
    <cellStyle name="Normal 11 3 2 2 3 2 3" xfId="53830"/>
    <cellStyle name="Normal 11 3 2 2 3 3" xfId="53831"/>
    <cellStyle name="Normal 11 3 2 2 3 3 2" xfId="53832"/>
    <cellStyle name="Normal 11 3 2 2 3 3 3" xfId="53833"/>
    <cellStyle name="Normal 11 3 2 2 3 4" xfId="53834"/>
    <cellStyle name="Normal 11 3 2 2 3 4 2" xfId="53835"/>
    <cellStyle name="Normal 11 3 2 2 3 5" xfId="53836"/>
    <cellStyle name="Normal 11 3 2 2 3 6" xfId="53837"/>
    <cellStyle name="Normal 11 3 2 2 4" xfId="53838"/>
    <cellStyle name="Normal 11 3 2 2 4 2" xfId="53839"/>
    <cellStyle name="Normal 11 3 2 2 4 2 2" xfId="53840"/>
    <cellStyle name="Normal 11 3 2 2 4 2 3" xfId="53841"/>
    <cellStyle name="Normal 11 3 2 2 4 3" xfId="53842"/>
    <cellStyle name="Normal 11 3 2 2 4 3 2" xfId="53843"/>
    <cellStyle name="Normal 11 3 2 2 4 3 3" xfId="53844"/>
    <cellStyle name="Normal 11 3 2 2 4 4" xfId="53845"/>
    <cellStyle name="Normal 11 3 2 2 4 4 2" xfId="53846"/>
    <cellStyle name="Normal 11 3 2 2 4 5" xfId="53847"/>
    <cellStyle name="Normal 11 3 2 2 4 6" xfId="53848"/>
    <cellStyle name="Normal 11 3 2 2 5" xfId="53849"/>
    <cellStyle name="Normal 11 3 2 2 5 2" xfId="53850"/>
    <cellStyle name="Normal 11 3 2 2 5 2 2" xfId="53851"/>
    <cellStyle name="Normal 11 3 2 2 5 2 3" xfId="53852"/>
    <cellStyle name="Normal 11 3 2 2 5 3" xfId="53853"/>
    <cellStyle name="Normal 11 3 2 2 5 3 2" xfId="53854"/>
    <cellStyle name="Normal 11 3 2 2 5 4" xfId="53855"/>
    <cellStyle name="Normal 11 3 2 2 5 5" xfId="53856"/>
    <cellStyle name="Normal 11 3 2 2 6" xfId="53857"/>
    <cellStyle name="Normal 11 3 2 2 6 2" xfId="53858"/>
    <cellStyle name="Normal 11 3 2 2 6 3" xfId="53859"/>
    <cellStyle name="Normal 11 3 2 2 7" xfId="53860"/>
    <cellStyle name="Normal 11 3 2 2 7 2" xfId="53861"/>
    <cellStyle name="Normal 11 3 2 2 7 3" xfId="53862"/>
    <cellStyle name="Normal 11 3 2 2 8" xfId="53863"/>
    <cellStyle name="Normal 11 3 2 2 8 2" xfId="53864"/>
    <cellStyle name="Normal 11 3 2 2 9" xfId="53865"/>
    <cellStyle name="Normal 11 3 2 3" xfId="53866"/>
    <cellStyle name="Normal 11 3 2 3 2" xfId="53867"/>
    <cellStyle name="Normal 11 3 2 3 2 2" xfId="53868"/>
    <cellStyle name="Normal 11 3 2 3 2 2 2" xfId="53869"/>
    <cellStyle name="Normal 11 3 2 3 2 2 3" xfId="53870"/>
    <cellStyle name="Normal 11 3 2 3 2 3" xfId="53871"/>
    <cellStyle name="Normal 11 3 2 3 2 3 2" xfId="53872"/>
    <cellStyle name="Normal 11 3 2 3 2 3 3" xfId="53873"/>
    <cellStyle name="Normal 11 3 2 3 2 4" xfId="53874"/>
    <cellStyle name="Normal 11 3 2 3 2 4 2" xfId="53875"/>
    <cellStyle name="Normal 11 3 2 3 2 5" xfId="53876"/>
    <cellStyle name="Normal 11 3 2 3 2 6" xfId="53877"/>
    <cellStyle name="Normal 11 3 2 3 3" xfId="53878"/>
    <cellStyle name="Normal 11 3 2 3 3 2" xfId="53879"/>
    <cellStyle name="Normal 11 3 2 3 3 2 2" xfId="53880"/>
    <cellStyle name="Normal 11 3 2 3 3 2 3" xfId="53881"/>
    <cellStyle name="Normal 11 3 2 3 3 3" xfId="53882"/>
    <cellStyle name="Normal 11 3 2 3 3 3 2" xfId="53883"/>
    <cellStyle name="Normal 11 3 2 3 3 3 3" xfId="53884"/>
    <cellStyle name="Normal 11 3 2 3 3 4" xfId="53885"/>
    <cellStyle name="Normal 11 3 2 3 3 4 2" xfId="53886"/>
    <cellStyle name="Normal 11 3 2 3 3 5" xfId="53887"/>
    <cellStyle name="Normal 11 3 2 3 3 6" xfId="53888"/>
    <cellStyle name="Normal 11 3 2 3 4" xfId="53889"/>
    <cellStyle name="Normal 11 3 2 3 4 2" xfId="53890"/>
    <cellStyle name="Normal 11 3 2 3 4 2 2" xfId="53891"/>
    <cellStyle name="Normal 11 3 2 3 4 2 3" xfId="53892"/>
    <cellStyle name="Normal 11 3 2 3 4 3" xfId="53893"/>
    <cellStyle name="Normal 11 3 2 3 4 3 2" xfId="53894"/>
    <cellStyle name="Normal 11 3 2 3 4 4" xfId="53895"/>
    <cellStyle name="Normal 11 3 2 3 4 5" xfId="53896"/>
    <cellStyle name="Normal 11 3 2 3 5" xfId="53897"/>
    <cellStyle name="Normal 11 3 2 3 5 2" xfId="53898"/>
    <cellStyle name="Normal 11 3 2 3 5 3" xfId="53899"/>
    <cellStyle name="Normal 11 3 2 3 6" xfId="53900"/>
    <cellStyle name="Normal 11 3 2 3 6 2" xfId="53901"/>
    <cellStyle name="Normal 11 3 2 3 6 3" xfId="53902"/>
    <cellStyle name="Normal 11 3 2 3 7" xfId="53903"/>
    <cellStyle name="Normal 11 3 2 3 7 2" xfId="53904"/>
    <cellStyle name="Normal 11 3 2 3 8" xfId="53905"/>
    <cellStyle name="Normal 11 3 2 3 9" xfId="53906"/>
    <cellStyle name="Normal 11 3 2 4" xfId="53907"/>
    <cellStyle name="Normal 11 3 2 4 2" xfId="53908"/>
    <cellStyle name="Normal 11 3 2 4 2 2" xfId="53909"/>
    <cellStyle name="Normal 11 3 2 4 2 2 2" xfId="53910"/>
    <cellStyle name="Normal 11 3 2 4 2 2 3" xfId="53911"/>
    <cellStyle name="Normal 11 3 2 4 2 3" xfId="53912"/>
    <cellStyle name="Normal 11 3 2 4 2 3 2" xfId="53913"/>
    <cellStyle name="Normal 11 3 2 4 2 3 3" xfId="53914"/>
    <cellStyle name="Normal 11 3 2 4 2 4" xfId="53915"/>
    <cellStyle name="Normal 11 3 2 4 2 4 2" xfId="53916"/>
    <cellStyle name="Normal 11 3 2 4 2 5" xfId="53917"/>
    <cellStyle name="Normal 11 3 2 4 2 6" xfId="53918"/>
    <cellStyle name="Normal 11 3 2 4 3" xfId="53919"/>
    <cellStyle name="Normal 11 3 2 4 3 2" xfId="53920"/>
    <cellStyle name="Normal 11 3 2 4 3 2 2" xfId="53921"/>
    <cellStyle name="Normal 11 3 2 4 3 2 3" xfId="53922"/>
    <cellStyle name="Normal 11 3 2 4 3 3" xfId="53923"/>
    <cellStyle name="Normal 11 3 2 4 3 3 2" xfId="53924"/>
    <cellStyle name="Normal 11 3 2 4 3 3 3" xfId="53925"/>
    <cellStyle name="Normal 11 3 2 4 3 4" xfId="53926"/>
    <cellStyle name="Normal 11 3 2 4 3 4 2" xfId="53927"/>
    <cellStyle name="Normal 11 3 2 4 3 5" xfId="53928"/>
    <cellStyle name="Normal 11 3 2 4 3 6" xfId="53929"/>
    <cellStyle name="Normal 11 3 2 4 4" xfId="53930"/>
    <cellStyle name="Normal 11 3 2 4 4 2" xfId="53931"/>
    <cellStyle name="Normal 11 3 2 4 4 2 2" xfId="53932"/>
    <cellStyle name="Normal 11 3 2 4 4 2 3" xfId="53933"/>
    <cellStyle name="Normal 11 3 2 4 4 3" xfId="53934"/>
    <cellStyle name="Normal 11 3 2 4 4 3 2" xfId="53935"/>
    <cellStyle name="Normal 11 3 2 4 4 4" xfId="53936"/>
    <cellStyle name="Normal 11 3 2 4 4 5" xfId="53937"/>
    <cellStyle name="Normal 11 3 2 4 5" xfId="53938"/>
    <cellStyle name="Normal 11 3 2 4 5 2" xfId="53939"/>
    <cellStyle name="Normal 11 3 2 4 5 3" xfId="53940"/>
    <cellStyle name="Normal 11 3 2 4 6" xfId="53941"/>
    <cellStyle name="Normal 11 3 2 4 6 2" xfId="53942"/>
    <cellStyle name="Normal 11 3 2 4 6 3" xfId="53943"/>
    <cellStyle name="Normal 11 3 2 4 7" xfId="53944"/>
    <cellStyle name="Normal 11 3 2 4 7 2" xfId="53945"/>
    <cellStyle name="Normal 11 3 2 4 8" xfId="53946"/>
    <cellStyle name="Normal 11 3 2 4 9" xfId="53947"/>
    <cellStyle name="Normal 11 3 2 5" xfId="53948"/>
    <cellStyle name="Normal 11 3 2 5 2" xfId="53949"/>
    <cellStyle name="Normal 11 3 2 5 2 2" xfId="53950"/>
    <cellStyle name="Normal 11 3 2 5 2 3" xfId="53951"/>
    <cellStyle name="Normal 11 3 2 5 3" xfId="53952"/>
    <cellStyle name="Normal 11 3 2 5 3 2" xfId="53953"/>
    <cellStyle name="Normal 11 3 2 5 3 3" xfId="53954"/>
    <cellStyle name="Normal 11 3 2 5 4" xfId="53955"/>
    <cellStyle name="Normal 11 3 2 5 4 2" xfId="53956"/>
    <cellStyle name="Normal 11 3 2 5 5" xfId="53957"/>
    <cellStyle name="Normal 11 3 2 5 6" xfId="53958"/>
    <cellStyle name="Normal 11 3 2 6" xfId="53959"/>
    <cellStyle name="Normal 11 3 2 6 2" xfId="53960"/>
    <cellStyle name="Normal 11 3 2 6 2 2" xfId="53961"/>
    <cellStyle name="Normal 11 3 2 6 2 3" xfId="53962"/>
    <cellStyle name="Normal 11 3 2 6 3" xfId="53963"/>
    <cellStyle name="Normal 11 3 2 6 3 2" xfId="53964"/>
    <cellStyle name="Normal 11 3 2 6 3 3" xfId="53965"/>
    <cellStyle name="Normal 11 3 2 6 4" xfId="53966"/>
    <cellStyle name="Normal 11 3 2 6 4 2" xfId="53967"/>
    <cellStyle name="Normal 11 3 2 6 5" xfId="53968"/>
    <cellStyle name="Normal 11 3 2 6 6" xfId="53969"/>
    <cellStyle name="Normal 11 3 2 7" xfId="53970"/>
    <cellStyle name="Normal 11 3 2 7 2" xfId="53971"/>
    <cellStyle name="Normal 11 3 2 7 2 2" xfId="53972"/>
    <cellStyle name="Normal 11 3 2 7 2 3" xfId="53973"/>
    <cellStyle name="Normal 11 3 2 7 3" xfId="53974"/>
    <cellStyle name="Normal 11 3 2 7 3 2" xfId="53975"/>
    <cellStyle name="Normal 11 3 2 7 4" xfId="53976"/>
    <cellStyle name="Normal 11 3 2 7 5" xfId="53977"/>
    <cellStyle name="Normal 11 3 2 8" xfId="53978"/>
    <cellStyle name="Normal 11 3 2 8 2" xfId="53979"/>
    <cellStyle name="Normal 11 3 2 8 3" xfId="53980"/>
    <cellStyle name="Normal 11 3 2 9" xfId="53981"/>
    <cellStyle name="Normal 11 3 2 9 2" xfId="53982"/>
    <cellStyle name="Normal 11 3 2 9 3" xfId="53983"/>
    <cellStyle name="Normal 11 3 3" xfId="53984"/>
    <cellStyle name="Normal 11 3 3 10" xfId="53985"/>
    <cellStyle name="Normal 11 3 3 2" xfId="53986"/>
    <cellStyle name="Normal 11 3 3 2 2" xfId="53987"/>
    <cellStyle name="Normal 11 3 3 2 2 2" xfId="53988"/>
    <cellStyle name="Normal 11 3 3 2 2 2 2" xfId="53989"/>
    <cellStyle name="Normal 11 3 3 2 2 2 3" xfId="53990"/>
    <cellStyle name="Normal 11 3 3 2 2 3" xfId="53991"/>
    <cellStyle name="Normal 11 3 3 2 2 3 2" xfId="53992"/>
    <cellStyle name="Normal 11 3 3 2 2 3 3" xfId="53993"/>
    <cellStyle name="Normal 11 3 3 2 2 4" xfId="53994"/>
    <cellStyle name="Normal 11 3 3 2 2 4 2" xfId="53995"/>
    <cellStyle name="Normal 11 3 3 2 2 5" xfId="53996"/>
    <cellStyle name="Normal 11 3 3 2 2 6" xfId="53997"/>
    <cellStyle name="Normal 11 3 3 2 3" xfId="53998"/>
    <cellStyle name="Normal 11 3 3 2 3 2" xfId="53999"/>
    <cellStyle name="Normal 11 3 3 2 3 2 2" xfId="54000"/>
    <cellStyle name="Normal 11 3 3 2 3 2 3" xfId="54001"/>
    <cellStyle name="Normal 11 3 3 2 3 3" xfId="54002"/>
    <cellStyle name="Normal 11 3 3 2 3 3 2" xfId="54003"/>
    <cellStyle name="Normal 11 3 3 2 3 3 3" xfId="54004"/>
    <cellStyle name="Normal 11 3 3 2 3 4" xfId="54005"/>
    <cellStyle name="Normal 11 3 3 2 3 4 2" xfId="54006"/>
    <cellStyle name="Normal 11 3 3 2 3 5" xfId="54007"/>
    <cellStyle name="Normal 11 3 3 2 3 6" xfId="54008"/>
    <cellStyle name="Normal 11 3 3 2 4" xfId="54009"/>
    <cellStyle name="Normal 11 3 3 2 4 2" xfId="54010"/>
    <cellStyle name="Normal 11 3 3 2 4 2 2" xfId="54011"/>
    <cellStyle name="Normal 11 3 3 2 4 2 3" xfId="54012"/>
    <cellStyle name="Normal 11 3 3 2 4 3" xfId="54013"/>
    <cellStyle name="Normal 11 3 3 2 4 3 2" xfId="54014"/>
    <cellStyle name="Normal 11 3 3 2 4 4" xfId="54015"/>
    <cellStyle name="Normal 11 3 3 2 4 5" xfId="54016"/>
    <cellStyle name="Normal 11 3 3 2 5" xfId="54017"/>
    <cellStyle name="Normal 11 3 3 2 5 2" xfId="54018"/>
    <cellStyle name="Normal 11 3 3 2 5 3" xfId="54019"/>
    <cellStyle name="Normal 11 3 3 2 6" xfId="54020"/>
    <cellStyle name="Normal 11 3 3 2 6 2" xfId="54021"/>
    <cellStyle name="Normal 11 3 3 2 6 3" xfId="54022"/>
    <cellStyle name="Normal 11 3 3 2 7" xfId="54023"/>
    <cellStyle name="Normal 11 3 3 2 7 2" xfId="54024"/>
    <cellStyle name="Normal 11 3 3 2 8" xfId="54025"/>
    <cellStyle name="Normal 11 3 3 2 9" xfId="54026"/>
    <cellStyle name="Normal 11 3 3 3" xfId="54027"/>
    <cellStyle name="Normal 11 3 3 3 2" xfId="54028"/>
    <cellStyle name="Normal 11 3 3 3 2 2" xfId="54029"/>
    <cellStyle name="Normal 11 3 3 3 2 3" xfId="54030"/>
    <cellStyle name="Normal 11 3 3 3 3" xfId="54031"/>
    <cellStyle name="Normal 11 3 3 3 3 2" xfId="54032"/>
    <cellStyle name="Normal 11 3 3 3 3 3" xfId="54033"/>
    <cellStyle name="Normal 11 3 3 3 4" xfId="54034"/>
    <cellStyle name="Normal 11 3 3 3 4 2" xfId="54035"/>
    <cellStyle name="Normal 11 3 3 3 5" xfId="54036"/>
    <cellStyle name="Normal 11 3 3 3 6" xfId="54037"/>
    <cellStyle name="Normal 11 3 3 4" xfId="54038"/>
    <cellStyle name="Normal 11 3 3 4 2" xfId="54039"/>
    <cellStyle name="Normal 11 3 3 4 2 2" xfId="54040"/>
    <cellStyle name="Normal 11 3 3 4 2 3" xfId="54041"/>
    <cellStyle name="Normal 11 3 3 4 3" xfId="54042"/>
    <cellStyle name="Normal 11 3 3 4 3 2" xfId="54043"/>
    <cellStyle name="Normal 11 3 3 4 3 3" xfId="54044"/>
    <cellStyle name="Normal 11 3 3 4 4" xfId="54045"/>
    <cellStyle name="Normal 11 3 3 4 4 2" xfId="54046"/>
    <cellStyle name="Normal 11 3 3 4 5" xfId="54047"/>
    <cellStyle name="Normal 11 3 3 4 6" xfId="54048"/>
    <cellStyle name="Normal 11 3 3 5" xfId="54049"/>
    <cellStyle name="Normal 11 3 3 5 2" xfId="54050"/>
    <cellStyle name="Normal 11 3 3 5 2 2" xfId="54051"/>
    <cellStyle name="Normal 11 3 3 5 2 3" xfId="54052"/>
    <cellStyle name="Normal 11 3 3 5 3" xfId="54053"/>
    <cellStyle name="Normal 11 3 3 5 3 2" xfId="54054"/>
    <cellStyle name="Normal 11 3 3 5 4" xfId="54055"/>
    <cellStyle name="Normal 11 3 3 5 5" xfId="54056"/>
    <cellStyle name="Normal 11 3 3 6" xfId="54057"/>
    <cellStyle name="Normal 11 3 3 6 2" xfId="54058"/>
    <cellStyle name="Normal 11 3 3 6 3" xfId="54059"/>
    <cellStyle name="Normal 11 3 3 7" xfId="54060"/>
    <cellStyle name="Normal 11 3 3 7 2" xfId="54061"/>
    <cellStyle name="Normal 11 3 3 7 3" xfId="54062"/>
    <cellStyle name="Normal 11 3 3 8" xfId="54063"/>
    <cellStyle name="Normal 11 3 3 8 2" xfId="54064"/>
    <cellStyle name="Normal 11 3 3 9" xfId="54065"/>
    <cellStyle name="Normal 11 3 4" xfId="54066"/>
    <cellStyle name="Normal 11 3 4 2" xfId="54067"/>
    <cellStyle name="Normal 11 3 4 2 2" xfId="54068"/>
    <cellStyle name="Normal 11 3 4 2 2 2" xfId="54069"/>
    <cellStyle name="Normal 11 3 4 2 2 3" xfId="54070"/>
    <cellStyle name="Normal 11 3 4 2 3" xfId="54071"/>
    <cellStyle name="Normal 11 3 4 2 3 2" xfId="54072"/>
    <cellStyle name="Normal 11 3 4 2 3 3" xfId="54073"/>
    <cellStyle name="Normal 11 3 4 2 4" xfId="54074"/>
    <cellStyle name="Normal 11 3 4 2 4 2" xfId="54075"/>
    <cellStyle name="Normal 11 3 4 2 5" xfId="54076"/>
    <cellStyle name="Normal 11 3 4 2 6" xfId="54077"/>
    <cellStyle name="Normal 11 3 4 3" xfId="54078"/>
    <cellStyle name="Normal 11 3 4 3 2" xfId="54079"/>
    <cellStyle name="Normal 11 3 4 3 2 2" xfId="54080"/>
    <cellStyle name="Normal 11 3 4 3 2 3" xfId="54081"/>
    <cellStyle name="Normal 11 3 4 3 3" xfId="54082"/>
    <cellStyle name="Normal 11 3 4 3 3 2" xfId="54083"/>
    <cellStyle name="Normal 11 3 4 3 3 3" xfId="54084"/>
    <cellStyle name="Normal 11 3 4 3 4" xfId="54085"/>
    <cellStyle name="Normal 11 3 4 3 4 2" xfId="54086"/>
    <cellStyle name="Normal 11 3 4 3 5" xfId="54087"/>
    <cellStyle name="Normal 11 3 4 3 6" xfId="54088"/>
    <cellStyle name="Normal 11 3 4 4" xfId="54089"/>
    <cellStyle name="Normal 11 3 4 4 2" xfId="54090"/>
    <cellStyle name="Normal 11 3 4 4 2 2" xfId="54091"/>
    <cellStyle name="Normal 11 3 4 4 2 3" xfId="54092"/>
    <cellStyle name="Normal 11 3 4 4 3" xfId="54093"/>
    <cellStyle name="Normal 11 3 4 4 3 2" xfId="54094"/>
    <cellStyle name="Normal 11 3 4 4 4" xfId="54095"/>
    <cellStyle name="Normal 11 3 4 4 5" xfId="54096"/>
    <cellStyle name="Normal 11 3 4 5" xfId="54097"/>
    <cellStyle name="Normal 11 3 4 5 2" xfId="54098"/>
    <cellStyle name="Normal 11 3 4 5 3" xfId="54099"/>
    <cellStyle name="Normal 11 3 4 6" xfId="54100"/>
    <cellStyle name="Normal 11 3 4 6 2" xfId="54101"/>
    <cellStyle name="Normal 11 3 4 6 3" xfId="54102"/>
    <cellStyle name="Normal 11 3 4 7" xfId="54103"/>
    <cellStyle name="Normal 11 3 4 7 2" xfId="54104"/>
    <cellStyle name="Normal 11 3 4 8" xfId="54105"/>
    <cellStyle name="Normal 11 3 4 9" xfId="54106"/>
    <cellStyle name="Normal 11 3 5" xfId="54107"/>
    <cellStyle name="Normal 11 3 5 2" xfId="54108"/>
    <cellStyle name="Normal 11 3 5 2 2" xfId="54109"/>
    <cellStyle name="Normal 11 3 5 2 2 2" xfId="54110"/>
    <cellStyle name="Normal 11 3 5 2 2 3" xfId="54111"/>
    <cellStyle name="Normal 11 3 5 2 3" xfId="54112"/>
    <cellStyle name="Normal 11 3 5 2 3 2" xfId="54113"/>
    <cellStyle name="Normal 11 3 5 2 3 3" xfId="54114"/>
    <cellStyle name="Normal 11 3 5 2 4" xfId="54115"/>
    <cellStyle name="Normal 11 3 5 2 4 2" xfId="54116"/>
    <cellStyle name="Normal 11 3 5 2 5" xfId="54117"/>
    <cellStyle name="Normal 11 3 5 2 6" xfId="54118"/>
    <cellStyle name="Normal 11 3 5 3" xfId="54119"/>
    <cellStyle name="Normal 11 3 5 3 2" xfId="54120"/>
    <cellStyle name="Normal 11 3 5 3 2 2" xfId="54121"/>
    <cellStyle name="Normal 11 3 5 3 2 3" xfId="54122"/>
    <cellStyle name="Normal 11 3 5 3 3" xfId="54123"/>
    <cellStyle name="Normal 11 3 5 3 3 2" xfId="54124"/>
    <cellStyle name="Normal 11 3 5 3 3 3" xfId="54125"/>
    <cellStyle name="Normal 11 3 5 3 4" xfId="54126"/>
    <cellStyle name="Normal 11 3 5 3 4 2" xfId="54127"/>
    <cellStyle name="Normal 11 3 5 3 5" xfId="54128"/>
    <cellStyle name="Normal 11 3 5 3 6" xfId="54129"/>
    <cellStyle name="Normal 11 3 5 4" xfId="54130"/>
    <cellStyle name="Normal 11 3 5 4 2" xfId="54131"/>
    <cellStyle name="Normal 11 3 5 4 2 2" xfId="54132"/>
    <cellStyle name="Normal 11 3 5 4 2 3" xfId="54133"/>
    <cellStyle name="Normal 11 3 5 4 3" xfId="54134"/>
    <cellStyle name="Normal 11 3 5 4 3 2" xfId="54135"/>
    <cellStyle name="Normal 11 3 5 4 4" xfId="54136"/>
    <cellStyle name="Normal 11 3 5 4 5" xfId="54137"/>
    <cellStyle name="Normal 11 3 5 5" xfId="54138"/>
    <cellStyle name="Normal 11 3 5 5 2" xfId="54139"/>
    <cellStyle name="Normal 11 3 5 5 3" xfId="54140"/>
    <cellStyle name="Normal 11 3 5 6" xfId="54141"/>
    <cellStyle name="Normal 11 3 5 6 2" xfId="54142"/>
    <cellStyle name="Normal 11 3 5 6 3" xfId="54143"/>
    <cellStyle name="Normal 11 3 5 7" xfId="54144"/>
    <cellStyle name="Normal 11 3 5 7 2" xfId="54145"/>
    <cellStyle name="Normal 11 3 5 8" xfId="54146"/>
    <cellStyle name="Normal 11 3 5 9" xfId="54147"/>
    <cellStyle name="Normal 11 3 6" xfId="54148"/>
    <cellStyle name="Normal 11 3 6 2" xfId="54149"/>
    <cellStyle name="Normal 11 3 6 2 2" xfId="54150"/>
    <cellStyle name="Normal 11 3 6 2 3" xfId="54151"/>
    <cellStyle name="Normal 11 3 6 3" xfId="54152"/>
    <cellStyle name="Normal 11 3 6 3 2" xfId="54153"/>
    <cellStyle name="Normal 11 3 6 3 3" xfId="54154"/>
    <cellStyle name="Normal 11 3 6 4" xfId="54155"/>
    <cellStyle name="Normal 11 3 6 4 2" xfId="54156"/>
    <cellStyle name="Normal 11 3 6 5" xfId="54157"/>
    <cellStyle name="Normal 11 3 6 6" xfId="54158"/>
    <cellStyle name="Normal 11 3 7" xfId="54159"/>
    <cellStyle name="Normal 11 3 7 2" xfId="54160"/>
    <cellStyle name="Normal 11 3 7 2 2" xfId="54161"/>
    <cellStyle name="Normal 11 3 7 2 3" xfId="54162"/>
    <cellStyle name="Normal 11 3 7 3" xfId="54163"/>
    <cellStyle name="Normal 11 3 7 3 2" xfId="54164"/>
    <cellStyle name="Normal 11 3 7 3 3" xfId="54165"/>
    <cellStyle name="Normal 11 3 7 4" xfId="54166"/>
    <cellStyle name="Normal 11 3 7 4 2" xfId="54167"/>
    <cellStyle name="Normal 11 3 7 5" xfId="54168"/>
    <cellStyle name="Normal 11 3 7 6" xfId="54169"/>
    <cellStyle name="Normal 11 3 8" xfId="54170"/>
    <cellStyle name="Normal 11 3 8 2" xfId="54171"/>
    <cellStyle name="Normal 11 3 8 2 2" xfId="54172"/>
    <cellStyle name="Normal 11 3 8 2 3" xfId="54173"/>
    <cellStyle name="Normal 11 3 8 3" xfId="54174"/>
    <cellStyle name="Normal 11 3 8 3 2" xfId="54175"/>
    <cellStyle name="Normal 11 3 8 4" xfId="54176"/>
    <cellStyle name="Normal 11 3 8 5" xfId="54177"/>
    <cellStyle name="Normal 11 3 9" xfId="54178"/>
    <cellStyle name="Normal 11 3 9 2" xfId="54179"/>
    <cellStyle name="Normal 11 3 9 3" xfId="54180"/>
    <cellStyle name="Normal 11 4" xfId="54181"/>
    <cellStyle name="Normal 11 4 10" xfId="54182"/>
    <cellStyle name="Normal 11 4 10 2" xfId="54183"/>
    <cellStyle name="Normal 11 4 11" xfId="54184"/>
    <cellStyle name="Normal 11 4 12" xfId="54185"/>
    <cellStyle name="Normal 11 4 2" xfId="54186"/>
    <cellStyle name="Normal 11 4 2 10" xfId="54187"/>
    <cellStyle name="Normal 11 4 2 2" xfId="54188"/>
    <cellStyle name="Normal 11 4 2 2 2" xfId="54189"/>
    <cellStyle name="Normal 11 4 2 2 2 2" xfId="54190"/>
    <cellStyle name="Normal 11 4 2 2 2 2 2" xfId="54191"/>
    <cellStyle name="Normal 11 4 2 2 2 2 3" xfId="54192"/>
    <cellStyle name="Normal 11 4 2 2 2 3" xfId="54193"/>
    <cellStyle name="Normal 11 4 2 2 2 3 2" xfId="54194"/>
    <cellStyle name="Normal 11 4 2 2 2 3 3" xfId="54195"/>
    <cellStyle name="Normal 11 4 2 2 2 4" xfId="54196"/>
    <cellStyle name="Normal 11 4 2 2 2 4 2" xfId="54197"/>
    <cellStyle name="Normal 11 4 2 2 2 5" xfId="54198"/>
    <cellStyle name="Normal 11 4 2 2 2 6" xfId="54199"/>
    <cellStyle name="Normal 11 4 2 2 3" xfId="54200"/>
    <cellStyle name="Normal 11 4 2 2 3 2" xfId="54201"/>
    <cellStyle name="Normal 11 4 2 2 3 2 2" xfId="54202"/>
    <cellStyle name="Normal 11 4 2 2 3 2 3" xfId="54203"/>
    <cellStyle name="Normal 11 4 2 2 3 3" xfId="54204"/>
    <cellStyle name="Normal 11 4 2 2 3 3 2" xfId="54205"/>
    <cellStyle name="Normal 11 4 2 2 3 3 3" xfId="54206"/>
    <cellStyle name="Normal 11 4 2 2 3 4" xfId="54207"/>
    <cellStyle name="Normal 11 4 2 2 3 4 2" xfId="54208"/>
    <cellStyle name="Normal 11 4 2 2 3 5" xfId="54209"/>
    <cellStyle name="Normal 11 4 2 2 3 6" xfId="54210"/>
    <cellStyle name="Normal 11 4 2 2 4" xfId="54211"/>
    <cellStyle name="Normal 11 4 2 2 4 2" xfId="54212"/>
    <cellStyle name="Normal 11 4 2 2 4 2 2" xfId="54213"/>
    <cellStyle name="Normal 11 4 2 2 4 2 3" xfId="54214"/>
    <cellStyle name="Normal 11 4 2 2 4 3" xfId="54215"/>
    <cellStyle name="Normal 11 4 2 2 4 3 2" xfId="54216"/>
    <cellStyle name="Normal 11 4 2 2 4 4" xfId="54217"/>
    <cellStyle name="Normal 11 4 2 2 4 5" xfId="54218"/>
    <cellStyle name="Normal 11 4 2 2 5" xfId="54219"/>
    <cellStyle name="Normal 11 4 2 2 5 2" xfId="54220"/>
    <cellStyle name="Normal 11 4 2 2 5 3" xfId="54221"/>
    <cellStyle name="Normal 11 4 2 2 6" xfId="54222"/>
    <cellStyle name="Normal 11 4 2 2 6 2" xfId="54223"/>
    <cellStyle name="Normal 11 4 2 2 6 3" xfId="54224"/>
    <cellStyle name="Normal 11 4 2 2 7" xfId="54225"/>
    <cellStyle name="Normal 11 4 2 2 7 2" xfId="54226"/>
    <cellStyle name="Normal 11 4 2 2 8" xfId="54227"/>
    <cellStyle name="Normal 11 4 2 2 9" xfId="54228"/>
    <cellStyle name="Normal 11 4 2 3" xfId="54229"/>
    <cellStyle name="Normal 11 4 2 3 2" xfId="54230"/>
    <cellStyle name="Normal 11 4 2 3 2 2" xfId="54231"/>
    <cellStyle name="Normal 11 4 2 3 2 3" xfId="54232"/>
    <cellStyle name="Normal 11 4 2 3 3" xfId="54233"/>
    <cellStyle name="Normal 11 4 2 3 3 2" xfId="54234"/>
    <cellStyle name="Normal 11 4 2 3 3 3" xfId="54235"/>
    <cellStyle name="Normal 11 4 2 3 4" xfId="54236"/>
    <cellStyle name="Normal 11 4 2 3 4 2" xfId="54237"/>
    <cellStyle name="Normal 11 4 2 3 5" xfId="54238"/>
    <cellStyle name="Normal 11 4 2 3 6" xfId="54239"/>
    <cellStyle name="Normal 11 4 2 4" xfId="54240"/>
    <cellStyle name="Normal 11 4 2 4 2" xfId="54241"/>
    <cellStyle name="Normal 11 4 2 4 2 2" xfId="54242"/>
    <cellStyle name="Normal 11 4 2 4 2 3" xfId="54243"/>
    <cellStyle name="Normal 11 4 2 4 3" xfId="54244"/>
    <cellStyle name="Normal 11 4 2 4 3 2" xfId="54245"/>
    <cellStyle name="Normal 11 4 2 4 3 3" xfId="54246"/>
    <cellStyle name="Normal 11 4 2 4 4" xfId="54247"/>
    <cellStyle name="Normal 11 4 2 4 4 2" xfId="54248"/>
    <cellStyle name="Normal 11 4 2 4 5" xfId="54249"/>
    <cellStyle name="Normal 11 4 2 4 6" xfId="54250"/>
    <cellStyle name="Normal 11 4 2 5" xfId="54251"/>
    <cellStyle name="Normal 11 4 2 5 2" xfId="54252"/>
    <cellStyle name="Normal 11 4 2 5 2 2" xfId="54253"/>
    <cellStyle name="Normal 11 4 2 5 2 3" xfId="54254"/>
    <cellStyle name="Normal 11 4 2 5 3" xfId="54255"/>
    <cellStyle name="Normal 11 4 2 5 3 2" xfId="54256"/>
    <cellStyle name="Normal 11 4 2 5 4" xfId="54257"/>
    <cellStyle name="Normal 11 4 2 5 5" xfId="54258"/>
    <cellStyle name="Normal 11 4 2 6" xfId="54259"/>
    <cellStyle name="Normal 11 4 2 6 2" xfId="54260"/>
    <cellStyle name="Normal 11 4 2 6 3" xfId="54261"/>
    <cellStyle name="Normal 11 4 2 7" xfId="54262"/>
    <cellStyle name="Normal 11 4 2 7 2" xfId="54263"/>
    <cellStyle name="Normal 11 4 2 7 3" xfId="54264"/>
    <cellStyle name="Normal 11 4 2 8" xfId="54265"/>
    <cellStyle name="Normal 11 4 2 8 2" xfId="54266"/>
    <cellStyle name="Normal 11 4 2 9" xfId="54267"/>
    <cellStyle name="Normal 11 4 3" xfId="54268"/>
    <cellStyle name="Normal 11 4 3 2" xfId="54269"/>
    <cellStyle name="Normal 11 4 3 2 2" xfId="54270"/>
    <cellStyle name="Normal 11 4 3 2 2 2" xfId="54271"/>
    <cellStyle name="Normal 11 4 3 2 2 3" xfId="54272"/>
    <cellStyle name="Normal 11 4 3 2 3" xfId="54273"/>
    <cellStyle name="Normal 11 4 3 2 3 2" xfId="54274"/>
    <cellStyle name="Normal 11 4 3 2 3 3" xfId="54275"/>
    <cellStyle name="Normal 11 4 3 2 4" xfId="54276"/>
    <cellStyle name="Normal 11 4 3 2 4 2" xfId="54277"/>
    <cellStyle name="Normal 11 4 3 2 5" xfId="54278"/>
    <cellStyle name="Normal 11 4 3 2 6" xfId="54279"/>
    <cellStyle name="Normal 11 4 3 3" xfId="54280"/>
    <cellStyle name="Normal 11 4 3 3 2" xfId="54281"/>
    <cellStyle name="Normal 11 4 3 3 2 2" xfId="54282"/>
    <cellStyle name="Normal 11 4 3 3 2 3" xfId="54283"/>
    <cellStyle name="Normal 11 4 3 3 3" xfId="54284"/>
    <cellStyle name="Normal 11 4 3 3 3 2" xfId="54285"/>
    <cellStyle name="Normal 11 4 3 3 3 3" xfId="54286"/>
    <cellStyle name="Normal 11 4 3 3 4" xfId="54287"/>
    <cellStyle name="Normal 11 4 3 3 4 2" xfId="54288"/>
    <cellStyle name="Normal 11 4 3 3 5" xfId="54289"/>
    <cellStyle name="Normal 11 4 3 3 6" xfId="54290"/>
    <cellStyle name="Normal 11 4 3 4" xfId="54291"/>
    <cellStyle name="Normal 11 4 3 4 2" xfId="54292"/>
    <cellStyle name="Normal 11 4 3 4 2 2" xfId="54293"/>
    <cellStyle name="Normal 11 4 3 4 2 3" xfId="54294"/>
    <cellStyle name="Normal 11 4 3 4 3" xfId="54295"/>
    <cellStyle name="Normal 11 4 3 4 3 2" xfId="54296"/>
    <cellStyle name="Normal 11 4 3 4 4" xfId="54297"/>
    <cellStyle name="Normal 11 4 3 4 5" xfId="54298"/>
    <cellStyle name="Normal 11 4 3 5" xfId="54299"/>
    <cellStyle name="Normal 11 4 3 5 2" xfId="54300"/>
    <cellStyle name="Normal 11 4 3 5 3" xfId="54301"/>
    <cellStyle name="Normal 11 4 3 6" xfId="54302"/>
    <cellStyle name="Normal 11 4 3 6 2" xfId="54303"/>
    <cellStyle name="Normal 11 4 3 6 3" xfId="54304"/>
    <cellStyle name="Normal 11 4 3 7" xfId="54305"/>
    <cellStyle name="Normal 11 4 3 7 2" xfId="54306"/>
    <cellStyle name="Normal 11 4 3 8" xfId="54307"/>
    <cellStyle name="Normal 11 4 3 9" xfId="54308"/>
    <cellStyle name="Normal 11 4 4" xfId="54309"/>
    <cellStyle name="Normal 11 4 4 2" xfId="54310"/>
    <cellStyle name="Normal 11 4 4 2 2" xfId="54311"/>
    <cellStyle name="Normal 11 4 4 2 2 2" xfId="54312"/>
    <cellStyle name="Normal 11 4 4 2 2 3" xfId="54313"/>
    <cellStyle name="Normal 11 4 4 2 3" xfId="54314"/>
    <cellStyle name="Normal 11 4 4 2 3 2" xfId="54315"/>
    <cellStyle name="Normal 11 4 4 2 3 3" xfId="54316"/>
    <cellStyle name="Normal 11 4 4 2 4" xfId="54317"/>
    <cellStyle name="Normal 11 4 4 2 4 2" xfId="54318"/>
    <cellStyle name="Normal 11 4 4 2 5" xfId="54319"/>
    <cellStyle name="Normal 11 4 4 2 6" xfId="54320"/>
    <cellStyle name="Normal 11 4 4 3" xfId="54321"/>
    <cellStyle name="Normal 11 4 4 3 2" xfId="54322"/>
    <cellStyle name="Normal 11 4 4 3 2 2" xfId="54323"/>
    <cellStyle name="Normal 11 4 4 3 2 3" xfId="54324"/>
    <cellStyle name="Normal 11 4 4 3 3" xfId="54325"/>
    <cellStyle name="Normal 11 4 4 3 3 2" xfId="54326"/>
    <cellStyle name="Normal 11 4 4 3 3 3" xfId="54327"/>
    <cellStyle name="Normal 11 4 4 3 4" xfId="54328"/>
    <cellStyle name="Normal 11 4 4 3 4 2" xfId="54329"/>
    <cellStyle name="Normal 11 4 4 3 5" xfId="54330"/>
    <cellStyle name="Normal 11 4 4 3 6" xfId="54331"/>
    <cellStyle name="Normal 11 4 4 4" xfId="54332"/>
    <cellStyle name="Normal 11 4 4 4 2" xfId="54333"/>
    <cellStyle name="Normal 11 4 4 4 2 2" xfId="54334"/>
    <cellStyle name="Normal 11 4 4 4 2 3" xfId="54335"/>
    <cellStyle name="Normal 11 4 4 4 3" xfId="54336"/>
    <cellStyle name="Normal 11 4 4 4 3 2" xfId="54337"/>
    <cellStyle name="Normal 11 4 4 4 4" xfId="54338"/>
    <cellStyle name="Normal 11 4 4 4 5" xfId="54339"/>
    <cellStyle name="Normal 11 4 4 5" xfId="54340"/>
    <cellStyle name="Normal 11 4 4 5 2" xfId="54341"/>
    <cellStyle name="Normal 11 4 4 5 3" xfId="54342"/>
    <cellStyle name="Normal 11 4 4 6" xfId="54343"/>
    <cellStyle name="Normal 11 4 4 6 2" xfId="54344"/>
    <cellStyle name="Normal 11 4 4 6 3" xfId="54345"/>
    <cellStyle name="Normal 11 4 4 7" xfId="54346"/>
    <cellStyle name="Normal 11 4 4 7 2" xfId="54347"/>
    <cellStyle name="Normal 11 4 4 8" xfId="54348"/>
    <cellStyle name="Normal 11 4 4 9" xfId="54349"/>
    <cellStyle name="Normal 11 4 5" xfId="54350"/>
    <cellStyle name="Normal 11 4 5 2" xfId="54351"/>
    <cellStyle name="Normal 11 4 5 2 2" xfId="54352"/>
    <cellStyle name="Normal 11 4 5 2 3" xfId="54353"/>
    <cellStyle name="Normal 11 4 5 3" xfId="54354"/>
    <cellStyle name="Normal 11 4 5 3 2" xfId="54355"/>
    <cellStyle name="Normal 11 4 5 3 3" xfId="54356"/>
    <cellStyle name="Normal 11 4 5 4" xfId="54357"/>
    <cellStyle name="Normal 11 4 5 4 2" xfId="54358"/>
    <cellStyle name="Normal 11 4 5 5" xfId="54359"/>
    <cellStyle name="Normal 11 4 5 6" xfId="54360"/>
    <cellStyle name="Normal 11 4 6" xfId="54361"/>
    <cellStyle name="Normal 11 4 6 2" xfId="54362"/>
    <cellStyle name="Normal 11 4 6 2 2" xfId="54363"/>
    <cellStyle name="Normal 11 4 6 2 3" xfId="54364"/>
    <cellStyle name="Normal 11 4 6 3" xfId="54365"/>
    <cellStyle name="Normal 11 4 6 3 2" xfId="54366"/>
    <cellStyle name="Normal 11 4 6 3 3" xfId="54367"/>
    <cellStyle name="Normal 11 4 6 4" xfId="54368"/>
    <cellStyle name="Normal 11 4 6 4 2" xfId="54369"/>
    <cellStyle name="Normal 11 4 6 5" xfId="54370"/>
    <cellStyle name="Normal 11 4 6 6" xfId="54371"/>
    <cellStyle name="Normal 11 4 7" xfId="54372"/>
    <cellStyle name="Normal 11 4 7 2" xfId="54373"/>
    <cellStyle name="Normal 11 4 7 2 2" xfId="54374"/>
    <cellStyle name="Normal 11 4 7 2 3" xfId="54375"/>
    <cellStyle name="Normal 11 4 7 3" xfId="54376"/>
    <cellStyle name="Normal 11 4 7 3 2" xfId="54377"/>
    <cellStyle name="Normal 11 4 7 4" xfId="54378"/>
    <cellStyle name="Normal 11 4 7 5" xfId="54379"/>
    <cellStyle name="Normal 11 4 8" xfId="54380"/>
    <cellStyle name="Normal 11 4 8 2" xfId="54381"/>
    <cellStyle name="Normal 11 4 8 3" xfId="54382"/>
    <cellStyle name="Normal 11 4 9" xfId="54383"/>
    <cellStyle name="Normal 11 4 9 2" xfId="54384"/>
    <cellStyle name="Normal 11 4 9 3" xfId="54385"/>
    <cellStyle name="Normal 11 5" xfId="54386"/>
    <cellStyle name="Normal 11 5 10" xfId="54387"/>
    <cellStyle name="Normal 11 5 2" xfId="54388"/>
    <cellStyle name="Normal 11 5 2 2" xfId="54389"/>
    <cellStyle name="Normal 11 5 2 2 2" xfId="54390"/>
    <cellStyle name="Normal 11 5 2 2 2 2" xfId="54391"/>
    <cellStyle name="Normal 11 5 2 2 2 3" xfId="54392"/>
    <cellStyle name="Normal 11 5 2 2 3" xfId="54393"/>
    <cellStyle name="Normal 11 5 2 2 3 2" xfId="54394"/>
    <cellStyle name="Normal 11 5 2 2 3 3" xfId="54395"/>
    <cellStyle name="Normal 11 5 2 2 4" xfId="54396"/>
    <cellStyle name="Normal 11 5 2 2 4 2" xfId="54397"/>
    <cellStyle name="Normal 11 5 2 2 5" xfId="54398"/>
    <cellStyle name="Normal 11 5 2 2 6" xfId="54399"/>
    <cellStyle name="Normal 11 5 2 3" xfId="54400"/>
    <cellStyle name="Normal 11 5 2 3 2" xfId="54401"/>
    <cellStyle name="Normal 11 5 2 3 2 2" xfId="54402"/>
    <cellStyle name="Normal 11 5 2 3 2 3" xfId="54403"/>
    <cellStyle name="Normal 11 5 2 3 3" xfId="54404"/>
    <cellStyle name="Normal 11 5 2 3 3 2" xfId="54405"/>
    <cellStyle name="Normal 11 5 2 3 3 3" xfId="54406"/>
    <cellStyle name="Normal 11 5 2 3 4" xfId="54407"/>
    <cellStyle name="Normal 11 5 2 3 4 2" xfId="54408"/>
    <cellStyle name="Normal 11 5 2 3 5" xfId="54409"/>
    <cellStyle name="Normal 11 5 2 3 6" xfId="54410"/>
    <cellStyle name="Normal 11 5 2 4" xfId="54411"/>
    <cellStyle name="Normal 11 5 2 4 2" xfId="54412"/>
    <cellStyle name="Normal 11 5 2 4 2 2" xfId="54413"/>
    <cellStyle name="Normal 11 5 2 4 2 3" xfId="54414"/>
    <cellStyle name="Normal 11 5 2 4 3" xfId="54415"/>
    <cellStyle name="Normal 11 5 2 4 3 2" xfId="54416"/>
    <cellStyle name="Normal 11 5 2 4 4" xfId="54417"/>
    <cellStyle name="Normal 11 5 2 4 5" xfId="54418"/>
    <cellStyle name="Normal 11 5 2 5" xfId="54419"/>
    <cellStyle name="Normal 11 5 2 5 2" xfId="54420"/>
    <cellStyle name="Normal 11 5 2 5 3" xfId="54421"/>
    <cellStyle name="Normal 11 5 2 6" xfId="54422"/>
    <cellStyle name="Normal 11 5 2 6 2" xfId="54423"/>
    <cellStyle name="Normal 11 5 2 6 3" xfId="54424"/>
    <cellStyle name="Normal 11 5 2 7" xfId="54425"/>
    <cellStyle name="Normal 11 5 2 7 2" xfId="54426"/>
    <cellStyle name="Normal 11 5 2 8" xfId="54427"/>
    <cellStyle name="Normal 11 5 2 9" xfId="54428"/>
    <cellStyle name="Normal 11 5 3" xfId="54429"/>
    <cellStyle name="Normal 11 5 3 2" xfId="54430"/>
    <cellStyle name="Normal 11 5 3 2 2" xfId="54431"/>
    <cellStyle name="Normal 11 5 3 2 3" xfId="54432"/>
    <cellStyle name="Normal 11 5 3 3" xfId="54433"/>
    <cellStyle name="Normal 11 5 3 3 2" xfId="54434"/>
    <cellStyle name="Normal 11 5 3 3 3" xfId="54435"/>
    <cellStyle name="Normal 11 5 3 4" xfId="54436"/>
    <cellStyle name="Normal 11 5 3 4 2" xfId="54437"/>
    <cellStyle name="Normal 11 5 3 5" xfId="54438"/>
    <cellStyle name="Normal 11 5 3 6" xfId="54439"/>
    <cellStyle name="Normal 11 5 4" xfId="54440"/>
    <cellStyle name="Normal 11 5 4 2" xfId="54441"/>
    <cellStyle name="Normal 11 5 4 2 2" xfId="54442"/>
    <cellStyle name="Normal 11 5 4 2 3" xfId="54443"/>
    <cellStyle name="Normal 11 5 4 3" xfId="54444"/>
    <cellStyle name="Normal 11 5 4 3 2" xfId="54445"/>
    <cellStyle name="Normal 11 5 4 3 3" xfId="54446"/>
    <cellStyle name="Normal 11 5 4 4" xfId="54447"/>
    <cellStyle name="Normal 11 5 4 4 2" xfId="54448"/>
    <cellStyle name="Normal 11 5 4 5" xfId="54449"/>
    <cellStyle name="Normal 11 5 4 6" xfId="54450"/>
    <cellStyle name="Normal 11 5 5" xfId="54451"/>
    <cellStyle name="Normal 11 5 5 2" xfId="54452"/>
    <cellStyle name="Normal 11 5 5 2 2" xfId="54453"/>
    <cellStyle name="Normal 11 5 5 2 3" xfId="54454"/>
    <cellStyle name="Normal 11 5 5 3" xfId="54455"/>
    <cellStyle name="Normal 11 5 5 3 2" xfId="54456"/>
    <cellStyle name="Normal 11 5 5 4" xfId="54457"/>
    <cellStyle name="Normal 11 5 5 5" xfId="54458"/>
    <cellStyle name="Normal 11 5 6" xfId="54459"/>
    <cellStyle name="Normal 11 5 6 2" xfId="54460"/>
    <cellStyle name="Normal 11 5 6 3" xfId="54461"/>
    <cellStyle name="Normal 11 5 7" xfId="54462"/>
    <cellStyle name="Normal 11 5 7 2" xfId="54463"/>
    <cellStyle name="Normal 11 5 7 3" xfId="54464"/>
    <cellStyle name="Normal 11 5 8" xfId="54465"/>
    <cellStyle name="Normal 11 5 8 2" xfId="54466"/>
    <cellStyle name="Normal 11 5 9" xfId="54467"/>
    <cellStyle name="Normal 11 6" xfId="54468"/>
    <cellStyle name="Normal 11 6 2" xfId="54469"/>
    <cellStyle name="Normal 11 6 2 2" xfId="54470"/>
    <cellStyle name="Normal 11 6 2 2 2" xfId="54471"/>
    <cellStyle name="Normal 11 6 2 2 3" xfId="54472"/>
    <cellStyle name="Normal 11 6 2 3" xfId="54473"/>
    <cellStyle name="Normal 11 6 2 3 2" xfId="54474"/>
    <cellStyle name="Normal 11 6 2 3 3" xfId="54475"/>
    <cellStyle name="Normal 11 6 2 4" xfId="54476"/>
    <cellStyle name="Normal 11 6 2 4 2" xfId="54477"/>
    <cellStyle name="Normal 11 6 2 5" xfId="54478"/>
    <cellStyle name="Normal 11 6 2 6" xfId="54479"/>
    <cellStyle name="Normal 11 6 3" xfId="54480"/>
    <cellStyle name="Normal 11 6 3 2" xfId="54481"/>
    <cellStyle name="Normal 11 6 3 2 2" xfId="54482"/>
    <cellStyle name="Normal 11 6 3 2 3" xfId="54483"/>
    <cellStyle name="Normal 11 6 3 3" xfId="54484"/>
    <cellStyle name="Normal 11 6 3 3 2" xfId="54485"/>
    <cellStyle name="Normal 11 6 3 3 3" xfId="54486"/>
    <cellStyle name="Normal 11 6 3 4" xfId="54487"/>
    <cellStyle name="Normal 11 6 3 4 2" xfId="54488"/>
    <cellStyle name="Normal 11 6 3 5" xfId="54489"/>
    <cellStyle name="Normal 11 6 3 6" xfId="54490"/>
    <cellStyle name="Normal 11 6 4" xfId="54491"/>
    <cellStyle name="Normal 11 6 4 2" xfId="54492"/>
    <cellStyle name="Normal 11 6 4 2 2" xfId="54493"/>
    <cellStyle name="Normal 11 6 4 2 3" xfId="54494"/>
    <cellStyle name="Normal 11 6 4 3" xfId="54495"/>
    <cellStyle name="Normal 11 6 4 3 2" xfId="54496"/>
    <cellStyle name="Normal 11 6 4 4" xfId="54497"/>
    <cellStyle name="Normal 11 6 4 5" xfId="54498"/>
    <cellStyle name="Normal 11 6 5" xfId="54499"/>
    <cellStyle name="Normal 11 6 5 2" xfId="54500"/>
    <cellStyle name="Normal 11 6 5 3" xfId="54501"/>
    <cellStyle name="Normal 11 6 6" xfId="54502"/>
    <cellStyle name="Normal 11 6 6 2" xfId="54503"/>
    <cellStyle name="Normal 11 6 6 3" xfId="54504"/>
    <cellStyle name="Normal 11 6 7" xfId="54505"/>
    <cellStyle name="Normal 11 6 7 2" xfId="54506"/>
    <cellStyle name="Normal 11 6 8" xfId="54507"/>
    <cellStyle name="Normal 11 6 9" xfId="54508"/>
    <cellStyle name="Normal 11 7" xfId="54509"/>
    <cellStyle name="Normal 11 7 2" xfId="54510"/>
    <cellStyle name="Normal 11 7 2 2" xfId="54511"/>
    <cellStyle name="Normal 11 7 2 2 2" xfId="54512"/>
    <cellStyle name="Normal 11 7 2 2 3" xfId="54513"/>
    <cellStyle name="Normal 11 7 2 3" xfId="54514"/>
    <cellStyle name="Normal 11 7 2 3 2" xfId="54515"/>
    <cellStyle name="Normal 11 7 2 3 3" xfId="54516"/>
    <cellStyle name="Normal 11 7 2 4" xfId="54517"/>
    <cellStyle name="Normal 11 7 2 4 2" xfId="54518"/>
    <cellStyle name="Normal 11 7 2 5" xfId="54519"/>
    <cellStyle name="Normal 11 7 2 6" xfId="54520"/>
    <cellStyle name="Normal 11 7 3" xfId="54521"/>
    <cellStyle name="Normal 11 7 3 2" xfId="54522"/>
    <cellStyle name="Normal 11 7 3 2 2" xfId="54523"/>
    <cellStyle name="Normal 11 7 3 2 3" xfId="54524"/>
    <cellStyle name="Normal 11 7 3 3" xfId="54525"/>
    <cellStyle name="Normal 11 7 3 3 2" xfId="54526"/>
    <cellStyle name="Normal 11 7 3 3 3" xfId="54527"/>
    <cellStyle name="Normal 11 7 3 4" xfId="54528"/>
    <cellStyle name="Normal 11 7 3 4 2" xfId="54529"/>
    <cellStyle name="Normal 11 7 3 5" xfId="54530"/>
    <cellStyle name="Normal 11 7 3 6" xfId="54531"/>
    <cellStyle name="Normal 11 7 4" xfId="54532"/>
    <cellStyle name="Normal 11 7 4 2" xfId="54533"/>
    <cellStyle name="Normal 11 7 4 2 2" xfId="54534"/>
    <cellStyle name="Normal 11 7 4 2 3" xfId="54535"/>
    <cellStyle name="Normal 11 7 4 3" xfId="54536"/>
    <cellStyle name="Normal 11 7 4 3 2" xfId="54537"/>
    <cellStyle name="Normal 11 7 4 4" xfId="54538"/>
    <cellStyle name="Normal 11 7 4 5" xfId="54539"/>
    <cellStyle name="Normal 11 7 5" xfId="54540"/>
    <cellStyle name="Normal 11 7 5 2" xfId="54541"/>
    <cellStyle name="Normal 11 7 5 3" xfId="54542"/>
    <cellStyle name="Normal 11 7 6" xfId="54543"/>
    <cellStyle name="Normal 11 7 6 2" xfId="54544"/>
    <cellStyle name="Normal 11 7 6 3" xfId="54545"/>
    <cellStyle name="Normal 11 7 7" xfId="54546"/>
    <cellStyle name="Normal 11 7 7 2" xfId="54547"/>
    <cellStyle name="Normal 11 7 8" xfId="54548"/>
    <cellStyle name="Normal 11 7 9" xfId="54549"/>
    <cellStyle name="Normal 11 8" xfId="54550"/>
    <cellStyle name="Normal 11 8 2" xfId="54551"/>
    <cellStyle name="Normal 11 8 2 2" xfId="54552"/>
    <cellStyle name="Normal 11 8 2 3" xfId="54553"/>
    <cellStyle name="Normal 11 8 3" xfId="54554"/>
    <cellStyle name="Normal 11 8 3 2" xfId="54555"/>
    <cellStyle name="Normal 11 8 3 3" xfId="54556"/>
    <cellStyle name="Normal 11 8 4" xfId="54557"/>
    <cellStyle name="Normal 11 8 4 2" xfId="54558"/>
    <cellStyle name="Normal 11 8 5" xfId="54559"/>
    <cellStyle name="Normal 11 8 6" xfId="54560"/>
    <cellStyle name="Normal 11 9" xfId="54561"/>
    <cellStyle name="Normal 11 9 2" xfId="54562"/>
    <cellStyle name="Normal 11 9 2 2" xfId="54563"/>
    <cellStyle name="Normal 11 9 2 3" xfId="54564"/>
    <cellStyle name="Normal 11 9 3" xfId="54565"/>
    <cellStyle name="Normal 11 9 3 2" xfId="54566"/>
    <cellStyle name="Normal 11 9 3 3" xfId="54567"/>
    <cellStyle name="Normal 11 9 4" xfId="54568"/>
    <cellStyle name="Normal 11 9 4 2" xfId="54569"/>
    <cellStyle name="Normal 11 9 5" xfId="54570"/>
    <cellStyle name="Normal 11 9 6" xfId="54571"/>
    <cellStyle name="Normal 12" xfId="4401"/>
    <cellStyle name="Normal 12 2" xfId="4402"/>
    <cellStyle name="Normal 12 2 2" xfId="4403"/>
    <cellStyle name="Normal 12 2 2 2" xfId="4404"/>
    <cellStyle name="Normal 12 2 2 2 2" xfId="4405"/>
    <cellStyle name="Normal 12 2 2 2 2 2" xfId="4406"/>
    <cellStyle name="Normal 12 2 2 2 2 2 2" xfId="4407"/>
    <cellStyle name="Normal 12 2 2 2 2 3" xfId="4408"/>
    <cellStyle name="Normal 12 2 2 2 3" xfId="4409"/>
    <cellStyle name="Normal 12 2 2 2 3 2" xfId="4410"/>
    <cellStyle name="Normal 12 2 2 2 4" xfId="4411"/>
    <cellStyle name="Normal 12 2 2 2 5" xfId="59489"/>
    <cellStyle name="Normal 12 2 2 3" xfId="4412"/>
    <cellStyle name="Normal 12 2 2 3 2" xfId="4413"/>
    <cellStyle name="Normal 12 2 2 3 2 2" xfId="4414"/>
    <cellStyle name="Normal 12 2 2 3 3" xfId="4415"/>
    <cellStyle name="Normal 12 2 2 4" xfId="4416"/>
    <cellStyle name="Normal 12 2 2 4 2" xfId="4417"/>
    <cellStyle name="Normal 12 2 2 5" xfId="4418"/>
    <cellStyle name="Normal 12 2 2 6" xfId="59490"/>
    <cellStyle name="Normal 12 2 3" xfId="4419"/>
    <cellStyle name="Normal 12 2 3 2" xfId="4420"/>
    <cellStyle name="Normal 12 2 3 2 2" xfId="4421"/>
    <cellStyle name="Normal 12 2 3 2 2 2" xfId="4422"/>
    <cellStyle name="Normal 12 2 3 2 3" xfId="4423"/>
    <cellStyle name="Normal 12 2 3 3" xfId="4424"/>
    <cellStyle name="Normal 12 2 3 3 2" xfId="4425"/>
    <cellStyle name="Normal 12 2 3 4" xfId="4426"/>
    <cellStyle name="Normal 12 2 3 5" xfId="59491"/>
    <cellStyle name="Normal 12 2 4" xfId="4427"/>
    <cellStyle name="Normal 12 2 4 2" xfId="4428"/>
    <cellStyle name="Normal 12 2 4 2 2" xfId="4429"/>
    <cellStyle name="Normal 12 2 4 3" xfId="4430"/>
    <cellStyle name="Normal 12 2 5" xfId="4431"/>
    <cellStyle name="Normal 12 2 5 2" xfId="4432"/>
    <cellStyle name="Normal 12 2 6" xfId="4433"/>
    <cellStyle name="Normal 12 2 7" xfId="4434"/>
    <cellStyle name="Normal 12 3" xfId="4435"/>
    <cellStyle name="Normal 12 3 2" xfId="4436"/>
    <cellStyle name="Normal 12 3 2 2" xfId="4437"/>
    <cellStyle name="Normal 12 3 2 2 2" xfId="4438"/>
    <cellStyle name="Normal 12 3 2 2 2 2" xfId="4439"/>
    <cellStyle name="Normal 12 3 2 2 3" xfId="4440"/>
    <cellStyle name="Normal 12 3 2 3" xfId="4441"/>
    <cellStyle name="Normal 12 3 2 3 2" xfId="4442"/>
    <cellStyle name="Normal 12 3 2 4" xfId="4443"/>
    <cellStyle name="Normal 12 3 3" xfId="4444"/>
    <cellStyle name="Normal 12 3 3 2" xfId="4445"/>
    <cellStyle name="Normal 12 3 3 2 2" xfId="4446"/>
    <cellStyle name="Normal 12 3 3 3" xfId="4447"/>
    <cellStyle name="Normal 12 3 4" xfId="4448"/>
    <cellStyle name="Normal 12 3 4 2" xfId="4449"/>
    <cellStyle name="Normal 12 3 5" xfId="4450"/>
    <cellStyle name="Normal 12 3 6" xfId="59492"/>
    <cellStyle name="Normal 12 4" xfId="4451"/>
    <cellStyle name="Normal 12 4 2" xfId="4452"/>
    <cellStyle name="Normal 12 4 2 2" xfId="4453"/>
    <cellStyle name="Normal 12 4 2 2 2" xfId="4454"/>
    <cellStyle name="Normal 12 4 2 3" xfId="4455"/>
    <cellStyle name="Normal 12 4 3" xfId="4456"/>
    <cellStyle name="Normal 12 4 3 2" xfId="4457"/>
    <cellStyle name="Normal 12 4 4" xfId="4458"/>
    <cellStyle name="Normal 12 5" xfId="4459"/>
    <cellStyle name="Normal 12 5 2" xfId="4460"/>
    <cellStyle name="Normal 12 5 2 2" xfId="4461"/>
    <cellStyle name="Normal 12 5 3" xfId="4462"/>
    <cellStyle name="Normal 12 6" xfId="4463"/>
    <cellStyle name="Normal 12 6 2" xfId="4464"/>
    <cellStyle name="Normal 12 7" xfId="4465"/>
    <cellStyle name="Normal 12 8" xfId="4466"/>
    <cellStyle name="Normal 13" xfId="4467"/>
    <cellStyle name="Normal 13 10" xfId="54572"/>
    <cellStyle name="Normal 13 10 2" xfId="54573"/>
    <cellStyle name="Normal 13 10 3" xfId="54574"/>
    <cellStyle name="Normal 13 11" xfId="54575"/>
    <cellStyle name="Normal 13 11 2" xfId="54576"/>
    <cellStyle name="Normal 13 11 3" xfId="54577"/>
    <cellStyle name="Normal 13 12" xfId="54578"/>
    <cellStyle name="Normal 13 12 2" xfId="54579"/>
    <cellStyle name="Normal 13 13" xfId="54580"/>
    <cellStyle name="Normal 13 14" xfId="54581"/>
    <cellStyle name="Normal 13 15" xfId="54582"/>
    <cellStyle name="Normal 13 2" xfId="4468"/>
    <cellStyle name="Normal 13 2 10" xfId="54583"/>
    <cellStyle name="Normal 13 2 10 2" xfId="54584"/>
    <cellStyle name="Normal 13 2 10 3" xfId="54585"/>
    <cellStyle name="Normal 13 2 11" xfId="54586"/>
    <cellStyle name="Normal 13 2 11 2" xfId="54587"/>
    <cellStyle name="Normal 13 2 12" xfId="54588"/>
    <cellStyle name="Normal 13 2 13" xfId="54589"/>
    <cellStyle name="Normal 13 2 14" xfId="54590"/>
    <cellStyle name="Normal 13 2 2" xfId="9221"/>
    <cellStyle name="Normal 13 2 2 10" xfId="54591"/>
    <cellStyle name="Normal 13 2 2 10 2" xfId="54592"/>
    <cellStyle name="Normal 13 2 2 11" xfId="54593"/>
    <cellStyle name="Normal 13 2 2 12" xfId="54594"/>
    <cellStyle name="Normal 13 2 2 13" xfId="54595"/>
    <cellStyle name="Normal 13 2 2 2" xfId="9222"/>
    <cellStyle name="Normal 13 2 2 2 10" xfId="54596"/>
    <cellStyle name="Normal 13 2 2 2 2" xfId="54597"/>
    <cellStyle name="Normal 13 2 2 2 2 2" xfId="54598"/>
    <cellStyle name="Normal 13 2 2 2 2 2 2" xfId="54599"/>
    <cellStyle name="Normal 13 2 2 2 2 2 2 2" xfId="54600"/>
    <cellStyle name="Normal 13 2 2 2 2 2 2 3" xfId="54601"/>
    <cellStyle name="Normal 13 2 2 2 2 2 3" xfId="54602"/>
    <cellStyle name="Normal 13 2 2 2 2 2 3 2" xfId="54603"/>
    <cellStyle name="Normal 13 2 2 2 2 2 3 3" xfId="54604"/>
    <cellStyle name="Normal 13 2 2 2 2 2 4" xfId="54605"/>
    <cellStyle name="Normal 13 2 2 2 2 2 4 2" xfId="54606"/>
    <cellStyle name="Normal 13 2 2 2 2 2 5" xfId="54607"/>
    <cellStyle name="Normal 13 2 2 2 2 2 6" xfId="54608"/>
    <cellStyle name="Normal 13 2 2 2 2 3" xfId="54609"/>
    <cellStyle name="Normal 13 2 2 2 2 3 2" xfId="54610"/>
    <cellStyle name="Normal 13 2 2 2 2 3 2 2" xfId="54611"/>
    <cellStyle name="Normal 13 2 2 2 2 3 2 3" xfId="54612"/>
    <cellStyle name="Normal 13 2 2 2 2 3 3" xfId="54613"/>
    <cellStyle name="Normal 13 2 2 2 2 3 3 2" xfId="54614"/>
    <cellStyle name="Normal 13 2 2 2 2 3 3 3" xfId="54615"/>
    <cellStyle name="Normal 13 2 2 2 2 3 4" xfId="54616"/>
    <cellStyle name="Normal 13 2 2 2 2 3 4 2" xfId="54617"/>
    <cellStyle name="Normal 13 2 2 2 2 3 5" xfId="54618"/>
    <cellStyle name="Normal 13 2 2 2 2 3 6" xfId="54619"/>
    <cellStyle name="Normal 13 2 2 2 2 4" xfId="54620"/>
    <cellStyle name="Normal 13 2 2 2 2 4 2" xfId="54621"/>
    <cellStyle name="Normal 13 2 2 2 2 4 2 2" xfId="54622"/>
    <cellStyle name="Normal 13 2 2 2 2 4 2 3" xfId="54623"/>
    <cellStyle name="Normal 13 2 2 2 2 4 3" xfId="54624"/>
    <cellStyle name="Normal 13 2 2 2 2 4 3 2" xfId="54625"/>
    <cellStyle name="Normal 13 2 2 2 2 4 4" xfId="54626"/>
    <cellStyle name="Normal 13 2 2 2 2 4 5" xfId="54627"/>
    <cellStyle name="Normal 13 2 2 2 2 5" xfId="54628"/>
    <cellStyle name="Normal 13 2 2 2 2 5 2" xfId="54629"/>
    <cellStyle name="Normal 13 2 2 2 2 5 3" xfId="54630"/>
    <cellStyle name="Normal 13 2 2 2 2 6" xfId="54631"/>
    <cellStyle name="Normal 13 2 2 2 2 6 2" xfId="54632"/>
    <cellStyle name="Normal 13 2 2 2 2 6 3" xfId="54633"/>
    <cellStyle name="Normal 13 2 2 2 2 7" xfId="54634"/>
    <cellStyle name="Normal 13 2 2 2 2 7 2" xfId="54635"/>
    <cellStyle name="Normal 13 2 2 2 2 8" xfId="54636"/>
    <cellStyle name="Normal 13 2 2 2 2 9" xfId="54637"/>
    <cellStyle name="Normal 13 2 2 2 3" xfId="54638"/>
    <cellStyle name="Normal 13 2 2 2 3 2" xfId="54639"/>
    <cellStyle name="Normal 13 2 2 2 3 2 2" xfId="54640"/>
    <cellStyle name="Normal 13 2 2 2 3 2 3" xfId="54641"/>
    <cellStyle name="Normal 13 2 2 2 3 3" xfId="54642"/>
    <cellStyle name="Normal 13 2 2 2 3 3 2" xfId="54643"/>
    <cellStyle name="Normal 13 2 2 2 3 3 3" xfId="54644"/>
    <cellStyle name="Normal 13 2 2 2 3 4" xfId="54645"/>
    <cellStyle name="Normal 13 2 2 2 3 4 2" xfId="54646"/>
    <cellStyle name="Normal 13 2 2 2 3 5" xfId="54647"/>
    <cellStyle name="Normal 13 2 2 2 3 6" xfId="54648"/>
    <cellStyle name="Normal 13 2 2 2 4" xfId="54649"/>
    <cellStyle name="Normal 13 2 2 2 4 2" xfId="54650"/>
    <cellStyle name="Normal 13 2 2 2 4 2 2" xfId="54651"/>
    <cellStyle name="Normal 13 2 2 2 4 2 3" xfId="54652"/>
    <cellStyle name="Normal 13 2 2 2 4 3" xfId="54653"/>
    <cellStyle name="Normal 13 2 2 2 4 3 2" xfId="54654"/>
    <cellStyle name="Normal 13 2 2 2 4 3 3" xfId="54655"/>
    <cellStyle name="Normal 13 2 2 2 4 4" xfId="54656"/>
    <cellStyle name="Normal 13 2 2 2 4 4 2" xfId="54657"/>
    <cellStyle name="Normal 13 2 2 2 4 5" xfId="54658"/>
    <cellStyle name="Normal 13 2 2 2 4 6" xfId="54659"/>
    <cellStyle name="Normal 13 2 2 2 5" xfId="54660"/>
    <cellStyle name="Normal 13 2 2 2 5 2" xfId="54661"/>
    <cellStyle name="Normal 13 2 2 2 5 2 2" xfId="54662"/>
    <cellStyle name="Normal 13 2 2 2 5 2 3" xfId="54663"/>
    <cellStyle name="Normal 13 2 2 2 5 3" xfId="54664"/>
    <cellStyle name="Normal 13 2 2 2 5 3 2" xfId="54665"/>
    <cellStyle name="Normal 13 2 2 2 5 4" xfId="54666"/>
    <cellStyle name="Normal 13 2 2 2 5 5" xfId="54667"/>
    <cellStyle name="Normal 13 2 2 2 6" xfId="54668"/>
    <cellStyle name="Normal 13 2 2 2 6 2" xfId="54669"/>
    <cellStyle name="Normal 13 2 2 2 6 3" xfId="54670"/>
    <cellStyle name="Normal 13 2 2 2 7" xfId="54671"/>
    <cellStyle name="Normal 13 2 2 2 7 2" xfId="54672"/>
    <cellStyle name="Normal 13 2 2 2 7 3" xfId="54673"/>
    <cellStyle name="Normal 13 2 2 2 8" xfId="54674"/>
    <cellStyle name="Normal 13 2 2 2 8 2" xfId="54675"/>
    <cellStyle name="Normal 13 2 2 2 9" xfId="54676"/>
    <cellStyle name="Normal 13 2 2 3" xfId="54677"/>
    <cellStyle name="Normal 13 2 2 3 2" xfId="54678"/>
    <cellStyle name="Normal 13 2 2 3 2 2" xfId="54679"/>
    <cellStyle name="Normal 13 2 2 3 2 2 2" xfId="54680"/>
    <cellStyle name="Normal 13 2 2 3 2 2 3" xfId="54681"/>
    <cellStyle name="Normal 13 2 2 3 2 3" xfId="54682"/>
    <cellStyle name="Normal 13 2 2 3 2 3 2" xfId="54683"/>
    <cellStyle name="Normal 13 2 2 3 2 3 3" xfId="54684"/>
    <cellStyle name="Normal 13 2 2 3 2 4" xfId="54685"/>
    <cellStyle name="Normal 13 2 2 3 2 4 2" xfId="54686"/>
    <cellStyle name="Normal 13 2 2 3 2 5" xfId="54687"/>
    <cellStyle name="Normal 13 2 2 3 2 6" xfId="54688"/>
    <cellStyle name="Normal 13 2 2 3 3" xfId="54689"/>
    <cellStyle name="Normal 13 2 2 3 3 2" xfId="54690"/>
    <cellStyle name="Normal 13 2 2 3 3 2 2" xfId="54691"/>
    <cellStyle name="Normal 13 2 2 3 3 2 3" xfId="54692"/>
    <cellStyle name="Normal 13 2 2 3 3 3" xfId="54693"/>
    <cellStyle name="Normal 13 2 2 3 3 3 2" xfId="54694"/>
    <cellStyle name="Normal 13 2 2 3 3 3 3" xfId="54695"/>
    <cellStyle name="Normal 13 2 2 3 3 4" xfId="54696"/>
    <cellStyle name="Normal 13 2 2 3 3 4 2" xfId="54697"/>
    <cellStyle name="Normal 13 2 2 3 3 5" xfId="54698"/>
    <cellStyle name="Normal 13 2 2 3 3 6" xfId="54699"/>
    <cellStyle name="Normal 13 2 2 3 4" xfId="54700"/>
    <cellStyle name="Normal 13 2 2 3 4 2" xfId="54701"/>
    <cellStyle name="Normal 13 2 2 3 4 2 2" xfId="54702"/>
    <cellStyle name="Normal 13 2 2 3 4 2 3" xfId="54703"/>
    <cellStyle name="Normal 13 2 2 3 4 3" xfId="54704"/>
    <cellStyle name="Normal 13 2 2 3 4 3 2" xfId="54705"/>
    <cellStyle name="Normal 13 2 2 3 4 4" xfId="54706"/>
    <cellStyle name="Normal 13 2 2 3 4 5" xfId="54707"/>
    <cellStyle name="Normal 13 2 2 3 5" xfId="54708"/>
    <cellStyle name="Normal 13 2 2 3 5 2" xfId="54709"/>
    <cellStyle name="Normal 13 2 2 3 5 3" xfId="54710"/>
    <cellStyle name="Normal 13 2 2 3 6" xfId="54711"/>
    <cellStyle name="Normal 13 2 2 3 6 2" xfId="54712"/>
    <cellStyle name="Normal 13 2 2 3 6 3" xfId="54713"/>
    <cellStyle name="Normal 13 2 2 3 7" xfId="54714"/>
    <cellStyle name="Normal 13 2 2 3 7 2" xfId="54715"/>
    <cellStyle name="Normal 13 2 2 3 8" xfId="54716"/>
    <cellStyle name="Normal 13 2 2 3 9" xfId="54717"/>
    <cellStyle name="Normal 13 2 2 4" xfId="54718"/>
    <cellStyle name="Normal 13 2 2 4 2" xfId="54719"/>
    <cellStyle name="Normal 13 2 2 4 2 2" xfId="54720"/>
    <cellStyle name="Normal 13 2 2 4 2 2 2" xfId="54721"/>
    <cellStyle name="Normal 13 2 2 4 2 2 3" xfId="54722"/>
    <cellStyle name="Normal 13 2 2 4 2 3" xfId="54723"/>
    <cellStyle name="Normal 13 2 2 4 2 3 2" xfId="54724"/>
    <cellStyle name="Normal 13 2 2 4 2 3 3" xfId="54725"/>
    <cellStyle name="Normal 13 2 2 4 2 4" xfId="54726"/>
    <cellStyle name="Normal 13 2 2 4 2 4 2" xfId="54727"/>
    <cellStyle name="Normal 13 2 2 4 2 5" xfId="54728"/>
    <cellStyle name="Normal 13 2 2 4 2 6" xfId="54729"/>
    <cellStyle name="Normal 13 2 2 4 3" xfId="54730"/>
    <cellStyle name="Normal 13 2 2 4 3 2" xfId="54731"/>
    <cellStyle name="Normal 13 2 2 4 3 2 2" xfId="54732"/>
    <cellStyle name="Normal 13 2 2 4 3 2 3" xfId="54733"/>
    <cellStyle name="Normal 13 2 2 4 3 3" xfId="54734"/>
    <cellStyle name="Normal 13 2 2 4 3 3 2" xfId="54735"/>
    <cellStyle name="Normal 13 2 2 4 3 3 3" xfId="54736"/>
    <cellStyle name="Normal 13 2 2 4 3 4" xfId="54737"/>
    <cellStyle name="Normal 13 2 2 4 3 4 2" xfId="54738"/>
    <cellStyle name="Normal 13 2 2 4 3 5" xfId="54739"/>
    <cellStyle name="Normal 13 2 2 4 3 6" xfId="54740"/>
    <cellStyle name="Normal 13 2 2 4 4" xfId="54741"/>
    <cellStyle name="Normal 13 2 2 4 4 2" xfId="54742"/>
    <cellStyle name="Normal 13 2 2 4 4 2 2" xfId="54743"/>
    <cellStyle name="Normal 13 2 2 4 4 2 3" xfId="54744"/>
    <cellStyle name="Normal 13 2 2 4 4 3" xfId="54745"/>
    <cellStyle name="Normal 13 2 2 4 4 3 2" xfId="54746"/>
    <cellStyle name="Normal 13 2 2 4 4 4" xfId="54747"/>
    <cellStyle name="Normal 13 2 2 4 4 5" xfId="54748"/>
    <cellStyle name="Normal 13 2 2 4 5" xfId="54749"/>
    <cellStyle name="Normal 13 2 2 4 5 2" xfId="54750"/>
    <cellStyle name="Normal 13 2 2 4 5 3" xfId="54751"/>
    <cellStyle name="Normal 13 2 2 4 6" xfId="54752"/>
    <cellStyle name="Normal 13 2 2 4 6 2" xfId="54753"/>
    <cellStyle name="Normal 13 2 2 4 6 3" xfId="54754"/>
    <cellStyle name="Normal 13 2 2 4 7" xfId="54755"/>
    <cellStyle name="Normal 13 2 2 4 7 2" xfId="54756"/>
    <cellStyle name="Normal 13 2 2 4 8" xfId="54757"/>
    <cellStyle name="Normal 13 2 2 4 9" xfId="54758"/>
    <cellStyle name="Normal 13 2 2 5" xfId="54759"/>
    <cellStyle name="Normal 13 2 2 5 2" xfId="54760"/>
    <cellStyle name="Normal 13 2 2 5 2 2" xfId="54761"/>
    <cellStyle name="Normal 13 2 2 5 2 3" xfId="54762"/>
    <cellStyle name="Normal 13 2 2 5 3" xfId="54763"/>
    <cellStyle name="Normal 13 2 2 5 3 2" xfId="54764"/>
    <cellStyle name="Normal 13 2 2 5 3 3" xfId="54765"/>
    <cellStyle name="Normal 13 2 2 5 4" xfId="54766"/>
    <cellStyle name="Normal 13 2 2 5 4 2" xfId="54767"/>
    <cellStyle name="Normal 13 2 2 5 5" xfId="54768"/>
    <cellStyle name="Normal 13 2 2 5 6" xfId="54769"/>
    <cellStyle name="Normal 13 2 2 6" xfId="54770"/>
    <cellStyle name="Normal 13 2 2 6 2" xfId="54771"/>
    <cellStyle name="Normal 13 2 2 6 2 2" xfId="54772"/>
    <cellStyle name="Normal 13 2 2 6 2 3" xfId="54773"/>
    <cellStyle name="Normal 13 2 2 6 3" xfId="54774"/>
    <cellStyle name="Normal 13 2 2 6 3 2" xfId="54775"/>
    <cellStyle name="Normal 13 2 2 6 3 3" xfId="54776"/>
    <cellStyle name="Normal 13 2 2 6 4" xfId="54777"/>
    <cellStyle name="Normal 13 2 2 6 4 2" xfId="54778"/>
    <cellStyle name="Normal 13 2 2 6 5" xfId="54779"/>
    <cellStyle name="Normal 13 2 2 6 6" xfId="54780"/>
    <cellStyle name="Normal 13 2 2 7" xfId="54781"/>
    <cellStyle name="Normal 13 2 2 7 2" xfId="54782"/>
    <cellStyle name="Normal 13 2 2 7 2 2" xfId="54783"/>
    <cellStyle name="Normal 13 2 2 7 2 3" xfId="54784"/>
    <cellStyle name="Normal 13 2 2 7 3" xfId="54785"/>
    <cellStyle name="Normal 13 2 2 7 3 2" xfId="54786"/>
    <cellStyle name="Normal 13 2 2 7 4" xfId="54787"/>
    <cellStyle name="Normal 13 2 2 7 5" xfId="54788"/>
    <cellStyle name="Normal 13 2 2 8" xfId="54789"/>
    <cellStyle name="Normal 13 2 2 8 2" xfId="54790"/>
    <cellStyle name="Normal 13 2 2 8 3" xfId="54791"/>
    <cellStyle name="Normal 13 2 2 9" xfId="54792"/>
    <cellStyle name="Normal 13 2 2 9 2" xfId="54793"/>
    <cellStyle name="Normal 13 2 2 9 3" xfId="54794"/>
    <cellStyle name="Normal 13 2 3" xfId="9223"/>
    <cellStyle name="Normal 13 2 3 10" xfId="54795"/>
    <cellStyle name="Normal 13 2 3 2" xfId="54796"/>
    <cellStyle name="Normal 13 2 3 2 2" xfId="54797"/>
    <cellStyle name="Normal 13 2 3 2 2 2" xfId="54798"/>
    <cellStyle name="Normal 13 2 3 2 2 2 2" xfId="54799"/>
    <cellStyle name="Normal 13 2 3 2 2 2 3" xfId="54800"/>
    <cellStyle name="Normal 13 2 3 2 2 3" xfId="54801"/>
    <cellStyle name="Normal 13 2 3 2 2 3 2" xfId="54802"/>
    <cellStyle name="Normal 13 2 3 2 2 3 3" xfId="54803"/>
    <cellStyle name="Normal 13 2 3 2 2 4" xfId="54804"/>
    <cellStyle name="Normal 13 2 3 2 2 4 2" xfId="54805"/>
    <cellStyle name="Normal 13 2 3 2 2 5" xfId="54806"/>
    <cellStyle name="Normal 13 2 3 2 2 6" xfId="54807"/>
    <cellStyle name="Normal 13 2 3 2 3" xfId="54808"/>
    <cellStyle name="Normal 13 2 3 2 3 2" xfId="54809"/>
    <cellStyle name="Normal 13 2 3 2 3 2 2" xfId="54810"/>
    <cellStyle name="Normal 13 2 3 2 3 2 3" xfId="54811"/>
    <cellStyle name="Normal 13 2 3 2 3 3" xfId="54812"/>
    <cellStyle name="Normal 13 2 3 2 3 3 2" xfId="54813"/>
    <cellStyle name="Normal 13 2 3 2 3 3 3" xfId="54814"/>
    <cellStyle name="Normal 13 2 3 2 3 4" xfId="54815"/>
    <cellStyle name="Normal 13 2 3 2 3 4 2" xfId="54816"/>
    <cellStyle name="Normal 13 2 3 2 3 5" xfId="54817"/>
    <cellStyle name="Normal 13 2 3 2 3 6" xfId="54818"/>
    <cellStyle name="Normal 13 2 3 2 4" xfId="54819"/>
    <cellStyle name="Normal 13 2 3 2 4 2" xfId="54820"/>
    <cellStyle name="Normal 13 2 3 2 4 2 2" xfId="54821"/>
    <cellStyle name="Normal 13 2 3 2 4 2 3" xfId="54822"/>
    <cellStyle name="Normal 13 2 3 2 4 3" xfId="54823"/>
    <cellStyle name="Normal 13 2 3 2 4 3 2" xfId="54824"/>
    <cellStyle name="Normal 13 2 3 2 4 4" xfId="54825"/>
    <cellStyle name="Normal 13 2 3 2 4 5" xfId="54826"/>
    <cellStyle name="Normal 13 2 3 2 5" xfId="54827"/>
    <cellStyle name="Normal 13 2 3 2 5 2" xfId="54828"/>
    <cellStyle name="Normal 13 2 3 2 5 3" xfId="54829"/>
    <cellStyle name="Normal 13 2 3 2 6" xfId="54830"/>
    <cellStyle name="Normal 13 2 3 2 6 2" xfId="54831"/>
    <cellStyle name="Normal 13 2 3 2 6 3" xfId="54832"/>
    <cellStyle name="Normal 13 2 3 2 7" xfId="54833"/>
    <cellStyle name="Normal 13 2 3 2 7 2" xfId="54834"/>
    <cellStyle name="Normal 13 2 3 2 8" xfId="54835"/>
    <cellStyle name="Normal 13 2 3 2 9" xfId="54836"/>
    <cellStyle name="Normal 13 2 3 3" xfId="54837"/>
    <cellStyle name="Normal 13 2 3 3 2" xfId="54838"/>
    <cellStyle name="Normal 13 2 3 3 2 2" xfId="54839"/>
    <cellStyle name="Normal 13 2 3 3 2 3" xfId="54840"/>
    <cellStyle name="Normal 13 2 3 3 3" xfId="54841"/>
    <cellStyle name="Normal 13 2 3 3 3 2" xfId="54842"/>
    <cellStyle name="Normal 13 2 3 3 3 3" xfId="54843"/>
    <cellStyle name="Normal 13 2 3 3 4" xfId="54844"/>
    <cellStyle name="Normal 13 2 3 3 4 2" xfId="54845"/>
    <cellStyle name="Normal 13 2 3 3 5" xfId="54846"/>
    <cellStyle name="Normal 13 2 3 3 6" xfId="54847"/>
    <cellStyle name="Normal 13 2 3 4" xfId="54848"/>
    <cellStyle name="Normal 13 2 3 4 2" xfId="54849"/>
    <cellStyle name="Normal 13 2 3 4 2 2" xfId="54850"/>
    <cellStyle name="Normal 13 2 3 4 2 3" xfId="54851"/>
    <cellStyle name="Normal 13 2 3 4 3" xfId="54852"/>
    <cellStyle name="Normal 13 2 3 4 3 2" xfId="54853"/>
    <cellStyle name="Normal 13 2 3 4 3 3" xfId="54854"/>
    <cellStyle name="Normal 13 2 3 4 4" xfId="54855"/>
    <cellStyle name="Normal 13 2 3 4 4 2" xfId="54856"/>
    <cellStyle name="Normal 13 2 3 4 5" xfId="54857"/>
    <cellStyle name="Normal 13 2 3 4 6" xfId="54858"/>
    <cellStyle name="Normal 13 2 3 5" xfId="54859"/>
    <cellStyle name="Normal 13 2 3 5 2" xfId="54860"/>
    <cellStyle name="Normal 13 2 3 5 2 2" xfId="54861"/>
    <cellStyle name="Normal 13 2 3 5 2 3" xfId="54862"/>
    <cellStyle name="Normal 13 2 3 5 3" xfId="54863"/>
    <cellStyle name="Normal 13 2 3 5 3 2" xfId="54864"/>
    <cellStyle name="Normal 13 2 3 5 4" xfId="54865"/>
    <cellStyle name="Normal 13 2 3 5 5" xfId="54866"/>
    <cellStyle name="Normal 13 2 3 6" xfId="54867"/>
    <cellStyle name="Normal 13 2 3 6 2" xfId="54868"/>
    <cellStyle name="Normal 13 2 3 6 3" xfId="54869"/>
    <cellStyle name="Normal 13 2 3 7" xfId="54870"/>
    <cellStyle name="Normal 13 2 3 7 2" xfId="54871"/>
    <cellStyle name="Normal 13 2 3 7 3" xfId="54872"/>
    <cellStyle name="Normal 13 2 3 8" xfId="54873"/>
    <cellStyle name="Normal 13 2 3 8 2" xfId="54874"/>
    <cellStyle name="Normal 13 2 3 9" xfId="54875"/>
    <cellStyle name="Normal 13 2 4" xfId="9224"/>
    <cellStyle name="Normal 13 2 4 2" xfId="54876"/>
    <cellStyle name="Normal 13 2 4 2 2" xfId="54877"/>
    <cellStyle name="Normal 13 2 4 2 2 2" xfId="54878"/>
    <cellStyle name="Normal 13 2 4 2 2 3" xfId="54879"/>
    <cellStyle name="Normal 13 2 4 2 3" xfId="54880"/>
    <cellStyle name="Normal 13 2 4 2 3 2" xfId="54881"/>
    <cellStyle name="Normal 13 2 4 2 3 3" xfId="54882"/>
    <cellStyle name="Normal 13 2 4 2 4" xfId="54883"/>
    <cellStyle name="Normal 13 2 4 2 4 2" xfId="54884"/>
    <cellStyle name="Normal 13 2 4 2 5" xfId="54885"/>
    <cellStyle name="Normal 13 2 4 2 6" xfId="54886"/>
    <cellStyle name="Normal 13 2 4 3" xfId="54887"/>
    <cellStyle name="Normal 13 2 4 3 2" xfId="54888"/>
    <cellStyle name="Normal 13 2 4 3 2 2" xfId="54889"/>
    <cellStyle name="Normal 13 2 4 3 2 3" xfId="54890"/>
    <cellStyle name="Normal 13 2 4 3 3" xfId="54891"/>
    <cellStyle name="Normal 13 2 4 3 3 2" xfId="54892"/>
    <cellStyle name="Normal 13 2 4 3 3 3" xfId="54893"/>
    <cellStyle name="Normal 13 2 4 3 4" xfId="54894"/>
    <cellStyle name="Normal 13 2 4 3 4 2" xfId="54895"/>
    <cellStyle name="Normal 13 2 4 3 5" xfId="54896"/>
    <cellStyle name="Normal 13 2 4 3 6" xfId="54897"/>
    <cellStyle name="Normal 13 2 4 4" xfId="54898"/>
    <cellStyle name="Normal 13 2 4 4 2" xfId="54899"/>
    <cellStyle name="Normal 13 2 4 4 2 2" xfId="54900"/>
    <cellStyle name="Normal 13 2 4 4 2 3" xfId="54901"/>
    <cellStyle name="Normal 13 2 4 4 3" xfId="54902"/>
    <cellStyle name="Normal 13 2 4 4 3 2" xfId="54903"/>
    <cellStyle name="Normal 13 2 4 4 4" xfId="54904"/>
    <cellStyle name="Normal 13 2 4 4 5" xfId="54905"/>
    <cellStyle name="Normal 13 2 4 5" xfId="54906"/>
    <cellStyle name="Normal 13 2 4 5 2" xfId="54907"/>
    <cellStyle name="Normal 13 2 4 5 3" xfId="54908"/>
    <cellStyle name="Normal 13 2 4 6" xfId="54909"/>
    <cellStyle name="Normal 13 2 4 6 2" xfId="54910"/>
    <cellStyle name="Normal 13 2 4 6 3" xfId="54911"/>
    <cellStyle name="Normal 13 2 4 7" xfId="54912"/>
    <cellStyle name="Normal 13 2 4 7 2" xfId="54913"/>
    <cellStyle name="Normal 13 2 4 8" xfId="54914"/>
    <cellStyle name="Normal 13 2 4 9" xfId="54915"/>
    <cellStyle name="Normal 13 2 5" xfId="54916"/>
    <cellStyle name="Normal 13 2 5 2" xfId="54917"/>
    <cellStyle name="Normal 13 2 5 2 2" xfId="54918"/>
    <cellStyle name="Normal 13 2 5 2 2 2" xfId="54919"/>
    <cellStyle name="Normal 13 2 5 2 2 3" xfId="54920"/>
    <cellStyle name="Normal 13 2 5 2 3" xfId="54921"/>
    <cellStyle name="Normal 13 2 5 2 3 2" xfId="54922"/>
    <cellStyle name="Normal 13 2 5 2 3 3" xfId="54923"/>
    <cellStyle name="Normal 13 2 5 2 4" xfId="54924"/>
    <cellStyle name="Normal 13 2 5 2 4 2" xfId="54925"/>
    <cellStyle name="Normal 13 2 5 2 5" xfId="54926"/>
    <cellStyle name="Normal 13 2 5 2 6" xfId="54927"/>
    <cellStyle name="Normal 13 2 5 3" xfId="54928"/>
    <cellStyle name="Normal 13 2 5 3 2" xfId="54929"/>
    <cellStyle name="Normal 13 2 5 3 2 2" xfId="54930"/>
    <cellStyle name="Normal 13 2 5 3 2 3" xfId="54931"/>
    <cellStyle name="Normal 13 2 5 3 3" xfId="54932"/>
    <cellStyle name="Normal 13 2 5 3 3 2" xfId="54933"/>
    <cellStyle name="Normal 13 2 5 3 3 3" xfId="54934"/>
    <cellStyle name="Normal 13 2 5 3 4" xfId="54935"/>
    <cellStyle name="Normal 13 2 5 3 4 2" xfId="54936"/>
    <cellStyle name="Normal 13 2 5 3 5" xfId="54937"/>
    <cellStyle name="Normal 13 2 5 3 6" xfId="54938"/>
    <cellStyle name="Normal 13 2 5 4" xfId="54939"/>
    <cellStyle name="Normal 13 2 5 4 2" xfId="54940"/>
    <cellStyle name="Normal 13 2 5 4 2 2" xfId="54941"/>
    <cellStyle name="Normal 13 2 5 4 2 3" xfId="54942"/>
    <cellStyle name="Normal 13 2 5 4 3" xfId="54943"/>
    <cellStyle name="Normal 13 2 5 4 3 2" xfId="54944"/>
    <cellStyle name="Normal 13 2 5 4 4" xfId="54945"/>
    <cellStyle name="Normal 13 2 5 4 5" xfId="54946"/>
    <cellStyle name="Normal 13 2 5 5" xfId="54947"/>
    <cellStyle name="Normal 13 2 5 5 2" xfId="54948"/>
    <cellStyle name="Normal 13 2 5 5 3" xfId="54949"/>
    <cellStyle name="Normal 13 2 5 6" xfId="54950"/>
    <cellStyle name="Normal 13 2 5 6 2" xfId="54951"/>
    <cellStyle name="Normal 13 2 5 6 3" xfId="54952"/>
    <cellStyle name="Normal 13 2 5 7" xfId="54953"/>
    <cellStyle name="Normal 13 2 5 7 2" xfId="54954"/>
    <cellStyle name="Normal 13 2 5 8" xfId="54955"/>
    <cellStyle name="Normal 13 2 5 9" xfId="54956"/>
    <cellStyle name="Normal 13 2 6" xfId="54957"/>
    <cellStyle name="Normal 13 2 6 2" xfId="54958"/>
    <cellStyle name="Normal 13 2 6 2 2" xfId="54959"/>
    <cellStyle name="Normal 13 2 6 2 3" xfId="54960"/>
    <cellStyle name="Normal 13 2 6 3" xfId="54961"/>
    <cellStyle name="Normal 13 2 6 3 2" xfId="54962"/>
    <cellStyle name="Normal 13 2 6 3 3" xfId="54963"/>
    <cellStyle name="Normal 13 2 6 4" xfId="54964"/>
    <cellStyle name="Normal 13 2 6 4 2" xfId="54965"/>
    <cellStyle name="Normal 13 2 6 5" xfId="54966"/>
    <cellStyle name="Normal 13 2 6 6" xfId="54967"/>
    <cellStyle name="Normal 13 2 7" xfId="54968"/>
    <cellStyle name="Normal 13 2 7 2" xfId="54969"/>
    <cellStyle name="Normal 13 2 7 2 2" xfId="54970"/>
    <cellStyle name="Normal 13 2 7 2 3" xfId="54971"/>
    <cellStyle name="Normal 13 2 7 3" xfId="54972"/>
    <cellStyle name="Normal 13 2 7 3 2" xfId="54973"/>
    <cellStyle name="Normal 13 2 7 3 3" xfId="54974"/>
    <cellStyle name="Normal 13 2 7 4" xfId="54975"/>
    <cellStyle name="Normal 13 2 7 4 2" xfId="54976"/>
    <cellStyle name="Normal 13 2 7 5" xfId="54977"/>
    <cellStyle name="Normal 13 2 7 6" xfId="54978"/>
    <cellStyle name="Normal 13 2 8" xfId="54979"/>
    <cellStyle name="Normal 13 2 8 2" xfId="54980"/>
    <cellStyle name="Normal 13 2 8 2 2" xfId="54981"/>
    <cellStyle name="Normal 13 2 8 2 3" xfId="54982"/>
    <cellStyle name="Normal 13 2 8 3" xfId="54983"/>
    <cellStyle name="Normal 13 2 8 3 2" xfId="54984"/>
    <cellStyle name="Normal 13 2 8 4" xfId="54985"/>
    <cellStyle name="Normal 13 2 8 5" xfId="54986"/>
    <cellStyle name="Normal 13 2 9" xfId="54987"/>
    <cellStyle name="Normal 13 2 9 2" xfId="54988"/>
    <cellStyle name="Normal 13 2 9 3" xfId="54989"/>
    <cellStyle name="Normal 13 3" xfId="9225"/>
    <cellStyle name="Normal 13 3 10" xfId="54990"/>
    <cellStyle name="Normal 13 3 10 2" xfId="54991"/>
    <cellStyle name="Normal 13 3 11" xfId="54992"/>
    <cellStyle name="Normal 13 3 12" xfId="54993"/>
    <cellStyle name="Normal 13 3 13" xfId="54994"/>
    <cellStyle name="Normal 13 3 2" xfId="9226"/>
    <cellStyle name="Normal 13 3 2 10" xfId="54995"/>
    <cellStyle name="Normal 13 3 2 2" xfId="54996"/>
    <cellStyle name="Normal 13 3 2 2 2" xfId="54997"/>
    <cellStyle name="Normal 13 3 2 2 2 2" xfId="54998"/>
    <cellStyle name="Normal 13 3 2 2 2 2 2" xfId="54999"/>
    <cellStyle name="Normal 13 3 2 2 2 2 3" xfId="55000"/>
    <cellStyle name="Normal 13 3 2 2 2 3" xfId="55001"/>
    <cellStyle name="Normal 13 3 2 2 2 3 2" xfId="55002"/>
    <cellStyle name="Normal 13 3 2 2 2 3 3" xfId="55003"/>
    <cellStyle name="Normal 13 3 2 2 2 4" xfId="55004"/>
    <cellStyle name="Normal 13 3 2 2 2 4 2" xfId="55005"/>
    <cellStyle name="Normal 13 3 2 2 2 5" xfId="55006"/>
    <cellStyle name="Normal 13 3 2 2 2 6" xfId="55007"/>
    <cellStyle name="Normal 13 3 2 2 3" xfId="55008"/>
    <cellStyle name="Normal 13 3 2 2 3 2" xfId="55009"/>
    <cellStyle name="Normal 13 3 2 2 3 2 2" xfId="55010"/>
    <cellStyle name="Normal 13 3 2 2 3 2 3" xfId="55011"/>
    <cellStyle name="Normal 13 3 2 2 3 3" xfId="55012"/>
    <cellStyle name="Normal 13 3 2 2 3 3 2" xfId="55013"/>
    <cellStyle name="Normal 13 3 2 2 3 3 3" xfId="55014"/>
    <cellStyle name="Normal 13 3 2 2 3 4" xfId="55015"/>
    <cellStyle name="Normal 13 3 2 2 3 4 2" xfId="55016"/>
    <cellStyle name="Normal 13 3 2 2 3 5" xfId="55017"/>
    <cellStyle name="Normal 13 3 2 2 3 6" xfId="55018"/>
    <cellStyle name="Normal 13 3 2 2 4" xfId="55019"/>
    <cellStyle name="Normal 13 3 2 2 4 2" xfId="55020"/>
    <cellStyle name="Normal 13 3 2 2 4 2 2" xfId="55021"/>
    <cellStyle name="Normal 13 3 2 2 4 2 3" xfId="55022"/>
    <cellStyle name="Normal 13 3 2 2 4 3" xfId="55023"/>
    <cellStyle name="Normal 13 3 2 2 4 3 2" xfId="55024"/>
    <cellStyle name="Normal 13 3 2 2 4 4" xfId="55025"/>
    <cellStyle name="Normal 13 3 2 2 4 5" xfId="55026"/>
    <cellStyle name="Normal 13 3 2 2 5" xfId="55027"/>
    <cellStyle name="Normal 13 3 2 2 5 2" xfId="55028"/>
    <cellStyle name="Normal 13 3 2 2 5 3" xfId="55029"/>
    <cellStyle name="Normal 13 3 2 2 6" xfId="55030"/>
    <cellStyle name="Normal 13 3 2 2 6 2" xfId="55031"/>
    <cellStyle name="Normal 13 3 2 2 6 3" xfId="55032"/>
    <cellStyle name="Normal 13 3 2 2 7" xfId="55033"/>
    <cellStyle name="Normal 13 3 2 2 7 2" xfId="55034"/>
    <cellStyle name="Normal 13 3 2 2 8" xfId="55035"/>
    <cellStyle name="Normal 13 3 2 2 9" xfId="55036"/>
    <cellStyle name="Normal 13 3 2 3" xfId="55037"/>
    <cellStyle name="Normal 13 3 2 3 2" xfId="55038"/>
    <cellStyle name="Normal 13 3 2 3 2 2" xfId="55039"/>
    <cellStyle name="Normal 13 3 2 3 2 3" xfId="55040"/>
    <cellStyle name="Normal 13 3 2 3 3" xfId="55041"/>
    <cellStyle name="Normal 13 3 2 3 3 2" xfId="55042"/>
    <cellStyle name="Normal 13 3 2 3 3 3" xfId="55043"/>
    <cellStyle name="Normal 13 3 2 3 4" xfId="55044"/>
    <cellStyle name="Normal 13 3 2 3 4 2" xfId="55045"/>
    <cellStyle name="Normal 13 3 2 3 5" xfId="55046"/>
    <cellStyle name="Normal 13 3 2 3 6" xfId="55047"/>
    <cellStyle name="Normal 13 3 2 4" xfId="55048"/>
    <cellStyle name="Normal 13 3 2 4 2" xfId="55049"/>
    <cellStyle name="Normal 13 3 2 4 2 2" xfId="55050"/>
    <cellStyle name="Normal 13 3 2 4 2 3" xfId="55051"/>
    <cellStyle name="Normal 13 3 2 4 3" xfId="55052"/>
    <cellStyle name="Normal 13 3 2 4 3 2" xfId="55053"/>
    <cellStyle name="Normal 13 3 2 4 3 3" xfId="55054"/>
    <cellStyle name="Normal 13 3 2 4 4" xfId="55055"/>
    <cellStyle name="Normal 13 3 2 4 4 2" xfId="55056"/>
    <cellStyle name="Normal 13 3 2 4 5" xfId="55057"/>
    <cellStyle name="Normal 13 3 2 4 6" xfId="55058"/>
    <cellStyle name="Normal 13 3 2 5" xfId="55059"/>
    <cellStyle name="Normal 13 3 2 5 2" xfId="55060"/>
    <cellStyle name="Normal 13 3 2 5 2 2" xfId="55061"/>
    <cellStyle name="Normal 13 3 2 5 2 3" xfId="55062"/>
    <cellStyle name="Normal 13 3 2 5 3" xfId="55063"/>
    <cellStyle name="Normal 13 3 2 5 3 2" xfId="55064"/>
    <cellStyle name="Normal 13 3 2 5 4" xfId="55065"/>
    <cellStyle name="Normal 13 3 2 5 5" xfId="55066"/>
    <cellStyle name="Normal 13 3 2 6" xfId="55067"/>
    <cellStyle name="Normal 13 3 2 6 2" xfId="55068"/>
    <cellStyle name="Normal 13 3 2 6 3" xfId="55069"/>
    <cellStyle name="Normal 13 3 2 7" xfId="55070"/>
    <cellStyle name="Normal 13 3 2 7 2" xfId="55071"/>
    <cellStyle name="Normal 13 3 2 7 3" xfId="55072"/>
    <cellStyle name="Normal 13 3 2 8" xfId="55073"/>
    <cellStyle name="Normal 13 3 2 8 2" xfId="55074"/>
    <cellStyle name="Normal 13 3 2 9" xfId="55075"/>
    <cellStyle name="Normal 13 3 3" xfId="55076"/>
    <cellStyle name="Normal 13 3 3 2" xfId="55077"/>
    <cellStyle name="Normal 13 3 3 2 2" xfId="55078"/>
    <cellStyle name="Normal 13 3 3 2 2 2" xfId="55079"/>
    <cellStyle name="Normal 13 3 3 2 2 3" xfId="55080"/>
    <cellStyle name="Normal 13 3 3 2 3" xfId="55081"/>
    <cellStyle name="Normal 13 3 3 2 3 2" xfId="55082"/>
    <cellStyle name="Normal 13 3 3 2 3 3" xfId="55083"/>
    <cellStyle name="Normal 13 3 3 2 4" xfId="55084"/>
    <cellStyle name="Normal 13 3 3 2 4 2" xfId="55085"/>
    <cellStyle name="Normal 13 3 3 2 5" xfId="55086"/>
    <cellStyle name="Normal 13 3 3 2 6" xfId="55087"/>
    <cellStyle name="Normal 13 3 3 3" xfId="55088"/>
    <cellStyle name="Normal 13 3 3 3 2" xfId="55089"/>
    <cellStyle name="Normal 13 3 3 3 2 2" xfId="55090"/>
    <cellStyle name="Normal 13 3 3 3 2 3" xfId="55091"/>
    <cellStyle name="Normal 13 3 3 3 3" xfId="55092"/>
    <cellStyle name="Normal 13 3 3 3 3 2" xfId="55093"/>
    <cellStyle name="Normal 13 3 3 3 3 3" xfId="55094"/>
    <cellStyle name="Normal 13 3 3 3 4" xfId="55095"/>
    <cellStyle name="Normal 13 3 3 3 4 2" xfId="55096"/>
    <cellStyle name="Normal 13 3 3 3 5" xfId="55097"/>
    <cellStyle name="Normal 13 3 3 3 6" xfId="55098"/>
    <cellStyle name="Normal 13 3 3 4" xfId="55099"/>
    <cellStyle name="Normal 13 3 3 4 2" xfId="55100"/>
    <cellStyle name="Normal 13 3 3 4 2 2" xfId="55101"/>
    <cellStyle name="Normal 13 3 3 4 2 3" xfId="55102"/>
    <cellStyle name="Normal 13 3 3 4 3" xfId="55103"/>
    <cellStyle name="Normal 13 3 3 4 3 2" xfId="55104"/>
    <cellStyle name="Normal 13 3 3 4 4" xfId="55105"/>
    <cellStyle name="Normal 13 3 3 4 5" xfId="55106"/>
    <cellStyle name="Normal 13 3 3 5" xfId="55107"/>
    <cellStyle name="Normal 13 3 3 5 2" xfId="55108"/>
    <cellStyle name="Normal 13 3 3 5 3" xfId="55109"/>
    <cellStyle name="Normal 13 3 3 6" xfId="55110"/>
    <cellStyle name="Normal 13 3 3 6 2" xfId="55111"/>
    <cellStyle name="Normal 13 3 3 6 3" xfId="55112"/>
    <cellStyle name="Normal 13 3 3 7" xfId="55113"/>
    <cellStyle name="Normal 13 3 3 7 2" xfId="55114"/>
    <cellStyle name="Normal 13 3 3 8" xfId="55115"/>
    <cellStyle name="Normal 13 3 3 9" xfId="55116"/>
    <cellStyle name="Normal 13 3 4" xfId="55117"/>
    <cellStyle name="Normal 13 3 4 2" xfId="55118"/>
    <cellStyle name="Normal 13 3 4 2 2" xfId="55119"/>
    <cellStyle name="Normal 13 3 4 2 2 2" xfId="55120"/>
    <cellStyle name="Normal 13 3 4 2 2 3" xfId="55121"/>
    <cellStyle name="Normal 13 3 4 2 3" xfId="55122"/>
    <cellStyle name="Normal 13 3 4 2 3 2" xfId="55123"/>
    <cellStyle name="Normal 13 3 4 2 3 3" xfId="55124"/>
    <cellStyle name="Normal 13 3 4 2 4" xfId="55125"/>
    <cellStyle name="Normal 13 3 4 2 4 2" xfId="55126"/>
    <cellStyle name="Normal 13 3 4 2 5" xfId="55127"/>
    <cellStyle name="Normal 13 3 4 2 6" xfId="55128"/>
    <cellStyle name="Normal 13 3 4 3" xfId="55129"/>
    <cellStyle name="Normal 13 3 4 3 2" xfId="55130"/>
    <cellStyle name="Normal 13 3 4 3 2 2" xfId="55131"/>
    <cellStyle name="Normal 13 3 4 3 2 3" xfId="55132"/>
    <cellStyle name="Normal 13 3 4 3 3" xfId="55133"/>
    <cellStyle name="Normal 13 3 4 3 3 2" xfId="55134"/>
    <cellStyle name="Normal 13 3 4 3 3 3" xfId="55135"/>
    <cellStyle name="Normal 13 3 4 3 4" xfId="55136"/>
    <cellStyle name="Normal 13 3 4 3 4 2" xfId="55137"/>
    <cellStyle name="Normal 13 3 4 3 5" xfId="55138"/>
    <cellStyle name="Normal 13 3 4 3 6" xfId="55139"/>
    <cellStyle name="Normal 13 3 4 4" xfId="55140"/>
    <cellStyle name="Normal 13 3 4 4 2" xfId="55141"/>
    <cellStyle name="Normal 13 3 4 4 2 2" xfId="55142"/>
    <cellStyle name="Normal 13 3 4 4 2 3" xfId="55143"/>
    <cellStyle name="Normal 13 3 4 4 3" xfId="55144"/>
    <cellStyle name="Normal 13 3 4 4 3 2" xfId="55145"/>
    <cellStyle name="Normal 13 3 4 4 4" xfId="55146"/>
    <cellStyle name="Normal 13 3 4 4 5" xfId="55147"/>
    <cellStyle name="Normal 13 3 4 5" xfId="55148"/>
    <cellStyle name="Normal 13 3 4 5 2" xfId="55149"/>
    <cellStyle name="Normal 13 3 4 5 3" xfId="55150"/>
    <cellStyle name="Normal 13 3 4 6" xfId="55151"/>
    <cellStyle name="Normal 13 3 4 6 2" xfId="55152"/>
    <cellStyle name="Normal 13 3 4 6 3" xfId="55153"/>
    <cellStyle name="Normal 13 3 4 7" xfId="55154"/>
    <cellStyle name="Normal 13 3 4 7 2" xfId="55155"/>
    <cellStyle name="Normal 13 3 4 8" xfId="55156"/>
    <cellStyle name="Normal 13 3 4 9" xfId="55157"/>
    <cellStyle name="Normal 13 3 5" xfId="55158"/>
    <cellStyle name="Normal 13 3 5 2" xfId="55159"/>
    <cellStyle name="Normal 13 3 5 2 2" xfId="55160"/>
    <cellStyle name="Normal 13 3 5 2 3" xfId="55161"/>
    <cellStyle name="Normal 13 3 5 3" xfId="55162"/>
    <cellStyle name="Normal 13 3 5 3 2" xfId="55163"/>
    <cellStyle name="Normal 13 3 5 3 3" xfId="55164"/>
    <cellStyle name="Normal 13 3 5 4" xfId="55165"/>
    <cellStyle name="Normal 13 3 5 4 2" xfId="55166"/>
    <cellStyle name="Normal 13 3 5 5" xfId="55167"/>
    <cellStyle name="Normal 13 3 5 6" xfId="55168"/>
    <cellStyle name="Normal 13 3 6" xfId="55169"/>
    <cellStyle name="Normal 13 3 6 2" xfId="55170"/>
    <cellStyle name="Normal 13 3 6 2 2" xfId="55171"/>
    <cellStyle name="Normal 13 3 6 2 3" xfId="55172"/>
    <cellStyle name="Normal 13 3 6 3" xfId="55173"/>
    <cellStyle name="Normal 13 3 6 3 2" xfId="55174"/>
    <cellStyle name="Normal 13 3 6 3 3" xfId="55175"/>
    <cellStyle name="Normal 13 3 6 4" xfId="55176"/>
    <cellStyle name="Normal 13 3 6 4 2" xfId="55177"/>
    <cellStyle name="Normal 13 3 6 5" xfId="55178"/>
    <cellStyle name="Normal 13 3 6 6" xfId="55179"/>
    <cellStyle name="Normal 13 3 7" xfId="55180"/>
    <cellStyle name="Normal 13 3 7 2" xfId="55181"/>
    <cellStyle name="Normal 13 3 7 2 2" xfId="55182"/>
    <cellStyle name="Normal 13 3 7 2 3" xfId="55183"/>
    <cellStyle name="Normal 13 3 7 3" xfId="55184"/>
    <cellStyle name="Normal 13 3 7 3 2" xfId="55185"/>
    <cellStyle name="Normal 13 3 7 4" xfId="55186"/>
    <cellStyle name="Normal 13 3 7 5" xfId="55187"/>
    <cellStyle name="Normal 13 3 8" xfId="55188"/>
    <cellStyle name="Normal 13 3 8 2" xfId="55189"/>
    <cellStyle name="Normal 13 3 8 3" xfId="55190"/>
    <cellStyle name="Normal 13 3 9" xfId="55191"/>
    <cellStyle name="Normal 13 3 9 2" xfId="55192"/>
    <cellStyle name="Normal 13 3 9 3" xfId="55193"/>
    <cellStyle name="Normal 13 4" xfId="9227"/>
    <cellStyle name="Normal 13 4 10" xfId="55194"/>
    <cellStyle name="Normal 13 4 2" xfId="55195"/>
    <cellStyle name="Normal 13 4 2 2" xfId="55196"/>
    <cellStyle name="Normal 13 4 2 2 2" xfId="55197"/>
    <cellStyle name="Normal 13 4 2 2 2 2" xfId="55198"/>
    <cellStyle name="Normal 13 4 2 2 2 3" xfId="55199"/>
    <cellStyle name="Normal 13 4 2 2 3" xfId="55200"/>
    <cellStyle name="Normal 13 4 2 2 3 2" xfId="55201"/>
    <cellStyle name="Normal 13 4 2 2 3 3" xfId="55202"/>
    <cellStyle name="Normal 13 4 2 2 4" xfId="55203"/>
    <cellStyle name="Normal 13 4 2 2 4 2" xfId="55204"/>
    <cellStyle name="Normal 13 4 2 2 5" xfId="55205"/>
    <cellStyle name="Normal 13 4 2 2 6" xfId="55206"/>
    <cellStyle name="Normal 13 4 2 3" xfId="55207"/>
    <cellStyle name="Normal 13 4 2 3 2" xfId="55208"/>
    <cellStyle name="Normal 13 4 2 3 2 2" xfId="55209"/>
    <cellStyle name="Normal 13 4 2 3 2 3" xfId="55210"/>
    <cellStyle name="Normal 13 4 2 3 3" xfId="55211"/>
    <cellStyle name="Normal 13 4 2 3 3 2" xfId="55212"/>
    <cellStyle name="Normal 13 4 2 3 3 3" xfId="55213"/>
    <cellStyle name="Normal 13 4 2 3 4" xfId="55214"/>
    <cellStyle name="Normal 13 4 2 3 4 2" xfId="55215"/>
    <cellStyle name="Normal 13 4 2 3 5" xfId="55216"/>
    <cellStyle name="Normal 13 4 2 3 6" xfId="55217"/>
    <cellStyle name="Normal 13 4 2 4" xfId="55218"/>
    <cellStyle name="Normal 13 4 2 4 2" xfId="55219"/>
    <cellStyle name="Normal 13 4 2 4 2 2" xfId="55220"/>
    <cellStyle name="Normal 13 4 2 4 2 3" xfId="55221"/>
    <cellStyle name="Normal 13 4 2 4 3" xfId="55222"/>
    <cellStyle name="Normal 13 4 2 4 3 2" xfId="55223"/>
    <cellStyle name="Normal 13 4 2 4 4" xfId="55224"/>
    <cellStyle name="Normal 13 4 2 4 5" xfId="55225"/>
    <cellStyle name="Normal 13 4 2 5" xfId="55226"/>
    <cellStyle name="Normal 13 4 2 5 2" xfId="55227"/>
    <cellStyle name="Normal 13 4 2 5 3" xfId="55228"/>
    <cellStyle name="Normal 13 4 2 6" xfId="55229"/>
    <cellStyle name="Normal 13 4 2 6 2" xfId="55230"/>
    <cellStyle name="Normal 13 4 2 6 3" xfId="55231"/>
    <cellStyle name="Normal 13 4 2 7" xfId="55232"/>
    <cellStyle name="Normal 13 4 2 7 2" xfId="55233"/>
    <cellStyle name="Normal 13 4 2 8" xfId="55234"/>
    <cellStyle name="Normal 13 4 2 9" xfId="55235"/>
    <cellStyle name="Normal 13 4 3" xfId="55236"/>
    <cellStyle name="Normal 13 4 3 2" xfId="55237"/>
    <cellStyle name="Normal 13 4 3 2 2" xfId="55238"/>
    <cellStyle name="Normal 13 4 3 2 3" xfId="55239"/>
    <cellStyle name="Normal 13 4 3 3" xfId="55240"/>
    <cellStyle name="Normal 13 4 3 3 2" xfId="55241"/>
    <cellStyle name="Normal 13 4 3 3 3" xfId="55242"/>
    <cellStyle name="Normal 13 4 3 4" xfId="55243"/>
    <cellStyle name="Normal 13 4 3 4 2" xfId="55244"/>
    <cellStyle name="Normal 13 4 3 5" xfId="55245"/>
    <cellStyle name="Normal 13 4 3 6" xfId="55246"/>
    <cellStyle name="Normal 13 4 4" xfId="55247"/>
    <cellStyle name="Normal 13 4 4 2" xfId="55248"/>
    <cellStyle name="Normal 13 4 4 2 2" xfId="55249"/>
    <cellStyle name="Normal 13 4 4 2 3" xfId="55250"/>
    <cellStyle name="Normal 13 4 4 3" xfId="55251"/>
    <cellStyle name="Normal 13 4 4 3 2" xfId="55252"/>
    <cellStyle name="Normal 13 4 4 3 3" xfId="55253"/>
    <cellStyle name="Normal 13 4 4 4" xfId="55254"/>
    <cellStyle name="Normal 13 4 4 4 2" xfId="55255"/>
    <cellStyle name="Normal 13 4 4 5" xfId="55256"/>
    <cellStyle name="Normal 13 4 4 6" xfId="55257"/>
    <cellStyle name="Normal 13 4 5" xfId="55258"/>
    <cellStyle name="Normal 13 4 5 2" xfId="55259"/>
    <cellStyle name="Normal 13 4 5 2 2" xfId="55260"/>
    <cellStyle name="Normal 13 4 5 2 3" xfId="55261"/>
    <cellStyle name="Normal 13 4 5 3" xfId="55262"/>
    <cellStyle name="Normal 13 4 5 3 2" xfId="55263"/>
    <cellStyle name="Normal 13 4 5 4" xfId="55264"/>
    <cellStyle name="Normal 13 4 5 5" xfId="55265"/>
    <cellStyle name="Normal 13 4 6" xfId="55266"/>
    <cellStyle name="Normal 13 4 6 2" xfId="55267"/>
    <cellStyle name="Normal 13 4 6 3" xfId="55268"/>
    <cellStyle name="Normal 13 4 7" xfId="55269"/>
    <cellStyle name="Normal 13 4 7 2" xfId="55270"/>
    <cellStyle name="Normal 13 4 7 3" xfId="55271"/>
    <cellStyle name="Normal 13 4 8" xfId="55272"/>
    <cellStyle name="Normal 13 4 8 2" xfId="55273"/>
    <cellStyle name="Normal 13 4 9" xfId="55274"/>
    <cellStyle name="Normal 13 5" xfId="9228"/>
    <cellStyle name="Normal 13 5 2" xfId="55275"/>
    <cellStyle name="Normal 13 5 2 2" xfId="55276"/>
    <cellStyle name="Normal 13 5 2 2 2" xfId="55277"/>
    <cellStyle name="Normal 13 5 2 2 3" xfId="55278"/>
    <cellStyle name="Normal 13 5 2 3" xfId="55279"/>
    <cellStyle name="Normal 13 5 2 3 2" xfId="55280"/>
    <cellStyle name="Normal 13 5 2 3 3" xfId="55281"/>
    <cellStyle name="Normal 13 5 2 4" xfId="55282"/>
    <cellStyle name="Normal 13 5 2 4 2" xfId="55283"/>
    <cellStyle name="Normal 13 5 2 5" xfId="55284"/>
    <cellStyle name="Normal 13 5 2 6" xfId="55285"/>
    <cellStyle name="Normal 13 5 3" xfId="55286"/>
    <cellStyle name="Normal 13 5 3 2" xfId="55287"/>
    <cellStyle name="Normal 13 5 3 2 2" xfId="55288"/>
    <cellStyle name="Normal 13 5 3 2 3" xfId="55289"/>
    <cellStyle name="Normal 13 5 3 3" xfId="55290"/>
    <cellStyle name="Normal 13 5 3 3 2" xfId="55291"/>
    <cellStyle name="Normal 13 5 3 3 3" xfId="55292"/>
    <cellStyle name="Normal 13 5 3 4" xfId="55293"/>
    <cellStyle name="Normal 13 5 3 4 2" xfId="55294"/>
    <cellStyle name="Normal 13 5 3 5" xfId="55295"/>
    <cellStyle name="Normal 13 5 3 6" xfId="55296"/>
    <cellStyle name="Normal 13 5 4" xfId="55297"/>
    <cellStyle name="Normal 13 5 4 2" xfId="55298"/>
    <cellStyle name="Normal 13 5 4 2 2" xfId="55299"/>
    <cellStyle name="Normal 13 5 4 2 3" xfId="55300"/>
    <cellStyle name="Normal 13 5 4 3" xfId="55301"/>
    <cellStyle name="Normal 13 5 4 3 2" xfId="55302"/>
    <cellStyle name="Normal 13 5 4 4" xfId="55303"/>
    <cellStyle name="Normal 13 5 4 5" xfId="55304"/>
    <cellStyle name="Normal 13 5 5" xfId="55305"/>
    <cellStyle name="Normal 13 5 5 2" xfId="55306"/>
    <cellStyle name="Normal 13 5 5 3" xfId="55307"/>
    <cellStyle name="Normal 13 5 6" xfId="55308"/>
    <cellStyle name="Normal 13 5 6 2" xfId="55309"/>
    <cellStyle name="Normal 13 5 6 3" xfId="55310"/>
    <cellStyle name="Normal 13 5 7" xfId="55311"/>
    <cellStyle name="Normal 13 5 7 2" xfId="55312"/>
    <cellStyle name="Normal 13 5 8" xfId="55313"/>
    <cellStyle name="Normal 13 5 9" xfId="55314"/>
    <cellStyle name="Normal 13 6" xfId="55315"/>
    <cellStyle name="Normal 13 6 2" xfId="55316"/>
    <cellStyle name="Normal 13 6 2 2" xfId="55317"/>
    <cellStyle name="Normal 13 6 2 2 2" xfId="55318"/>
    <cellStyle name="Normal 13 6 2 2 3" xfId="55319"/>
    <cellStyle name="Normal 13 6 2 3" xfId="55320"/>
    <cellStyle name="Normal 13 6 2 3 2" xfId="55321"/>
    <cellStyle name="Normal 13 6 2 3 3" xfId="55322"/>
    <cellStyle name="Normal 13 6 2 4" xfId="55323"/>
    <cellStyle name="Normal 13 6 2 4 2" xfId="55324"/>
    <cellStyle name="Normal 13 6 2 5" xfId="55325"/>
    <cellStyle name="Normal 13 6 2 6" xfId="55326"/>
    <cellStyle name="Normal 13 6 3" xfId="55327"/>
    <cellStyle name="Normal 13 6 3 2" xfId="55328"/>
    <cellStyle name="Normal 13 6 3 2 2" xfId="55329"/>
    <cellStyle name="Normal 13 6 3 2 3" xfId="55330"/>
    <cellStyle name="Normal 13 6 3 3" xfId="55331"/>
    <cellStyle name="Normal 13 6 3 3 2" xfId="55332"/>
    <cellStyle name="Normal 13 6 3 3 3" xfId="55333"/>
    <cellStyle name="Normal 13 6 3 4" xfId="55334"/>
    <cellStyle name="Normal 13 6 3 4 2" xfId="55335"/>
    <cellStyle name="Normal 13 6 3 5" xfId="55336"/>
    <cellStyle name="Normal 13 6 3 6" xfId="55337"/>
    <cellStyle name="Normal 13 6 4" xfId="55338"/>
    <cellStyle name="Normal 13 6 4 2" xfId="55339"/>
    <cellStyle name="Normal 13 6 4 2 2" xfId="55340"/>
    <cellStyle name="Normal 13 6 4 2 3" xfId="55341"/>
    <cellStyle name="Normal 13 6 4 3" xfId="55342"/>
    <cellStyle name="Normal 13 6 4 3 2" xfId="55343"/>
    <cellStyle name="Normal 13 6 4 4" xfId="55344"/>
    <cellStyle name="Normal 13 6 4 5" xfId="55345"/>
    <cellStyle name="Normal 13 6 5" xfId="55346"/>
    <cellStyle name="Normal 13 6 5 2" xfId="55347"/>
    <cellStyle name="Normal 13 6 5 3" xfId="55348"/>
    <cellStyle name="Normal 13 6 6" xfId="55349"/>
    <cellStyle name="Normal 13 6 6 2" xfId="55350"/>
    <cellStyle name="Normal 13 6 6 3" xfId="55351"/>
    <cellStyle name="Normal 13 6 7" xfId="55352"/>
    <cellStyle name="Normal 13 6 7 2" xfId="55353"/>
    <cellStyle name="Normal 13 6 8" xfId="55354"/>
    <cellStyle name="Normal 13 6 9" xfId="55355"/>
    <cellStyle name="Normal 13 7" xfId="55356"/>
    <cellStyle name="Normal 13 7 2" xfId="55357"/>
    <cellStyle name="Normal 13 7 2 2" xfId="55358"/>
    <cellStyle name="Normal 13 7 2 3" xfId="55359"/>
    <cellStyle name="Normal 13 7 3" xfId="55360"/>
    <cellStyle name="Normal 13 7 3 2" xfId="55361"/>
    <cellStyle name="Normal 13 7 3 3" xfId="55362"/>
    <cellStyle name="Normal 13 7 4" xfId="55363"/>
    <cellStyle name="Normal 13 7 4 2" xfId="55364"/>
    <cellStyle name="Normal 13 7 5" xfId="55365"/>
    <cellStyle name="Normal 13 7 6" xfId="55366"/>
    <cellStyle name="Normal 13 8" xfId="55367"/>
    <cellStyle name="Normal 13 8 2" xfId="55368"/>
    <cellStyle name="Normal 13 8 2 2" xfId="55369"/>
    <cellStyle name="Normal 13 8 2 3" xfId="55370"/>
    <cellStyle name="Normal 13 8 3" xfId="55371"/>
    <cellStyle name="Normal 13 8 3 2" xfId="55372"/>
    <cellStyle name="Normal 13 8 3 3" xfId="55373"/>
    <cellStyle name="Normal 13 8 4" xfId="55374"/>
    <cellStyle name="Normal 13 8 4 2" xfId="55375"/>
    <cellStyle name="Normal 13 8 5" xfId="55376"/>
    <cellStyle name="Normal 13 8 6" xfId="55377"/>
    <cellStyle name="Normal 13 9" xfId="55378"/>
    <cellStyle name="Normal 13 9 2" xfId="55379"/>
    <cellStyle name="Normal 13 9 2 2" xfId="55380"/>
    <cellStyle name="Normal 13 9 2 3" xfId="55381"/>
    <cellStyle name="Normal 13 9 3" xfId="55382"/>
    <cellStyle name="Normal 13 9 3 2" xfId="55383"/>
    <cellStyle name="Normal 13 9 4" xfId="55384"/>
    <cellStyle name="Normal 13 9 5" xfId="55385"/>
    <cellStyle name="Normal 14" xfId="4469"/>
    <cellStyle name="Normal 14 2" xfId="4470"/>
    <cellStyle name="Normal 14 2 2" xfId="4471"/>
    <cellStyle name="Normal 14 2 2 2" xfId="9229"/>
    <cellStyle name="Normal 14 2 2 2 2" xfId="59493"/>
    <cellStyle name="Normal 14 2 2 3" xfId="9230"/>
    <cellStyle name="Normal 14 2 2 4" xfId="59494"/>
    <cellStyle name="Normal 14 2 3" xfId="4472"/>
    <cellStyle name="Normal 14 2 3 2" xfId="9231"/>
    <cellStyle name="Normal 14 2 4" xfId="9232"/>
    <cellStyle name="Normal 14 2 4 2" xfId="59495"/>
    <cellStyle name="Normal 14 2 5" xfId="59496"/>
    <cellStyle name="Normal 14 2 6" xfId="59497"/>
    <cellStyle name="Normal 14 2 7" xfId="59498"/>
    <cellStyle name="Normal 14 3" xfId="4473"/>
    <cellStyle name="Normal 14 3 2" xfId="9233"/>
    <cellStyle name="Normal 14 3 2 2" xfId="59499"/>
    <cellStyle name="Normal 14 3 3" xfId="9234"/>
    <cellStyle name="Normal 14 3 4" xfId="59500"/>
    <cellStyle name="Normal 14 4" xfId="4474"/>
    <cellStyle name="Normal 14 4 2" xfId="9235"/>
    <cellStyle name="Normal 14 4 3" xfId="59501"/>
    <cellStyle name="Normal 14 4 4" xfId="59502"/>
    <cellStyle name="Normal 14 5" xfId="8768"/>
    <cellStyle name="Normal 14 6" xfId="55386"/>
    <cellStyle name="Normal 15" xfId="4475"/>
    <cellStyle name="Normal 15 10" xfId="55387"/>
    <cellStyle name="Normal 15 10 2" xfId="55388"/>
    <cellStyle name="Normal 15 10 3" xfId="55389"/>
    <cellStyle name="Normal 15 11" xfId="55390"/>
    <cellStyle name="Normal 15 11 2" xfId="55391"/>
    <cellStyle name="Normal 15 12" xfId="55392"/>
    <cellStyle name="Normal 15 13" xfId="55393"/>
    <cellStyle name="Normal 15 14" xfId="55394"/>
    <cellStyle name="Normal 15 2" xfId="4476"/>
    <cellStyle name="Normal 15 2 10" xfId="55395"/>
    <cellStyle name="Normal 15 2 10 2" xfId="55396"/>
    <cellStyle name="Normal 15 2 11" xfId="55397"/>
    <cellStyle name="Normal 15 2 12" xfId="55398"/>
    <cellStyle name="Normal 15 2 13" xfId="55399"/>
    <cellStyle name="Normal 15 2 2" xfId="4477"/>
    <cellStyle name="Normal 15 2 2 10" xfId="55400"/>
    <cellStyle name="Normal 15 2 2 11" xfId="55401"/>
    <cellStyle name="Normal 15 2 2 2" xfId="8416"/>
    <cellStyle name="Normal 15 2 2 2 10" xfId="55402"/>
    <cellStyle name="Normal 15 2 2 2 2" xfId="8417"/>
    <cellStyle name="Normal 15 2 2 2 2 2" xfId="8418"/>
    <cellStyle name="Normal 15 2 2 2 2 2 2" xfId="55403"/>
    <cellStyle name="Normal 15 2 2 2 2 2 3" xfId="55404"/>
    <cellStyle name="Normal 15 2 2 2 2 3" xfId="55405"/>
    <cellStyle name="Normal 15 2 2 2 2 3 2" xfId="55406"/>
    <cellStyle name="Normal 15 2 2 2 2 3 3" xfId="55407"/>
    <cellStyle name="Normal 15 2 2 2 2 4" xfId="55408"/>
    <cellStyle name="Normal 15 2 2 2 2 4 2" xfId="55409"/>
    <cellStyle name="Normal 15 2 2 2 2 5" xfId="55410"/>
    <cellStyle name="Normal 15 2 2 2 2 6" xfId="55411"/>
    <cellStyle name="Normal 15 2 2 2 2 7" xfId="55412"/>
    <cellStyle name="Normal 15 2 2 2 3" xfId="8419"/>
    <cellStyle name="Normal 15 2 2 2 3 2" xfId="55413"/>
    <cellStyle name="Normal 15 2 2 2 3 2 2" xfId="55414"/>
    <cellStyle name="Normal 15 2 2 2 3 2 3" xfId="55415"/>
    <cellStyle name="Normal 15 2 2 2 3 3" xfId="55416"/>
    <cellStyle name="Normal 15 2 2 2 3 3 2" xfId="55417"/>
    <cellStyle name="Normal 15 2 2 2 3 3 3" xfId="55418"/>
    <cellStyle name="Normal 15 2 2 2 3 4" xfId="55419"/>
    <cellStyle name="Normal 15 2 2 2 3 4 2" xfId="55420"/>
    <cellStyle name="Normal 15 2 2 2 3 5" xfId="55421"/>
    <cellStyle name="Normal 15 2 2 2 3 6" xfId="55422"/>
    <cellStyle name="Normal 15 2 2 2 3 7" xfId="55423"/>
    <cellStyle name="Normal 15 2 2 2 4" xfId="55424"/>
    <cellStyle name="Normal 15 2 2 2 4 2" xfId="55425"/>
    <cellStyle name="Normal 15 2 2 2 4 2 2" xfId="55426"/>
    <cellStyle name="Normal 15 2 2 2 4 2 3" xfId="55427"/>
    <cellStyle name="Normal 15 2 2 2 4 3" xfId="55428"/>
    <cellStyle name="Normal 15 2 2 2 4 3 2" xfId="55429"/>
    <cellStyle name="Normal 15 2 2 2 4 4" xfId="55430"/>
    <cellStyle name="Normal 15 2 2 2 4 5" xfId="55431"/>
    <cellStyle name="Normal 15 2 2 2 5" xfId="55432"/>
    <cellStyle name="Normal 15 2 2 2 5 2" xfId="55433"/>
    <cellStyle name="Normal 15 2 2 2 5 3" xfId="55434"/>
    <cellStyle name="Normal 15 2 2 2 6" xfId="55435"/>
    <cellStyle name="Normal 15 2 2 2 6 2" xfId="55436"/>
    <cellStyle name="Normal 15 2 2 2 6 3" xfId="55437"/>
    <cellStyle name="Normal 15 2 2 2 7" xfId="55438"/>
    <cellStyle name="Normal 15 2 2 2 7 2" xfId="55439"/>
    <cellStyle name="Normal 15 2 2 2 8" xfId="55440"/>
    <cellStyle name="Normal 15 2 2 2 9" xfId="55441"/>
    <cellStyle name="Normal 15 2 2 3" xfId="8420"/>
    <cellStyle name="Normal 15 2 2 3 2" xfId="8421"/>
    <cellStyle name="Normal 15 2 2 3 2 2" xfId="55442"/>
    <cellStyle name="Normal 15 2 2 3 2 3" xfId="55443"/>
    <cellStyle name="Normal 15 2 2 3 3" xfId="55444"/>
    <cellStyle name="Normal 15 2 2 3 3 2" xfId="55445"/>
    <cellStyle name="Normal 15 2 2 3 3 3" xfId="55446"/>
    <cellStyle name="Normal 15 2 2 3 4" xfId="55447"/>
    <cellStyle name="Normal 15 2 2 3 4 2" xfId="55448"/>
    <cellStyle name="Normal 15 2 2 3 5" xfId="55449"/>
    <cellStyle name="Normal 15 2 2 3 6" xfId="55450"/>
    <cellStyle name="Normal 15 2 2 3 7" xfId="55451"/>
    <cellStyle name="Normal 15 2 2 4" xfId="8422"/>
    <cellStyle name="Normal 15 2 2 4 2" xfId="55452"/>
    <cellStyle name="Normal 15 2 2 4 2 2" xfId="55453"/>
    <cellStyle name="Normal 15 2 2 4 2 3" xfId="55454"/>
    <cellStyle name="Normal 15 2 2 4 3" xfId="55455"/>
    <cellStyle name="Normal 15 2 2 4 3 2" xfId="55456"/>
    <cellStyle name="Normal 15 2 2 4 3 3" xfId="55457"/>
    <cellStyle name="Normal 15 2 2 4 4" xfId="55458"/>
    <cellStyle name="Normal 15 2 2 4 4 2" xfId="55459"/>
    <cellStyle name="Normal 15 2 2 4 5" xfId="55460"/>
    <cellStyle name="Normal 15 2 2 4 6" xfId="55461"/>
    <cellStyle name="Normal 15 2 2 4 7" xfId="55462"/>
    <cellStyle name="Normal 15 2 2 5" xfId="55463"/>
    <cellStyle name="Normal 15 2 2 5 2" xfId="55464"/>
    <cellStyle name="Normal 15 2 2 5 2 2" xfId="55465"/>
    <cellStyle name="Normal 15 2 2 5 2 3" xfId="55466"/>
    <cellStyle name="Normal 15 2 2 5 3" xfId="55467"/>
    <cellStyle name="Normal 15 2 2 5 3 2" xfId="55468"/>
    <cellStyle name="Normal 15 2 2 5 4" xfId="55469"/>
    <cellStyle name="Normal 15 2 2 5 5" xfId="55470"/>
    <cellStyle name="Normal 15 2 2 6" xfId="55471"/>
    <cellStyle name="Normal 15 2 2 6 2" xfId="55472"/>
    <cellStyle name="Normal 15 2 2 6 3" xfId="55473"/>
    <cellStyle name="Normal 15 2 2 7" xfId="55474"/>
    <cellStyle name="Normal 15 2 2 7 2" xfId="55475"/>
    <cellStyle name="Normal 15 2 2 7 3" xfId="55476"/>
    <cellStyle name="Normal 15 2 2 8" xfId="55477"/>
    <cellStyle name="Normal 15 2 2 8 2" xfId="55478"/>
    <cellStyle name="Normal 15 2 2 9" xfId="55479"/>
    <cellStyle name="Normal 15 2 3" xfId="4478"/>
    <cellStyle name="Normal 15 2 3 10" xfId="55480"/>
    <cellStyle name="Normal 15 2 3 2" xfId="8423"/>
    <cellStyle name="Normal 15 2 3 2 2" xfId="8424"/>
    <cellStyle name="Normal 15 2 3 2 2 2" xfId="55481"/>
    <cellStyle name="Normal 15 2 3 2 2 3" xfId="55482"/>
    <cellStyle name="Normal 15 2 3 2 2 4" xfId="55483"/>
    <cellStyle name="Normal 15 2 3 2 3" xfId="55484"/>
    <cellStyle name="Normal 15 2 3 2 3 2" xfId="55485"/>
    <cellStyle name="Normal 15 2 3 2 3 3" xfId="55486"/>
    <cellStyle name="Normal 15 2 3 2 4" xfId="55487"/>
    <cellStyle name="Normal 15 2 3 2 4 2" xfId="55488"/>
    <cellStyle name="Normal 15 2 3 2 5" xfId="55489"/>
    <cellStyle name="Normal 15 2 3 2 6" xfId="55490"/>
    <cellStyle name="Normal 15 2 3 2 7" xfId="55491"/>
    <cellStyle name="Normal 15 2 3 3" xfId="8425"/>
    <cellStyle name="Normal 15 2 3 3 2" xfId="55492"/>
    <cellStyle name="Normal 15 2 3 3 2 2" xfId="55493"/>
    <cellStyle name="Normal 15 2 3 3 2 3" xfId="55494"/>
    <cellStyle name="Normal 15 2 3 3 3" xfId="55495"/>
    <cellStyle name="Normal 15 2 3 3 3 2" xfId="55496"/>
    <cellStyle name="Normal 15 2 3 3 3 3" xfId="55497"/>
    <cellStyle name="Normal 15 2 3 3 4" xfId="55498"/>
    <cellStyle name="Normal 15 2 3 3 4 2" xfId="55499"/>
    <cellStyle name="Normal 15 2 3 3 5" xfId="55500"/>
    <cellStyle name="Normal 15 2 3 3 6" xfId="55501"/>
    <cellStyle name="Normal 15 2 3 3 7" xfId="55502"/>
    <cellStyle name="Normal 15 2 3 4" xfId="55503"/>
    <cellStyle name="Normal 15 2 3 4 2" xfId="55504"/>
    <cellStyle name="Normal 15 2 3 4 2 2" xfId="55505"/>
    <cellStyle name="Normal 15 2 3 4 2 3" xfId="55506"/>
    <cellStyle name="Normal 15 2 3 4 3" xfId="55507"/>
    <cellStyle name="Normal 15 2 3 4 3 2" xfId="55508"/>
    <cellStyle name="Normal 15 2 3 4 4" xfId="55509"/>
    <cellStyle name="Normal 15 2 3 4 5" xfId="55510"/>
    <cellStyle name="Normal 15 2 3 5" xfId="55511"/>
    <cellStyle name="Normal 15 2 3 5 2" xfId="55512"/>
    <cellStyle name="Normal 15 2 3 5 3" xfId="55513"/>
    <cellStyle name="Normal 15 2 3 6" xfId="55514"/>
    <cellStyle name="Normal 15 2 3 6 2" xfId="55515"/>
    <cellStyle name="Normal 15 2 3 6 3" xfId="55516"/>
    <cellStyle name="Normal 15 2 3 7" xfId="55517"/>
    <cellStyle name="Normal 15 2 3 7 2" xfId="55518"/>
    <cellStyle name="Normal 15 2 3 8" xfId="55519"/>
    <cellStyle name="Normal 15 2 3 9" xfId="55520"/>
    <cellStyle name="Normal 15 2 4" xfId="4479"/>
    <cellStyle name="Normal 15 2 4 10" xfId="55521"/>
    <cellStyle name="Normal 15 2 4 2" xfId="8426"/>
    <cellStyle name="Normal 15 2 4 2 2" xfId="55522"/>
    <cellStyle name="Normal 15 2 4 2 2 2" xfId="55523"/>
    <cellStyle name="Normal 15 2 4 2 2 3" xfId="55524"/>
    <cellStyle name="Normal 15 2 4 2 3" xfId="55525"/>
    <cellStyle name="Normal 15 2 4 2 3 2" xfId="55526"/>
    <cellStyle name="Normal 15 2 4 2 3 3" xfId="55527"/>
    <cellStyle name="Normal 15 2 4 2 4" xfId="55528"/>
    <cellStyle name="Normal 15 2 4 2 4 2" xfId="55529"/>
    <cellStyle name="Normal 15 2 4 2 5" xfId="55530"/>
    <cellStyle name="Normal 15 2 4 2 6" xfId="55531"/>
    <cellStyle name="Normal 15 2 4 2 7" xfId="55532"/>
    <cellStyle name="Normal 15 2 4 3" xfId="55533"/>
    <cellStyle name="Normal 15 2 4 3 2" xfId="55534"/>
    <cellStyle name="Normal 15 2 4 3 2 2" xfId="55535"/>
    <cellStyle name="Normal 15 2 4 3 2 3" xfId="55536"/>
    <cellStyle name="Normal 15 2 4 3 3" xfId="55537"/>
    <cellStyle name="Normal 15 2 4 3 3 2" xfId="55538"/>
    <cellStyle name="Normal 15 2 4 3 3 3" xfId="55539"/>
    <cellStyle name="Normal 15 2 4 3 4" xfId="55540"/>
    <cellStyle name="Normal 15 2 4 3 4 2" xfId="55541"/>
    <cellStyle name="Normal 15 2 4 3 5" xfId="55542"/>
    <cellStyle name="Normal 15 2 4 3 6" xfId="55543"/>
    <cellStyle name="Normal 15 2 4 4" xfId="55544"/>
    <cellStyle name="Normal 15 2 4 4 2" xfId="55545"/>
    <cellStyle name="Normal 15 2 4 4 2 2" xfId="55546"/>
    <cellStyle name="Normal 15 2 4 4 2 3" xfId="55547"/>
    <cellStyle name="Normal 15 2 4 4 3" xfId="55548"/>
    <cellStyle name="Normal 15 2 4 4 3 2" xfId="55549"/>
    <cellStyle name="Normal 15 2 4 4 4" xfId="55550"/>
    <cellStyle name="Normal 15 2 4 4 5" xfId="55551"/>
    <cellStyle name="Normal 15 2 4 5" xfId="55552"/>
    <cellStyle name="Normal 15 2 4 5 2" xfId="55553"/>
    <cellStyle name="Normal 15 2 4 5 3" xfId="55554"/>
    <cellStyle name="Normal 15 2 4 6" xfId="55555"/>
    <cellStyle name="Normal 15 2 4 6 2" xfId="55556"/>
    <cellStyle name="Normal 15 2 4 6 3" xfId="55557"/>
    <cellStyle name="Normal 15 2 4 7" xfId="55558"/>
    <cellStyle name="Normal 15 2 4 7 2" xfId="55559"/>
    <cellStyle name="Normal 15 2 4 8" xfId="55560"/>
    <cellStyle name="Normal 15 2 4 9" xfId="55561"/>
    <cellStyle name="Normal 15 2 5" xfId="8427"/>
    <cellStyle name="Normal 15 2 5 2" xfId="8428"/>
    <cellStyle name="Normal 15 2 5 2 2" xfId="55562"/>
    <cellStyle name="Normal 15 2 5 2 3" xfId="55563"/>
    <cellStyle name="Normal 15 2 5 2 4" xfId="55564"/>
    <cellStyle name="Normal 15 2 5 3" xfId="55565"/>
    <cellStyle name="Normal 15 2 5 3 2" xfId="55566"/>
    <cellStyle name="Normal 15 2 5 3 3" xfId="55567"/>
    <cellStyle name="Normal 15 2 5 4" xfId="55568"/>
    <cellStyle name="Normal 15 2 5 4 2" xfId="55569"/>
    <cellStyle name="Normal 15 2 5 5" xfId="55570"/>
    <cellStyle name="Normal 15 2 5 6" xfId="55571"/>
    <cellStyle name="Normal 15 2 5 7" xfId="55572"/>
    <cellStyle name="Normal 15 2 6" xfId="8429"/>
    <cellStyle name="Normal 15 2 6 2" xfId="55573"/>
    <cellStyle name="Normal 15 2 6 2 2" xfId="55574"/>
    <cellStyle name="Normal 15 2 6 2 3" xfId="55575"/>
    <cellStyle name="Normal 15 2 6 3" xfId="55576"/>
    <cellStyle name="Normal 15 2 6 3 2" xfId="55577"/>
    <cellStyle name="Normal 15 2 6 3 3" xfId="55578"/>
    <cellStyle name="Normal 15 2 6 4" xfId="55579"/>
    <cellStyle name="Normal 15 2 6 4 2" xfId="55580"/>
    <cellStyle name="Normal 15 2 6 5" xfId="55581"/>
    <cellStyle name="Normal 15 2 6 6" xfId="55582"/>
    <cellStyle name="Normal 15 2 6 7" xfId="55583"/>
    <cellStyle name="Normal 15 2 7" xfId="55584"/>
    <cellStyle name="Normal 15 2 7 2" xfId="55585"/>
    <cellStyle name="Normal 15 2 7 2 2" xfId="55586"/>
    <cellStyle name="Normal 15 2 7 2 3" xfId="55587"/>
    <cellStyle name="Normal 15 2 7 3" xfId="55588"/>
    <cellStyle name="Normal 15 2 7 3 2" xfId="55589"/>
    <cellStyle name="Normal 15 2 7 4" xfId="55590"/>
    <cellStyle name="Normal 15 2 7 5" xfId="55591"/>
    <cellStyle name="Normal 15 2 8" xfId="55592"/>
    <cellStyle name="Normal 15 2 8 2" xfId="55593"/>
    <cellStyle name="Normal 15 2 8 3" xfId="55594"/>
    <cellStyle name="Normal 15 2 9" xfId="55595"/>
    <cellStyle name="Normal 15 2 9 2" xfId="55596"/>
    <cellStyle name="Normal 15 2 9 3" xfId="55597"/>
    <cellStyle name="Normal 15 3" xfId="4480"/>
    <cellStyle name="Normal 15 3 10" xfId="55598"/>
    <cellStyle name="Normal 15 3 11" xfId="55599"/>
    <cellStyle name="Normal 15 3 2" xfId="8430"/>
    <cellStyle name="Normal 15 3 2 10" xfId="55600"/>
    <cellStyle name="Normal 15 3 2 2" xfId="8431"/>
    <cellStyle name="Normal 15 3 2 2 2" xfId="8432"/>
    <cellStyle name="Normal 15 3 2 2 2 2" xfId="55601"/>
    <cellStyle name="Normal 15 3 2 2 2 3" xfId="55602"/>
    <cellStyle name="Normal 15 3 2 2 3" xfId="55603"/>
    <cellStyle name="Normal 15 3 2 2 3 2" xfId="55604"/>
    <cellStyle name="Normal 15 3 2 2 3 3" xfId="55605"/>
    <cellStyle name="Normal 15 3 2 2 4" xfId="55606"/>
    <cellStyle name="Normal 15 3 2 2 4 2" xfId="55607"/>
    <cellStyle name="Normal 15 3 2 2 5" xfId="55608"/>
    <cellStyle name="Normal 15 3 2 2 6" xfId="55609"/>
    <cellStyle name="Normal 15 3 2 2 7" xfId="55610"/>
    <cellStyle name="Normal 15 3 2 3" xfId="8433"/>
    <cellStyle name="Normal 15 3 2 3 2" xfId="55611"/>
    <cellStyle name="Normal 15 3 2 3 2 2" xfId="55612"/>
    <cellStyle name="Normal 15 3 2 3 2 3" xfId="55613"/>
    <cellStyle name="Normal 15 3 2 3 3" xfId="55614"/>
    <cellStyle name="Normal 15 3 2 3 3 2" xfId="55615"/>
    <cellStyle name="Normal 15 3 2 3 3 3" xfId="55616"/>
    <cellStyle name="Normal 15 3 2 3 4" xfId="55617"/>
    <cellStyle name="Normal 15 3 2 3 4 2" xfId="55618"/>
    <cellStyle name="Normal 15 3 2 3 5" xfId="55619"/>
    <cellStyle name="Normal 15 3 2 3 6" xfId="55620"/>
    <cellStyle name="Normal 15 3 2 3 7" xfId="55621"/>
    <cellStyle name="Normal 15 3 2 4" xfId="55622"/>
    <cellStyle name="Normal 15 3 2 4 2" xfId="55623"/>
    <cellStyle name="Normal 15 3 2 4 2 2" xfId="55624"/>
    <cellStyle name="Normal 15 3 2 4 2 3" xfId="55625"/>
    <cellStyle name="Normal 15 3 2 4 3" xfId="55626"/>
    <cellStyle name="Normal 15 3 2 4 3 2" xfId="55627"/>
    <cellStyle name="Normal 15 3 2 4 4" xfId="55628"/>
    <cellStyle name="Normal 15 3 2 4 5" xfId="55629"/>
    <cellStyle name="Normal 15 3 2 5" xfId="55630"/>
    <cellStyle name="Normal 15 3 2 5 2" xfId="55631"/>
    <cellStyle name="Normal 15 3 2 5 3" xfId="55632"/>
    <cellStyle name="Normal 15 3 2 6" xfId="55633"/>
    <cellStyle name="Normal 15 3 2 6 2" xfId="55634"/>
    <cellStyle name="Normal 15 3 2 6 3" xfId="55635"/>
    <cellStyle name="Normal 15 3 2 7" xfId="55636"/>
    <cellStyle name="Normal 15 3 2 7 2" xfId="55637"/>
    <cellStyle name="Normal 15 3 2 8" xfId="55638"/>
    <cellStyle name="Normal 15 3 2 9" xfId="55639"/>
    <cellStyle name="Normal 15 3 3" xfId="8434"/>
    <cellStyle name="Normal 15 3 3 2" xfId="8435"/>
    <cellStyle name="Normal 15 3 3 2 2" xfId="55640"/>
    <cellStyle name="Normal 15 3 3 2 3" xfId="55641"/>
    <cellStyle name="Normal 15 3 3 3" xfId="55642"/>
    <cellStyle name="Normal 15 3 3 3 2" xfId="55643"/>
    <cellStyle name="Normal 15 3 3 3 3" xfId="55644"/>
    <cellStyle name="Normal 15 3 3 4" xfId="55645"/>
    <cellStyle name="Normal 15 3 3 4 2" xfId="55646"/>
    <cellStyle name="Normal 15 3 3 5" xfId="55647"/>
    <cellStyle name="Normal 15 3 3 6" xfId="55648"/>
    <cellStyle name="Normal 15 3 3 7" xfId="55649"/>
    <cellStyle name="Normal 15 3 4" xfId="8436"/>
    <cellStyle name="Normal 15 3 4 2" xfId="55650"/>
    <cellStyle name="Normal 15 3 4 2 2" xfId="55651"/>
    <cellStyle name="Normal 15 3 4 2 3" xfId="55652"/>
    <cellStyle name="Normal 15 3 4 3" xfId="55653"/>
    <cellStyle name="Normal 15 3 4 3 2" xfId="55654"/>
    <cellStyle name="Normal 15 3 4 3 3" xfId="55655"/>
    <cellStyle name="Normal 15 3 4 4" xfId="55656"/>
    <cellStyle name="Normal 15 3 4 4 2" xfId="55657"/>
    <cellStyle name="Normal 15 3 4 5" xfId="55658"/>
    <cellStyle name="Normal 15 3 4 6" xfId="55659"/>
    <cellStyle name="Normal 15 3 4 7" xfId="55660"/>
    <cellStyle name="Normal 15 3 5" xfId="55661"/>
    <cellStyle name="Normal 15 3 5 2" xfId="55662"/>
    <cellStyle name="Normal 15 3 5 2 2" xfId="55663"/>
    <cellStyle name="Normal 15 3 5 2 3" xfId="55664"/>
    <cellStyle name="Normal 15 3 5 3" xfId="55665"/>
    <cellStyle name="Normal 15 3 5 3 2" xfId="55666"/>
    <cellStyle name="Normal 15 3 5 4" xfId="55667"/>
    <cellStyle name="Normal 15 3 5 5" xfId="55668"/>
    <cellStyle name="Normal 15 3 6" xfId="55669"/>
    <cellStyle name="Normal 15 3 6 2" xfId="55670"/>
    <cellStyle name="Normal 15 3 6 3" xfId="55671"/>
    <cellStyle name="Normal 15 3 7" xfId="55672"/>
    <cellStyle name="Normal 15 3 7 2" xfId="55673"/>
    <cellStyle name="Normal 15 3 7 3" xfId="55674"/>
    <cellStyle name="Normal 15 3 8" xfId="55675"/>
    <cellStyle name="Normal 15 3 8 2" xfId="55676"/>
    <cellStyle name="Normal 15 3 9" xfId="55677"/>
    <cellStyle name="Normal 15 4" xfId="4481"/>
    <cellStyle name="Normal 15 4 10" xfId="55678"/>
    <cellStyle name="Normal 15 4 2" xfId="8437"/>
    <cellStyle name="Normal 15 4 2 2" xfId="8438"/>
    <cellStyle name="Normal 15 4 2 2 2" xfId="55679"/>
    <cellStyle name="Normal 15 4 2 2 3" xfId="55680"/>
    <cellStyle name="Normal 15 4 2 2 4" xfId="55681"/>
    <cellStyle name="Normal 15 4 2 3" xfId="55682"/>
    <cellStyle name="Normal 15 4 2 3 2" xfId="55683"/>
    <cellStyle name="Normal 15 4 2 3 3" xfId="55684"/>
    <cellStyle name="Normal 15 4 2 4" xfId="55685"/>
    <cellStyle name="Normal 15 4 2 4 2" xfId="55686"/>
    <cellStyle name="Normal 15 4 2 5" xfId="55687"/>
    <cellStyle name="Normal 15 4 2 6" xfId="55688"/>
    <cellStyle name="Normal 15 4 2 7" xfId="55689"/>
    <cellStyle name="Normal 15 4 3" xfId="8439"/>
    <cellStyle name="Normal 15 4 3 2" xfId="55690"/>
    <cellStyle name="Normal 15 4 3 2 2" xfId="55691"/>
    <cellStyle name="Normal 15 4 3 2 3" xfId="55692"/>
    <cellStyle name="Normal 15 4 3 3" xfId="55693"/>
    <cellStyle name="Normal 15 4 3 3 2" xfId="55694"/>
    <cellStyle name="Normal 15 4 3 3 3" xfId="55695"/>
    <cellStyle name="Normal 15 4 3 4" xfId="55696"/>
    <cellStyle name="Normal 15 4 3 4 2" xfId="55697"/>
    <cellStyle name="Normal 15 4 3 5" xfId="55698"/>
    <cellStyle name="Normal 15 4 3 6" xfId="55699"/>
    <cellStyle name="Normal 15 4 3 7" xfId="55700"/>
    <cellStyle name="Normal 15 4 4" xfId="55701"/>
    <cellStyle name="Normal 15 4 4 2" xfId="55702"/>
    <cellStyle name="Normal 15 4 4 2 2" xfId="55703"/>
    <cellStyle name="Normal 15 4 4 2 3" xfId="55704"/>
    <cellStyle name="Normal 15 4 4 3" xfId="55705"/>
    <cellStyle name="Normal 15 4 4 3 2" xfId="55706"/>
    <cellStyle name="Normal 15 4 4 4" xfId="55707"/>
    <cellStyle name="Normal 15 4 4 5" xfId="55708"/>
    <cellStyle name="Normal 15 4 5" xfId="55709"/>
    <cellStyle name="Normal 15 4 5 2" xfId="55710"/>
    <cellStyle name="Normal 15 4 5 3" xfId="55711"/>
    <cellStyle name="Normal 15 4 6" xfId="55712"/>
    <cellStyle name="Normal 15 4 6 2" xfId="55713"/>
    <cellStyle name="Normal 15 4 6 3" xfId="55714"/>
    <cellStyle name="Normal 15 4 7" xfId="55715"/>
    <cellStyle name="Normal 15 4 7 2" xfId="55716"/>
    <cellStyle name="Normal 15 4 8" xfId="55717"/>
    <cellStyle name="Normal 15 4 9" xfId="55718"/>
    <cellStyle name="Normal 15 5" xfId="4482"/>
    <cellStyle name="Normal 15 5 10" xfId="55719"/>
    <cellStyle name="Normal 15 5 2" xfId="8440"/>
    <cellStyle name="Normal 15 5 2 2" xfId="55720"/>
    <cellStyle name="Normal 15 5 2 2 2" xfId="55721"/>
    <cellStyle name="Normal 15 5 2 2 3" xfId="55722"/>
    <cellStyle name="Normal 15 5 2 3" xfId="55723"/>
    <cellStyle name="Normal 15 5 2 3 2" xfId="55724"/>
    <cellStyle name="Normal 15 5 2 3 3" xfId="55725"/>
    <cellStyle name="Normal 15 5 2 4" xfId="55726"/>
    <cellStyle name="Normal 15 5 2 4 2" xfId="55727"/>
    <cellStyle name="Normal 15 5 2 5" xfId="55728"/>
    <cellStyle name="Normal 15 5 2 6" xfId="55729"/>
    <cellStyle name="Normal 15 5 2 7" xfId="55730"/>
    <cellStyle name="Normal 15 5 3" xfId="55731"/>
    <cellStyle name="Normal 15 5 3 2" xfId="55732"/>
    <cellStyle name="Normal 15 5 3 2 2" xfId="55733"/>
    <cellStyle name="Normal 15 5 3 2 3" xfId="55734"/>
    <cellStyle name="Normal 15 5 3 3" xfId="55735"/>
    <cellStyle name="Normal 15 5 3 3 2" xfId="55736"/>
    <cellStyle name="Normal 15 5 3 3 3" xfId="55737"/>
    <cellStyle name="Normal 15 5 3 4" xfId="55738"/>
    <cellStyle name="Normal 15 5 3 4 2" xfId="55739"/>
    <cellStyle name="Normal 15 5 3 5" xfId="55740"/>
    <cellStyle name="Normal 15 5 3 6" xfId="55741"/>
    <cellStyle name="Normal 15 5 4" xfId="55742"/>
    <cellStyle name="Normal 15 5 4 2" xfId="55743"/>
    <cellStyle name="Normal 15 5 4 2 2" xfId="55744"/>
    <cellStyle name="Normal 15 5 4 2 3" xfId="55745"/>
    <cellStyle name="Normal 15 5 4 3" xfId="55746"/>
    <cellStyle name="Normal 15 5 4 3 2" xfId="55747"/>
    <cellStyle name="Normal 15 5 4 4" xfId="55748"/>
    <cellStyle name="Normal 15 5 4 5" xfId="55749"/>
    <cellStyle name="Normal 15 5 5" xfId="55750"/>
    <cellStyle name="Normal 15 5 5 2" xfId="55751"/>
    <cellStyle name="Normal 15 5 5 3" xfId="55752"/>
    <cellStyle name="Normal 15 5 6" xfId="55753"/>
    <cellStyle name="Normal 15 5 6 2" xfId="55754"/>
    <cellStyle name="Normal 15 5 6 3" xfId="55755"/>
    <cellStyle name="Normal 15 5 7" xfId="55756"/>
    <cellStyle name="Normal 15 5 7 2" xfId="55757"/>
    <cellStyle name="Normal 15 5 8" xfId="55758"/>
    <cellStyle name="Normal 15 5 9" xfId="55759"/>
    <cellStyle name="Normal 15 6" xfId="8441"/>
    <cellStyle name="Normal 15 6 2" xfId="8442"/>
    <cellStyle name="Normal 15 6 2 2" xfId="55760"/>
    <cellStyle name="Normal 15 6 2 3" xfId="55761"/>
    <cellStyle name="Normal 15 6 2 4" xfId="55762"/>
    <cellStyle name="Normal 15 6 3" xfId="55763"/>
    <cellStyle name="Normal 15 6 3 2" xfId="55764"/>
    <cellStyle name="Normal 15 6 3 3" xfId="55765"/>
    <cellStyle name="Normal 15 6 4" xfId="55766"/>
    <cellStyle name="Normal 15 6 4 2" xfId="55767"/>
    <cellStyle name="Normal 15 6 5" xfId="55768"/>
    <cellStyle name="Normal 15 6 6" xfId="55769"/>
    <cellStyle name="Normal 15 6 7" xfId="55770"/>
    <cellStyle name="Normal 15 7" xfId="8443"/>
    <cellStyle name="Normal 15 7 2" xfId="55771"/>
    <cellStyle name="Normal 15 7 2 2" xfId="55772"/>
    <cellStyle name="Normal 15 7 2 3" xfId="55773"/>
    <cellStyle name="Normal 15 7 3" xfId="55774"/>
    <cellStyle name="Normal 15 7 3 2" xfId="55775"/>
    <cellStyle name="Normal 15 7 3 3" xfId="55776"/>
    <cellStyle name="Normal 15 7 4" xfId="55777"/>
    <cellStyle name="Normal 15 7 4 2" xfId="55778"/>
    <cellStyle name="Normal 15 7 5" xfId="55779"/>
    <cellStyle name="Normal 15 7 6" xfId="55780"/>
    <cellStyle name="Normal 15 7 7" xfId="55781"/>
    <cellStyle name="Normal 15 8" xfId="9370"/>
    <cellStyle name="Normal 15 8 2" xfId="55782"/>
    <cellStyle name="Normal 15 8 2 2" xfId="55783"/>
    <cellStyle name="Normal 15 8 2 3" xfId="55784"/>
    <cellStyle name="Normal 15 8 3" xfId="55785"/>
    <cellStyle name="Normal 15 8 3 2" xfId="55786"/>
    <cellStyle name="Normal 15 8 4" xfId="55787"/>
    <cellStyle name="Normal 15 8 5" xfId="55788"/>
    <cellStyle name="Normal 15 9" xfId="55789"/>
    <cellStyle name="Normal 15 9 2" xfId="55790"/>
    <cellStyle name="Normal 15 9 3" xfId="55791"/>
    <cellStyle name="Normal 16" xfId="4483"/>
    <cellStyle name="Normal 16 2" xfId="4484"/>
    <cellStyle name="Normal 16 2 2" xfId="9236"/>
    <cellStyle name="Normal 16 2 2 2" xfId="9237"/>
    <cellStyle name="Normal 16 2 3" xfId="9238"/>
    <cellStyle name="Normal 16 2 4" xfId="9239"/>
    <cellStyle name="Normal 16 3" xfId="9240"/>
    <cellStyle name="Normal 16 3 2" xfId="9241"/>
    <cellStyle name="Normal 16 4" xfId="9242"/>
    <cellStyle name="Normal 16 4 2" xfId="55792"/>
    <cellStyle name="Normal 16 5" xfId="9243"/>
    <cellStyle name="Normal 16 6" xfId="55793"/>
    <cellStyle name="Normal 17" xfId="4485"/>
    <cellStyle name="Normal 17 10" xfId="55794"/>
    <cellStyle name="Normal 17 10 2" xfId="55795"/>
    <cellStyle name="Normal 17 11" xfId="55796"/>
    <cellStyle name="Normal 17 12" xfId="55797"/>
    <cellStyle name="Normal 17 13" xfId="55798"/>
    <cellStyle name="Normal 17 2" xfId="4486"/>
    <cellStyle name="Normal 17 2 10" xfId="55799"/>
    <cellStyle name="Normal 17 2 11" xfId="55800"/>
    <cellStyle name="Normal 17 2 2" xfId="4487"/>
    <cellStyle name="Normal 17 2 2 10" xfId="55801"/>
    <cellStyle name="Normal 17 2 2 2" xfId="8444"/>
    <cellStyle name="Normal 17 2 2 2 2" xfId="8445"/>
    <cellStyle name="Normal 17 2 2 2 2 2" xfId="55802"/>
    <cellStyle name="Normal 17 2 2 2 2 3" xfId="55803"/>
    <cellStyle name="Normal 17 2 2 2 3" xfId="55804"/>
    <cellStyle name="Normal 17 2 2 2 3 2" xfId="55805"/>
    <cellStyle name="Normal 17 2 2 2 3 3" xfId="55806"/>
    <cellStyle name="Normal 17 2 2 2 4" xfId="55807"/>
    <cellStyle name="Normal 17 2 2 2 4 2" xfId="55808"/>
    <cellStyle name="Normal 17 2 2 2 5" xfId="55809"/>
    <cellStyle name="Normal 17 2 2 2 6" xfId="55810"/>
    <cellStyle name="Normal 17 2 2 2 7" xfId="55811"/>
    <cellStyle name="Normal 17 2 2 3" xfId="8446"/>
    <cellStyle name="Normal 17 2 2 3 2" xfId="55812"/>
    <cellStyle name="Normal 17 2 2 3 2 2" xfId="55813"/>
    <cellStyle name="Normal 17 2 2 3 2 3" xfId="55814"/>
    <cellStyle name="Normal 17 2 2 3 3" xfId="55815"/>
    <cellStyle name="Normal 17 2 2 3 3 2" xfId="55816"/>
    <cellStyle name="Normal 17 2 2 3 3 3" xfId="55817"/>
    <cellStyle name="Normal 17 2 2 3 4" xfId="55818"/>
    <cellStyle name="Normal 17 2 2 3 4 2" xfId="55819"/>
    <cellStyle name="Normal 17 2 2 3 5" xfId="55820"/>
    <cellStyle name="Normal 17 2 2 3 6" xfId="55821"/>
    <cellStyle name="Normal 17 2 2 3 7" xfId="55822"/>
    <cellStyle name="Normal 17 2 2 4" xfId="55823"/>
    <cellStyle name="Normal 17 2 2 4 2" xfId="55824"/>
    <cellStyle name="Normal 17 2 2 4 2 2" xfId="55825"/>
    <cellStyle name="Normal 17 2 2 4 2 3" xfId="55826"/>
    <cellStyle name="Normal 17 2 2 4 3" xfId="55827"/>
    <cellStyle name="Normal 17 2 2 4 3 2" xfId="55828"/>
    <cellStyle name="Normal 17 2 2 4 4" xfId="55829"/>
    <cellStyle name="Normal 17 2 2 4 5" xfId="55830"/>
    <cellStyle name="Normal 17 2 2 5" xfId="55831"/>
    <cellStyle name="Normal 17 2 2 5 2" xfId="55832"/>
    <cellStyle name="Normal 17 2 2 5 3" xfId="55833"/>
    <cellStyle name="Normal 17 2 2 6" xfId="55834"/>
    <cellStyle name="Normal 17 2 2 6 2" xfId="55835"/>
    <cellStyle name="Normal 17 2 2 6 3" xfId="55836"/>
    <cellStyle name="Normal 17 2 2 7" xfId="55837"/>
    <cellStyle name="Normal 17 2 2 7 2" xfId="55838"/>
    <cellStyle name="Normal 17 2 2 8" xfId="55839"/>
    <cellStyle name="Normal 17 2 2 9" xfId="55840"/>
    <cellStyle name="Normal 17 2 3" xfId="8447"/>
    <cellStyle name="Normal 17 2 3 2" xfId="8448"/>
    <cellStyle name="Normal 17 2 3 2 2" xfId="55841"/>
    <cellStyle name="Normal 17 2 3 2 3" xfId="55842"/>
    <cellStyle name="Normal 17 2 3 3" xfId="55843"/>
    <cellStyle name="Normal 17 2 3 3 2" xfId="55844"/>
    <cellStyle name="Normal 17 2 3 3 3" xfId="55845"/>
    <cellStyle name="Normal 17 2 3 4" xfId="55846"/>
    <cellStyle name="Normal 17 2 3 4 2" xfId="55847"/>
    <cellStyle name="Normal 17 2 3 5" xfId="55848"/>
    <cellStyle name="Normal 17 2 3 6" xfId="55849"/>
    <cellStyle name="Normal 17 2 3 7" xfId="55850"/>
    <cellStyle name="Normal 17 2 4" xfId="8449"/>
    <cellStyle name="Normal 17 2 4 2" xfId="55851"/>
    <cellStyle name="Normal 17 2 4 2 2" xfId="55852"/>
    <cellStyle name="Normal 17 2 4 2 3" xfId="55853"/>
    <cellStyle name="Normal 17 2 4 3" xfId="55854"/>
    <cellStyle name="Normal 17 2 4 3 2" xfId="55855"/>
    <cellStyle name="Normal 17 2 4 3 3" xfId="55856"/>
    <cellStyle name="Normal 17 2 4 4" xfId="55857"/>
    <cellStyle name="Normal 17 2 4 4 2" xfId="55858"/>
    <cellStyle name="Normal 17 2 4 5" xfId="55859"/>
    <cellStyle name="Normal 17 2 4 6" xfId="55860"/>
    <cellStyle name="Normal 17 2 4 7" xfId="55861"/>
    <cellStyle name="Normal 17 2 5" xfId="55862"/>
    <cellStyle name="Normal 17 2 5 2" xfId="55863"/>
    <cellStyle name="Normal 17 2 5 2 2" xfId="55864"/>
    <cellStyle name="Normal 17 2 5 2 3" xfId="55865"/>
    <cellStyle name="Normal 17 2 5 3" xfId="55866"/>
    <cellStyle name="Normal 17 2 5 3 2" xfId="55867"/>
    <cellStyle name="Normal 17 2 5 4" xfId="55868"/>
    <cellStyle name="Normal 17 2 5 5" xfId="55869"/>
    <cellStyle name="Normal 17 2 6" xfId="55870"/>
    <cellStyle name="Normal 17 2 6 2" xfId="55871"/>
    <cellStyle name="Normal 17 2 6 3" xfId="55872"/>
    <cellStyle name="Normal 17 2 7" xfId="55873"/>
    <cellStyle name="Normal 17 2 7 2" xfId="55874"/>
    <cellStyle name="Normal 17 2 7 3" xfId="55875"/>
    <cellStyle name="Normal 17 2 8" xfId="55876"/>
    <cellStyle name="Normal 17 2 8 2" xfId="55877"/>
    <cellStyle name="Normal 17 2 9" xfId="55878"/>
    <cellStyle name="Normal 17 3" xfId="4488"/>
    <cellStyle name="Normal 17 3 10" xfId="55879"/>
    <cellStyle name="Normal 17 3 2" xfId="8450"/>
    <cellStyle name="Normal 17 3 2 2" xfId="8451"/>
    <cellStyle name="Normal 17 3 2 2 2" xfId="55880"/>
    <cellStyle name="Normal 17 3 2 2 3" xfId="55881"/>
    <cellStyle name="Normal 17 3 2 2 4" xfId="55882"/>
    <cellStyle name="Normal 17 3 2 3" xfId="55883"/>
    <cellStyle name="Normal 17 3 2 3 2" xfId="55884"/>
    <cellStyle name="Normal 17 3 2 3 3" xfId="55885"/>
    <cellStyle name="Normal 17 3 2 4" xfId="55886"/>
    <cellStyle name="Normal 17 3 2 4 2" xfId="55887"/>
    <cellStyle name="Normal 17 3 2 5" xfId="55888"/>
    <cellStyle name="Normal 17 3 2 6" xfId="55889"/>
    <cellStyle name="Normal 17 3 2 7" xfId="55890"/>
    <cellStyle name="Normal 17 3 3" xfId="8452"/>
    <cellStyle name="Normal 17 3 3 2" xfId="55891"/>
    <cellStyle name="Normal 17 3 3 2 2" xfId="55892"/>
    <cellStyle name="Normal 17 3 3 2 3" xfId="55893"/>
    <cellStyle name="Normal 17 3 3 3" xfId="55894"/>
    <cellStyle name="Normal 17 3 3 3 2" xfId="55895"/>
    <cellStyle name="Normal 17 3 3 3 3" xfId="55896"/>
    <cellStyle name="Normal 17 3 3 4" xfId="55897"/>
    <cellStyle name="Normal 17 3 3 4 2" xfId="55898"/>
    <cellStyle name="Normal 17 3 3 5" xfId="55899"/>
    <cellStyle name="Normal 17 3 3 6" xfId="55900"/>
    <cellStyle name="Normal 17 3 3 7" xfId="55901"/>
    <cellStyle name="Normal 17 3 4" xfId="55902"/>
    <cellStyle name="Normal 17 3 4 2" xfId="55903"/>
    <cellStyle name="Normal 17 3 4 2 2" xfId="55904"/>
    <cellStyle name="Normal 17 3 4 2 3" xfId="55905"/>
    <cellStyle name="Normal 17 3 4 3" xfId="55906"/>
    <cellStyle name="Normal 17 3 4 3 2" xfId="55907"/>
    <cellStyle name="Normal 17 3 4 4" xfId="55908"/>
    <cellStyle name="Normal 17 3 4 5" xfId="55909"/>
    <cellStyle name="Normal 17 3 5" xfId="55910"/>
    <cellStyle name="Normal 17 3 5 2" xfId="55911"/>
    <cellStyle name="Normal 17 3 5 3" xfId="55912"/>
    <cellStyle name="Normal 17 3 6" xfId="55913"/>
    <cellStyle name="Normal 17 3 6 2" xfId="55914"/>
    <cellStyle name="Normal 17 3 6 3" xfId="55915"/>
    <cellStyle name="Normal 17 3 7" xfId="55916"/>
    <cellStyle name="Normal 17 3 7 2" xfId="55917"/>
    <cellStyle name="Normal 17 3 8" xfId="55918"/>
    <cellStyle name="Normal 17 3 9" xfId="55919"/>
    <cellStyle name="Normal 17 4" xfId="8453"/>
    <cellStyle name="Normal 17 4 10" xfId="55920"/>
    <cellStyle name="Normal 17 4 2" xfId="8454"/>
    <cellStyle name="Normal 17 4 2 2" xfId="55921"/>
    <cellStyle name="Normal 17 4 2 2 2" xfId="55922"/>
    <cellStyle name="Normal 17 4 2 2 3" xfId="55923"/>
    <cellStyle name="Normal 17 4 2 3" xfId="55924"/>
    <cellStyle name="Normal 17 4 2 3 2" xfId="55925"/>
    <cellStyle name="Normal 17 4 2 3 3" xfId="55926"/>
    <cellStyle name="Normal 17 4 2 4" xfId="55927"/>
    <cellStyle name="Normal 17 4 2 4 2" xfId="55928"/>
    <cellStyle name="Normal 17 4 2 5" xfId="55929"/>
    <cellStyle name="Normal 17 4 2 6" xfId="55930"/>
    <cellStyle name="Normal 17 4 2 7" xfId="55931"/>
    <cellStyle name="Normal 17 4 3" xfId="55932"/>
    <cellStyle name="Normal 17 4 3 2" xfId="55933"/>
    <cellStyle name="Normal 17 4 3 2 2" xfId="55934"/>
    <cellStyle name="Normal 17 4 3 2 3" xfId="55935"/>
    <cellStyle name="Normal 17 4 3 3" xfId="55936"/>
    <cellStyle name="Normal 17 4 3 3 2" xfId="55937"/>
    <cellStyle name="Normal 17 4 3 3 3" xfId="55938"/>
    <cellStyle name="Normal 17 4 3 4" xfId="55939"/>
    <cellStyle name="Normal 17 4 3 4 2" xfId="55940"/>
    <cellStyle name="Normal 17 4 3 5" xfId="55941"/>
    <cellStyle name="Normal 17 4 3 6" xfId="55942"/>
    <cellStyle name="Normal 17 4 4" xfId="55943"/>
    <cellStyle name="Normal 17 4 4 2" xfId="55944"/>
    <cellStyle name="Normal 17 4 4 2 2" xfId="55945"/>
    <cellStyle name="Normal 17 4 4 2 3" xfId="55946"/>
    <cellStyle name="Normal 17 4 4 3" xfId="55947"/>
    <cellStyle name="Normal 17 4 4 3 2" xfId="55948"/>
    <cellStyle name="Normal 17 4 4 4" xfId="55949"/>
    <cellStyle name="Normal 17 4 4 5" xfId="55950"/>
    <cellStyle name="Normal 17 4 5" xfId="55951"/>
    <cellStyle name="Normal 17 4 5 2" xfId="55952"/>
    <cellStyle name="Normal 17 4 5 3" xfId="55953"/>
    <cellStyle name="Normal 17 4 6" xfId="55954"/>
    <cellStyle name="Normal 17 4 6 2" xfId="55955"/>
    <cellStyle name="Normal 17 4 6 3" xfId="55956"/>
    <cellStyle name="Normal 17 4 7" xfId="55957"/>
    <cellStyle name="Normal 17 4 7 2" xfId="55958"/>
    <cellStyle name="Normal 17 4 8" xfId="55959"/>
    <cellStyle name="Normal 17 4 9" xfId="55960"/>
    <cellStyle name="Normal 17 5" xfId="8455"/>
    <cellStyle name="Normal 17 5 2" xfId="8456"/>
    <cellStyle name="Normal 17 5 2 2" xfId="55961"/>
    <cellStyle name="Normal 17 5 2 3" xfId="55962"/>
    <cellStyle name="Normal 17 5 2 4" xfId="55963"/>
    <cellStyle name="Normal 17 5 3" xfId="55964"/>
    <cellStyle name="Normal 17 5 3 2" xfId="55965"/>
    <cellStyle name="Normal 17 5 3 3" xfId="55966"/>
    <cellStyle name="Normal 17 5 4" xfId="55967"/>
    <cellStyle name="Normal 17 5 4 2" xfId="55968"/>
    <cellStyle name="Normal 17 5 5" xfId="55969"/>
    <cellStyle name="Normal 17 5 6" xfId="55970"/>
    <cellStyle name="Normal 17 5 7" xfId="55971"/>
    <cellStyle name="Normal 17 6" xfId="8457"/>
    <cellStyle name="Normal 17 6 2" xfId="55972"/>
    <cellStyle name="Normal 17 6 2 2" xfId="55973"/>
    <cellStyle name="Normal 17 6 2 3" xfId="55974"/>
    <cellStyle name="Normal 17 6 3" xfId="55975"/>
    <cellStyle name="Normal 17 6 3 2" xfId="55976"/>
    <cellStyle name="Normal 17 6 3 3" xfId="55977"/>
    <cellStyle name="Normal 17 6 4" xfId="55978"/>
    <cellStyle name="Normal 17 6 4 2" xfId="55979"/>
    <cellStyle name="Normal 17 6 5" xfId="55980"/>
    <cellStyle name="Normal 17 6 6" xfId="55981"/>
    <cellStyle name="Normal 17 6 7" xfId="55982"/>
    <cellStyle name="Normal 17 7" xfId="55983"/>
    <cellStyle name="Normal 17 7 2" xfId="55984"/>
    <cellStyle name="Normal 17 7 2 2" xfId="55985"/>
    <cellStyle name="Normal 17 7 2 3" xfId="55986"/>
    <cellStyle name="Normal 17 7 3" xfId="55987"/>
    <cellStyle name="Normal 17 7 3 2" xfId="55988"/>
    <cellStyle name="Normal 17 7 4" xfId="55989"/>
    <cellStyle name="Normal 17 7 5" xfId="55990"/>
    <cellStyle name="Normal 17 8" xfId="55991"/>
    <cellStyle name="Normal 17 8 2" xfId="55992"/>
    <cellStyle name="Normal 17 8 3" xfId="55993"/>
    <cellStyle name="Normal 17 9" xfId="55994"/>
    <cellStyle name="Normal 17 9 2" xfId="55995"/>
    <cellStyle name="Normal 17 9 3" xfId="55996"/>
    <cellStyle name="Normal 18" xfId="4489"/>
    <cellStyle name="Normal 18 2" xfId="4490"/>
    <cellStyle name="Normal 18 2 2" xfId="4491"/>
    <cellStyle name="Normal 18 2 2 2" xfId="55997"/>
    <cellStyle name="Normal 18 2 2 3" xfId="59503"/>
    <cellStyle name="Normal 18 2 3" xfId="55998"/>
    <cellStyle name="Normal 18 2 4" xfId="59504"/>
    <cellStyle name="Normal 18 2 5" xfId="59505"/>
    <cellStyle name="Normal 18 2 6" xfId="59506"/>
    <cellStyle name="Normal 18 2 7" xfId="59507"/>
    <cellStyle name="Normal 18 3" xfId="4492"/>
    <cellStyle name="Normal 18 3 2" xfId="55999"/>
    <cellStyle name="Normal 18 3 2 2" xfId="59508"/>
    <cellStyle name="Normal 18 3 3" xfId="59509"/>
    <cellStyle name="Normal 18 3 4" xfId="59510"/>
    <cellStyle name="Normal 18 3 5" xfId="59511"/>
    <cellStyle name="Normal 18 3 6" xfId="59512"/>
    <cellStyle name="Normal 18 4" xfId="9244"/>
    <cellStyle name="Normal 18 4 2" xfId="56000"/>
    <cellStyle name="Normal 18 5" xfId="56001"/>
    <cellStyle name="Normal 18 5 2" xfId="56002"/>
    <cellStyle name="Normal 18 6" xfId="56003"/>
    <cellStyle name="Normal 18 7" xfId="56004"/>
    <cellStyle name="Normal 18 8" xfId="56005"/>
    <cellStyle name="Normal 19" xfId="4493"/>
    <cellStyle name="Normal 19 2" xfId="4494"/>
    <cellStyle name="Normal 19 2 2" xfId="9245"/>
    <cellStyle name="Normal 19 2 2 2" xfId="9246"/>
    <cellStyle name="Normal 19 2 3" xfId="9247"/>
    <cellStyle name="Normal 19 2 4" xfId="9248"/>
    <cellStyle name="Normal 19 3" xfId="9249"/>
    <cellStyle name="Normal 19 3 2" xfId="9250"/>
    <cellStyle name="Normal 19 4" xfId="9251"/>
    <cellStyle name="Normal 19 4 2" xfId="56006"/>
    <cellStyle name="Normal 19 5" xfId="9252"/>
    <cellStyle name="Normal 19 6" xfId="56007"/>
    <cellStyle name="Normal 2" xfId="4495"/>
    <cellStyle name="Normal 2 10" xfId="8458"/>
    <cellStyle name="Normal 2 10 2" xfId="8459"/>
    <cellStyle name="Normal 2 10 2 2" xfId="59513"/>
    <cellStyle name="Normal 2 10 3" xfId="57816"/>
    <cellStyle name="Normal 2 11" xfId="8460"/>
    <cellStyle name="Normal 2 11 2" xfId="8461"/>
    <cellStyle name="Normal 2 11 2 2" xfId="59514"/>
    <cellStyle name="Normal 2 11 3" xfId="59515"/>
    <cellStyle name="Normal 2 12" xfId="8462"/>
    <cellStyle name="Normal 2 12 2" xfId="59516"/>
    <cellStyle name="Normal 2 13" xfId="9844"/>
    <cellStyle name="Normal 2 14" xfId="9845"/>
    <cellStyle name="Normal 2 15" xfId="9846"/>
    <cellStyle name="Normal 2 16" xfId="9847"/>
    <cellStyle name="Normal 2 17" xfId="9848"/>
    <cellStyle name="Normal 2 18" xfId="59517"/>
    <cellStyle name="Normal 2 18 2" xfId="59518"/>
    <cellStyle name="Normal 2 18 2 2" xfId="59519"/>
    <cellStyle name="Normal 2 18 3" xfId="59520"/>
    <cellStyle name="Normal 2 18 4" xfId="59521"/>
    <cellStyle name="Normal 2 19" xfId="59522"/>
    <cellStyle name="Normal 2 19 2" xfId="59523"/>
    <cellStyle name="Normal 2 2" xfId="4496"/>
    <cellStyle name="Normal 2 2 2" xfId="4497"/>
    <cellStyle name="Normal 2 2 2 2" xfId="4498"/>
    <cellStyle name="Normal 2 2 2 2 2" xfId="9849"/>
    <cellStyle name="Normal 2 2 2 2 3" xfId="56008"/>
    <cellStyle name="Normal 2 2 2 3" xfId="8463"/>
    <cellStyle name="Normal 2 2 2 3 2" xfId="9850"/>
    <cellStyle name="Normal 2 2 2 3 3" xfId="56009"/>
    <cellStyle name="Normal 2 2 2 4" xfId="8464"/>
    <cellStyle name="Normal 2 2 2 4 2" xfId="9851"/>
    <cellStyle name="Normal 2 2 2 5" xfId="9852"/>
    <cellStyle name="Normal 2 2 3" xfId="4499"/>
    <cellStyle name="Normal 2 2 3 2" xfId="9853"/>
    <cellStyle name="Normal 2 2 3 3" xfId="56010"/>
    <cellStyle name="Normal 2 2 4" xfId="4500"/>
    <cellStyle name="Normal 2 2 4 2" xfId="4501"/>
    <cellStyle name="Normal 2 2 4 2 2" xfId="4502"/>
    <cellStyle name="Normal 2 2 4 2 2 2" xfId="59524"/>
    <cellStyle name="Normal 2 2 4 2 2 2 2" xfId="59525"/>
    <cellStyle name="Normal 2 2 4 2 2 3" xfId="59526"/>
    <cellStyle name="Normal 2 2 4 2 2 4" xfId="59527"/>
    <cellStyle name="Normal 2 2 4 2 3" xfId="59528"/>
    <cellStyle name="Normal 2 2 4 2 3 2" xfId="59529"/>
    <cellStyle name="Normal 2 2 4 2 4" xfId="59530"/>
    <cellStyle name="Normal 2 2 4 2 5" xfId="59531"/>
    <cellStyle name="Normal 2 2 4 3" xfId="4503"/>
    <cellStyle name="Normal 2 2 4 3 2" xfId="59532"/>
    <cellStyle name="Normal 2 2 4 3 2 2" xfId="59533"/>
    <cellStyle name="Normal 2 2 4 3 3" xfId="59534"/>
    <cellStyle name="Normal 2 2 4 3 4" xfId="59535"/>
    <cellStyle name="Normal 2 2 4 4" xfId="59536"/>
    <cellStyle name="Normal 2 2 4 4 2" xfId="59537"/>
    <cellStyle name="Normal 2 2 4 5" xfId="59538"/>
    <cellStyle name="Normal 2 2 4 5 2" xfId="59539"/>
    <cellStyle name="Normal 2 2 4 6" xfId="59540"/>
    <cellStyle name="Normal 2 2 4 7" xfId="59541"/>
    <cellStyle name="Normal 2 2 5" xfId="4504"/>
    <cellStyle name="Normal 2 2 5 2" xfId="59542"/>
    <cellStyle name="Normal 2 2 5 2 2" xfId="59543"/>
    <cellStyle name="Normal 2 2 5 2 3" xfId="59544"/>
    <cellStyle name="Normal 2 2 5 3" xfId="59545"/>
    <cellStyle name="Normal 2 2 5 4" xfId="59546"/>
    <cellStyle name="Normal 2 2 5 5" xfId="59547"/>
    <cellStyle name="Normal 2 2 5 6" xfId="59548"/>
    <cellStyle name="Normal 2 2 6" xfId="9253"/>
    <cellStyle name="Normal 2 2 6 2" xfId="59549"/>
    <cellStyle name="Normal 2 2 6 2 2" xfId="59550"/>
    <cellStyle name="Normal 2 2 6 3" xfId="59551"/>
    <cellStyle name="Normal 2 2 6 4" xfId="59552"/>
    <cellStyle name="Normal 2 2 6 5" xfId="59553"/>
    <cellStyle name="Normal 2 2 7" xfId="9854"/>
    <cellStyle name="Normal 2 2 8" xfId="59554"/>
    <cellStyle name="Normal 2 2 8 2" xfId="59555"/>
    <cellStyle name="Normal 2 2 8 3" xfId="59556"/>
    <cellStyle name="Normal 2 20" xfId="59557"/>
    <cellStyle name="Normal 2 20 2" xfId="59558"/>
    <cellStyle name="Normal 2 20 3" xfId="59559"/>
    <cellStyle name="Normal 2 21" xfId="59560"/>
    <cellStyle name="Normal 2 21 2" xfId="59561"/>
    <cellStyle name="Normal 2 22" xfId="59562"/>
    <cellStyle name="Normal 2 23" xfId="61972"/>
    <cellStyle name="Normal 2 24" xfId="61979"/>
    <cellStyle name="Normal 2 3" xfId="4505"/>
    <cellStyle name="Normal 2 3 2" xfId="4506"/>
    <cellStyle name="Normal 2 3 2 2" xfId="9855"/>
    <cellStyle name="Normal 2 3 2 3" xfId="56011"/>
    <cellStyle name="Normal 2 3 2 4" xfId="56012"/>
    <cellStyle name="Normal 2 3 3" xfId="9856"/>
    <cellStyle name="Normal 2 3 3 2" xfId="56013"/>
    <cellStyle name="Normal 2 3 3 3" xfId="56014"/>
    <cellStyle name="Normal 2 3 4" xfId="9857"/>
    <cellStyle name="Normal 2 3 4 2" xfId="59563"/>
    <cellStyle name="Normal 2 3 4 2 2" xfId="59564"/>
    <cellStyle name="Normal 2 3 4 3" xfId="59565"/>
    <cellStyle name="Normal 2 3 4 4" xfId="59566"/>
    <cellStyle name="Normal 2 3 4 5" xfId="59567"/>
    <cellStyle name="Normal 2 3 5" xfId="9858"/>
    <cellStyle name="Normal 2 3 5 2" xfId="56015"/>
    <cellStyle name="Normal 2 3 5 2 2" xfId="59568"/>
    <cellStyle name="Normal 2 3 5 3" xfId="59569"/>
    <cellStyle name="Normal 2 3 5 4" xfId="59570"/>
    <cellStyle name="Normal 2 3 5 5" xfId="59571"/>
    <cellStyle name="Normal 2 3 6" xfId="9859"/>
    <cellStyle name="Normal 2 3 6 2" xfId="59572"/>
    <cellStyle name="Normal 2 4" xfId="4507"/>
    <cellStyle name="Normal 2 4 2" xfId="8465"/>
    <cellStyle name="Normal 2 4 2 2" xfId="9860"/>
    <cellStyle name="Normal 2 4 2 2 2" xfId="56016"/>
    <cellStyle name="Normal 2 4 2 3" xfId="56017"/>
    <cellStyle name="Normal 2 4 2 3 2" xfId="56018"/>
    <cellStyle name="Normal 2 4 2 4" xfId="56019"/>
    <cellStyle name="Normal 2 4 2 5" xfId="56020"/>
    <cellStyle name="Normal 2 4 3" xfId="8466"/>
    <cellStyle name="Normal 2 4 3 2" xfId="9861"/>
    <cellStyle name="Normal 2 4 3 2 2" xfId="56021"/>
    <cellStyle name="Normal 2 4 3 3" xfId="56022"/>
    <cellStyle name="Normal 2 4 3 3 2" xfId="56023"/>
    <cellStyle name="Normal 2 4 3 4" xfId="56024"/>
    <cellStyle name="Normal 2 4 3 5" xfId="56025"/>
    <cellStyle name="Normal 2 4 4" xfId="8467"/>
    <cellStyle name="Normal 2 4 4 2" xfId="9862"/>
    <cellStyle name="Normal 2 4 4 2 2" xfId="56026"/>
    <cellStyle name="Normal 2 4 4 3" xfId="56027"/>
    <cellStyle name="Normal 2 4 4 4" xfId="56028"/>
    <cellStyle name="Normal 2 4 5" xfId="9863"/>
    <cellStyle name="Normal 2 4 5 2" xfId="56029"/>
    <cellStyle name="Normal 2 4 6" xfId="56030"/>
    <cellStyle name="Normal 2 4 7" xfId="56031"/>
    <cellStyle name="Normal 2 4 8" xfId="56032"/>
    <cellStyle name="Normal 2 41" xfId="8675"/>
    <cellStyle name="Normal 2 43" xfId="8676"/>
    <cellStyle name="Normal 2 5" xfId="4508"/>
    <cellStyle name="Normal 2 5 2" xfId="4509"/>
    <cellStyle name="Normal 2 5 2 2" xfId="4510"/>
    <cellStyle name="Normal 2 5 2 2 2" xfId="59573"/>
    <cellStyle name="Normal 2 5 2 2 2 2" xfId="59574"/>
    <cellStyle name="Normal 2 5 2 2 3" xfId="59575"/>
    <cellStyle name="Normal 2 5 2 2 4" xfId="59576"/>
    <cellStyle name="Normal 2 5 2 3" xfId="4511"/>
    <cellStyle name="Normal 2 5 2 3 2" xfId="59577"/>
    <cellStyle name="Normal 2 5 2 3 2 2" xfId="59578"/>
    <cellStyle name="Normal 2 5 2 3 3" xfId="59579"/>
    <cellStyle name="Normal 2 5 2 3 4" xfId="59580"/>
    <cellStyle name="Normal 2 5 2 4" xfId="59581"/>
    <cellStyle name="Normal 2 5 2 4 2" xfId="59582"/>
    <cellStyle name="Normal 2 5 2 5" xfId="59583"/>
    <cellStyle name="Normal 2 5 2 6" xfId="59584"/>
    <cellStyle name="Normal 2 5 2 7" xfId="59585"/>
    <cellStyle name="Normal 2 5 3" xfId="4512"/>
    <cellStyle name="Normal 2 5 3 2" xfId="56033"/>
    <cellStyle name="Normal 2 5 3 2 2" xfId="59586"/>
    <cellStyle name="Normal 2 5 3 3" xfId="59587"/>
    <cellStyle name="Normal 2 5 3 4" xfId="59588"/>
    <cellStyle name="Normal 2 5 4" xfId="4513"/>
    <cellStyle name="Normal 2 5 4 2" xfId="59589"/>
    <cellStyle name="Normal 2 5 4 2 2" xfId="59590"/>
    <cellStyle name="Normal 2 5 4 3" xfId="59591"/>
    <cellStyle name="Normal 2 5 4 4" xfId="59592"/>
    <cellStyle name="Normal 2 5 5" xfId="9254"/>
    <cellStyle name="Normal 2 5 6" xfId="59593"/>
    <cellStyle name="Normal 2 6" xfId="4514"/>
    <cellStyle name="Normal 2 6 2" xfId="9255"/>
    <cellStyle name="Normal 2 6 2 2" xfId="9256"/>
    <cellStyle name="Normal 2 6 3" xfId="9257"/>
    <cellStyle name="Normal 2 6 3 2" xfId="56034"/>
    <cellStyle name="Normal 2 6 4" xfId="9258"/>
    <cellStyle name="Normal 2 6 4 2" xfId="56035"/>
    <cellStyle name="Normal 2 6 5" xfId="56036"/>
    <cellStyle name="Normal 2 6 5 2" xfId="56037"/>
    <cellStyle name="Normal 2 6 6" xfId="56038"/>
    <cellStyle name="Normal 2 6 7" xfId="56039"/>
    <cellStyle name="Normal 2 7" xfId="8468"/>
    <cellStyle name="Normal 2 7 2" xfId="8469"/>
    <cellStyle name="Normal 2 7 2 2" xfId="8470"/>
    <cellStyle name="Normal 2 7 2 2 2" xfId="8471"/>
    <cellStyle name="Normal 2 7 2 2 3" xfId="59594"/>
    <cellStyle name="Normal 2 7 2 3" xfId="8472"/>
    <cellStyle name="Normal 2 7 2 3 2" xfId="59595"/>
    <cellStyle name="Normal 2 7 2 4" xfId="56040"/>
    <cellStyle name="Normal 2 7 2 5" xfId="56041"/>
    <cellStyle name="Normal 2 7 3" xfId="8473"/>
    <cellStyle name="Normal 2 7 3 2" xfId="8474"/>
    <cellStyle name="Normal 2 7 3 2 2" xfId="59596"/>
    <cellStyle name="Normal 2 7 3 3" xfId="59597"/>
    <cellStyle name="Normal 2 7 3 4" xfId="59598"/>
    <cellStyle name="Normal 2 7 3 5" xfId="59599"/>
    <cellStyle name="Normal 2 7 4" xfId="8475"/>
    <cellStyle name="Normal 2 7 4 2" xfId="59600"/>
    <cellStyle name="Normal 2 7 4 2 2" xfId="59601"/>
    <cellStyle name="Normal 2 7 4 3" xfId="59602"/>
    <cellStyle name="Normal 2 7 4 4" xfId="59603"/>
    <cellStyle name="Normal 2 7 4 5" xfId="59604"/>
    <cellStyle name="Normal 2 7 5" xfId="56042"/>
    <cellStyle name="Normal 2 7 6" xfId="56043"/>
    <cellStyle name="Normal 2 8" xfId="8476"/>
    <cellStyle name="Normal 2 8 2" xfId="8477"/>
    <cellStyle name="Normal 2 8 2 2" xfId="8478"/>
    <cellStyle name="Normal 2 8 2 2 2" xfId="59605"/>
    <cellStyle name="Normal 2 8 2 3" xfId="59606"/>
    <cellStyle name="Normal 2 8 2 4" xfId="59607"/>
    <cellStyle name="Normal 2 8 2 5" xfId="59608"/>
    <cellStyle name="Normal 2 8 3" xfId="8479"/>
    <cellStyle name="Normal 2 8 3 2" xfId="59609"/>
    <cellStyle name="Normal 2 8 3 2 2" xfId="59610"/>
    <cellStyle name="Normal 2 8 3 3" xfId="59611"/>
    <cellStyle name="Normal 2 8 3 4" xfId="59612"/>
    <cellStyle name="Normal 2 8 3 5" xfId="59613"/>
    <cellStyle name="Normal 2 8 4" xfId="56044"/>
    <cellStyle name="Normal 2 8 5" xfId="56045"/>
    <cellStyle name="Normal 2 9" xfId="8480"/>
    <cellStyle name="Normal 2 9 2" xfId="8481"/>
    <cellStyle name="Normal 2 9 2 2" xfId="59614"/>
    <cellStyle name="Normal 2 9 2 2 2" xfId="59615"/>
    <cellStyle name="Normal 2 9 2 3" xfId="59616"/>
    <cellStyle name="Normal 2 9 2 4" xfId="59617"/>
    <cellStyle name="Normal 2 9 2 5" xfId="59618"/>
    <cellStyle name="Normal 2 9 3" xfId="56046"/>
    <cellStyle name="Normal 2_183302" xfId="8770"/>
    <cellStyle name="Normal 20" xfId="4515"/>
    <cellStyle name="Normal 20 2" xfId="4516"/>
    <cellStyle name="Normal 20 2 2" xfId="4517"/>
    <cellStyle name="Normal 20 2 2 2" xfId="59619"/>
    <cellStyle name="Normal 20 2 3" xfId="59620"/>
    <cellStyle name="Normal 20 2 4" xfId="59621"/>
    <cellStyle name="Normal 20 2 5" xfId="59622"/>
    <cellStyle name="Normal 20 3" xfId="4518"/>
    <cellStyle name="Normal 20 3 2" xfId="56047"/>
    <cellStyle name="Normal 20 3 3" xfId="59623"/>
    <cellStyle name="Normal 20 3 4" xfId="59624"/>
    <cellStyle name="Normal 20 4" xfId="9259"/>
    <cellStyle name="Normal 20 4 2" xfId="56048"/>
    <cellStyle name="Normal 20 5" xfId="56049"/>
    <cellStyle name="Normal 20 5 2" xfId="56050"/>
    <cellStyle name="Normal 20 6" xfId="56051"/>
    <cellStyle name="Normal 20 7" xfId="56052"/>
    <cellStyle name="Normal 20 8" xfId="56053"/>
    <cellStyle name="Normal 21" xfId="4519"/>
    <cellStyle name="Normal 21 2" xfId="4520"/>
    <cellStyle name="Normal 21 2 2" xfId="9260"/>
    <cellStyle name="Normal 21 3" xfId="9261"/>
    <cellStyle name="Normal 21 3 2" xfId="56054"/>
    <cellStyle name="Normal 21 4" xfId="56055"/>
    <cellStyle name="Normal 21 4 2" xfId="56056"/>
    <cellStyle name="Normal 21 5" xfId="56057"/>
    <cellStyle name="Normal 21 5 2" xfId="56058"/>
    <cellStyle name="Normal 21 6" xfId="56059"/>
    <cellStyle name="Normal 21 7" xfId="56060"/>
    <cellStyle name="Normal 21 8" xfId="56061"/>
    <cellStyle name="Normal 22" xfId="4521"/>
    <cellStyle name="Normal 22 2" xfId="4522"/>
    <cellStyle name="Normal 22 2 2" xfId="56062"/>
    <cellStyle name="Normal 22 2 3" xfId="59625"/>
    <cellStyle name="Normal 22 2 4" xfId="59626"/>
    <cellStyle name="Normal 22 2 5" xfId="59627"/>
    <cellStyle name="Normal 22 3" xfId="4523"/>
    <cellStyle name="Normal 22 3 2" xfId="56063"/>
    <cellStyle name="Normal 22 4" xfId="9262"/>
    <cellStyle name="Normal 22 4 2" xfId="56064"/>
    <cellStyle name="Normal 22 5" xfId="56065"/>
    <cellStyle name="Normal 22 6" xfId="56066"/>
    <cellStyle name="Normal 23" xfId="4524"/>
    <cellStyle name="Normal 23 2" xfId="4525"/>
    <cellStyle name="Normal 23 2 2" xfId="9263"/>
    <cellStyle name="Normal 23 2 2 2" xfId="9264"/>
    <cellStyle name="Normal 23 2 3" xfId="9265"/>
    <cellStyle name="Normal 23 2 4" xfId="9266"/>
    <cellStyle name="Normal 23 2 5" xfId="59628"/>
    <cellStyle name="Normal 23 3" xfId="4526"/>
    <cellStyle name="Normal 23 3 2" xfId="9267"/>
    <cellStyle name="Normal 23 3 3" xfId="9268"/>
    <cellStyle name="Normal 23 4" xfId="9269"/>
    <cellStyle name="Normal 23 5" xfId="9270"/>
    <cellStyle name="Normal 24" xfId="4527"/>
    <cellStyle name="Normal 24 2" xfId="4528"/>
    <cellStyle name="Normal 24 2 2" xfId="9271"/>
    <cellStyle name="Normal 24 3" xfId="4529"/>
    <cellStyle name="Normal 24 4" xfId="9272"/>
    <cellStyle name="Normal 25" xfId="4530"/>
    <cellStyle name="Normal 25 2" xfId="4531"/>
    <cellStyle name="Normal 25 3" xfId="56067"/>
    <cellStyle name="Normal 26" xfId="4532"/>
    <cellStyle name="Normal 26 2" xfId="4533"/>
    <cellStyle name="Normal 26 2 2" xfId="9864"/>
    <cellStyle name="Normal 26 3" xfId="9865"/>
    <cellStyle name="Normal 26 3 2" xfId="59629"/>
    <cellStyle name="Normal 26 3 3" xfId="59630"/>
    <cellStyle name="Normal 26 4" xfId="59631"/>
    <cellStyle name="Normal 26 4 2" xfId="59632"/>
    <cellStyle name="Normal 26 4 3" xfId="59633"/>
    <cellStyle name="Normal 26 5" xfId="59634"/>
    <cellStyle name="Normal 26 5 2" xfId="59635"/>
    <cellStyle name="Normal 26 6" xfId="59636"/>
    <cellStyle name="Normal 26 7" xfId="59637"/>
    <cellStyle name="Normal 26 8" xfId="59638"/>
    <cellStyle name="Normal 27" xfId="4534"/>
    <cellStyle name="Normal 27 2" xfId="4535"/>
    <cellStyle name="Normal 27 2 2" xfId="4536"/>
    <cellStyle name="Normal 27 2 2 2" xfId="4537"/>
    <cellStyle name="Normal 27 2 2 3" xfId="59639"/>
    <cellStyle name="Normal 27 2 3" xfId="4538"/>
    <cellStyle name="Normal 27 2 4" xfId="59640"/>
    <cellStyle name="Normal 27 3" xfId="4539"/>
    <cellStyle name="Normal 27 3 2" xfId="4540"/>
    <cellStyle name="Normal 27 3 3" xfId="59641"/>
    <cellStyle name="Normal 27 4" xfId="4541"/>
    <cellStyle name="Normal 27 5" xfId="9273"/>
    <cellStyle name="Normal 28" xfId="4542"/>
    <cellStyle name="Normal 28 2" xfId="4543"/>
    <cellStyle name="Normal 28 2 2" xfId="4544"/>
    <cellStyle name="Normal 28 2 2 2" xfId="4545"/>
    <cellStyle name="Normal 28 2 3" xfId="4546"/>
    <cellStyle name="Normal 28 2 3 2" xfId="59642"/>
    <cellStyle name="Normal 28 2 4" xfId="9274"/>
    <cellStyle name="Normal 28 3" xfId="4547"/>
    <cellStyle name="Normal 28 3 2" xfId="4548"/>
    <cellStyle name="Normal 28 4" xfId="4549"/>
    <cellStyle name="Normal 28 4 2" xfId="59643"/>
    <cellStyle name="Normal 28 4 3" xfId="59644"/>
    <cellStyle name="Normal 28 5" xfId="9275"/>
    <cellStyle name="Normal 28 5 2" xfId="59645"/>
    <cellStyle name="Normal 28 6" xfId="59646"/>
    <cellStyle name="Normal 28 7" xfId="59647"/>
    <cellStyle name="Normal 28 8" xfId="59648"/>
    <cellStyle name="Normal 29" xfId="4550"/>
    <cellStyle name="Normal 29 2" xfId="4551"/>
    <cellStyle name="Normal 29 2 2" xfId="4552"/>
    <cellStyle name="Normal 29 2 3" xfId="59649"/>
    <cellStyle name="Normal 29 2 4" xfId="59650"/>
    <cellStyle name="Normal 29 3" xfId="4553"/>
    <cellStyle name="Normal 29 3 2" xfId="59651"/>
    <cellStyle name="Normal 29 4" xfId="9276"/>
    <cellStyle name="Normal 29 5" xfId="9371"/>
    <cellStyle name="Normal 29 6" xfId="59652"/>
    <cellStyle name="Normal 3" xfId="4"/>
    <cellStyle name="Normal 3 10" xfId="9866"/>
    <cellStyle name="Normal 3 11" xfId="9867"/>
    <cellStyle name="Normal 3 12" xfId="9868"/>
    <cellStyle name="Normal 3 13" xfId="9869"/>
    <cellStyle name="Normal 3 14" xfId="9870"/>
    <cellStyle name="Normal 3 15" xfId="9871"/>
    <cellStyle name="Normal 3 16" xfId="9872"/>
    <cellStyle name="Normal 3 17" xfId="9873"/>
    <cellStyle name="Normal 3 17 2" xfId="9874"/>
    <cellStyle name="Normal 3 17 2 2" xfId="9875"/>
    <cellStyle name="Normal 3 17 3" xfId="9876"/>
    <cellStyle name="Normal 3 18" xfId="9877"/>
    <cellStyle name="Normal 3 18 2" xfId="9878"/>
    <cellStyle name="Normal 3 18 2 2" xfId="59653"/>
    <cellStyle name="Normal 3 18 2 3" xfId="59654"/>
    <cellStyle name="Normal 3 18 3" xfId="59655"/>
    <cellStyle name="Normal 3 18 3 2" xfId="59656"/>
    <cellStyle name="Normal 3 18 4" xfId="59657"/>
    <cellStyle name="Normal 3 18 5" xfId="59658"/>
    <cellStyle name="Normal 3 18 6" xfId="59659"/>
    <cellStyle name="Normal 3 19" xfId="9879"/>
    <cellStyle name="Normal 3 19 2" xfId="59660"/>
    <cellStyle name="Normal 3 19 3" xfId="59661"/>
    <cellStyle name="Normal 3 2" xfId="4554"/>
    <cellStyle name="Normal 3 2 2" xfId="4555"/>
    <cellStyle name="Normal 3 2 2 2" xfId="9880"/>
    <cellStyle name="Normal 3 2 2 3" xfId="56068"/>
    <cellStyle name="Normal 3 2 3" xfId="8482"/>
    <cellStyle name="Normal 3 2 3 2" xfId="56069"/>
    <cellStyle name="Normal 3 2 3 3" xfId="56070"/>
    <cellStyle name="Normal 3 2 4" xfId="9881"/>
    <cellStyle name="Normal 3 2 4 2" xfId="56071"/>
    <cellStyle name="Normal 3 2 4 3" xfId="59662"/>
    <cellStyle name="Normal 3 2 4 4" xfId="59663"/>
    <cellStyle name="Normal 3 2 5 2" xfId="61981"/>
    <cellStyle name="Normal 3 20" xfId="59664"/>
    <cellStyle name="Normal 3 20 2" xfId="59665"/>
    <cellStyle name="Normal 3 20 3" xfId="59666"/>
    <cellStyle name="Normal 3 21" xfId="59667"/>
    <cellStyle name="Normal 3 22" xfId="59668"/>
    <cellStyle name="Normal 3 23" xfId="59669"/>
    <cellStyle name="Normal 3 3" xfId="4556"/>
    <cellStyle name="Normal 3 3 2" xfId="9277"/>
    <cellStyle name="Normal 3 3 2 2" xfId="9278"/>
    <cellStyle name="Normal 3 3 2 2 2" xfId="9279"/>
    <cellStyle name="Normal 3 3 2 3" xfId="9280"/>
    <cellStyle name="Normal 3 3 3" xfId="9281"/>
    <cellStyle name="Normal 3 3 3 2" xfId="9282"/>
    <cellStyle name="Normal 3 3 4" xfId="9283"/>
    <cellStyle name="Normal 3 3 5" xfId="9284"/>
    <cellStyle name="Normal 3 4" xfId="4557"/>
    <cellStyle name="Normal 3 4 2" xfId="9882"/>
    <cellStyle name="Normal 3 4 2 2" xfId="56072"/>
    <cellStyle name="Normal 3 4 3" xfId="9883"/>
    <cellStyle name="Normal 3 4 3 2" xfId="9884"/>
    <cellStyle name="Normal 3 4 4" xfId="9885"/>
    <cellStyle name="Normal 3 4 5" xfId="59670"/>
    <cellStyle name="Normal 3 5" xfId="4558"/>
    <cellStyle name="Normal 3 5 2" xfId="56073"/>
    <cellStyle name="Normal 3 6" xfId="9285"/>
    <cellStyle name="Normal 3 7" xfId="9886"/>
    <cellStyle name="Normal 3 8" xfId="9887"/>
    <cellStyle name="Normal 3 9" xfId="9888"/>
    <cellStyle name="Normal 3_183302" xfId="8771"/>
    <cellStyle name="Normal 30" xfId="4559"/>
    <cellStyle name="Normal 30 2" xfId="4560"/>
    <cellStyle name="Normal 30 2 2" xfId="59671"/>
    <cellStyle name="Normal 30 2 3" xfId="59672"/>
    <cellStyle name="Normal 30 2 4" xfId="59673"/>
    <cellStyle name="Normal 30 3" xfId="9286"/>
    <cellStyle name="Normal 30 3 2" xfId="59674"/>
    <cellStyle name="Normal 30 4" xfId="59675"/>
    <cellStyle name="Normal 30 5" xfId="59676"/>
    <cellStyle name="Normal 30 6" xfId="59677"/>
    <cellStyle name="Normal 30 7" xfId="59678"/>
    <cellStyle name="Normal 31" xfId="4561"/>
    <cellStyle name="Normal 31 2" xfId="4562"/>
    <cellStyle name="Normal 31 2 2" xfId="4563"/>
    <cellStyle name="Normal 31 2 3" xfId="59679"/>
    <cellStyle name="Normal 31 2 4" xfId="59680"/>
    <cellStyle name="Normal 31 3" xfId="4564"/>
    <cellStyle name="Normal 31 3 2" xfId="59681"/>
    <cellStyle name="Normal 31 4" xfId="9287"/>
    <cellStyle name="Normal 31 5" xfId="59682"/>
    <cellStyle name="Normal 31 6" xfId="59683"/>
    <cellStyle name="Normal 31 7" xfId="59684"/>
    <cellStyle name="Normal 32" xfId="4565"/>
    <cellStyle name="Normal 32 2" xfId="4566"/>
    <cellStyle name="Normal 32 2 2" xfId="59685"/>
    <cellStyle name="Normal 32 2 3" xfId="59686"/>
    <cellStyle name="Normal 32 2 4" xfId="59687"/>
    <cellStyle name="Normal 32 3" xfId="9288"/>
    <cellStyle name="Normal 32 3 2" xfId="59688"/>
    <cellStyle name="Normal 32 4" xfId="59689"/>
    <cellStyle name="Normal 32 5" xfId="59690"/>
    <cellStyle name="Normal 32 6" xfId="59691"/>
    <cellStyle name="Normal 32 7" xfId="59692"/>
    <cellStyle name="Normal 33" xfId="4567"/>
    <cellStyle name="Normal 33 2" xfId="4568"/>
    <cellStyle name="Normal 33 2 2" xfId="59693"/>
    <cellStyle name="Normal 33 2 3" xfId="59694"/>
    <cellStyle name="Normal 33 2 4" xfId="59695"/>
    <cellStyle name="Normal 33 3" xfId="56074"/>
    <cellStyle name="Normal 33 4" xfId="59696"/>
    <cellStyle name="Normal 33 5" xfId="59697"/>
    <cellStyle name="Normal 33 6" xfId="59698"/>
    <cellStyle name="Normal 34" xfId="4569"/>
    <cellStyle name="Normal 34 2" xfId="4570"/>
    <cellStyle name="Normal 34 2 2" xfId="59699"/>
    <cellStyle name="Normal 34 3" xfId="59700"/>
    <cellStyle name="Normal 34 4" xfId="59701"/>
    <cellStyle name="Normal 34 4 2" xfId="59702"/>
    <cellStyle name="Normal 34 4 3" xfId="59703"/>
    <cellStyle name="Normal 34 5" xfId="59704"/>
    <cellStyle name="Normal 34 6" xfId="59705"/>
    <cellStyle name="Normal 34 7" xfId="59706"/>
    <cellStyle name="Normal 35" xfId="4571"/>
    <cellStyle name="Normal 35 2" xfId="4572"/>
    <cellStyle name="Normal 35 2 2" xfId="59707"/>
    <cellStyle name="Normal 35 2 3" xfId="59708"/>
    <cellStyle name="Normal 35 3" xfId="59709"/>
    <cellStyle name="Normal 35 4" xfId="59710"/>
    <cellStyle name="Normal 35 5" xfId="59711"/>
    <cellStyle name="Normal 36" xfId="4573"/>
    <cellStyle name="Normal 36 2" xfId="4574"/>
    <cellStyle name="Normal 36 2 2" xfId="59712"/>
    <cellStyle name="Normal 36 2 3" xfId="59713"/>
    <cellStyle name="Normal 36 3" xfId="59714"/>
    <cellStyle name="Normal 36 4" xfId="59715"/>
    <cellStyle name="Normal 36 5" xfId="59716"/>
    <cellStyle name="Normal 37" xfId="4575"/>
    <cellStyle name="Normal 37 2" xfId="4576"/>
    <cellStyle name="Normal 37 2 2" xfId="59717"/>
    <cellStyle name="Normal 37 3" xfId="59718"/>
    <cellStyle name="Normal 37 4" xfId="59719"/>
    <cellStyle name="Normal 37 5" xfId="59720"/>
    <cellStyle name="Normal 38" xfId="4577"/>
    <cellStyle name="Normal 38 2" xfId="4578"/>
    <cellStyle name="Normal 38 2 2" xfId="4579"/>
    <cellStyle name="Normal 38 3" xfId="4580"/>
    <cellStyle name="Normal 38 4" xfId="59721"/>
    <cellStyle name="Normal 38 5" xfId="59722"/>
    <cellStyle name="Normal 39" xfId="4581"/>
    <cellStyle name="Normal 39 2" xfId="4582"/>
    <cellStyle name="Normal 39 3" xfId="4583"/>
    <cellStyle name="Normal 4" xfId="4584"/>
    <cellStyle name="Normal 4 10" xfId="59723"/>
    <cellStyle name="Normal 4 11" xfId="59724"/>
    <cellStyle name="Normal 4 2" xfId="4585"/>
    <cellStyle name="Normal 4 2 10" xfId="8483"/>
    <cellStyle name="Normal 4 2 10 2" xfId="59725"/>
    <cellStyle name="Normal 4 2 10 2 2" xfId="59726"/>
    <cellStyle name="Normal 4 2 10 3" xfId="59727"/>
    <cellStyle name="Normal 4 2 10 4" xfId="59728"/>
    <cellStyle name="Normal 4 2 10 5" xfId="59729"/>
    <cellStyle name="Normal 4 2 11" xfId="59730"/>
    <cellStyle name="Normal 4 2 2" xfId="4586"/>
    <cellStyle name="Normal 4 2 2 10" xfId="59731"/>
    <cellStyle name="Normal 4 2 2 11" xfId="59732"/>
    <cellStyle name="Normal 4 2 2 2" xfId="4587"/>
    <cellStyle name="Normal 4 2 2 2 10" xfId="59733"/>
    <cellStyle name="Normal 4 2 2 2 2" xfId="4588"/>
    <cellStyle name="Normal 4 2 2 2 2 2" xfId="4589"/>
    <cellStyle name="Normal 4 2 2 2 2 2 2" xfId="4590"/>
    <cellStyle name="Normal 4 2 2 2 2 2 2 2" xfId="8484"/>
    <cellStyle name="Normal 4 2 2 2 2 2 2 2 2" xfId="8485"/>
    <cellStyle name="Normal 4 2 2 2 2 2 2 2 3" xfId="59734"/>
    <cellStyle name="Normal 4 2 2 2 2 2 2 3" xfId="8486"/>
    <cellStyle name="Normal 4 2 2 2 2 2 2 3 2" xfId="59735"/>
    <cellStyle name="Normal 4 2 2 2 2 2 2 4" xfId="59736"/>
    <cellStyle name="Normal 4 2 2 2 2 2 2 5" xfId="59737"/>
    <cellStyle name="Normal 4 2 2 2 2 2 3" xfId="8487"/>
    <cellStyle name="Normal 4 2 2 2 2 2 3 2" xfId="8488"/>
    <cellStyle name="Normal 4 2 2 2 2 2 3 3" xfId="59738"/>
    <cellStyle name="Normal 4 2 2 2 2 2 4" xfId="8489"/>
    <cellStyle name="Normal 4 2 2 2 2 2 4 2" xfId="59739"/>
    <cellStyle name="Normal 4 2 2 2 2 2 5" xfId="59740"/>
    <cellStyle name="Normal 4 2 2 2 2 2 6" xfId="59741"/>
    <cellStyle name="Normal 4 2 2 2 2 3" xfId="4591"/>
    <cellStyle name="Normal 4 2 2 2 2 3 2" xfId="8490"/>
    <cellStyle name="Normal 4 2 2 2 2 3 2 2" xfId="8491"/>
    <cellStyle name="Normal 4 2 2 2 2 3 2 2 2" xfId="59742"/>
    <cellStyle name="Normal 4 2 2 2 2 3 2 3" xfId="59743"/>
    <cellStyle name="Normal 4 2 2 2 2 3 2 4" xfId="59744"/>
    <cellStyle name="Normal 4 2 2 2 2 3 2 5" xfId="59745"/>
    <cellStyle name="Normal 4 2 2 2 2 3 3" xfId="8492"/>
    <cellStyle name="Normal 4 2 2 2 2 3 3 2" xfId="59746"/>
    <cellStyle name="Normal 4 2 2 2 2 3 4" xfId="59747"/>
    <cellStyle name="Normal 4 2 2 2 2 3 5" xfId="59748"/>
    <cellStyle name="Normal 4 2 2 2 2 3 6" xfId="59749"/>
    <cellStyle name="Normal 4 2 2 2 2 4" xfId="8493"/>
    <cellStyle name="Normal 4 2 2 2 2 4 2" xfId="8494"/>
    <cellStyle name="Normal 4 2 2 2 2 4 2 2" xfId="59750"/>
    <cellStyle name="Normal 4 2 2 2 2 4 3" xfId="59751"/>
    <cellStyle name="Normal 4 2 2 2 2 4 4" xfId="59752"/>
    <cellStyle name="Normal 4 2 2 2 2 4 5" xfId="59753"/>
    <cellStyle name="Normal 4 2 2 2 2 5" xfId="8495"/>
    <cellStyle name="Normal 4 2 2 2 2 5 2" xfId="8496"/>
    <cellStyle name="Normal 4 2 2 2 2 5 2 2" xfId="59754"/>
    <cellStyle name="Normal 4 2 2 2 2 5 3" xfId="59755"/>
    <cellStyle name="Normal 4 2 2 2 2 5 4" xfId="59756"/>
    <cellStyle name="Normal 4 2 2 2 2 5 5" xfId="59757"/>
    <cellStyle name="Normal 4 2 2 2 2 6" xfId="8497"/>
    <cellStyle name="Normal 4 2 2 2 2 6 2" xfId="59758"/>
    <cellStyle name="Normal 4 2 2 2 2 7" xfId="59759"/>
    <cellStyle name="Normal 4 2 2 2 2 8" xfId="59760"/>
    <cellStyle name="Normal 4 2 2 2 2 9" xfId="59761"/>
    <cellStyle name="Normal 4 2 2 2 3" xfId="4592"/>
    <cellStyle name="Normal 4 2 2 2 3 2" xfId="4593"/>
    <cellStyle name="Normal 4 2 2 2 3 2 2" xfId="8498"/>
    <cellStyle name="Normal 4 2 2 2 3 2 2 2" xfId="8499"/>
    <cellStyle name="Normal 4 2 2 2 3 2 2 3" xfId="59762"/>
    <cellStyle name="Normal 4 2 2 2 3 2 3" xfId="8500"/>
    <cellStyle name="Normal 4 2 2 2 3 2 3 2" xfId="59763"/>
    <cellStyle name="Normal 4 2 2 2 3 2 4" xfId="59764"/>
    <cellStyle name="Normal 4 2 2 2 3 2 5" xfId="59765"/>
    <cellStyle name="Normal 4 2 2 2 3 3" xfId="8501"/>
    <cellStyle name="Normal 4 2 2 2 3 3 2" xfId="8502"/>
    <cellStyle name="Normal 4 2 2 2 3 3 3" xfId="59766"/>
    <cellStyle name="Normal 4 2 2 2 3 4" xfId="8503"/>
    <cellStyle name="Normal 4 2 2 2 3 4 2" xfId="59767"/>
    <cellStyle name="Normal 4 2 2 2 3 5" xfId="59768"/>
    <cellStyle name="Normal 4 2 2 2 3 6" xfId="59769"/>
    <cellStyle name="Normal 4 2 2 2 4" xfId="4594"/>
    <cellStyle name="Normal 4 2 2 2 4 2" xfId="8504"/>
    <cellStyle name="Normal 4 2 2 2 4 2 2" xfId="8505"/>
    <cellStyle name="Normal 4 2 2 2 4 2 2 2" xfId="59770"/>
    <cellStyle name="Normal 4 2 2 2 4 2 3" xfId="59771"/>
    <cellStyle name="Normal 4 2 2 2 4 2 4" xfId="59772"/>
    <cellStyle name="Normal 4 2 2 2 4 2 5" xfId="59773"/>
    <cellStyle name="Normal 4 2 2 2 4 3" xfId="8506"/>
    <cellStyle name="Normal 4 2 2 2 4 3 2" xfId="59774"/>
    <cellStyle name="Normal 4 2 2 2 4 4" xfId="59775"/>
    <cellStyle name="Normal 4 2 2 2 4 5" xfId="59776"/>
    <cellStyle name="Normal 4 2 2 2 4 6" xfId="59777"/>
    <cellStyle name="Normal 4 2 2 2 5" xfId="8507"/>
    <cellStyle name="Normal 4 2 2 2 5 2" xfId="8508"/>
    <cellStyle name="Normal 4 2 2 2 5 2 2" xfId="59778"/>
    <cellStyle name="Normal 4 2 2 2 5 3" xfId="59779"/>
    <cellStyle name="Normal 4 2 2 2 5 4" xfId="59780"/>
    <cellStyle name="Normal 4 2 2 2 5 5" xfId="59781"/>
    <cellStyle name="Normal 4 2 2 2 6" xfId="8509"/>
    <cellStyle name="Normal 4 2 2 2 6 2" xfId="8510"/>
    <cellStyle name="Normal 4 2 2 2 6 2 2" xfId="59782"/>
    <cellStyle name="Normal 4 2 2 2 6 3" xfId="59783"/>
    <cellStyle name="Normal 4 2 2 2 6 4" xfId="59784"/>
    <cellStyle name="Normal 4 2 2 2 6 5" xfId="59785"/>
    <cellStyle name="Normal 4 2 2 2 7" xfId="8511"/>
    <cellStyle name="Normal 4 2 2 2 7 2" xfId="59786"/>
    <cellStyle name="Normal 4 2 2 2 8" xfId="59787"/>
    <cellStyle name="Normal 4 2 2 2 9" xfId="59788"/>
    <cellStyle name="Normal 4 2 2 3" xfId="4595"/>
    <cellStyle name="Normal 4 2 2 3 2" xfId="4596"/>
    <cellStyle name="Normal 4 2 2 3 2 2" xfId="4597"/>
    <cellStyle name="Normal 4 2 2 3 2 2 2" xfId="8512"/>
    <cellStyle name="Normal 4 2 2 3 2 2 2 2" xfId="8513"/>
    <cellStyle name="Normal 4 2 2 3 2 2 2 3" xfId="59789"/>
    <cellStyle name="Normal 4 2 2 3 2 2 3" xfId="8514"/>
    <cellStyle name="Normal 4 2 2 3 2 2 3 2" xfId="59790"/>
    <cellStyle name="Normal 4 2 2 3 2 2 4" xfId="59791"/>
    <cellStyle name="Normal 4 2 2 3 2 2 5" xfId="59792"/>
    <cellStyle name="Normal 4 2 2 3 2 3" xfId="8515"/>
    <cellStyle name="Normal 4 2 2 3 2 3 2" xfId="8516"/>
    <cellStyle name="Normal 4 2 2 3 2 3 3" xfId="59793"/>
    <cellStyle name="Normal 4 2 2 3 2 4" xfId="8517"/>
    <cellStyle name="Normal 4 2 2 3 2 4 2" xfId="59794"/>
    <cellStyle name="Normal 4 2 2 3 2 5" xfId="59795"/>
    <cellStyle name="Normal 4 2 2 3 2 6" xfId="59796"/>
    <cellStyle name="Normal 4 2 2 3 3" xfId="4598"/>
    <cellStyle name="Normal 4 2 2 3 3 2" xfId="8518"/>
    <cellStyle name="Normal 4 2 2 3 3 2 2" xfId="8519"/>
    <cellStyle name="Normal 4 2 2 3 3 2 2 2" xfId="59797"/>
    <cellStyle name="Normal 4 2 2 3 3 2 3" xfId="59798"/>
    <cellStyle name="Normal 4 2 2 3 3 2 4" xfId="59799"/>
    <cellStyle name="Normal 4 2 2 3 3 2 5" xfId="59800"/>
    <cellStyle name="Normal 4 2 2 3 3 3" xfId="8520"/>
    <cellStyle name="Normal 4 2 2 3 3 3 2" xfId="59801"/>
    <cellStyle name="Normal 4 2 2 3 3 4" xfId="59802"/>
    <cellStyle name="Normal 4 2 2 3 3 5" xfId="59803"/>
    <cellStyle name="Normal 4 2 2 3 3 6" xfId="59804"/>
    <cellStyle name="Normal 4 2 2 3 4" xfId="8521"/>
    <cellStyle name="Normal 4 2 2 3 4 2" xfId="8522"/>
    <cellStyle name="Normal 4 2 2 3 4 2 2" xfId="59805"/>
    <cellStyle name="Normal 4 2 2 3 4 3" xfId="59806"/>
    <cellStyle name="Normal 4 2 2 3 4 4" xfId="59807"/>
    <cellStyle name="Normal 4 2 2 3 4 5" xfId="59808"/>
    <cellStyle name="Normal 4 2 2 3 5" xfId="8523"/>
    <cellStyle name="Normal 4 2 2 3 5 2" xfId="8524"/>
    <cellStyle name="Normal 4 2 2 3 5 2 2" xfId="59809"/>
    <cellStyle name="Normal 4 2 2 3 5 3" xfId="59810"/>
    <cellStyle name="Normal 4 2 2 3 5 4" xfId="59811"/>
    <cellStyle name="Normal 4 2 2 3 5 5" xfId="59812"/>
    <cellStyle name="Normal 4 2 2 3 6" xfId="8525"/>
    <cellStyle name="Normal 4 2 2 3 6 2" xfId="59813"/>
    <cellStyle name="Normal 4 2 2 3 7" xfId="59814"/>
    <cellStyle name="Normal 4 2 2 3 8" xfId="59815"/>
    <cellStyle name="Normal 4 2 2 3 9" xfId="59816"/>
    <cellStyle name="Normal 4 2 2 4" xfId="4599"/>
    <cellStyle name="Normal 4 2 2 4 2" xfId="4600"/>
    <cellStyle name="Normal 4 2 2 4 2 2" xfId="8526"/>
    <cellStyle name="Normal 4 2 2 4 2 2 2" xfId="8527"/>
    <cellStyle name="Normal 4 2 2 4 2 2 3" xfId="59817"/>
    <cellStyle name="Normal 4 2 2 4 2 3" xfId="8528"/>
    <cellStyle name="Normal 4 2 2 4 2 3 2" xfId="59818"/>
    <cellStyle name="Normal 4 2 2 4 2 4" xfId="59819"/>
    <cellStyle name="Normal 4 2 2 4 2 5" xfId="59820"/>
    <cellStyle name="Normal 4 2 2 4 3" xfId="8529"/>
    <cellStyle name="Normal 4 2 2 4 3 2" xfId="8530"/>
    <cellStyle name="Normal 4 2 2 4 3 3" xfId="59821"/>
    <cellStyle name="Normal 4 2 2 4 4" xfId="8531"/>
    <cellStyle name="Normal 4 2 2 4 4 2" xfId="59822"/>
    <cellStyle name="Normal 4 2 2 4 5" xfId="59823"/>
    <cellStyle name="Normal 4 2 2 4 6" xfId="59824"/>
    <cellStyle name="Normal 4 2 2 5" xfId="4601"/>
    <cellStyle name="Normal 4 2 2 5 2" xfId="8532"/>
    <cellStyle name="Normal 4 2 2 5 2 2" xfId="8533"/>
    <cellStyle name="Normal 4 2 2 5 2 2 2" xfId="59825"/>
    <cellStyle name="Normal 4 2 2 5 2 3" xfId="59826"/>
    <cellStyle name="Normal 4 2 2 5 2 4" xfId="59827"/>
    <cellStyle name="Normal 4 2 2 5 2 5" xfId="59828"/>
    <cellStyle name="Normal 4 2 2 5 3" xfId="8534"/>
    <cellStyle name="Normal 4 2 2 5 3 2" xfId="59829"/>
    <cellStyle name="Normal 4 2 2 5 4" xfId="59830"/>
    <cellStyle name="Normal 4 2 2 5 5" xfId="59831"/>
    <cellStyle name="Normal 4 2 2 5 6" xfId="59832"/>
    <cellStyle name="Normal 4 2 2 6" xfId="8535"/>
    <cellStyle name="Normal 4 2 2 6 2" xfId="8536"/>
    <cellStyle name="Normal 4 2 2 6 2 2" xfId="59833"/>
    <cellStyle name="Normal 4 2 2 6 3" xfId="59834"/>
    <cellStyle name="Normal 4 2 2 6 4" xfId="59835"/>
    <cellStyle name="Normal 4 2 2 6 5" xfId="59836"/>
    <cellStyle name="Normal 4 2 2 7" xfId="8537"/>
    <cellStyle name="Normal 4 2 2 7 2" xfId="8538"/>
    <cellStyle name="Normal 4 2 2 7 2 2" xfId="59837"/>
    <cellStyle name="Normal 4 2 2 7 3" xfId="59838"/>
    <cellStyle name="Normal 4 2 2 7 4" xfId="59839"/>
    <cellStyle name="Normal 4 2 2 7 5" xfId="59840"/>
    <cellStyle name="Normal 4 2 2 8" xfId="8539"/>
    <cellStyle name="Normal 4 2 2 8 2" xfId="59841"/>
    <cellStyle name="Normal 4 2 2 9" xfId="59842"/>
    <cellStyle name="Normal 4 2 3" xfId="4602"/>
    <cellStyle name="Normal 4 2 3 10" xfId="59843"/>
    <cellStyle name="Normal 4 2 3 11" xfId="59844"/>
    <cellStyle name="Normal 4 2 3 2" xfId="4603"/>
    <cellStyle name="Normal 4 2 3 2 10" xfId="59845"/>
    <cellStyle name="Normal 4 2 3 2 2" xfId="4604"/>
    <cellStyle name="Normal 4 2 3 2 2 2" xfId="4605"/>
    <cellStyle name="Normal 4 2 3 2 2 2 2" xfId="8540"/>
    <cellStyle name="Normal 4 2 3 2 2 2 2 2" xfId="8541"/>
    <cellStyle name="Normal 4 2 3 2 2 2 2 2 2" xfId="8542"/>
    <cellStyle name="Normal 4 2 3 2 2 2 2 2 3" xfId="59846"/>
    <cellStyle name="Normal 4 2 3 2 2 2 2 3" xfId="8543"/>
    <cellStyle name="Normal 4 2 3 2 2 2 2 3 2" xfId="59847"/>
    <cellStyle name="Normal 4 2 3 2 2 2 2 4" xfId="59848"/>
    <cellStyle name="Normal 4 2 3 2 2 2 2 5" xfId="59849"/>
    <cellStyle name="Normal 4 2 3 2 2 2 3" xfId="8544"/>
    <cellStyle name="Normal 4 2 3 2 2 2 3 2" xfId="8545"/>
    <cellStyle name="Normal 4 2 3 2 2 2 3 3" xfId="59850"/>
    <cellStyle name="Normal 4 2 3 2 2 2 4" xfId="8546"/>
    <cellStyle name="Normal 4 2 3 2 2 2 4 2" xfId="59851"/>
    <cellStyle name="Normal 4 2 3 2 2 2 5" xfId="59852"/>
    <cellStyle name="Normal 4 2 3 2 2 2 6" xfId="59853"/>
    <cellStyle name="Normal 4 2 3 2 2 3" xfId="8547"/>
    <cellStyle name="Normal 4 2 3 2 2 3 2" xfId="8548"/>
    <cellStyle name="Normal 4 2 3 2 2 3 2 2" xfId="8549"/>
    <cellStyle name="Normal 4 2 3 2 2 3 2 2 2" xfId="59854"/>
    <cellStyle name="Normal 4 2 3 2 2 3 2 3" xfId="59855"/>
    <cellStyle name="Normal 4 2 3 2 2 3 2 4" xfId="59856"/>
    <cellStyle name="Normal 4 2 3 2 2 3 2 5" xfId="59857"/>
    <cellStyle name="Normal 4 2 3 2 2 3 3" xfId="8550"/>
    <cellStyle name="Normal 4 2 3 2 2 3 3 2" xfId="59858"/>
    <cellStyle name="Normal 4 2 3 2 2 3 4" xfId="59859"/>
    <cellStyle name="Normal 4 2 3 2 2 3 5" xfId="59860"/>
    <cellStyle name="Normal 4 2 3 2 2 3 6" xfId="59861"/>
    <cellStyle name="Normal 4 2 3 2 2 4" xfId="8551"/>
    <cellStyle name="Normal 4 2 3 2 2 4 2" xfId="8552"/>
    <cellStyle name="Normal 4 2 3 2 2 4 2 2" xfId="59862"/>
    <cellStyle name="Normal 4 2 3 2 2 4 3" xfId="59863"/>
    <cellStyle name="Normal 4 2 3 2 2 4 4" xfId="59864"/>
    <cellStyle name="Normal 4 2 3 2 2 4 5" xfId="59865"/>
    <cellStyle name="Normal 4 2 3 2 2 5" xfId="8553"/>
    <cellStyle name="Normal 4 2 3 2 2 5 2" xfId="8554"/>
    <cellStyle name="Normal 4 2 3 2 2 5 2 2" xfId="59866"/>
    <cellStyle name="Normal 4 2 3 2 2 5 3" xfId="59867"/>
    <cellStyle name="Normal 4 2 3 2 2 5 4" xfId="59868"/>
    <cellStyle name="Normal 4 2 3 2 2 5 5" xfId="59869"/>
    <cellStyle name="Normal 4 2 3 2 2 6" xfId="8555"/>
    <cellStyle name="Normal 4 2 3 2 2 6 2" xfId="59870"/>
    <cellStyle name="Normal 4 2 3 2 2 7" xfId="59871"/>
    <cellStyle name="Normal 4 2 3 2 2 8" xfId="59872"/>
    <cellStyle name="Normal 4 2 3 2 2 9" xfId="59873"/>
    <cellStyle name="Normal 4 2 3 2 3" xfId="4606"/>
    <cellStyle name="Normal 4 2 3 2 3 2" xfId="8556"/>
    <cellStyle name="Normal 4 2 3 2 3 2 2" xfId="8557"/>
    <cellStyle name="Normal 4 2 3 2 3 2 2 2" xfId="8558"/>
    <cellStyle name="Normal 4 2 3 2 3 2 2 3" xfId="59874"/>
    <cellStyle name="Normal 4 2 3 2 3 2 3" xfId="8559"/>
    <cellStyle name="Normal 4 2 3 2 3 2 3 2" xfId="59875"/>
    <cellStyle name="Normal 4 2 3 2 3 2 4" xfId="59876"/>
    <cellStyle name="Normal 4 2 3 2 3 2 5" xfId="59877"/>
    <cellStyle name="Normal 4 2 3 2 3 3" xfId="8560"/>
    <cellStyle name="Normal 4 2 3 2 3 3 2" xfId="8561"/>
    <cellStyle name="Normal 4 2 3 2 3 3 3" xfId="59878"/>
    <cellStyle name="Normal 4 2 3 2 3 4" xfId="8562"/>
    <cellStyle name="Normal 4 2 3 2 3 4 2" xfId="59879"/>
    <cellStyle name="Normal 4 2 3 2 3 5" xfId="59880"/>
    <cellStyle name="Normal 4 2 3 2 3 6" xfId="59881"/>
    <cellStyle name="Normal 4 2 3 2 4" xfId="8563"/>
    <cellStyle name="Normal 4 2 3 2 4 2" xfId="8564"/>
    <cellStyle name="Normal 4 2 3 2 4 2 2" xfId="8565"/>
    <cellStyle name="Normal 4 2 3 2 4 2 2 2" xfId="59882"/>
    <cellStyle name="Normal 4 2 3 2 4 2 3" xfId="59883"/>
    <cellStyle name="Normal 4 2 3 2 4 2 4" xfId="59884"/>
    <cellStyle name="Normal 4 2 3 2 4 2 5" xfId="59885"/>
    <cellStyle name="Normal 4 2 3 2 4 3" xfId="8566"/>
    <cellStyle name="Normal 4 2 3 2 4 3 2" xfId="59886"/>
    <cellStyle name="Normal 4 2 3 2 4 4" xfId="59887"/>
    <cellStyle name="Normal 4 2 3 2 4 5" xfId="59888"/>
    <cellStyle name="Normal 4 2 3 2 4 6" xfId="59889"/>
    <cellStyle name="Normal 4 2 3 2 5" xfId="8567"/>
    <cellStyle name="Normal 4 2 3 2 5 2" xfId="8568"/>
    <cellStyle name="Normal 4 2 3 2 5 2 2" xfId="59890"/>
    <cellStyle name="Normal 4 2 3 2 5 3" xfId="59891"/>
    <cellStyle name="Normal 4 2 3 2 5 4" xfId="59892"/>
    <cellStyle name="Normal 4 2 3 2 5 5" xfId="59893"/>
    <cellStyle name="Normal 4 2 3 2 6" xfId="8569"/>
    <cellStyle name="Normal 4 2 3 2 6 2" xfId="8570"/>
    <cellStyle name="Normal 4 2 3 2 6 2 2" xfId="59894"/>
    <cellStyle name="Normal 4 2 3 2 6 3" xfId="59895"/>
    <cellStyle name="Normal 4 2 3 2 6 4" xfId="59896"/>
    <cellStyle name="Normal 4 2 3 2 6 5" xfId="59897"/>
    <cellStyle name="Normal 4 2 3 2 7" xfId="8571"/>
    <cellStyle name="Normal 4 2 3 2 7 2" xfId="59898"/>
    <cellStyle name="Normal 4 2 3 2 8" xfId="59899"/>
    <cellStyle name="Normal 4 2 3 2 9" xfId="59900"/>
    <cellStyle name="Normal 4 2 3 3" xfId="4607"/>
    <cellStyle name="Normal 4 2 3 3 2" xfId="4608"/>
    <cellStyle name="Normal 4 2 3 3 2 2" xfId="8572"/>
    <cellStyle name="Normal 4 2 3 3 2 2 2" xfId="8573"/>
    <cellStyle name="Normal 4 2 3 3 2 2 2 2" xfId="8574"/>
    <cellStyle name="Normal 4 2 3 3 2 2 2 3" xfId="59901"/>
    <cellStyle name="Normal 4 2 3 3 2 2 3" xfId="8575"/>
    <cellStyle name="Normal 4 2 3 3 2 2 3 2" xfId="59902"/>
    <cellStyle name="Normal 4 2 3 3 2 2 4" xfId="59903"/>
    <cellStyle name="Normal 4 2 3 3 2 2 5" xfId="59904"/>
    <cellStyle name="Normal 4 2 3 3 2 3" xfId="8576"/>
    <cellStyle name="Normal 4 2 3 3 2 3 2" xfId="8577"/>
    <cellStyle name="Normal 4 2 3 3 2 3 3" xfId="59905"/>
    <cellStyle name="Normal 4 2 3 3 2 4" xfId="8578"/>
    <cellStyle name="Normal 4 2 3 3 2 4 2" xfId="59906"/>
    <cellStyle name="Normal 4 2 3 3 2 5" xfId="59907"/>
    <cellStyle name="Normal 4 2 3 3 2 6" xfId="59908"/>
    <cellStyle name="Normal 4 2 3 3 3" xfId="8579"/>
    <cellStyle name="Normal 4 2 3 3 3 2" xfId="8580"/>
    <cellStyle name="Normal 4 2 3 3 3 2 2" xfId="8581"/>
    <cellStyle name="Normal 4 2 3 3 3 2 2 2" xfId="59909"/>
    <cellStyle name="Normal 4 2 3 3 3 2 3" xfId="59910"/>
    <cellStyle name="Normal 4 2 3 3 3 2 4" xfId="59911"/>
    <cellStyle name="Normal 4 2 3 3 3 2 5" xfId="59912"/>
    <cellStyle name="Normal 4 2 3 3 3 3" xfId="8582"/>
    <cellStyle name="Normal 4 2 3 3 3 3 2" xfId="59913"/>
    <cellStyle name="Normal 4 2 3 3 3 4" xfId="59914"/>
    <cellStyle name="Normal 4 2 3 3 3 5" xfId="59915"/>
    <cellStyle name="Normal 4 2 3 3 3 6" xfId="59916"/>
    <cellStyle name="Normal 4 2 3 3 4" xfId="8583"/>
    <cellStyle name="Normal 4 2 3 3 4 2" xfId="8584"/>
    <cellStyle name="Normal 4 2 3 3 4 2 2" xfId="59917"/>
    <cellStyle name="Normal 4 2 3 3 4 3" xfId="59918"/>
    <cellStyle name="Normal 4 2 3 3 4 4" xfId="59919"/>
    <cellStyle name="Normal 4 2 3 3 4 5" xfId="59920"/>
    <cellStyle name="Normal 4 2 3 3 5" xfId="8585"/>
    <cellStyle name="Normal 4 2 3 3 5 2" xfId="8586"/>
    <cellStyle name="Normal 4 2 3 3 5 2 2" xfId="59921"/>
    <cellStyle name="Normal 4 2 3 3 5 3" xfId="59922"/>
    <cellStyle name="Normal 4 2 3 3 5 4" xfId="59923"/>
    <cellStyle name="Normal 4 2 3 3 5 5" xfId="59924"/>
    <cellStyle name="Normal 4 2 3 3 6" xfId="8587"/>
    <cellStyle name="Normal 4 2 3 3 6 2" xfId="59925"/>
    <cellStyle name="Normal 4 2 3 3 7" xfId="59926"/>
    <cellStyle name="Normal 4 2 3 3 8" xfId="59927"/>
    <cellStyle name="Normal 4 2 3 3 9" xfId="59928"/>
    <cellStyle name="Normal 4 2 3 4" xfId="4609"/>
    <cellStyle name="Normal 4 2 3 4 2" xfId="8588"/>
    <cellStyle name="Normal 4 2 3 4 2 2" xfId="8589"/>
    <cellStyle name="Normal 4 2 3 4 2 2 2" xfId="8590"/>
    <cellStyle name="Normal 4 2 3 4 2 2 3" xfId="59929"/>
    <cellStyle name="Normal 4 2 3 4 2 3" xfId="8591"/>
    <cellStyle name="Normal 4 2 3 4 2 3 2" xfId="59930"/>
    <cellStyle name="Normal 4 2 3 4 2 4" xfId="59931"/>
    <cellStyle name="Normal 4 2 3 4 2 5" xfId="59932"/>
    <cellStyle name="Normal 4 2 3 4 3" xfId="8592"/>
    <cellStyle name="Normal 4 2 3 4 3 2" xfId="8593"/>
    <cellStyle name="Normal 4 2 3 4 3 3" xfId="59933"/>
    <cellStyle name="Normal 4 2 3 4 4" xfId="8594"/>
    <cellStyle name="Normal 4 2 3 4 4 2" xfId="59934"/>
    <cellStyle name="Normal 4 2 3 4 5" xfId="59935"/>
    <cellStyle name="Normal 4 2 3 4 6" xfId="59936"/>
    <cellStyle name="Normal 4 2 3 5" xfId="8595"/>
    <cellStyle name="Normal 4 2 3 5 2" xfId="8596"/>
    <cellStyle name="Normal 4 2 3 5 2 2" xfId="8597"/>
    <cellStyle name="Normal 4 2 3 5 2 2 2" xfId="59937"/>
    <cellStyle name="Normal 4 2 3 5 2 3" xfId="59938"/>
    <cellStyle name="Normal 4 2 3 5 2 4" xfId="59939"/>
    <cellStyle name="Normal 4 2 3 5 2 5" xfId="59940"/>
    <cellStyle name="Normal 4 2 3 5 3" xfId="8598"/>
    <cellStyle name="Normal 4 2 3 5 3 2" xfId="59941"/>
    <cellStyle name="Normal 4 2 3 5 4" xfId="59942"/>
    <cellStyle name="Normal 4 2 3 5 5" xfId="59943"/>
    <cellStyle name="Normal 4 2 3 5 6" xfId="59944"/>
    <cellStyle name="Normal 4 2 3 6" xfId="8599"/>
    <cellStyle name="Normal 4 2 3 6 2" xfId="8600"/>
    <cellStyle name="Normal 4 2 3 6 2 2" xfId="59945"/>
    <cellStyle name="Normal 4 2 3 6 3" xfId="59946"/>
    <cellStyle name="Normal 4 2 3 6 4" xfId="59947"/>
    <cellStyle name="Normal 4 2 3 6 5" xfId="59948"/>
    <cellStyle name="Normal 4 2 3 7" xfId="8601"/>
    <cellStyle name="Normal 4 2 3 7 2" xfId="8602"/>
    <cellStyle name="Normal 4 2 3 7 2 2" xfId="59949"/>
    <cellStyle name="Normal 4 2 3 7 3" xfId="59950"/>
    <cellStyle name="Normal 4 2 3 7 4" xfId="59951"/>
    <cellStyle name="Normal 4 2 3 7 5" xfId="59952"/>
    <cellStyle name="Normal 4 2 3 8" xfId="8603"/>
    <cellStyle name="Normal 4 2 3 8 2" xfId="59953"/>
    <cellStyle name="Normal 4 2 3 9" xfId="59954"/>
    <cellStyle name="Normal 4 2 4" xfId="4610"/>
    <cellStyle name="Normal 4 2 4 10" xfId="59955"/>
    <cellStyle name="Normal 4 2 4 2" xfId="4611"/>
    <cellStyle name="Normal 4 2 4 2 2" xfId="4612"/>
    <cellStyle name="Normal 4 2 4 2 2 2" xfId="8604"/>
    <cellStyle name="Normal 4 2 4 2 2 2 2" xfId="8605"/>
    <cellStyle name="Normal 4 2 4 2 2 2 2 2" xfId="8606"/>
    <cellStyle name="Normal 4 2 4 2 2 2 2 3" xfId="59956"/>
    <cellStyle name="Normal 4 2 4 2 2 2 3" xfId="8607"/>
    <cellStyle name="Normal 4 2 4 2 2 2 3 2" xfId="59957"/>
    <cellStyle name="Normal 4 2 4 2 2 2 4" xfId="59958"/>
    <cellStyle name="Normal 4 2 4 2 2 2 5" xfId="59959"/>
    <cellStyle name="Normal 4 2 4 2 2 3" xfId="8608"/>
    <cellStyle name="Normal 4 2 4 2 2 3 2" xfId="8609"/>
    <cellStyle name="Normal 4 2 4 2 2 3 3" xfId="59960"/>
    <cellStyle name="Normal 4 2 4 2 2 4" xfId="8610"/>
    <cellStyle name="Normal 4 2 4 2 2 4 2" xfId="59961"/>
    <cellStyle name="Normal 4 2 4 2 2 5" xfId="59962"/>
    <cellStyle name="Normal 4 2 4 2 2 6" xfId="59963"/>
    <cellStyle name="Normal 4 2 4 2 3" xfId="8611"/>
    <cellStyle name="Normal 4 2 4 2 3 2" xfId="8612"/>
    <cellStyle name="Normal 4 2 4 2 3 2 2" xfId="8613"/>
    <cellStyle name="Normal 4 2 4 2 3 2 2 2" xfId="59964"/>
    <cellStyle name="Normal 4 2 4 2 3 2 3" xfId="59965"/>
    <cellStyle name="Normal 4 2 4 2 3 2 4" xfId="59966"/>
    <cellStyle name="Normal 4 2 4 2 3 2 5" xfId="59967"/>
    <cellStyle name="Normal 4 2 4 2 3 3" xfId="8614"/>
    <cellStyle name="Normal 4 2 4 2 3 3 2" xfId="59968"/>
    <cellStyle name="Normal 4 2 4 2 3 4" xfId="59969"/>
    <cellStyle name="Normal 4 2 4 2 3 5" xfId="59970"/>
    <cellStyle name="Normal 4 2 4 2 3 6" xfId="59971"/>
    <cellStyle name="Normal 4 2 4 2 4" xfId="8615"/>
    <cellStyle name="Normal 4 2 4 2 4 2" xfId="8616"/>
    <cellStyle name="Normal 4 2 4 2 4 2 2" xfId="59972"/>
    <cellStyle name="Normal 4 2 4 2 4 3" xfId="59973"/>
    <cellStyle name="Normal 4 2 4 2 4 4" xfId="59974"/>
    <cellStyle name="Normal 4 2 4 2 4 5" xfId="59975"/>
    <cellStyle name="Normal 4 2 4 2 5" xfId="8617"/>
    <cellStyle name="Normal 4 2 4 2 5 2" xfId="8618"/>
    <cellStyle name="Normal 4 2 4 2 5 2 2" xfId="59976"/>
    <cellStyle name="Normal 4 2 4 2 5 3" xfId="59977"/>
    <cellStyle name="Normal 4 2 4 2 5 4" xfId="59978"/>
    <cellStyle name="Normal 4 2 4 2 5 5" xfId="59979"/>
    <cellStyle name="Normal 4 2 4 2 6" xfId="8619"/>
    <cellStyle name="Normal 4 2 4 2 6 2" xfId="59980"/>
    <cellStyle name="Normal 4 2 4 2 7" xfId="59981"/>
    <cellStyle name="Normal 4 2 4 2 8" xfId="59982"/>
    <cellStyle name="Normal 4 2 4 2 9" xfId="59983"/>
    <cellStyle name="Normal 4 2 4 3" xfId="4613"/>
    <cellStyle name="Normal 4 2 4 3 2" xfId="8620"/>
    <cellStyle name="Normal 4 2 4 3 2 2" xfId="8621"/>
    <cellStyle name="Normal 4 2 4 3 2 2 2" xfId="8622"/>
    <cellStyle name="Normal 4 2 4 3 2 2 3" xfId="59984"/>
    <cellStyle name="Normal 4 2 4 3 2 3" xfId="8623"/>
    <cellStyle name="Normal 4 2 4 3 2 3 2" xfId="59985"/>
    <cellStyle name="Normal 4 2 4 3 2 4" xfId="59986"/>
    <cellStyle name="Normal 4 2 4 3 2 5" xfId="59987"/>
    <cellStyle name="Normal 4 2 4 3 3" xfId="8624"/>
    <cellStyle name="Normal 4 2 4 3 3 2" xfId="8625"/>
    <cellStyle name="Normal 4 2 4 3 3 3" xfId="59988"/>
    <cellStyle name="Normal 4 2 4 3 4" xfId="8626"/>
    <cellStyle name="Normal 4 2 4 3 4 2" xfId="59989"/>
    <cellStyle name="Normal 4 2 4 3 5" xfId="59990"/>
    <cellStyle name="Normal 4 2 4 3 6" xfId="59991"/>
    <cellStyle name="Normal 4 2 4 4" xfId="8627"/>
    <cellStyle name="Normal 4 2 4 4 2" xfId="8628"/>
    <cellStyle name="Normal 4 2 4 4 2 2" xfId="8629"/>
    <cellStyle name="Normal 4 2 4 4 2 2 2" xfId="59992"/>
    <cellStyle name="Normal 4 2 4 4 2 3" xfId="59993"/>
    <cellStyle name="Normal 4 2 4 4 2 4" xfId="59994"/>
    <cellStyle name="Normal 4 2 4 4 2 5" xfId="59995"/>
    <cellStyle name="Normal 4 2 4 4 3" xfId="8630"/>
    <cellStyle name="Normal 4 2 4 4 3 2" xfId="59996"/>
    <cellStyle name="Normal 4 2 4 4 4" xfId="59997"/>
    <cellStyle name="Normal 4 2 4 4 5" xfId="59998"/>
    <cellStyle name="Normal 4 2 4 4 6" xfId="59999"/>
    <cellStyle name="Normal 4 2 4 5" xfId="8631"/>
    <cellStyle name="Normal 4 2 4 5 2" xfId="8632"/>
    <cellStyle name="Normal 4 2 4 5 2 2" xfId="60000"/>
    <cellStyle name="Normal 4 2 4 5 3" xfId="60001"/>
    <cellStyle name="Normal 4 2 4 5 4" xfId="60002"/>
    <cellStyle name="Normal 4 2 4 5 5" xfId="60003"/>
    <cellStyle name="Normal 4 2 4 6" xfId="8633"/>
    <cellStyle name="Normal 4 2 4 6 2" xfId="8634"/>
    <cellStyle name="Normal 4 2 4 6 2 2" xfId="60004"/>
    <cellStyle name="Normal 4 2 4 6 3" xfId="60005"/>
    <cellStyle name="Normal 4 2 4 6 4" xfId="60006"/>
    <cellStyle name="Normal 4 2 4 6 5" xfId="60007"/>
    <cellStyle name="Normal 4 2 4 7" xfId="8635"/>
    <cellStyle name="Normal 4 2 4 7 2" xfId="60008"/>
    <cellStyle name="Normal 4 2 4 8" xfId="60009"/>
    <cellStyle name="Normal 4 2 4 9" xfId="60010"/>
    <cellStyle name="Normal 4 2 5" xfId="4614"/>
    <cellStyle name="Normal 4 2 5 2" xfId="4615"/>
    <cellStyle name="Normal 4 2 5 2 2" xfId="8636"/>
    <cellStyle name="Normal 4 2 5 2 2 2" xfId="8637"/>
    <cellStyle name="Normal 4 2 5 2 2 2 2" xfId="8638"/>
    <cellStyle name="Normal 4 2 5 2 2 2 3" xfId="60011"/>
    <cellStyle name="Normal 4 2 5 2 2 3" xfId="8639"/>
    <cellStyle name="Normal 4 2 5 2 2 3 2" xfId="60012"/>
    <cellStyle name="Normal 4 2 5 2 2 4" xfId="60013"/>
    <cellStyle name="Normal 4 2 5 2 2 5" xfId="60014"/>
    <cellStyle name="Normal 4 2 5 2 3" xfId="8640"/>
    <cellStyle name="Normal 4 2 5 2 3 2" xfId="8641"/>
    <cellStyle name="Normal 4 2 5 2 3 3" xfId="60015"/>
    <cellStyle name="Normal 4 2 5 2 4" xfId="8642"/>
    <cellStyle name="Normal 4 2 5 2 4 2" xfId="60016"/>
    <cellStyle name="Normal 4 2 5 2 5" xfId="60017"/>
    <cellStyle name="Normal 4 2 5 2 6" xfId="60018"/>
    <cellStyle name="Normal 4 2 5 3" xfId="8643"/>
    <cellStyle name="Normal 4 2 5 3 2" xfId="8644"/>
    <cellStyle name="Normal 4 2 5 3 2 2" xfId="8645"/>
    <cellStyle name="Normal 4 2 5 3 2 2 2" xfId="60019"/>
    <cellStyle name="Normal 4 2 5 3 2 3" xfId="60020"/>
    <cellStyle name="Normal 4 2 5 3 2 4" xfId="60021"/>
    <cellStyle name="Normal 4 2 5 3 2 5" xfId="60022"/>
    <cellStyle name="Normal 4 2 5 3 3" xfId="8646"/>
    <cellStyle name="Normal 4 2 5 3 3 2" xfId="60023"/>
    <cellStyle name="Normal 4 2 5 3 4" xfId="60024"/>
    <cellStyle name="Normal 4 2 5 3 5" xfId="60025"/>
    <cellStyle name="Normal 4 2 5 3 6" xfId="60026"/>
    <cellStyle name="Normal 4 2 5 4" xfId="8647"/>
    <cellStyle name="Normal 4 2 5 4 2" xfId="8648"/>
    <cellStyle name="Normal 4 2 5 4 2 2" xfId="60027"/>
    <cellStyle name="Normal 4 2 5 4 3" xfId="60028"/>
    <cellStyle name="Normal 4 2 5 4 4" xfId="60029"/>
    <cellStyle name="Normal 4 2 5 4 5" xfId="60030"/>
    <cellStyle name="Normal 4 2 5 5" xfId="8649"/>
    <cellStyle name="Normal 4 2 5 5 2" xfId="8650"/>
    <cellStyle name="Normal 4 2 5 5 2 2" xfId="60031"/>
    <cellStyle name="Normal 4 2 5 5 3" xfId="60032"/>
    <cellStyle name="Normal 4 2 5 5 4" xfId="60033"/>
    <cellStyle name="Normal 4 2 5 5 5" xfId="60034"/>
    <cellStyle name="Normal 4 2 5 6" xfId="8651"/>
    <cellStyle name="Normal 4 2 5 6 2" xfId="60035"/>
    <cellStyle name="Normal 4 2 5 7" xfId="60036"/>
    <cellStyle name="Normal 4 2 5 8" xfId="60037"/>
    <cellStyle name="Normal 4 2 5 9" xfId="60038"/>
    <cellStyle name="Normal 4 2 6" xfId="4616"/>
    <cellStyle name="Normal 4 2 6 2" xfId="8652"/>
    <cellStyle name="Normal 4 2 6 2 2" xfId="8653"/>
    <cellStyle name="Normal 4 2 6 2 2 2" xfId="8654"/>
    <cellStyle name="Normal 4 2 6 2 2 3" xfId="60039"/>
    <cellStyle name="Normal 4 2 6 2 3" xfId="8655"/>
    <cellStyle name="Normal 4 2 6 2 3 2" xfId="60040"/>
    <cellStyle name="Normal 4 2 6 2 4" xfId="60041"/>
    <cellStyle name="Normal 4 2 6 2 5" xfId="60042"/>
    <cellStyle name="Normal 4 2 6 3" xfId="8656"/>
    <cellStyle name="Normal 4 2 6 3 2" xfId="8657"/>
    <cellStyle name="Normal 4 2 6 3 3" xfId="60043"/>
    <cellStyle name="Normal 4 2 6 4" xfId="8658"/>
    <cellStyle name="Normal 4 2 6 4 2" xfId="60044"/>
    <cellStyle name="Normal 4 2 6 5" xfId="60045"/>
    <cellStyle name="Normal 4 2 6 6" xfId="60046"/>
    <cellStyle name="Normal 4 2 7" xfId="8659"/>
    <cellStyle name="Normal 4 2 7 2" xfId="8660"/>
    <cellStyle name="Normal 4 2 7 2 2" xfId="8661"/>
    <cellStyle name="Normal 4 2 7 2 2 2" xfId="60047"/>
    <cellStyle name="Normal 4 2 7 2 3" xfId="60048"/>
    <cellStyle name="Normal 4 2 7 2 4" xfId="60049"/>
    <cellStyle name="Normal 4 2 7 2 5" xfId="60050"/>
    <cellStyle name="Normal 4 2 7 3" xfId="8662"/>
    <cellStyle name="Normal 4 2 7 3 2" xfId="60051"/>
    <cellStyle name="Normal 4 2 7 4" xfId="60052"/>
    <cellStyle name="Normal 4 2 7 5" xfId="60053"/>
    <cellStyle name="Normal 4 2 7 6" xfId="60054"/>
    <cellStyle name="Normal 4 2 8" xfId="8663"/>
    <cellStyle name="Normal 4 2 8 2" xfId="8664"/>
    <cellStyle name="Normal 4 2 8 2 2" xfId="60055"/>
    <cellStyle name="Normal 4 2 8 3" xfId="60056"/>
    <cellStyle name="Normal 4 2 8 4" xfId="60057"/>
    <cellStyle name="Normal 4 2 8 5" xfId="60058"/>
    <cellStyle name="Normal 4 2 9" xfId="8665"/>
    <cellStyle name="Normal 4 2 9 2" xfId="8666"/>
    <cellStyle name="Normal 4 2 9 2 2" xfId="60059"/>
    <cellStyle name="Normal 4 2 9 3" xfId="60060"/>
    <cellStyle name="Normal 4 2 9 4" xfId="60061"/>
    <cellStyle name="Normal 4 2 9 5" xfId="60062"/>
    <cellStyle name="Normal 4 3" xfId="4617"/>
    <cellStyle name="Normal 4 3 2" xfId="4618"/>
    <cellStyle name="Normal 4 3 2 2" xfId="4619"/>
    <cellStyle name="Normal 4 3 2 2 2" xfId="4620"/>
    <cellStyle name="Normal 4 3 2 2 2 2" xfId="4621"/>
    <cellStyle name="Normal 4 3 2 2 3" xfId="4622"/>
    <cellStyle name="Normal 4 3 2 3" xfId="4623"/>
    <cellStyle name="Normal 4 3 2 3 2" xfId="4624"/>
    <cellStyle name="Normal 4 3 2 4" xfId="4625"/>
    <cellStyle name="Normal 4 3 2 5" xfId="60063"/>
    <cellStyle name="Normal 4 3 3" xfId="4626"/>
    <cellStyle name="Normal 4 3 3 2" xfId="4627"/>
    <cellStyle name="Normal 4 3 3 2 2" xfId="4628"/>
    <cellStyle name="Normal 4 3 3 3" xfId="4629"/>
    <cellStyle name="Normal 4 3 4" xfId="4630"/>
    <cellStyle name="Normal 4 3 4 2" xfId="4631"/>
    <cellStyle name="Normal 4 3 5" xfId="4632"/>
    <cellStyle name="Normal 4 3 6" xfId="60064"/>
    <cellStyle name="Normal 4 4" xfId="4633"/>
    <cellStyle name="Normal 4 4 2" xfId="4634"/>
    <cellStyle name="Normal 4 4 2 2" xfId="4635"/>
    <cellStyle name="Normal 4 4 2 2 2" xfId="4636"/>
    <cellStyle name="Normal 4 4 2 2 3" xfId="60065"/>
    <cellStyle name="Normal 4 4 2 3" xfId="4637"/>
    <cellStyle name="Normal 4 4 2 4" xfId="60066"/>
    <cellStyle name="Normal 4 4 3" xfId="4638"/>
    <cellStyle name="Normal 4 4 3 2" xfId="4639"/>
    <cellStyle name="Normal 4 4 3 3" xfId="60067"/>
    <cellStyle name="Normal 4 4 4" xfId="4640"/>
    <cellStyle name="Normal 4 4 5" xfId="60068"/>
    <cellStyle name="Normal 4 4 6" xfId="60069"/>
    <cellStyle name="Normal 4 4 7" xfId="60070"/>
    <cellStyle name="Normal 4 5" xfId="4641"/>
    <cellStyle name="Normal 4 5 2" xfId="4642"/>
    <cellStyle name="Normal 4 5 2 2" xfId="4643"/>
    <cellStyle name="Normal 4 5 2 3" xfId="60071"/>
    <cellStyle name="Normal 4 5 3" xfId="4644"/>
    <cellStyle name="Normal 4 5 4" xfId="60072"/>
    <cellStyle name="Normal 4 6" xfId="4645"/>
    <cellStyle name="Normal 4 6 2" xfId="4646"/>
    <cellStyle name="Normal 4 6 3" xfId="60073"/>
    <cellStyle name="Normal 4 7" xfId="4647"/>
    <cellStyle name="Normal 4 7 2" xfId="60074"/>
    <cellStyle name="Normal 4 8" xfId="4648"/>
    <cellStyle name="Normal 4 9" xfId="9289"/>
    <cellStyle name="Normal 4_183302" xfId="8772"/>
    <cellStyle name="Normal 40" xfId="4649"/>
    <cellStyle name="Normal 40 2" xfId="4650"/>
    <cellStyle name="Normal 41" xfId="4651"/>
    <cellStyle name="Normal 41 2" xfId="4652"/>
    <cellStyle name="Normal 42" xfId="4653"/>
    <cellStyle name="Normal 42 2" xfId="60075"/>
    <cellStyle name="Normal 42 3" xfId="60076"/>
    <cellStyle name="Normal 42 4" xfId="60077"/>
    <cellStyle name="Normal 43" xfId="4654"/>
    <cellStyle name="Normal 43 2" xfId="60078"/>
    <cellStyle name="Normal 43 3" xfId="60079"/>
    <cellStyle name="Normal 44" xfId="4655"/>
    <cellStyle name="Normal 44 2" xfId="60080"/>
    <cellStyle name="Normal 44 3" xfId="60081"/>
    <cellStyle name="Normal 45" xfId="4656"/>
    <cellStyle name="Normal 45 2" xfId="60082"/>
    <cellStyle name="Normal 45 3" xfId="60083"/>
    <cellStyle name="Normal 46" xfId="1"/>
    <cellStyle name="Normal 46 2" xfId="9290"/>
    <cellStyle name="Normal 46 2 2" xfId="56075"/>
    <cellStyle name="Normal 46 3" xfId="60084"/>
    <cellStyle name="Normal 47" xfId="8207"/>
    <cellStyle name="Normal 47 2" xfId="56076"/>
    <cellStyle name="Normal 47 3" xfId="60085"/>
    <cellStyle name="Normal 48" xfId="8667"/>
    <cellStyle name="Normal 48 2" xfId="60086"/>
    <cellStyle name="Normal 48 3" xfId="60087"/>
    <cellStyle name="Normal 49" xfId="8671"/>
    <cellStyle name="Normal 49 2" xfId="60088"/>
    <cellStyle name="Normal 49 3" xfId="60089"/>
    <cellStyle name="Normal 49 4" xfId="61970"/>
    <cellStyle name="Normal 5" xfId="4657"/>
    <cellStyle name="Normal 5 10" xfId="4658"/>
    <cellStyle name="Normal 5 10 2" xfId="4659"/>
    <cellStyle name="Normal 5 10 2 2" xfId="4660"/>
    <cellStyle name="Normal 5 10 2 2 2" xfId="4661"/>
    <cellStyle name="Normal 5 10 2 3" xfId="4662"/>
    <cellStyle name="Normal 5 10 3" xfId="4663"/>
    <cellStyle name="Normal 5 10 3 2" xfId="4664"/>
    <cellStyle name="Normal 5 10 4" xfId="4665"/>
    <cellStyle name="Normal 5 11" xfId="4666"/>
    <cellStyle name="Normal 5 11 2" xfId="4667"/>
    <cellStyle name="Normal 5 11 2 2" xfId="4668"/>
    <cellStyle name="Normal 5 11 3" xfId="4669"/>
    <cellStyle name="Normal 5 12" xfId="4670"/>
    <cellStyle name="Normal 5 12 2" xfId="4671"/>
    <cellStyle name="Normal 5 13" xfId="9291"/>
    <cellStyle name="Normal 5 2" xfId="4672"/>
    <cellStyle name="Normal 5 2 10" xfId="4673"/>
    <cellStyle name="Normal 5 2 11" xfId="60090"/>
    <cellStyle name="Normal 5 2 2" xfId="4674"/>
    <cellStyle name="Normal 5 2 2 2" xfId="4675"/>
    <cellStyle name="Normal 5 2 2 2 2" xfId="4676"/>
    <cellStyle name="Normal 5 2 2 2 2 2" xfId="4677"/>
    <cellStyle name="Normal 5 2 2 2 2 2 2" xfId="4678"/>
    <cellStyle name="Normal 5 2 2 2 2 2 2 2" xfId="4679"/>
    <cellStyle name="Normal 5 2 2 2 2 2 2 2 2" xfId="4680"/>
    <cellStyle name="Normal 5 2 2 2 2 2 2 3" xfId="4681"/>
    <cellStyle name="Normal 5 2 2 2 2 2 3" xfId="4682"/>
    <cellStyle name="Normal 5 2 2 2 2 2 3 2" xfId="4683"/>
    <cellStyle name="Normal 5 2 2 2 2 2 4" xfId="4684"/>
    <cellStyle name="Normal 5 2 2 2 2 3" xfId="4685"/>
    <cellStyle name="Normal 5 2 2 2 2 3 2" xfId="4686"/>
    <cellStyle name="Normal 5 2 2 2 2 3 2 2" xfId="4687"/>
    <cellStyle name="Normal 5 2 2 2 2 3 3" xfId="4688"/>
    <cellStyle name="Normal 5 2 2 2 2 4" xfId="4689"/>
    <cellStyle name="Normal 5 2 2 2 2 4 2" xfId="4690"/>
    <cellStyle name="Normal 5 2 2 2 2 5" xfId="4691"/>
    <cellStyle name="Normal 5 2 2 2 2 6" xfId="60091"/>
    <cellStyle name="Normal 5 2 2 2 3" xfId="4692"/>
    <cellStyle name="Normal 5 2 2 2 3 2" xfId="4693"/>
    <cellStyle name="Normal 5 2 2 2 3 2 2" xfId="4694"/>
    <cellStyle name="Normal 5 2 2 2 3 2 2 2" xfId="4695"/>
    <cellStyle name="Normal 5 2 2 2 3 2 3" xfId="4696"/>
    <cellStyle name="Normal 5 2 2 2 3 3" xfId="4697"/>
    <cellStyle name="Normal 5 2 2 2 3 3 2" xfId="4698"/>
    <cellStyle name="Normal 5 2 2 2 3 4" xfId="4699"/>
    <cellStyle name="Normal 5 2 2 2 4" xfId="4700"/>
    <cellStyle name="Normal 5 2 2 2 4 2" xfId="4701"/>
    <cellStyle name="Normal 5 2 2 2 4 2 2" xfId="4702"/>
    <cellStyle name="Normal 5 2 2 2 4 3" xfId="4703"/>
    <cellStyle name="Normal 5 2 2 2 5" xfId="4704"/>
    <cellStyle name="Normal 5 2 2 2 5 2" xfId="4705"/>
    <cellStyle name="Normal 5 2 2 2 6" xfId="4706"/>
    <cellStyle name="Normal 5 2 2 2 7" xfId="60092"/>
    <cellStyle name="Normal 5 2 2 3" xfId="4707"/>
    <cellStyle name="Normal 5 2 2 3 2" xfId="4708"/>
    <cellStyle name="Normal 5 2 2 3 2 2" xfId="4709"/>
    <cellStyle name="Normal 5 2 2 3 2 2 2" xfId="4710"/>
    <cellStyle name="Normal 5 2 2 3 2 2 2 2" xfId="4711"/>
    <cellStyle name="Normal 5 2 2 3 2 2 3" xfId="4712"/>
    <cellStyle name="Normal 5 2 2 3 2 3" xfId="4713"/>
    <cellStyle name="Normal 5 2 2 3 2 3 2" xfId="4714"/>
    <cellStyle name="Normal 5 2 2 3 2 4" xfId="4715"/>
    <cellStyle name="Normal 5 2 2 3 3" xfId="4716"/>
    <cellStyle name="Normal 5 2 2 3 3 2" xfId="4717"/>
    <cellStyle name="Normal 5 2 2 3 3 2 2" xfId="4718"/>
    <cellStyle name="Normal 5 2 2 3 3 3" xfId="4719"/>
    <cellStyle name="Normal 5 2 2 3 4" xfId="4720"/>
    <cellStyle name="Normal 5 2 2 3 4 2" xfId="4721"/>
    <cellStyle name="Normal 5 2 2 3 5" xfId="4722"/>
    <cellStyle name="Normal 5 2 2 3 6" xfId="60093"/>
    <cellStyle name="Normal 5 2 2 4" xfId="4723"/>
    <cellStyle name="Normal 5 2 2 4 2" xfId="4724"/>
    <cellStyle name="Normal 5 2 2 4 2 2" xfId="4725"/>
    <cellStyle name="Normal 5 2 2 4 2 2 2" xfId="4726"/>
    <cellStyle name="Normal 5 2 2 4 2 2 2 2" xfId="4727"/>
    <cellStyle name="Normal 5 2 2 4 2 2 3" xfId="4728"/>
    <cellStyle name="Normal 5 2 2 4 2 3" xfId="4729"/>
    <cellStyle name="Normal 5 2 2 4 2 3 2" xfId="4730"/>
    <cellStyle name="Normal 5 2 2 4 2 4" xfId="4731"/>
    <cellStyle name="Normal 5 2 2 4 3" xfId="4732"/>
    <cellStyle name="Normal 5 2 2 4 3 2" xfId="4733"/>
    <cellStyle name="Normal 5 2 2 4 3 2 2" xfId="4734"/>
    <cellStyle name="Normal 5 2 2 4 3 3" xfId="4735"/>
    <cellStyle name="Normal 5 2 2 4 4" xfId="4736"/>
    <cellStyle name="Normal 5 2 2 4 4 2" xfId="4737"/>
    <cellStyle name="Normal 5 2 2 4 5" xfId="4738"/>
    <cellStyle name="Normal 5 2 2 5" xfId="4739"/>
    <cellStyle name="Normal 5 2 2 5 2" xfId="4740"/>
    <cellStyle name="Normal 5 2 2 5 2 2" xfId="4741"/>
    <cellStyle name="Normal 5 2 2 5 2 2 2" xfId="4742"/>
    <cellStyle name="Normal 5 2 2 5 2 3" xfId="4743"/>
    <cellStyle name="Normal 5 2 2 5 3" xfId="4744"/>
    <cellStyle name="Normal 5 2 2 5 3 2" xfId="4745"/>
    <cellStyle name="Normal 5 2 2 5 4" xfId="4746"/>
    <cellStyle name="Normal 5 2 2 6" xfId="4747"/>
    <cellStyle name="Normal 5 2 2 6 2" xfId="4748"/>
    <cellStyle name="Normal 5 2 2 6 2 2" xfId="4749"/>
    <cellStyle name="Normal 5 2 2 6 3" xfId="4750"/>
    <cellStyle name="Normal 5 2 2 7" xfId="4751"/>
    <cellStyle name="Normal 5 2 2 7 2" xfId="4752"/>
    <cellStyle name="Normal 5 2 2 8" xfId="4753"/>
    <cellStyle name="Normal 5 2 2 9" xfId="60094"/>
    <cellStyle name="Normal 5 2 3" xfId="4754"/>
    <cellStyle name="Normal 5 2 3 2" xfId="4755"/>
    <cellStyle name="Normal 5 2 3 2 2" xfId="4756"/>
    <cellStyle name="Normal 5 2 3 2 2 2" xfId="4757"/>
    <cellStyle name="Normal 5 2 3 2 2 2 2" xfId="4758"/>
    <cellStyle name="Normal 5 2 3 2 2 2 2 2" xfId="4759"/>
    <cellStyle name="Normal 5 2 3 2 2 2 3" xfId="4760"/>
    <cellStyle name="Normal 5 2 3 2 2 3" xfId="4761"/>
    <cellStyle name="Normal 5 2 3 2 2 3 2" xfId="4762"/>
    <cellStyle name="Normal 5 2 3 2 2 4" xfId="4763"/>
    <cellStyle name="Normal 5 2 3 2 3" xfId="4764"/>
    <cellStyle name="Normal 5 2 3 2 3 2" xfId="4765"/>
    <cellStyle name="Normal 5 2 3 2 3 2 2" xfId="4766"/>
    <cellStyle name="Normal 5 2 3 2 3 3" xfId="4767"/>
    <cellStyle name="Normal 5 2 3 2 4" xfId="4768"/>
    <cellStyle name="Normal 5 2 3 2 4 2" xfId="4769"/>
    <cellStyle name="Normal 5 2 3 2 5" xfId="4770"/>
    <cellStyle name="Normal 5 2 3 3" xfId="4771"/>
    <cellStyle name="Normal 5 2 3 3 2" xfId="4772"/>
    <cellStyle name="Normal 5 2 3 3 2 2" xfId="4773"/>
    <cellStyle name="Normal 5 2 3 3 2 2 2" xfId="4774"/>
    <cellStyle name="Normal 5 2 3 3 2 3" xfId="4775"/>
    <cellStyle name="Normal 5 2 3 3 3" xfId="4776"/>
    <cellStyle name="Normal 5 2 3 3 3 2" xfId="4777"/>
    <cellStyle name="Normal 5 2 3 3 4" xfId="4778"/>
    <cellStyle name="Normal 5 2 3 4" xfId="4779"/>
    <cellStyle name="Normal 5 2 3 4 2" xfId="4780"/>
    <cellStyle name="Normal 5 2 3 4 2 2" xfId="4781"/>
    <cellStyle name="Normal 5 2 3 4 3" xfId="4782"/>
    <cellStyle name="Normal 5 2 3 5" xfId="4783"/>
    <cellStyle name="Normal 5 2 3 5 2" xfId="4784"/>
    <cellStyle name="Normal 5 2 3 6" xfId="4785"/>
    <cellStyle name="Normal 5 2 3 7" xfId="60095"/>
    <cellStyle name="Normal 5 2 4" xfId="4786"/>
    <cellStyle name="Normal 5 2 4 2" xfId="4787"/>
    <cellStyle name="Normal 5 2 4 2 2" xfId="4788"/>
    <cellStyle name="Normal 5 2 4 2 2 2" xfId="4789"/>
    <cellStyle name="Normal 5 2 4 2 2 2 2" xfId="4790"/>
    <cellStyle name="Normal 5 2 4 2 2 3" xfId="4791"/>
    <cellStyle name="Normal 5 2 4 2 3" xfId="4792"/>
    <cellStyle name="Normal 5 2 4 2 3 2" xfId="4793"/>
    <cellStyle name="Normal 5 2 4 2 4" xfId="4794"/>
    <cellStyle name="Normal 5 2 4 2 5" xfId="60096"/>
    <cellStyle name="Normal 5 2 4 3" xfId="4795"/>
    <cellStyle name="Normal 5 2 4 3 2" xfId="4796"/>
    <cellStyle name="Normal 5 2 4 3 2 2" xfId="4797"/>
    <cellStyle name="Normal 5 2 4 3 3" xfId="4798"/>
    <cellStyle name="Normal 5 2 4 4" xfId="4799"/>
    <cellStyle name="Normal 5 2 4 4 2" xfId="4800"/>
    <cellStyle name="Normal 5 2 4 5" xfId="4801"/>
    <cellStyle name="Normal 5 2 4 6" xfId="60097"/>
    <cellStyle name="Normal 5 2 5" xfId="4802"/>
    <cellStyle name="Normal 5 2 5 2" xfId="4803"/>
    <cellStyle name="Normal 5 2 5 2 2" xfId="4804"/>
    <cellStyle name="Normal 5 2 5 2 2 2" xfId="4805"/>
    <cellStyle name="Normal 5 2 5 2 2 2 2" xfId="4806"/>
    <cellStyle name="Normal 5 2 5 2 2 3" xfId="4807"/>
    <cellStyle name="Normal 5 2 5 2 3" xfId="4808"/>
    <cellStyle name="Normal 5 2 5 2 3 2" xfId="4809"/>
    <cellStyle name="Normal 5 2 5 2 4" xfId="4810"/>
    <cellStyle name="Normal 5 2 5 3" xfId="4811"/>
    <cellStyle name="Normal 5 2 5 3 2" xfId="4812"/>
    <cellStyle name="Normal 5 2 5 3 2 2" xfId="4813"/>
    <cellStyle name="Normal 5 2 5 3 3" xfId="4814"/>
    <cellStyle name="Normal 5 2 5 4" xfId="4815"/>
    <cellStyle name="Normal 5 2 5 4 2" xfId="4816"/>
    <cellStyle name="Normal 5 2 5 5" xfId="4817"/>
    <cellStyle name="Normal 5 2 5 6" xfId="60098"/>
    <cellStyle name="Normal 5 2 6" xfId="4818"/>
    <cellStyle name="Normal 5 2 6 2" xfId="4819"/>
    <cellStyle name="Normal 5 2 6 2 2" xfId="4820"/>
    <cellStyle name="Normal 5 2 6 2 2 2" xfId="4821"/>
    <cellStyle name="Normal 5 2 6 2 3" xfId="4822"/>
    <cellStyle name="Normal 5 2 6 3" xfId="4823"/>
    <cellStyle name="Normal 5 2 6 3 2" xfId="4824"/>
    <cellStyle name="Normal 5 2 6 4" xfId="4825"/>
    <cellStyle name="Normal 5 2 7" xfId="4826"/>
    <cellStyle name="Normal 5 2 7 2" xfId="4827"/>
    <cellStyle name="Normal 5 2 7 2 2" xfId="4828"/>
    <cellStyle name="Normal 5 2 7 3" xfId="4829"/>
    <cellStyle name="Normal 5 2 8" xfId="4830"/>
    <cellStyle name="Normal 5 2 8 2" xfId="4831"/>
    <cellStyle name="Normal 5 2 9" xfId="4832"/>
    <cellStyle name="Normal 5 3" xfId="4833"/>
    <cellStyle name="Normal 5 3 10" xfId="4834"/>
    <cellStyle name="Normal 5 3 11" xfId="60099"/>
    <cellStyle name="Normal 5 3 2" xfId="4835"/>
    <cellStyle name="Normal 5 3 2 2" xfId="4836"/>
    <cellStyle name="Normal 5 3 2 2 2" xfId="4837"/>
    <cellStyle name="Normal 5 3 2 2 2 2" xfId="4838"/>
    <cellStyle name="Normal 5 3 2 2 2 2 2" xfId="4839"/>
    <cellStyle name="Normal 5 3 2 2 2 2 2 2" xfId="4840"/>
    <cellStyle name="Normal 5 3 2 2 2 2 2 2 2" xfId="4841"/>
    <cellStyle name="Normal 5 3 2 2 2 2 2 3" xfId="4842"/>
    <cellStyle name="Normal 5 3 2 2 2 2 3" xfId="4843"/>
    <cellStyle name="Normal 5 3 2 2 2 2 3 2" xfId="4844"/>
    <cellStyle name="Normal 5 3 2 2 2 2 4" xfId="4845"/>
    <cellStyle name="Normal 5 3 2 2 2 3" xfId="4846"/>
    <cellStyle name="Normal 5 3 2 2 2 3 2" xfId="4847"/>
    <cellStyle name="Normal 5 3 2 2 2 3 2 2" xfId="4848"/>
    <cellStyle name="Normal 5 3 2 2 2 3 3" xfId="4849"/>
    <cellStyle name="Normal 5 3 2 2 2 4" xfId="4850"/>
    <cellStyle name="Normal 5 3 2 2 2 4 2" xfId="4851"/>
    <cellStyle name="Normal 5 3 2 2 2 5" xfId="4852"/>
    <cellStyle name="Normal 5 3 2 2 3" xfId="4853"/>
    <cellStyle name="Normal 5 3 2 2 3 2" xfId="4854"/>
    <cellStyle name="Normal 5 3 2 2 3 2 2" xfId="4855"/>
    <cellStyle name="Normal 5 3 2 2 3 2 2 2" xfId="4856"/>
    <cellStyle name="Normal 5 3 2 2 3 2 3" xfId="4857"/>
    <cellStyle name="Normal 5 3 2 2 3 3" xfId="4858"/>
    <cellStyle name="Normal 5 3 2 2 3 3 2" xfId="4859"/>
    <cellStyle name="Normal 5 3 2 2 3 4" xfId="4860"/>
    <cellStyle name="Normal 5 3 2 2 4" xfId="4861"/>
    <cellStyle name="Normal 5 3 2 2 4 2" xfId="4862"/>
    <cellStyle name="Normal 5 3 2 2 4 2 2" xfId="4863"/>
    <cellStyle name="Normal 5 3 2 2 4 3" xfId="4864"/>
    <cellStyle name="Normal 5 3 2 2 5" xfId="4865"/>
    <cellStyle name="Normal 5 3 2 2 5 2" xfId="4866"/>
    <cellStyle name="Normal 5 3 2 2 6" xfId="4867"/>
    <cellStyle name="Normal 5 3 2 3" xfId="4868"/>
    <cellStyle name="Normal 5 3 2 3 2" xfId="4869"/>
    <cellStyle name="Normal 5 3 2 3 2 2" xfId="4870"/>
    <cellStyle name="Normal 5 3 2 3 2 2 2" xfId="4871"/>
    <cellStyle name="Normal 5 3 2 3 2 2 2 2" xfId="4872"/>
    <cellStyle name="Normal 5 3 2 3 2 2 3" xfId="4873"/>
    <cellStyle name="Normal 5 3 2 3 2 3" xfId="4874"/>
    <cellStyle name="Normal 5 3 2 3 2 3 2" xfId="4875"/>
    <cellStyle name="Normal 5 3 2 3 2 4" xfId="4876"/>
    <cellStyle name="Normal 5 3 2 3 3" xfId="4877"/>
    <cellStyle name="Normal 5 3 2 3 3 2" xfId="4878"/>
    <cellStyle name="Normal 5 3 2 3 3 2 2" xfId="4879"/>
    <cellStyle name="Normal 5 3 2 3 3 3" xfId="4880"/>
    <cellStyle name="Normal 5 3 2 3 4" xfId="4881"/>
    <cellStyle name="Normal 5 3 2 3 4 2" xfId="4882"/>
    <cellStyle name="Normal 5 3 2 3 5" xfId="4883"/>
    <cellStyle name="Normal 5 3 2 4" xfId="4884"/>
    <cellStyle name="Normal 5 3 2 4 2" xfId="4885"/>
    <cellStyle name="Normal 5 3 2 4 2 2" xfId="4886"/>
    <cellStyle name="Normal 5 3 2 4 2 2 2" xfId="4887"/>
    <cellStyle name="Normal 5 3 2 4 2 2 2 2" xfId="4888"/>
    <cellStyle name="Normal 5 3 2 4 2 2 3" xfId="4889"/>
    <cellStyle name="Normal 5 3 2 4 2 3" xfId="4890"/>
    <cellStyle name="Normal 5 3 2 4 2 3 2" xfId="4891"/>
    <cellStyle name="Normal 5 3 2 4 2 4" xfId="4892"/>
    <cellStyle name="Normal 5 3 2 4 3" xfId="4893"/>
    <cellStyle name="Normal 5 3 2 4 3 2" xfId="4894"/>
    <cellStyle name="Normal 5 3 2 4 3 2 2" xfId="4895"/>
    <cellStyle name="Normal 5 3 2 4 3 3" xfId="4896"/>
    <cellStyle name="Normal 5 3 2 4 4" xfId="4897"/>
    <cellStyle name="Normal 5 3 2 4 4 2" xfId="4898"/>
    <cellStyle name="Normal 5 3 2 4 5" xfId="4899"/>
    <cellStyle name="Normal 5 3 2 5" xfId="4900"/>
    <cellStyle name="Normal 5 3 2 5 2" xfId="4901"/>
    <cellStyle name="Normal 5 3 2 5 2 2" xfId="4902"/>
    <cellStyle name="Normal 5 3 2 5 2 2 2" xfId="4903"/>
    <cellStyle name="Normal 5 3 2 5 2 3" xfId="4904"/>
    <cellStyle name="Normal 5 3 2 5 3" xfId="4905"/>
    <cellStyle name="Normal 5 3 2 5 3 2" xfId="4906"/>
    <cellStyle name="Normal 5 3 2 5 4" xfId="4907"/>
    <cellStyle name="Normal 5 3 2 6" xfId="4908"/>
    <cellStyle name="Normal 5 3 2 6 2" xfId="4909"/>
    <cellStyle name="Normal 5 3 2 6 2 2" xfId="4910"/>
    <cellStyle name="Normal 5 3 2 6 3" xfId="4911"/>
    <cellStyle name="Normal 5 3 2 7" xfId="4912"/>
    <cellStyle name="Normal 5 3 2 7 2" xfId="4913"/>
    <cellStyle name="Normal 5 3 2 8" xfId="4914"/>
    <cellStyle name="Normal 5 3 3" xfId="4915"/>
    <cellStyle name="Normal 5 3 3 2" xfId="4916"/>
    <cellStyle name="Normal 5 3 3 2 2" xfId="4917"/>
    <cellStyle name="Normal 5 3 3 2 2 2" xfId="4918"/>
    <cellStyle name="Normal 5 3 3 2 2 2 2" xfId="4919"/>
    <cellStyle name="Normal 5 3 3 2 2 2 2 2" xfId="4920"/>
    <cellStyle name="Normal 5 3 3 2 2 2 3" xfId="4921"/>
    <cellStyle name="Normal 5 3 3 2 2 3" xfId="4922"/>
    <cellStyle name="Normal 5 3 3 2 2 3 2" xfId="4923"/>
    <cellStyle name="Normal 5 3 3 2 2 4" xfId="4924"/>
    <cellStyle name="Normal 5 3 3 2 3" xfId="4925"/>
    <cellStyle name="Normal 5 3 3 2 3 2" xfId="4926"/>
    <cellStyle name="Normal 5 3 3 2 3 2 2" xfId="4927"/>
    <cellStyle name="Normal 5 3 3 2 3 3" xfId="4928"/>
    <cellStyle name="Normal 5 3 3 2 4" xfId="4929"/>
    <cellStyle name="Normal 5 3 3 2 4 2" xfId="4930"/>
    <cellStyle name="Normal 5 3 3 2 5" xfId="4931"/>
    <cellStyle name="Normal 5 3 3 3" xfId="4932"/>
    <cellStyle name="Normal 5 3 3 3 2" xfId="4933"/>
    <cellStyle name="Normal 5 3 3 3 2 2" xfId="4934"/>
    <cellStyle name="Normal 5 3 3 3 2 2 2" xfId="4935"/>
    <cellStyle name="Normal 5 3 3 3 2 3" xfId="4936"/>
    <cellStyle name="Normal 5 3 3 3 3" xfId="4937"/>
    <cellStyle name="Normal 5 3 3 3 3 2" xfId="4938"/>
    <cellStyle name="Normal 5 3 3 3 4" xfId="4939"/>
    <cellStyle name="Normal 5 3 3 4" xfId="4940"/>
    <cellStyle name="Normal 5 3 3 4 2" xfId="4941"/>
    <cellStyle name="Normal 5 3 3 4 2 2" xfId="4942"/>
    <cellStyle name="Normal 5 3 3 4 3" xfId="4943"/>
    <cellStyle name="Normal 5 3 3 5" xfId="4944"/>
    <cellStyle name="Normal 5 3 3 5 2" xfId="4945"/>
    <cellStyle name="Normal 5 3 3 6" xfId="4946"/>
    <cellStyle name="Normal 5 3 4" xfId="4947"/>
    <cellStyle name="Normal 5 3 4 2" xfId="4948"/>
    <cellStyle name="Normal 5 3 4 2 2" xfId="4949"/>
    <cellStyle name="Normal 5 3 4 2 2 2" xfId="4950"/>
    <cellStyle name="Normal 5 3 4 2 2 2 2" xfId="4951"/>
    <cellStyle name="Normal 5 3 4 2 2 3" xfId="4952"/>
    <cellStyle name="Normal 5 3 4 2 3" xfId="4953"/>
    <cellStyle name="Normal 5 3 4 2 3 2" xfId="4954"/>
    <cellStyle name="Normal 5 3 4 2 4" xfId="4955"/>
    <cellStyle name="Normal 5 3 4 3" xfId="4956"/>
    <cellStyle name="Normal 5 3 4 3 2" xfId="4957"/>
    <cellStyle name="Normal 5 3 4 3 2 2" xfId="4958"/>
    <cellStyle name="Normal 5 3 4 3 3" xfId="4959"/>
    <cellStyle name="Normal 5 3 4 4" xfId="4960"/>
    <cellStyle name="Normal 5 3 4 4 2" xfId="4961"/>
    <cellStyle name="Normal 5 3 4 5" xfId="4962"/>
    <cellStyle name="Normal 5 3 5" xfId="4963"/>
    <cellStyle name="Normal 5 3 5 2" xfId="4964"/>
    <cellStyle name="Normal 5 3 5 2 2" xfId="4965"/>
    <cellStyle name="Normal 5 3 5 2 2 2" xfId="4966"/>
    <cellStyle name="Normal 5 3 5 2 2 2 2" xfId="4967"/>
    <cellStyle name="Normal 5 3 5 2 2 3" xfId="4968"/>
    <cellStyle name="Normal 5 3 5 2 3" xfId="4969"/>
    <cellStyle name="Normal 5 3 5 2 3 2" xfId="4970"/>
    <cellStyle name="Normal 5 3 5 2 4" xfId="4971"/>
    <cellStyle name="Normal 5 3 5 3" xfId="4972"/>
    <cellStyle name="Normal 5 3 5 3 2" xfId="4973"/>
    <cellStyle name="Normal 5 3 5 3 2 2" xfId="4974"/>
    <cellStyle name="Normal 5 3 5 3 3" xfId="4975"/>
    <cellStyle name="Normal 5 3 5 4" xfId="4976"/>
    <cellStyle name="Normal 5 3 5 4 2" xfId="4977"/>
    <cellStyle name="Normal 5 3 5 5" xfId="4978"/>
    <cellStyle name="Normal 5 3 6" xfId="4979"/>
    <cellStyle name="Normal 5 3 6 2" xfId="4980"/>
    <cellStyle name="Normal 5 3 6 2 2" xfId="4981"/>
    <cellStyle name="Normal 5 3 6 2 2 2" xfId="4982"/>
    <cellStyle name="Normal 5 3 6 2 3" xfId="4983"/>
    <cellStyle name="Normal 5 3 6 3" xfId="4984"/>
    <cellStyle name="Normal 5 3 6 3 2" xfId="4985"/>
    <cellStyle name="Normal 5 3 6 4" xfId="4986"/>
    <cellStyle name="Normal 5 3 7" xfId="4987"/>
    <cellStyle name="Normal 5 3 7 2" xfId="4988"/>
    <cellStyle name="Normal 5 3 7 2 2" xfId="4989"/>
    <cellStyle name="Normal 5 3 7 3" xfId="4990"/>
    <cellStyle name="Normal 5 3 8" xfId="4991"/>
    <cellStyle name="Normal 5 3 8 2" xfId="4992"/>
    <cellStyle name="Normal 5 3 9" xfId="4993"/>
    <cellStyle name="Normal 5 4" xfId="4994"/>
    <cellStyle name="Normal 5 4 10" xfId="4995"/>
    <cellStyle name="Normal 5 4 2" xfId="4996"/>
    <cellStyle name="Normal 5 4 2 2" xfId="4997"/>
    <cellStyle name="Normal 5 4 2 2 2" xfId="4998"/>
    <cellStyle name="Normal 5 4 2 2 2 2" xfId="4999"/>
    <cellStyle name="Normal 5 4 2 2 2 2 2" xfId="5000"/>
    <cellStyle name="Normal 5 4 2 2 2 2 2 2" xfId="5001"/>
    <cellStyle name="Normal 5 4 2 2 2 2 3" xfId="5002"/>
    <cellStyle name="Normal 5 4 2 2 2 3" xfId="5003"/>
    <cellStyle name="Normal 5 4 2 2 2 3 2" xfId="5004"/>
    <cellStyle name="Normal 5 4 2 2 2 4" xfId="5005"/>
    <cellStyle name="Normal 5 4 2 2 3" xfId="5006"/>
    <cellStyle name="Normal 5 4 2 2 3 2" xfId="5007"/>
    <cellStyle name="Normal 5 4 2 2 3 2 2" xfId="5008"/>
    <cellStyle name="Normal 5 4 2 2 3 3" xfId="5009"/>
    <cellStyle name="Normal 5 4 2 2 4" xfId="5010"/>
    <cellStyle name="Normal 5 4 2 2 4 2" xfId="5011"/>
    <cellStyle name="Normal 5 4 2 2 5" xfId="5012"/>
    <cellStyle name="Normal 5 4 2 2 6" xfId="60100"/>
    <cellStyle name="Normal 5 4 2 3" xfId="5013"/>
    <cellStyle name="Normal 5 4 2 3 2" xfId="5014"/>
    <cellStyle name="Normal 5 4 2 3 2 2" xfId="5015"/>
    <cellStyle name="Normal 5 4 2 3 2 2 2" xfId="5016"/>
    <cellStyle name="Normal 5 4 2 3 2 2 2 2" xfId="5017"/>
    <cellStyle name="Normal 5 4 2 3 2 2 3" xfId="5018"/>
    <cellStyle name="Normal 5 4 2 3 2 3" xfId="5019"/>
    <cellStyle name="Normal 5 4 2 3 2 3 2" xfId="5020"/>
    <cellStyle name="Normal 5 4 2 3 2 4" xfId="5021"/>
    <cellStyle name="Normal 5 4 2 3 3" xfId="5022"/>
    <cellStyle name="Normal 5 4 2 3 3 2" xfId="5023"/>
    <cellStyle name="Normal 5 4 2 3 3 2 2" xfId="5024"/>
    <cellStyle name="Normal 5 4 2 3 3 3" xfId="5025"/>
    <cellStyle name="Normal 5 4 2 3 4" xfId="5026"/>
    <cellStyle name="Normal 5 4 2 3 4 2" xfId="5027"/>
    <cellStyle name="Normal 5 4 2 3 5" xfId="5028"/>
    <cellStyle name="Normal 5 4 2 4" xfId="5029"/>
    <cellStyle name="Normal 5 4 2 4 2" xfId="5030"/>
    <cellStyle name="Normal 5 4 2 4 2 2" xfId="5031"/>
    <cellStyle name="Normal 5 4 2 4 2 2 2" xfId="5032"/>
    <cellStyle name="Normal 5 4 2 4 2 2 2 2" xfId="56077"/>
    <cellStyle name="Normal 5 4 2 4 2 2 2 3" xfId="56078"/>
    <cellStyle name="Normal 5 4 2 4 2 2 2 4" xfId="56079"/>
    <cellStyle name="Normal 5 4 2 4 2 2 3" xfId="56080"/>
    <cellStyle name="Normal 5 4 2 4 2 2 3 2" xfId="56081"/>
    <cellStyle name="Normal 5 4 2 4 2 2 3 3" xfId="56082"/>
    <cellStyle name="Normal 5 4 2 4 2 2 4" xfId="56083"/>
    <cellStyle name="Normal 5 4 2 4 2 2 4 2" xfId="56084"/>
    <cellStyle name="Normal 5 4 2 4 2 2 5" xfId="56085"/>
    <cellStyle name="Normal 5 4 2 4 2 2 6" xfId="56086"/>
    <cellStyle name="Normal 5 4 2 4 2 3" xfId="5033"/>
    <cellStyle name="Normal 5 4 2 4 2 3 2" xfId="56087"/>
    <cellStyle name="Normal 5 4 2 4 2 4" xfId="56088"/>
    <cellStyle name="Normal 5 4 2 4 2 5" xfId="56089"/>
    <cellStyle name="Normal 5 4 2 4 3" xfId="5034"/>
    <cellStyle name="Normal 5 4 2 4 3 2" xfId="5035"/>
    <cellStyle name="Normal 5 4 2 4 4" xfId="5036"/>
    <cellStyle name="Normal 5 4 2 4 4 2" xfId="56090"/>
    <cellStyle name="Normal 5 4 2 4 5" xfId="56091"/>
    <cellStyle name="Normal 5 4 2 4 6" xfId="56092"/>
    <cellStyle name="Normal 5 4 2 5" xfId="5037"/>
    <cellStyle name="Normal 5 4 2 5 2" xfId="5038"/>
    <cellStyle name="Normal 5 4 2 5 2 2" xfId="5039"/>
    <cellStyle name="Normal 5 4 2 5 3" xfId="5040"/>
    <cellStyle name="Normal 5 4 2 6" xfId="5041"/>
    <cellStyle name="Normal 5 4 2 6 2" xfId="5042"/>
    <cellStyle name="Normal 5 4 2 7" xfId="5043"/>
    <cellStyle name="Normal 5 4 2 8" xfId="56093"/>
    <cellStyle name="Normal 5 4 3" xfId="5044"/>
    <cellStyle name="Normal 5 4 3 2" xfId="5045"/>
    <cellStyle name="Normal 5 4 3 2 2" xfId="5046"/>
    <cellStyle name="Normal 5 4 3 2 2 2" xfId="5047"/>
    <cellStyle name="Normal 5 4 3 2 2 2 2" xfId="5048"/>
    <cellStyle name="Normal 5 4 3 2 2 2 2 2" xfId="5049"/>
    <cellStyle name="Normal 5 4 3 2 2 2 3" xfId="5050"/>
    <cellStyle name="Normal 5 4 3 2 2 3" xfId="5051"/>
    <cellStyle name="Normal 5 4 3 2 2 3 2" xfId="5052"/>
    <cellStyle name="Normal 5 4 3 2 2 4" xfId="5053"/>
    <cellStyle name="Normal 5 4 3 2 3" xfId="5054"/>
    <cellStyle name="Normal 5 4 3 2 3 2" xfId="5055"/>
    <cellStyle name="Normal 5 4 3 2 3 2 2" xfId="5056"/>
    <cellStyle name="Normal 5 4 3 2 3 3" xfId="5057"/>
    <cellStyle name="Normal 5 4 3 2 4" xfId="5058"/>
    <cellStyle name="Normal 5 4 3 2 4 2" xfId="5059"/>
    <cellStyle name="Normal 5 4 3 2 5" xfId="5060"/>
    <cellStyle name="Normal 5 4 3 3" xfId="5061"/>
    <cellStyle name="Normal 5 4 3 3 2" xfId="5062"/>
    <cellStyle name="Normal 5 4 3 3 2 2" xfId="5063"/>
    <cellStyle name="Normal 5 4 3 3 2 2 2" xfId="5064"/>
    <cellStyle name="Normal 5 4 3 3 2 3" xfId="5065"/>
    <cellStyle name="Normal 5 4 3 3 3" xfId="5066"/>
    <cellStyle name="Normal 5 4 3 3 3 2" xfId="5067"/>
    <cellStyle name="Normal 5 4 3 3 4" xfId="5068"/>
    <cellStyle name="Normal 5 4 3 4" xfId="5069"/>
    <cellStyle name="Normal 5 4 3 4 2" xfId="5070"/>
    <cellStyle name="Normal 5 4 3 4 2 2" xfId="5071"/>
    <cellStyle name="Normal 5 4 3 4 3" xfId="5072"/>
    <cellStyle name="Normal 5 4 3 5" xfId="5073"/>
    <cellStyle name="Normal 5 4 3 5 2" xfId="5074"/>
    <cellStyle name="Normal 5 4 3 6" xfId="5075"/>
    <cellStyle name="Normal 5 4 3 7" xfId="60101"/>
    <cellStyle name="Normal 5 4 4" xfId="5076"/>
    <cellStyle name="Normal 5 4 4 2" xfId="5077"/>
    <cellStyle name="Normal 5 4 4 2 2" xfId="5078"/>
    <cellStyle name="Normal 5 4 4 2 2 2" xfId="5079"/>
    <cellStyle name="Normal 5 4 4 2 2 2 2" xfId="5080"/>
    <cellStyle name="Normal 5 4 4 2 2 3" xfId="5081"/>
    <cellStyle name="Normal 5 4 4 2 3" xfId="5082"/>
    <cellStyle name="Normal 5 4 4 2 3 2" xfId="5083"/>
    <cellStyle name="Normal 5 4 4 2 4" xfId="5084"/>
    <cellStyle name="Normal 5 4 4 3" xfId="5085"/>
    <cellStyle name="Normal 5 4 4 3 2" xfId="5086"/>
    <cellStyle name="Normal 5 4 4 3 2 2" xfId="5087"/>
    <cellStyle name="Normal 5 4 4 3 3" xfId="5088"/>
    <cellStyle name="Normal 5 4 4 4" xfId="5089"/>
    <cellStyle name="Normal 5 4 4 4 2" xfId="5090"/>
    <cellStyle name="Normal 5 4 4 5" xfId="5091"/>
    <cellStyle name="Normal 5 4 5" xfId="5092"/>
    <cellStyle name="Normal 5 4 5 2" xfId="5093"/>
    <cellStyle name="Normal 5 4 5 2 2" xfId="5094"/>
    <cellStyle name="Normal 5 4 5 2 2 2" xfId="5095"/>
    <cellStyle name="Normal 5 4 5 2 2 2 2" xfId="5096"/>
    <cellStyle name="Normal 5 4 5 2 2 3" xfId="5097"/>
    <cellStyle name="Normal 5 4 5 2 3" xfId="5098"/>
    <cellStyle name="Normal 5 4 5 2 3 2" xfId="5099"/>
    <cellStyle name="Normal 5 4 5 2 4" xfId="5100"/>
    <cellStyle name="Normal 5 4 5 3" xfId="5101"/>
    <cellStyle name="Normal 5 4 5 3 2" xfId="5102"/>
    <cellStyle name="Normal 5 4 5 3 2 2" xfId="5103"/>
    <cellStyle name="Normal 5 4 5 3 3" xfId="5104"/>
    <cellStyle name="Normal 5 4 5 4" xfId="5105"/>
    <cellStyle name="Normal 5 4 5 4 2" xfId="5106"/>
    <cellStyle name="Normal 5 4 5 5" xfId="5107"/>
    <cellStyle name="Normal 5 4 6" xfId="5108"/>
    <cellStyle name="Normal 5 4 6 2" xfId="5109"/>
    <cellStyle name="Normal 5 4 6 2 2" xfId="5110"/>
    <cellStyle name="Normal 5 4 6 2 2 2" xfId="5111"/>
    <cellStyle name="Normal 5 4 6 2 3" xfId="5112"/>
    <cellStyle name="Normal 5 4 6 3" xfId="5113"/>
    <cellStyle name="Normal 5 4 6 3 2" xfId="5114"/>
    <cellStyle name="Normal 5 4 6 4" xfId="5115"/>
    <cellStyle name="Normal 5 4 7" xfId="5116"/>
    <cellStyle name="Normal 5 4 7 2" xfId="5117"/>
    <cellStyle name="Normal 5 4 7 2 2" xfId="5118"/>
    <cellStyle name="Normal 5 4 7 3" xfId="5119"/>
    <cellStyle name="Normal 5 4 8" xfId="5120"/>
    <cellStyle name="Normal 5 4 8 2" xfId="5121"/>
    <cellStyle name="Normal 5 4 9" xfId="5122"/>
    <cellStyle name="Normal 5 5" xfId="5123"/>
    <cellStyle name="Normal 5 5 10" xfId="56094"/>
    <cellStyle name="Normal 5 5 2" xfId="5124"/>
    <cellStyle name="Normal 5 5 2 2" xfId="5125"/>
    <cellStyle name="Normal 5 5 2 2 2" xfId="5126"/>
    <cellStyle name="Normal 5 5 2 2 2 2" xfId="5127"/>
    <cellStyle name="Normal 5 5 2 2 2 2 2" xfId="5128"/>
    <cellStyle name="Normal 5 5 2 2 2 3" xfId="5129"/>
    <cellStyle name="Normal 5 5 2 2 3" xfId="5130"/>
    <cellStyle name="Normal 5 5 2 2 3 2" xfId="5131"/>
    <cellStyle name="Normal 5 5 2 2 4" xfId="5132"/>
    <cellStyle name="Normal 5 5 2 2 5" xfId="56095"/>
    <cellStyle name="Normal 5 5 2 3" xfId="5133"/>
    <cellStyle name="Normal 5 5 2 3 2" xfId="5134"/>
    <cellStyle name="Normal 5 5 2 3 2 2" xfId="5135"/>
    <cellStyle name="Normal 5 5 2 3 2 2 2" xfId="56096"/>
    <cellStyle name="Normal 5 5 2 3 2 2 2 2" xfId="56097"/>
    <cellStyle name="Normal 5 5 2 3 2 2 2 3" xfId="56098"/>
    <cellStyle name="Normal 5 5 2 3 2 2 2 4" xfId="56099"/>
    <cellStyle name="Normal 5 5 2 3 2 2 3" xfId="56100"/>
    <cellStyle name="Normal 5 5 2 3 2 2 3 2" xfId="56101"/>
    <cellStyle name="Normal 5 5 2 3 2 2 3 3" xfId="56102"/>
    <cellStyle name="Normal 5 5 2 3 2 2 4" xfId="56103"/>
    <cellStyle name="Normal 5 5 2 3 2 2 4 2" xfId="56104"/>
    <cellStyle name="Normal 5 5 2 3 2 2 5" xfId="56105"/>
    <cellStyle name="Normal 5 5 2 3 2 2 6" xfId="56106"/>
    <cellStyle name="Normal 5 5 2 3 2 3" xfId="56107"/>
    <cellStyle name="Normal 5 5 2 3 2 3 2" xfId="56108"/>
    <cellStyle name="Normal 5 5 2 3 2 4" xfId="56109"/>
    <cellStyle name="Normal 5 5 2 3 2 5" xfId="56110"/>
    <cellStyle name="Normal 5 5 2 3 3" xfId="5136"/>
    <cellStyle name="Normal 5 5 2 3 3 2" xfId="56111"/>
    <cellStyle name="Normal 5 5 2 3 4" xfId="56112"/>
    <cellStyle name="Normal 5 5 2 3 4 2" xfId="56113"/>
    <cellStyle name="Normal 5 5 2 3 5" xfId="56114"/>
    <cellStyle name="Normal 5 5 2 3 6" xfId="56115"/>
    <cellStyle name="Normal 5 5 2 4" xfId="5137"/>
    <cellStyle name="Normal 5 5 2 4 2" xfId="5138"/>
    <cellStyle name="Normal 5 5 2 5" xfId="5139"/>
    <cellStyle name="Normal 5 5 2 5 2" xfId="56116"/>
    <cellStyle name="Normal 5 5 2 6" xfId="56117"/>
    <cellStyle name="Normal 5 5 2 7" xfId="56118"/>
    <cellStyle name="Normal 5 5 3" xfId="5140"/>
    <cellStyle name="Normal 5 5 3 2" xfId="5141"/>
    <cellStyle name="Normal 5 5 3 2 2" xfId="5142"/>
    <cellStyle name="Normal 5 5 3 2 2 2" xfId="5143"/>
    <cellStyle name="Normal 5 5 3 2 2 2 2" xfId="5144"/>
    <cellStyle name="Normal 5 5 3 2 2 3" xfId="5145"/>
    <cellStyle name="Normal 5 5 3 2 3" xfId="5146"/>
    <cellStyle name="Normal 5 5 3 2 3 2" xfId="5147"/>
    <cellStyle name="Normal 5 5 3 2 4" xfId="5148"/>
    <cellStyle name="Normal 5 5 3 3" xfId="5149"/>
    <cellStyle name="Normal 5 5 3 3 2" xfId="5150"/>
    <cellStyle name="Normal 5 5 3 3 2 2" xfId="5151"/>
    <cellStyle name="Normal 5 5 3 3 3" xfId="5152"/>
    <cellStyle name="Normal 5 5 3 4" xfId="5153"/>
    <cellStyle name="Normal 5 5 3 4 2" xfId="5154"/>
    <cellStyle name="Normal 5 5 3 5" xfId="5155"/>
    <cellStyle name="Normal 5 5 4" xfId="5156"/>
    <cellStyle name="Normal 5 5 4 2" xfId="5157"/>
    <cellStyle name="Normal 5 5 4 2 2" xfId="5158"/>
    <cellStyle name="Normal 5 5 4 2 2 2" xfId="5159"/>
    <cellStyle name="Normal 5 5 4 2 3" xfId="5160"/>
    <cellStyle name="Normal 5 5 4 3" xfId="5161"/>
    <cellStyle name="Normal 5 5 4 3 2" xfId="5162"/>
    <cellStyle name="Normal 5 5 4 4" xfId="5163"/>
    <cellStyle name="Normal 5 5 5" xfId="5164"/>
    <cellStyle name="Normal 5 5 5 2" xfId="5165"/>
    <cellStyle name="Normal 5 5 5 2 2" xfId="5166"/>
    <cellStyle name="Normal 5 5 5 3" xfId="5167"/>
    <cellStyle name="Normal 5 5 6" xfId="5168"/>
    <cellStyle name="Normal 5 5 6 2" xfId="5169"/>
    <cellStyle name="Normal 5 5 7" xfId="5170"/>
    <cellStyle name="Normal 5 5 8" xfId="56119"/>
    <cellStyle name="Normal 5 5 8 2" xfId="56120"/>
    <cellStyle name="Normal 5 5 9" xfId="56121"/>
    <cellStyle name="Normal 5 6" xfId="5171"/>
    <cellStyle name="Normal 5 6 2" xfId="5172"/>
    <cellStyle name="Normal 5 6 2 2" xfId="5173"/>
    <cellStyle name="Normal 5 6 2 2 2" xfId="5174"/>
    <cellStyle name="Normal 5 6 2 2 2 2" xfId="5175"/>
    <cellStyle name="Normal 5 6 2 2 2 2 2" xfId="5176"/>
    <cellStyle name="Normal 5 6 2 2 2 3" xfId="5177"/>
    <cellStyle name="Normal 5 6 2 2 3" xfId="5178"/>
    <cellStyle name="Normal 5 6 2 2 3 2" xfId="5179"/>
    <cellStyle name="Normal 5 6 2 2 4" xfId="5180"/>
    <cellStyle name="Normal 5 6 2 3" xfId="5181"/>
    <cellStyle name="Normal 5 6 2 3 2" xfId="5182"/>
    <cellStyle name="Normal 5 6 2 3 2 2" xfId="5183"/>
    <cellStyle name="Normal 5 6 2 3 3" xfId="5184"/>
    <cellStyle name="Normal 5 6 2 4" xfId="5185"/>
    <cellStyle name="Normal 5 6 2 4 2" xfId="5186"/>
    <cellStyle name="Normal 5 6 2 5" xfId="5187"/>
    <cellStyle name="Normal 5 6 3" xfId="5188"/>
    <cellStyle name="Normal 5 6 3 2" xfId="5189"/>
    <cellStyle name="Normal 5 6 3 2 2" xfId="5190"/>
    <cellStyle name="Normal 5 6 3 2 2 2" xfId="5191"/>
    <cellStyle name="Normal 5 6 3 2 3" xfId="5192"/>
    <cellStyle name="Normal 5 6 3 3" xfId="5193"/>
    <cellStyle name="Normal 5 6 3 3 2" xfId="5194"/>
    <cellStyle name="Normal 5 6 3 4" xfId="5195"/>
    <cellStyle name="Normal 5 6 4" xfId="5196"/>
    <cellStyle name="Normal 5 6 4 2" xfId="5197"/>
    <cellStyle name="Normal 5 6 4 2 2" xfId="5198"/>
    <cellStyle name="Normal 5 6 4 3" xfId="5199"/>
    <cellStyle name="Normal 5 6 5" xfId="5200"/>
    <cellStyle name="Normal 5 6 5 2" xfId="5201"/>
    <cellStyle name="Normal 5 6 6" xfId="5202"/>
    <cellStyle name="Normal 5 7" xfId="5203"/>
    <cellStyle name="Normal 5 7 2" xfId="5204"/>
    <cellStyle name="Normal 5 7 2 2" xfId="5205"/>
    <cellStyle name="Normal 5 7 2 2 2" xfId="5206"/>
    <cellStyle name="Normal 5 7 2 2 2 2" xfId="5207"/>
    <cellStyle name="Normal 5 7 2 2 3" xfId="5208"/>
    <cellStyle name="Normal 5 7 2 3" xfId="5209"/>
    <cellStyle name="Normal 5 7 2 3 2" xfId="5210"/>
    <cellStyle name="Normal 5 7 2 4" xfId="5211"/>
    <cellStyle name="Normal 5 7 3" xfId="5212"/>
    <cellStyle name="Normal 5 7 3 2" xfId="5213"/>
    <cellStyle name="Normal 5 7 3 2 2" xfId="5214"/>
    <cellStyle name="Normal 5 7 3 3" xfId="5215"/>
    <cellStyle name="Normal 5 7 4" xfId="5216"/>
    <cellStyle name="Normal 5 7 4 2" xfId="5217"/>
    <cellStyle name="Normal 5 7 5" xfId="5218"/>
    <cellStyle name="Normal 5 8" xfId="5219"/>
    <cellStyle name="Normal 5 8 2" xfId="5220"/>
    <cellStyle name="Normal 5 8 2 2" xfId="5221"/>
    <cellStyle name="Normal 5 8 2 2 2" xfId="5222"/>
    <cellStyle name="Normal 5 8 2 2 2 2" xfId="5223"/>
    <cellStyle name="Normal 5 8 2 2 3" xfId="5224"/>
    <cellStyle name="Normal 5 8 2 3" xfId="5225"/>
    <cellStyle name="Normal 5 8 2 3 2" xfId="5226"/>
    <cellStyle name="Normal 5 8 2 4" xfId="5227"/>
    <cellStyle name="Normal 5 8 3" xfId="5228"/>
    <cellStyle name="Normal 5 8 3 2" xfId="5229"/>
    <cellStyle name="Normal 5 8 3 2 2" xfId="5230"/>
    <cellStyle name="Normal 5 8 3 3" xfId="5231"/>
    <cellStyle name="Normal 5 8 4" xfId="5232"/>
    <cellStyle name="Normal 5 8 4 2" xfId="5233"/>
    <cellStyle name="Normal 5 8 5" xfId="5234"/>
    <cellStyle name="Normal 5 9" xfId="5235"/>
    <cellStyle name="Normal 5 9 2" xfId="5236"/>
    <cellStyle name="Normal 5 9 2 2" xfId="5237"/>
    <cellStyle name="Normal 5 9 2 2 2" xfId="5238"/>
    <cellStyle name="Normal 5 9 2 3" xfId="5239"/>
    <cellStyle name="Normal 5 9 3" xfId="5240"/>
    <cellStyle name="Normal 5 9 3 2" xfId="5241"/>
    <cellStyle name="Normal 5 9 4" xfId="5242"/>
    <cellStyle name="Normal 5_183302" xfId="8773"/>
    <cellStyle name="Normal 50" xfId="8673"/>
    <cellStyle name="Normal 50 2" xfId="60102"/>
    <cellStyle name="Normal 50 3" xfId="60103"/>
    <cellStyle name="Normal 51" xfId="8674"/>
    <cellStyle name="Normal 51 2" xfId="56122"/>
    <cellStyle name="Normal 51 3" xfId="60104"/>
    <cellStyle name="Normal 52" xfId="8733"/>
    <cellStyle name="Normal 52 2" xfId="60105"/>
    <cellStyle name="Normal 52 3" xfId="60106"/>
    <cellStyle name="Normal 53" xfId="8767"/>
    <cellStyle name="Normal 53 2" xfId="56123"/>
    <cellStyle name="Normal 53 3" xfId="60107"/>
    <cellStyle name="Normal 54" xfId="9372"/>
    <cellStyle name="Normal 54 2" xfId="56124"/>
    <cellStyle name="Normal 54 3" xfId="60108"/>
    <cellStyle name="Normal 55" xfId="56125"/>
    <cellStyle name="Normal 55 2" xfId="60109"/>
    <cellStyle name="Normal 55 3" xfId="60110"/>
    <cellStyle name="Normal 56" xfId="56126"/>
    <cellStyle name="Normal 56 2" xfId="60111"/>
    <cellStyle name="Normal 57" xfId="57817"/>
    <cellStyle name="Normal 57 2" xfId="60112"/>
    <cellStyle name="Normal 58" xfId="60113"/>
    <cellStyle name="Normal 58 2" xfId="60114"/>
    <cellStyle name="Normal 59" xfId="60115"/>
    <cellStyle name="Normal 6" xfId="5243"/>
    <cellStyle name="Normal 6 10" xfId="60116"/>
    <cellStyle name="Normal 6 11" xfId="60117"/>
    <cellStyle name="Normal 6 2" xfId="5244"/>
    <cellStyle name="Normal 6 2 2" xfId="5245"/>
    <cellStyle name="Normal 6 2 2 2" xfId="5246"/>
    <cellStyle name="Normal 6 2 2 2 2" xfId="5247"/>
    <cellStyle name="Normal 6 2 2 2 2 2" xfId="5248"/>
    <cellStyle name="Normal 6 2 2 2 2 2 2" xfId="5249"/>
    <cellStyle name="Normal 6 2 2 2 2 3" xfId="5250"/>
    <cellStyle name="Normal 6 2 2 2 3" xfId="5251"/>
    <cellStyle name="Normal 6 2 2 2 3 2" xfId="5252"/>
    <cellStyle name="Normal 6 2 2 2 4" xfId="5253"/>
    <cellStyle name="Normal 6 2 2 2 5" xfId="60118"/>
    <cellStyle name="Normal 6 2 2 3" xfId="5254"/>
    <cellStyle name="Normal 6 2 2 3 2" xfId="5255"/>
    <cellStyle name="Normal 6 2 2 3 2 2" xfId="5256"/>
    <cellStyle name="Normal 6 2 2 3 3" xfId="5257"/>
    <cellStyle name="Normal 6 2 2 4" xfId="5258"/>
    <cellStyle name="Normal 6 2 2 4 2" xfId="5259"/>
    <cellStyle name="Normal 6 2 2 5" xfId="5260"/>
    <cellStyle name="Normal 6 2 2 6" xfId="60119"/>
    <cellStyle name="Normal 6 2 3" xfId="5261"/>
    <cellStyle name="Normal 6 2 3 2" xfId="5262"/>
    <cellStyle name="Normal 6 2 3 2 2" xfId="5263"/>
    <cellStyle name="Normal 6 2 3 2 2 2" xfId="5264"/>
    <cellStyle name="Normal 6 2 3 2 3" xfId="5265"/>
    <cellStyle name="Normal 6 2 3 3" xfId="5266"/>
    <cellStyle name="Normal 6 2 3 3 2" xfId="5267"/>
    <cellStyle name="Normal 6 2 3 4" xfId="5268"/>
    <cellStyle name="Normal 6 2 3 5" xfId="60120"/>
    <cellStyle name="Normal 6 2 4" xfId="5269"/>
    <cellStyle name="Normal 6 2 4 2" xfId="5270"/>
    <cellStyle name="Normal 6 2 4 2 2" xfId="5271"/>
    <cellStyle name="Normal 6 2 4 3" xfId="5272"/>
    <cellStyle name="Normal 6 2 5" xfId="5273"/>
    <cellStyle name="Normal 6 2 5 2" xfId="5274"/>
    <cellStyle name="Normal 6 2 6" xfId="5275"/>
    <cellStyle name="Normal 6 2 7" xfId="5276"/>
    <cellStyle name="Normal 6 2 8" xfId="60121"/>
    <cellStyle name="Normal 6 3" xfId="5277"/>
    <cellStyle name="Normal 6 3 2" xfId="5278"/>
    <cellStyle name="Normal 6 3 2 2" xfId="5279"/>
    <cellStyle name="Normal 6 3 2 2 2" xfId="5280"/>
    <cellStyle name="Normal 6 3 2 2 2 2" xfId="5281"/>
    <cellStyle name="Normal 6 3 2 2 3" xfId="5282"/>
    <cellStyle name="Normal 6 3 2 3" xfId="5283"/>
    <cellStyle name="Normal 6 3 2 3 2" xfId="5284"/>
    <cellStyle name="Normal 6 3 2 4" xfId="5285"/>
    <cellStyle name="Normal 6 3 2 5" xfId="60122"/>
    <cellStyle name="Normal 6 3 3" xfId="5286"/>
    <cellStyle name="Normal 6 3 3 2" xfId="5287"/>
    <cellStyle name="Normal 6 3 3 2 2" xfId="5288"/>
    <cellStyle name="Normal 6 3 3 3" xfId="5289"/>
    <cellStyle name="Normal 6 3 4" xfId="5290"/>
    <cellStyle name="Normal 6 3 4 2" xfId="5291"/>
    <cellStyle name="Normal 6 3 5" xfId="5292"/>
    <cellStyle name="Normal 6 3 6" xfId="5293"/>
    <cellStyle name="Normal 6 3 7" xfId="60123"/>
    <cellStyle name="Normal 6 4" xfId="5294"/>
    <cellStyle name="Normal 6 4 2" xfId="5295"/>
    <cellStyle name="Normal 6 4 2 2" xfId="5296"/>
    <cellStyle name="Normal 6 4 2 2 2" xfId="5297"/>
    <cellStyle name="Normal 6 4 2 2 3" xfId="60124"/>
    <cellStyle name="Normal 6 4 2 3" xfId="5298"/>
    <cellStyle name="Normal 6 4 2 3 2" xfId="60125"/>
    <cellStyle name="Normal 6 4 2 4" xfId="60126"/>
    <cellStyle name="Normal 6 4 2 5" xfId="60127"/>
    <cellStyle name="Normal 6 4 2 6" xfId="60128"/>
    <cellStyle name="Normal 6 4 3" xfId="5299"/>
    <cellStyle name="Normal 6 4 3 2" xfId="5300"/>
    <cellStyle name="Normal 6 4 3 3" xfId="60129"/>
    <cellStyle name="Normal 6 4 4" xfId="5301"/>
    <cellStyle name="Normal 6 4 4 2" xfId="60130"/>
    <cellStyle name="Normal 6 4 4 3" xfId="60131"/>
    <cellStyle name="Normal 6 4 5" xfId="5302"/>
    <cellStyle name="Normal 6 4 5 2" xfId="60132"/>
    <cellStyle name="Normal 6 4 6" xfId="60133"/>
    <cellStyle name="Normal 6 4 7" xfId="60134"/>
    <cellStyle name="Normal 6 4 8" xfId="60135"/>
    <cellStyle name="Normal 6 5" xfId="5303"/>
    <cellStyle name="Normal 6 5 2" xfId="5304"/>
    <cellStyle name="Normal 6 5 2 2" xfId="5305"/>
    <cellStyle name="Normal 6 5 2 2 2" xfId="60136"/>
    <cellStyle name="Normal 6 5 2 3" xfId="60137"/>
    <cellStyle name="Normal 6 5 3" xfId="5306"/>
    <cellStyle name="Normal 6 5 3 2" xfId="60138"/>
    <cellStyle name="Normal 6 5 4" xfId="60139"/>
    <cellStyle name="Normal 6 5 5" xfId="60140"/>
    <cellStyle name="Normal 6 5 6" xfId="60141"/>
    <cellStyle name="Normal 6 6" xfId="5307"/>
    <cellStyle name="Normal 6 6 2" xfId="5308"/>
    <cellStyle name="Normal 6 6 2 2" xfId="60142"/>
    <cellStyle name="Normal 6 6 3" xfId="60143"/>
    <cellStyle name="Normal 6 6 4" xfId="60144"/>
    <cellStyle name="Normal 6 6 5" xfId="60145"/>
    <cellStyle name="Normal 6 7" xfId="5309"/>
    <cellStyle name="Normal 6 7 2" xfId="60146"/>
    <cellStyle name="Normal 6 7 3" xfId="60147"/>
    <cellStyle name="Normal 6 8" xfId="5310"/>
    <cellStyle name="Normal 6 8 2" xfId="60148"/>
    <cellStyle name="Normal 6 8 3" xfId="60149"/>
    <cellStyle name="Normal 6 9" xfId="60150"/>
    <cellStyle name="Normal 6_183302" xfId="8774"/>
    <cellStyle name="Normal 60" xfId="60151"/>
    <cellStyle name="Normal 61" xfId="60152"/>
    <cellStyle name="Normal 62" xfId="60153"/>
    <cellStyle name="Normal 63" xfId="60154"/>
    <cellStyle name="Normal 64" xfId="60155"/>
    <cellStyle name="Normal 65" xfId="60156"/>
    <cellStyle name="Normal 66" xfId="60157"/>
    <cellStyle name="Normal 67" xfId="60158"/>
    <cellStyle name="Normal 68" xfId="60159"/>
    <cellStyle name="Normal 69" xfId="60160"/>
    <cellStyle name="Normal 7" xfId="5311"/>
    <cellStyle name="Normal 7 10" xfId="5312"/>
    <cellStyle name="Normal 7 11" xfId="5313"/>
    <cellStyle name="Normal 7 2" xfId="5314"/>
    <cellStyle name="Normal 7 2 2" xfId="5315"/>
    <cellStyle name="Normal 7 2 2 2" xfId="5316"/>
    <cellStyle name="Normal 7 2 2 2 2" xfId="5317"/>
    <cellStyle name="Normal 7 2 2 2 2 2" xfId="5318"/>
    <cellStyle name="Normal 7 2 2 2 2 2 2" xfId="5319"/>
    <cellStyle name="Normal 7 2 2 2 2 2 2 2" xfId="5320"/>
    <cellStyle name="Normal 7 2 2 2 2 2 3" xfId="5321"/>
    <cellStyle name="Normal 7 2 2 2 2 3" xfId="5322"/>
    <cellStyle name="Normal 7 2 2 2 2 3 2" xfId="5323"/>
    <cellStyle name="Normal 7 2 2 2 2 4" xfId="5324"/>
    <cellStyle name="Normal 7 2 2 2 3" xfId="5325"/>
    <cellStyle name="Normal 7 2 2 2 3 2" xfId="5326"/>
    <cellStyle name="Normal 7 2 2 2 3 2 2" xfId="5327"/>
    <cellStyle name="Normal 7 2 2 2 3 3" xfId="5328"/>
    <cellStyle name="Normal 7 2 2 2 4" xfId="5329"/>
    <cellStyle name="Normal 7 2 2 2 4 2" xfId="5330"/>
    <cellStyle name="Normal 7 2 2 2 5" xfId="5331"/>
    <cellStyle name="Normal 7 2 2 2 6" xfId="60161"/>
    <cellStyle name="Normal 7 2 2 3" xfId="5332"/>
    <cellStyle name="Normal 7 2 2 3 2" xfId="5333"/>
    <cellStyle name="Normal 7 2 2 3 2 2" xfId="5334"/>
    <cellStyle name="Normal 7 2 2 3 2 2 2" xfId="5335"/>
    <cellStyle name="Normal 7 2 2 3 2 3" xfId="5336"/>
    <cellStyle name="Normal 7 2 2 3 3" xfId="5337"/>
    <cellStyle name="Normal 7 2 2 3 3 2" xfId="5338"/>
    <cellStyle name="Normal 7 2 2 3 4" xfId="5339"/>
    <cellStyle name="Normal 7 2 2 4" xfId="5340"/>
    <cellStyle name="Normal 7 2 2 4 2" xfId="5341"/>
    <cellStyle name="Normal 7 2 2 4 2 2" xfId="5342"/>
    <cellStyle name="Normal 7 2 2 4 3" xfId="5343"/>
    <cellStyle name="Normal 7 2 2 5" xfId="5344"/>
    <cellStyle name="Normal 7 2 2 5 2" xfId="5345"/>
    <cellStyle name="Normal 7 2 2 6" xfId="5346"/>
    <cellStyle name="Normal 7 2 2 7" xfId="60162"/>
    <cellStyle name="Normal 7 2 3" xfId="5347"/>
    <cellStyle name="Normal 7 2 3 2" xfId="5348"/>
    <cellStyle name="Normal 7 2 3 2 2" xfId="5349"/>
    <cellStyle name="Normal 7 2 3 2 2 2" xfId="5350"/>
    <cellStyle name="Normal 7 2 3 2 2 2 2" xfId="5351"/>
    <cellStyle name="Normal 7 2 3 2 2 3" xfId="5352"/>
    <cellStyle name="Normal 7 2 3 2 3" xfId="5353"/>
    <cellStyle name="Normal 7 2 3 2 3 2" xfId="5354"/>
    <cellStyle name="Normal 7 2 3 2 4" xfId="5355"/>
    <cellStyle name="Normal 7 2 3 3" xfId="5356"/>
    <cellStyle name="Normal 7 2 3 3 2" xfId="5357"/>
    <cellStyle name="Normal 7 2 3 3 2 2" xfId="5358"/>
    <cellStyle name="Normal 7 2 3 3 3" xfId="5359"/>
    <cellStyle name="Normal 7 2 3 4" xfId="5360"/>
    <cellStyle name="Normal 7 2 3 4 2" xfId="5361"/>
    <cellStyle name="Normal 7 2 3 5" xfId="5362"/>
    <cellStyle name="Normal 7 2 3 6" xfId="60163"/>
    <cellStyle name="Normal 7 2 4" xfId="5363"/>
    <cellStyle name="Normal 7 2 4 2" xfId="5364"/>
    <cellStyle name="Normal 7 2 4 2 2" xfId="5365"/>
    <cellStyle name="Normal 7 2 4 2 2 2" xfId="5366"/>
    <cellStyle name="Normal 7 2 4 2 2 2 2" xfId="5367"/>
    <cellStyle name="Normal 7 2 4 2 2 3" xfId="5368"/>
    <cellStyle name="Normal 7 2 4 2 3" xfId="5369"/>
    <cellStyle name="Normal 7 2 4 2 3 2" xfId="5370"/>
    <cellStyle name="Normal 7 2 4 2 4" xfId="5371"/>
    <cellStyle name="Normal 7 2 4 3" xfId="5372"/>
    <cellStyle name="Normal 7 2 4 3 2" xfId="5373"/>
    <cellStyle name="Normal 7 2 4 3 2 2" xfId="5374"/>
    <cellStyle name="Normal 7 2 4 3 3" xfId="5375"/>
    <cellStyle name="Normal 7 2 4 4" xfId="5376"/>
    <cellStyle name="Normal 7 2 4 4 2" xfId="5377"/>
    <cellStyle name="Normal 7 2 4 5" xfId="5378"/>
    <cellStyle name="Normal 7 2 5" xfId="5379"/>
    <cellStyle name="Normal 7 2 5 2" xfId="5380"/>
    <cellStyle name="Normal 7 2 5 2 2" xfId="5381"/>
    <cellStyle name="Normal 7 2 5 2 2 2" xfId="5382"/>
    <cellStyle name="Normal 7 2 5 2 3" xfId="5383"/>
    <cellStyle name="Normal 7 2 5 3" xfId="5384"/>
    <cellStyle name="Normal 7 2 5 3 2" xfId="5385"/>
    <cellStyle name="Normal 7 2 5 4" xfId="5386"/>
    <cellStyle name="Normal 7 2 6" xfId="5387"/>
    <cellStyle name="Normal 7 2 6 2" xfId="5388"/>
    <cellStyle name="Normal 7 2 6 2 2" xfId="5389"/>
    <cellStyle name="Normal 7 2 6 3" xfId="5390"/>
    <cellStyle name="Normal 7 2 7" xfId="5391"/>
    <cellStyle name="Normal 7 2 7 2" xfId="5392"/>
    <cellStyle name="Normal 7 2 8" xfId="5393"/>
    <cellStyle name="Normal 7 2 9" xfId="60164"/>
    <cellStyle name="Normal 7 3" xfId="5394"/>
    <cellStyle name="Normal 7 3 2" xfId="5395"/>
    <cellStyle name="Normal 7 3 2 2" xfId="5396"/>
    <cellStyle name="Normal 7 3 2 2 2" xfId="5397"/>
    <cellStyle name="Normal 7 3 2 2 2 2" xfId="5398"/>
    <cellStyle name="Normal 7 3 2 2 2 2 2" xfId="5399"/>
    <cellStyle name="Normal 7 3 2 2 2 3" xfId="5400"/>
    <cellStyle name="Normal 7 3 2 2 3" xfId="5401"/>
    <cellStyle name="Normal 7 3 2 2 3 2" xfId="5402"/>
    <cellStyle name="Normal 7 3 2 2 4" xfId="5403"/>
    <cellStyle name="Normal 7 3 2 3" xfId="5404"/>
    <cellStyle name="Normal 7 3 2 3 2" xfId="5405"/>
    <cellStyle name="Normal 7 3 2 3 2 2" xfId="5406"/>
    <cellStyle name="Normal 7 3 2 3 3" xfId="5407"/>
    <cellStyle name="Normal 7 3 2 4" xfId="5408"/>
    <cellStyle name="Normal 7 3 2 4 2" xfId="5409"/>
    <cellStyle name="Normal 7 3 2 5" xfId="5410"/>
    <cellStyle name="Normal 7 3 2 6" xfId="60165"/>
    <cellStyle name="Normal 7 3 3" xfId="5411"/>
    <cellStyle name="Normal 7 3 3 2" xfId="5412"/>
    <cellStyle name="Normal 7 3 3 2 2" xfId="5413"/>
    <cellStyle name="Normal 7 3 3 2 2 2" xfId="5414"/>
    <cellStyle name="Normal 7 3 3 2 3" xfId="5415"/>
    <cellStyle name="Normal 7 3 3 3" xfId="5416"/>
    <cellStyle name="Normal 7 3 3 3 2" xfId="5417"/>
    <cellStyle name="Normal 7 3 3 4" xfId="5418"/>
    <cellStyle name="Normal 7 3 4" xfId="5419"/>
    <cellStyle name="Normal 7 3 4 2" xfId="5420"/>
    <cellStyle name="Normal 7 3 4 2 2" xfId="5421"/>
    <cellStyle name="Normal 7 3 4 3" xfId="5422"/>
    <cellStyle name="Normal 7 3 5" xfId="5423"/>
    <cellStyle name="Normal 7 3 5 2" xfId="5424"/>
    <cellStyle name="Normal 7 3 6" xfId="5425"/>
    <cellStyle name="Normal 7 3 7" xfId="60166"/>
    <cellStyle name="Normal 7 4" xfId="5426"/>
    <cellStyle name="Normal 7 4 2" xfId="5427"/>
    <cellStyle name="Normal 7 4 2 2" xfId="5428"/>
    <cellStyle name="Normal 7 4 2 2 2" xfId="5429"/>
    <cellStyle name="Normal 7 4 2 2 2 2" xfId="5430"/>
    <cellStyle name="Normal 7 4 2 2 3" xfId="5431"/>
    <cellStyle name="Normal 7 4 2 3" xfId="5432"/>
    <cellStyle name="Normal 7 4 2 3 2" xfId="5433"/>
    <cellStyle name="Normal 7 4 2 4" xfId="5434"/>
    <cellStyle name="Normal 7 4 2 5" xfId="60167"/>
    <cellStyle name="Normal 7 4 3" xfId="5435"/>
    <cellStyle name="Normal 7 4 3 2" xfId="5436"/>
    <cellStyle name="Normal 7 4 3 2 2" xfId="5437"/>
    <cellStyle name="Normal 7 4 3 3" xfId="5438"/>
    <cellStyle name="Normal 7 4 4" xfId="5439"/>
    <cellStyle name="Normal 7 4 4 2" xfId="5440"/>
    <cellStyle name="Normal 7 4 5" xfId="5441"/>
    <cellStyle name="Normal 7 4 6" xfId="60168"/>
    <cellStyle name="Normal 7 4 7" xfId="60169"/>
    <cellStyle name="Normal 7 5" xfId="5442"/>
    <cellStyle name="Normal 7 5 2" xfId="5443"/>
    <cellStyle name="Normal 7 5 2 2" xfId="5444"/>
    <cellStyle name="Normal 7 5 2 2 2" xfId="5445"/>
    <cellStyle name="Normal 7 5 2 2 2 2" xfId="5446"/>
    <cellStyle name="Normal 7 5 2 2 3" xfId="5447"/>
    <cellStyle name="Normal 7 5 2 3" xfId="5448"/>
    <cellStyle name="Normal 7 5 2 3 2" xfId="5449"/>
    <cellStyle name="Normal 7 5 2 4" xfId="5450"/>
    <cellStyle name="Normal 7 5 3" xfId="5451"/>
    <cellStyle name="Normal 7 5 3 2" xfId="5452"/>
    <cellStyle name="Normal 7 5 3 2 2" xfId="5453"/>
    <cellStyle name="Normal 7 5 3 3" xfId="5454"/>
    <cellStyle name="Normal 7 5 4" xfId="5455"/>
    <cellStyle name="Normal 7 5 4 2" xfId="5456"/>
    <cellStyle name="Normal 7 5 5" xfId="5457"/>
    <cellStyle name="Normal 7 5 6" xfId="60170"/>
    <cellStyle name="Normal 7 6" xfId="5458"/>
    <cellStyle name="Normal 7 6 2" xfId="5459"/>
    <cellStyle name="Normal 7 6 2 2" xfId="5460"/>
    <cellStyle name="Normal 7 6 2 2 2" xfId="5461"/>
    <cellStyle name="Normal 7 6 2 3" xfId="5462"/>
    <cellStyle name="Normal 7 6 3" xfId="5463"/>
    <cellStyle name="Normal 7 6 3 2" xfId="5464"/>
    <cellStyle name="Normal 7 6 4" xfId="5465"/>
    <cellStyle name="Normal 7 7" xfId="5466"/>
    <cellStyle name="Normal 7 7 2" xfId="5467"/>
    <cellStyle name="Normal 7 7 2 2" xfId="5468"/>
    <cellStyle name="Normal 7 7 3" xfId="5469"/>
    <cellStyle name="Normal 7 8" xfId="5470"/>
    <cellStyle name="Normal 7 8 2" xfId="5471"/>
    <cellStyle name="Normal 7 8 2 2" xfId="5472"/>
    <cellStyle name="Normal 7 8 3" xfId="5473"/>
    <cellStyle name="Normal 7 9" xfId="5474"/>
    <cellStyle name="Normal 7 9 2" xfId="5475"/>
    <cellStyle name="Normal 7_183302" xfId="8775"/>
    <cellStyle name="Normal 70" xfId="60171"/>
    <cellStyle name="Normal 71" xfId="60172"/>
    <cellStyle name="Normal 72" xfId="60173"/>
    <cellStyle name="Normal 73" xfId="60174"/>
    <cellStyle name="Normal 74" xfId="60175"/>
    <cellStyle name="Normal 74 2" xfId="61982"/>
    <cellStyle name="Normal 75" xfId="60176"/>
    <cellStyle name="Normal 76" xfId="60177"/>
    <cellStyle name="Normal 77" xfId="60178"/>
    <cellStyle name="Normal 78" xfId="60179"/>
    <cellStyle name="Normal 79" xfId="60180"/>
    <cellStyle name="Normal 8" xfId="5476"/>
    <cellStyle name="Normal 8 2" xfId="5477"/>
    <cellStyle name="Normal 8 2 2" xfId="5478"/>
    <cellStyle name="Normal 8 2 2 2" xfId="5479"/>
    <cellStyle name="Normal 8 2 2 2 2" xfId="5480"/>
    <cellStyle name="Normal 8 2 2 2 2 2" xfId="5481"/>
    <cellStyle name="Normal 8 2 2 2 2 2 2" xfId="5482"/>
    <cellStyle name="Normal 8 2 2 2 2 3" xfId="5483"/>
    <cellStyle name="Normal 8 2 2 2 3" xfId="5484"/>
    <cellStyle name="Normal 8 2 2 2 3 2" xfId="5485"/>
    <cellStyle name="Normal 8 2 2 2 4" xfId="5486"/>
    <cellStyle name="Normal 8 2 2 2 5" xfId="60181"/>
    <cellStyle name="Normal 8 2 2 3" xfId="5487"/>
    <cellStyle name="Normal 8 2 2 3 2" xfId="5488"/>
    <cellStyle name="Normal 8 2 2 3 2 2" xfId="5489"/>
    <cellStyle name="Normal 8 2 2 3 3" xfId="5490"/>
    <cellStyle name="Normal 8 2 2 4" xfId="5491"/>
    <cellStyle name="Normal 8 2 2 4 2" xfId="5492"/>
    <cellStyle name="Normal 8 2 2 5" xfId="5493"/>
    <cellStyle name="Normal 8 2 2 6" xfId="60182"/>
    <cellStyle name="Normal 8 2 3" xfId="5494"/>
    <cellStyle name="Normal 8 2 3 2" xfId="5495"/>
    <cellStyle name="Normal 8 2 3 2 2" xfId="5496"/>
    <cellStyle name="Normal 8 2 3 2 2 2" xfId="5497"/>
    <cellStyle name="Normal 8 2 3 2 3" xfId="5498"/>
    <cellStyle name="Normal 8 2 3 3" xfId="5499"/>
    <cellStyle name="Normal 8 2 3 3 2" xfId="5500"/>
    <cellStyle name="Normal 8 2 3 4" xfId="5501"/>
    <cellStyle name="Normal 8 2 3 5" xfId="60183"/>
    <cellStyle name="Normal 8 2 4" xfId="5502"/>
    <cellStyle name="Normal 8 2 4 2" xfId="5503"/>
    <cellStyle name="Normal 8 2 4 2 2" xfId="5504"/>
    <cellStyle name="Normal 8 2 4 3" xfId="5505"/>
    <cellStyle name="Normal 8 2 5" xfId="5506"/>
    <cellStyle name="Normal 8 2 5 2" xfId="5507"/>
    <cellStyle name="Normal 8 2 6" xfId="5508"/>
    <cellStyle name="Normal 8 2 7" xfId="5509"/>
    <cellStyle name="Normal 8 2 8" xfId="60184"/>
    <cellStyle name="Normal 8 3" xfId="5510"/>
    <cellStyle name="Normal 8 3 2" xfId="5511"/>
    <cellStyle name="Normal 8 3 2 2" xfId="5512"/>
    <cellStyle name="Normal 8 3 2 2 2" xfId="5513"/>
    <cellStyle name="Normal 8 3 2 2 2 2" xfId="5514"/>
    <cellStyle name="Normal 8 3 2 2 3" xfId="5515"/>
    <cellStyle name="Normal 8 3 2 3" xfId="5516"/>
    <cellStyle name="Normal 8 3 2 3 2" xfId="5517"/>
    <cellStyle name="Normal 8 3 2 4" xfId="5518"/>
    <cellStyle name="Normal 8 3 2 5" xfId="60185"/>
    <cellStyle name="Normal 8 3 3" xfId="5519"/>
    <cellStyle name="Normal 8 3 3 2" xfId="5520"/>
    <cellStyle name="Normal 8 3 3 2 2" xfId="5521"/>
    <cellStyle name="Normal 8 3 3 3" xfId="5522"/>
    <cellStyle name="Normal 8 3 4" xfId="5523"/>
    <cellStyle name="Normal 8 3 4 2" xfId="5524"/>
    <cellStyle name="Normal 8 3 5" xfId="5525"/>
    <cellStyle name="Normal 8 3 6" xfId="60186"/>
    <cellStyle name="Normal 8 4" xfId="5526"/>
    <cellStyle name="Normal 8 4 2" xfId="5527"/>
    <cellStyle name="Normal 8 4 2 2" xfId="5528"/>
    <cellStyle name="Normal 8 4 2 2 2" xfId="5529"/>
    <cellStyle name="Normal 8 4 2 3" xfId="5530"/>
    <cellStyle name="Normal 8 4 3" xfId="5531"/>
    <cellStyle name="Normal 8 4 3 2" xfId="5532"/>
    <cellStyle name="Normal 8 4 4" xfId="5533"/>
    <cellStyle name="Normal 8 4 5" xfId="60187"/>
    <cellStyle name="Normal 8 5" xfId="5534"/>
    <cellStyle name="Normal 8 5 2" xfId="5535"/>
    <cellStyle name="Normal 8 5 2 2" xfId="5536"/>
    <cellStyle name="Normal 8 5 3" xfId="5537"/>
    <cellStyle name="Normal 8 6" xfId="5538"/>
    <cellStyle name="Normal 8 6 2" xfId="5539"/>
    <cellStyle name="Normal 8 7" xfId="5540"/>
    <cellStyle name="Normal 8 8" xfId="5541"/>
    <cellStyle name="Normal 8_183302" xfId="8776"/>
    <cellStyle name="Normal 80" xfId="60188"/>
    <cellStyle name="Normal 81" xfId="60189"/>
    <cellStyle name="Normal 82" xfId="60190"/>
    <cellStyle name="Normal 83" xfId="60191"/>
    <cellStyle name="Normal 84" xfId="61971"/>
    <cellStyle name="Normal 85" xfId="61973"/>
    <cellStyle name="Normal 86" xfId="61975"/>
    <cellStyle name="Normal 86 2" xfId="61978"/>
    <cellStyle name="Normal 9" xfId="5542"/>
    <cellStyle name="Normal 9 2" xfId="5543"/>
    <cellStyle name="Normal 9 2 2" xfId="5544"/>
    <cellStyle name="Normal 9 2 2 2" xfId="5545"/>
    <cellStyle name="Normal 9 2 2 2 2" xfId="5546"/>
    <cellStyle name="Normal 9 2 2 2 2 2" xfId="5547"/>
    <cellStyle name="Normal 9 2 2 2 2 2 2" xfId="5548"/>
    <cellStyle name="Normal 9 2 2 2 2 3" xfId="5549"/>
    <cellStyle name="Normal 9 2 2 2 2 4" xfId="9292"/>
    <cellStyle name="Normal 9 2 2 2 3" xfId="5550"/>
    <cellStyle name="Normal 9 2 2 2 3 2" xfId="5551"/>
    <cellStyle name="Normal 9 2 2 2 4" xfId="5552"/>
    <cellStyle name="Normal 9 2 2 2 5" xfId="5553"/>
    <cellStyle name="Normal 9 2 2 2 6" xfId="9293"/>
    <cellStyle name="Normal 9 2 2 3" xfId="5554"/>
    <cellStyle name="Normal 9 2 2 3 2" xfId="5555"/>
    <cellStyle name="Normal 9 2 2 3 2 2" xfId="5556"/>
    <cellStyle name="Normal 9 2 2 3 3" xfId="5557"/>
    <cellStyle name="Normal 9 2 2 3 4" xfId="9294"/>
    <cellStyle name="Normal 9 2 2 4" xfId="5558"/>
    <cellStyle name="Normal 9 2 2 4 2" xfId="5559"/>
    <cellStyle name="Normal 9 2 2 5" xfId="5560"/>
    <cellStyle name="Normal 9 2 2 6" xfId="5561"/>
    <cellStyle name="Normal 9 2 2 7" xfId="9295"/>
    <cellStyle name="Normal 9 2 3" xfId="5562"/>
    <cellStyle name="Normal 9 2 3 2" xfId="5563"/>
    <cellStyle name="Normal 9 2 3 2 2" xfId="5564"/>
    <cellStyle name="Normal 9 2 3 2 2 2" xfId="5565"/>
    <cellStyle name="Normal 9 2 3 2 3" xfId="5566"/>
    <cellStyle name="Normal 9 2 3 2 4" xfId="9296"/>
    <cellStyle name="Normal 9 2 3 3" xfId="5567"/>
    <cellStyle name="Normal 9 2 3 3 2" xfId="5568"/>
    <cellStyle name="Normal 9 2 3 4" xfId="5569"/>
    <cellStyle name="Normal 9 2 3 5" xfId="5570"/>
    <cellStyle name="Normal 9 2 3 6" xfId="9297"/>
    <cellStyle name="Normal 9 2 4" xfId="5571"/>
    <cellStyle name="Normal 9 2 4 2" xfId="5572"/>
    <cellStyle name="Normal 9 2 4 2 2" xfId="5573"/>
    <cellStyle name="Normal 9 2 4 3" xfId="5574"/>
    <cellStyle name="Normal 9 2 4 4" xfId="9298"/>
    <cellStyle name="Normal 9 2 5" xfId="5575"/>
    <cellStyle name="Normal 9 2 5 2" xfId="5576"/>
    <cellStyle name="Normal 9 2 6" xfId="5577"/>
    <cellStyle name="Normal 9 2 7" xfId="5578"/>
    <cellStyle name="Normal 9 2 8" xfId="9299"/>
    <cellStyle name="Normal 9 3" xfId="5579"/>
    <cellStyle name="Normal 9 3 2" xfId="5580"/>
    <cellStyle name="Normal 9 3 2 2" xfId="5581"/>
    <cellStyle name="Normal 9 3 2 2 2" xfId="5582"/>
    <cellStyle name="Normal 9 3 2 2 2 2" xfId="5583"/>
    <cellStyle name="Normal 9 3 2 2 3" xfId="5584"/>
    <cellStyle name="Normal 9 3 2 2 4" xfId="9300"/>
    <cellStyle name="Normal 9 3 2 3" xfId="5585"/>
    <cellStyle name="Normal 9 3 2 3 2" xfId="5586"/>
    <cellStyle name="Normal 9 3 2 4" xfId="5587"/>
    <cellStyle name="Normal 9 3 2 5" xfId="5588"/>
    <cellStyle name="Normal 9 3 2 6" xfId="9301"/>
    <cellStyle name="Normal 9 3 3" xfId="5589"/>
    <cellStyle name="Normal 9 3 3 2" xfId="5590"/>
    <cellStyle name="Normal 9 3 3 2 2" xfId="5591"/>
    <cellStyle name="Normal 9 3 3 3" xfId="5592"/>
    <cellStyle name="Normal 9 3 3 4" xfId="9302"/>
    <cellStyle name="Normal 9 3 4" xfId="5593"/>
    <cellStyle name="Normal 9 3 4 2" xfId="5594"/>
    <cellStyle name="Normal 9 3 5" xfId="5595"/>
    <cellStyle name="Normal 9 3 6" xfId="5596"/>
    <cellStyle name="Normal 9 3 7" xfId="9303"/>
    <cellStyle name="Normal 9 4" xfId="5597"/>
    <cellStyle name="Normal 9 4 2" xfId="5598"/>
    <cellStyle name="Normal 9 4 2 2" xfId="5599"/>
    <cellStyle name="Normal 9 4 2 2 2" xfId="5600"/>
    <cellStyle name="Normal 9 4 2 3" xfId="5601"/>
    <cellStyle name="Normal 9 4 2 4" xfId="9304"/>
    <cellStyle name="Normal 9 4 3" xfId="5602"/>
    <cellStyle name="Normal 9 4 3 2" xfId="5603"/>
    <cellStyle name="Normal 9 4 4" xfId="5604"/>
    <cellStyle name="Normal 9 4 5" xfId="5605"/>
    <cellStyle name="Normal 9 4 6" xfId="9305"/>
    <cellStyle name="Normal 9 5" xfId="5606"/>
    <cellStyle name="Normal 9 5 2" xfId="5607"/>
    <cellStyle name="Normal 9 5 2 2" xfId="5608"/>
    <cellStyle name="Normal 9 5 3" xfId="5609"/>
    <cellStyle name="Normal 9 5 4" xfId="9306"/>
    <cellStyle name="Normal 9 6" xfId="5610"/>
    <cellStyle name="Normal 9 6 2" xfId="5611"/>
    <cellStyle name="Normal 9 7" xfId="5612"/>
    <cellStyle name="Normal 9 8" xfId="5613"/>
    <cellStyle name="Normal 9 9" xfId="9307"/>
    <cellStyle name="Normal_AFUDC Dec 2008 Balance by Acct Rev" xfId="61980"/>
    <cellStyle name="Normal_KU COS Print File 2003q3" xfId="8670"/>
    <cellStyle name="Normal_KU ESM Forms 2001(Final Order 10-16-02)" xfId="9375"/>
    <cellStyle name="Normal_Schedules A thru L Cost of Servive June 30, 2009" xfId="8677"/>
    <cellStyle name="Note 10" xfId="5614"/>
    <cellStyle name="Note 10 10" xfId="5615"/>
    <cellStyle name="Note 10 10 2" xfId="60192"/>
    <cellStyle name="Note 10 11" xfId="5616"/>
    <cellStyle name="Note 10 12" xfId="60193"/>
    <cellStyle name="Note 10 13" xfId="60194"/>
    <cellStyle name="Note 10 2" xfId="5617"/>
    <cellStyle name="Note 10 2 10" xfId="5618"/>
    <cellStyle name="Note 10 2 2" xfId="5619"/>
    <cellStyle name="Note 10 2 2 2" xfId="60195"/>
    <cellStyle name="Note 10 2 3" xfId="5620"/>
    <cellStyle name="Note 10 2 3 2" xfId="60196"/>
    <cellStyle name="Note 10 2 4" xfId="5621"/>
    <cellStyle name="Note 10 2 4 2" xfId="60197"/>
    <cellStyle name="Note 10 2 5" xfId="5622"/>
    <cellStyle name="Note 10 2 5 2" xfId="60198"/>
    <cellStyle name="Note 10 2 6" xfId="5623"/>
    <cellStyle name="Note 10 2 6 2" xfId="60199"/>
    <cellStyle name="Note 10 2 7" xfId="5624"/>
    <cellStyle name="Note 10 2 7 2" xfId="60200"/>
    <cellStyle name="Note 10 2 8" xfId="5625"/>
    <cellStyle name="Note 10 2 8 2" xfId="60201"/>
    <cellStyle name="Note 10 2 9" xfId="5626"/>
    <cellStyle name="Note 10 2 9 2" xfId="60202"/>
    <cellStyle name="Note 10 3" xfId="5627"/>
    <cellStyle name="Note 10 3 2" xfId="60203"/>
    <cellStyle name="Note 10 4" xfId="5628"/>
    <cellStyle name="Note 10 4 2" xfId="60204"/>
    <cellStyle name="Note 10 5" xfId="5629"/>
    <cellStyle name="Note 10 5 2" xfId="60205"/>
    <cellStyle name="Note 10 6" xfId="5630"/>
    <cellStyle name="Note 10 6 2" xfId="60206"/>
    <cellStyle name="Note 10 7" xfId="5631"/>
    <cellStyle name="Note 10 7 2" xfId="60207"/>
    <cellStyle name="Note 10 8" xfId="5632"/>
    <cellStyle name="Note 10 8 2" xfId="60208"/>
    <cellStyle name="Note 10 9" xfId="5633"/>
    <cellStyle name="Note 10 9 2" xfId="60209"/>
    <cellStyle name="Note 11" xfId="5634"/>
    <cellStyle name="Note 11 10" xfId="5635"/>
    <cellStyle name="Note 11 10 2" xfId="60210"/>
    <cellStyle name="Note 11 11" xfId="5636"/>
    <cellStyle name="Note 11 12" xfId="60211"/>
    <cellStyle name="Note 11 13" xfId="60212"/>
    <cellStyle name="Note 11 2" xfId="5637"/>
    <cellStyle name="Note 11 2 10" xfId="5638"/>
    <cellStyle name="Note 11 2 2" xfId="5639"/>
    <cellStyle name="Note 11 2 2 2" xfId="60213"/>
    <cellStyle name="Note 11 2 3" xfId="5640"/>
    <cellStyle name="Note 11 2 3 2" xfId="60214"/>
    <cellStyle name="Note 11 2 4" xfId="5641"/>
    <cellStyle name="Note 11 2 4 2" xfId="60215"/>
    <cellStyle name="Note 11 2 5" xfId="5642"/>
    <cellStyle name="Note 11 2 5 2" xfId="60216"/>
    <cellStyle name="Note 11 2 6" xfId="5643"/>
    <cellStyle name="Note 11 2 6 2" xfId="60217"/>
    <cellStyle name="Note 11 2 7" xfId="5644"/>
    <cellStyle name="Note 11 2 7 2" xfId="60218"/>
    <cellStyle name="Note 11 2 8" xfId="5645"/>
    <cellStyle name="Note 11 2 8 2" xfId="60219"/>
    <cellStyle name="Note 11 2 9" xfId="5646"/>
    <cellStyle name="Note 11 2 9 2" xfId="60220"/>
    <cellStyle name="Note 11 3" xfId="5647"/>
    <cellStyle name="Note 11 3 2" xfId="60221"/>
    <cellStyle name="Note 11 4" xfId="5648"/>
    <cellStyle name="Note 11 4 2" xfId="60222"/>
    <cellStyle name="Note 11 5" xfId="5649"/>
    <cellStyle name="Note 11 5 2" xfId="60223"/>
    <cellStyle name="Note 11 6" xfId="5650"/>
    <cellStyle name="Note 11 6 2" xfId="60224"/>
    <cellStyle name="Note 11 7" xfId="5651"/>
    <cellStyle name="Note 11 7 2" xfId="60225"/>
    <cellStyle name="Note 11 8" xfId="5652"/>
    <cellStyle name="Note 11 8 2" xfId="60226"/>
    <cellStyle name="Note 11 9" xfId="5653"/>
    <cellStyle name="Note 11 9 2" xfId="60227"/>
    <cellStyle name="Note 12" xfId="5654"/>
    <cellStyle name="Note 12 10" xfId="5655"/>
    <cellStyle name="Note 12 10 2" xfId="60228"/>
    <cellStyle name="Note 12 11" xfId="5656"/>
    <cellStyle name="Note 12 12" xfId="60229"/>
    <cellStyle name="Note 12 13" xfId="60230"/>
    <cellStyle name="Note 12 2" xfId="5657"/>
    <cellStyle name="Note 12 2 10" xfId="5658"/>
    <cellStyle name="Note 12 2 2" xfId="5659"/>
    <cellStyle name="Note 12 2 2 2" xfId="60231"/>
    <cellStyle name="Note 12 2 3" xfId="5660"/>
    <cellStyle name="Note 12 2 3 2" xfId="60232"/>
    <cellStyle name="Note 12 2 4" xfId="5661"/>
    <cellStyle name="Note 12 2 4 2" xfId="60233"/>
    <cellStyle name="Note 12 2 5" xfId="5662"/>
    <cellStyle name="Note 12 2 5 2" xfId="60234"/>
    <cellStyle name="Note 12 2 6" xfId="5663"/>
    <cellStyle name="Note 12 2 6 2" xfId="60235"/>
    <cellStyle name="Note 12 2 7" xfId="5664"/>
    <cellStyle name="Note 12 2 7 2" xfId="60236"/>
    <cellStyle name="Note 12 2 8" xfId="5665"/>
    <cellStyle name="Note 12 2 8 2" xfId="60237"/>
    <cellStyle name="Note 12 2 9" xfId="5666"/>
    <cellStyle name="Note 12 2 9 2" xfId="60238"/>
    <cellStyle name="Note 12 3" xfId="5667"/>
    <cellStyle name="Note 12 3 2" xfId="60239"/>
    <cellStyle name="Note 12 4" xfId="5668"/>
    <cellStyle name="Note 12 4 2" xfId="60240"/>
    <cellStyle name="Note 12 5" xfId="5669"/>
    <cellStyle name="Note 12 5 2" xfId="60241"/>
    <cellStyle name="Note 12 6" xfId="5670"/>
    <cellStyle name="Note 12 6 2" xfId="60242"/>
    <cellStyle name="Note 12 7" xfId="5671"/>
    <cellStyle name="Note 12 7 2" xfId="60243"/>
    <cellStyle name="Note 12 8" xfId="5672"/>
    <cellStyle name="Note 12 8 2" xfId="60244"/>
    <cellStyle name="Note 12 9" xfId="5673"/>
    <cellStyle name="Note 12 9 2" xfId="60245"/>
    <cellStyle name="Note 13" xfId="5674"/>
    <cellStyle name="Note 13 10" xfId="5675"/>
    <cellStyle name="Note 13 10 2" xfId="60246"/>
    <cellStyle name="Note 13 11" xfId="5676"/>
    <cellStyle name="Note 13 12" xfId="60247"/>
    <cellStyle name="Note 13 13" xfId="60248"/>
    <cellStyle name="Note 13 2" xfId="5677"/>
    <cellStyle name="Note 13 2 10" xfId="5678"/>
    <cellStyle name="Note 13 2 2" xfId="5679"/>
    <cellStyle name="Note 13 2 2 2" xfId="60249"/>
    <cellStyle name="Note 13 2 3" xfId="5680"/>
    <cellStyle name="Note 13 2 3 2" xfId="60250"/>
    <cellStyle name="Note 13 2 4" xfId="5681"/>
    <cellStyle name="Note 13 2 4 2" xfId="60251"/>
    <cellStyle name="Note 13 2 5" xfId="5682"/>
    <cellStyle name="Note 13 2 5 2" xfId="60252"/>
    <cellStyle name="Note 13 2 6" xfId="5683"/>
    <cellStyle name="Note 13 2 6 2" xfId="60253"/>
    <cellStyle name="Note 13 2 7" xfId="5684"/>
    <cellStyle name="Note 13 2 7 2" xfId="60254"/>
    <cellStyle name="Note 13 2 8" xfId="5685"/>
    <cellStyle name="Note 13 2 8 2" xfId="60255"/>
    <cellStyle name="Note 13 2 9" xfId="5686"/>
    <cellStyle name="Note 13 2 9 2" xfId="60256"/>
    <cellStyle name="Note 13 3" xfId="5687"/>
    <cellStyle name="Note 13 3 2" xfId="60257"/>
    <cellStyle name="Note 13 4" xfId="5688"/>
    <cellStyle name="Note 13 4 2" xfId="60258"/>
    <cellStyle name="Note 13 5" xfId="5689"/>
    <cellStyle name="Note 13 5 2" xfId="60259"/>
    <cellStyle name="Note 13 6" xfId="5690"/>
    <cellStyle name="Note 13 6 2" xfId="60260"/>
    <cellStyle name="Note 13 7" xfId="5691"/>
    <cellStyle name="Note 13 7 2" xfId="60261"/>
    <cellStyle name="Note 13 8" xfId="5692"/>
    <cellStyle name="Note 13 8 2" xfId="60262"/>
    <cellStyle name="Note 13 9" xfId="5693"/>
    <cellStyle name="Note 13 9 2" xfId="60263"/>
    <cellStyle name="Note 14" xfId="5694"/>
    <cellStyle name="Note 14 10" xfId="5695"/>
    <cellStyle name="Note 14 10 2" xfId="60264"/>
    <cellStyle name="Note 14 11" xfId="5696"/>
    <cellStyle name="Note 14 12" xfId="60265"/>
    <cellStyle name="Note 14 13" xfId="60266"/>
    <cellStyle name="Note 14 2" xfId="5697"/>
    <cellStyle name="Note 14 2 10" xfId="5698"/>
    <cellStyle name="Note 14 2 2" xfId="5699"/>
    <cellStyle name="Note 14 2 2 2" xfId="60267"/>
    <cellStyle name="Note 14 2 3" xfId="5700"/>
    <cellStyle name="Note 14 2 3 2" xfId="60268"/>
    <cellStyle name="Note 14 2 4" xfId="5701"/>
    <cellStyle name="Note 14 2 4 2" xfId="60269"/>
    <cellStyle name="Note 14 2 5" xfId="5702"/>
    <cellStyle name="Note 14 2 5 2" xfId="60270"/>
    <cellStyle name="Note 14 2 6" xfId="5703"/>
    <cellStyle name="Note 14 2 6 2" xfId="60271"/>
    <cellStyle name="Note 14 2 7" xfId="5704"/>
    <cellStyle name="Note 14 2 7 2" xfId="60272"/>
    <cellStyle name="Note 14 2 8" xfId="5705"/>
    <cellStyle name="Note 14 2 8 2" xfId="60273"/>
    <cellStyle name="Note 14 2 9" xfId="5706"/>
    <cellStyle name="Note 14 2 9 2" xfId="60274"/>
    <cellStyle name="Note 14 3" xfId="5707"/>
    <cellStyle name="Note 14 3 2" xfId="60275"/>
    <cellStyle name="Note 14 4" xfId="5708"/>
    <cellStyle name="Note 14 4 2" xfId="60276"/>
    <cellStyle name="Note 14 5" xfId="5709"/>
    <cellStyle name="Note 14 5 2" xfId="60277"/>
    <cellStyle name="Note 14 6" xfId="5710"/>
    <cellStyle name="Note 14 6 2" xfId="60278"/>
    <cellStyle name="Note 14 7" xfId="5711"/>
    <cellStyle name="Note 14 7 2" xfId="60279"/>
    <cellStyle name="Note 14 8" xfId="5712"/>
    <cellStyle name="Note 14 8 2" xfId="60280"/>
    <cellStyle name="Note 14 9" xfId="5713"/>
    <cellStyle name="Note 14 9 2" xfId="60281"/>
    <cellStyle name="Note 15" xfId="5714"/>
    <cellStyle name="Note 15 10" xfId="5715"/>
    <cellStyle name="Note 15 10 2" xfId="60282"/>
    <cellStyle name="Note 15 11" xfId="5716"/>
    <cellStyle name="Note 15 12" xfId="60283"/>
    <cellStyle name="Note 15 2" xfId="5717"/>
    <cellStyle name="Note 15 2 10" xfId="5718"/>
    <cellStyle name="Note 15 2 2" xfId="5719"/>
    <cellStyle name="Note 15 2 2 2" xfId="60284"/>
    <cellStyle name="Note 15 2 3" xfId="5720"/>
    <cellStyle name="Note 15 2 3 2" xfId="60285"/>
    <cellStyle name="Note 15 2 4" xfId="5721"/>
    <cellStyle name="Note 15 2 4 2" xfId="60286"/>
    <cellStyle name="Note 15 2 5" xfId="5722"/>
    <cellStyle name="Note 15 2 5 2" xfId="60287"/>
    <cellStyle name="Note 15 2 6" xfId="5723"/>
    <cellStyle name="Note 15 2 6 2" xfId="60288"/>
    <cellStyle name="Note 15 2 7" xfId="5724"/>
    <cellStyle name="Note 15 2 7 2" xfId="60289"/>
    <cellStyle name="Note 15 2 8" xfId="5725"/>
    <cellStyle name="Note 15 2 8 2" xfId="60290"/>
    <cellStyle name="Note 15 2 9" xfId="5726"/>
    <cellStyle name="Note 15 2 9 2" xfId="60291"/>
    <cellStyle name="Note 15 3" xfId="5727"/>
    <cellStyle name="Note 15 3 2" xfId="60292"/>
    <cellStyle name="Note 15 4" xfId="5728"/>
    <cellStyle name="Note 15 4 2" xfId="60293"/>
    <cellStyle name="Note 15 5" xfId="5729"/>
    <cellStyle name="Note 15 5 2" xfId="60294"/>
    <cellStyle name="Note 15 6" xfId="5730"/>
    <cellStyle name="Note 15 6 2" xfId="60295"/>
    <cellStyle name="Note 15 7" xfId="5731"/>
    <cellStyle name="Note 15 7 2" xfId="60296"/>
    <cellStyle name="Note 15 8" xfId="5732"/>
    <cellStyle name="Note 15 8 2" xfId="60297"/>
    <cellStyle name="Note 15 9" xfId="5733"/>
    <cellStyle name="Note 15 9 2" xfId="60298"/>
    <cellStyle name="Note 16" xfId="5734"/>
    <cellStyle name="Note 16 10" xfId="5735"/>
    <cellStyle name="Note 16 10 2" xfId="60299"/>
    <cellStyle name="Note 16 11" xfId="5736"/>
    <cellStyle name="Note 16 2" xfId="5737"/>
    <cellStyle name="Note 16 2 10" xfId="5738"/>
    <cellStyle name="Note 16 2 2" xfId="5739"/>
    <cellStyle name="Note 16 2 2 2" xfId="60300"/>
    <cellStyle name="Note 16 2 3" xfId="5740"/>
    <cellStyle name="Note 16 2 3 2" xfId="60301"/>
    <cellStyle name="Note 16 2 4" xfId="5741"/>
    <cellStyle name="Note 16 2 4 2" xfId="60302"/>
    <cellStyle name="Note 16 2 5" xfId="5742"/>
    <cellStyle name="Note 16 2 5 2" xfId="60303"/>
    <cellStyle name="Note 16 2 6" xfId="5743"/>
    <cellStyle name="Note 16 2 6 2" xfId="60304"/>
    <cellStyle name="Note 16 2 7" xfId="5744"/>
    <cellStyle name="Note 16 2 7 2" xfId="60305"/>
    <cellStyle name="Note 16 2 8" xfId="5745"/>
    <cellStyle name="Note 16 2 8 2" xfId="60306"/>
    <cellStyle name="Note 16 2 9" xfId="5746"/>
    <cellStyle name="Note 16 2 9 2" xfId="60307"/>
    <cellStyle name="Note 16 3" xfId="5747"/>
    <cellStyle name="Note 16 3 2" xfId="60308"/>
    <cellStyle name="Note 16 4" xfId="5748"/>
    <cellStyle name="Note 16 4 2" xfId="60309"/>
    <cellStyle name="Note 16 5" xfId="5749"/>
    <cellStyle name="Note 16 5 2" xfId="60310"/>
    <cellStyle name="Note 16 6" xfId="5750"/>
    <cellStyle name="Note 16 6 2" xfId="60311"/>
    <cellStyle name="Note 16 7" xfId="5751"/>
    <cellStyle name="Note 16 7 2" xfId="60312"/>
    <cellStyle name="Note 16 8" xfId="5752"/>
    <cellStyle name="Note 16 8 2" xfId="60313"/>
    <cellStyle name="Note 16 9" xfId="5753"/>
    <cellStyle name="Note 16 9 2" xfId="60314"/>
    <cellStyle name="Note 17" xfId="5754"/>
    <cellStyle name="Note 17 10" xfId="5755"/>
    <cellStyle name="Note 17 10 2" xfId="60315"/>
    <cellStyle name="Note 17 11" xfId="5756"/>
    <cellStyle name="Note 17 2" xfId="5757"/>
    <cellStyle name="Note 17 2 10" xfId="5758"/>
    <cellStyle name="Note 17 2 2" xfId="5759"/>
    <cellStyle name="Note 17 2 2 2" xfId="60316"/>
    <cellStyle name="Note 17 2 3" xfId="5760"/>
    <cellStyle name="Note 17 2 3 2" xfId="60317"/>
    <cellStyle name="Note 17 2 4" xfId="5761"/>
    <cellStyle name="Note 17 2 4 2" xfId="60318"/>
    <cellStyle name="Note 17 2 5" xfId="5762"/>
    <cellStyle name="Note 17 2 5 2" xfId="60319"/>
    <cellStyle name="Note 17 2 6" xfId="5763"/>
    <cellStyle name="Note 17 2 6 2" xfId="60320"/>
    <cellStyle name="Note 17 2 7" xfId="5764"/>
    <cellStyle name="Note 17 2 7 2" xfId="60321"/>
    <cellStyle name="Note 17 2 8" xfId="5765"/>
    <cellStyle name="Note 17 2 8 2" xfId="60322"/>
    <cellStyle name="Note 17 2 9" xfId="5766"/>
    <cellStyle name="Note 17 2 9 2" xfId="60323"/>
    <cellStyle name="Note 17 3" xfId="5767"/>
    <cellStyle name="Note 17 3 2" xfId="60324"/>
    <cellStyle name="Note 17 4" xfId="5768"/>
    <cellStyle name="Note 17 4 2" xfId="60325"/>
    <cellStyle name="Note 17 5" xfId="5769"/>
    <cellStyle name="Note 17 5 2" xfId="60326"/>
    <cellStyle name="Note 17 6" xfId="5770"/>
    <cellStyle name="Note 17 6 2" xfId="60327"/>
    <cellStyle name="Note 17 7" xfId="5771"/>
    <cellStyle name="Note 17 7 2" xfId="60328"/>
    <cellStyle name="Note 17 8" xfId="5772"/>
    <cellStyle name="Note 17 8 2" xfId="60329"/>
    <cellStyle name="Note 17 9" xfId="5773"/>
    <cellStyle name="Note 17 9 2" xfId="60330"/>
    <cellStyle name="Note 18" xfId="5774"/>
    <cellStyle name="Note 18 10" xfId="5775"/>
    <cellStyle name="Note 18 10 2" xfId="60331"/>
    <cellStyle name="Note 18 11" xfId="5776"/>
    <cellStyle name="Note 18 2" xfId="5777"/>
    <cellStyle name="Note 18 2 10" xfId="5778"/>
    <cellStyle name="Note 18 2 2" xfId="5779"/>
    <cellStyle name="Note 18 2 2 2" xfId="60332"/>
    <cellStyle name="Note 18 2 3" xfId="5780"/>
    <cellStyle name="Note 18 2 3 2" xfId="60333"/>
    <cellStyle name="Note 18 2 4" xfId="5781"/>
    <cellStyle name="Note 18 2 4 2" xfId="60334"/>
    <cellStyle name="Note 18 2 5" xfId="5782"/>
    <cellStyle name="Note 18 2 5 2" xfId="60335"/>
    <cellStyle name="Note 18 2 6" xfId="5783"/>
    <cellStyle name="Note 18 2 6 2" xfId="60336"/>
    <cellStyle name="Note 18 2 7" xfId="5784"/>
    <cellStyle name="Note 18 2 7 2" xfId="60337"/>
    <cellStyle name="Note 18 2 8" xfId="5785"/>
    <cellStyle name="Note 18 2 8 2" xfId="60338"/>
    <cellStyle name="Note 18 2 9" xfId="5786"/>
    <cellStyle name="Note 18 2 9 2" xfId="60339"/>
    <cellStyle name="Note 18 3" xfId="5787"/>
    <cellStyle name="Note 18 3 2" xfId="60340"/>
    <cellStyle name="Note 18 4" xfId="5788"/>
    <cellStyle name="Note 18 4 2" xfId="60341"/>
    <cellStyle name="Note 18 5" xfId="5789"/>
    <cellStyle name="Note 18 5 2" xfId="60342"/>
    <cellStyle name="Note 18 6" xfId="5790"/>
    <cellStyle name="Note 18 6 2" xfId="60343"/>
    <cellStyle name="Note 18 7" xfId="5791"/>
    <cellStyle name="Note 18 7 2" xfId="60344"/>
    <cellStyle name="Note 18 8" xfId="5792"/>
    <cellStyle name="Note 18 8 2" xfId="60345"/>
    <cellStyle name="Note 18 9" xfId="5793"/>
    <cellStyle name="Note 18 9 2" xfId="60346"/>
    <cellStyle name="Note 19" xfId="5794"/>
    <cellStyle name="Note 19 10" xfId="5795"/>
    <cellStyle name="Note 19 10 2" xfId="60347"/>
    <cellStyle name="Note 19 11" xfId="5796"/>
    <cellStyle name="Note 19 2" xfId="5797"/>
    <cellStyle name="Note 19 2 10" xfId="5798"/>
    <cellStyle name="Note 19 2 2" xfId="5799"/>
    <cellStyle name="Note 19 2 2 2" xfId="60348"/>
    <cellStyle name="Note 19 2 3" xfId="5800"/>
    <cellStyle name="Note 19 2 3 2" xfId="60349"/>
    <cellStyle name="Note 19 2 4" xfId="5801"/>
    <cellStyle name="Note 19 2 4 2" xfId="60350"/>
    <cellStyle name="Note 19 2 5" xfId="5802"/>
    <cellStyle name="Note 19 2 5 2" xfId="60351"/>
    <cellStyle name="Note 19 2 6" xfId="5803"/>
    <cellStyle name="Note 19 2 6 2" xfId="60352"/>
    <cellStyle name="Note 19 2 7" xfId="5804"/>
    <cellStyle name="Note 19 2 7 2" xfId="60353"/>
    <cellStyle name="Note 19 2 8" xfId="5805"/>
    <cellStyle name="Note 19 2 8 2" xfId="60354"/>
    <cellStyle name="Note 19 2 9" xfId="5806"/>
    <cellStyle name="Note 19 2 9 2" xfId="60355"/>
    <cellStyle name="Note 19 3" xfId="5807"/>
    <cellStyle name="Note 19 3 2" xfId="60356"/>
    <cellStyle name="Note 19 4" xfId="5808"/>
    <cellStyle name="Note 19 4 2" xfId="60357"/>
    <cellStyle name="Note 19 5" xfId="5809"/>
    <cellStyle name="Note 19 5 2" xfId="60358"/>
    <cellStyle name="Note 19 6" xfId="5810"/>
    <cellStyle name="Note 19 6 2" xfId="60359"/>
    <cellStyle name="Note 19 7" xfId="5811"/>
    <cellStyle name="Note 19 7 2" xfId="60360"/>
    <cellStyle name="Note 19 8" xfId="5812"/>
    <cellStyle name="Note 19 8 2" xfId="60361"/>
    <cellStyle name="Note 19 9" xfId="5813"/>
    <cellStyle name="Note 19 9 2" xfId="60362"/>
    <cellStyle name="Note 2" xfId="5814"/>
    <cellStyle name="Note 2 10" xfId="5815"/>
    <cellStyle name="Note 2 10 2" xfId="60363"/>
    <cellStyle name="Note 2 11" xfId="5816"/>
    <cellStyle name="Note 2 12" xfId="5817"/>
    <cellStyle name="Note 2 12 2" xfId="60364"/>
    <cellStyle name="Note 2 12 3" xfId="60365"/>
    <cellStyle name="Note 2 12 4" xfId="60366"/>
    <cellStyle name="Note 2 13" xfId="9308"/>
    <cellStyle name="Note 2 14" xfId="60367"/>
    <cellStyle name="Note 2 15" xfId="60368"/>
    <cellStyle name="Note 2 16" xfId="60369"/>
    <cellStyle name="Note 2 2" xfId="5818"/>
    <cellStyle name="Note 2 2 10" xfId="5819"/>
    <cellStyle name="Note 2 2 11" xfId="5820"/>
    <cellStyle name="Note 2 2 12" xfId="9309"/>
    <cellStyle name="Note 2 2 2" xfId="5821"/>
    <cellStyle name="Note 2 2 2 2" xfId="5822"/>
    <cellStyle name="Note 2 2 2 2 2" xfId="5823"/>
    <cellStyle name="Note 2 2 2 2 2 2" xfId="5824"/>
    <cellStyle name="Note 2 2 2 2 2 2 2" xfId="5825"/>
    <cellStyle name="Note 2 2 2 2 2 3" xfId="5826"/>
    <cellStyle name="Note 2 2 2 2 2 4" xfId="9310"/>
    <cellStyle name="Note 2 2 2 2 3" xfId="5827"/>
    <cellStyle name="Note 2 2 2 2 3 2" xfId="5828"/>
    <cellStyle name="Note 2 2 2 2 4" xfId="5829"/>
    <cellStyle name="Note 2 2 2 2 5" xfId="9311"/>
    <cellStyle name="Note 2 2 2 3" xfId="5830"/>
    <cellStyle name="Note 2 2 2 3 2" xfId="5831"/>
    <cellStyle name="Note 2 2 2 3 2 2" xfId="5832"/>
    <cellStyle name="Note 2 2 2 3 3" xfId="5833"/>
    <cellStyle name="Note 2 2 2 3 4" xfId="9312"/>
    <cellStyle name="Note 2 2 2 4" xfId="5834"/>
    <cellStyle name="Note 2 2 2 4 2" xfId="5835"/>
    <cellStyle name="Note 2 2 2 5" xfId="5836"/>
    <cellStyle name="Note 2 2 2 6" xfId="5837"/>
    <cellStyle name="Note 2 2 2 7" xfId="9313"/>
    <cellStyle name="Note 2 2 3" xfId="5838"/>
    <cellStyle name="Note 2 2 3 2" xfId="5839"/>
    <cellStyle name="Note 2 2 3 2 2" xfId="5840"/>
    <cellStyle name="Note 2 2 3 2 2 2" xfId="5841"/>
    <cellStyle name="Note 2 2 3 2 3" xfId="5842"/>
    <cellStyle name="Note 2 2 3 2 4" xfId="9314"/>
    <cellStyle name="Note 2 2 3 2 5" xfId="60370"/>
    <cellStyle name="Note 2 2 3 3" xfId="5843"/>
    <cellStyle name="Note 2 2 3 3 2" xfId="5844"/>
    <cellStyle name="Note 2 2 3 4" xfId="5845"/>
    <cellStyle name="Note 2 2 3 5" xfId="5846"/>
    <cellStyle name="Note 2 2 3 6" xfId="9315"/>
    <cellStyle name="Note 2 2 4" xfId="5847"/>
    <cellStyle name="Note 2 2 4 2" xfId="5848"/>
    <cellStyle name="Note 2 2 4 2 2" xfId="5849"/>
    <cellStyle name="Note 2 2 4 2 3" xfId="60371"/>
    <cellStyle name="Note 2 2 4 2 4" xfId="60372"/>
    <cellStyle name="Note 2 2 4 3" xfId="5850"/>
    <cellStyle name="Note 2 2 4 4" xfId="5851"/>
    <cellStyle name="Note 2 2 4 5" xfId="9316"/>
    <cellStyle name="Note 2 2 5" xfId="5852"/>
    <cellStyle name="Note 2 2 5 2" xfId="5853"/>
    <cellStyle name="Note 2 2 5 3" xfId="5854"/>
    <cellStyle name="Note 2 2 6" xfId="5855"/>
    <cellStyle name="Note 2 2 6 2" xfId="5856"/>
    <cellStyle name="Note 2 2 7" xfId="5857"/>
    <cellStyle name="Note 2 2 7 2" xfId="60373"/>
    <cellStyle name="Note 2 2 8" xfId="5858"/>
    <cellStyle name="Note 2 2 8 2" xfId="60374"/>
    <cellStyle name="Note 2 2 9" xfId="5859"/>
    <cellStyle name="Note 2 2 9 2" xfId="60375"/>
    <cellStyle name="Note 2 3" xfId="5860"/>
    <cellStyle name="Note 2 3 2" xfId="5861"/>
    <cellStyle name="Note 2 3 2 2" xfId="5862"/>
    <cellStyle name="Note 2 3 2 2 2" xfId="5863"/>
    <cellStyle name="Note 2 3 2 2 2 2" xfId="5864"/>
    <cellStyle name="Note 2 3 2 2 3" xfId="5865"/>
    <cellStyle name="Note 2 3 2 2 4" xfId="60376"/>
    <cellStyle name="Note 2 3 2 3" xfId="5866"/>
    <cellStyle name="Note 2 3 2 3 2" xfId="5867"/>
    <cellStyle name="Note 2 3 2 4" xfId="5868"/>
    <cellStyle name="Note 2 3 2 5" xfId="60377"/>
    <cellStyle name="Note 2 3 3" xfId="5869"/>
    <cellStyle name="Note 2 3 3 2" xfId="5870"/>
    <cellStyle name="Note 2 3 3 2 2" xfId="5871"/>
    <cellStyle name="Note 2 3 3 3" xfId="5872"/>
    <cellStyle name="Note 2 3 3 4" xfId="60378"/>
    <cellStyle name="Note 2 3 3 5" xfId="60379"/>
    <cellStyle name="Note 2 3 4" xfId="5873"/>
    <cellStyle name="Note 2 3 4 2" xfId="5874"/>
    <cellStyle name="Note 2 3 5" xfId="5875"/>
    <cellStyle name="Note 2 3 6" xfId="5876"/>
    <cellStyle name="Note 2 3 7" xfId="60380"/>
    <cellStyle name="Note 2 4" xfId="5877"/>
    <cellStyle name="Note 2 4 2" xfId="5878"/>
    <cellStyle name="Note 2 4 2 2" xfId="5879"/>
    <cellStyle name="Note 2 4 2 2 2" xfId="5880"/>
    <cellStyle name="Note 2 4 2 2 3" xfId="60381"/>
    <cellStyle name="Note 2 4 2 3" xfId="5881"/>
    <cellStyle name="Note 2 4 2 4" xfId="60382"/>
    <cellStyle name="Note 2 4 2 5" xfId="60383"/>
    <cellStyle name="Note 2 4 3" xfId="5882"/>
    <cellStyle name="Note 2 4 3 2" xfId="5883"/>
    <cellStyle name="Note 2 4 3 3" xfId="60384"/>
    <cellStyle name="Note 2 4 4" xfId="5884"/>
    <cellStyle name="Note 2 4 4 2" xfId="60385"/>
    <cellStyle name="Note 2 4 5" xfId="5885"/>
    <cellStyle name="Note 2 4 6" xfId="60386"/>
    <cellStyle name="Note 2 4 7" xfId="60387"/>
    <cellStyle name="Note 2 5" xfId="5886"/>
    <cellStyle name="Note 2 5 2" xfId="5887"/>
    <cellStyle name="Note 2 5 2 2" xfId="5888"/>
    <cellStyle name="Note 2 5 2 3" xfId="60388"/>
    <cellStyle name="Note 2 5 2 4" xfId="60389"/>
    <cellStyle name="Note 2 5 2 5" xfId="60390"/>
    <cellStyle name="Note 2 5 3" xfId="5889"/>
    <cellStyle name="Note 2 5 4" xfId="5890"/>
    <cellStyle name="Note 2 5 5" xfId="60391"/>
    <cellStyle name="Note 2 6" xfId="5891"/>
    <cellStyle name="Note 2 6 2" xfId="5892"/>
    <cellStyle name="Note 2 6 2 2" xfId="60392"/>
    <cellStyle name="Note 2 6 2 3" xfId="60393"/>
    <cellStyle name="Note 2 6 2 4" xfId="60394"/>
    <cellStyle name="Note 2 6 3" xfId="5893"/>
    <cellStyle name="Note 2 6 4" xfId="60395"/>
    <cellStyle name="Note 2 6 5" xfId="60396"/>
    <cellStyle name="Note 2 7" xfId="5894"/>
    <cellStyle name="Note 2 7 2" xfId="5895"/>
    <cellStyle name="Note 2 7 2 2" xfId="60397"/>
    <cellStyle name="Note 2 7 2 3" xfId="60398"/>
    <cellStyle name="Note 2 7 2 4" xfId="60399"/>
    <cellStyle name="Note 2 7 3" xfId="60400"/>
    <cellStyle name="Note 2 7 4" xfId="60401"/>
    <cellStyle name="Note 2 7 5" xfId="60402"/>
    <cellStyle name="Note 2 8" xfId="5896"/>
    <cellStyle name="Note 2 8 2" xfId="60403"/>
    <cellStyle name="Note 2 9" xfId="5897"/>
    <cellStyle name="Note 2 9 2" xfId="60404"/>
    <cellStyle name="Note 20" xfId="5898"/>
    <cellStyle name="Note 20 10" xfId="5899"/>
    <cellStyle name="Note 20 10 2" xfId="60405"/>
    <cellStyle name="Note 20 11" xfId="5900"/>
    <cellStyle name="Note 20 2" xfId="5901"/>
    <cellStyle name="Note 20 2 10" xfId="5902"/>
    <cellStyle name="Note 20 2 2" xfId="5903"/>
    <cellStyle name="Note 20 2 2 2" xfId="60406"/>
    <cellStyle name="Note 20 2 3" xfId="5904"/>
    <cellStyle name="Note 20 2 3 2" xfId="60407"/>
    <cellStyle name="Note 20 2 4" xfId="5905"/>
    <cellStyle name="Note 20 2 4 2" xfId="60408"/>
    <cellStyle name="Note 20 2 5" xfId="5906"/>
    <cellStyle name="Note 20 2 5 2" xfId="60409"/>
    <cellStyle name="Note 20 2 6" xfId="5907"/>
    <cellStyle name="Note 20 2 6 2" xfId="60410"/>
    <cellStyle name="Note 20 2 7" xfId="5908"/>
    <cellStyle name="Note 20 2 7 2" xfId="60411"/>
    <cellStyle name="Note 20 2 8" xfId="5909"/>
    <cellStyle name="Note 20 2 8 2" xfId="60412"/>
    <cellStyle name="Note 20 2 9" xfId="5910"/>
    <cellStyle name="Note 20 2 9 2" xfId="60413"/>
    <cellStyle name="Note 20 3" xfId="5911"/>
    <cellStyle name="Note 20 3 2" xfId="60414"/>
    <cellStyle name="Note 20 4" xfId="5912"/>
    <cellStyle name="Note 20 4 2" xfId="60415"/>
    <cellStyle name="Note 20 5" xfId="5913"/>
    <cellStyle name="Note 20 5 2" xfId="60416"/>
    <cellStyle name="Note 20 6" xfId="5914"/>
    <cellStyle name="Note 20 6 2" xfId="60417"/>
    <cellStyle name="Note 20 7" xfId="5915"/>
    <cellStyle name="Note 20 7 2" xfId="60418"/>
    <cellStyle name="Note 20 8" xfId="5916"/>
    <cellStyle name="Note 20 8 2" xfId="60419"/>
    <cellStyle name="Note 20 9" xfId="5917"/>
    <cellStyle name="Note 20 9 2" xfId="60420"/>
    <cellStyle name="Note 21" xfId="5918"/>
    <cellStyle name="Note 21 10" xfId="5919"/>
    <cellStyle name="Note 21 10 2" xfId="60421"/>
    <cellStyle name="Note 21 11" xfId="5920"/>
    <cellStyle name="Note 21 2" xfId="5921"/>
    <cellStyle name="Note 21 2 10" xfId="5922"/>
    <cellStyle name="Note 21 2 2" xfId="5923"/>
    <cellStyle name="Note 21 2 2 2" xfId="60422"/>
    <cellStyle name="Note 21 2 3" xfId="5924"/>
    <cellStyle name="Note 21 2 3 2" xfId="60423"/>
    <cellStyle name="Note 21 2 4" xfId="5925"/>
    <cellStyle name="Note 21 2 4 2" xfId="60424"/>
    <cellStyle name="Note 21 2 5" xfId="5926"/>
    <cellStyle name="Note 21 2 5 2" xfId="60425"/>
    <cellStyle name="Note 21 2 6" xfId="5927"/>
    <cellStyle name="Note 21 2 6 2" xfId="60426"/>
    <cellStyle name="Note 21 2 7" xfId="5928"/>
    <cellStyle name="Note 21 2 7 2" xfId="60427"/>
    <cellStyle name="Note 21 2 8" xfId="5929"/>
    <cellStyle name="Note 21 2 8 2" xfId="60428"/>
    <cellStyle name="Note 21 2 9" xfId="5930"/>
    <cellStyle name="Note 21 2 9 2" xfId="60429"/>
    <cellStyle name="Note 21 3" xfId="5931"/>
    <cellStyle name="Note 21 3 2" xfId="60430"/>
    <cellStyle name="Note 21 4" xfId="5932"/>
    <cellStyle name="Note 21 4 2" xfId="60431"/>
    <cellStyle name="Note 21 5" xfId="5933"/>
    <cellStyle name="Note 21 5 2" xfId="60432"/>
    <cellStyle name="Note 21 6" xfId="5934"/>
    <cellStyle name="Note 21 6 2" xfId="60433"/>
    <cellStyle name="Note 21 7" xfId="5935"/>
    <cellStyle name="Note 21 7 2" xfId="60434"/>
    <cellStyle name="Note 21 8" xfId="5936"/>
    <cellStyle name="Note 21 8 2" xfId="60435"/>
    <cellStyle name="Note 21 9" xfId="5937"/>
    <cellStyle name="Note 21 9 2" xfId="60436"/>
    <cellStyle name="Note 22" xfId="5938"/>
    <cellStyle name="Note 22 10" xfId="5939"/>
    <cellStyle name="Note 22 2" xfId="5940"/>
    <cellStyle name="Note 22 2 2" xfId="60437"/>
    <cellStyle name="Note 22 3" xfId="5941"/>
    <cellStyle name="Note 22 3 2" xfId="60438"/>
    <cellStyle name="Note 22 4" xfId="5942"/>
    <cellStyle name="Note 22 4 2" xfId="60439"/>
    <cellStyle name="Note 22 5" xfId="5943"/>
    <cellStyle name="Note 22 5 2" xfId="60440"/>
    <cellStyle name="Note 22 6" xfId="5944"/>
    <cellStyle name="Note 22 6 2" xfId="60441"/>
    <cellStyle name="Note 22 7" xfId="5945"/>
    <cellStyle name="Note 22 7 2" xfId="60442"/>
    <cellStyle name="Note 22 8" xfId="5946"/>
    <cellStyle name="Note 22 8 2" xfId="60443"/>
    <cellStyle name="Note 22 9" xfId="5947"/>
    <cellStyle name="Note 22 9 2" xfId="60444"/>
    <cellStyle name="Note 23" xfId="5948"/>
    <cellStyle name="Note 23 2" xfId="60445"/>
    <cellStyle name="Note 23 2 2" xfId="60446"/>
    <cellStyle name="Note 23 3" xfId="60447"/>
    <cellStyle name="Note 23 4" xfId="60448"/>
    <cellStyle name="Note 24" xfId="9317"/>
    <cellStyle name="Note 3" xfId="5949"/>
    <cellStyle name="Note 3 10" xfId="5950"/>
    <cellStyle name="Note 3 10 2" xfId="60449"/>
    <cellStyle name="Note 3 11" xfId="5951"/>
    <cellStyle name="Note 3 12" xfId="5952"/>
    <cellStyle name="Note 3 13" xfId="9318"/>
    <cellStyle name="Note 3 2" xfId="5953"/>
    <cellStyle name="Note 3 2 10" xfId="5954"/>
    <cellStyle name="Note 3 2 11" xfId="5955"/>
    <cellStyle name="Note 3 2 12" xfId="60450"/>
    <cellStyle name="Note 3 2 2" xfId="5956"/>
    <cellStyle name="Note 3 2 2 2" xfId="5957"/>
    <cellStyle name="Note 3 2 2 2 2" xfId="5958"/>
    <cellStyle name="Note 3 2 2 2 2 2" xfId="5959"/>
    <cellStyle name="Note 3 2 2 2 2 2 2" xfId="5960"/>
    <cellStyle name="Note 3 2 2 2 2 3" xfId="5961"/>
    <cellStyle name="Note 3 2 2 2 3" xfId="5962"/>
    <cellStyle name="Note 3 2 2 2 3 2" xfId="5963"/>
    <cellStyle name="Note 3 2 2 2 4" xfId="5964"/>
    <cellStyle name="Note 3 2 2 3" xfId="5965"/>
    <cellStyle name="Note 3 2 2 3 2" xfId="5966"/>
    <cellStyle name="Note 3 2 2 3 2 2" xfId="5967"/>
    <cellStyle name="Note 3 2 2 3 3" xfId="5968"/>
    <cellStyle name="Note 3 2 2 4" xfId="5969"/>
    <cellStyle name="Note 3 2 2 4 2" xfId="5970"/>
    <cellStyle name="Note 3 2 2 5" xfId="5971"/>
    <cellStyle name="Note 3 2 2 6" xfId="5972"/>
    <cellStyle name="Note 3 2 3" xfId="5973"/>
    <cellStyle name="Note 3 2 3 2" xfId="5974"/>
    <cellStyle name="Note 3 2 3 2 2" xfId="5975"/>
    <cellStyle name="Note 3 2 3 2 2 2" xfId="5976"/>
    <cellStyle name="Note 3 2 3 2 3" xfId="5977"/>
    <cellStyle name="Note 3 2 3 3" xfId="5978"/>
    <cellStyle name="Note 3 2 3 3 2" xfId="5979"/>
    <cellStyle name="Note 3 2 3 4" xfId="5980"/>
    <cellStyle name="Note 3 2 3 5" xfId="5981"/>
    <cellStyle name="Note 3 2 4" xfId="5982"/>
    <cellStyle name="Note 3 2 4 2" xfId="5983"/>
    <cellStyle name="Note 3 2 4 2 2" xfId="5984"/>
    <cellStyle name="Note 3 2 4 3" xfId="5985"/>
    <cellStyle name="Note 3 2 4 4" xfId="5986"/>
    <cellStyle name="Note 3 2 5" xfId="5987"/>
    <cellStyle name="Note 3 2 5 2" xfId="5988"/>
    <cellStyle name="Note 3 2 5 3" xfId="5989"/>
    <cellStyle name="Note 3 2 6" xfId="5990"/>
    <cellStyle name="Note 3 2 6 2" xfId="5991"/>
    <cellStyle name="Note 3 2 7" xfId="5992"/>
    <cellStyle name="Note 3 2 7 2" xfId="60451"/>
    <cellStyle name="Note 3 2 8" xfId="5993"/>
    <cellStyle name="Note 3 2 8 2" xfId="60452"/>
    <cellStyle name="Note 3 2 9" xfId="5994"/>
    <cellStyle name="Note 3 2 9 2" xfId="60453"/>
    <cellStyle name="Note 3 3" xfId="5995"/>
    <cellStyle name="Note 3 3 2" xfId="5996"/>
    <cellStyle name="Note 3 3 2 2" xfId="5997"/>
    <cellStyle name="Note 3 3 2 2 2" xfId="5998"/>
    <cellStyle name="Note 3 3 2 2 2 2" xfId="5999"/>
    <cellStyle name="Note 3 3 2 2 3" xfId="6000"/>
    <cellStyle name="Note 3 3 2 3" xfId="6001"/>
    <cellStyle name="Note 3 3 2 3 2" xfId="6002"/>
    <cellStyle name="Note 3 3 2 4" xfId="6003"/>
    <cellStyle name="Note 3 3 3" xfId="6004"/>
    <cellStyle name="Note 3 3 3 2" xfId="6005"/>
    <cellStyle name="Note 3 3 3 2 2" xfId="6006"/>
    <cellStyle name="Note 3 3 3 3" xfId="6007"/>
    <cellStyle name="Note 3 3 4" xfId="6008"/>
    <cellStyle name="Note 3 3 4 2" xfId="6009"/>
    <cellStyle name="Note 3 3 5" xfId="6010"/>
    <cellStyle name="Note 3 3 6" xfId="6011"/>
    <cellStyle name="Note 3 3 7" xfId="60454"/>
    <cellStyle name="Note 3 4" xfId="6012"/>
    <cellStyle name="Note 3 4 2" xfId="6013"/>
    <cellStyle name="Note 3 4 2 2" xfId="6014"/>
    <cellStyle name="Note 3 4 2 2 2" xfId="6015"/>
    <cellStyle name="Note 3 4 2 3" xfId="6016"/>
    <cellStyle name="Note 3 4 2 4" xfId="60455"/>
    <cellStyle name="Note 3 4 3" xfId="6017"/>
    <cellStyle name="Note 3 4 3 2" xfId="6018"/>
    <cellStyle name="Note 3 4 4" xfId="6019"/>
    <cellStyle name="Note 3 4 5" xfId="6020"/>
    <cellStyle name="Note 3 5" xfId="6021"/>
    <cellStyle name="Note 3 5 2" xfId="6022"/>
    <cellStyle name="Note 3 5 2 2" xfId="6023"/>
    <cellStyle name="Note 3 5 3" xfId="6024"/>
    <cellStyle name="Note 3 5 4" xfId="6025"/>
    <cellStyle name="Note 3 6" xfId="6026"/>
    <cellStyle name="Note 3 6 2" xfId="6027"/>
    <cellStyle name="Note 3 6 3" xfId="6028"/>
    <cellStyle name="Note 3 7" xfId="6029"/>
    <cellStyle name="Note 3 7 2" xfId="6030"/>
    <cellStyle name="Note 3 8" xfId="6031"/>
    <cellStyle name="Note 3 8 2" xfId="60456"/>
    <cellStyle name="Note 3 9" xfId="6032"/>
    <cellStyle name="Note 3 9 2" xfId="60457"/>
    <cellStyle name="Note 4" xfId="6033"/>
    <cellStyle name="Note 4 10" xfId="6034"/>
    <cellStyle name="Note 4 10 2" xfId="60458"/>
    <cellStyle name="Note 4 11" xfId="6035"/>
    <cellStyle name="Note 4 12" xfId="6036"/>
    <cellStyle name="Note 4 13" xfId="9319"/>
    <cellStyle name="Note 4 2" xfId="6037"/>
    <cellStyle name="Note 4 2 10" xfId="6038"/>
    <cellStyle name="Note 4 2 11" xfId="6039"/>
    <cellStyle name="Note 4 2 12" xfId="9320"/>
    <cellStyle name="Note 4 2 2" xfId="6040"/>
    <cellStyle name="Note 4 2 2 2" xfId="6041"/>
    <cellStyle name="Note 4 2 2 2 2" xfId="6042"/>
    <cellStyle name="Note 4 2 2 2 2 2" xfId="6043"/>
    <cellStyle name="Note 4 2 2 2 2 2 2" xfId="6044"/>
    <cellStyle name="Note 4 2 2 2 2 3" xfId="6045"/>
    <cellStyle name="Note 4 2 2 2 3" xfId="6046"/>
    <cellStyle name="Note 4 2 2 2 3 2" xfId="6047"/>
    <cellStyle name="Note 4 2 2 2 4" xfId="6048"/>
    <cellStyle name="Note 4 2 2 2 5" xfId="9321"/>
    <cellStyle name="Note 4 2 2 3" xfId="6049"/>
    <cellStyle name="Note 4 2 2 3 2" xfId="6050"/>
    <cellStyle name="Note 4 2 2 3 2 2" xfId="6051"/>
    <cellStyle name="Note 4 2 2 3 3" xfId="6052"/>
    <cellStyle name="Note 4 2 2 4" xfId="6053"/>
    <cellStyle name="Note 4 2 2 4 2" xfId="6054"/>
    <cellStyle name="Note 4 2 2 5" xfId="6055"/>
    <cellStyle name="Note 4 2 2 6" xfId="6056"/>
    <cellStyle name="Note 4 2 2 7" xfId="9322"/>
    <cellStyle name="Note 4 2 3" xfId="6057"/>
    <cellStyle name="Note 4 2 3 2" xfId="6058"/>
    <cellStyle name="Note 4 2 3 2 2" xfId="6059"/>
    <cellStyle name="Note 4 2 3 2 2 2" xfId="6060"/>
    <cellStyle name="Note 4 2 3 2 3" xfId="6061"/>
    <cellStyle name="Note 4 2 3 3" xfId="6062"/>
    <cellStyle name="Note 4 2 3 3 2" xfId="6063"/>
    <cellStyle name="Note 4 2 3 4" xfId="6064"/>
    <cellStyle name="Note 4 2 3 5" xfId="6065"/>
    <cellStyle name="Note 4 2 3 6" xfId="9323"/>
    <cellStyle name="Note 4 2 4" xfId="6066"/>
    <cellStyle name="Note 4 2 4 2" xfId="6067"/>
    <cellStyle name="Note 4 2 4 2 2" xfId="6068"/>
    <cellStyle name="Note 4 2 4 3" xfId="6069"/>
    <cellStyle name="Note 4 2 4 4" xfId="6070"/>
    <cellStyle name="Note 4 2 5" xfId="6071"/>
    <cellStyle name="Note 4 2 5 2" xfId="6072"/>
    <cellStyle name="Note 4 2 5 3" xfId="6073"/>
    <cellStyle name="Note 4 2 6" xfId="6074"/>
    <cellStyle name="Note 4 2 6 2" xfId="6075"/>
    <cellStyle name="Note 4 2 7" xfId="6076"/>
    <cellStyle name="Note 4 2 7 2" xfId="60459"/>
    <cellStyle name="Note 4 2 8" xfId="6077"/>
    <cellStyle name="Note 4 2 8 2" xfId="60460"/>
    <cellStyle name="Note 4 2 9" xfId="6078"/>
    <cellStyle name="Note 4 2 9 2" xfId="60461"/>
    <cellStyle name="Note 4 3" xfId="6079"/>
    <cellStyle name="Note 4 3 2" xfId="6080"/>
    <cellStyle name="Note 4 3 2 2" xfId="6081"/>
    <cellStyle name="Note 4 3 2 2 2" xfId="6082"/>
    <cellStyle name="Note 4 3 2 2 2 2" xfId="6083"/>
    <cellStyle name="Note 4 3 2 2 3" xfId="6084"/>
    <cellStyle name="Note 4 3 2 3" xfId="6085"/>
    <cellStyle name="Note 4 3 2 3 2" xfId="6086"/>
    <cellStyle name="Note 4 3 2 4" xfId="6087"/>
    <cellStyle name="Note 4 3 2 5" xfId="9324"/>
    <cellStyle name="Note 4 3 3" xfId="6088"/>
    <cellStyle name="Note 4 3 3 2" xfId="6089"/>
    <cellStyle name="Note 4 3 3 2 2" xfId="6090"/>
    <cellStyle name="Note 4 3 3 3" xfId="6091"/>
    <cellStyle name="Note 4 3 4" xfId="6092"/>
    <cellStyle name="Note 4 3 4 2" xfId="6093"/>
    <cellStyle name="Note 4 3 5" xfId="6094"/>
    <cellStyle name="Note 4 3 6" xfId="6095"/>
    <cellStyle name="Note 4 3 7" xfId="9325"/>
    <cellStyle name="Note 4 4" xfId="6096"/>
    <cellStyle name="Note 4 4 2" xfId="6097"/>
    <cellStyle name="Note 4 4 2 2" xfId="6098"/>
    <cellStyle name="Note 4 4 2 2 2" xfId="6099"/>
    <cellStyle name="Note 4 4 2 3" xfId="6100"/>
    <cellStyle name="Note 4 4 3" xfId="6101"/>
    <cellStyle name="Note 4 4 3 2" xfId="6102"/>
    <cellStyle name="Note 4 4 4" xfId="6103"/>
    <cellStyle name="Note 4 4 5" xfId="6104"/>
    <cellStyle name="Note 4 4 6" xfId="9326"/>
    <cellStyle name="Note 4 5" xfId="6105"/>
    <cellStyle name="Note 4 5 2" xfId="6106"/>
    <cellStyle name="Note 4 5 2 2" xfId="6107"/>
    <cellStyle name="Note 4 5 3" xfId="6108"/>
    <cellStyle name="Note 4 5 4" xfId="6109"/>
    <cellStyle name="Note 4 6" xfId="6110"/>
    <cellStyle name="Note 4 6 2" xfId="6111"/>
    <cellStyle name="Note 4 6 3" xfId="6112"/>
    <cellStyle name="Note 4 7" xfId="6113"/>
    <cellStyle name="Note 4 7 2" xfId="6114"/>
    <cellStyle name="Note 4 8" xfId="6115"/>
    <cellStyle name="Note 4 8 2" xfId="60462"/>
    <cellStyle name="Note 4 9" xfId="6116"/>
    <cellStyle name="Note 4 9 2" xfId="60463"/>
    <cellStyle name="Note 5" xfId="6117"/>
    <cellStyle name="Note 5 10" xfId="6118"/>
    <cellStyle name="Note 5 10 2" xfId="56127"/>
    <cellStyle name="Note 5 10 2 2" xfId="56128"/>
    <cellStyle name="Note 5 10 2 3" xfId="56129"/>
    <cellStyle name="Note 5 10 3" xfId="56130"/>
    <cellStyle name="Note 5 10 3 2" xfId="56131"/>
    <cellStyle name="Note 5 10 4" xfId="56132"/>
    <cellStyle name="Note 5 10 5" xfId="56133"/>
    <cellStyle name="Note 5 11" xfId="6119"/>
    <cellStyle name="Note 5 11 2" xfId="56134"/>
    <cellStyle name="Note 5 11 3" xfId="56135"/>
    <cellStyle name="Note 5 12" xfId="6120"/>
    <cellStyle name="Note 5 12 2" xfId="56136"/>
    <cellStyle name="Note 5 12 3" xfId="56137"/>
    <cellStyle name="Note 5 13" xfId="9327"/>
    <cellStyle name="Note 5 13 2" xfId="56138"/>
    <cellStyle name="Note 5 14" xfId="56139"/>
    <cellStyle name="Note 5 15" xfId="56140"/>
    <cellStyle name="Note 5 16" xfId="56141"/>
    <cellStyle name="Note 5 2" xfId="6121"/>
    <cellStyle name="Note 5 2 10" xfId="6122"/>
    <cellStyle name="Note 5 2 10 2" xfId="56142"/>
    <cellStyle name="Note 5 2 10 3" xfId="56143"/>
    <cellStyle name="Note 5 2 11" xfId="6123"/>
    <cellStyle name="Note 5 2 11 2" xfId="56144"/>
    <cellStyle name="Note 5 2 11 3" xfId="56145"/>
    <cellStyle name="Note 5 2 12" xfId="9328"/>
    <cellStyle name="Note 5 2 12 2" xfId="56146"/>
    <cellStyle name="Note 5 2 13" xfId="56147"/>
    <cellStyle name="Note 5 2 14" xfId="56148"/>
    <cellStyle name="Note 5 2 15" xfId="56149"/>
    <cellStyle name="Note 5 2 2" xfId="6124"/>
    <cellStyle name="Note 5 2 2 10" xfId="56150"/>
    <cellStyle name="Note 5 2 2 10 2" xfId="56151"/>
    <cellStyle name="Note 5 2 2 10 3" xfId="56152"/>
    <cellStyle name="Note 5 2 2 11" xfId="56153"/>
    <cellStyle name="Note 5 2 2 11 2" xfId="56154"/>
    <cellStyle name="Note 5 2 2 12" xfId="56155"/>
    <cellStyle name="Note 5 2 2 13" xfId="56156"/>
    <cellStyle name="Note 5 2 2 2" xfId="6125"/>
    <cellStyle name="Note 5 2 2 2 10" xfId="56157"/>
    <cellStyle name="Note 5 2 2 2 10 2" xfId="56158"/>
    <cellStyle name="Note 5 2 2 2 11" xfId="56159"/>
    <cellStyle name="Note 5 2 2 2 12" xfId="56160"/>
    <cellStyle name="Note 5 2 2 2 2" xfId="9329"/>
    <cellStyle name="Note 5 2 2 2 2 10" xfId="56161"/>
    <cellStyle name="Note 5 2 2 2 2 2" xfId="56162"/>
    <cellStyle name="Note 5 2 2 2 2 2 2" xfId="56163"/>
    <cellStyle name="Note 5 2 2 2 2 2 2 2" xfId="56164"/>
    <cellStyle name="Note 5 2 2 2 2 2 2 2 2" xfId="56165"/>
    <cellStyle name="Note 5 2 2 2 2 2 2 2 3" xfId="56166"/>
    <cellStyle name="Note 5 2 2 2 2 2 2 3" xfId="56167"/>
    <cellStyle name="Note 5 2 2 2 2 2 2 3 2" xfId="56168"/>
    <cellStyle name="Note 5 2 2 2 2 2 2 3 3" xfId="56169"/>
    <cellStyle name="Note 5 2 2 2 2 2 2 4" xfId="56170"/>
    <cellStyle name="Note 5 2 2 2 2 2 2 4 2" xfId="56171"/>
    <cellStyle name="Note 5 2 2 2 2 2 2 5" xfId="56172"/>
    <cellStyle name="Note 5 2 2 2 2 2 2 6" xfId="56173"/>
    <cellStyle name="Note 5 2 2 2 2 2 3" xfId="56174"/>
    <cellStyle name="Note 5 2 2 2 2 2 3 2" xfId="56175"/>
    <cellStyle name="Note 5 2 2 2 2 2 3 2 2" xfId="56176"/>
    <cellStyle name="Note 5 2 2 2 2 2 3 2 3" xfId="56177"/>
    <cellStyle name="Note 5 2 2 2 2 2 3 3" xfId="56178"/>
    <cellStyle name="Note 5 2 2 2 2 2 3 3 2" xfId="56179"/>
    <cellStyle name="Note 5 2 2 2 2 2 3 3 3" xfId="56180"/>
    <cellStyle name="Note 5 2 2 2 2 2 3 4" xfId="56181"/>
    <cellStyle name="Note 5 2 2 2 2 2 3 4 2" xfId="56182"/>
    <cellStyle name="Note 5 2 2 2 2 2 3 5" xfId="56183"/>
    <cellStyle name="Note 5 2 2 2 2 2 3 6" xfId="56184"/>
    <cellStyle name="Note 5 2 2 2 2 2 4" xfId="56185"/>
    <cellStyle name="Note 5 2 2 2 2 2 4 2" xfId="56186"/>
    <cellStyle name="Note 5 2 2 2 2 2 4 2 2" xfId="56187"/>
    <cellStyle name="Note 5 2 2 2 2 2 4 2 3" xfId="56188"/>
    <cellStyle name="Note 5 2 2 2 2 2 4 3" xfId="56189"/>
    <cellStyle name="Note 5 2 2 2 2 2 4 3 2" xfId="56190"/>
    <cellStyle name="Note 5 2 2 2 2 2 4 4" xfId="56191"/>
    <cellStyle name="Note 5 2 2 2 2 2 4 5" xfId="56192"/>
    <cellStyle name="Note 5 2 2 2 2 2 5" xfId="56193"/>
    <cellStyle name="Note 5 2 2 2 2 2 5 2" xfId="56194"/>
    <cellStyle name="Note 5 2 2 2 2 2 5 3" xfId="56195"/>
    <cellStyle name="Note 5 2 2 2 2 2 6" xfId="56196"/>
    <cellStyle name="Note 5 2 2 2 2 2 6 2" xfId="56197"/>
    <cellStyle name="Note 5 2 2 2 2 2 6 3" xfId="56198"/>
    <cellStyle name="Note 5 2 2 2 2 2 7" xfId="56199"/>
    <cellStyle name="Note 5 2 2 2 2 2 7 2" xfId="56200"/>
    <cellStyle name="Note 5 2 2 2 2 2 8" xfId="56201"/>
    <cellStyle name="Note 5 2 2 2 2 2 9" xfId="56202"/>
    <cellStyle name="Note 5 2 2 2 2 3" xfId="56203"/>
    <cellStyle name="Note 5 2 2 2 2 3 2" xfId="56204"/>
    <cellStyle name="Note 5 2 2 2 2 3 2 2" xfId="56205"/>
    <cellStyle name="Note 5 2 2 2 2 3 2 3" xfId="56206"/>
    <cellStyle name="Note 5 2 2 2 2 3 3" xfId="56207"/>
    <cellStyle name="Note 5 2 2 2 2 3 3 2" xfId="56208"/>
    <cellStyle name="Note 5 2 2 2 2 3 3 3" xfId="56209"/>
    <cellStyle name="Note 5 2 2 2 2 3 4" xfId="56210"/>
    <cellStyle name="Note 5 2 2 2 2 3 4 2" xfId="56211"/>
    <cellStyle name="Note 5 2 2 2 2 3 5" xfId="56212"/>
    <cellStyle name="Note 5 2 2 2 2 3 6" xfId="56213"/>
    <cellStyle name="Note 5 2 2 2 2 4" xfId="56214"/>
    <cellStyle name="Note 5 2 2 2 2 4 2" xfId="56215"/>
    <cellStyle name="Note 5 2 2 2 2 4 2 2" xfId="56216"/>
    <cellStyle name="Note 5 2 2 2 2 4 2 3" xfId="56217"/>
    <cellStyle name="Note 5 2 2 2 2 4 3" xfId="56218"/>
    <cellStyle name="Note 5 2 2 2 2 4 3 2" xfId="56219"/>
    <cellStyle name="Note 5 2 2 2 2 4 3 3" xfId="56220"/>
    <cellStyle name="Note 5 2 2 2 2 4 4" xfId="56221"/>
    <cellStyle name="Note 5 2 2 2 2 4 4 2" xfId="56222"/>
    <cellStyle name="Note 5 2 2 2 2 4 5" xfId="56223"/>
    <cellStyle name="Note 5 2 2 2 2 4 6" xfId="56224"/>
    <cellStyle name="Note 5 2 2 2 2 5" xfId="56225"/>
    <cellStyle name="Note 5 2 2 2 2 5 2" xfId="56226"/>
    <cellStyle name="Note 5 2 2 2 2 5 2 2" xfId="56227"/>
    <cellStyle name="Note 5 2 2 2 2 5 2 3" xfId="56228"/>
    <cellStyle name="Note 5 2 2 2 2 5 3" xfId="56229"/>
    <cellStyle name="Note 5 2 2 2 2 5 3 2" xfId="56230"/>
    <cellStyle name="Note 5 2 2 2 2 5 4" xfId="56231"/>
    <cellStyle name="Note 5 2 2 2 2 5 5" xfId="56232"/>
    <cellStyle name="Note 5 2 2 2 2 6" xfId="56233"/>
    <cellStyle name="Note 5 2 2 2 2 6 2" xfId="56234"/>
    <cellStyle name="Note 5 2 2 2 2 6 3" xfId="56235"/>
    <cellStyle name="Note 5 2 2 2 2 7" xfId="56236"/>
    <cellStyle name="Note 5 2 2 2 2 7 2" xfId="56237"/>
    <cellStyle name="Note 5 2 2 2 2 7 3" xfId="56238"/>
    <cellStyle name="Note 5 2 2 2 2 8" xfId="56239"/>
    <cellStyle name="Note 5 2 2 2 2 8 2" xfId="56240"/>
    <cellStyle name="Note 5 2 2 2 2 9" xfId="56241"/>
    <cellStyle name="Note 5 2 2 2 3" xfId="56242"/>
    <cellStyle name="Note 5 2 2 2 3 2" xfId="56243"/>
    <cellStyle name="Note 5 2 2 2 3 2 2" xfId="56244"/>
    <cellStyle name="Note 5 2 2 2 3 2 2 2" xfId="56245"/>
    <cellStyle name="Note 5 2 2 2 3 2 2 3" xfId="56246"/>
    <cellStyle name="Note 5 2 2 2 3 2 3" xfId="56247"/>
    <cellStyle name="Note 5 2 2 2 3 2 3 2" xfId="56248"/>
    <cellStyle name="Note 5 2 2 2 3 2 3 3" xfId="56249"/>
    <cellStyle name="Note 5 2 2 2 3 2 4" xfId="56250"/>
    <cellStyle name="Note 5 2 2 2 3 2 4 2" xfId="56251"/>
    <cellStyle name="Note 5 2 2 2 3 2 5" xfId="56252"/>
    <cellStyle name="Note 5 2 2 2 3 2 6" xfId="56253"/>
    <cellStyle name="Note 5 2 2 2 3 3" xfId="56254"/>
    <cellStyle name="Note 5 2 2 2 3 3 2" xfId="56255"/>
    <cellStyle name="Note 5 2 2 2 3 3 2 2" xfId="56256"/>
    <cellStyle name="Note 5 2 2 2 3 3 2 3" xfId="56257"/>
    <cellStyle name="Note 5 2 2 2 3 3 3" xfId="56258"/>
    <cellStyle name="Note 5 2 2 2 3 3 3 2" xfId="56259"/>
    <cellStyle name="Note 5 2 2 2 3 3 3 3" xfId="56260"/>
    <cellStyle name="Note 5 2 2 2 3 3 4" xfId="56261"/>
    <cellStyle name="Note 5 2 2 2 3 3 4 2" xfId="56262"/>
    <cellStyle name="Note 5 2 2 2 3 3 5" xfId="56263"/>
    <cellStyle name="Note 5 2 2 2 3 3 6" xfId="56264"/>
    <cellStyle name="Note 5 2 2 2 3 4" xfId="56265"/>
    <cellStyle name="Note 5 2 2 2 3 4 2" xfId="56266"/>
    <cellStyle name="Note 5 2 2 2 3 4 2 2" xfId="56267"/>
    <cellStyle name="Note 5 2 2 2 3 4 2 3" xfId="56268"/>
    <cellStyle name="Note 5 2 2 2 3 4 3" xfId="56269"/>
    <cellStyle name="Note 5 2 2 2 3 4 3 2" xfId="56270"/>
    <cellStyle name="Note 5 2 2 2 3 4 4" xfId="56271"/>
    <cellStyle name="Note 5 2 2 2 3 4 5" xfId="56272"/>
    <cellStyle name="Note 5 2 2 2 3 5" xfId="56273"/>
    <cellStyle name="Note 5 2 2 2 3 5 2" xfId="56274"/>
    <cellStyle name="Note 5 2 2 2 3 5 3" xfId="56275"/>
    <cellStyle name="Note 5 2 2 2 3 6" xfId="56276"/>
    <cellStyle name="Note 5 2 2 2 3 6 2" xfId="56277"/>
    <cellStyle name="Note 5 2 2 2 3 6 3" xfId="56278"/>
    <cellStyle name="Note 5 2 2 2 3 7" xfId="56279"/>
    <cellStyle name="Note 5 2 2 2 3 7 2" xfId="56280"/>
    <cellStyle name="Note 5 2 2 2 3 8" xfId="56281"/>
    <cellStyle name="Note 5 2 2 2 3 9" xfId="56282"/>
    <cellStyle name="Note 5 2 2 2 4" xfId="56283"/>
    <cellStyle name="Note 5 2 2 2 4 2" xfId="56284"/>
    <cellStyle name="Note 5 2 2 2 4 2 2" xfId="56285"/>
    <cellStyle name="Note 5 2 2 2 4 2 2 2" xfId="56286"/>
    <cellStyle name="Note 5 2 2 2 4 2 2 3" xfId="56287"/>
    <cellStyle name="Note 5 2 2 2 4 2 3" xfId="56288"/>
    <cellStyle name="Note 5 2 2 2 4 2 3 2" xfId="56289"/>
    <cellStyle name="Note 5 2 2 2 4 2 3 3" xfId="56290"/>
    <cellStyle name="Note 5 2 2 2 4 2 4" xfId="56291"/>
    <cellStyle name="Note 5 2 2 2 4 2 4 2" xfId="56292"/>
    <cellStyle name="Note 5 2 2 2 4 2 5" xfId="56293"/>
    <cellStyle name="Note 5 2 2 2 4 2 6" xfId="56294"/>
    <cellStyle name="Note 5 2 2 2 4 3" xfId="56295"/>
    <cellStyle name="Note 5 2 2 2 4 3 2" xfId="56296"/>
    <cellStyle name="Note 5 2 2 2 4 3 2 2" xfId="56297"/>
    <cellStyle name="Note 5 2 2 2 4 3 2 3" xfId="56298"/>
    <cellStyle name="Note 5 2 2 2 4 3 3" xfId="56299"/>
    <cellStyle name="Note 5 2 2 2 4 3 3 2" xfId="56300"/>
    <cellStyle name="Note 5 2 2 2 4 3 3 3" xfId="56301"/>
    <cellStyle name="Note 5 2 2 2 4 3 4" xfId="56302"/>
    <cellStyle name="Note 5 2 2 2 4 3 4 2" xfId="56303"/>
    <cellStyle name="Note 5 2 2 2 4 3 5" xfId="56304"/>
    <cellStyle name="Note 5 2 2 2 4 3 6" xfId="56305"/>
    <cellStyle name="Note 5 2 2 2 4 4" xfId="56306"/>
    <cellStyle name="Note 5 2 2 2 4 4 2" xfId="56307"/>
    <cellStyle name="Note 5 2 2 2 4 4 2 2" xfId="56308"/>
    <cellStyle name="Note 5 2 2 2 4 4 2 3" xfId="56309"/>
    <cellStyle name="Note 5 2 2 2 4 4 3" xfId="56310"/>
    <cellStyle name="Note 5 2 2 2 4 4 3 2" xfId="56311"/>
    <cellStyle name="Note 5 2 2 2 4 4 4" xfId="56312"/>
    <cellStyle name="Note 5 2 2 2 4 4 5" xfId="56313"/>
    <cellStyle name="Note 5 2 2 2 4 5" xfId="56314"/>
    <cellStyle name="Note 5 2 2 2 4 5 2" xfId="56315"/>
    <cellStyle name="Note 5 2 2 2 4 5 3" xfId="56316"/>
    <cellStyle name="Note 5 2 2 2 4 6" xfId="56317"/>
    <cellStyle name="Note 5 2 2 2 4 6 2" xfId="56318"/>
    <cellStyle name="Note 5 2 2 2 4 6 3" xfId="56319"/>
    <cellStyle name="Note 5 2 2 2 4 7" xfId="56320"/>
    <cellStyle name="Note 5 2 2 2 4 7 2" xfId="56321"/>
    <cellStyle name="Note 5 2 2 2 4 8" xfId="56322"/>
    <cellStyle name="Note 5 2 2 2 4 9" xfId="56323"/>
    <cellStyle name="Note 5 2 2 2 5" xfId="56324"/>
    <cellStyle name="Note 5 2 2 2 5 2" xfId="56325"/>
    <cellStyle name="Note 5 2 2 2 5 2 2" xfId="56326"/>
    <cellStyle name="Note 5 2 2 2 5 2 3" xfId="56327"/>
    <cellStyle name="Note 5 2 2 2 5 3" xfId="56328"/>
    <cellStyle name="Note 5 2 2 2 5 3 2" xfId="56329"/>
    <cellStyle name="Note 5 2 2 2 5 3 3" xfId="56330"/>
    <cellStyle name="Note 5 2 2 2 5 4" xfId="56331"/>
    <cellStyle name="Note 5 2 2 2 5 4 2" xfId="56332"/>
    <cellStyle name="Note 5 2 2 2 5 5" xfId="56333"/>
    <cellStyle name="Note 5 2 2 2 5 6" xfId="56334"/>
    <cellStyle name="Note 5 2 2 2 6" xfId="56335"/>
    <cellStyle name="Note 5 2 2 2 6 2" xfId="56336"/>
    <cellStyle name="Note 5 2 2 2 6 2 2" xfId="56337"/>
    <cellStyle name="Note 5 2 2 2 6 2 3" xfId="56338"/>
    <cellStyle name="Note 5 2 2 2 6 3" xfId="56339"/>
    <cellStyle name="Note 5 2 2 2 6 3 2" xfId="56340"/>
    <cellStyle name="Note 5 2 2 2 6 3 3" xfId="56341"/>
    <cellStyle name="Note 5 2 2 2 6 4" xfId="56342"/>
    <cellStyle name="Note 5 2 2 2 6 4 2" xfId="56343"/>
    <cellStyle name="Note 5 2 2 2 6 5" xfId="56344"/>
    <cellStyle name="Note 5 2 2 2 6 6" xfId="56345"/>
    <cellStyle name="Note 5 2 2 2 7" xfId="56346"/>
    <cellStyle name="Note 5 2 2 2 7 2" xfId="56347"/>
    <cellStyle name="Note 5 2 2 2 7 2 2" xfId="56348"/>
    <cellStyle name="Note 5 2 2 2 7 2 3" xfId="56349"/>
    <cellStyle name="Note 5 2 2 2 7 3" xfId="56350"/>
    <cellStyle name="Note 5 2 2 2 7 3 2" xfId="56351"/>
    <cellStyle name="Note 5 2 2 2 7 4" xfId="56352"/>
    <cellStyle name="Note 5 2 2 2 7 5" xfId="56353"/>
    <cellStyle name="Note 5 2 2 2 8" xfId="56354"/>
    <cellStyle name="Note 5 2 2 2 8 2" xfId="56355"/>
    <cellStyle name="Note 5 2 2 2 8 3" xfId="56356"/>
    <cellStyle name="Note 5 2 2 2 9" xfId="56357"/>
    <cellStyle name="Note 5 2 2 2 9 2" xfId="56358"/>
    <cellStyle name="Note 5 2 2 2 9 3" xfId="56359"/>
    <cellStyle name="Note 5 2 2 3" xfId="6126"/>
    <cellStyle name="Note 5 2 2 3 10" xfId="56360"/>
    <cellStyle name="Note 5 2 2 3 2" xfId="56361"/>
    <cellStyle name="Note 5 2 2 3 2 2" xfId="56362"/>
    <cellStyle name="Note 5 2 2 3 2 2 2" xfId="56363"/>
    <cellStyle name="Note 5 2 2 3 2 2 2 2" xfId="56364"/>
    <cellStyle name="Note 5 2 2 3 2 2 2 3" xfId="56365"/>
    <cellStyle name="Note 5 2 2 3 2 2 3" xfId="56366"/>
    <cellStyle name="Note 5 2 2 3 2 2 3 2" xfId="56367"/>
    <cellStyle name="Note 5 2 2 3 2 2 3 3" xfId="56368"/>
    <cellStyle name="Note 5 2 2 3 2 2 4" xfId="56369"/>
    <cellStyle name="Note 5 2 2 3 2 2 4 2" xfId="56370"/>
    <cellStyle name="Note 5 2 2 3 2 2 5" xfId="56371"/>
    <cellStyle name="Note 5 2 2 3 2 2 6" xfId="56372"/>
    <cellStyle name="Note 5 2 2 3 2 3" xfId="56373"/>
    <cellStyle name="Note 5 2 2 3 2 3 2" xfId="56374"/>
    <cellStyle name="Note 5 2 2 3 2 3 2 2" xfId="56375"/>
    <cellStyle name="Note 5 2 2 3 2 3 2 3" xfId="56376"/>
    <cellStyle name="Note 5 2 2 3 2 3 3" xfId="56377"/>
    <cellStyle name="Note 5 2 2 3 2 3 3 2" xfId="56378"/>
    <cellStyle name="Note 5 2 2 3 2 3 3 3" xfId="56379"/>
    <cellStyle name="Note 5 2 2 3 2 3 4" xfId="56380"/>
    <cellStyle name="Note 5 2 2 3 2 3 4 2" xfId="56381"/>
    <cellStyle name="Note 5 2 2 3 2 3 5" xfId="56382"/>
    <cellStyle name="Note 5 2 2 3 2 3 6" xfId="56383"/>
    <cellStyle name="Note 5 2 2 3 2 4" xfId="56384"/>
    <cellStyle name="Note 5 2 2 3 2 4 2" xfId="56385"/>
    <cellStyle name="Note 5 2 2 3 2 4 2 2" xfId="56386"/>
    <cellStyle name="Note 5 2 2 3 2 4 2 3" xfId="56387"/>
    <cellStyle name="Note 5 2 2 3 2 4 3" xfId="56388"/>
    <cellStyle name="Note 5 2 2 3 2 4 3 2" xfId="56389"/>
    <cellStyle name="Note 5 2 2 3 2 4 4" xfId="56390"/>
    <cellStyle name="Note 5 2 2 3 2 4 5" xfId="56391"/>
    <cellStyle name="Note 5 2 2 3 2 5" xfId="56392"/>
    <cellStyle name="Note 5 2 2 3 2 5 2" xfId="56393"/>
    <cellStyle name="Note 5 2 2 3 2 5 3" xfId="56394"/>
    <cellStyle name="Note 5 2 2 3 2 6" xfId="56395"/>
    <cellStyle name="Note 5 2 2 3 2 6 2" xfId="56396"/>
    <cellStyle name="Note 5 2 2 3 2 6 3" xfId="56397"/>
    <cellStyle name="Note 5 2 2 3 2 7" xfId="56398"/>
    <cellStyle name="Note 5 2 2 3 2 7 2" xfId="56399"/>
    <cellStyle name="Note 5 2 2 3 2 8" xfId="56400"/>
    <cellStyle name="Note 5 2 2 3 2 9" xfId="56401"/>
    <cellStyle name="Note 5 2 2 3 3" xfId="56402"/>
    <cellStyle name="Note 5 2 2 3 3 2" xfId="56403"/>
    <cellStyle name="Note 5 2 2 3 3 2 2" xfId="56404"/>
    <cellStyle name="Note 5 2 2 3 3 2 3" xfId="56405"/>
    <cellStyle name="Note 5 2 2 3 3 3" xfId="56406"/>
    <cellStyle name="Note 5 2 2 3 3 3 2" xfId="56407"/>
    <cellStyle name="Note 5 2 2 3 3 3 3" xfId="56408"/>
    <cellStyle name="Note 5 2 2 3 3 4" xfId="56409"/>
    <cellStyle name="Note 5 2 2 3 3 4 2" xfId="56410"/>
    <cellStyle name="Note 5 2 2 3 3 5" xfId="56411"/>
    <cellStyle name="Note 5 2 2 3 3 6" xfId="56412"/>
    <cellStyle name="Note 5 2 2 3 4" xfId="56413"/>
    <cellStyle name="Note 5 2 2 3 4 2" xfId="56414"/>
    <cellStyle name="Note 5 2 2 3 4 2 2" xfId="56415"/>
    <cellStyle name="Note 5 2 2 3 4 2 3" xfId="56416"/>
    <cellStyle name="Note 5 2 2 3 4 3" xfId="56417"/>
    <cellStyle name="Note 5 2 2 3 4 3 2" xfId="56418"/>
    <cellStyle name="Note 5 2 2 3 4 3 3" xfId="56419"/>
    <cellStyle name="Note 5 2 2 3 4 4" xfId="56420"/>
    <cellStyle name="Note 5 2 2 3 4 4 2" xfId="56421"/>
    <cellStyle name="Note 5 2 2 3 4 5" xfId="56422"/>
    <cellStyle name="Note 5 2 2 3 4 6" xfId="56423"/>
    <cellStyle name="Note 5 2 2 3 5" xfId="56424"/>
    <cellStyle name="Note 5 2 2 3 5 2" xfId="56425"/>
    <cellStyle name="Note 5 2 2 3 5 2 2" xfId="56426"/>
    <cellStyle name="Note 5 2 2 3 5 2 3" xfId="56427"/>
    <cellStyle name="Note 5 2 2 3 5 3" xfId="56428"/>
    <cellStyle name="Note 5 2 2 3 5 3 2" xfId="56429"/>
    <cellStyle name="Note 5 2 2 3 5 4" xfId="56430"/>
    <cellStyle name="Note 5 2 2 3 5 5" xfId="56431"/>
    <cellStyle name="Note 5 2 2 3 6" xfId="56432"/>
    <cellStyle name="Note 5 2 2 3 6 2" xfId="56433"/>
    <cellStyle name="Note 5 2 2 3 6 3" xfId="56434"/>
    <cellStyle name="Note 5 2 2 3 7" xfId="56435"/>
    <cellStyle name="Note 5 2 2 3 7 2" xfId="56436"/>
    <cellStyle name="Note 5 2 2 3 7 3" xfId="56437"/>
    <cellStyle name="Note 5 2 2 3 8" xfId="56438"/>
    <cellStyle name="Note 5 2 2 3 8 2" xfId="56439"/>
    <cellStyle name="Note 5 2 2 3 9" xfId="56440"/>
    <cellStyle name="Note 5 2 2 4" xfId="9330"/>
    <cellStyle name="Note 5 2 2 4 2" xfId="56441"/>
    <cellStyle name="Note 5 2 2 4 2 2" xfId="56442"/>
    <cellStyle name="Note 5 2 2 4 2 2 2" xfId="56443"/>
    <cellStyle name="Note 5 2 2 4 2 2 3" xfId="56444"/>
    <cellStyle name="Note 5 2 2 4 2 3" xfId="56445"/>
    <cellStyle name="Note 5 2 2 4 2 3 2" xfId="56446"/>
    <cellStyle name="Note 5 2 2 4 2 3 3" xfId="56447"/>
    <cellStyle name="Note 5 2 2 4 2 4" xfId="56448"/>
    <cellStyle name="Note 5 2 2 4 2 4 2" xfId="56449"/>
    <cellStyle name="Note 5 2 2 4 2 5" xfId="56450"/>
    <cellStyle name="Note 5 2 2 4 2 6" xfId="56451"/>
    <cellStyle name="Note 5 2 2 4 3" xfId="56452"/>
    <cellStyle name="Note 5 2 2 4 3 2" xfId="56453"/>
    <cellStyle name="Note 5 2 2 4 3 2 2" xfId="56454"/>
    <cellStyle name="Note 5 2 2 4 3 2 3" xfId="56455"/>
    <cellStyle name="Note 5 2 2 4 3 3" xfId="56456"/>
    <cellStyle name="Note 5 2 2 4 3 3 2" xfId="56457"/>
    <cellStyle name="Note 5 2 2 4 3 3 3" xfId="56458"/>
    <cellStyle name="Note 5 2 2 4 3 4" xfId="56459"/>
    <cellStyle name="Note 5 2 2 4 3 4 2" xfId="56460"/>
    <cellStyle name="Note 5 2 2 4 3 5" xfId="56461"/>
    <cellStyle name="Note 5 2 2 4 3 6" xfId="56462"/>
    <cellStyle name="Note 5 2 2 4 4" xfId="56463"/>
    <cellStyle name="Note 5 2 2 4 4 2" xfId="56464"/>
    <cellStyle name="Note 5 2 2 4 4 2 2" xfId="56465"/>
    <cellStyle name="Note 5 2 2 4 4 2 3" xfId="56466"/>
    <cellStyle name="Note 5 2 2 4 4 3" xfId="56467"/>
    <cellStyle name="Note 5 2 2 4 4 3 2" xfId="56468"/>
    <cellStyle name="Note 5 2 2 4 4 4" xfId="56469"/>
    <cellStyle name="Note 5 2 2 4 4 5" xfId="56470"/>
    <cellStyle name="Note 5 2 2 4 5" xfId="56471"/>
    <cellStyle name="Note 5 2 2 4 5 2" xfId="56472"/>
    <cellStyle name="Note 5 2 2 4 5 3" xfId="56473"/>
    <cellStyle name="Note 5 2 2 4 6" xfId="56474"/>
    <cellStyle name="Note 5 2 2 4 6 2" xfId="56475"/>
    <cellStyle name="Note 5 2 2 4 6 3" xfId="56476"/>
    <cellStyle name="Note 5 2 2 4 7" xfId="56477"/>
    <cellStyle name="Note 5 2 2 4 7 2" xfId="56478"/>
    <cellStyle name="Note 5 2 2 4 8" xfId="56479"/>
    <cellStyle name="Note 5 2 2 4 9" xfId="56480"/>
    <cellStyle name="Note 5 2 2 5" xfId="56481"/>
    <cellStyle name="Note 5 2 2 5 2" xfId="56482"/>
    <cellStyle name="Note 5 2 2 5 2 2" xfId="56483"/>
    <cellStyle name="Note 5 2 2 5 2 2 2" xfId="56484"/>
    <cellStyle name="Note 5 2 2 5 2 2 3" xfId="56485"/>
    <cellStyle name="Note 5 2 2 5 2 3" xfId="56486"/>
    <cellStyle name="Note 5 2 2 5 2 3 2" xfId="56487"/>
    <cellStyle name="Note 5 2 2 5 2 3 3" xfId="56488"/>
    <cellStyle name="Note 5 2 2 5 2 4" xfId="56489"/>
    <cellStyle name="Note 5 2 2 5 2 4 2" xfId="56490"/>
    <cellStyle name="Note 5 2 2 5 2 5" xfId="56491"/>
    <cellStyle name="Note 5 2 2 5 2 6" xfId="56492"/>
    <cellStyle name="Note 5 2 2 5 3" xfId="56493"/>
    <cellStyle name="Note 5 2 2 5 3 2" xfId="56494"/>
    <cellStyle name="Note 5 2 2 5 3 2 2" xfId="56495"/>
    <cellStyle name="Note 5 2 2 5 3 2 3" xfId="56496"/>
    <cellStyle name="Note 5 2 2 5 3 3" xfId="56497"/>
    <cellStyle name="Note 5 2 2 5 3 3 2" xfId="56498"/>
    <cellStyle name="Note 5 2 2 5 3 3 3" xfId="56499"/>
    <cellStyle name="Note 5 2 2 5 3 4" xfId="56500"/>
    <cellStyle name="Note 5 2 2 5 3 4 2" xfId="56501"/>
    <cellStyle name="Note 5 2 2 5 3 5" xfId="56502"/>
    <cellStyle name="Note 5 2 2 5 3 6" xfId="56503"/>
    <cellStyle name="Note 5 2 2 5 4" xfId="56504"/>
    <cellStyle name="Note 5 2 2 5 4 2" xfId="56505"/>
    <cellStyle name="Note 5 2 2 5 4 2 2" xfId="56506"/>
    <cellStyle name="Note 5 2 2 5 4 2 3" xfId="56507"/>
    <cellStyle name="Note 5 2 2 5 4 3" xfId="56508"/>
    <cellStyle name="Note 5 2 2 5 4 3 2" xfId="56509"/>
    <cellStyle name="Note 5 2 2 5 4 4" xfId="56510"/>
    <cellStyle name="Note 5 2 2 5 4 5" xfId="56511"/>
    <cellStyle name="Note 5 2 2 5 5" xfId="56512"/>
    <cellStyle name="Note 5 2 2 5 5 2" xfId="56513"/>
    <cellStyle name="Note 5 2 2 5 5 3" xfId="56514"/>
    <cellStyle name="Note 5 2 2 5 6" xfId="56515"/>
    <cellStyle name="Note 5 2 2 5 6 2" xfId="56516"/>
    <cellStyle name="Note 5 2 2 5 6 3" xfId="56517"/>
    <cellStyle name="Note 5 2 2 5 7" xfId="56518"/>
    <cellStyle name="Note 5 2 2 5 7 2" xfId="56519"/>
    <cellStyle name="Note 5 2 2 5 8" xfId="56520"/>
    <cellStyle name="Note 5 2 2 5 9" xfId="56521"/>
    <cellStyle name="Note 5 2 2 6" xfId="56522"/>
    <cellStyle name="Note 5 2 2 6 2" xfId="56523"/>
    <cellStyle name="Note 5 2 2 6 2 2" xfId="56524"/>
    <cellStyle name="Note 5 2 2 6 2 3" xfId="56525"/>
    <cellStyle name="Note 5 2 2 6 3" xfId="56526"/>
    <cellStyle name="Note 5 2 2 6 3 2" xfId="56527"/>
    <cellStyle name="Note 5 2 2 6 3 3" xfId="56528"/>
    <cellStyle name="Note 5 2 2 6 4" xfId="56529"/>
    <cellStyle name="Note 5 2 2 6 4 2" xfId="56530"/>
    <cellStyle name="Note 5 2 2 6 5" xfId="56531"/>
    <cellStyle name="Note 5 2 2 6 6" xfId="56532"/>
    <cellStyle name="Note 5 2 2 7" xfId="56533"/>
    <cellStyle name="Note 5 2 2 7 2" xfId="56534"/>
    <cellStyle name="Note 5 2 2 7 2 2" xfId="56535"/>
    <cellStyle name="Note 5 2 2 7 2 3" xfId="56536"/>
    <cellStyle name="Note 5 2 2 7 3" xfId="56537"/>
    <cellStyle name="Note 5 2 2 7 3 2" xfId="56538"/>
    <cellStyle name="Note 5 2 2 7 3 3" xfId="56539"/>
    <cellStyle name="Note 5 2 2 7 4" xfId="56540"/>
    <cellStyle name="Note 5 2 2 7 4 2" xfId="56541"/>
    <cellStyle name="Note 5 2 2 7 5" xfId="56542"/>
    <cellStyle name="Note 5 2 2 7 6" xfId="56543"/>
    <cellStyle name="Note 5 2 2 8" xfId="56544"/>
    <cellStyle name="Note 5 2 2 8 2" xfId="56545"/>
    <cellStyle name="Note 5 2 2 8 2 2" xfId="56546"/>
    <cellStyle name="Note 5 2 2 8 2 3" xfId="56547"/>
    <cellStyle name="Note 5 2 2 8 3" xfId="56548"/>
    <cellStyle name="Note 5 2 2 8 3 2" xfId="56549"/>
    <cellStyle name="Note 5 2 2 8 4" xfId="56550"/>
    <cellStyle name="Note 5 2 2 8 5" xfId="56551"/>
    <cellStyle name="Note 5 2 2 9" xfId="56552"/>
    <cellStyle name="Note 5 2 2 9 2" xfId="56553"/>
    <cellStyle name="Note 5 2 2 9 3" xfId="56554"/>
    <cellStyle name="Note 5 2 3" xfId="6127"/>
    <cellStyle name="Note 5 2 3 10" xfId="56555"/>
    <cellStyle name="Note 5 2 3 10 2" xfId="56556"/>
    <cellStyle name="Note 5 2 3 11" xfId="56557"/>
    <cellStyle name="Note 5 2 3 12" xfId="56558"/>
    <cellStyle name="Note 5 2 3 2" xfId="6128"/>
    <cellStyle name="Note 5 2 3 2 10" xfId="56559"/>
    <cellStyle name="Note 5 2 3 2 2" xfId="56560"/>
    <cellStyle name="Note 5 2 3 2 2 2" xfId="56561"/>
    <cellStyle name="Note 5 2 3 2 2 2 2" xfId="56562"/>
    <cellStyle name="Note 5 2 3 2 2 2 2 2" xfId="56563"/>
    <cellStyle name="Note 5 2 3 2 2 2 2 3" xfId="56564"/>
    <cellStyle name="Note 5 2 3 2 2 2 3" xfId="56565"/>
    <cellStyle name="Note 5 2 3 2 2 2 3 2" xfId="56566"/>
    <cellStyle name="Note 5 2 3 2 2 2 3 3" xfId="56567"/>
    <cellStyle name="Note 5 2 3 2 2 2 4" xfId="56568"/>
    <cellStyle name="Note 5 2 3 2 2 2 4 2" xfId="56569"/>
    <cellStyle name="Note 5 2 3 2 2 2 5" xfId="56570"/>
    <cellStyle name="Note 5 2 3 2 2 2 6" xfId="56571"/>
    <cellStyle name="Note 5 2 3 2 2 3" xfId="56572"/>
    <cellStyle name="Note 5 2 3 2 2 3 2" xfId="56573"/>
    <cellStyle name="Note 5 2 3 2 2 3 2 2" xfId="56574"/>
    <cellStyle name="Note 5 2 3 2 2 3 2 3" xfId="56575"/>
    <cellStyle name="Note 5 2 3 2 2 3 3" xfId="56576"/>
    <cellStyle name="Note 5 2 3 2 2 3 3 2" xfId="56577"/>
    <cellStyle name="Note 5 2 3 2 2 3 3 3" xfId="56578"/>
    <cellStyle name="Note 5 2 3 2 2 3 4" xfId="56579"/>
    <cellStyle name="Note 5 2 3 2 2 3 4 2" xfId="56580"/>
    <cellStyle name="Note 5 2 3 2 2 3 5" xfId="56581"/>
    <cellStyle name="Note 5 2 3 2 2 3 6" xfId="56582"/>
    <cellStyle name="Note 5 2 3 2 2 4" xfId="56583"/>
    <cellStyle name="Note 5 2 3 2 2 4 2" xfId="56584"/>
    <cellStyle name="Note 5 2 3 2 2 4 2 2" xfId="56585"/>
    <cellStyle name="Note 5 2 3 2 2 4 2 3" xfId="56586"/>
    <cellStyle name="Note 5 2 3 2 2 4 3" xfId="56587"/>
    <cellStyle name="Note 5 2 3 2 2 4 3 2" xfId="56588"/>
    <cellStyle name="Note 5 2 3 2 2 4 4" xfId="56589"/>
    <cellStyle name="Note 5 2 3 2 2 4 5" xfId="56590"/>
    <cellStyle name="Note 5 2 3 2 2 5" xfId="56591"/>
    <cellStyle name="Note 5 2 3 2 2 5 2" xfId="56592"/>
    <cellStyle name="Note 5 2 3 2 2 5 3" xfId="56593"/>
    <cellStyle name="Note 5 2 3 2 2 6" xfId="56594"/>
    <cellStyle name="Note 5 2 3 2 2 6 2" xfId="56595"/>
    <cellStyle name="Note 5 2 3 2 2 6 3" xfId="56596"/>
    <cellStyle name="Note 5 2 3 2 2 7" xfId="56597"/>
    <cellStyle name="Note 5 2 3 2 2 7 2" xfId="56598"/>
    <cellStyle name="Note 5 2 3 2 2 8" xfId="56599"/>
    <cellStyle name="Note 5 2 3 2 2 9" xfId="56600"/>
    <cellStyle name="Note 5 2 3 2 3" xfId="56601"/>
    <cellStyle name="Note 5 2 3 2 3 2" xfId="56602"/>
    <cellStyle name="Note 5 2 3 2 3 2 2" xfId="56603"/>
    <cellStyle name="Note 5 2 3 2 3 2 3" xfId="56604"/>
    <cellStyle name="Note 5 2 3 2 3 3" xfId="56605"/>
    <cellStyle name="Note 5 2 3 2 3 3 2" xfId="56606"/>
    <cellStyle name="Note 5 2 3 2 3 3 3" xfId="56607"/>
    <cellStyle name="Note 5 2 3 2 3 4" xfId="56608"/>
    <cellStyle name="Note 5 2 3 2 3 4 2" xfId="56609"/>
    <cellStyle name="Note 5 2 3 2 3 5" xfId="56610"/>
    <cellStyle name="Note 5 2 3 2 3 6" xfId="56611"/>
    <cellStyle name="Note 5 2 3 2 4" xfId="56612"/>
    <cellStyle name="Note 5 2 3 2 4 2" xfId="56613"/>
    <cellStyle name="Note 5 2 3 2 4 2 2" xfId="56614"/>
    <cellStyle name="Note 5 2 3 2 4 2 3" xfId="56615"/>
    <cellStyle name="Note 5 2 3 2 4 3" xfId="56616"/>
    <cellStyle name="Note 5 2 3 2 4 3 2" xfId="56617"/>
    <cellStyle name="Note 5 2 3 2 4 3 3" xfId="56618"/>
    <cellStyle name="Note 5 2 3 2 4 4" xfId="56619"/>
    <cellStyle name="Note 5 2 3 2 4 4 2" xfId="56620"/>
    <cellStyle name="Note 5 2 3 2 4 5" xfId="56621"/>
    <cellStyle name="Note 5 2 3 2 4 6" xfId="56622"/>
    <cellStyle name="Note 5 2 3 2 5" xfId="56623"/>
    <cellStyle name="Note 5 2 3 2 5 2" xfId="56624"/>
    <cellStyle name="Note 5 2 3 2 5 2 2" xfId="56625"/>
    <cellStyle name="Note 5 2 3 2 5 2 3" xfId="56626"/>
    <cellStyle name="Note 5 2 3 2 5 3" xfId="56627"/>
    <cellStyle name="Note 5 2 3 2 5 3 2" xfId="56628"/>
    <cellStyle name="Note 5 2 3 2 5 4" xfId="56629"/>
    <cellStyle name="Note 5 2 3 2 5 5" xfId="56630"/>
    <cellStyle name="Note 5 2 3 2 6" xfId="56631"/>
    <cellStyle name="Note 5 2 3 2 6 2" xfId="56632"/>
    <cellStyle name="Note 5 2 3 2 6 3" xfId="56633"/>
    <cellStyle name="Note 5 2 3 2 7" xfId="56634"/>
    <cellStyle name="Note 5 2 3 2 7 2" xfId="56635"/>
    <cellStyle name="Note 5 2 3 2 7 3" xfId="56636"/>
    <cellStyle name="Note 5 2 3 2 8" xfId="56637"/>
    <cellStyle name="Note 5 2 3 2 8 2" xfId="56638"/>
    <cellStyle name="Note 5 2 3 2 9" xfId="56639"/>
    <cellStyle name="Note 5 2 3 3" xfId="9331"/>
    <cellStyle name="Note 5 2 3 3 2" xfId="56640"/>
    <cellStyle name="Note 5 2 3 3 2 2" xfId="56641"/>
    <cellStyle name="Note 5 2 3 3 2 2 2" xfId="56642"/>
    <cellStyle name="Note 5 2 3 3 2 2 3" xfId="56643"/>
    <cellStyle name="Note 5 2 3 3 2 3" xfId="56644"/>
    <cellStyle name="Note 5 2 3 3 2 3 2" xfId="56645"/>
    <cellStyle name="Note 5 2 3 3 2 3 3" xfId="56646"/>
    <cellStyle name="Note 5 2 3 3 2 4" xfId="56647"/>
    <cellStyle name="Note 5 2 3 3 2 4 2" xfId="56648"/>
    <cellStyle name="Note 5 2 3 3 2 5" xfId="56649"/>
    <cellStyle name="Note 5 2 3 3 2 6" xfId="56650"/>
    <cellStyle name="Note 5 2 3 3 3" xfId="56651"/>
    <cellStyle name="Note 5 2 3 3 3 2" xfId="56652"/>
    <cellStyle name="Note 5 2 3 3 3 2 2" xfId="56653"/>
    <cellStyle name="Note 5 2 3 3 3 2 3" xfId="56654"/>
    <cellStyle name="Note 5 2 3 3 3 3" xfId="56655"/>
    <cellStyle name="Note 5 2 3 3 3 3 2" xfId="56656"/>
    <cellStyle name="Note 5 2 3 3 3 3 3" xfId="56657"/>
    <cellStyle name="Note 5 2 3 3 3 4" xfId="56658"/>
    <cellStyle name="Note 5 2 3 3 3 4 2" xfId="56659"/>
    <cellStyle name="Note 5 2 3 3 3 5" xfId="56660"/>
    <cellStyle name="Note 5 2 3 3 3 6" xfId="56661"/>
    <cellStyle name="Note 5 2 3 3 4" xfId="56662"/>
    <cellStyle name="Note 5 2 3 3 4 2" xfId="56663"/>
    <cellStyle name="Note 5 2 3 3 4 2 2" xfId="56664"/>
    <cellStyle name="Note 5 2 3 3 4 2 3" xfId="56665"/>
    <cellStyle name="Note 5 2 3 3 4 3" xfId="56666"/>
    <cellStyle name="Note 5 2 3 3 4 3 2" xfId="56667"/>
    <cellStyle name="Note 5 2 3 3 4 4" xfId="56668"/>
    <cellStyle name="Note 5 2 3 3 4 5" xfId="56669"/>
    <cellStyle name="Note 5 2 3 3 5" xfId="56670"/>
    <cellStyle name="Note 5 2 3 3 5 2" xfId="56671"/>
    <cellStyle name="Note 5 2 3 3 5 3" xfId="56672"/>
    <cellStyle name="Note 5 2 3 3 6" xfId="56673"/>
    <cellStyle name="Note 5 2 3 3 6 2" xfId="56674"/>
    <cellStyle name="Note 5 2 3 3 6 3" xfId="56675"/>
    <cellStyle name="Note 5 2 3 3 7" xfId="56676"/>
    <cellStyle name="Note 5 2 3 3 7 2" xfId="56677"/>
    <cellStyle name="Note 5 2 3 3 8" xfId="56678"/>
    <cellStyle name="Note 5 2 3 3 9" xfId="56679"/>
    <cellStyle name="Note 5 2 3 4" xfId="56680"/>
    <cellStyle name="Note 5 2 3 4 2" xfId="56681"/>
    <cellStyle name="Note 5 2 3 4 2 2" xfId="56682"/>
    <cellStyle name="Note 5 2 3 4 2 2 2" xfId="56683"/>
    <cellStyle name="Note 5 2 3 4 2 2 3" xfId="56684"/>
    <cellStyle name="Note 5 2 3 4 2 3" xfId="56685"/>
    <cellStyle name="Note 5 2 3 4 2 3 2" xfId="56686"/>
    <cellStyle name="Note 5 2 3 4 2 3 3" xfId="56687"/>
    <cellStyle name="Note 5 2 3 4 2 4" xfId="56688"/>
    <cellStyle name="Note 5 2 3 4 2 4 2" xfId="56689"/>
    <cellStyle name="Note 5 2 3 4 2 5" xfId="56690"/>
    <cellStyle name="Note 5 2 3 4 2 6" xfId="56691"/>
    <cellStyle name="Note 5 2 3 4 3" xfId="56692"/>
    <cellStyle name="Note 5 2 3 4 3 2" xfId="56693"/>
    <cellStyle name="Note 5 2 3 4 3 2 2" xfId="56694"/>
    <cellStyle name="Note 5 2 3 4 3 2 3" xfId="56695"/>
    <cellStyle name="Note 5 2 3 4 3 3" xfId="56696"/>
    <cellStyle name="Note 5 2 3 4 3 3 2" xfId="56697"/>
    <cellStyle name="Note 5 2 3 4 3 3 3" xfId="56698"/>
    <cellStyle name="Note 5 2 3 4 3 4" xfId="56699"/>
    <cellStyle name="Note 5 2 3 4 3 4 2" xfId="56700"/>
    <cellStyle name="Note 5 2 3 4 3 5" xfId="56701"/>
    <cellStyle name="Note 5 2 3 4 3 6" xfId="56702"/>
    <cellStyle name="Note 5 2 3 4 4" xfId="56703"/>
    <cellStyle name="Note 5 2 3 4 4 2" xfId="56704"/>
    <cellStyle name="Note 5 2 3 4 4 2 2" xfId="56705"/>
    <cellStyle name="Note 5 2 3 4 4 2 3" xfId="56706"/>
    <cellStyle name="Note 5 2 3 4 4 3" xfId="56707"/>
    <cellStyle name="Note 5 2 3 4 4 3 2" xfId="56708"/>
    <cellStyle name="Note 5 2 3 4 4 4" xfId="56709"/>
    <cellStyle name="Note 5 2 3 4 4 5" xfId="56710"/>
    <cellStyle name="Note 5 2 3 4 5" xfId="56711"/>
    <cellStyle name="Note 5 2 3 4 5 2" xfId="56712"/>
    <cellStyle name="Note 5 2 3 4 5 3" xfId="56713"/>
    <cellStyle name="Note 5 2 3 4 6" xfId="56714"/>
    <cellStyle name="Note 5 2 3 4 6 2" xfId="56715"/>
    <cellStyle name="Note 5 2 3 4 6 3" xfId="56716"/>
    <cellStyle name="Note 5 2 3 4 7" xfId="56717"/>
    <cellStyle name="Note 5 2 3 4 7 2" xfId="56718"/>
    <cellStyle name="Note 5 2 3 4 8" xfId="56719"/>
    <cellStyle name="Note 5 2 3 4 9" xfId="56720"/>
    <cellStyle name="Note 5 2 3 5" xfId="56721"/>
    <cellStyle name="Note 5 2 3 5 2" xfId="56722"/>
    <cellStyle name="Note 5 2 3 5 2 2" xfId="56723"/>
    <cellStyle name="Note 5 2 3 5 2 3" xfId="56724"/>
    <cellStyle name="Note 5 2 3 5 3" xfId="56725"/>
    <cellStyle name="Note 5 2 3 5 3 2" xfId="56726"/>
    <cellStyle name="Note 5 2 3 5 3 3" xfId="56727"/>
    <cellStyle name="Note 5 2 3 5 4" xfId="56728"/>
    <cellStyle name="Note 5 2 3 5 4 2" xfId="56729"/>
    <cellStyle name="Note 5 2 3 5 5" xfId="56730"/>
    <cellStyle name="Note 5 2 3 5 6" xfId="56731"/>
    <cellStyle name="Note 5 2 3 6" xfId="56732"/>
    <cellStyle name="Note 5 2 3 6 2" xfId="56733"/>
    <cellStyle name="Note 5 2 3 6 2 2" xfId="56734"/>
    <cellStyle name="Note 5 2 3 6 2 3" xfId="56735"/>
    <cellStyle name="Note 5 2 3 6 3" xfId="56736"/>
    <cellStyle name="Note 5 2 3 6 3 2" xfId="56737"/>
    <cellStyle name="Note 5 2 3 6 3 3" xfId="56738"/>
    <cellStyle name="Note 5 2 3 6 4" xfId="56739"/>
    <cellStyle name="Note 5 2 3 6 4 2" xfId="56740"/>
    <cellStyle name="Note 5 2 3 6 5" xfId="56741"/>
    <cellStyle name="Note 5 2 3 6 6" xfId="56742"/>
    <cellStyle name="Note 5 2 3 7" xfId="56743"/>
    <cellStyle name="Note 5 2 3 7 2" xfId="56744"/>
    <cellStyle name="Note 5 2 3 7 2 2" xfId="56745"/>
    <cellStyle name="Note 5 2 3 7 2 3" xfId="56746"/>
    <cellStyle name="Note 5 2 3 7 3" xfId="56747"/>
    <cellStyle name="Note 5 2 3 7 3 2" xfId="56748"/>
    <cellStyle name="Note 5 2 3 7 4" xfId="56749"/>
    <cellStyle name="Note 5 2 3 7 5" xfId="56750"/>
    <cellStyle name="Note 5 2 3 8" xfId="56751"/>
    <cellStyle name="Note 5 2 3 8 2" xfId="56752"/>
    <cellStyle name="Note 5 2 3 8 3" xfId="56753"/>
    <cellStyle name="Note 5 2 3 9" xfId="56754"/>
    <cellStyle name="Note 5 2 3 9 2" xfId="56755"/>
    <cellStyle name="Note 5 2 3 9 3" xfId="56756"/>
    <cellStyle name="Note 5 2 4" xfId="6129"/>
    <cellStyle name="Note 5 2 4 10" xfId="56757"/>
    <cellStyle name="Note 5 2 4 2" xfId="56758"/>
    <cellStyle name="Note 5 2 4 2 2" xfId="56759"/>
    <cellStyle name="Note 5 2 4 2 2 2" xfId="56760"/>
    <cellStyle name="Note 5 2 4 2 2 2 2" xfId="56761"/>
    <cellStyle name="Note 5 2 4 2 2 2 3" xfId="56762"/>
    <cellStyle name="Note 5 2 4 2 2 3" xfId="56763"/>
    <cellStyle name="Note 5 2 4 2 2 3 2" xfId="56764"/>
    <cellStyle name="Note 5 2 4 2 2 3 3" xfId="56765"/>
    <cellStyle name="Note 5 2 4 2 2 4" xfId="56766"/>
    <cellStyle name="Note 5 2 4 2 2 4 2" xfId="56767"/>
    <cellStyle name="Note 5 2 4 2 2 5" xfId="56768"/>
    <cellStyle name="Note 5 2 4 2 2 6" xfId="56769"/>
    <cellStyle name="Note 5 2 4 2 3" xfId="56770"/>
    <cellStyle name="Note 5 2 4 2 3 2" xfId="56771"/>
    <cellStyle name="Note 5 2 4 2 3 2 2" xfId="56772"/>
    <cellStyle name="Note 5 2 4 2 3 2 3" xfId="56773"/>
    <cellStyle name="Note 5 2 4 2 3 3" xfId="56774"/>
    <cellStyle name="Note 5 2 4 2 3 3 2" xfId="56775"/>
    <cellStyle name="Note 5 2 4 2 3 3 3" xfId="56776"/>
    <cellStyle name="Note 5 2 4 2 3 4" xfId="56777"/>
    <cellStyle name="Note 5 2 4 2 3 4 2" xfId="56778"/>
    <cellStyle name="Note 5 2 4 2 3 5" xfId="56779"/>
    <cellStyle name="Note 5 2 4 2 3 6" xfId="56780"/>
    <cellStyle name="Note 5 2 4 2 4" xfId="56781"/>
    <cellStyle name="Note 5 2 4 2 4 2" xfId="56782"/>
    <cellStyle name="Note 5 2 4 2 4 2 2" xfId="56783"/>
    <cellStyle name="Note 5 2 4 2 4 2 3" xfId="56784"/>
    <cellStyle name="Note 5 2 4 2 4 3" xfId="56785"/>
    <cellStyle name="Note 5 2 4 2 4 3 2" xfId="56786"/>
    <cellStyle name="Note 5 2 4 2 4 4" xfId="56787"/>
    <cellStyle name="Note 5 2 4 2 4 5" xfId="56788"/>
    <cellStyle name="Note 5 2 4 2 5" xfId="56789"/>
    <cellStyle name="Note 5 2 4 2 5 2" xfId="56790"/>
    <cellStyle name="Note 5 2 4 2 5 3" xfId="56791"/>
    <cellStyle name="Note 5 2 4 2 6" xfId="56792"/>
    <cellStyle name="Note 5 2 4 2 6 2" xfId="56793"/>
    <cellStyle name="Note 5 2 4 2 6 3" xfId="56794"/>
    <cellStyle name="Note 5 2 4 2 7" xfId="56795"/>
    <cellStyle name="Note 5 2 4 2 7 2" xfId="56796"/>
    <cellStyle name="Note 5 2 4 2 8" xfId="56797"/>
    <cellStyle name="Note 5 2 4 2 9" xfId="56798"/>
    <cellStyle name="Note 5 2 4 3" xfId="56799"/>
    <cellStyle name="Note 5 2 4 3 2" xfId="56800"/>
    <cellStyle name="Note 5 2 4 3 2 2" xfId="56801"/>
    <cellStyle name="Note 5 2 4 3 2 3" xfId="56802"/>
    <cellStyle name="Note 5 2 4 3 3" xfId="56803"/>
    <cellStyle name="Note 5 2 4 3 3 2" xfId="56804"/>
    <cellStyle name="Note 5 2 4 3 3 3" xfId="56805"/>
    <cellStyle name="Note 5 2 4 3 4" xfId="56806"/>
    <cellStyle name="Note 5 2 4 3 4 2" xfId="56807"/>
    <cellStyle name="Note 5 2 4 3 5" xfId="56808"/>
    <cellStyle name="Note 5 2 4 3 6" xfId="56809"/>
    <cellStyle name="Note 5 2 4 4" xfId="56810"/>
    <cellStyle name="Note 5 2 4 4 2" xfId="56811"/>
    <cellStyle name="Note 5 2 4 4 2 2" xfId="56812"/>
    <cellStyle name="Note 5 2 4 4 2 3" xfId="56813"/>
    <cellStyle name="Note 5 2 4 4 3" xfId="56814"/>
    <cellStyle name="Note 5 2 4 4 3 2" xfId="56815"/>
    <cellStyle name="Note 5 2 4 4 3 3" xfId="56816"/>
    <cellStyle name="Note 5 2 4 4 4" xfId="56817"/>
    <cellStyle name="Note 5 2 4 4 4 2" xfId="56818"/>
    <cellStyle name="Note 5 2 4 4 5" xfId="56819"/>
    <cellStyle name="Note 5 2 4 4 6" xfId="56820"/>
    <cellStyle name="Note 5 2 4 5" xfId="56821"/>
    <cellStyle name="Note 5 2 4 5 2" xfId="56822"/>
    <cellStyle name="Note 5 2 4 5 2 2" xfId="56823"/>
    <cellStyle name="Note 5 2 4 5 2 3" xfId="56824"/>
    <cellStyle name="Note 5 2 4 5 3" xfId="56825"/>
    <cellStyle name="Note 5 2 4 5 3 2" xfId="56826"/>
    <cellStyle name="Note 5 2 4 5 4" xfId="56827"/>
    <cellStyle name="Note 5 2 4 5 5" xfId="56828"/>
    <cellStyle name="Note 5 2 4 6" xfId="56829"/>
    <cellStyle name="Note 5 2 4 6 2" xfId="56830"/>
    <cellStyle name="Note 5 2 4 6 3" xfId="56831"/>
    <cellStyle name="Note 5 2 4 7" xfId="56832"/>
    <cellStyle name="Note 5 2 4 7 2" xfId="56833"/>
    <cellStyle name="Note 5 2 4 7 3" xfId="56834"/>
    <cellStyle name="Note 5 2 4 8" xfId="56835"/>
    <cellStyle name="Note 5 2 4 8 2" xfId="56836"/>
    <cellStyle name="Note 5 2 4 9" xfId="56837"/>
    <cellStyle name="Note 5 2 5" xfId="6130"/>
    <cellStyle name="Note 5 2 5 2" xfId="56838"/>
    <cellStyle name="Note 5 2 5 2 2" xfId="56839"/>
    <cellStyle name="Note 5 2 5 2 2 2" xfId="56840"/>
    <cellStyle name="Note 5 2 5 2 2 3" xfId="56841"/>
    <cellStyle name="Note 5 2 5 2 3" xfId="56842"/>
    <cellStyle name="Note 5 2 5 2 3 2" xfId="56843"/>
    <cellStyle name="Note 5 2 5 2 3 3" xfId="56844"/>
    <cellStyle name="Note 5 2 5 2 4" xfId="56845"/>
    <cellStyle name="Note 5 2 5 2 4 2" xfId="56846"/>
    <cellStyle name="Note 5 2 5 2 5" xfId="56847"/>
    <cellStyle name="Note 5 2 5 2 6" xfId="56848"/>
    <cellStyle name="Note 5 2 5 3" xfId="56849"/>
    <cellStyle name="Note 5 2 5 3 2" xfId="56850"/>
    <cellStyle name="Note 5 2 5 3 2 2" xfId="56851"/>
    <cellStyle name="Note 5 2 5 3 2 3" xfId="56852"/>
    <cellStyle name="Note 5 2 5 3 3" xfId="56853"/>
    <cellStyle name="Note 5 2 5 3 3 2" xfId="56854"/>
    <cellStyle name="Note 5 2 5 3 3 3" xfId="56855"/>
    <cellStyle name="Note 5 2 5 3 4" xfId="56856"/>
    <cellStyle name="Note 5 2 5 3 4 2" xfId="56857"/>
    <cellStyle name="Note 5 2 5 3 5" xfId="56858"/>
    <cellStyle name="Note 5 2 5 3 6" xfId="56859"/>
    <cellStyle name="Note 5 2 5 4" xfId="56860"/>
    <cellStyle name="Note 5 2 5 4 2" xfId="56861"/>
    <cellStyle name="Note 5 2 5 4 2 2" xfId="56862"/>
    <cellStyle name="Note 5 2 5 4 2 3" xfId="56863"/>
    <cellStyle name="Note 5 2 5 4 3" xfId="56864"/>
    <cellStyle name="Note 5 2 5 4 3 2" xfId="56865"/>
    <cellStyle name="Note 5 2 5 4 4" xfId="56866"/>
    <cellStyle name="Note 5 2 5 4 5" xfId="56867"/>
    <cellStyle name="Note 5 2 5 5" xfId="56868"/>
    <cellStyle name="Note 5 2 5 5 2" xfId="56869"/>
    <cellStyle name="Note 5 2 5 5 3" xfId="56870"/>
    <cellStyle name="Note 5 2 5 6" xfId="56871"/>
    <cellStyle name="Note 5 2 5 6 2" xfId="56872"/>
    <cellStyle name="Note 5 2 5 6 3" xfId="56873"/>
    <cellStyle name="Note 5 2 5 7" xfId="56874"/>
    <cellStyle name="Note 5 2 5 7 2" xfId="56875"/>
    <cellStyle name="Note 5 2 5 8" xfId="56876"/>
    <cellStyle name="Note 5 2 5 9" xfId="56877"/>
    <cellStyle name="Note 5 2 6" xfId="6131"/>
    <cellStyle name="Note 5 2 6 2" xfId="56878"/>
    <cellStyle name="Note 5 2 6 2 2" xfId="56879"/>
    <cellStyle name="Note 5 2 6 2 2 2" xfId="56880"/>
    <cellStyle name="Note 5 2 6 2 2 3" xfId="56881"/>
    <cellStyle name="Note 5 2 6 2 3" xfId="56882"/>
    <cellStyle name="Note 5 2 6 2 3 2" xfId="56883"/>
    <cellStyle name="Note 5 2 6 2 3 3" xfId="56884"/>
    <cellStyle name="Note 5 2 6 2 4" xfId="56885"/>
    <cellStyle name="Note 5 2 6 2 4 2" xfId="56886"/>
    <cellStyle name="Note 5 2 6 2 5" xfId="56887"/>
    <cellStyle name="Note 5 2 6 2 6" xfId="56888"/>
    <cellStyle name="Note 5 2 6 3" xfId="56889"/>
    <cellStyle name="Note 5 2 6 3 2" xfId="56890"/>
    <cellStyle name="Note 5 2 6 3 2 2" xfId="56891"/>
    <cellStyle name="Note 5 2 6 3 2 3" xfId="56892"/>
    <cellStyle name="Note 5 2 6 3 3" xfId="56893"/>
    <cellStyle name="Note 5 2 6 3 3 2" xfId="56894"/>
    <cellStyle name="Note 5 2 6 3 3 3" xfId="56895"/>
    <cellStyle name="Note 5 2 6 3 4" xfId="56896"/>
    <cellStyle name="Note 5 2 6 3 4 2" xfId="56897"/>
    <cellStyle name="Note 5 2 6 3 5" xfId="56898"/>
    <cellStyle name="Note 5 2 6 3 6" xfId="56899"/>
    <cellStyle name="Note 5 2 6 4" xfId="56900"/>
    <cellStyle name="Note 5 2 6 4 2" xfId="56901"/>
    <cellStyle name="Note 5 2 6 4 2 2" xfId="56902"/>
    <cellStyle name="Note 5 2 6 4 2 3" xfId="56903"/>
    <cellStyle name="Note 5 2 6 4 3" xfId="56904"/>
    <cellStyle name="Note 5 2 6 4 3 2" xfId="56905"/>
    <cellStyle name="Note 5 2 6 4 4" xfId="56906"/>
    <cellStyle name="Note 5 2 6 4 5" xfId="56907"/>
    <cellStyle name="Note 5 2 6 5" xfId="56908"/>
    <cellStyle name="Note 5 2 6 5 2" xfId="56909"/>
    <cellStyle name="Note 5 2 6 5 3" xfId="56910"/>
    <cellStyle name="Note 5 2 6 6" xfId="56911"/>
    <cellStyle name="Note 5 2 6 6 2" xfId="56912"/>
    <cellStyle name="Note 5 2 6 6 3" xfId="56913"/>
    <cellStyle name="Note 5 2 6 7" xfId="56914"/>
    <cellStyle name="Note 5 2 6 7 2" xfId="56915"/>
    <cellStyle name="Note 5 2 6 8" xfId="56916"/>
    <cellStyle name="Note 5 2 6 9" xfId="56917"/>
    <cellStyle name="Note 5 2 7" xfId="6132"/>
    <cellStyle name="Note 5 2 7 2" xfId="56918"/>
    <cellStyle name="Note 5 2 7 2 2" xfId="56919"/>
    <cellStyle name="Note 5 2 7 2 3" xfId="56920"/>
    <cellStyle name="Note 5 2 7 3" xfId="56921"/>
    <cellStyle name="Note 5 2 7 3 2" xfId="56922"/>
    <cellStyle name="Note 5 2 7 3 3" xfId="56923"/>
    <cellStyle name="Note 5 2 7 4" xfId="56924"/>
    <cellStyle name="Note 5 2 7 4 2" xfId="56925"/>
    <cellStyle name="Note 5 2 7 5" xfId="56926"/>
    <cellStyle name="Note 5 2 7 6" xfId="56927"/>
    <cellStyle name="Note 5 2 8" xfId="6133"/>
    <cellStyle name="Note 5 2 8 2" xfId="56928"/>
    <cellStyle name="Note 5 2 8 2 2" xfId="56929"/>
    <cellStyle name="Note 5 2 8 2 3" xfId="56930"/>
    <cellStyle name="Note 5 2 8 3" xfId="56931"/>
    <cellStyle name="Note 5 2 8 3 2" xfId="56932"/>
    <cellStyle name="Note 5 2 8 3 3" xfId="56933"/>
    <cellStyle name="Note 5 2 8 4" xfId="56934"/>
    <cellStyle name="Note 5 2 8 4 2" xfId="56935"/>
    <cellStyle name="Note 5 2 8 5" xfId="56936"/>
    <cellStyle name="Note 5 2 8 6" xfId="56937"/>
    <cellStyle name="Note 5 2 9" xfId="6134"/>
    <cellStyle name="Note 5 2 9 2" xfId="56938"/>
    <cellStyle name="Note 5 2 9 2 2" xfId="56939"/>
    <cellStyle name="Note 5 2 9 2 3" xfId="56940"/>
    <cellStyle name="Note 5 2 9 3" xfId="56941"/>
    <cellStyle name="Note 5 2 9 3 2" xfId="56942"/>
    <cellStyle name="Note 5 2 9 4" xfId="56943"/>
    <cellStyle name="Note 5 2 9 5" xfId="56944"/>
    <cellStyle name="Note 5 3" xfId="6135"/>
    <cellStyle name="Note 5 3 10" xfId="56945"/>
    <cellStyle name="Note 5 3 10 2" xfId="56946"/>
    <cellStyle name="Note 5 3 10 3" xfId="56947"/>
    <cellStyle name="Note 5 3 11" xfId="56948"/>
    <cellStyle name="Note 5 3 11 2" xfId="56949"/>
    <cellStyle name="Note 5 3 12" xfId="56950"/>
    <cellStyle name="Note 5 3 13" xfId="56951"/>
    <cellStyle name="Note 5 3 14" xfId="56952"/>
    <cellStyle name="Note 5 3 2" xfId="6136"/>
    <cellStyle name="Note 5 3 2 10" xfId="56953"/>
    <cellStyle name="Note 5 3 2 10 2" xfId="56954"/>
    <cellStyle name="Note 5 3 2 11" xfId="56955"/>
    <cellStyle name="Note 5 3 2 12" xfId="56956"/>
    <cellStyle name="Note 5 3 2 2" xfId="9332"/>
    <cellStyle name="Note 5 3 2 2 10" xfId="56957"/>
    <cellStyle name="Note 5 3 2 2 2" xfId="56958"/>
    <cellStyle name="Note 5 3 2 2 2 2" xfId="56959"/>
    <cellStyle name="Note 5 3 2 2 2 2 2" xfId="56960"/>
    <cellStyle name="Note 5 3 2 2 2 2 2 2" xfId="56961"/>
    <cellStyle name="Note 5 3 2 2 2 2 2 3" xfId="56962"/>
    <cellStyle name="Note 5 3 2 2 2 2 3" xfId="56963"/>
    <cellStyle name="Note 5 3 2 2 2 2 3 2" xfId="56964"/>
    <cellStyle name="Note 5 3 2 2 2 2 3 3" xfId="56965"/>
    <cellStyle name="Note 5 3 2 2 2 2 4" xfId="56966"/>
    <cellStyle name="Note 5 3 2 2 2 2 4 2" xfId="56967"/>
    <cellStyle name="Note 5 3 2 2 2 2 5" xfId="56968"/>
    <cellStyle name="Note 5 3 2 2 2 2 6" xfId="56969"/>
    <cellStyle name="Note 5 3 2 2 2 3" xfId="56970"/>
    <cellStyle name="Note 5 3 2 2 2 3 2" xfId="56971"/>
    <cellStyle name="Note 5 3 2 2 2 3 2 2" xfId="56972"/>
    <cellStyle name="Note 5 3 2 2 2 3 2 3" xfId="56973"/>
    <cellStyle name="Note 5 3 2 2 2 3 3" xfId="56974"/>
    <cellStyle name="Note 5 3 2 2 2 3 3 2" xfId="56975"/>
    <cellStyle name="Note 5 3 2 2 2 3 3 3" xfId="56976"/>
    <cellStyle name="Note 5 3 2 2 2 3 4" xfId="56977"/>
    <cellStyle name="Note 5 3 2 2 2 3 4 2" xfId="56978"/>
    <cellStyle name="Note 5 3 2 2 2 3 5" xfId="56979"/>
    <cellStyle name="Note 5 3 2 2 2 3 6" xfId="56980"/>
    <cellStyle name="Note 5 3 2 2 2 4" xfId="56981"/>
    <cellStyle name="Note 5 3 2 2 2 4 2" xfId="56982"/>
    <cellStyle name="Note 5 3 2 2 2 4 2 2" xfId="56983"/>
    <cellStyle name="Note 5 3 2 2 2 4 2 3" xfId="56984"/>
    <cellStyle name="Note 5 3 2 2 2 4 3" xfId="56985"/>
    <cellStyle name="Note 5 3 2 2 2 4 3 2" xfId="56986"/>
    <cellStyle name="Note 5 3 2 2 2 4 4" xfId="56987"/>
    <cellStyle name="Note 5 3 2 2 2 4 5" xfId="56988"/>
    <cellStyle name="Note 5 3 2 2 2 5" xfId="56989"/>
    <cellStyle name="Note 5 3 2 2 2 5 2" xfId="56990"/>
    <cellStyle name="Note 5 3 2 2 2 5 3" xfId="56991"/>
    <cellStyle name="Note 5 3 2 2 2 6" xfId="56992"/>
    <cellStyle name="Note 5 3 2 2 2 6 2" xfId="56993"/>
    <cellStyle name="Note 5 3 2 2 2 6 3" xfId="56994"/>
    <cellStyle name="Note 5 3 2 2 2 7" xfId="56995"/>
    <cellStyle name="Note 5 3 2 2 2 7 2" xfId="56996"/>
    <cellStyle name="Note 5 3 2 2 2 8" xfId="56997"/>
    <cellStyle name="Note 5 3 2 2 2 9" xfId="56998"/>
    <cellStyle name="Note 5 3 2 2 3" xfId="56999"/>
    <cellStyle name="Note 5 3 2 2 3 2" xfId="57000"/>
    <cellStyle name="Note 5 3 2 2 3 2 2" xfId="57001"/>
    <cellStyle name="Note 5 3 2 2 3 2 3" xfId="57002"/>
    <cellStyle name="Note 5 3 2 2 3 3" xfId="57003"/>
    <cellStyle name="Note 5 3 2 2 3 3 2" xfId="57004"/>
    <cellStyle name="Note 5 3 2 2 3 3 3" xfId="57005"/>
    <cellStyle name="Note 5 3 2 2 3 4" xfId="57006"/>
    <cellStyle name="Note 5 3 2 2 3 4 2" xfId="57007"/>
    <cellStyle name="Note 5 3 2 2 3 5" xfId="57008"/>
    <cellStyle name="Note 5 3 2 2 3 6" xfId="57009"/>
    <cellStyle name="Note 5 3 2 2 4" xfId="57010"/>
    <cellStyle name="Note 5 3 2 2 4 2" xfId="57011"/>
    <cellStyle name="Note 5 3 2 2 4 2 2" xfId="57012"/>
    <cellStyle name="Note 5 3 2 2 4 2 3" xfId="57013"/>
    <cellStyle name="Note 5 3 2 2 4 3" xfId="57014"/>
    <cellStyle name="Note 5 3 2 2 4 3 2" xfId="57015"/>
    <cellStyle name="Note 5 3 2 2 4 3 3" xfId="57016"/>
    <cellStyle name="Note 5 3 2 2 4 4" xfId="57017"/>
    <cellStyle name="Note 5 3 2 2 4 4 2" xfId="57018"/>
    <cellStyle name="Note 5 3 2 2 4 5" xfId="57019"/>
    <cellStyle name="Note 5 3 2 2 4 6" xfId="57020"/>
    <cellStyle name="Note 5 3 2 2 5" xfId="57021"/>
    <cellStyle name="Note 5 3 2 2 5 2" xfId="57022"/>
    <cellStyle name="Note 5 3 2 2 5 2 2" xfId="57023"/>
    <cellStyle name="Note 5 3 2 2 5 2 3" xfId="57024"/>
    <cellStyle name="Note 5 3 2 2 5 3" xfId="57025"/>
    <cellStyle name="Note 5 3 2 2 5 3 2" xfId="57026"/>
    <cellStyle name="Note 5 3 2 2 5 4" xfId="57027"/>
    <cellStyle name="Note 5 3 2 2 5 5" xfId="57028"/>
    <cellStyle name="Note 5 3 2 2 6" xfId="57029"/>
    <cellStyle name="Note 5 3 2 2 6 2" xfId="57030"/>
    <cellStyle name="Note 5 3 2 2 6 3" xfId="57031"/>
    <cellStyle name="Note 5 3 2 2 7" xfId="57032"/>
    <cellStyle name="Note 5 3 2 2 7 2" xfId="57033"/>
    <cellStyle name="Note 5 3 2 2 7 3" xfId="57034"/>
    <cellStyle name="Note 5 3 2 2 8" xfId="57035"/>
    <cellStyle name="Note 5 3 2 2 8 2" xfId="57036"/>
    <cellStyle name="Note 5 3 2 2 9" xfId="57037"/>
    <cellStyle name="Note 5 3 2 3" xfId="57038"/>
    <cellStyle name="Note 5 3 2 3 2" xfId="57039"/>
    <cellStyle name="Note 5 3 2 3 2 2" xfId="57040"/>
    <cellStyle name="Note 5 3 2 3 2 2 2" xfId="57041"/>
    <cellStyle name="Note 5 3 2 3 2 2 3" xfId="57042"/>
    <cellStyle name="Note 5 3 2 3 2 3" xfId="57043"/>
    <cellStyle name="Note 5 3 2 3 2 3 2" xfId="57044"/>
    <cellStyle name="Note 5 3 2 3 2 3 3" xfId="57045"/>
    <cellStyle name="Note 5 3 2 3 2 4" xfId="57046"/>
    <cellStyle name="Note 5 3 2 3 2 4 2" xfId="57047"/>
    <cellStyle name="Note 5 3 2 3 2 5" xfId="57048"/>
    <cellStyle name="Note 5 3 2 3 2 6" xfId="57049"/>
    <cellStyle name="Note 5 3 2 3 3" xfId="57050"/>
    <cellStyle name="Note 5 3 2 3 3 2" xfId="57051"/>
    <cellStyle name="Note 5 3 2 3 3 2 2" xfId="57052"/>
    <cellStyle name="Note 5 3 2 3 3 2 3" xfId="57053"/>
    <cellStyle name="Note 5 3 2 3 3 3" xfId="57054"/>
    <cellStyle name="Note 5 3 2 3 3 3 2" xfId="57055"/>
    <cellStyle name="Note 5 3 2 3 3 3 3" xfId="57056"/>
    <cellStyle name="Note 5 3 2 3 3 4" xfId="57057"/>
    <cellStyle name="Note 5 3 2 3 3 4 2" xfId="57058"/>
    <cellStyle name="Note 5 3 2 3 3 5" xfId="57059"/>
    <cellStyle name="Note 5 3 2 3 3 6" xfId="57060"/>
    <cellStyle name="Note 5 3 2 3 4" xfId="57061"/>
    <cellStyle name="Note 5 3 2 3 4 2" xfId="57062"/>
    <cellStyle name="Note 5 3 2 3 4 2 2" xfId="57063"/>
    <cellStyle name="Note 5 3 2 3 4 2 3" xfId="57064"/>
    <cellStyle name="Note 5 3 2 3 4 3" xfId="57065"/>
    <cellStyle name="Note 5 3 2 3 4 3 2" xfId="57066"/>
    <cellStyle name="Note 5 3 2 3 4 4" xfId="57067"/>
    <cellStyle name="Note 5 3 2 3 4 5" xfId="57068"/>
    <cellStyle name="Note 5 3 2 3 5" xfId="57069"/>
    <cellStyle name="Note 5 3 2 3 5 2" xfId="57070"/>
    <cellStyle name="Note 5 3 2 3 5 3" xfId="57071"/>
    <cellStyle name="Note 5 3 2 3 6" xfId="57072"/>
    <cellStyle name="Note 5 3 2 3 6 2" xfId="57073"/>
    <cellStyle name="Note 5 3 2 3 6 3" xfId="57074"/>
    <cellStyle name="Note 5 3 2 3 7" xfId="57075"/>
    <cellStyle name="Note 5 3 2 3 7 2" xfId="57076"/>
    <cellStyle name="Note 5 3 2 3 8" xfId="57077"/>
    <cellStyle name="Note 5 3 2 3 9" xfId="57078"/>
    <cellStyle name="Note 5 3 2 4" xfId="57079"/>
    <cellStyle name="Note 5 3 2 4 2" xfId="57080"/>
    <cellStyle name="Note 5 3 2 4 2 2" xfId="57081"/>
    <cellStyle name="Note 5 3 2 4 2 2 2" xfId="57082"/>
    <cellStyle name="Note 5 3 2 4 2 2 3" xfId="57083"/>
    <cellStyle name="Note 5 3 2 4 2 3" xfId="57084"/>
    <cellStyle name="Note 5 3 2 4 2 3 2" xfId="57085"/>
    <cellStyle name="Note 5 3 2 4 2 3 3" xfId="57086"/>
    <cellStyle name="Note 5 3 2 4 2 4" xfId="57087"/>
    <cellStyle name="Note 5 3 2 4 2 4 2" xfId="57088"/>
    <cellStyle name="Note 5 3 2 4 2 5" xfId="57089"/>
    <cellStyle name="Note 5 3 2 4 2 6" xfId="57090"/>
    <cellStyle name="Note 5 3 2 4 3" xfId="57091"/>
    <cellStyle name="Note 5 3 2 4 3 2" xfId="57092"/>
    <cellStyle name="Note 5 3 2 4 3 2 2" xfId="57093"/>
    <cellStyle name="Note 5 3 2 4 3 2 3" xfId="57094"/>
    <cellStyle name="Note 5 3 2 4 3 3" xfId="57095"/>
    <cellStyle name="Note 5 3 2 4 3 3 2" xfId="57096"/>
    <cellStyle name="Note 5 3 2 4 3 3 3" xfId="57097"/>
    <cellStyle name="Note 5 3 2 4 3 4" xfId="57098"/>
    <cellStyle name="Note 5 3 2 4 3 4 2" xfId="57099"/>
    <cellStyle name="Note 5 3 2 4 3 5" xfId="57100"/>
    <cellStyle name="Note 5 3 2 4 3 6" xfId="57101"/>
    <cellStyle name="Note 5 3 2 4 4" xfId="57102"/>
    <cellStyle name="Note 5 3 2 4 4 2" xfId="57103"/>
    <cellStyle name="Note 5 3 2 4 4 2 2" xfId="57104"/>
    <cellStyle name="Note 5 3 2 4 4 2 3" xfId="57105"/>
    <cellStyle name="Note 5 3 2 4 4 3" xfId="57106"/>
    <cellStyle name="Note 5 3 2 4 4 3 2" xfId="57107"/>
    <cellStyle name="Note 5 3 2 4 4 4" xfId="57108"/>
    <cellStyle name="Note 5 3 2 4 4 5" xfId="57109"/>
    <cellStyle name="Note 5 3 2 4 5" xfId="57110"/>
    <cellStyle name="Note 5 3 2 4 5 2" xfId="57111"/>
    <cellStyle name="Note 5 3 2 4 5 3" xfId="57112"/>
    <cellStyle name="Note 5 3 2 4 6" xfId="57113"/>
    <cellStyle name="Note 5 3 2 4 6 2" xfId="57114"/>
    <cellStyle name="Note 5 3 2 4 6 3" xfId="57115"/>
    <cellStyle name="Note 5 3 2 4 7" xfId="57116"/>
    <cellStyle name="Note 5 3 2 4 7 2" xfId="57117"/>
    <cellStyle name="Note 5 3 2 4 8" xfId="57118"/>
    <cellStyle name="Note 5 3 2 4 9" xfId="57119"/>
    <cellStyle name="Note 5 3 2 5" xfId="57120"/>
    <cellStyle name="Note 5 3 2 5 2" xfId="57121"/>
    <cellStyle name="Note 5 3 2 5 2 2" xfId="57122"/>
    <cellStyle name="Note 5 3 2 5 2 3" xfId="57123"/>
    <cellStyle name="Note 5 3 2 5 3" xfId="57124"/>
    <cellStyle name="Note 5 3 2 5 3 2" xfId="57125"/>
    <cellStyle name="Note 5 3 2 5 3 3" xfId="57126"/>
    <cellStyle name="Note 5 3 2 5 4" xfId="57127"/>
    <cellStyle name="Note 5 3 2 5 4 2" xfId="57128"/>
    <cellStyle name="Note 5 3 2 5 5" xfId="57129"/>
    <cellStyle name="Note 5 3 2 5 6" xfId="57130"/>
    <cellStyle name="Note 5 3 2 6" xfId="57131"/>
    <cellStyle name="Note 5 3 2 6 2" xfId="57132"/>
    <cellStyle name="Note 5 3 2 6 2 2" xfId="57133"/>
    <cellStyle name="Note 5 3 2 6 2 3" xfId="57134"/>
    <cellStyle name="Note 5 3 2 6 3" xfId="57135"/>
    <cellStyle name="Note 5 3 2 6 3 2" xfId="57136"/>
    <cellStyle name="Note 5 3 2 6 3 3" xfId="57137"/>
    <cellStyle name="Note 5 3 2 6 4" xfId="57138"/>
    <cellStyle name="Note 5 3 2 6 4 2" xfId="57139"/>
    <cellStyle name="Note 5 3 2 6 5" xfId="57140"/>
    <cellStyle name="Note 5 3 2 6 6" xfId="57141"/>
    <cellStyle name="Note 5 3 2 7" xfId="57142"/>
    <cellStyle name="Note 5 3 2 7 2" xfId="57143"/>
    <cellStyle name="Note 5 3 2 7 2 2" xfId="57144"/>
    <cellStyle name="Note 5 3 2 7 2 3" xfId="57145"/>
    <cellStyle name="Note 5 3 2 7 3" xfId="57146"/>
    <cellStyle name="Note 5 3 2 7 3 2" xfId="57147"/>
    <cellStyle name="Note 5 3 2 7 4" xfId="57148"/>
    <cellStyle name="Note 5 3 2 7 5" xfId="57149"/>
    <cellStyle name="Note 5 3 2 8" xfId="57150"/>
    <cellStyle name="Note 5 3 2 8 2" xfId="57151"/>
    <cellStyle name="Note 5 3 2 8 3" xfId="57152"/>
    <cellStyle name="Note 5 3 2 9" xfId="57153"/>
    <cellStyle name="Note 5 3 2 9 2" xfId="57154"/>
    <cellStyle name="Note 5 3 2 9 3" xfId="57155"/>
    <cellStyle name="Note 5 3 3" xfId="6137"/>
    <cellStyle name="Note 5 3 3 10" xfId="57156"/>
    <cellStyle name="Note 5 3 3 2" xfId="57157"/>
    <cellStyle name="Note 5 3 3 2 2" xfId="57158"/>
    <cellStyle name="Note 5 3 3 2 2 2" xfId="57159"/>
    <cellStyle name="Note 5 3 3 2 2 2 2" xfId="57160"/>
    <cellStyle name="Note 5 3 3 2 2 2 3" xfId="57161"/>
    <cellStyle name="Note 5 3 3 2 2 3" xfId="57162"/>
    <cellStyle name="Note 5 3 3 2 2 3 2" xfId="57163"/>
    <cellStyle name="Note 5 3 3 2 2 3 3" xfId="57164"/>
    <cellStyle name="Note 5 3 3 2 2 4" xfId="57165"/>
    <cellStyle name="Note 5 3 3 2 2 4 2" xfId="57166"/>
    <cellStyle name="Note 5 3 3 2 2 5" xfId="57167"/>
    <cellStyle name="Note 5 3 3 2 2 6" xfId="57168"/>
    <cellStyle name="Note 5 3 3 2 3" xfId="57169"/>
    <cellStyle name="Note 5 3 3 2 3 2" xfId="57170"/>
    <cellStyle name="Note 5 3 3 2 3 2 2" xfId="57171"/>
    <cellStyle name="Note 5 3 3 2 3 2 3" xfId="57172"/>
    <cellStyle name="Note 5 3 3 2 3 3" xfId="57173"/>
    <cellStyle name="Note 5 3 3 2 3 3 2" xfId="57174"/>
    <cellStyle name="Note 5 3 3 2 3 3 3" xfId="57175"/>
    <cellStyle name="Note 5 3 3 2 3 4" xfId="57176"/>
    <cellStyle name="Note 5 3 3 2 3 4 2" xfId="57177"/>
    <cellStyle name="Note 5 3 3 2 3 5" xfId="57178"/>
    <cellStyle name="Note 5 3 3 2 3 6" xfId="57179"/>
    <cellStyle name="Note 5 3 3 2 4" xfId="57180"/>
    <cellStyle name="Note 5 3 3 2 4 2" xfId="57181"/>
    <cellStyle name="Note 5 3 3 2 4 2 2" xfId="57182"/>
    <cellStyle name="Note 5 3 3 2 4 2 3" xfId="57183"/>
    <cellStyle name="Note 5 3 3 2 4 3" xfId="57184"/>
    <cellStyle name="Note 5 3 3 2 4 3 2" xfId="57185"/>
    <cellStyle name="Note 5 3 3 2 4 4" xfId="57186"/>
    <cellStyle name="Note 5 3 3 2 4 5" xfId="57187"/>
    <cellStyle name="Note 5 3 3 2 5" xfId="57188"/>
    <cellStyle name="Note 5 3 3 2 5 2" xfId="57189"/>
    <cellStyle name="Note 5 3 3 2 5 3" xfId="57190"/>
    <cellStyle name="Note 5 3 3 2 6" xfId="57191"/>
    <cellStyle name="Note 5 3 3 2 6 2" xfId="57192"/>
    <cellStyle name="Note 5 3 3 2 6 3" xfId="57193"/>
    <cellStyle name="Note 5 3 3 2 7" xfId="57194"/>
    <cellStyle name="Note 5 3 3 2 7 2" xfId="57195"/>
    <cellStyle name="Note 5 3 3 2 8" xfId="57196"/>
    <cellStyle name="Note 5 3 3 2 9" xfId="57197"/>
    <cellStyle name="Note 5 3 3 3" xfId="57198"/>
    <cellStyle name="Note 5 3 3 3 2" xfId="57199"/>
    <cellStyle name="Note 5 3 3 3 2 2" xfId="57200"/>
    <cellStyle name="Note 5 3 3 3 2 3" xfId="57201"/>
    <cellStyle name="Note 5 3 3 3 3" xfId="57202"/>
    <cellStyle name="Note 5 3 3 3 3 2" xfId="57203"/>
    <cellStyle name="Note 5 3 3 3 3 3" xfId="57204"/>
    <cellStyle name="Note 5 3 3 3 4" xfId="57205"/>
    <cellStyle name="Note 5 3 3 3 4 2" xfId="57206"/>
    <cellStyle name="Note 5 3 3 3 5" xfId="57207"/>
    <cellStyle name="Note 5 3 3 3 6" xfId="57208"/>
    <cellStyle name="Note 5 3 3 4" xfId="57209"/>
    <cellStyle name="Note 5 3 3 4 2" xfId="57210"/>
    <cellStyle name="Note 5 3 3 4 2 2" xfId="57211"/>
    <cellStyle name="Note 5 3 3 4 2 3" xfId="57212"/>
    <cellStyle name="Note 5 3 3 4 3" xfId="57213"/>
    <cellStyle name="Note 5 3 3 4 3 2" xfId="57214"/>
    <cellStyle name="Note 5 3 3 4 3 3" xfId="57215"/>
    <cellStyle name="Note 5 3 3 4 4" xfId="57216"/>
    <cellStyle name="Note 5 3 3 4 4 2" xfId="57217"/>
    <cellStyle name="Note 5 3 3 4 5" xfId="57218"/>
    <cellStyle name="Note 5 3 3 4 6" xfId="57219"/>
    <cellStyle name="Note 5 3 3 5" xfId="57220"/>
    <cellStyle name="Note 5 3 3 5 2" xfId="57221"/>
    <cellStyle name="Note 5 3 3 5 2 2" xfId="57222"/>
    <cellStyle name="Note 5 3 3 5 2 3" xfId="57223"/>
    <cellStyle name="Note 5 3 3 5 3" xfId="57224"/>
    <cellStyle name="Note 5 3 3 5 3 2" xfId="57225"/>
    <cellStyle name="Note 5 3 3 5 4" xfId="57226"/>
    <cellStyle name="Note 5 3 3 5 5" xfId="57227"/>
    <cellStyle name="Note 5 3 3 6" xfId="57228"/>
    <cellStyle name="Note 5 3 3 6 2" xfId="57229"/>
    <cellStyle name="Note 5 3 3 6 3" xfId="57230"/>
    <cellStyle name="Note 5 3 3 7" xfId="57231"/>
    <cellStyle name="Note 5 3 3 7 2" xfId="57232"/>
    <cellStyle name="Note 5 3 3 7 3" xfId="57233"/>
    <cellStyle name="Note 5 3 3 8" xfId="57234"/>
    <cellStyle name="Note 5 3 3 8 2" xfId="57235"/>
    <cellStyle name="Note 5 3 3 9" xfId="57236"/>
    <cellStyle name="Note 5 3 4" xfId="9333"/>
    <cellStyle name="Note 5 3 4 2" xfId="57237"/>
    <cellStyle name="Note 5 3 4 2 2" xfId="57238"/>
    <cellStyle name="Note 5 3 4 2 2 2" xfId="57239"/>
    <cellStyle name="Note 5 3 4 2 2 3" xfId="57240"/>
    <cellStyle name="Note 5 3 4 2 3" xfId="57241"/>
    <cellStyle name="Note 5 3 4 2 3 2" xfId="57242"/>
    <cellStyle name="Note 5 3 4 2 3 3" xfId="57243"/>
    <cellStyle name="Note 5 3 4 2 4" xfId="57244"/>
    <cellStyle name="Note 5 3 4 2 4 2" xfId="57245"/>
    <cellStyle name="Note 5 3 4 2 5" xfId="57246"/>
    <cellStyle name="Note 5 3 4 2 6" xfId="57247"/>
    <cellStyle name="Note 5 3 4 3" xfId="57248"/>
    <cellStyle name="Note 5 3 4 3 2" xfId="57249"/>
    <cellStyle name="Note 5 3 4 3 2 2" xfId="57250"/>
    <cellStyle name="Note 5 3 4 3 2 3" xfId="57251"/>
    <cellStyle name="Note 5 3 4 3 3" xfId="57252"/>
    <cellStyle name="Note 5 3 4 3 3 2" xfId="57253"/>
    <cellStyle name="Note 5 3 4 3 3 3" xfId="57254"/>
    <cellStyle name="Note 5 3 4 3 4" xfId="57255"/>
    <cellStyle name="Note 5 3 4 3 4 2" xfId="57256"/>
    <cellStyle name="Note 5 3 4 3 5" xfId="57257"/>
    <cellStyle name="Note 5 3 4 3 6" xfId="57258"/>
    <cellStyle name="Note 5 3 4 4" xfId="57259"/>
    <cellStyle name="Note 5 3 4 4 2" xfId="57260"/>
    <cellStyle name="Note 5 3 4 4 2 2" xfId="57261"/>
    <cellStyle name="Note 5 3 4 4 2 3" xfId="57262"/>
    <cellStyle name="Note 5 3 4 4 3" xfId="57263"/>
    <cellStyle name="Note 5 3 4 4 3 2" xfId="57264"/>
    <cellStyle name="Note 5 3 4 4 4" xfId="57265"/>
    <cellStyle name="Note 5 3 4 4 5" xfId="57266"/>
    <cellStyle name="Note 5 3 4 5" xfId="57267"/>
    <cellStyle name="Note 5 3 4 5 2" xfId="57268"/>
    <cellStyle name="Note 5 3 4 5 3" xfId="57269"/>
    <cellStyle name="Note 5 3 4 6" xfId="57270"/>
    <cellStyle name="Note 5 3 4 6 2" xfId="57271"/>
    <cellStyle name="Note 5 3 4 6 3" xfId="57272"/>
    <cellStyle name="Note 5 3 4 7" xfId="57273"/>
    <cellStyle name="Note 5 3 4 7 2" xfId="57274"/>
    <cellStyle name="Note 5 3 4 8" xfId="57275"/>
    <cellStyle name="Note 5 3 4 9" xfId="57276"/>
    <cellStyle name="Note 5 3 5" xfId="57277"/>
    <cellStyle name="Note 5 3 5 2" xfId="57278"/>
    <cellStyle name="Note 5 3 5 2 2" xfId="57279"/>
    <cellStyle name="Note 5 3 5 2 2 2" xfId="57280"/>
    <cellStyle name="Note 5 3 5 2 2 3" xfId="57281"/>
    <cellStyle name="Note 5 3 5 2 3" xfId="57282"/>
    <cellStyle name="Note 5 3 5 2 3 2" xfId="57283"/>
    <cellStyle name="Note 5 3 5 2 3 3" xfId="57284"/>
    <cellStyle name="Note 5 3 5 2 4" xfId="57285"/>
    <cellStyle name="Note 5 3 5 2 4 2" xfId="57286"/>
    <cellStyle name="Note 5 3 5 2 5" xfId="57287"/>
    <cellStyle name="Note 5 3 5 2 6" xfId="57288"/>
    <cellStyle name="Note 5 3 5 3" xfId="57289"/>
    <cellStyle name="Note 5 3 5 3 2" xfId="57290"/>
    <cellStyle name="Note 5 3 5 3 2 2" xfId="57291"/>
    <cellStyle name="Note 5 3 5 3 2 3" xfId="57292"/>
    <cellStyle name="Note 5 3 5 3 3" xfId="57293"/>
    <cellStyle name="Note 5 3 5 3 3 2" xfId="57294"/>
    <cellStyle name="Note 5 3 5 3 3 3" xfId="57295"/>
    <cellStyle name="Note 5 3 5 3 4" xfId="57296"/>
    <cellStyle name="Note 5 3 5 3 4 2" xfId="57297"/>
    <cellStyle name="Note 5 3 5 3 5" xfId="57298"/>
    <cellStyle name="Note 5 3 5 3 6" xfId="57299"/>
    <cellStyle name="Note 5 3 5 4" xfId="57300"/>
    <cellStyle name="Note 5 3 5 4 2" xfId="57301"/>
    <cellStyle name="Note 5 3 5 4 2 2" xfId="57302"/>
    <cellStyle name="Note 5 3 5 4 2 3" xfId="57303"/>
    <cellStyle name="Note 5 3 5 4 3" xfId="57304"/>
    <cellStyle name="Note 5 3 5 4 3 2" xfId="57305"/>
    <cellStyle name="Note 5 3 5 4 4" xfId="57306"/>
    <cellStyle name="Note 5 3 5 4 5" xfId="57307"/>
    <cellStyle name="Note 5 3 5 5" xfId="57308"/>
    <cellStyle name="Note 5 3 5 5 2" xfId="57309"/>
    <cellStyle name="Note 5 3 5 5 3" xfId="57310"/>
    <cellStyle name="Note 5 3 5 6" xfId="57311"/>
    <cellStyle name="Note 5 3 5 6 2" xfId="57312"/>
    <cellStyle name="Note 5 3 5 6 3" xfId="57313"/>
    <cellStyle name="Note 5 3 5 7" xfId="57314"/>
    <cellStyle name="Note 5 3 5 7 2" xfId="57315"/>
    <cellStyle name="Note 5 3 5 8" xfId="57316"/>
    <cellStyle name="Note 5 3 5 9" xfId="57317"/>
    <cellStyle name="Note 5 3 6" xfId="57318"/>
    <cellStyle name="Note 5 3 6 2" xfId="57319"/>
    <cellStyle name="Note 5 3 6 2 2" xfId="57320"/>
    <cellStyle name="Note 5 3 6 2 3" xfId="57321"/>
    <cellStyle name="Note 5 3 6 3" xfId="57322"/>
    <cellStyle name="Note 5 3 6 3 2" xfId="57323"/>
    <cellStyle name="Note 5 3 6 3 3" xfId="57324"/>
    <cellStyle name="Note 5 3 6 4" xfId="57325"/>
    <cellStyle name="Note 5 3 6 4 2" xfId="57326"/>
    <cellStyle name="Note 5 3 6 5" xfId="57327"/>
    <cellStyle name="Note 5 3 6 6" xfId="57328"/>
    <cellStyle name="Note 5 3 7" xfId="57329"/>
    <cellStyle name="Note 5 3 7 2" xfId="57330"/>
    <cellStyle name="Note 5 3 7 2 2" xfId="57331"/>
    <cellStyle name="Note 5 3 7 2 3" xfId="57332"/>
    <cellStyle name="Note 5 3 7 3" xfId="57333"/>
    <cellStyle name="Note 5 3 7 3 2" xfId="57334"/>
    <cellStyle name="Note 5 3 7 3 3" xfId="57335"/>
    <cellStyle name="Note 5 3 7 4" xfId="57336"/>
    <cellStyle name="Note 5 3 7 4 2" xfId="57337"/>
    <cellStyle name="Note 5 3 7 5" xfId="57338"/>
    <cellStyle name="Note 5 3 7 6" xfId="57339"/>
    <cellStyle name="Note 5 3 8" xfId="57340"/>
    <cellStyle name="Note 5 3 8 2" xfId="57341"/>
    <cellStyle name="Note 5 3 8 2 2" xfId="57342"/>
    <cellStyle name="Note 5 3 8 2 3" xfId="57343"/>
    <cellStyle name="Note 5 3 8 3" xfId="57344"/>
    <cellStyle name="Note 5 3 8 3 2" xfId="57345"/>
    <cellStyle name="Note 5 3 8 4" xfId="57346"/>
    <cellStyle name="Note 5 3 8 5" xfId="57347"/>
    <cellStyle name="Note 5 3 9" xfId="57348"/>
    <cellStyle name="Note 5 3 9 2" xfId="57349"/>
    <cellStyle name="Note 5 3 9 3" xfId="57350"/>
    <cellStyle name="Note 5 4" xfId="6138"/>
    <cellStyle name="Note 5 4 10" xfId="57351"/>
    <cellStyle name="Note 5 4 10 2" xfId="57352"/>
    <cellStyle name="Note 5 4 11" xfId="57353"/>
    <cellStyle name="Note 5 4 12" xfId="57354"/>
    <cellStyle name="Note 5 4 2" xfId="6139"/>
    <cellStyle name="Note 5 4 2 10" xfId="57355"/>
    <cellStyle name="Note 5 4 2 2" xfId="57356"/>
    <cellStyle name="Note 5 4 2 2 2" xfId="57357"/>
    <cellStyle name="Note 5 4 2 2 2 2" xfId="57358"/>
    <cellStyle name="Note 5 4 2 2 2 2 2" xfId="57359"/>
    <cellStyle name="Note 5 4 2 2 2 2 3" xfId="57360"/>
    <cellStyle name="Note 5 4 2 2 2 3" xfId="57361"/>
    <cellStyle name="Note 5 4 2 2 2 3 2" xfId="57362"/>
    <cellStyle name="Note 5 4 2 2 2 3 3" xfId="57363"/>
    <cellStyle name="Note 5 4 2 2 2 4" xfId="57364"/>
    <cellStyle name="Note 5 4 2 2 2 4 2" xfId="57365"/>
    <cellStyle name="Note 5 4 2 2 2 5" xfId="57366"/>
    <cellStyle name="Note 5 4 2 2 2 6" xfId="57367"/>
    <cellStyle name="Note 5 4 2 2 3" xfId="57368"/>
    <cellStyle name="Note 5 4 2 2 3 2" xfId="57369"/>
    <cellStyle name="Note 5 4 2 2 3 2 2" xfId="57370"/>
    <cellStyle name="Note 5 4 2 2 3 2 3" xfId="57371"/>
    <cellStyle name="Note 5 4 2 2 3 3" xfId="57372"/>
    <cellStyle name="Note 5 4 2 2 3 3 2" xfId="57373"/>
    <cellStyle name="Note 5 4 2 2 3 3 3" xfId="57374"/>
    <cellStyle name="Note 5 4 2 2 3 4" xfId="57375"/>
    <cellStyle name="Note 5 4 2 2 3 4 2" xfId="57376"/>
    <cellStyle name="Note 5 4 2 2 3 5" xfId="57377"/>
    <cellStyle name="Note 5 4 2 2 3 6" xfId="57378"/>
    <cellStyle name="Note 5 4 2 2 4" xfId="57379"/>
    <cellStyle name="Note 5 4 2 2 4 2" xfId="57380"/>
    <cellStyle name="Note 5 4 2 2 4 2 2" xfId="57381"/>
    <cellStyle name="Note 5 4 2 2 4 2 3" xfId="57382"/>
    <cellStyle name="Note 5 4 2 2 4 3" xfId="57383"/>
    <cellStyle name="Note 5 4 2 2 4 3 2" xfId="57384"/>
    <cellStyle name="Note 5 4 2 2 4 4" xfId="57385"/>
    <cellStyle name="Note 5 4 2 2 4 5" xfId="57386"/>
    <cellStyle name="Note 5 4 2 2 5" xfId="57387"/>
    <cellStyle name="Note 5 4 2 2 5 2" xfId="57388"/>
    <cellStyle name="Note 5 4 2 2 5 3" xfId="57389"/>
    <cellStyle name="Note 5 4 2 2 6" xfId="57390"/>
    <cellStyle name="Note 5 4 2 2 6 2" xfId="57391"/>
    <cellStyle name="Note 5 4 2 2 6 3" xfId="57392"/>
    <cellStyle name="Note 5 4 2 2 7" xfId="57393"/>
    <cellStyle name="Note 5 4 2 2 7 2" xfId="57394"/>
    <cellStyle name="Note 5 4 2 2 8" xfId="57395"/>
    <cellStyle name="Note 5 4 2 2 9" xfId="57396"/>
    <cellStyle name="Note 5 4 2 3" xfId="57397"/>
    <cellStyle name="Note 5 4 2 3 2" xfId="57398"/>
    <cellStyle name="Note 5 4 2 3 2 2" xfId="57399"/>
    <cellStyle name="Note 5 4 2 3 2 3" xfId="57400"/>
    <cellStyle name="Note 5 4 2 3 3" xfId="57401"/>
    <cellStyle name="Note 5 4 2 3 3 2" xfId="57402"/>
    <cellStyle name="Note 5 4 2 3 3 3" xfId="57403"/>
    <cellStyle name="Note 5 4 2 3 4" xfId="57404"/>
    <cellStyle name="Note 5 4 2 3 4 2" xfId="57405"/>
    <cellStyle name="Note 5 4 2 3 5" xfId="57406"/>
    <cellStyle name="Note 5 4 2 3 6" xfId="57407"/>
    <cellStyle name="Note 5 4 2 4" xfId="57408"/>
    <cellStyle name="Note 5 4 2 4 2" xfId="57409"/>
    <cellStyle name="Note 5 4 2 4 2 2" xfId="57410"/>
    <cellStyle name="Note 5 4 2 4 2 3" xfId="57411"/>
    <cellStyle name="Note 5 4 2 4 3" xfId="57412"/>
    <cellStyle name="Note 5 4 2 4 3 2" xfId="57413"/>
    <cellStyle name="Note 5 4 2 4 3 3" xfId="57414"/>
    <cellStyle name="Note 5 4 2 4 4" xfId="57415"/>
    <cellStyle name="Note 5 4 2 4 4 2" xfId="57416"/>
    <cellStyle name="Note 5 4 2 4 5" xfId="57417"/>
    <cellStyle name="Note 5 4 2 4 6" xfId="57418"/>
    <cellStyle name="Note 5 4 2 5" xfId="57419"/>
    <cellStyle name="Note 5 4 2 5 2" xfId="57420"/>
    <cellStyle name="Note 5 4 2 5 2 2" xfId="57421"/>
    <cellStyle name="Note 5 4 2 5 2 3" xfId="57422"/>
    <cellStyle name="Note 5 4 2 5 3" xfId="57423"/>
    <cellStyle name="Note 5 4 2 5 3 2" xfId="57424"/>
    <cellStyle name="Note 5 4 2 5 4" xfId="57425"/>
    <cellStyle name="Note 5 4 2 5 5" xfId="57426"/>
    <cellStyle name="Note 5 4 2 6" xfId="57427"/>
    <cellStyle name="Note 5 4 2 6 2" xfId="57428"/>
    <cellStyle name="Note 5 4 2 6 3" xfId="57429"/>
    <cellStyle name="Note 5 4 2 7" xfId="57430"/>
    <cellStyle name="Note 5 4 2 7 2" xfId="57431"/>
    <cellStyle name="Note 5 4 2 7 3" xfId="57432"/>
    <cellStyle name="Note 5 4 2 8" xfId="57433"/>
    <cellStyle name="Note 5 4 2 8 2" xfId="57434"/>
    <cellStyle name="Note 5 4 2 9" xfId="57435"/>
    <cellStyle name="Note 5 4 3" xfId="9334"/>
    <cellStyle name="Note 5 4 3 2" xfId="57436"/>
    <cellStyle name="Note 5 4 3 2 2" xfId="57437"/>
    <cellStyle name="Note 5 4 3 2 2 2" xfId="57438"/>
    <cellStyle name="Note 5 4 3 2 2 3" xfId="57439"/>
    <cellStyle name="Note 5 4 3 2 3" xfId="57440"/>
    <cellStyle name="Note 5 4 3 2 3 2" xfId="57441"/>
    <cellStyle name="Note 5 4 3 2 3 3" xfId="57442"/>
    <cellStyle name="Note 5 4 3 2 4" xfId="57443"/>
    <cellStyle name="Note 5 4 3 2 4 2" xfId="57444"/>
    <cellStyle name="Note 5 4 3 2 5" xfId="57445"/>
    <cellStyle name="Note 5 4 3 2 6" xfId="57446"/>
    <cellStyle name="Note 5 4 3 3" xfId="57447"/>
    <cellStyle name="Note 5 4 3 3 2" xfId="57448"/>
    <cellStyle name="Note 5 4 3 3 2 2" xfId="57449"/>
    <cellStyle name="Note 5 4 3 3 2 3" xfId="57450"/>
    <cellStyle name="Note 5 4 3 3 3" xfId="57451"/>
    <cellStyle name="Note 5 4 3 3 3 2" xfId="57452"/>
    <cellStyle name="Note 5 4 3 3 3 3" xfId="57453"/>
    <cellStyle name="Note 5 4 3 3 4" xfId="57454"/>
    <cellStyle name="Note 5 4 3 3 4 2" xfId="57455"/>
    <cellStyle name="Note 5 4 3 3 5" xfId="57456"/>
    <cellStyle name="Note 5 4 3 3 6" xfId="57457"/>
    <cellStyle name="Note 5 4 3 4" xfId="57458"/>
    <cellStyle name="Note 5 4 3 4 2" xfId="57459"/>
    <cellStyle name="Note 5 4 3 4 2 2" xfId="57460"/>
    <cellStyle name="Note 5 4 3 4 2 3" xfId="57461"/>
    <cellStyle name="Note 5 4 3 4 3" xfId="57462"/>
    <cellStyle name="Note 5 4 3 4 3 2" xfId="57463"/>
    <cellStyle name="Note 5 4 3 4 4" xfId="57464"/>
    <cellStyle name="Note 5 4 3 4 5" xfId="57465"/>
    <cellStyle name="Note 5 4 3 5" xfId="57466"/>
    <cellStyle name="Note 5 4 3 5 2" xfId="57467"/>
    <cellStyle name="Note 5 4 3 5 3" xfId="57468"/>
    <cellStyle name="Note 5 4 3 6" xfId="57469"/>
    <cellStyle name="Note 5 4 3 6 2" xfId="57470"/>
    <cellStyle name="Note 5 4 3 6 3" xfId="57471"/>
    <cellStyle name="Note 5 4 3 7" xfId="57472"/>
    <cellStyle name="Note 5 4 3 7 2" xfId="57473"/>
    <cellStyle name="Note 5 4 3 8" xfId="57474"/>
    <cellStyle name="Note 5 4 3 9" xfId="57475"/>
    <cellStyle name="Note 5 4 4" xfId="57476"/>
    <cellStyle name="Note 5 4 4 2" xfId="57477"/>
    <cellStyle name="Note 5 4 4 2 2" xfId="57478"/>
    <cellStyle name="Note 5 4 4 2 2 2" xfId="57479"/>
    <cellStyle name="Note 5 4 4 2 2 3" xfId="57480"/>
    <cellStyle name="Note 5 4 4 2 3" xfId="57481"/>
    <cellStyle name="Note 5 4 4 2 3 2" xfId="57482"/>
    <cellStyle name="Note 5 4 4 2 3 3" xfId="57483"/>
    <cellStyle name="Note 5 4 4 2 4" xfId="57484"/>
    <cellStyle name="Note 5 4 4 2 4 2" xfId="57485"/>
    <cellStyle name="Note 5 4 4 2 5" xfId="57486"/>
    <cellStyle name="Note 5 4 4 2 6" xfId="57487"/>
    <cellStyle name="Note 5 4 4 3" xfId="57488"/>
    <cellStyle name="Note 5 4 4 3 2" xfId="57489"/>
    <cellStyle name="Note 5 4 4 3 2 2" xfId="57490"/>
    <cellStyle name="Note 5 4 4 3 2 3" xfId="57491"/>
    <cellStyle name="Note 5 4 4 3 3" xfId="57492"/>
    <cellStyle name="Note 5 4 4 3 3 2" xfId="57493"/>
    <cellStyle name="Note 5 4 4 3 3 3" xfId="57494"/>
    <cellStyle name="Note 5 4 4 3 4" xfId="57495"/>
    <cellStyle name="Note 5 4 4 3 4 2" xfId="57496"/>
    <cellStyle name="Note 5 4 4 3 5" xfId="57497"/>
    <cellStyle name="Note 5 4 4 3 6" xfId="57498"/>
    <cellStyle name="Note 5 4 4 4" xfId="57499"/>
    <cellStyle name="Note 5 4 4 4 2" xfId="57500"/>
    <cellStyle name="Note 5 4 4 4 2 2" xfId="57501"/>
    <cellStyle name="Note 5 4 4 4 2 3" xfId="57502"/>
    <cellStyle name="Note 5 4 4 4 3" xfId="57503"/>
    <cellStyle name="Note 5 4 4 4 3 2" xfId="57504"/>
    <cellStyle name="Note 5 4 4 4 4" xfId="57505"/>
    <cellStyle name="Note 5 4 4 4 5" xfId="57506"/>
    <cellStyle name="Note 5 4 4 5" xfId="57507"/>
    <cellStyle name="Note 5 4 4 5 2" xfId="57508"/>
    <cellStyle name="Note 5 4 4 5 3" xfId="57509"/>
    <cellStyle name="Note 5 4 4 6" xfId="57510"/>
    <cellStyle name="Note 5 4 4 6 2" xfId="57511"/>
    <cellStyle name="Note 5 4 4 6 3" xfId="57512"/>
    <cellStyle name="Note 5 4 4 7" xfId="57513"/>
    <cellStyle name="Note 5 4 4 7 2" xfId="57514"/>
    <cellStyle name="Note 5 4 4 8" xfId="57515"/>
    <cellStyle name="Note 5 4 4 9" xfId="57516"/>
    <cellStyle name="Note 5 4 5" xfId="57517"/>
    <cellStyle name="Note 5 4 5 2" xfId="57518"/>
    <cellStyle name="Note 5 4 5 2 2" xfId="57519"/>
    <cellStyle name="Note 5 4 5 2 3" xfId="57520"/>
    <cellStyle name="Note 5 4 5 3" xfId="57521"/>
    <cellStyle name="Note 5 4 5 3 2" xfId="57522"/>
    <cellStyle name="Note 5 4 5 3 3" xfId="57523"/>
    <cellStyle name="Note 5 4 5 4" xfId="57524"/>
    <cellStyle name="Note 5 4 5 4 2" xfId="57525"/>
    <cellStyle name="Note 5 4 5 5" xfId="57526"/>
    <cellStyle name="Note 5 4 5 6" xfId="57527"/>
    <cellStyle name="Note 5 4 6" xfId="57528"/>
    <cellStyle name="Note 5 4 6 2" xfId="57529"/>
    <cellStyle name="Note 5 4 6 2 2" xfId="57530"/>
    <cellStyle name="Note 5 4 6 2 3" xfId="57531"/>
    <cellStyle name="Note 5 4 6 3" xfId="57532"/>
    <cellStyle name="Note 5 4 6 3 2" xfId="57533"/>
    <cellStyle name="Note 5 4 6 3 3" xfId="57534"/>
    <cellStyle name="Note 5 4 6 4" xfId="57535"/>
    <cellStyle name="Note 5 4 6 4 2" xfId="57536"/>
    <cellStyle name="Note 5 4 6 5" xfId="57537"/>
    <cellStyle name="Note 5 4 6 6" xfId="57538"/>
    <cellStyle name="Note 5 4 7" xfId="57539"/>
    <cellStyle name="Note 5 4 7 2" xfId="57540"/>
    <cellStyle name="Note 5 4 7 2 2" xfId="57541"/>
    <cellStyle name="Note 5 4 7 2 3" xfId="57542"/>
    <cellStyle name="Note 5 4 7 3" xfId="57543"/>
    <cellStyle name="Note 5 4 7 3 2" xfId="57544"/>
    <cellStyle name="Note 5 4 7 4" xfId="57545"/>
    <cellStyle name="Note 5 4 7 5" xfId="57546"/>
    <cellStyle name="Note 5 4 8" xfId="57547"/>
    <cellStyle name="Note 5 4 8 2" xfId="57548"/>
    <cellStyle name="Note 5 4 8 3" xfId="57549"/>
    <cellStyle name="Note 5 4 9" xfId="57550"/>
    <cellStyle name="Note 5 4 9 2" xfId="57551"/>
    <cellStyle name="Note 5 4 9 3" xfId="57552"/>
    <cellStyle name="Note 5 5" xfId="6140"/>
    <cellStyle name="Note 5 5 10" xfId="57553"/>
    <cellStyle name="Note 5 5 2" xfId="57554"/>
    <cellStyle name="Note 5 5 2 2" xfId="57555"/>
    <cellStyle name="Note 5 5 2 2 2" xfId="57556"/>
    <cellStyle name="Note 5 5 2 2 2 2" xfId="57557"/>
    <cellStyle name="Note 5 5 2 2 2 3" xfId="57558"/>
    <cellStyle name="Note 5 5 2 2 3" xfId="57559"/>
    <cellStyle name="Note 5 5 2 2 3 2" xfId="57560"/>
    <cellStyle name="Note 5 5 2 2 3 3" xfId="57561"/>
    <cellStyle name="Note 5 5 2 2 4" xfId="57562"/>
    <cellStyle name="Note 5 5 2 2 4 2" xfId="57563"/>
    <cellStyle name="Note 5 5 2 2 5" xfId="57564"/>
    <cellStyle name="Note 5 5 2 2 6" xfId="57565"/>
    <cellStyle name="Note 5 5 2 3" xfId="57566"/>
    <cellStyle name="Note 5 5 2 3 2" xfId="57567"/>
    <cellStyle name="Note 5 5 2 3 2 2" xfId="57568"/>
    <cellStyle name="Note 5 5 2 3 2 3" xfId="57569"/>
    <cellStyle name="Note 5 5 2 3 3" xfId="57570"/>
    <cellStyle name="Note 5 5 2 3 3 2" xfId="57571"/>
    <cellStyle name="Note 5 5 2 3 3 3" xfId="57572"/>
    <cellStyle name="Note 5 5 2 3 4" xfId="57573"/>
    <cellStyle name="Note 5 5 2 3 4 2" xfId="57574"/>
    <cellStyle name="Note 5 5 2 3 5" xfId="57575"/>
    <cellStyle name="Note 5 5 2 3 6" xfId="57576"/>
    <cellStyle name="Note 5 5 2 4" xfId="57577"/>
    <cellStyle name="Note 5 5 2 4 2" xfId="57578"/>
    <cellStyle name="Note 5 5 2 4 2 2" xfId="57579"/>
    <cellStyle name="Note 5 5 2 4 2 3" xfId="57580"/>
    <cellStyle name="Note 5 5 2 4 3" xfId="57581"/>
    <cellStyle name="Note 5 5 2 4 3 2" xfId="57582"/>
    <cellStyle name="Note 5 5 2 4 4" xfId="57583"/>
    <cellStyle name="Note 5 5 2 4 5" xfId="57584"/>
    <cellStyle name="Note 5 5 2 5" xfId="57585"/>
    <cellStyle name="Note 5 5 2 5 2" xfId="57586"/>
    <cellStyle name="Note 5 5 2 5 3" xfId="57587"/>
    <cellStyle name="Note 5 5 2 6" xfId="57588"/>
    <cellStyle name="Note 5 5 2 6 2" xfId="57589"/>
    <cellStyle name="Note 5 5 2 6 3" xfId="57590"/>
    <cellStyle name="Note 5 5 2 7" xfId="57591"/>
    <cellStyle name="Note 5 5 2 7 2" xfId="57592"/>
    <cellStyle name="Note 5 5 2 8" xfId="57593"/>
    <cellStyle name="Note 5 5 2 9" xfId="57594"/>
    <cellStyle name="Note 5 5 3" xfId="57595"/>
    <cellStyle name="Note 5 5 3 2" xfId="57596"/>
    <cellStyle name="Note 5 5 3 2 2" xfId="57597"/>
    <cellStyle name="Note 5 5 3 2 3" xfId="57598"/>
    <cellStyle name="Note 5 5 3 3" xfId="57599"/>
    <cellStyle name="Note 5 5 3 3 2" xfId="57600"/>
    <cellStyle name="Note 5 5 3 3 3" xfId="57601"/>
    <cellStyle name="Note 5 5 3 4" xfId="57602"/>
    <cellStyle name="Note 5 5 3 4 2" xfId="57603"/>
    <cellStyle name="Note 5 5 3 5" xfId="57604"/>
    <cellStyle name="Note 5 5 3 6" xfId="57605"/>
    <cellStyle name="Note 5 5 4" xfId="57606"/>
    <cellStyle name="Note 5 5 4 2" xfId="57607"/>
    <cellStyle name="Note 5 5 4 2 2" xfId="57608"/>
    <cellStyle name="Note 5 5 4 2 3" xfId="57609"/>
    <cellStyle name="Note 5 5 4 3" xfId="57610"/>
    <cellStyle name="Note 5 5 4 3 2" xfId="57611"/>
    <cellStyle name="Note 5 5 4 3 3" xfId="57612"/>
    <cellStyle name="Note 5 5 4 4" xfId="57613"/>
    <cellStyle name="Note 5 5 4 4 2" xfId="57614"/>
    <cellStyle name="Note 5 5 4 5" xfId="57615"/>
    <cellStyle name="Note 5 5 4 6" xfId="57616"/>
    <cellStyle name="Note 5 5 5" xfId="57617"/>
    <cellStyle name="Note 5 5 5 2" xfId="57618"/>
    <cellStyle name="Note 5 5 5 2 2" xfId="57619"/>
    <cellStyle name="Note 5 5 5 2 3" xfId="57620"/>
    <cellStyle name="Note 5 5 5 3" xfId="57621"/>
    <cellStyle name="Note 5 5 5 3 2" xfId="57622"/>
    <cellStyle name="Note 5 5 5 4" xfId="57623"/>
    <cellStyle name="Note 5 5 5 5" xfId="57624"/>
    <cellStyle name="Note 5 5 6" xfId="57625"/>
    <cellStyle name="Note 5 5 6 2" xfId="57626"/>
    <cellStyle name="Note 5 5 6 3" xfId="57627"/>
    <cellStyle name="Note 5 5 7" xfId="57628"/>
    <cellStyle name="Note 5 5 7 2" xfId="57629"/>
    <cellStyle name="Note 5 5 7 3" xfId="57630"/>
    <cellStyle name="Note 5 5 8" xfId="57631"/>
    <cellStyle name="Note 5 5 8 2" xfId="57632"/>
    <cellStyle name="Note 5 5 9" xfId="57633"/>
    <cellStyle name="Note 5 6" xfId="6141"/>
    <cellStyle name="Note 5 6 2" xfId="57634"/>
    <cellStyle name="Note 5 6 2 2" xfId="57635"/>
    <cellStyle name="Note 5 6 2 2 2" xfId="57636"/>
    <cellStyle name="Note 5 6 2 2 3" xfId="57637"/>
    <cellStyle name="Note 5 6 2 3" xfId="57638"/>
    <cellStyle name="Note 5 6 2 3 2" xfId="57639"/>
    <cellStyle name="Note 5 6 2 3 3" xfId="57640"/>
    <cellStyle name="Note 5 6 2 4" xfId="57641"/>
    <cellStyle name="Note 5 6 2 4 2" xfId="57642"/>
    <cellStyle name="Note 5 6 2 5" xfId="57643"/>
    <cellStyle name="Note 5 6 2 6" xfId="57644"/>
    <cellStyle name="Note 5 6 3" xfId="57645"/>
    <cellStyle name="Note 5 6 3 2" xfId="57646"/>
    <cellStyle name="Note 5 6 3 2 2" xfId="57647"/>
    <cellStyle name="Note 5 6 3 2 3" xfId="57648"/>
    <cellStyle name="Note 5 6 3 3" xfId="57649"/>
    <cellStyle name="Note 5 6 3 3 2" xfId="57650"/>
    <cellStyle name="Note 5 6 3 3 3" xfId="57651"/>
    <cellStyle name="Note 5 6 3 4" xfId="57652"/>
    <cellStyle name="Note 5 6 3 4 2" xfId="57653"/>
    <cellStyle name="Note 5 6 3 5" xfId="57654"/>
    <cellStyle name="Note 5 6 3 6" xfId="57655"/>
    <cellStyle name="Note 5 6 4" xfId="57656"/>
    <cellStyle name="Note 5 6 4 2" xfId="57657"/>
    <cellStyle name="Note 5 6 4 2 2" xfId="57658"/>
    <cellStyle name="Note 5 6 4 2 3" xfId="57659"/>
    <cellStyle name="Note 5 6 4 3" xfId="57660"/>
    <cellStyle name="Note 5 6 4 3 2" xfId="57661"/>
    <cellStyle name="Note 5 6 4 4" xfId="57662"/>
    <cellStyle name="Note 5 6 4 5" xfId="57663"/>
    <cellStyle name="Note 5 6 5" xfId="57664"/>
    <cellStyle name="Note 5 6 5 2" xfId="57665"/>
    <cellStyle name="Note 5 6 5 3" xfId="57666"/>
    <cellStyle name="Note 5 6 6" xfId="57667"/>
    <cellStyle name="Note 5 6 6 2" xfId="57668"/>
    <cellStyle name="Note 5 6 6 3" xfId="57669"/>
    <cellStyle name="Note 5 6 7" xfId="57670"/>
    <cellStyle name="Note 5 6 7 2" xfId="57671"/>
    <cellStyle name="Note 5 6 8" xfId="57672"/>
    <cellStyle name="Note 5 6 9" xfId="57673"/>
    <cellStyle name="Note 5 7" xfId="6142"/>
    <cellStyle name="Note 5 7 2" xfId="57674"/>
    <cellStyle name="Note 5 7 2 2" xfId="57675"/>
    <cellStyle name="Note 5 7 2 2 2" xfId="57676"/>
    <cellStyle name="Note 5 7 2 2 3" xfId="57677"/>
    <cellStyle name="Note 5 7 2 3" xfId="57678"/>
    <cellStyle name="Note 5 7 2 3 2" xfId="57679"/>
    <cellStyle name="Note 5 7 2 3 3" xfId="57680"/>
    <cellStyle name="Note 5 7 2 4" xfId="57681"/>
    <cellStyle name="Note 5 7 2 4 2" xfId="57682"/>
    <cellStyle name="Note 5 7 2 5" xfId="57683"/>
    <cellStyle name="Note 5 7 2 6" xfId="57684"/>
    <cellStyle name="Note 5 7 3" xfId="57685"/>
    <cellStyle name="Note 5 7 3 2" xfId="57686"/>
    <cellStyle name="Note 5 7 3 2 2" xfId="57687"/>
    <cellStyle name="Note 5 7 3 2 3" xfId="57688"/>
    <cellStyle name="Note 5 7 3 3" xfId="57689"/>
    <cellStyle name="Note 5 7 3 3 2" xfId="57690"/>
    <cellStyle name="Note 5 7 3 3 3" xfId="57691"/>
    <cellStyle name="Note 5 7 3 4" xfId="57692"/>
    <cellStyle name="Note 5 7 3 4 2" xfId="57693"/>
    <cellStyle name="Note 5 7 3 5" xfId="57694"/>
    <cellStyle name="Note 5 7 3 6" xfId="57695"/>
    <cellStyle name="Note 5 7 4" xfId="57696"/>
    <cellStyle name="Note 5 7 4 2" xfId="57697"/>
    <cellStyle name="Note 5 7 4 2 2" xfId="57698"/>
    <cellStyle name="Note 5 7 4 2 3" xfId="57699"/>
    <cellStyle name="Note 5 7 4 3" xfId="57700"/>
    <cellStyle name="Note 5 7 4 3 2" xfId="57701"/>
    <cellStyle name="Note 5 7 4 4" xfId="57702"/>
    <cellStyle name="Note 5 7 4 5" xfId="57703"/>
    <cellStyle name="Note 5 7 5" xfId="57704"/>
    <cellStyle name="Note 5 7 5 2" xfId="57705"/>
    <cellStyle name="Note 5 7 5 3" xfId="57706"/>
    <cellStyle name="Note 5 7 6" xfId="57707"/>
    <cellStyle name="Note 5 7 6 2" xfId="57708"/>
    <cellStyle name="Note 5 7 6 3" xfId="57709"/>
    <cellStyle name="Note 5 7 7" xfId="57710"/>
    <cellStyle name="Note 5 7 7 2" xfId="57711"/>
    <cellStyle name="Note 5 7 8" xfId="57712"/>
    <cellStyle name="Note 5 7 9" xfId="57713"/>
    <cellStyle name="Note 5 8" xfId="6143"/>
    <cellStyle name="Note 5 8 2" xfId="57714"/>
    <cellStyle name="Note 5 8 2 2" xfId="57715"/>
    <cellStyle name="Note 5 8 2 3" xfId="57716"/>
    <cellStyle name="Note 5 8 3" xfId="57717"/>
    <cellStyle name="Note 5 8 3 2" xfId="57718"/>
    <cellStyle name="Note 5 8 3 3" xfId="57719"/>
    <cellStyle name="Note 5 8 4" xfId="57720"/>
    <cellStyle name="Note 5 8 4 2" xfId="57721"/>
    <cellStyle name="Note 5 8 5" xfId="57722"/>
    <cellStyle name="Note 5 8 6" xfId="57723"/>
    <cellStyle name="Note 5 9" xfId="6144"/>
    <cellStyle name="Note 5 9 2" xfId="57724"/>
    <cellStyle name="Note 5 9 2 2" xfId="57725"/>
    <cellStyle name="Note 5 9 2 3" xfId="57726"/>
    <cellStyle name="Note 5 9 3" xfId="57727"/>
    <cellStyle name="Note 5 9 3 2" xfId="57728"/>
    <cellStyle name="Note 5 9 3 3" xfId="57729"/>
    <cellStyle name="Note 5 9 4" xfId="57730"/>
    <cellStyle name="Note 5 9 4 2" xfId="57731"/>
    <cellStyle name="Note 5 9 5" xfId="57732"/>
    <cellStyle name="Note 5 9 6" xfId="57733"/>
    <cellStyle name="Note 6" xfId="6145"/>
    <cellStyle name="Note 6 10" xfId="6146"/>
    <cellStyle name="Note 6 10 2" xfId="60464"/>
    <cellStyle name="Note 6 11" xfId="6147"/>
    <cellStyle name="Note 6 12" xfId="6148"/>
    <cellStyle name="Note 6 13" xfId="9335"/>
    <cellStyle name="Note 6 2" xfId="6149"/>
    <cellStyle name="Note 6 2 10" xfId="6150"/>
    <cellStyle name="Note 6 2 11" xfId="6151"/>
    <cellStyle name="Note 6 2 12" xfId="9336"/>
    <cellStyle name="Note 6 2 2" xfId="6152"/>
    <cellStyle name="Note 6 2 2 2" xfId="6153"/>
    <cellStyle name="Note 6 2 2 3" xfId="6154"/>
    <cellStyle name="Note 6 2 3" xfId="6155"/>
    <cellStyle name="Note 6 2 3 2" xfId="6156"/>
    <cellStyle name="Note 6 2 4" xfId="6157"/>
    <cellStyle name="Note 6 2 4 2" xfId="60465"/>
    <cellStyle name="Note 6 2 5" xfId="6158"/>
    <cellStyle name="Note 6 2 5 2" xfId="60466"/>
    <cellStyle name="Note 6 2 6" xfId="6159"/>
    <cellStyle name="Note 6 2 6 2" xfId="60467"/>
    <cellStyle name="Note 6 2 7" xfId="6160"/>
    <cellStyle name="Note 6 2 7 2" xfId="60468"/>
    <cellStyle name="Note 6 2 8" xfId="6161"/>
    <cellStyle name="Note 6 2 8 2" xfId="60469"/>
    <cellStyle name="Note 6 2 9" xfId="6162"/>
    <cellStyle name="Note 6 2 9 2" xfId="60470"/>
    <cellStyle name="Note 6 3" xfId="6163"/>
    <cellStyle name="Note 6 3 2" xfId="6164"/>
    <cellStyle name="Note 6 3 3" xfId="6165"/>
    <cellStyle name="Note 6 3 4" xfId="60471"/>
    <cellStyle name="Note 6 4" xfId="6166"/>
    <cellStyle name="Note 6 4 2" xfId="6167"/>
    <cellStyle name="Note 6 5" xfId="6168"/>
    <cellStyle name="Note 6 5 2" xfId="60472"/>
    <cellStyle name="Note 6 6" xfId="6169"/>
    <cellStyle name="Note 6 6 2" xfId="60473"/>
    <cellStyle name="Note 6 7" xfId="6170"/>
    <cellStyle name="Note 6 7 2" xfId="60474"/>
    <cellStyle name="Note 6 8" xfId="6171"/>
    <cellStyle name="Note 6 8 2" xfId="60475"/>
    <cellStyle name="Note 6 9" xfId="6172"/>
    <cellStyle name="Note 6 9 2" xfId="60476"/>
    <cellStyle name="Note 7" xfId="6173"/>
    <cellStyle name="Note 7 10" xfId="6174"/>
    <cellStyle name="Note 7 10 2" xfId="60477"/>
    <cellStyle name="Note 7 11" xfId="6175"/>
    <cellStyle name="Note 7 12" xfId="6176"/>
    <cellStyle name="Note 7 13" xfId="9337"/>
    <cellStyle name="Note 7 2" xfId="6177"/>
    <cellStyle name="Note 7 2 10" xfId="6178"/>
    <cellStyle name="Note 7 2 11" xfId="6179"/>
    <cellStyle name="Note 7 2 12" xfId="60478"/>
    <cellStyle name="Note 7 2 2" xfId="6180"/>
    <cellStyle name="Note 7 2 2 2" xfId="6181"/>
    <cellStyle name="Note 7 2 3" xfId="6182"/>
    <cellStyle name="Note 7 2 3 2" xfId="60479"/>
    <cellStyle name="Note 7 2 4" xfId="6183"/>
    <cellStyle name="Note 7 2 4 2" xfId="60480"/>
    <cellStyle name="Note 7 2 5" xfId="6184"/>
    <cellStyle name="Note 7 2 5 2" xfId="60481"/>
    <cellStyle name="Note 7 2 6" xfId="6185"/>
    <cellStyle name="Note 7 2 6 2" xfId="60482"/>
    <cellStyle name="Note 7 2 7" xfId="6186"/>
    <cellStyle name="Note 7 2 7 2" xfId="60483"/>
    <cellStyle name="Note 7 2 8" xfId="6187"/>
    <cellStyle name="Note 7 2 8 2" xfId="60484"/>
    <cellStyle name="Note 7 2 9" xfId="6188"/>
    <cellStyle name="Note 7 2 9 2" xfId="60485"/>
    <cellStyle name="Note 7 3" xfId="6189"/>
    <cellStyle name="Note 7 3 2" xfId="6190"/>
    <cellStyle name="Note 7 3 3" xfId="60486"/>
    <cellStyle name="Note 7 4" xfId="6191"/>
    <cellStyle name="Note 7 4 2" xfId="60487"/>
    <cellStyle name="Note 7 5" xfId="6192"/>
    <cellStyle name="Note 7 5 2" xfId="60488"/>
    <cellStyle name="Note 7 6" xfId="6193"/>
    <cellStyle name="Note 7 6 2" xfId="60489"/>
    <cellStyle name="Note 7 7" xfId="6194"/>
    <cellStyle name="Note 7 7 2" xfId="60490"/>
    <cellStyle name="Note 7 8" xfId="6195"/>
    <cellStyle name="Note 7 8 2" xfId="60491"/>
    <cellStyle name="Note 7 9" xfId="6196"/>
    <cellStyle name="Note 7 9 2" xfId="60492"/>
    <cellStyle name="Note 8" xfId="6197"/>
    <cellStyle name="Note 8 10" xfId="6198"/>
    <cellStyle name="Note 8 10 2" xfId="60493"/>
    <cellStyle name="Note 8 11" xfId="6199"/>
    <cellStyle name="Note 8 12" xfId="6200"/>
    <cellStyle name="Note 8 13" xfId="9338"/>
    <cellStyle name="Note 8 2" xfId="6201"/>
    <cellStyle name="Note 8 2 10" xfId="6202"/>
    <cellStyle name="Note 8 2 11" xfId="6203"/>
    <cellStyle name="Note 8 2 12" xfId="60494"/>
    <cellStyle name="Note 8 2 2" xfId="6204"/>
    <cellStyle name="Note 8 2 2 2" xfId="6205"/>
    <cellStyle name="Note 8 2 3" xfId="6206"/>
    <cellStyle name="Note 8 2 3 2" xfId="60495"/>
    <cellStyle name="Note 8 2 4" xfId="6207"/>
    <cellStyle name="Note 8 2 4 2" xfId="60496"/>
    <cellStyle name="Note 8 2 5" xfId="6208"/>
    <cellStyle name="Note 8 2 5 2" xfId="60497"/>
    <cellStyle name="Note 8 2 6" xfId="6209"/>
    <cellStyle name="Note 8 2 6 2" xfId="60498"/>
    <cellStyle name="Note 8 2 7" xfId="6210"/>
    <cellStyle name="Note 8 2 7 2" xfId="60499"/>
    <cellStyle name="Note 8 2 8" xfId="6211"/>
    <cellStyle name="Note 8 2 8 2" xfId="60500"/>
    <cellStyle name="Note 8 2 9" xfId="6212"/>
    <cellStyle name="Note 8 2 9 2" xfId="60501"/>
    <cellStyle name="Note 8 3" xfId="6213"/>
    <cellStyle name="Note 8 3 2" xfId="6214"/>
    <cellStyle name="Note 8 3 3" xfId="60502"/>
    <cellStyle name="Note 8 4" xfId="6215"/>
    <cellStyle name="Note 8 4 2" xfId="60503"/>
    <cellStyle name="Note 8 5" xfId="6216"/>
    <cellStyle name="Note 8 5 2" xfId="60504"/>
    <cellStyle name="Note 8 6" xfId="6217"/>
    <cellStyle name="Note 8 6 2" xfId="60505"/>
    <cellStyle name="Note 8 7" xfId="6218"/>
    <cellStyle name="Note 8 7 2" xfId="60506"/>
    <cellStyle name="Note 8 8" xfId="6219"/>
    <cellStyle name="Note 8 8 2" xfId="60507"/>
    <cellStyle name="Note 8 9" xfId="6220"/>
    <cellStyle name="Note 8 9 2" xfId="60508"/>
    <cellStyle name="Note 9" xfId="6221"/>
    <cellStyle name="Note 9 10" xfId="6222"/>
    <cellStyle name="Note 9 10 2" xfId="60509"/>
    <cellStyle name="Note 9 11" xfId="6223"/>
    <cellStyle name="Note 9 12" xfId="6224"/>
    <cellStyle name="Note 9 13" xfId="60510"/>
    <cellStyle name="Note 9 2" xfId="6225"/>
    <cellStyle name="Note 9 2 10" xfId="6226"/>
    <cellStyle name="Note 9 2 11" xfId="6227"/>
    <cellStyle name="Note 9 2 2" xfId="6228"/>
    <cellStyle name="Note 9 2 2 2" xfId="6229"/>
    <cellStyle name="Note 9 2 3" xfId="6230"/>
    <cellStyle name="Note 9 2 3 2" xfId="60511"/>
    <cellStyle name="Note 9 2 4" xfId="6231"/>
    <cellStyle name="Note 9 2 4 2" xfId="60512"/>
    <cellStyle name="Note 9 2 5" xfId="6232"/>
    <cellStyle name="Note 9 2 5 2" xfId="60513"/>
    <cellStyle name="Note 9 2 6" xfId="6233"/>
    <cellStyle name="Note 9 2 6 2" xfId="60514"/>
    <cellStyle name="Note 9 2 7" xfId="6234"/>
    <cellStyle name="Note 9 2 7 2" xfId="60515"/>
    <cellStyle name="Note 9 2 8" xfId="6235"/>
    <cellStyle name="Note 9 2 8 2" xfId="60516"/>
    <cellStyle name="Note 9 2 9" xfId="6236"/>
    <cellStyle name="Note 9 2 9 2" xfId="60517"/>
    <cellStyle name="Note 9 3" xfId="6237"/>
    <cellStyle name="Note 9 3 2" xfId="6238"/>
    <cellStyle name="Note 9 4" xfId="6239"/>
    <cellStyle name="Note 9 4 2" xfId="60518"/>
    <cellStyle name="Note 9 5" xfId="6240"/>
    <cellStyle name="Note 9 5 2" xfId="60519"/>
    <cellStyle name="Note 9 6" xfId="6241"/>
    <cellStyle name="Note 9 6 2" xfId="60520"/>
    <cellStyle name="Note 9 7" xfId="6242"/>
    <cellStyle name="Note 9 7 2" xfId="60521"/>
    <cellStyle name="Note 9 8" xfId="6243"/>
    <cellStyle name="Note 9 8 2" xfId="60522"/>
    <cellStyle name="Note 9 9" xfId="6244"/>
    <cellStyle name="Note 9 9 2" xfId="60523"/>
    <cellStyle name="Output 10" xfId="9889"/>
    <cellStyle name="Output 11" xfId="9890"/>
    <cellStyle name="Output 12" xfId="9891"/>
    <cellStyle name="Output 13" xfId="9892"/>
    <cellStyle name="Output 14" xfId="9893"/>
    <cellStyle name="Output 15" xfId="9894"/>
    <cellStyle name="Output 16" xfId="9895"/>
    <cellStyle name="Output 17" xfId="9896"/>
    <cellStyle name="Output 17 2" xfId="60524"/>
    <cellStyle name="Output 2" xfId="6245"/>
    <cellStyle name="Output 2 2" xfId="6246"/>
    <cellStyle name="Output 2 2 2" xfId="6247"/>
    <cellStyle name="Output 2 2 3" xfId="60525"/>
    <cellStyle name="Output 2 3" xfId="6248"/>
    <cellStyle name="Output 2 3 2" xfId="60526"/>
    <cellStyle name="Output 2 4" xfId="6249"/>
    <cellStyle name="Output 2 4 2" xfId="60527"/>
    <cellStyle name="Output 2 5" xfId="6250"/>
    <cellStyle name="Output 2 5 2" xfId="60528"/>
    <cellStyle name="Output 2 6" xfId="6251"/>
    <cellStyle name="Output 2 6 2" xfId="60529"/>
    <cellStyle name="Output 2 7" xfId="6252"/>
    <cellStyle name="Output 2 8" xfId="6253"/>
    <cellStyle name="Output 2 9" xfId="60530"/>
    <cellStyle name="Output 3" xfId="6254"/>
    <cellStyle name="Output 3 2" xfId="6255"/>
    <cellStyle name="Output 3 3" xfId="9339"/>
    <cellStyle name="Output 4" xfId="9340"/>
    <cellStyle name="Output 4 2" xfId="57734"/>
    <cellStyle name="Output 5" xfId="9897"/>
    <cellStyle name="Output 5 2" xfId="57735"/>
    <cellStyle name="Output 6" xfId="9898"/>
    <cellStyle name="Output 6 2" xfId="57736"/>
    <cellStyle name="Output 7" xfId="9899"/>
    <cellStyle name="Output 7 2" xfId="57737"/>
    <cellStyle name="Output 8" xfId="9900"/>
    <cellStyle name="Output 9" xfId="9901"/>
    <cellStyle name="OUTPUT AMOUNTS" xfId="6256"/>
    <cellStyle name="OUTPUT AMOUNTS 10" xfId="60531"/>
    <cellStyle name="Output Amounts 11" xfId="60532"/>
    <cellStyle name="Output Amounts 2" xfId="6257"/>
    <cellStyle name="Output Amounts 2 10" xfId="60533"/>
    <cellStyle name="OUTPUT AMOUNTS 2 11" xfId="60534"/>
    <cellStyle name="OUTPUT AMOUNTS 2 2" xfId="9902"/>
    <cellStyle name="Output Amounts 2 3" xfId="9903"/>
    <cellStyle name="Output Amounts 2 3 2" xfId="60535"/>
    <cellStyle name="Output Amounts 2 4" xfId="60536"/>
    <cellStyle name="Output Amounts 2 5" xfId="60537"/>
    <cellStyle name="Output Amounts 2 6" xfId="60538"/>
    <cellStyle name="Output Amounts 2 7" xfId="60539"/>
    <cellStyle name="Output Amounts 2 8" xfId="60540"/>
    <cellStyle name="Output Amounts 2 9" xfId="60541"/>
    <cellStyle name="Output Amounts 3" xfId="6258"/>
    <cellStyle name="Output Amounts 3 2" xfId="9341"/>
    <cellStyle name="Output Amounts 3 3" xfId="60542"/>
    <cellStyle name="Output Amounts 3 4" xfId="60543"/>
    <cellStyle name="Output Amounts 3 5" xfId="60544"/>
    <cellStyle name="Output Amounts 3 6" xfId="60545"/>
    <cellStyle name="Output Amounts 3 7" xfId="60546"/>
    <cellStyle name="Output Amounts 3 8" xfId="60547"/>
    <cellStyle name="Output Amounts 3 9" xfId="60548"/>
    <cellStyle name="Output Amounts 4" xfId="6259"/>
    <cellStyle name="OUTPUT AMOUNTS 5" xfId="9342"/>
    <cellStyle name="OUTPUT AMOUNTS 6" xfId="57738"/>
    <cellStyle name="OUTPUT AMOUNTS 7" xfId="57739"/>
    <cellStyle name="OUTPUT AMOUNTS 8" xfId="57740"/>
    <cellStyle name="OUTPUT AMOUNTS 9" xfId="60549"/>
    <cellStyle name="Output Amounts_d1" xfId="6260"/>
    <cellStyle name="OUTPUT COLUMN HEADINGS" xfId="6261"/>
    <cellStyle name="Output Column Headings 10" xfId="57741"/>
    <cellStyle name="OUTPUT COLUMN HEADINGS 10 2" xfId="60550"/>
    <cellStyle name="OUTPUT COLUMN HEADINGS 10 3" xfId="60551"/>
    <cellStyle name="Output Column Headings 11" xfId="60552"/>
    <cellStyle name="Output Column Headings 2" xfId="6262"/>
    <cellStyle name="Output Column Headings 2 2" xfId="6263"/>
    <cellStyle name="OUTPUT COLUMN HEADINGS 2 2 2" xfId="60553"/>
    <cellStyle name="Output Column Headings 2 2 3" xfId="60554"/>
    <cellStyle name="Output Column Headings 2 2 4" xfId="60555"/>
    <cellStyle name="Output Column Headings 2 2 5" xfId="60556"/>
    <cellStyle name="Output Column Headings 2 2 6" xfId="60557"/>
    <cellStyle name="Output Column Headings 2 2 7" xfId="60558"/>
    <cellStyle name="OUTPUT COLUMN HEADINGS 2 3" xfId="9904"/>
    <cellStyle name="OUTPUT COLUMN HEADINGS 2 3 2" xfId="60559"/>
    <cellStyle name="Output Column Headings 2 4" xfId="60560"/>
    <cellStyle name="Output Column Headings 2 5" xfId="60561"/>
    <cellStyle name="Output Column Headings 2 6" xfId="60562"/>
    <cellStyle name="Output Column Headings 3" xfId="6264"/>
    <cellStyle name="Output Column Headings 3 2" xfId="9343"/>
    <cellStyle name="Output Column Headings 4" xfId="6265"/>
    <cellStyle name="Output Column Headings 4 2" xfId="60563"/>
    <cellStyle name="OUTPUT COLUMN HEADINGS 5" xfId="9344"/>
    <cellStyle name="Output Column Headings 6" xfId="9905"/>
    <cellStyle name="Output Column Headings 7" xfId="9906"/>
    <cellStyle name="Output Column Headings 8" xfId="9907"/>
    <cellStyle name="Output Column Headings 9" xfId="9908"/>
    <cellStyle name="Output Column Headings_d1" xfId="6266"/>
    <cellStyle name="OUTPUT LINE ITEMS" xfId="6267"/>
    <cellStyle name="Output Line Items 10" xfId="57742"/>
    <cellStyle name="OUTPUT LINE ITEMS 10 2" xfId="60564"/>
    <cellStyle name="OUTPUT LINE ITEMS 10 3" xfId="60565"/>
    <cellStyle name="Output Line Items 11" xfId="60566"/>
    <cellStyle name="Output Line Items 2" xfId="6268"/>
    <cellStyle name="Output Line Items 2 2" xfId="6269"/>
    <cellStyle name="Output Line Items 2 2 2" xfId="57743"/>
    <cellStyle name="Output Line Items 2 2 3" xfId="60567"/>
    <cellStyle name="Output Line Items 2 3" xfId="6270"/>
    <cellStyle name="OUTPUT LINE ITEMS 2 3 2" xfId="60568"/>
    <cellStyle name="Output Line Items 2 3 3" xfId="60569"/>
    <cellStyle name="Output Line Items 2 3 4" xfId="60570"/>
    <cellStyle name="Output Line Items 2 3 5" xfId="60571"/>
    <cellStyle name="Output Line Items 2 3 6" xfId="60572"/>
    <cellStyle name="Output Line Items 2 3 7" xfId="60573"/>
    <cellStyle name="OUTPUT LINE ITEMS 2 4" xfId="9909"/>
    <cellStyle name="Output Line Items 2 5" xfId="60574"/>
    <cellStyle name="Output Line Items 2 6" xfId="60575"/>
    <cellStyle name="Output Line Items 2 7" xfId="60576"/>
    <cellStyle name="Output Line Items 3" xfId="6271"/>
    <cellStyle name="Output Line Items 3 2" xfId="9345"/>
    <cellStyle name="Output Line Items 4" xfId="6272"/>
    <cellStyle name="Output Line Items 4 2" xfId="57744"/>
    <cellStyle name="OUTPUT LINE ITEMS 5" xfId="9346"/>
    <cellStyle name="Output Line Items 6" xfId="9910"/>
    <cellStyle name="Output Line Items 7" xfId="9911"/>
    <cellStyle name="Output Line Items 8" xfId="9912"/>
    <cellStyle name="Output Line Items 9" xfId="9913"/>
    <cellStyle name="Output Line Items_d1" xfId="6273"/>
    <cellStyle name="OUTPUT REPORT HEADING" xfId="6274"/>
    <cellStyle name="Output Report Heading 10" xfId="57745"/>
    <cellStyle name="OUTPUT REPORT HEADING 10 2" xfId="60577"/>
    <cellStyle name="OUTPUT REPORT HEADING 10 3" xfId="60578"/>
    <cellStyle name="Output Report Heading 11" xfId="60579"/>
    <cellStyle name="Output Report Heading 2" xfId="6275"/>
    <cellStyle name="Output Report Heading 2 2" xfId="6276"/>
    <cellStyle name="OUTPUT REPORT HEADING 2 2 2" xfId="60580"/>
    <cellStyle name="Output Report Heading 2 2 3" xfId="60581"/>
    <cellStyle name="Output Report Heading 2 2 4" xfId="60582"/>
    <cellStyle name="Output Report Heading 2 2 5" xfId="60583"/>
    <cellStyle name="Output Report Heading 2 2 6" xfId="60584"/>
    <cellStyle name="Output Report Heading 2 2 7" xfId="60585"/>
    <cellStyle name="OUTPUT REPORT HEADING 2 3" xfId="9914"/>
    <cellStyle name="OUTPUT REPORT HEADING 2 3 2" xfId="60586"/>
    <cellStyle name="Output Report Heading 2 4" xfId="60587"/>
    <cellStyle name="Output Report Heading 2 5" xfId="60588"/>
    <cellStyle name="Output Report Heading 2 6" xfId="60589"/>
    <cellStyle name="Output Report Heading 3" xfId="6277"/>
    <cellStyle name="Output Report Heading 3 2" xfId="9347"/>
    <cellStyle name="Output Report Heading 4" xfId="6278"/>
    <cellStyle name="Output Report Heading 4 2" xfId="60590"/>
    <cellStyle name="OUTPUT REPORT HEADING 5" xfId="9348"/>
    <cellStyle name="Output Report Heading 6" xfId="9915"/>
    <cellStyle name="Output Report Heading 7" xfId="9916"/>
    <cellStyle name="Output Report Heading 8" xfId="9917"/>
    <cellStyle name="Output Report Heading 9" xfId="9918"/>
    <cellStyle name="Output Report Heading_d1" xfId="6279"/>
    <cellStyle name="OUTPUT REPORT TITLE" xfId="6280"/>
    <cellStyle name="Output Report Title 10" xfId="57746"/>
    <cellStyle name="OUTPUT REPORT TITLE 10 2" xfId="60591"/>
    <cellStyle name="OUTPUT REPORT TITLE 10 3" xfId="60592"/>
    <cellStyle name="OUTPUT REPORT TITLE 11" xfId="60593"/>
    <cellStyle name="Output Report Title 12" xfId="60594"/>
    <cellStyle name="Output Report Title 2" xfId="6281"/>
    <cellStyle name="Output Report Title 2 2" xfId="6282"/>
    <cellStyle name="OUTPUT REPORT TITLE 2 2 2" xfId="60595"/>
    <cellStyle name="Output Report Title 2 2 3" xfId="60596"/>
    <cellStyle name="Output Report Title 2 2 4" xfId="60597"/>
    <cellStyle name="Output Report Title 2 2 5" xfId="60598"/>
    <cellStyle name="Output Report Title 2 2 6" xfId="60599"/>
    <cellStyle name="Output Report Title 2 2 7" xfId="60600"/>
    <cellStyle name="OUTPUT REPORT TITLE 2 3" xfId="9919"/>
    <cellStyle name="OUTPUT REPORT TITLE 2 3 2" xfId="60601"/>
    <cellStyle name="Output Report Title 2 4" xfId="60602"/>
    <cellStyle name="Output Report Title 2 5" xfId="60603"/>
    <cellStyle name="Output Report Title 2 6" xfId="60604"/>
    <cellStyle name="Output Report Title 3" xfId="6283"/>
    <cellStyle name="Output Report Title 3 2" xfId="9349"/>
    <cellStyle name="Output Report Title 4" xfId="6284"/>
    <cellStyle name="Output Report Title 4 2" xfId="60605"/>
    <cellStyle name="OUTPUT REPORT TITLE 5" xfId="9350"/>
    <cellStyle name="Output Report Title 6" xfId="9920"/>
    <cellStyle name="Output Report Title 7" xfId="9921"/>
    <cellStyle name="Output Report Title 8" xfId="9922"/>
    <cellStyle name="Output Report Title 9" xfId="9923"/>
    <cellStyle name="Output Report Title_d1" xfId="6285"/>
    <cellStyle name="Percent" xfId="8669" builtinId="5"/>
    <cellStyle name="Percent 10" xfId="6286"/>
    <cellStyle name="Percent 10 2" xfId="6287"/>
    <cellStyle name="Percent 10 2 2" xfId="60606"/>
    <cellStyle name="Percent 10 2 3" xfId="60607"/>
    <cellStyle name="Percent 10 3" xfId="60608"/>
    <cellStyle name="Percent 10 3 2" xfId="60609"/>
    <cellStyle name="Percent 10 4" xfId="60610"/>
    <cellStyle name="Percent 10 5" xfId="60611"/>
    <cellStyle name="Percent 10 6" xfId="60612"/>
    <cellStyle name="Percent 11" xfId="6288"/>
    <cellStyle name="Percent 11 2" xfId="6289"/>
    <cellStyle name="Percent 11 3" xfId="6290"/>
    <cellStyle name="Percent 12" xfId="8779"/>
    <cellStyle name="Percent 13" xfId="57814"/>
    <cellStyle name="Percent 13 2" xfId="60613"/>
    <cellStyle name="Percent 14" xfId="60614"/>
    <cellStyle name="Percent 15" xfId="10005"/>
    <cellStyle name="Percent 16" xfId="57747"/>
    <cellStyle name="Percent 17" xfId="60615"/>
    <cellStyle name="Percent 19" xfId="61984"/>
    <cellStyle name="Percent 2" xfId="6291"/>
    <cellStyle name="Percent 2 2" xfId="6292"/>
    <cellStyle name="Percent 2 2 2" xfId="6293"/>
    <cellStyle name="Percent 2 2 2 2" xfId="6294"/>
    <cellStyle name="Percent 2 2 2 2 2" xfId="6295"/>
    <cellStyle name="Percent 2 2 2 2 2 2" xfId="6296"/>
    <cellStyle name="Percent 2 2 2 2 2 2 2" xfId="6297"/>
    <cellStyle name="Percent 2 2 2 2 2 3" xfId="6298"/>
    <cellStyle name="Percent 2 2 2 2 3" xfId="6299"/>
    <cellStyle name="Percent 2 2 2 2 3 2" xfId="6300"/>
    <cellStyle name="Percent 2 2 2 2 4" xfId="6301"/>
    <cellStyle name="Percent 2 2 2 3" xfId="6302"/>
    <cellStyle name="Percent 2 2 2 3 2" xfId="6303"/>
    <cellStyle name="Percent 2 2 2 3 2 2" xfId="6304"/>
    <cellStyle name="Percent 2 2 2 3 3" xfId="6305"/>
    <cellStyle name="Percent 2 2 2 4" xfId="6306"/>
    <cellStyle name="Percent 2 2 2 4 2" xfId="6307"/>
    <cellStyle name="Percent 2 2 2 5" xfId="6308"/>
    <cellStyle name="Percent 2 2 3" xfId="6309"/>
    <cellStyle name="Percent 2 2 3 2" xfId="6310"/>
    <cellStyle name="Percent 2 2 3 2 2" xfId="6311"/>
    <cellStyle name="Percent 2 2 3 2 2 2" xfId="6312"/>
    <cellStyle name="Percent 2 2 3 2 3" xfId="6313"/>
    <cellStyle name="Percent 2 2 3 3" xfId="6314"/>
    <cellStyle name="Percent 2 2 3 3 2" xfId="6315"/>
    <cellStyle name="Percent 2 2 3 4" xfId="6316"/>
    <cellStyle name="Percent 2 2 4" xfId="6317"/>
    <cellStyle name="Percent 2 2 4 2" xfId="6318"/>
    <cellStyle name="Percent 2 2 4 2 2" xfId="6319"/>
    <cellStyle name="Percent 2 2 4 3" xfId="6320"/>
    <cellStyle name="Percent 2 2 5" xfId="6321"/>
    <cellStyle name="Percent 2 2 5 2" xfId="6322"/>
    <cellStyle name="Percent 2 2 6" xfId="6323"/>
    <cellStyle name="Percent 2 2 7" xfId="6324"/>
    <cellStyle name="Percent 2 3" xfId="6325"/>
    <cellStyle name="Percent 2 3 2" xfId="6326"/>
    <cellStyle name="Percent 2 3 2 2" xfId="6327"/>
    <cellStyle name="Percent 2 3 2 2 2" xfId="6328"/>
    <cellStyle name="Percent 2 3 2 3" xfId="6329"/>
    <cellStyle name="Percent 2 3 2 4" xfId="60616"/>
    <cellStyle name="Percent 2 3 3" xfId="6330"/>
    <cellStyle name="Percent 2 3 3 2" xfId="6331"/>
    <cellStyle name="Percent 2 3 4" xfId="6332"/>
    <cellStyle name="Percent 2 3 5" xfId="6333"/>
    <cellStyle name="Percent 2 4" xfId="6334"/>
    <cellStyle name="Percent 2 4 2" xfId="57748"/>
    <cellStyle name="Percent 2 4 2 2" xfId="57749"/>
    <cellStyle name="Percent 2 4 3" xfId="57750"/>
    <cellStyle name="Percent 2 5" xfId="57751"/>
    <cellStyle name="Percent 2 5 2" xfId="57752"/>
    <cellStyle name="Percent 2 6" xfId="57753"/>
    <cellStyle name="Percent 2 7" xfId="61977"/>
    <cellStyle name="Percent 3" xfId="6335"/>
    <cellStyle name="Percent 3 10" xfId="6336"/>
    <cellStyle name="Percent 3 2" xfId="6337"/>
    <cellStyle name="Percent 3 2 2" xfId="6338"/>
    <cellStyle name="Percent 3 2 2 2" xfId="6339"/>
    <cellStyle name="Percent 3 2 2 2 2" xfId="6340"/>
    <cellStyle name="Percent 3 2 2 2 2 2" xfId="6341"/>
    <cellStyle name="Percent 3 2 2 2 2 2 2" xfId="6342"/>
    <cellStyle name="Percent 3 2 2 2 2 2 2 2" xfId="6343"/>
    <cellStyle name="Percent 3 2 2 2 2 2 3" xfId="6344"/>
    <cellStyle name="Percent 3 2 2 2 2 3" xfId="6345"/>
    <cellStyle name="Percent 3 2 2 2 2 3 2" xfId="6346"/>
    <cellStyle name="Percent 3 2 2 2 2 4" xfId="6347"/>
    <cellStyle name="Percent 3 2 2 2 3" xfId="6348"/>
    <cellStyle name="Percent 3 2 2 2 3 2" xfId="6349"/>
    <cellStyle name="Percent 3 2 2 2 3 2 2" xfId="6350"/>
    <cellStyle name="Percent 3 2 2 2 3 3" xfId="6351"/>
    <cellStyle name="Percent 3 2 2 2 4" xfId="6352"/>
    <cellStyle name="Percent 3 2 2 2 4 2" xfId="6353"/>
    <cellStyle name="Percent 3 2 2 2 5" xfId="6354"/>
    <cellStyle name="Percent 3 2 2 2 6" xfId="60617"/>
    <cellStyle name="Percent 3 2 2 3" xfId="6355"/>
    <cellStyle name="Percent 3 2 2 3 2" xfId="6356"/>
    <cellStyle name="Percent 3 2 2 3 2 2" xfId="6357"/>
    <cellStyle name="Percent 3 2 2 3 2 2 2" xfId="6358"/>
    <cellStyle name="Percent 3 2 2 3 2 3" xfId="6359"/>
    <cellStyle name="Percent 3 2 2 3 3" xfId="6360"/>
    <cellStyle name="Percent 3 2 2 3 3 2" xfId="6361"/>
    <cellStyle name="Percent 3 2 2 3 4" xfId="6362"/>
    <cellStyle name="Percent 3 2 2 4" xfId="6363"/>
    <cellStyle name="Percent 3 2 2 4 2" xfId="6364"/>
    <cellStyle name="Percent 3 2 2 4 2 2" xfId="6365"/>
    <cellStyle name="Percent 3 2 2 4 3" xfId="6366"/>
    <cellStyle name="Percent 3 2 2 5" xfId="6367"/>
    <cellStyle name="Percent 3 2 2 5 2" xfId="6368"/>
    <cellStyle name="Percent 3 2 2 6" xfId="6369"/>
    <cellStyle name="Percent 3 2 2 7" xfId="60618"/>
    <cellStyle name="Percent 3 2 3" xfId="6370"/>
    <cellStyle name="Percent 3 2 3 2" xfId="6371"/>
    <cellStyle name="Percent 3 2 3 2 2" xfId="6372"/>
    <cellStyle name="Percent 3 2 3 2 2 2" xfId="6373"/>
    <cellStyle name="Percent 3 2 3 2 2 2 2" xfId="6374"/>
    <cellStyle name="Percent 3 2 3 2 2 3" xfId="6375"/>
    <cellStyle name="Percent 3 2 3 2 3" xfId="6376"/>
    <cellStyle name="Percent 3 2 3 2 3 2" xfId="6377"/>
    <cellStyle name="Percent 3 2 3 2 4" xfId="6378"/>
    <cellStyle name="Percent 3 2 3 3" xfId="6379"/>
    <cellStyle name="Percent 3 2 3 3 2" xfId="6380"/>
    <cellStyle name="Percent 3 2 3 3 2 2" xfId="6381"/>
    <cellStyle name="Percent 3 2 3 3 3" xfId="6382"/>
    <cellStyle name="Percent 3 2 3 4" xfId="6383"/>
    <cellStyle name="Percent 3 2 3 4 2" xfId="6384"/>
    <cellStyle name="Percent 3 2 3 5" xfId="6385"/>
    <cellStyle name="Percent 3 2 3 6" xfId="60619"/>
    <cellStyle name="Percent 3 2 4" xfId="6386"/>
    <cellStyle name="Percent 3 2 4 2" xfId="6387"/>
    <cellStyle name="Percent 3 2 4 2 2" xfId="6388"/>
    <cellStyle name="Percent 3 2 4 2 2 2" xfId="6389"/>
    <cellStyle name="Percent 3 2 4 2 2 2 2" xfId="6390"/>
    <cellStyle name="Percent 3 2 4 2 2 3" xfId="6391"/>
    <cellStyle name="Percent 3 2 4 2 3" xfId="6392"/>
    <cellStyle name="Percent 3 2 4 2 3 2" xfId="6393"/>
    <cellStyle name="Percent 3 2 4 2 4" xfId="6394"/>
    <cellStyle name="Percent 3 2 4 3" xfId="6395"/>
    <cellStyle name="Percent 3 2 4 3 2" xfId="6396"/>
    <cellStyle name="Percent 3 2 4 3 2 2" xfId="6397"/>
    <cellStyle name="Percent 3 2 4 3 3" xfId="6398"/>
    <cellStyle name="Percent 3 2 4 4" xfId="6399"/>
    <cellStyle name="Percent 3 2 4 4 2" xfId="6400"/>
    <cellStyle name="Percent 3 2 4 5" xfId="6401"/>
    <cellStyle name="Percent 3 2 5" xfId="6402"/>
    <cellStyle name="Percent 3 2 5 2" xfId="6403"/>
    <cellStyle name="Percent 3 2 5 2 2" xfId="6404"/>
    <cellStyle name="Percent 3 2 5 2 2 2" xfId="6405"/>
    <cellStyle name="Percent 3 2 5 2 3" xfId="6406"/>
    <cellStyle name="Percent 3 2 5 3" xfId="6407"/>
    <cellStyle name="Percent 3 2 5 3 2" xfId="6408"/>
    <cellStyle name="Percent 3 2 5 4" xfId="6409"/>
    <cellStyle name="Percent 3 2 6" xfId="6410"/>
    <cellStyle name="Percent 3 2 6 2" xfId="6411"/>
    <cellStyle name="Percent 3 2 6 2 2" xfId="6412"/>
    <cellStyle name="Percent 3 2 6 3" xfId="6413"/>
    <cellStyle name="Percent 3 2 7" xfId="6414"/>
    <cellStyle name="Percent 3 2 7 2" xfId="6415"/>
    <cellStyle name="Percent 3 2 8" xfId="6416"/>
    <cellStyle name="Percent 3 2 9" xfId="60620"/>
    <cellStyle name="Percent 3 3" xfId="6417"/>
    <cellStyle name="Percent 3 3 2" xfId="6418"/>
    <cellStyle name="Percent 3 3 2 2" xfId="6419"/>
    <cellStyle name="Percent 3 3 2 2 2" xfId="6420"/>
    <cellStyle name="Percent 3 3 2 2 2 2" xfId="6421"/>
    <cellStyle name="Percent 3 3 2 2 2 2 2" xfId="6422"/>
    <cellStyle name="Percent 3 3 2 2 2 3" xfId="6423"/>
    <cellStyle name="Percent 3 3 2 2 3" xfId="6424"/>
    <cellStyle name="Percent 3 3 2 2 3 2" xfId="6425"/>
    <cellStyle name="Percent 3 3 2 2 4" xfId="6426"/>
    <cellStyle name="Percent 3 3 2 3" xfId="6427"/>
    <cellStyle name="Percent 3 3 2 3 2" xfId="6428"/>
    <cellStyle name="Percent 3 3 2 3 2 2" xfId="6429"/>
    <cellStyle name="Percent 3 3 2 3 3" xfId="6430"/>
    <cellStyle name="Percent 3 3 2 4" xfId="6431"/>
    <cellStyle name="Percent 3 3 2 4 2" xfId="6432"/>
    <cellStyle name="Percent 3 3 2 5" xfId="6433"/>
    <cellStyle name="Percent 3 3 3" xfId="6434"/>
    <cellStyle name="Percent 3 3 3 2" xfId="6435"/>
    <cellStyle name="Percent 3 3 3 2 2" xfId="6436"/>
    <cellStyle name="Percent 3 3 3 2 2 2" xfId="6437"/>
    <cellStyle name="Percent 3 3 3 2 3" xfId="6438"/>
    <cellStyle name="Percent 3 3 3 3" xfId="6439"/>
    <cellStyle name="Percent 3 3 3 3 2" xfId="6440"/>
    <cellStyle name="Percent 3 3 3 4" xfId="6441"/>
    <cellStyle name="Percent 3 3 4" xfId="6442"/>
    <cellStyle name="Percent 3 3 4 2" xfId="6443"/>
    <cellStyle name="Percent 3 3 4 2 2" xfId="6444"/>
    <cellStyle name="Percent 3 3 4 3" xfId="6445"/>
    <cellStyle name="Percent 3 3 5" xfId="6446"/>
    <cellStyle name="Percent 3 3 5 2" xfId="6447"/>
    <cellStyle name="Percent 3 3 6" xfId="6448"/>
    <cellStyle name="Percent 3 3 7" xfId="60621"/>
    <cellStyle name="Percent 3 4" xfId="6449"/>
    <cellStyle name="Percent 3 4 2" xfId="6450"/>
    <cellStyle name="Percent 3 4 2 2" xfId="6451"/>
    <cellStyle name="Percent 3 4 2 2 2" xfId="6452"/>
    <cellStyle name="Percent 3 4 2 2 2 2" xfId="6453"/>
    <cellStyle name="Percent 3 4 2 2 3" xfId="6454"/>
    <cellStyle name="Percent 3 4 2 3" xfId="6455"/>
    <cellStyle name="Percent 3 4 2 3 2" xfId="6456"/>
    <cellStyle name="Percent 3 4 2 4" xfId="6457"/>
    <cellStyle name="Percent 3 4 2 5" xfId="60622"/>
    <cellStyle name="Percent 3 4 3" xfId="6458"/>
    <cellStyle name="Percent 3 4 3 2" xfId="6459"/>
    <cellStyle name="Percent 3 4 3 2 2" xfId="6460"/>
    <cellStyle name="Percent 3 4 3 3" xfId="6461"/>
    <cellStyle name="Percent 3 4 4" xfId="6462"/>
    <cellStyle name="Percent 3 4 4 2" xfId="6463"/>
    <cellStyle name="Percent 3 4 5" xfId="6464"/>
    <cellStyle name="Percent 3 4 6" xfId="60623"/>
    <cellStyle name="Percent 3 5" xfId="6465"/>
    <cellStyle name="Percent 3 5 2" xfId="6466"/>
    <cellStyle name="Percent 3 5 2 2" xfId="6467"/>
    <cellStyle name="Percent 3 5 2 2 2" xfId="6468"/>
    <cellStyle name="Percent 3 5 2 2 2 2" xfId="6469"/>
    <cellStyle name="Percent 3 5 2 2 3" xfId="6470"/>
    <cellStyle name="Percent 3 5 2 3" xfId="6471"/>
    <cellStyle name="Percent 3 5 2 3 2" xfId="6472"/>
    <cellStyle name="Percent 3 5 2 4" xfId="6473"/>
    <cellStyle name="Percent 3 5 2 5" xfId="57754"/>
    <cellStyle name="Percent 3 5 3" xfId="6474"/>
    <cellStyle name="Percent 3 5 3 2" xfId="6475"/>
    <cellStyle name="Percent 3 5 3 2 2" xfId="6476"/>
    <cellStyle name="Percent 3 5 3 3" xfId="6477"/>
    <cellStyle name="Percent 3 5 3 3 2" xfId="57755"/>
    <cellStyle name="Percent 3 5 3 4" xfId="57756"/>
    <cellStyle name="Percent 3 5 3 5" xfId="57757"/>
    <cellStyle name="Percent 3 5 4" xfId="6478"/>
    <cellStyle name="Percent 3 5 4 2" xfId="6479"/>
    <cellStyle name="Percent 3 5 4 2 2" xfId="57758"/>
    <cellStyle name="Percent 3 5 4 2 2 2" xfId="57759"/>
    <cellStyle name="Percent 3 5 4 2 2 2 2" xfId="57760"/>
    <cellStyle name="Percent 3 5 4 2 2 2 3" xfId="57761"/>
    <cellStyle name="Percent 3 5 4 2 2 2 4" xfId="57762"/>
    <cellStyle name="Percent 3 5 4 2 2 3" xfId="57763"/>
    <cellStyle name="Percent 3 5 4 2 2 3 2" xfId="57764"/>
    <cellStyle name="Percent 3 5 4 2 2 3 3" xfId="57765"/>
    <cellStyle name="Percent 3 5 4 2 2 4" xfId="57766"/>
    <cellStyle name="Percent 3 5 4 2 2 4 2" xfId="57767"/>
    <cellStyle name="Percent 3 5 4 2 2 5" xfId="57768"/>
    <cellStyle name="Percent 3 5 4 2 2 6" xfId="57769"/>
    <cellStyle name="Percent 3 5 4 2 3" xfId="57770"/>
    <cellStyle name="Percent 3 5 4 2 3 2" xfId="57771"/>
    <cellStyle name="Percent 3 5 4 2 4" xfId="57772"/>
    <cellStyle name="Percent 3 5 4 2 5" xfId="57773"/>
    <cellStyle name="Percent 3 5 4 3" xfId="57774"/>
    <cellStyle name="Percent 3 5 4 3 2" xfId="57775"/>
    <cellStyle name="Percent 3 5 4 4" xfId="57776"/>
    <cellStyle name="Percent 3 5 4 4 2" xfId="57777"/>
    <cellStyle name="Percent 3 5 4 5" xfId="57778"/>
    <cellStyle name="Percent 3 5 4 6" xfId="57779"/>
    <cellStyle name="Percent 3 5 5" xfId="6480"/>
    <cellStyle name="Percent 3 5 5 2" xfId="57780"/>
    <cellStyle name="Percent 3 5 6" xfId="57781"/>
    <cellStyle name="Percent 3 5 6 2" xfId="57782"/>
    <cellStyle name="Percent 3 5 7" xfId="57783"/>
    <cellStyle name="Percent 3 5 8" xfId="57784"/>
    <cellStyle name="Percent 3 6" xfId="6481"/>
    <cellStyle name="Percent 3 6 2" xfId="6482"/>
    <cellStyle name="Percent 3 6 2 2" xfId="6483"/>
    <cellStyle name="Percent 3 6 2 2 2" xfId="6484"/>
    <cellStyle name="Percent 3 6 2 3" xfId="6485"/>
    <cellStyle name="Percent 3 6 3" xfId="6486"/>
    <cellStyle name="Percent 3 6 3 2" xfId="6487"/>
    <cellStyle name="Percent 3 6 4" xfId="6488"/>
    <cellStyle name="Percent 3 7" xfId="6489"/>
    <cellStyle name="Percent 3 7 2" xfId="6490"/>
    <cellStyle name="Percent 3 7 2 2" xfId="6491"/>
    <cellStyle name="Percent 3 7 3" xfId="6492"/>
    <cellStyle name="Percent 3 8" xfId="6493"/>
    <cellStyle name="Percent 3 8 2" xfId="6494"/>
    <cellStyle name="Percent 3 9" xfId="6495"/>
    <cellStyle name="Percent 4" xfId="6496"/>
    <cellStyle name="Percent 4 2" xfId="6497"/>
    <cellStyle name="Percent 4 2 2" xfId="6498"/>
    <cellStyle name="Percent 4 2 2 2" xfId="6499"/>
    <cellStyle name="Percent 4 2 2 2 2" xfId="6500"/>
    <cellStyle name="Percent 4 2 2 2 2 2" xfId="6501"/>
    <cellStyle name="Percent 4 2 2 2 3" xfId="6502"/>
    <cellStyle name="Percent 4 2 2 2 4" xfId="60624"/>
    <cellStyle name="Percent 4 2 2 3" xfId="6503"/>
    <cellStyle name="Percent 4 2 2 3 2" xfId="6504"/>
    <cellStyle name="Percent 4 2 2 4" xfId="6505"/>
    <cellStyle name="Percent 4 2 2 5" xfId="60625"/>
    <cellStyle name="Percent 4 2 3" xfId="6506"/>
    <cellStyle name="Percent 4 2 3 2" xfId="6507"/>
    <cellStyle name="Percent 4 2 3 2 2" xfId="6508"/>
    <cellStyle name="Percent 4 2 3 3" xfId="6509"/>
    <cellStyle name="Percent 4 2 3 4" xfId="60626"/>
    <cellStyle name="Percent 4 2 4" xfId="6510"/>
    <cellStyle name="Percent 4 2 4 2" xfId="6511"/>
    <cellStyle name="Percent 4 2 5" xfId="6512"/>
    <cellStyle name="Percent 4 2 6" xfId="60627"/>
    <cellStyle name="Percent 4 3" xfId="6513"/>
    <cellStyle name="Percent 4 3 2" xfId="6514"/>
    <cellStyle name="Percent 4 3 2 2" xfId="6515"/>
    <cellStyle name="Percent 4 3 2 2 2" xfId="6516"/>
    <cellStyle name="Percent 4 3 2 3" xfId="6517"/>
    <cellStyle name="Percent 4 3 3" xfId="6518"/>
    <cellStyle name="Percent 4 3 3 2" xfId="6519"/>
    <cellStyle name="Percent 4 3 4" xfId="6520"/>
    <cellStyle name="Percent 4 3 5" xfId="60628"/>
    <cellStyle name="Percent 4 4" xfId="6521"/>
    <cellStyle name="Percent 4 4 2" xfId="6522"/>
    <cellStyle name="Percent 4 4 2 2" xfId="6523"/>
    <cellStyle name="Percent 4 4 3" xfId="6524"/>
    <cellStyle name="Percent 4 5" xfId="6525"/>
    <cellStyle name="Percent 4 5 2" xfId="6526"/>
    <cellStyle name="Percent 4 6" xfId="6527"/>
    <cellStyle name="Percent 4 7" xfId="6528"/>
    <cellStyle name="Percent 4 8" xfId="60629"/>
    <cellStyle name="Percent 5" xfId="6529"/>
    <cellStyle name="Percent 5 2" xfId="6530"/>
    <cellStyle name="Percent 5 2 2" xfId="57785"/>
    <cellStyle name="Percent 5 3" xfId="57786"/>
    <cellStyle name="Percent 5 3 2" xfId="57787"/>
    <cellStyle name="Percent 5 4" xfId="57788"/>
    <cellStyle name="Percent 5 5" xfId="57789"/>
    <cellStyle name="Percent 6" xfId="6531"/>
    <cellStyle name="Percent 6 2" xfId="6532"/>
    <cellStyle name="Percent 6 2 2" xfId="57790"/>
    <cellStyle name="Percent 6 3" xfId="57791"/>
    <cellStyle name="Percent 6 3 2" xfId="57792"/>
    <cellStyle name="Percent 6 4" xfId="57793"/>
    <cellStyle name="Percent 7" xfId="6533"/>
    <cellStyle name="Percent 7 2" xfId="6534"/>
    <cellStyle name="Percent 7 2 2" xfId="6535"/>
    <cellStyle name="Percent 7 2 2 2" xfId="6536"/>
    <cellStyle name="Percent 7 2 2 3" xfId="60630"/>
    <cellStyle name="Percent 7 2 3" xfId="6537"/>
    <cellStyle name="Percent 7 2 4" xfId="60631"/>
    <cellStyle name="Percent 7 3" xfId="6538"/>
    <cellStyle name="Percent 7 3 2" xfId="6539"/>
    <cellStyle name="Percent 7 3 3" xfId="60632"/>
    <cellStyle name="Percent 7 4" xfId="6540"/>
    <cellStyle name="Percent 7 5" xfId="60633"/>
    <cellStyle name="Percent 7 6" xfId="60634"/>
    <cellStyle name="Percent 8" xfId="6541"/>
    <cellStyle name="Percent 8 2" xfId="6542"/>
    <cellStyle name="Percent 8 2 2" xfId="6543"/>
    <cellStyle name="Percent 8 2 2 2" xfId="60635"/>
    <cellStyle name="Percent 8 2 3" xfId="60636"/>
    <cellStyle name="Percent 8 3" xfId="6544"/>
    <cellStyle name="Percent 8 3 2" xfId="60637"/>
    <cellStyle name="Percent 8 4" xfId="60638"/>
    <cellStyle name="Percent 8 5" xfId="60639"/>
    <cellStyle name="Percent 8 6" xfId="60640"/>
    <cellStyle name="Percent 9" xfId="6545"/>
    <cellStyle name="Percent 9 2" xfId="6546"/>
    <cellStyle name="Percent 9 2 2" xfId="6547"/>
    <cellStyle name="Percent 9 2 3" xfId="60641"/>
    <cellStyle name="Percent 9 3" xfId="6548"/>
    <cellStyle name="Percent 9 3 2" xfId="60642"/>
    <cellStyle name="Percent 9 4" xfId="60643"/>
    <cellStyle name="Percent 9 5" xfId="60644"/>
    <cellStyle name="Percent 9 6" xfId="60645"/>
    <cellStyle name="Project Overview Data Entry" xfId="6549"/>
    <cellStyle name="Project Overview Data Entry 2" xfId="60646"/>
    <cellStyle name="PSChar" xfId="6550"/>
    <cellStyle name="PSChar 2" xfId="9351"/>
    <cellStyle name="PSDate" xfId="6551"/>
    <cellStyle name="PSDec" xfId="6552"/>
    <cellStyle name="PSHeading" xfId="6553"/>
    <cellStyle name="PSHeading 2" xfId="57794"/>
    <cellStyle name="PSInt" xfId="6554"/>
    <cellStyle name="PSSpacer" xfId="6555"/>
    <cellStyle name="PSSpacer 2" xfId="57795"/>
    <cellStyle name="R00A" xfId="8734"/>
    <cellStyle name="R00B" xfId="8735"/>
    <cellStyle name="R00L" xfId="8736"/>
    <cellStyle name="R01A" xfId="8737"/>
    <cellStyle name="R01B" xfId="8738"/>
    <cellStyle name="R01H" xfId="8739"/>
    <cellStyle name="R01L" xfId="8740"/>
    <cellStyle name="R02A" xfId="8741"/>
    <cellStyle name="R02B" xfId="8742"/>
    <cellStyle name="R02H" xfId="8743"/>
    <cellStyle name="R02L" xfId="8744"/>
    <cellStyle name="R03A" xfId="8745"/>
    <cellStyle name="R03B" xfId="8746"/>
    <cellStyle name="R03H" xfId="8747"/>
    <cellStyle name="R03L" xfId="8748"/>
    <cellStyle name="R04A" xfId="8749"/>
    <cellStyle name="R04B" xfId="8750"/>
    <cellStyle name="R04H" xfId="8751"/>
    <cellStyle name="R04L" xfId="8752"/>
    <cellStyle name="R05A" xfId="8753"/>
    <cellStyle name="R05B" xfId="8754"/>
    <cellStyle name="R05H" xfId="8755"/>
    <cellStyle name="R05L" xfId="8756"/>
    <cellStyle name="R06A" xfId="8757"/>
    <cellStyle name="R06B" xfId="8758"/>
    <cellStyle name="R06H" xfId="8759"/>
    <cellStyle name="R06L" xfId="8760"/>
    <cellStyle name="R07A" xfId="8761"/>
    <cellStyle name="R07B" xfId="8762"/>
    <cellStyle name="R07H" xfId="8763"/>
    <cellStyle name="R07L" xfId="8764"/>
    <cellStyle name="ReportTitlePrompt" xfId="6556"/>
    <cellStyle name="ReportTitlePrompt 2" xfId="6557"/>
    <cellStyle name="ReportTitlePrompt 2 2" xfId="9924"/>
    <cellStyle name="ReportTitlePrompt 2 3" xfId="9925"/>
    <cellStyle name="ReportTitlePrompt 3" xfId="6558"/>
    <cellStyle name="ReportTitlePrompt 4" xfId="6559"/>
    <cellStyle name="ReportTitlePrompt 5" xfId="9352"/>
    <cellStyle name="ReportTitleValue" xfId="6560"/>
    <cellStyle name="ReportTitleValue 2" xfId="6561"/>
    <cellStyle name="ReportTitleValue 2 2" xfId="9926"/>
    <cellStyle name="Reset  - Style4" xfId="60647"/>
    <cellStyle name="RowAcctAbovePrompt" xfId="6562"/>
    <cellStyle name="RowAcctAbovePrompt 2" xfId="6563"/>
    <cellStyle name="RowAcctAbovePrompt 2 2" xfId="9927"/>
    <cellStyle name="RowAcctAbovePrompt 2 3" xfId="9928"/>
    <cellStyle name="RowAcctAbovePrompt 3" xfId="6564"/>
    <cellStyle name="RowAcctAbovePrompt 4" xfId="9353"/>
    <cellStyle name="RowAcctSOBAbovePrompt" xfId="6565"/>
    <cellStyle name="RowAcctSOBAbovePrompt 2" xfId="6566"/>
    <cellStyle name="RowAcctSOBAbovePrompt 2 2" xfId="9929"/>
    <cellStyle name="RowAcctSOBAbovePrompt 2 3" xfId="9930"/>
    <cellStyle name="RowAcctSOBAbovePrompt 3" xfId="6567"/>
    <cellStyle name="RowAcctSOBAbovePrompt 4" xfId="9354"/>
    <cellStyle name="RowAcctSOBValue" xfId="6568"/>
    <cellStyle name="RowAcctSOBValue 2" xfId="6569"/>
    <cellStyle name="RowAcctSOBValue 2 2" xfId="9931"/>
    <cellStyle name="RowAcctSOBValue 2 3" xfId="9932"/>
    <cellStyle name="RowAcctSOBValue 3" xfId="6570"/>
    <cellStyle name="RowAcctSOBValue 4" xfId="9355"/>
    <cellStyle name="RowAcctValue" xfId="6571"/>
    <cellStyle name="RowAcctValue 2" xfId="6572"/>
    <cellStyle name="RowAcctValue 2 2" xfId="9933"/>
    <cellStyle name="RowAttrAbovePrompt" xfId="6573"/>
    <cellStyle name="RowAttrAbovePrompt 2" xfId="6574"/>
    <cellStyle name="RowAttrAbovePrompt 2 2" xfId="9934"/>
    <cellStyle name="RowAttrAbovePrompt 2 3" xfId="9935"/>
    <cellStyle name="RowAttrAbovePrompt 3" xfId="6575"/>
    <cellStyle name="RowAttrAbovePrompt 4" xfId="9356"/>
    <cellStyle name="RowAttrValue" xfId="6576"/>
    <cellStyle name="RowAttrValue 2" xfId="6577"/>
    <cellStyle name="RowAttrValue 2 2" xfId="9936"/>
    <cellStyle name="RowColSetAbovePrompt" xfId="6578"/>
    <cellStyle name="RowColSetAbovePrompt 2" xfId="6579"/>
    <cellStyle name="RowColSetAbovePrompt 2 2" xfId="9937"/>
    <cellStyle name="RowColSetAbovePrompt 2 3" xfId="9938"/>
    <cellStyle name="RowColSetAbovePrompt 3" xfId="6580"/>
    <cellStyle name="RowColSetAbovePrompt 4" xfId="9357"/>
    <cellStyle name="RowColSetLeftPrompt" xfId="6581"/>
    <cellStyle name="RowColSetLeftPrompt 2" xfId="6582"/>
    <cellStyle name="RowColSetLeftPrompt 2 2" xfId="9939"/>
    <cellStyle name="RowColSetLeftPrompt 2 3" xfId="9940"/>
    <cellStyle name="RowColSetLeftPrompt 3" xfId="6583"/>
    <cellStyle name="RowColSetLeftPrompt 4" xfId="9358"/>
    <cellStyle name="RowColSetValue" xfId="6584"/>
    <cellStyle name="RowColSetValue 2" xfId="6585"/>
    <cellStyle name="RowColSetValue 2 2" xfId="9941"/>
    <cellStyle name="RowColSetValue 3" xfId="6586"/>
    <cellStyle name="RowLeftPrompt" xfId="6587"/>
    <cellStyle name="RowLeftPrompt 2" xfId="6588"/>
    <cellStyle name="RowLeftPrompt 2 2" xfId="9942"/>
    <cellStyle name="RowLeftPrompt 2 3" xfId="9943"/>
    <cellStyle name="RowLeftPrompt 3" xfId="6589"/>
    <cellStyle name="RowLeftPrompt 4" xfId="9359"/>
    <cellStyle name="SampleUsingFormatMask" xfId="6590"/>
    <cellStyle name="SampleUsingFormatMask 2" xfId="6591"/>
    <cellStyle name="SampleUsingFormatMask 2 2" xfId="9944"/>
    <cellStyle name="SampleUsingFormatMask 2 3" xfId="9945"/>
    <cellStyle name="SampleUsingFormatMask 3" xfId="6592"/>
    <cellStyle name="SampleUsingFormatMask 4" xfId="9360"/>
    <cellStyle name="SampleWithNoFormatMask" xfId="6593"/>
    <cellStyle name="SampleWithNoFormatMask 2" xfId="6594"/>
    <cellStyle name="SampleWithNoFormatMask 2 2" xfId="9946"/>
    <cellStyle name="SampleWithNoFormatMask 2 3" xfId="9947"/>
    <cellStyle name="SampleWithNoFormatMask 3" xfId="6595"/>
    <cellStyle name="SampleWithNoFormatMask 4" xfId="9361"/>
    <cellStyle name="SAPBEXaggData" xfId="6596"/>
    <cellStyle name="SAPBEXaggData 10" xfId="6597"/>
    <cellStyle name="SAPBEXaggData 10 2" xfId="60648"/>
    <cellStyle name="SAPBEXaggData 11" xfId="6598"/>
    <cellStyle name="SAPBEXaggData 11 2" xfId="60649"/>
    <cellStyle name="SAPBEXaggData 12" xfId="6599"/>
    <cellStyle name="SAPBEXaggData 2" xfId="6600"/>
    <cellStyle name="SAPBEXaggData 2 10" xfId="6601"/>
    <cellStyle name="SAPBEXaggData 2 10 2" xfId="60650"/>
    <cellStyle name="SAPBEXaggData 2 11" xfId="6602"/>
    <cellStyle name="SAPBEXaggData 2 2" xfId="6603"/>
    <cellStyle name="SAPBEXaggData 2 2 2" xfId="60651"/>
    <cellStyle name="SAPBEXaggData 2 3" xfId="6604"/>
    <cellStyle name="SAPBEXaggData 2 3 2" xfId="60652"/>
    <cellStyle name="SAPBEXaggData 2 4" xfId="6605"/>
    <cellStyle name="SAPBEXaggData 2 4 2" xfId="60653"/>
    <cellStyle name="SAPBEXaggData 2 5" xfId="6606"/>
    <cellStyle name="SAPBEXaggData 2 5 2" xfId="60654"/>
    <cellStyle name="SAPBEXaggData 2 6" xfId="6607"/>
    <cellStyle name="SAPBEXaggData 2 6 2" xfId="60655"/>
    <cellStyle name="SAPBEXaggData 2 7" xfId="6608"/>
    <cellStyle name="SAPBEXaggData 2 7 2" xfId="60656"/>
    <cellStyle name="SAPBEXaggData 2 8" xfId="6609"/>
    <cellStyle name="SAPBEXaggData 2 8 2" xfId="60657"/>
    <cellStyle name="SAPBEXaggData 2 9" xfId="6610"/>
    <cellStyle name="SAPBEXaggData 2 9 2" xfId="60658"/>
    <cellStyle name="SAPBEXaggData 3" xfId="6611"/>
    <cellStyle name="SAPBEXaggData 3 2" xfId="60659"/>
    <cellStyle name="SAPBEXaggData 4" xfId="6612"/>
    <cellStyle name="SAPBEXaggData 4 2" xfId="60660"/>
    <cellStyle name="SAPBEXaggData 5" xfId="6613"/>
    <cellStyle name="SAPBEXaggData 5 2" xfId="60661"/>
    <cellStyle name="SAPBEXaggData 6" xfId="6614"/>
    <cellStyle name="SAPBEXaggData 6 2" xfId="60662"/>
    <cellStyle name="SAPBEXaggData 7" xfId="6615"/>
    <cellStyle name="SAPBEXaggData 7 2" xfId="60663"/>
    <cellStyle name="SAPBEXaggData 8" xfId="6616"/>
    <cellStyle name="SAPBEXaggData 8 2" xfId="60664"/>
    <cellStyle name="SAPBEXaggData 9" xfId="6617"/>
    <cellStyle name="SAPBEXaggData 9 2" xfId="60665"/>
    <cellStyle name="SAPBEXaggDataEmph" xfId="6618"/>
    <cellStyle name="SAPBEXaggDataEmph 10" xfId="6619"/>
    <cellStyle name="SAPBEXaggDataEmph 10 2" xfId="60666"/>
    <cellStyle name="SAPBEXaggDataEmph 11" xfId="6620"/>
    <cellStyle name="SAPBEXaggDataEmph 2" xfId="6621"/>
    <cellStyle name="SAPBEXaggDataEmph 2 2" xfId="60667"/>
    <cellStyle name="SAPBEXaggDataEmph 3" xfId="6622"/>
    <cellStyle name="SAPBEXaggDataEmph 3 2" xfId="60668"/>
    <cellStyle name="SAPBEXaggDataEmph 4" xfId="6623"/>
    <cellStyle name="SAPBEXaggDataEmph 4 2" xfId="60669"/>
    <cellStyle name="SAPBEXaggDataEmph 5" xfId="6624"/>
    <cellStyle name="SAPBEXaggDataEmph 5 2" xfId="60670"/>
    <cellStyle name="SAPBEXaggDataEmph 6" xfId="6625"/>
    <cellStyle name="SAPBEXaggDataEmph 6 2" xfId="60671"/>
    <cellStyle name="SAPBEXaggDataEmph 7" xfId="6626"/>
    <cellStyle name="SAPBEXaggDataEmph 7 2" xfId="60672"/>
    <cellStyle name="SAPBEXaggDataEmph 8" xfId="6627"/>
    <cellStyle name="SAPBEXaggDataEmph 8 2" xfId="60673"/>
    <cellStyle name="SAPBEXaggDataEmph 9" xfId="6628"/>
    <cellStyle name="SAPBEXaggDataEmph 9 2" xfId="60674"/>
    <cellStyle name="SAPBEXaggItem" xfId="6629"/>
    <cellStyle name="SAPBEXaggItem 10" xfId="6630"/>
    <cellStyle name="SAPBEXaggItem 10 2" xfId="60675"/>
    <cellStyle name="SAPBEXaggItem 11" xfId="6631"/>
    <cellStyle name="SAPBEXaggItem 11 2" xfId="60676"/>
    <cellStyle name="SAPBEXaggItem 12" xfId="6632"/>
    <cellStyle name="SAPBEXaggItem 2" xfId="6633"/>
    <cellStyle name="SAPBEXaggItem 2 10" xfId="6634"/>
    <cellStyle name="SAPBEXaggItem 2 10 2" xfId="60677"/>
    <cellStyle name="SAPBEXaggItem 2 11" xfId="6635"/>
    <cellStyle name="SAPBEXaggItem 2 2" xfId="6636"/>
    <cellStyle name="SAPBEXaggItem 2 2 2" xfId="60678"/>
    <cellStyle name="SAPBEXaggItem 2 3" xfId="6637"/>
    <cellStyle name="SAPBEXaggItem 2 3 2" xfId="60679"/>
    <cellStyle name="SAPBEXaggItem 2 4" xfId="6638"/>
    <cellStyle name="SAPBEXaggItem 2 4 2" xfId="60680"/>
    <cellStyle name="SAPBEXaggItem 2 5" xfId="6639"/>
    <cellStyle name="SAPBEXaggItem 2 5 2" xfId="60681"/>
    <cellStyle name="SAPBEXaggItem 2 6" xfId="6640"/>
    <cellStyle name="SAPBEXaggItem 2 6 2" xfId="60682"/>
    <cellStyle name="SAPBEXaggItem 2 7" xfId="6641"/>
    <cellStyle name="SAPBEXaggItem 2 7 2" xfId="60683"/>
    <cellStyle name="SAPBEXaggItem 2 8" xfId="6642"/>
    <cellStyle name="SAPBEXaggItem 2 8 2" xfId="60684"/>
    <cellStyle name="SAPBEXaggItem 2 9" xfId="6643"/>
    <cellStyle name="SAPBEXaggItem 2 9 2" xfId="60685"/>
    <cellStyle name="SAPBEXaggItem 3" xfId="6644"/>
    <cellStyle name="SAPBEXaggItem 3 2" xfId="60686"/>
    <cellStyle name="SAPBEXaggItem 4" xfId="6645"/>
    <cellStyle name="SAPBEXaggItem 4 2" xfId="60687"/>
    <cellStyle name="SAPBEXaggItem 5" xfId="6646"/>
    <cellStyle name="SAPBEXaggItem 5 2" xfId="60688"/>
    <cellStyle name="SAPBEXaggItem 6" xfId="6647"/>
    <cellStyle name="SAPBEXaggItem 6 2" xfId="60689"/>
    <cellStyle name="SAPBEXaggItem 7" xfId="6648"/>
    <cellStyle name="SAPBEXaggItem 7 2" xfId="60690"/>
    <cellStyle name="SAPBEXaggItem 8" xfId="6649"/>
    <cellStyle name="SAPBEXaggItem 8 2" xfId="60691"/>
    <cellStyle name="SAPBEXaggItem 9" xfId="6650"/>
    <cellStyle name="SAPBEXaggItem 9 2" xfId="60692"/>
    <cellStyle name="SAPBEXaggItemX" xfId="6651"/>
    <cellStyle name="SAPBEXaggItemX 10" xfId="6652"/>
    <cellStyle name="SAPBEXaggItemX 10 2" xfId="60693"/>
    <cellStyle name="SAPBEXaggItemX 11" xfId="6653"/>
    <cellStyle name="SAPBEXaggItemX 11 2" xfId="60694"/>
    <cellStyle name="SAPBEXaggItemX 12" xfId="6654"/>
    <cellStyle name="SAPBEXaggItemX 2" xfId="6655"/>
    <cellStyle name="SAPBEXaggItemX 2 10" xfId="6656"/>
    <cellStyle name="SAPBEXaggItemX 2 10 2" xfId="60695"/>
    <cellStyle name="SAPBEXaggItemX 2 11" xfId="6657"/>
    <cellStyle name="SAPBEXaggItemX 2 2" xfId="6658"/>
    <cellStyle name="SAPBEXaggItemX 2 2 2" xfId="60696"/>
    <cellStyle name="SAPBEXaggItemX 2 3" xfId="6659"/>
    <cellStyle name="SAPBEXaggItemX 2 3 2" xfId="60697"/>
    <cellStyle name="SAPBEXaggItemX 2 4" xfId="6660"/>
    <cellStyle name="SAPBEXaggItemX 2 4 2" xfId="60698"/>
    <cellStyle name="SAPBEXaggItemX 2 5" xfId="6661"/>
    <cellStyle name="SAPBEXaggItemX 2 5 2" xfId="60699"/>
    <cellStyle name="SAPBEXaggItemX 2 6" xfId="6662"/>
    <cellStyle name="SAPBEXaggItemX 2 6 2" xfId="60700"/>
    <cellStyle name="SAPBEXaggItemX 2 7" xfId="6663"/>
    <cellStyle name="SAPBEXaggItemX 2 7 2" xfId="60701"/>
    <cellStyle name="SAPBEXaggItemX 2 8" xfId="6664"/>
    <cellStyle name="SAPBEXaggItemX 2 8 2" xfId="60702"/>
    <cellStyle name="SAPBEXaggItemX 2 9" xfId="6665"/>
    <cellStyle name="SAPBEXaggItemX 2 9 2" xfId="60703"/>
    <cellStyle name="SAPBEXaggItemX 3" xfId="6666"/>
    <cellStyle name="SAPBEXaggItemX 3 2" xfId="60704"/>
    <cellStyle name="SAPBEXaggItemX 4" xfId="6667"/>
    <cellStyle name="SAPBEXaggItemX 4 2" xfId="60705"/>
    <cellStyle name="SAPBEXaggItemX 5" xfId="6668"/>
    <cellStyle name="SAPBEXaggItemX 5 2" xfId="60706"/>
    <cellStyle name="SAPBEXaggItemX 6" xfId="6669"/>
    <cellStyle name="SAPBEXaggItemX 6 2" xfId="60707"/>
    <cellStyle name="SAPBEXaggItemX 7" xfId="6670"/>
    <cellStyle name="SAPBEXaggItemX 7 2" xfId="60708"/>
    <cellStyle name="SAPBEXaggItemX 8" xfId="6671"/>
    <cellStyle name="SAPBEXaggItemX 8 2" xfId="60709"/>
    <cellStyle name="SAPBEXaggItemX 9" xfId="6672"/>
    <cellStyle name="SAPBEXaggItemX 9 2" xfId="60710"/>
    <cellStyle name="SAPBEXchaText" xfId="6673"/>
    <cellStyle name="SAPBEXchaText 2" xfId="6674"/>
    <cellStyle name="SAPBEXexcBad7" xfId="6675"/>
    <cellStyle name="SAPBEXexcBad7 10" xfId="6676"/>
    <cellStyle name="SAPBEXexcBad7 10 2" xfId="60711"/>
    <cellStyle name="SAPBEXexcBad7 11" xfId="6677"/>
    <cellStyle name="SAPBEXexcBad7 11 2" xfId="60712"/>
    <cellStyle name="SAPBEXexcBad7 12" xfId="6678"/>
    <cellStyle name="SAPBEXexcBad7 2" xfId="6679"/>
    <cellStyle name="SAPBEXexcBad7 2 10" xfId="6680"/>
    <cellStyle name="SAPBEXexcBad7 2 10 2" xfId="60713"/>
    <cellStyle name="SAPBEXexcBad7 2 11" xfId="6681"/>
    <cellStyle name="SAPBEXexcBad7 2 2" xfId="6682"/>
    <cellStyle name="SAPBEXexcBad7 2 2 2" xfId="60714"/>
    <cellStyle name="SAPBEXexcBad7 2 3" xfId="6683"/>
    <cellStyle name="SAPBEXexcBad7 2 3 2" xfId="60715"/>
    <cellStyle name="SAPBEXexcBad7 2 4" xfId="6684"/>
    <cellStyle name="SAPBEXexcBad7 2 4 2" xfId="60716"/>
    <cellStyle name="SAPBEXexcBad7 2 5" xfId="6685"/>
    <cellStyle name="SAPBEXexcBad7 2 5 2" xfId="60717"/>
    <cellStyle name="SAPBEXexcBad7 2 6" xfId="6686"/>
    <cellStyle name="SAPBEXexcBad7 2 6 2" xfId="60718"/>
    <cellStyle name="SAPBEXexcBad7 2 7" xfId="6687"/>
    <cellStyle name="SAPBEXexcBad7 2 7 2" xfId="60719"/>
    <cellStyle name="SAPBEXexcBad7 2 8" xfId="6688"/>
    <cellStyle name="SAPBEXexcBad7 2 8 2" xfId="60720"/>
    <cellStyle name="SAPBEXexcBad7 2 9" xfId="6689"/>
    <cellStyle name="SAPBEXexcBad7 2 9 2" xfId="60721"/>
    <cellStyle name="SAPBEXexcBad7 3" xfId="6690"/>
    <cellStyle name="SAPBEXexcBad7 3 2" xfId="60722"/>
    <cellStyle name="SAPBEXexcBad7 4" xfId="6691"/>
    <cellStyle name="SAPBEXexcBad7 4 2" xfId="60723"/>
    <cellStyle name="SAPBEXexcBad7 5" xfId="6692"/>
    <cellStyle name="SAPBEXexcBad7 5 2" xfId="60724"/>
    <cellStyle name="SAPBEXexcBad7 6" xfId="6693"/>
    <cellStyle name="SAPBEXexcBad7 6 2" xfId="60725"/>
    <cellStyle name="SAPBEXexcBad7 7" xfId="6694"/>
    <cellStyle name="SAPBEXexcBad7 7 2" xfId="60726"/>
    <cellStyle name="SAPBEXexcBad7 8" xfId="6695"/>
    <cellStyle name="SAPBEXexcBad7 8 2" xfId="60727"/>
    <cellStyle name="SAPBEXexcBad7 9" xfId="6696"/>
    <cellStyle name="SAPBEXexcBad7 9 2" xfId="60728"/>
    <cellStyle name="SAPBEXexcBad8" xfId="6697"/>
    <cellStyle name="SAPBEXexcBad8 10" xfId="6698"/>
    <cellStyle name="SAPBEXexcBad8 10 2" xfId="60729"/>
    <cellStyle name="SAPBEXexcBad8 11" xfId="6699"/>
    <cellStyle name="SAPBEXexcBad8 2" xfId="6700"/>
    <cellStyle name="SAPBEXexcBad8 2 2" xfId="60730"/>
    <cellStyle name="SAPBEXexcBad8 3" xfId="6701"/>
    <cellStyle name="SAPBEXexcBad8 3 2" xfId="60731"/>
    <cellStyle name="SAPBEXexcBad8 4" xfId="6702"/>
    <cellStyle name="SAPBEXexcBad8 4 2" xfId="60732"/>
    <cellStyle name="SAPBEXexcBad8 5" xfId="6703"/>
    <cellStyle name="SAPBEXexcBad8 5 2" xfId="60733"/>
    <cellStyle name="SAPBEXexcBad8 6" xfId="6704"/>
    <cellStyle name="SAPBEXexcBad8 6 2" xfId="60734"/>
    <cellStyle name="SAPBEXexcBad8 7" xfId="6705"/>
    <cellStyle name="SAPBEXexcBad8 7 2" xfId="60735"/>
    <cellStyle name="SAPBEXexcBad8 8" xfId="6706"/>
    <cellStyle name="SAPBEXexcBad8 8 2" xfId="60736"/>
    <cellStyle name="SAPBEXexcBad8 9" xfId="6707"/>
    <cellStyle name="SAPBEXexcBad8 9 2" xfId="60737"/>
    <cellStyle name="SAPBEXexcBad9" xfId="6708"/>
    <cellStyle name="SAPBEXexcBad9 10" xfId="6709"/>
    <cellStyle name="SAPBEXexcBad9 10 2" xfId="60738"/>
    <cellStyle name="SAPBEXexcBad9 11" xfId="6710"/>
    <cellStyle name="SAPBEXexcBad9 2" xfId="6711"/>
    <cellStyle name="SAPBEXexcBad9 2 2" xfId="60739"/>
    <cellStyle name="SAPBEXexcBad9 3" xfId="6712"/>
    <cellStyle name="SAPBEXexcBad9 3 2" xfId="60740"/>
    <cellStyle name="SAPBEXexcBad9 4" xfId="6713"/>
    <cellStyle name="SAPBEXexcBad9 4 2" xfId="60741"/>
    <cellStyle name="SAPBEXexcBad9 5" xfId="6714"/>
    <cellStyle name="SAPBEXexcBad9 5 2" xfId="60742"/>
    <cellStyle name="SAPBEXexcBad9 6" xfId="6715"/>
    <cellStyle name="SAPBEXexcBad9 6 2" xfId="60743"/>
    <cellStyle name="SAPBEXexcBad9 7" xfId="6716"/>
    <cellStyle name="SAPBEXexcBad9 7 2" xfId="60744"/>
    <cellStyle name="SAPBEXexcBad9 8" xfId="6717"/>
    <cellStyle name="SAPBEXexcBad9 8 2" xfId="60745"/>
    <cellStyle name="SAPBEXexcBad9 9" xfId="6718"/>
    <cellStyle name="SAPBEXexcBad9 9 2" xfId="60746"/>
    <cellStyle name="SAPBEXexcCritical4" xfId="6719"/>
    <cellStyle name="SAPBEXexcCritical4 10" xfId="6720"/>
    <cellStyle name="SAPBEXexcCritical4 10 2" xfId="60747"/>
    <cellStyle name="SAPBEXexcCritical4 11" xfId="6721"/>
    <cellStyle name="SAPBEXexcCritical4 11 2" xfId="60748"/>
    <cellStyle name="SAPBEXexcCritical4 12" xfId="6722"/>
    <cellStyle name="SAPBEXexcCritical4 2" xfId="6723"/>
    <cellStyle name="SAPBEXexcCritical4 2 10" xfId="6724"/>
    <cellStyle name="SAPBEXexcCritical4 2 10 2" xfId="60749"/>
    <cellStyle name="SAPBEXexcCritical4 2 11" xfId="6725"/>
    <cellStyle name="SAPBEXexcCritical4 2 2" xfId="6726"/>
    <cellStyle name="SAPBEXexcCritical4 2 2 2" xfId="60750"/>
    <cellStyle name="SAPBEXexcCritical4 2 3" xfId="6727"/>
    <cellStyle name="SAPBEXexcCritical4 2 3 2" xfId="60751"/>
    <cellStyle name="SAPBEXexcCritical4 2 4" xfId="6728"/>
    <cellStyle name="SAPBEXexcCritical4 2 4 2" xfId="60752"/>
    <cellStyle name="SAPBEXexcCritical4 2 5" xfId="6729"/>
    <cellStyle name="SAPBEXexcCritical4 2 5 2" xfId="60753"/>
    <cellStyle name="SAPBEXexcCritical4 2 6" xfId="6730"/>
    <cellStyle name="SAPBEXexcCritical4 2 6 2" xfId="60754"/>
    <cellStyle name="SAPBEXexcCritical4 2 7" xfId="6731"/>
    <cellStyle name="SAPBEXexcCritical4 2 7 2" xfId="60755"/>
    <cellStyle name="SAPBEXexcCritical4 2 8" xfId="6732"/>
    <cellStyle name="SAPBEXexcCritical4 2 8 2" xfId="60756"/>
    <cellStyle name="SAPBEXexcCritical4 2 9" xfId="6733"/>
    <cellStyle name="SAPBEXexcCritical4 2 9 2" xfId="60757"/>
    <cellStyle name="SAPBEXexcCritical4 3" xfId="6734"/>
    <cellStyle name="SAPBEXexcCritical4 3 2" xfId="60758"/>
    <cellStyle name="SAPBEXexcCritical4 4" xfId="6735"/>
    <cellStyle name="SAPBEXexcCritical4 4 2" xfId="60759"/>
    <cellStyle name="SAPBEXexcCritical4 5" xfId="6736"/>
    <cellStyle name="SAPBEXexcCritical4 5 2" xfId="60760"/>
    <cellStyle name="SAPBEXexcCritical4 6" xfId="6737"/>
    <cellStyle name="SAPBEXexcCritical4 6 2" xfId="60761"/>
    <cellStyle name="SAPBEXexcCritical4 7" xfId="6738"/>
    <cellStyle name="SAPBEXexcCritical4 7 2" xfId="60762"/>
    <cellStyle name="SAPBEXexcCritical4 8" xfId="6739"/>
    <cellStyle name="SAPBEXexcCritical4 8 2" xfId="60763"/>
    <cellStyle name="SAPBEXexcCritical4 9" xfId="6740"/>
    <cellStyle name="SAPBEXexcCritical4 9 2" xfId="60764"/>
    <cellStyle name="SAPBEXexcCritical5" xfId="6741"/>
    <cellStyle name="SAPBEXexcCritical5 10" xfId="6742"/>
    <cellStyle name="SAPBEXexcCritical5 10 2" xfId="60765"/>
    <cellStyle name="SAPBEXexcCritical5 11" xfId="6743"/>
    <cellStyle name="SAPBEXexcCritical5 11 2" xfId="60766"/>
    <cellStyle name="SAPBEXexcCritical5 12" xfId="6744"/>
    <cellStyle name="SAPBEXexcCritical5 2" xfId="6745"/>
    <cellStyle name="SAPBEXexcCritical5 2 10" xfId="6746"/>
    <cellStyle name="SAPBEXexcCritical5 2 10 2" xfId="60767"/>
    <cellStyle name="SAPBEXexcCritical5 2 11" xfId="6747"/>
    <cellStyle name="SAPBEXexcCritical5 2 2" xfId="6748"/>
    <cellStyle name="SAPBEXexcCritical5 2 2 2" xfId="60768"/>
    <cellStyle name="SAPBEXexcCritical5 2 3" xfId="6749"/>
    <cellStyle name="SAPBEXexcCritical5 2 3 2" xfId="60769"/>
    <cellStyle name="SAPBEXexcCritical5 2 4" xfId="6750"/>
    <cellStyle name="SAPBEXexcCritical5 2 4 2" xfId="60770"/>
    <cellStyle name="SAPBEXexcCritical5 2 5" xfId="6751"/>
    <cellStyle name="SAPBEXexcCritical5 2 5 2" xfId="60771"/>
    <cellStyle name="SAPBEXexcCritical5 2 6" xfId="6752"/>
    <cellStyle name="SAPBEXexcCritical5 2 6 2" xfId="60772"/>
    <cellStyle name="SAPBEXexcCritical5 2 7" xfId="6753"/>
    <cellStyle name="SAPBEXexcCritical5 2 7 2" xfId="60773"/>
    <cellStyle name="SAPBEXexcCritical5 2 8" xfId="6754"/>
    <cellStyle name="SAPBEXexcCritical5 2 8 2" xfId="60774"/>
    <cellStyle name="SAPBEXexcCritical5 2 9" xfId="6755"/>
    <cellStyle name="SAPBEXexcCritical5 2 9 2" xfId="60775"/>
    <cellStyle name="SAPBEXexcCritical5 3" xfId="6756"/>
    <cellStyle name="SAPBEXexcCritical5 3 2" xfId="60776"/>
    <cellStyle name="SAPBEXexcCritical5 4" xfId="6757"/>
    <cellStyle name="SAPBEXexcCritical5 4 2" xfId="60777"/>
    <cellStyle name="SAPBEXexcCritical5 5" xfId="6758"/>
    <cellStyle name="SAPBEXexcCritical5 5 2" xfId="60778"/>
    <cellStyle name="SAPBEXexcCritical5 6" xfId="6759"/>
    <cellStyle name="SAPBEXexcCritical5 6 2" xfId="60779"/>
    <cellStyle name="SAPBEXexcCritical5 7" xfId="6760"/>
    <cellStyle name="SAPBEXexcCritical5 7 2" xfId="60780"/>
    <cellStyle name="SAPBEXexcCritical5 8" xfId="6761"/>
    <cellStyle name="SAPBEXexcCritical5 8 2" xfId="60781"/>
    <cellStyle name="SAPBEXexcCritical5 9" xfId="6762"/>
    <cellStyle name="SAPBEXexcCritical5 9 2" xfId="60782"/>
    <cellStyle name="SAPBEXexcCritical6" xfId="6763"/>
    <cellStyle name="SAPBEXexcCritical6 10" xfId="6764"/>
    <cellStyle name="SAPBEXexcCritical6 10 2" xfId="60783"/>
    <cellStyle name="SAPBEXexcCritical6 11" xfId="6765"/>
    <cellStyle name="SAPBEXexcCritical6 11 2" xfId="60784"/>
    <cellStyle name="SAPBEXexcCritical6 12" xfId="6766"/>
    <cellStyle name="SAPBEXexcCritical6 2" xfId="6767"/>
    <cellStyle name="SAPBEXexcCritical6 2 10" xfId="6768"/>
    <cellStyle name="SAPBEXexcCritical6 2 10 2" xfId="60785"/>
    <cellStyle name="SAPBEXexcCritical6 2 11" xfId="6769"/>
    <cellStyle name="SAPBEXexcCritical6 2 2" xfId="6770"/>
    <cellStyle name="SAPBEXexcCritical6 2 2 2" xfId="60786"/>
    <cellStyle name="SAPBEXexcCritical6 2 3" xfId="6771"/>
    <cellStyle name="SAPBEXexcCritical6 2 3 2" xfId="60787"/>
    <cellStyle name="SAPBEXexcCritical6 2 4" xfId="6772"/>
    <cellStyle name="SAPBEXexcCritical6 2 4 2" xfId="60788"/>
    <cellStyle name="SAPBEXexcCritical6 2 5" xfId="6773"/>
    <cellStyle name="SAPBEXexcCritical6 2 5 2" xfId="60789"/>
    <cellStyle name="SAPBEXexcCritical6 2 6" xfId="6774"/>
    <cellStyle name="SAPBEXexcCritical6 2 6 2" xfId="60790"/>
    <cellStyle name="SAPBEXexcCritical6 2 7" xfId="6775"/>
    <cellStyle name="SAPBEXexcCritical6 2 7 2" xfId="60791"/>
    <cellStyle name="SAPBEXexcCritical6 2 8" xfId="6776"/>
    <cellStyle name="SAPBEXexcCritical6 2 8 2" xfId="60792"/>
    <cellStyle name="SAPBEXexcCritical6 2 9" xfId="6777"/>
    <cellStyle name="SAPBEXexcCritical6 2 9 2" xfId="60793"/>
    <cellStyle name="SAPBEXexcCritical6 3" xfId="6778"/>
    <cellStyle name="SAPBEXexcCritical6 3 2" xfId="60794"/>
    <cellStyle name="SAPBEXexcCritical6 4" xfId="6779"/>
    <cellStyle name="SAPBEXexcCritical6 4 2" xfId="60795"/>
    <cellStyle name="SAPBEXexcCritical6 5" xfId="6780"/>
    <cellStyle name="SAPBEXexcCritical6 5 2" xfId="60796"/>
    <cellStyle name="SAPBEXexcCritical6 6" xfId="6781"/>
    <cellStyle name="SAPBEXexcCritical6 6 2" xfId="60797"/>
    <cellStyle name="SAPBEXexcCritical6 7" xfId="6782"/>
    <cellStyle name="SAPBEXexcCritical6 7 2" xfId="60798"/>
    <cellStyle name="SAPBEXexcCritical6 8" xfId="6783"/>
    <cellStyle name="SAPBEXexcCritical6 8 2" xfId="60799"/>
    <cellStyle name="SAPBEXexcCritical6 9" xfId="6784"/>
    <cellStyle name="SAPBEXexcCritical6 9 2" xfId="60800"/>
    <cellStyle name="SAPBEXexcGood1" xfId="6785"/>
    <cellStyle name="SAPBEXexcGood1 10" xfId="6786"/>
    <cellStyle name="SAPBEXexcGood1 10 2" xfId="60801"/>
    <cellStyle name="SAPBEXexcGood1 11" xfId="6787"/>
    <cellStyle name="SAPBEXexcGood1 2" xfId="6788"/>
    <cellStyle name="SAPBEXexcGood1 2 2" xfId="60802"/>
    <cellStyle name="SAPBEXexcGood1 3" xfId="6789"/>
    <cellStyle name="SAPBEXexcGood1 3 2" xfId="60803"/>
    <cellStyle name="SAPBEXexcGood1 4" xfId="6790"/>
    <cellStyle name="SAPBEXexcGood1 4 2" xfId="60804"/>
    <cellStyle name="SAPBEXexcGood1 5" xfId="6791"/>
    <cellStyle name="SAPBEXexcGood1 5 2" xfId="60805"/>
    <cellStyle name="SAPBEXexcGood1 6" xfId="6792"/>
    <cellStyle name="SAPBEXexcGood1 6 2" xfId="60806"/>
    <cellStyle name="SAPBEXexcGood1 7" xfId="6793"/>
    <cellStyle name="SAPBEXexcGood1 7 2" xfId="60807"/>
    <cellStyle name="SAPBEXexcGood1 8" xfId="6794"/>
    <cellStyle name="SAPBEXexcGood1 8 2" xfId="60808"/>
    <cellStyle name="SAPBEXexcGood1 9" xfId="6795"/>
    <cellStyle name="SAPBEXexcGood1 9 2" xfId="60809"/>
    <cellStyle name="SAPBEXexcGood2" xfId="6796"/>
    <cellStyle name="SAPBEXexcGood2 10" xfId="6797"/>
    <cellStyle name="SAPBEXexcGood2 10 2" xfId="60810"/>
    <cellStyle name="SAPBEXexcGood2 11" xfId="6798"/>
    <cellStyle name="SAPBEXexcGood2 2" xfId="6799"/>
    <cellStyle name="SAPBEXexcGood2 2 2" xfId="60811"/>
    <cellStyle name="SAPBEXexcGood2 3" xfId="6800"/>
    <cellStyle name="SAPBEXexcGood2 3 2" xfId="60812"/>
    <cellStyle name="SAPBEXexcGood2 4" xfId="6801"/>
    <cellStyle name="SAPBEXexcGood2 4 2" xfId="60813"/>
    <cellStyle name="SAPBEXexcGood2 5" xfId="6802"/>
    <cellStyle name="SAPBEXexcGood2 5 2" xfId="60814"/>
    <cellStyle name="SAPBEXexcGood2 6" xfId="6803"/>
    <cellStyle name="SAPBEXexcGood2 6 2" xfId="60815"/>
    <cellStyle name="SAPBEXexcGood2 7" xfId="6804"/>
    <cellStyle name="SAPBEXexcGood2 7 2" xfId="60816"/>
    <cellStyle name="SAPBEXexcGood2 8" xfId="6805"/>
    <cellStyle name="SAPBEXexcGood2 8 2" xfId="60817"/>
    <cellStyle name="SAPBEXexcGood2 9" xfId="6806"/>
    <cellStyle name="SAPBEXexcGood2 9 2" xfId="60818"/>
    <cellStyle name="SAPBEXexcGood3" xfId="6807"/>
    <cellStyle name="SAPBEXexcGood3 10" xfId="6808"/>
    <cellStyle name="SAPBEXexcGood3 10 2" xfId="60819"/>
    <cellStyle name="SAPBEXexcGood3 11" xfId="6809"/>
    <cellStyle name="SAPBEXexcGood3 11 2" xfId="60820"/>
    <cellStyle name="SAPBEXexcGood3 12" xfId="6810"/>
    <cellStyle name="SAPBEXexcGood3 2" xfId="6811"/>
    <cellStyle name="SAPBEXexcGood3 2 10" xfId="6812"/>
    <cellStyle name="SAPBEXexcGood3 2 10 2" xfId="60821"/>
    <cellStyle name="SAPBEXexcGood3 2 11" xfId="6813"/>
    <cellStyle name="SAPBEXexcGood3 2 2" xfId="6814"/>
    <cellStyle name="SAPBEXexcGood3 2 2 2" xfId="60822"/>
    <cellStyle name="SAPBEXexcGood3 2 3" xfId="6815"/>
    <cellStyle name="SAPBEXexcGood3 2 3 2" xfId="60823"/>
    <cellStyle name="SAPBEXexcGood3 2 4" xfId="6816"/>
    <cellStyle name="SAPBEXexcGood3 2 4 2" xfId="60824"/>
    <cellStyle name="SAPBEXexcGood3 2 5" xfId="6817"/>
    <cellStyle name="SAPBEXexcGood3 2 5 2" xfId="60825"/>
    <cellStyle name="SAPBEXexcGood3 2 6" xfId="6818"/>
    <cellStyle name="SAPBEXexcGood3 2 6 2" xfId="60826"/>
    <cellStyle name="SAPBEXexcGood3 2 7" xfId="6819"/>
    <cellStyle name="SAPBEXexcGood3 2 7 2" xfId="60827"/>
    <cellStyle name="SAPBEXexcGood3 2 8" xfId="6820"/>
    <cellStyle name="SAPBEXexcGood3 2 8 2" xfId="60828"/>
    <cellStyle name="SAPBEXexcGood3 2 9" xfId="6821"/>
    <cellStyle name="SAPBEXexcGood3 2 9 2" xfId="60829"/>
    <cellStyle name="SAPBEXexcGood3 3" xfId="6822"/>
    <cellStyle name="SAPBEXexcGood3 3 2" xfId="60830"/>
    <cellStyle name="SAPBEXexcGood3 4" xfId="6823"/>
    <cellStyle name="SAPBEXexcGood3 4 2" xfId="60831"/>
    <cellStyle name="SAPBEXexcGood3 5" xfId="6824"/>
    <cellStyle name="SAPBEXexcGood3 5 2" xfId="60832"/>
    <cellStyle name="SAPBEXexcGood3 6" xfId="6825"/>
    <cellStyle name="SAPBEXexcGood3 6 2" xfId="60833"/>
    <cellStyle name="SAPBEXexcGood3 7" xfId="6826"/>
    <cellStyle name="SAPBEXexcGood3 7 2" xfId="60834"/>
    <cellStyle name="SAPBEXexcGood3 8" xfId="6827"/>
    <cellStyle name="SAPBEXexcGood3 8 2" xfId="60835"/>
    <cellStyle name="SAPBEXexcGood3 9" xfId="6828"/>
    <cellStyle name="SAPBEXexcGood3 9 2" xfId="60836"/>
    <cellStyle name="SAPBEXfilterDrill" xfId="6829"/>
    <cellStyle name="SAPBEXfilterDrill 2" xfId="6830"/>
    <cellStyle name="SAPBEXfilterItem" xfId="6831"/>
    <cellStyle name="SAPBEXfilterItem 2" xfId="6832"/>
    <cellStyle name="SAPBEXfilterText" xfId="6833"/>
    <cellStyle name="SAPBEXfilterText 2" xfId="6834"/>
    <cellStyle name="SAPBEXformats" xfId="6835"/>
    <cellStyle name="SAPBEXformats 10" xfId="6836"/>
    <cellStyle name="SAPBEXformats 10 2" xfId="60837"/>
    <cellStyle name="SAPBEXformats 11" xfId="6837"/>
    <cellStyle name="SAPBEXformats 11 2" xfId="60838"/>
    <cellStyle name="SAPBEXformats 12" xfId="6838"/>
    <cellStyle name="SAPBEXformats 2" xfId="6839"/>
    <cellStyle name="SAPBEXformats 2 10" xfId="6840"/>
    <cellStyle name="SAPBEXformats 2 10 2" xfId="60839"/>
    <cellStyle name="SAPBEXformats 2 11" xfId="6841"/>
    <cellStyle name="SAPBEXformats 2 2" xfId="6842"/>
    <cellStyle name="SAPBEXformats 2 2 2" xfId="60840"/>
    <cellStyle name="SAPBEXformats 2 3" xfId="6843"/>
    <cellStyle name="SAPBEXformats 2 3 2" xfId="60841"/>
    <cellStyle name="SAPBEXformats 2 4" xfId="6844"/>
    <cellStyle name="SAPBEXformats 2 4 2" xfId="60842"/>
    <cellStyle name="SAPBEXformats 2 5" xfId="6845"/>
    <cellStyle name="SAPBEXformats 2 5 2" xfId="60843"/>
    <cellStyle name="SAPBEXformats 2 6" xfId="6846"/>
    <cellStyle name="SAPBEXformats 2 6 2" xfId="60844"/>
    <cellStyle name="SAPBEXformats 2 7" xfId="6847"/>
    <cellStyle name="SAPBEXformats 2 7 2" xfId="60845"/>
    <cellStyle name="SAPBEXformats 2 8" xfId="6848"/>
    <cellStyle name="SAPBEXformats 2 8 2" xfId="60846"/>
    <cellStyle name="SAPBEXformats 2 9" xfId="6849"/>
    <cellStyle name="SAPBEXformats 2 9 2" xfId="60847"/>
    <cellStyle name="SAPBEXformats 3" xfId="6850"/>
    <cellStyle name="SAPBEXformats 3 2" xfId="60848"/>
    <cellStyle name="SAPBEXformats 4" xfId="6851"/>
    <cellStyle name="SAPBEXformats 4 2" xfId="60849"/>
    <cellStyle name="SAPBEXformats 5" xfId="6852"/>
    <cellStyle name="SAPBEXformats 5 2" xfId="60850"/>
    <cellStyle name="SAPBEXformats 6" xfId="6853"/>
    <cellStyle name="SAPBEXformats 6 2" xfId="60851"/>
    <cellStyle name="SAPBEXformats 7" xfId="6854"/>
    <cellStyle name="SAPBEXformats 7 2" xfId="60852"/>
    <cellStyle name="SAPBEXformats 8" xfId="6855"/>
    <cellStyle name="SAPBEXformats 8 2" xfId="60853"/>
    <cellStyle name="SAPBEXformats 9" xfId="6856"/>
    <cellStyle name="SAPBEXformats 9 2" xfId="60854"/>
    <cellStyle name="SAPBEXheaderItem" xfId="6857"/>
    <cellStyle name="SAPBEXheaderItem 2" xfId="6858"/>
    <cellStyle name="SAPBEXheaderText" xfId="6859"/>
    <cellStyle name="SAPBEXheaderText 2" xfId="6860"/>
    <cellStyle name="SAPBEXHLevel0" xfId="6861"/>
    <cellStyle name="SAPBEXHLevel0 10" xfId="6862"/>
    <cellStyle name="SAPBEXHLevel0 10 2" xfId="60855"/>
    <cellStyle name="SAPBEXHLevel0 11" xfId="6863"/>
    <cellStyle name="SAPBEXHLevel0 11 2" xfId="60856"/>
    <cellStyle name="SAPBEXHLevel0 12" xfId="6864"/>
    <cellStyle name="SAPBEXHLevel0 2" xfId="6865"/>
    <cellStyle name="SAPBEXHLevel0 2 10" xfId="6866"/>
    <cellStyle name="SAPBEXHLevel0 2 10 2" xfId="60857"/>
    <cellStyle name="SAPBEXHLevel0 2 11" xfId="6867"/>
    <cellStyle name="SAPBEXHLevel0 2 2" xfId="6868"/>
    <cellStyle name="SAPBEXHLevel0 2 2 2" xfId="60858"/>
    <cellStyle name="SAPBEXHLevel0 2 3" xfId="6869"/>
    <cellStyle name="SAPBEXHLevel0 2 3 2" xfId="60859"/>
    <cellStyle name="SAPBEXHLevel0 2 4" xfId="6870"/>
    <cellStyle name="SAPBEXHLevel0 2 4 2" xfId="60860"/>
    <cellStyle name="SAPBEXHLevel0 2 5" xfId="6871"/>
    <cellStyle name="SAPBEXHLevel0 2 5 2" xfId="60861"/>
    <cellStyle name="SAPBEXHLevel0 2 6" xfId="6872"/>
    <cellStyle name="SAPBEXHLevel0 2 6 2" xfId="60862"/>
    <cellStyle name="SAPBEXHLevel0 2 7" xfId="6873"/>
    <cellStyle name="SAPBEXHLevel0 2 7 2" xfId="60863"/>
    <cellStyle name="SAPBEXHLevel0 2 8" xfId="6874"/>
    <cellStyle name="SAPBEXHLevel0 2 8 2" xfId="60864"/>
    <cellStyle name="SAPBEXHLevel0 2 9" xfId="6875"/>
    <cellStyle name="SAPBEXHLevel0 2 9 2" xfId="60865"/>
    <cellStyle name="SAPBEXHLevel0 3" xfId="6876"/>
    <cellStyle name="SAPBEXHLevel0 3 2" xfId="60866"/>
    <cellStyle name="SAPBEXHLevel0 4" xfId="6877"/>
    <cellStyle name="SAPBEXHLevel0 4 2" xfId="60867"/>
    <cellStyle name="SAPBEXHLevel0 5" xfId="6878"/>
    <cellStyle name="SAPBEXHLevel0 5 2" xfId="60868"/>
    <cellStyle name="SAPBEXHLevel0 6" xfId="6879"/>
    <cellStyle name="SAPBEXHLevel0 6 2" xfId="60869"/>
    <cellStyle name="SAPBEXHLevel0 7" xfId="6880"/>
    <cellStyle name="SAPBEXHLevel0 7 2" xfId="60870"/>
    <cellStyle name="SAPBEXHLevel0 8" xfId="6881"/>
    <cellStyle name="SAPBEXHLevel0 8 2" xfId="60871"/>
    <cellStyle name="SAPBEXHLevel0 9" xfId="6882"/>
    <cellStyle name="SAPBEXHLevel0 9 2" xfId="60872"/>
    <cellStyle name="SAPBEXHLevel0X" xfId="6883"/>
    <cellStyle name="SAPBEXHLevel0X 10" xfId="6884"/>
    <cellStyle name="SAPBEXHLevel0X 10 2" xfId="60873"/>
    <cellStyle name="SAPBEXHLevel0X 11" xfId="6885"/>
    <cellStyle name="SAPBEXHLevel0X 11 2" xfId="60874"/>
    <cellStyle name="SAPBEXHLevel0X 12" xfId="6886"/>
    <cellStyle name="SAPBEXHLevel0X 2" xfId="6887"/>
    <cellStyle name="SAPBEXHLevel0X 2 10" xfId="6888"/>
    <cellStyle name="SAPBEXHLevel0X 2 10 2" xfId="60875"/>
    <cellStyle name="SAPBEXHLevel0X 2 11" xfId="6889"/>
    <cellStyle name="SAPBEXHLevel0X 2 2" xfId="6890"/>
    <cellStyle name="SAPBEXHLevel0X 2 2 2" xfId="60876"/>
    <cellStyle name="SAPBEXHLevel0X 2 3" xfId="6891"/>
    <cellStyle name="SAPBEXHLevel0X 2 3 2" xfId="60877"/>
    <cellStyle name="SAPBEXHLevel0X 2 4" xfId="6892"/>
    <cellStyle name="SAPBEXHLevel0X 2 4 2" xfId="60878"/>
    <cellStyle name="SAPBEXHLevel0X 2 5" xfId="6893"/>
    <cellStyle name="SAPBEXHLevel0X 2 5 2" xfId="60879"/>
    <cellStyle name="SAPBEXHLevel0X 2 6" xfId="6894"/>
    <cellStyle name="SAPBEXHLevel0X 2 6 2" xfId="60880"/>
    <cellStyle name="SAPBEXHLevel0X 2 7" xfId="6895"/>
    <cellStyle name="SAPBEXHLevel0X 2 7 2" xfId="60881"/>
    <cellStyle name="SAPBEXHLevel0X 2 8" xfId="6896"/>
    <cellStyle name="SAPBEXHLevel0X 2 8 2" xfId="60882"/>
    <cellStyle name="SAPBEXHLevel0X 2 9" xfId="6897"/>
    <cellStyle name="SAPBEXHLevel0X 2 9 2" xfId="60883"/>
    <cellStyle name="SAPBEXHLevel0X 3" xfId="6898"/>
    <cellStyle name="SAPBEXHLevel0X 3 2" xfId="60884"/>
    <cellStyle name="SAPBEXHLevel0X 4" xfId="6899"/>
    <cellStyle name="SAPBEXHLevel0X 4 2" xfId="60885"/>
    <cellStyle name="SAPBEXHLevel0X 5" xfId="6900"/>
    <cellStyle name="SAPBEXHLevel0X 5 2" xfId="60886"/>
    <cellStyle name="SAPBEXHLevel0X 6" xfId="6901"/>
    <cellStyle name="SAPBEXHLevel0X 6 2" xfId="60887"/>
    <cellStyle name="SAPBEXHLevel0X 7" xfId="6902"/>
    <cellStyle name="SAPBEXHLevel0X 7 2" xfId="60888"/>
    <cellStyle name="SAPBEXHLevel0X 8" xfId="6903"/>
    <cellStyle name="SAPBEXHLevel0X 8 2" xfId="60889"/>
    <cellStyle name="SAPBEXHLevel0X 9" xfId="6904"/>
    <cellStyle name="SAPBEXHLevel0X 9 2" xfId="60890"/>
    <cellStyle name="SAPBEXHLevel1" xfId="6905"/>
    <cellStyle name="SAPBEXHLevel1 10" xfId="6906"/>
    <cellStyle name="SAPBEXHLevel1 10 2" xfId="60891"/>
    <cellStyle name="SAPBEXHLevel1 11" xfId="6907"/>
    <cellStyle name="SAPBEXHLevel1 11 2" xfId="60892"/>
    <cellStyle name="SAPBEXHLevel1 12" xfId="6908"/>
    <cellStyle name="SAPBEXHLevel1 2" xfId="6909"/>
    <cellStyle name="SAPBEXHLevel1 2 10" xfId="6910"/>
    <cellStyle name="SAPBEXHLevel1 2 10 2" xfId="60893"/>
    <cellStyle name="SAPBEXHLevel1 2 11" xfId="6911"/>
    <cellStyle name="SAPBEXHLevel1 2 2" xfId="6912"/>
    <cellStyle name="SAPBEXHLevel1 2 2 2" xfId="60894"/>
    <cellStyle name="SAPBEXHLevel1 2 3" xfId="6913"/>
    <cellStyle name="SAPBEXHLevel1 2 3 2" xfId="60895"/>
    <cellStyle name="SAPBEXHLevel1 2 4" xfId="6914"/>
    <cellStyle name="SAPBEXHLevel1 2 4 2" xfId="60896"/>
    <cellStyle name="SAPBEXHLevel1 2 5" xfId="6915"/>
    <cellStyle name="SAPBEXHLevel1 2 5 2" xfId="60897"/>
    <cellStyle name="SAPBEXHLevel1 2 6" xfId="6916"/>
    <cellStyle name="SAPBEXHLevel1 2 6 2" xfId="60898"/>
    <cellStyle name="SAPBEXHLevel1 2 7" xfId="6917"/>
    <cellStyle name="SAPBEXHLevel1 2 7 2" xfId="60899"/>
    <cellStyle name="SAPBEXHLevel1 2 8" xfId="6918"/>
    <cellStyle name="SAPBEXHLevel1 2 8 2" xfId="60900"/>
    <cellStyle name="SAPBEXHLevel1 2 9" xfId="6919"/>
    <cellStyle name="SAPBEXHLevel1 2 9 2" xfId="60901"/>
    <cellStyle name="SAPBEXHLevel1 3" xfId="6920"/>
    <cellStyle name="SAPBEXHLevel1 3 2" xfId="60902"/>
    <cellStyle name="SAPBEXHLevel1 4" xfId="6921"/>
    <cellStyle name="SAPBEXHLevel1 4 2" xfId="60903"/>
    <cellStyle name="SAPBEXHLevel1 5" xfId="6922"/>
    <cellStyle name="SAPBEXHLevel1 5 2" xfId="60904"/>
    <cellStyle name="SAPBEXHLevel1 6" xfId="6923"/>
    <cellStyle name="SAPBEXHLevel1 6 2" xfId="60905"/>
    <cellStyle name="SAPBEXHLevel1 7" xfId="6924"/>
    <cellStyle name="SAPBEXHLevel1 7 2" xfId="60906"/>
    <cellStyle name="SAPBEXHLevel1 8" xfId="6925"/>
    <cellStyle name="SAPBEXHLevel1 8 2" xfId="60907"/>
    <cellStyle name="SAPBEXHLevel1 9" xfId="6926"/>
    <cellStyle name="SAPBEXHLevel1 9 2" xfId="60908"/>
    <cellStyle name="SAPBEXHLevel1X" xfId="6927"/>
    <cellStyle name="SAPBEXHLevel1X 10" xfId="6928"/>
    <cellStyle name="SAPBEXHLevel1X 10 2" xfId="60909"/>
    <cellStyle name="SAPBEXHLevel1X 11" xfId="6929"/>
    <cellStyle name="SAPBEXHLevel1X 11 2" xfId="60910"/>
    <cellStyle name="SAPBEXHLevel1X 12" xfId="6930"/>
    <cellStyle name="SAPBEXHLevel1X 2" xfId="6931"/>
    <cellStyle name="SAPBEXHLevel1X 2 10" xfId="6932"/>
    <cellStyle name="SAPBEXHLevel1X 2 10 2" xfId="60911"/>
    <cellStyle name="SAPBEXHLevel1X 2 11" xfId="6933"/>
    <cellStyle name="SAPBEXHLevel1X 2 2" xfId="6934"/>
    <cellStyle name="SAPBEXHLevel1X 2 2 2" xfId="60912"/>
    <cellStyle name="SAPBEXHLevel1X 2 3" xfId="6935"/>
    <cellStyle name="SAPBEXHLevel1X 2 3 2" xfId="60913"/>
    <cellStyle name="SAPBEXHLevel1X 2 4" xfId="6936"/>
    <cellStyle name="SAPBEXHLevel1X 2 4 2" xfId="60914"/>
    <cellStyle name="SAPBEXHLevel1X 2 5" xfId="6937"/>
    <cellStyle name="SAPBEXHLevel1X 2 5 2" xfId="60915"/>
    <cellStyle name="SAPBEXHLevel1X 2 6" xfId="6938"/>
    <cellStyle name="SAPBEXHLevel1X 2 6 2" xfId="60916"/>
    <cellStyle name="SAPBEXHLevel1X 2 7" xfId="6939"/>
    <cellStyle name="SAPBEXHLevel1X 2 7 2" xfId="60917"/>
    <cellStyle name="SAPBEXHLevel1X 2 8" xfId="6940"/>
    <cellStyle name="SAPBEXHLevel1X 2 8 2" xfId="60918"/>
    <cellStyle name="SAPBEXHLevel1X 2 9" xfId="6941"/>
    <cellStyle name="SAPBEXHLevel1X 2 9 2" xfId="60919"/>
    <cellStyle name="SAPBEXHLevel1X 3" xfId="6942"/>
    <cellStyle name="SAPBEXHLevel1X 3 2" xfId="60920"/>
    <cellStyle name="SAPBEXHLevel1X 4" xfId="6943"/>
    <cellStyle name="SAPBEXHLevel1X 4 2" xfId="60921"/>
    <cellStyle name="SAPBEXHLevel1X 5" xfId="6944"/>
    <cellStyle name="SAPBEXHLevel1X 5 2" xfId="60922"/>
    <cellStyle name="SAPBEXHLevel1X 6" xfId="6945"/>
    <cellStyle name="SAPBEXHLevel1X 6 2" xfId="60923"/>
    <cellStyle name="SAPBEXHLevel1X 7" xfId="6946"/>
    <cellStyle name="SAPBEXHLevel1X 7 2" xfId="60924"/>
    <cellStyle name="SAPBEXHLevel1X 8" xfId="6947"/>
    <cellStyle name="SAPBEXHLevel1X 8 2" xfId="60925"/>
    <cellStyle name="SAPBEXHLevel1X 9" xfId="6948"/>
    <cellStyle name="SAPBEXHLevel1X 9 2" xfId="60926"/>
    <cellStyle name="SAPBEXHLevel2" xfId="6949"/>
    <cellStyle name="SAPBEXHLevel2 10" xfId="6950"/>
    <cellStyle name="SAPBEXHLevel2 10 2" xfId="60927"/>
    <cellStyle name="SAPBEXHLevel2 11" xfId="6951"/>
    <cellStyle name="SAPBEXHLevel2 11 2" xfId="60928"/>
    <cellStyle name="SAPBEXHLevel2 12" xfId="6952"/>
    <cellStyle name="SAPBEXHLevel2 2" xfId="6953"/>
    <cellStyle name="SAPBEXHLevel2 2 10" xfId="6954"/>
    <cellStyle name="SAPBEXHLevel2 2 10 2" xfId="60929"/>
    <cellStyle name="SAPBEXHLevel2 2 11" xfId="6955"/>
    <cellStyle name="SAPBEXHLevel2 2 2" xfId="6956"/>
    <cellStyle name="SAPBEXHLevel2 2 2 2" xfId="60930"/>
    <cellStyle name="SAPBEXHLevel2 2 3" xfId="6957"/>
    <cellStyle name="SAPBEXHLevel2 2 3 2" xfId="60931"/>
    <cellStyle name="SAPBEXHLevel2 2 4" xfId="6958"/>
    <cellStyle name="SAPBEXHLevel2 2 4 2" xfId="60932"/>
    <cellStyle name="SAPBEXHLevel2 2 5" xfId="6959"/>
    <cellStyle name="SAPBEXHLevel2 2 5 2" xfId="60933"/>
    <cellStyle name="SAPBEXHLevel2 2 6" xfId="6960"/>
    <cellStyle name="SAPBEXHLevel2 2 6 2" xfId="60934"/>
    <cellStyle name="SAPBEXHLevel2 2 7" xfId="6961"/>
    <cellStyle name="SAPBEXHLevel2 2 7 2" xfId="60935"/>
    <cellStyle name="SAPBEXHLevel2 2 8" xfId="6962"/>
    <cellStyle name="SAPBEXHLevel2 2 8 2" xfId="60936"/>
    <cellStyle name="SAPBEXHLevel2 2 9" xfId="6963"/>
    <cellStyle name="SAPBEXHLevel2 2 9 2" xfId="60937"/>
    <cellStyle name="SAPBEXHLevel2 3" xfId="6964"/>
    <cellStyle name="SAPBEXHLevel2 3 2" xfId="60938"/>
    <cellStyle name="SAPBEXHLevel2 4" xfId="6965"/>
    <cellStyle name="SAPBEXHLevel2 4 2" xfId="60939"/>
    <cellStyle name="SAPBEXHLevel2 5" xfId="6966"/>
    <cellStyle name="SAPBEXHLevel2 5 2" xfId="60940"/>
    <cellStyle name="SAPBEXHLevel2 6" xfId="6967"/>
    <cellStyle name="SAPBEXHLevel2 6 2" xfId="60941"/>
    <cellStyle name="SAPBEXHLevel2 7" xfId="6968"/>
    <cellStyle name="SAPBEXHLevel2 7 2" xfId="60942"/>
    <cellStyle name="SAPBEXHLevel2 8" xfId="6969"/>
    <cellStyle name="SAPBEXHLevel2 8 2" xfId="60943"/>
    <cellStyle name="SAPBEXHLevel2 9" xfId="6970"/>
    <cellStyle name="SAPBEXHLevel2 9 2" xfId="60944"/>
    <cellStyle name="SAPBEXHLevel2X" xfId="6971"/>
    <cellStyle name="SAPBEXHLevel2X 10" xfId="6972"/>
    <cellStyle name="SAPBEXHLevel2X 10 2" xfId="60945"/>
    <cellStyle name="SAPBEXHLevel2X 11" xfId="6973"/>
    <cellStyle name="SAPBEXHLevel2X 11 2" xfId="60946"/>
    <cellStyle name="SAPBEXHLevel2X 12" xfId="6974"/>
    <cellStyle name="SAPBEXHLevel2X 2" xfId="6975"/>
    <cellStyle name="SAPBEXHLevel2X 2 10" xfId="6976"/>
    <cellStyle name="SAPBEXHLevel2X 2 10 2" xfId="60947"/>
    <cellStyle name="SAPBEXHLevel2X 2 11" xfId="6977"/>
    <cellStyle name="SAPBEXHLevel2X 2 2" xfId="6978"/>
    <cellStyle name="SAPBEXHLevel2X 2 2 2" xfId="60948"/>
    <cellStyle name="SAPBEXHLevel2X 2 3" xfId="6979"/>
    <cellStyle name="SAPBEXHLevel2X 2 3 2" xfId="60949"/>
    <cellStyle name="SAPBEXHLevel2X 2 4" xfId="6980"/>
    <cellStyle name="SAPBEXHLevel2X 2 4 2" xfId="60950"/>
    <cellStyle name="SAPBEXHLevel2X 2 5" xfId="6981"/>
    <cellStyle name="SAPBEXHLevel2X 2 5 2" xfId="60951"/>
    <cellStyle name="SAPBEXHLevel2X 2 6" xfId="6982"/>
    <cellStyle name="SAPBEXHLevel2X 2 6 2" xfId="60952"/>
    <cellStyle name="SAPBEXHLevel2X 2 7" xfId="6983"/>
    <cellStyle name="SAPBEXHLevel2X 2 7 2" xfId="60953"/>
    <cellStyle name="SAPBEXHLevel2X 2 8" xfId="6984"/>
    <cellStyle name="SAPBEXHLevel2X 2 8 2" xfId="60954"/>
    <cellStyle name="SAPBEXHLevel2X 2 9" xfId="6985"/>
    <cellStyle name="SAPBEXHLevel2X 2 9 2" xfId="60955"/>
    <cellStyle name="SAPBEXHLevel2X 3" xfId="6986"/>
    <cellStyle name="SAPBEXHLevel2X 3 2" xfId="60956"/>
    <cellStyle name="SAPBEXHLevel2X 4" xfId="6987"/>
    <cellStyle name="SAPBEXHLevel2X 4 2" xfId="60957"/>
    <cellStyle name="SAPBEXHLevel2X 5" xfId="6988"/>
    <cellStyle name="SAPBEXHLevel2X 5 2" xfId="60958"/>
    <cellStyle name="SAPBEXHLevel2X 6" xfId="6989"/>
    <cellStyle name="SAPBEXHLevel2X 6 2" xfId="60959"/>
    <cellStyle name="SAPBEXHLevel2X 7" xfId="6990"/>
    <cellStyle name="SAPBEXHLevel2X 7 2" xfId="60960"/>
    <cellStyle name="SAPBEXHLevel2X 8" xfId="6991"/>
    <cellStyle name="SAPBEXHLevel2X 8 2" xfId="60961"/>
    <cellStyle name="SAPBEXHLevel2X 9" xfId="6992"/>
    <cellStyle name="SAPBEXHLevel2X 9 2" xfId="60962"/>
    <cellStyle name="SAPBEXHLevel3" xfId="6993"/>
    <cellStyle name="SAPBEXHLevel3 10" xfId="6994"/>
    <cellStyle name="SAPBEXHLevel3 10 2" xfId="60963"/>
    <cellStyle name="SAPBEXHLevel3 11" xfId="6995"/>
    <cellStyle name="SAPBEXHLevel3 11 2" xfId="60964"/>
    <cellStyle name="SAPBEXHLevel3 12" xfId="6996"/>
    <cellStyle name="SAPBEXHLevel3 2" xfId="6997"/>
    <cellStyle name="SAPBEXHLevel3 2 10" xfId="6998"/>
    <cellStyle name="SAPBEXHLevel3 2 10 2" xfId="60965"/>
    <cellStyle name="SAPBEXHLevel3 2 11" xfId="6999"/>
    <cellStyle name="SAPBEXHLevel3 2 2" xfId="7000"/>
    <cellStyle name="SAPBEXHLevel3 2 2 2" xfId="60966"/>
    <cellStyle name="SAPBEXHLevel3 2 3" xfId="7001"/>
    <cellStyle name="SAPBEXHLevel3 2 3 2" xfId="60967"/>
    <cellStyle name="SAPBEXHLevel3 2 4" xfId="7002"/>
    <cellStyle name="SAPBEXHLevel3 2 4 2" xfId="60968"/>
    <cellStyle name="SAPBEXHLevel3 2 5" xfId="7003"/>
    <cellStyle name="SAPBEXHLevel3 2 5 2" xfId="60969"/>
    <cellStyle name="SAPBEXHLevel3 2 6" xfId="7004"/>
    <cellStyle name="SAPBEXHLevel3 2 6 2" xfId="60970"/>
    <cellStyle name="SAPBEXHLevel3 2 7" xfId="7005"/>
    <cellStyle name="SAPBEXHLevel3 2 7 2" xfId="60971"/>
    <cellStyle name="SAPBEXHLevel3 2 8" xfId="7006"/>
    <cellStyle name="SAPBEXHLevel3 2 8 2" xfId="60972"/>
    <cellStyle name="SAPBEXHLevel3 2 9" xfId="7007"/>
    <cellStyle name="SAPBEXHLevel3 2 9 2" xfId="60973"/>
    <cellStyle name="SAPBEXHLevel3 3" xfId="7008"/>
    <cellStyle name="SAPBEXHLevel3 3 2" xfId="60974"/>
    <cellStyle name="SAPBEXHLevel3 4" xfId="7009"/>
    <cellStyle name="SAPBEXHLevel3 4 2" xfId="60975"/>
    <cellStyle name="SAPBEXHLevel3 5" xfId="7010"/>
    <cellStyle name="SAPBEXHLevel3 5 2" xfId="60976"/>
    <cellStyle name="SAPBEXHLevel3 6" xfId="7011"/>
    <cellStyle name="SAPBEXHLevel3 6 2" xfId="60977"/>
    <cellStyle name="SAPBEXHLevel3 7" xfId="7012"/>
    <cellStyle name="SAPBEXHLevel3 7 2" xfId="60978"/>
    <cellStyle name="SAPBEXHLevel3 8" xfId="7013"/>
    <cellStyle name="SAPBEXHLevel3 8 2" xfId="60979"/>
    <cellStyle name="SAPBEXHLevel3 9" xfId="7014"/>
    <cellStyle name="SAPBEXHLevel3 9 2" xfId="60980"/>
    <cellStyle name="SAPBEXHLevel3X" xfId="7015"/>
    <cellStyle name="SAPBEXHLevel3X 10" xfId="7016"/>
    <cellStyle name="SAPBEXHLevel3X 10 2" xfId="60981"/>
    <cellStyle name="SAPBEXHLevel3X 11" xfId="7017"/>
    <cellStyle name="SAPBEXHLevel3X 11 2" xfId="60982"/>
    <cellStyle name="SAPBEXHLevel3X 12" xfId="7018"/>
    <cellStyle name="SAPBEXHLevel3X 2" xfId="7019"/>
    <cellStyle name="SAPBEXHLevel3X 2 10" xfId="7020"/>
    <cellStyle name="SAPBEXHLevel3X 2 10 2" xfId="60983"/>
    <cellStyle name="SAPBEXHLevel3X 2 11" xfId="7021"/>
    <cellStyle name="SAPBEXHLevel3X 2 2" xfId="7022"/>
    <cellStyle name="SAPBEXHLevel3X 2 2 2" xfId="60984"/>
    <cellStyle name="SAPBEXHLevel3X 2 3" xfId="7023"/>
    <cellStyle name="SAPBEXHLevel3X 2 3 2" xfId="60985"/>
    <cellStyle name="SAPBEXHLevel3X 2 4" xfId="7024"/>
    <cellStyle name="SAPBEXHLevel3X 2 4 2" xfId="60986"/>
    <cellStyle name="SAPBEXHLevel3X 2 5" xfId="7025"/>
    <cellStyle name="SAPBEXHLevel3X 2 5 2" xfId="60987"/>
    <cellStyle name="SAPBEXHLevel3X 2 6" xfId="7026"/>
    <cellStyle name="SAPBEXHLevel3X 2 6 2" xfId="60988"/>
    <cellStyle name="SAPBEXHLevel3X 2 7" xfId="7027"/>
    <cellStyle name="SAPBEXHLevel3X 2 7 2" xfId="60989"/>
    <cellStyle name="SAPBEXHLevel3X 2 8" xfId="7028"/>
    <cellStyle name="SAPBEXHLevel3X 2 8 2" xfId="60990"/>
    <cellStyle name="SAPBEXHLevel3X 2 9" xfId="7029"/>
    <cellStyle name="SAPBEXHLevel3X 2 9 2" xfId="60991"/>
    <cellStyle name="SAPBEXHLevel3X 3" xfId="7030"/>
    <cellStyle name="SAPBEXHLevel3X 3 2" xfId="60992"/>
    <cellStyle name="SAPBEXHLevel3X 4" xfId="7031"/>
    <cellStyle name="SAPBEXHLevel3X 4 2" xfId="60993"/>
    <cellStyle name="SAPBEXHLevel3X 5" xfId="7032"/>
    <cellStyle name="SAPBEXHLevel3X 5 2" xfId="60994"/>
    <cellStyle name="SAPBEXHLevel3X 6" xfId="7033"/>
    <cellStyle name="SAPBEXHLevel3X 6 2" xfId="60995"/>
    <cellStyle name="SAPBEXHLevel3X 7" xfId="7034"/>
    <cellStyle name="SAPBEXHLevel3X 7 2" xfId="60996"/>
    <cellStyle name="SAPBEXHLevel3X 8" xfId="7035"/>
    <cellStyle name="SAPBEXHLevel3X 8 2" xfId="60997"/>
    <cellStyle name="SAPBEXHLevel3X 9" xfId="7036"/>
    <cellStyle name="SAPBEXHLevel3X 9 2" xfId="60998"/>
    <cellStyle name="SAPBEXresData" xfId="7037"/>
    <cellStyle name="SAPBEXresData 10" xfId="7038"/>
    <cellStyle name="SAPBEXresData 10 2" xfId="60999"/>
    <cellStyle name="SAPBEXresData 11" xfId="7039"/>
    <cellStyle name="SAPBEXresData 2" xfId="7040"/>
    <cellStyle name="SAPBEXresData 2 2" xfId="61000"/>
    <cellStyle name="SAPBEXresData 3" xfId="7041"/>
    <cellStyle name="SAPBEXresData 3 2" xfId="61001"/>
    <cellStyle name="SAPBEXresData 4" xfId="7042"/>
    <cellStyle name="SAPBEXresData 4 2" xfId="61002"/>
    <cellStyle name="SAPBEXresData 5" xfId="7043"/>
    <cellStyle name="SAPBEXresData 5 2" xfId="61003"/>
    <cellStyle name="SAPBEXresData 6" xfId="7044"/>
    <cellStyle name="SAPBEXresData 6 2" xfId="61004"/>
    <cellStyle name="SAPBEXresData 7" xfId="7045"/>
    <cellStyle name="SAPBEXresData 7 2" xfId="61005"/>
    <cellStyle name="SAPBEXresData 8" xfId="7046"/>
    <cellStyle name="SAPBEXresData 8 2" xfId="61006"/>
    <cellStyle name="SAPBEXresData 9" xfId="7047"/>
    <cellStyle name="SAPBEXresData 9 2" xfId="61007"/>
    <cellStyle name="SAPBEXresDataEmph" xfId="7048"/>
    <cellStyle name="SAPBEXresDataEmph 10" xfId="7049"/>
    <cellStyle name="SAPBEXresDataEmph 10 2" xfId="61008"/>
    <cellStyle name="SAPBEXresDataEmph 11" xfId="7050"/>
    <cellStyle name="SAPBEXresDataEmph 2" xfId="7051"/>
    <cellStyle name="SAPBEXresDataEmph 2 2" xfId="61009"/>
    <cellStyle name="SAPBEXresDataEmph 3" xfId="7052"/>
    <cellStyle name="SAPBEXresDataEmph 3 2" xfId="61010"/>
    <cellStyle name="SAPBEXresDataEmph 4" xfId="7053"/>
    <cellStyle name="SAPBEXresDataEmph 4 2" xfId="61011"/>
    <cellStyle name="SAPBEXresDataEmph 5" xfId="7054"/>
    <cellStyle name="SAPBEXresDataEmph 5 2" xfId="61012"/>
    <cellStyle name="SAPBEXresDataEmph 6" xfId="7055"/>
    <cellStyle name="SAPBEXresDataEmph 6 2" xfId="61013"/>
    <cellStyle name="SAPBEXresDataEmph 7" xfId="7056"/>
    <cellStyle name="SAPBEXresDataEmph 7 2" xfId="61014"/>
    <cellStyle name="SAPBEXresDataEmph 8" xfId="7057"/>
    <cellStyle name="SAPBEXresDataEmph 8 2" xfId="61015"/>
    <cellStyle name="SAPBEXresDataEmph 9" xfId="7058"/>
    <cellStyle name="SAPBEXresDataEmph 9 2" xfId="61016"/>
    <cellStyle name="SAPBEXresItem" xfId="7059"/>
    <cellStyle name="SAPBEXresItem 10" xfId="7060"/>
    <cellStyle name="SAPBEXresItem 10 2" xfId="61017"/>
    <cellStyle name="SAPBEXresItem 11" xfId="7061"/>
    <cellStyle name="SAPBEXresItem 11 2" xfId="61018"/>
    <cellStyle name="SAPBEXresItem 12" xfId="7062"/>
    <cellStyle name="SAPBEXresItem 2" xfId="7063"/>
    <cellStyle name="SAPBEXresItem 2 10" xfId="7064"/>
    <cellStyle name="SAPBEXresItem 2 10 2" xfId="61019"/>
    <cellStyle name="SAPBEXresItem 2 11" xfId="7065"/>
    <cellStyle name="SAPBEXresItem 2 2" xfId="7066"/>
    <cellStyle name="SAPBEXresItem 2 2 2" xfId="61020"/>
    <cellStyle name="SAPBEXresItem 2 3" xfId="7067"/>
    <cellStyle name="SAPBEXresItem 2 3 2" xfId="61021"/>
    <cellStyle name="SAPBEXresItem 2 4" xfId="7068"/>
    <cellStyle name="SAPBEXresItem 2 4 2" xfId="61022"/>
    <cellStyle name="SAPBEXresItem 2 5" xfId="7069"/>
    <cellStyle name="SAPBEXresItem 2 5 2" xfId="61023"/>
    <cellStyle name="SAPBEXresItem 2 6" xfId="7070"/>
    <cellStyle name="SAPBEXresItem 2 6 2" xfId="61024"/>
    <cellStyle name="SAPBEXresItem 2 7" xfId="7071"/>
    <cellStyle name="SAPBEXresItem 2 7 2" xfId="61025"/>
    <cellStyle name="SAPBEXresItem 2 8" xfId="7072"/>
    <cellStyle name="SAPBEXresItem 2 8 2" xfId="61026"/>
    <cellStyle name="SAPBEXresItem 2 9" xfId="7073"/>
    <cellStyle name="SAPBEXresItem 2 9 2" xfId="61027"/>
    <cellStyle name="SAPBEXresItem 3" xfId="7074"/>
    <cellStyle name="SAPBEXresItem 3 2" xfId="61028"/>
    <cellStyle name="SAPBEXresItem 4" xfId="7075"/>
    <cellStyle name="SAPBEXresItem 4 2" xfId="61029"/>
    <cellStyle name="SAPBEXresItem 5" xfId="7076"/>
    <cellStyle name="SAPBEXresItem 5 2" xfId="61030"/>
    <cellStyle name="SAPBEXresItem 6" xfId="7077"/>
    <cellStyle name="SAPBEXresItem 6 2" xfId="61031"/>
    <cellStyle name="SAPBEXresItem 7" xfId="7078"/>
    <cellStyle name="SAPBEXresItem 7 2" xfId="61032"/>
    <cellStyle name="SAPBEXresItem 8" xfId="7079"/>
    <cellStyle name="SAPBEXresItem 8 2" xfId="61033"/>
    <cellStyle name="SAPBEXresItem 9" xfId="7080"/>
    <cellStyle name="SAPBEXresItem 9 2" xfId="61034"/>
    <cellStyle name="SAPBEXresItemX" xfId="7081"/>
    <cellStyle name="SAPBEXresItemX 10" xfId="7082"/>
    <cellStyle name="SAPBEXresItemX 10 2" xfId="61035"/>
    <cellStyle name="SAPBEXresItemX 11" xfId="7083"/>
    <cellStyle name="SAPBEXresItemX 11 2" xfId="61036"/>
    <cellStyle name="SAPBEXresItemX 12" xfId="7084"/>
    <cellStyle name="SAPBEXresItemX 2" xfId="7085"/>
    <cellStyle name="SAPBEXresItemX 2 10" xfId="7086"/>
    <cellStyle name="SAPBEXresItemX 2 10 2" xfId="61037"/>
    <cellStyle name="SAPBEXresItemX 2 11" xfId="7087"/>
    <cellStyle name="SAPBEXresItemX 2 2" xfId="7088"/>
    <cellStyle name="SAPBEXresItemX 2 2 2" xfId="61038"/>
    <cellStyle name="SAPBEXresItemX 2 3" xfId="7089"/>
    <cellStyle name="SAPBEXresItemX 2 3 2" xfId="61039"/>
    <cellStyle name="SAPBEXresItemX 2 4" xfId="7090"/>
    <cellStyle name="SAPBEXresItemX 2 4 2" xfId="61040"/>
    <cellStyle name="SAPBEXresItemX 2 5" xfId="7091"/>
    <cellStyle name="SAPBEXresItemX 2 5 2" xfId="61041"/>
    <cellStyle name="SAPBEXresItemX 2 6" xfId="7092"/>
    <cellStyle name="SAPBEXresItemX 2 6 2" xfId="61042"/>
    <cellStyle name="SAPBEXresItemX 2 7" xfId="7093"/>
    <cellStyle name="SAPBEXresItemX 2 7 2" xfId="61043"/>
    <cellStyle name="SAPBEXresItemX 2 8" xfId="7094"/>
    <cellStyle name="SAPBEXresItemX 2 8 2" xfId="61044"/>
    <cellStyle name="SAPBEXresItemX 2 9" xfId="7095"/>
    <cellStyle name="SAPBEXresItemX 2 9 2" xfId="61045"/>
    <cellStyle name="SAPBEXresItemX 3" xfId="7096"/>
    <cellStyle name="SAPBEXresItemX 3 2" xfId="61046"/>
    <cellStyle name="SAPBEXresItemX 4" xfId="7097"/>
    <cellStyle name="SAPBEXresItemX 4 2" xfId="61047"/>
    <cellStyle name="SAPBEXresItemX 5" xfId="7098"/>
    <cellStyle name="SAPBEXresItemX 5 2" xfId="61048"/>
    <cellStyle name="SAPBEXresItemX 6" xfId="7099"/>
    <cellStyle name="SAPBEXresItemX 6 2" xfId="61049"/>
    <cellStyle name="SAPBEXresItemX 7" xfId="7100"/>
    <cellStyle name="SAPBEXresItemX 7 2" xfId="61050"/>
    <cellStyle name="SAPBEXresItemX 8" xfId="7101"/>
    <cellStyle name="SAPBEXresItemX 8 2" xfId="61051"/>
    <cellStyle name="SAPBEXresItemX 9" xfId="7102"/>
    <cellStyle name="SAPBEXresItemX 9 2" xfId="61052"/>
    <cellStyle name="SAPBEXstdData" xfId="7103"/>
    <cellStyle name="SAPBEXstdData 10" xfId="7104"/>
    <cellStyle name="SAPBEXstdData 10 2" xfId="61053"/>
    <cellStyle name="SAPBEXstdData 11" xfId="7105"/>
    <cellStyle name="SAPBEXstdData 11 2" xfId="61054"/>
    <cellStyle name="SAPBEXstdData 12" xfId="7106"/>
    <cellStyle name="SAPBEXstdData 2" xfId="7107"/>
    <cellStyle name="SAPBEXstdData 2 10" xfId="7108"/>
    <cellStyle name="SAPBEXstdData 2 10 2" xfId="61055"/>
    <cellStyle name="SAPBEXstdData 2 11" xfId="7109"/>
    <cellStyle name="SAPBEXstdData 2 2" xfId="7110"/>
    <cellStyle name="SAPBEXstdData 2 2 2" xfId="61056"/>
    <cellStyle name="SAPBEXstdData 2 3" xfId="7111"/>
    <cellStyle name="SAPBEXstdData 2 3 2" xfId="61057"/>
    <cellStyle name="SAPBEXstdData 2 4" xfId="7112"/>
    <cellStyle name="SAPBEXstdData 2 4 2" xfId="61058"/>
    <cellStyle name="SAPBEXstdData 2 5" xfId="7113"/>
    <cellStyle name="SAPBEXstdData 2 5 2" xfId="61059"/>
    <cellStyle name="SAPBEXstdData 2 6" xfId="7114"/>
    <cellStyle name="SAPBEXstdData 2 6 2" xfId="61060"/>
    <cellStyle name="SAPBEXstdData 2 7" xfId="7115"/>
    <cellStyle name="SAPBEXstdData 2 7 2" xfId="61061"/>
    <cellStyle name="SAPBEXstdData 2 8" xfId="7116"/>
    <cellStyle name="SAPBEXstdData 2 8 2" xfId="61062"/>
    <cellStyle name="SAPBEXstdData 2 9" xfId="7117"/>
    <cellStyle name="SAPBEXstdData 2 9 2" xfId="61063"/>
    <cellStyle name="SAPBEXstdData 3" xfId="7118"/>
    <cellStyle name="SAPBEXstdData 3 2" xfId="61064"/>
    <cellStyle name="SAPBEXstdData 4" xfId="7119"/>
    <cellStyle name="SAPBEXstdData 4 2" xfId="61065"/>
    <cellStyle name="SAPBEXstdData 5" xfId="7120"/>
    <cellStyle name="SAPBEXstdData 5 2" xfId="61066"/>
    <cellStyle name="SAPBEXstdData 6" xfId="7121"/>
    <cellStyle name="SAPBEXstdData 6 2" xfId="61067"/>
    <cellStyle name="SAPBEXstdData 7" xfId="7122"/>
    <cellStyle name="SAPBEXstdData 7 2" xfId="61068"/>
    <cellStyle name="SAPBEXstdData 8" xfId="7123"/>
    <cellStyle name="SAPBEXstdData 8 2" xfId="61069"/>
    <cellStyle name="SAPBEXstdData 9" xfId="7124"/>
    <cellStyle name="SAPBEXstdData 9 2" xfId="61070"/>
    <cellStyle name="SAPBEXstdDataEmph" xfId="7125"/>
    <cellStyle name="SAPBEXstdDataEmph 10" xfId="7126"/>
    <cellStyle name="SAPBEXstdDataEmph 10 2" xfId="61071"/>
    <cellStyle name="SAPBEXstdDataEmph 11" xfId="7127"/>
    <cellStyle name="SAPBEXstdDataEmph 11 2" xfId="61072"/>
    <cellStyle name="SAPBEXstdDataEmph 12" xfId="7128"/>
    <cellStyle name="SAPBEXstdDataEmph 2" xfId="7129"/>
    <cellStyle name="SAPBEXstdDataEmph 2 10" xfId="7130"/>
    <cellStyle name="SAPBEXstdDataEmph 2 10 2" xfId="61073"/>
    <cellStyle name="SAPBEXstdDataEmph 2 11" xfId="7131"/>
    <cellStyle name="SAPBEXstdDataEmph 2 2" xfId="7132"/>
    <cellStyle name="SAPBEXstdDataEmph 2 2 2" xfId="61074"/>
    <cellStyle name="SAPBEXstdDataEmph 2 3" xfId="7133"/>
    <cellStyle name="SAPBEXstdDataEmph 2 3 2" xfId="61075"/>
    <cellStyle name="SAPBEXstdDataEmph 2 4" xfId="7134"/>
    <cellStyle name="SAPBEXstdDataEmph 2 4 2" xfId="61076"/>
    <cellStyle name="SAPBEXstdDataEmph 2 5" xfId="7135"/>
    <cellStyle name="SAPBEXstdDataEmph 2 5 2" xfId="61077"/>
    <cellStyle name="SAPBEXstdDataEmph 2 6" xfId="7136"/>
    <cellStyle name="SAPBEXstdDataEmph 2 6 2" xfId="61078"/>
    <cellStyle name="SAPBEXstdDataEmph 2 7" xfId="7137"/>
    <cellStyle name="SAPBEXstdDataEmph 2 7 2" xfId="61079"/>
    <cellStyle name="SAPBEXstdDataEmph 2 8" xfId="7138"/>
    <cellStyle name="SAPBEXstdDataEmph 2 8 2" xfId="61080"/>
    <cellStyle name="SAPBEXstdDataEmph 2 9" xfId="7139"/>
    <cellStyle name="SAPBEXstdDataEmph 2 9 2" xfId="61081"/>
    <cellStyle name="SAPBEXstdDataEmph 3" xfId="7140"/>
    <cellStyle name="SAPBEXstdDataEmph 3 2" xfId="61082"/>
    <cellStyle name="SAPBEXstdDataEmph 4" xfId="7141"/>
    <cellStyle name="SAPBEXstdDataEmph 4 2" xfId="61083"/>
    <cellStyle name="SAPBEXstdDataEmph 5" xfId="7142"/>
    <cellStyle name="SAPBEXstdDataEmph 5 2" xfId="61084"/>
    <cellStyle name="SAPBEXstdDataEmph 6" xfId="7143"/>
    <cellStyle name="SAPBEXstdDataEmph 6 2" xfId="61085"/>
    <cellStyle name="SAPBEXstdDataEmph 7" xfId="7144"/>
    <cellStyle name="SAPBEXstdDataEmph 7 2" xfId="61086"/>
    <cellStyle name="SAPBEXstdDataEmph 8" xfId="7145"/>
    <cellStyle name="SAPBEXstdDataEmph 8 2" xfId="61087"/>
    <cellStyle name="SAPBEXstdDataEmph 9" xfId="7146"/>
    <cellStyle name="SAPBEXstdDataEmph 9 2" xfId="61088"/>
    <cellStyle name="SAPBEXstdItem" xfId="7147"/>
    <cellStyle name="SAPBEXstdItem 10" xfId="7148"/>
    <cellStyle name="SAPBEXstdItem 10 2" xfId="61089"/>
    <cellStyle name="SAPBEXstdItem 11" xfId="7149"/>
    <cellStyle name="SAPBEXstdItem 11 2" xfId="61090"/>
    <cellStyle name="SAPBEXstdItem 12" xfId="7150"/>
    <cellStyle name="SAPBEXstdItem 2" xfId="7151"/>
    <cellStyle name="SAPBEXstdItem 2 10" xfId="7152"/>
    <cellStyle name="SAPBEXstdItem 2 10 2" xfId="61091"/>
    <cellStyle name="SAPBEXstdItem 2 11" xfId="7153"/>
    <cellStyle name="SAPBEXstdItem 2 2" xfId="7154"/>
    <cellStyle name="SAPBEXstdItem 2 2 2" xfId="61092"/>
    <cellStyle name="SAPBEXstdItem 2 3" xfId="7155"/>
    <cellStyle name="SAPBEXstdItem 2 3 2" xfId="61093"/>
    <cellStyle name="SAPBEXstdItem 2 4" xfId="7156"/>
    <cellStyle name="SAPBEXstdItem 2 4 2" xfId="61094"/>
    <cellStyle name="SAPBEXstdItem 2 5" xfId="7157"/>
    <cellStyle name="SAPBEXstdItem 2 5 2" xfId="61095"/>
    <cellStyle name="SAPBEXstdItem 2 6" xfId="7158"/>
    <cellStyle name="SAPBEXstdItem 2 6 2" xfId="61096"/>
    <cellStyle name="SAPBEXstdItem 2 7" xfId="7159"/>
    <cellStyle name="SAPBEXstdItem 2 7 2" xfId="61097"/>
    <cellStyle name="SAPBEXstdItem 2 8" xfId="7160"/>
    <cellStyle name="SAPBEXstdItem 2 8 2" xfId="61098"/>
    <cellStyle name="SAPBEXstdItem 2 9" xfId="7161"/>
    <cellStyle name="SAPBEXstdItem 2 9 2" xfId="61099"/>
    <cellStyle name="SAPBEXstdItem 3" xfId="7162"/>
    <cellStyle name="SAPBEXstdItem 3 2" xfId="61100"/>
    <cellStyle name="SAPBEXstdItem 4" xfId="7163"/>
    <cellStyle name="SAPBEXstdItem 4 2" xfId="61101"/>
    <cellStyle name="SAPBEXstdItem 5" xfId="7164"/>
    <cellStyle name="SAPBEXstdItem 5 2" xfId="61102"/>
    <cellStyle name="SAPBEXstdItem 6" xfId="7165"/>
    <cellStyle name="SAPBEXstdItem 6 2" xfId="61103"/>
    <cellStyle name="SAPBEXstdItem 7" xfId="7166"/>
    <cellStyle name="SAPBEXstdItem 7 2" xfId="61104"/>
    <cellStyle name="SAPBEXstdItem 8" xfId="7167"/>
    <cellStyle name="SAPBEXstdItem 8 2" xfId="61105"/>
    <cellStyle name="SAPBEXstdItem 9" xfId="7168"/>
    <cellStyle name="SAPBEXstdItem 9 2" xfId="61106"/>
    <cellStyle name="SAPBEXstdItemX" xfId="7169"/>
    <cellStyle name="SAPBEXstdItemX 10" xfId="7170"/>
    <cellStyle name="SAPBEXstdItemX 10 2" xfId="61107"/>
    <cellStyle name="SAPBEXstdItemX 11" xfId="7171"/>
    <cellStyle name="SAPBEXstdItemX 11 2" xfId="61108"/>
    <cellStyle name="SAPBEXstdItemX 12" xfId="7172"/>
    <cellStyle name="SAPBEXstdItemX 2" xfId="7173"/>
    <cellStyle name="SAPBEXstdItemX 2 10" xfId="7174"/>
    <cellStyle name="SAPBEXstdItemX 2 10 2" xfId="61109"/>
    <cellStyle name="SAPBEXstdItemX 2 11" xfId="7175"/>
    <cellStyle name="SAPBEXstdItemX 2 2" xfId="7176"/>
    <cellStyle name="SAPBEXstdItemX 2 2 2" xfId="61110"/>
    <cellStyle name="SAPBEXstdItemX 2 3" xfId="7177"/>
    <cellStyle name="SAPBEXstdItemX 2 3 2" xfId="61111"/>
    <cellStyle name="SAPBEXstdItemX 2 4" xfId="7178"/>
    <cellStyle name="SAPBEXstdItemX 2 4 2" xfId="61112"/>
    <cellStyle name="SAPBEXstdItemX 2 5" xfId="7179"/>
    <cellStyle name="SAPBEXstdItemX 2 5 2" xfId="61113"/>
    <cellStyle name="SAPBEXstdItemX 2 6" xfId="7180"/>
    <cellStyle name="SAPBEXstdItemX 2 6 2" xfId="61114"/>
    <cellStyle name="SAPBEXstdItemX 2 7" xfId="7181"/>
    <cellStyle name="SAPBEXstdItemX 2 7 2" xfId="61115"/>
    <cellStyle name="SAPBEXstdItemX 2 8" xfId="7182"/>
    <cellStyle name="SAPBEXstdItemX 2 8 2" xfId="61116"/>
    <cellStyle name="SAPBEXstdItemX 2 9" xfId="7183"/>
    <cellStyle name="SAPBEXstdItemX 2 9 2" xfId="61117"/>
    <cellStyle name="SAPBEXstdItemX 3" xfId="7184"/>
    <cellStyle name="SAPBEXstdItemX 3 2" xfId="61118"/>
    <cellStyle name="SAPBEXstdItemX 4" xfId="7185"/>
    <cellStyle name="SAPBEXstdItemX 4 2" xfId="61119"/>
    <cellStyle name="SAPBEXstdItemX 5" xfId="7186"/>
    <cellStyle name="SAPBEXstdItemX 5 2" xfId="61120"/>
    <cellStyle name="SAPBEXstdItemX 6" xfId="7187"/>
    <cellStyle name="SAPBEXstdItemX 6 2" xfId="61121"/>
    <cellStyle name="SAPBEXstdItemX 7" xfId="7188"/>
    <cellStyle name="SAPBEXstdItemX 7 2" xfId="61122"/>
    <cellStyle name="SAPBEXstdItemX 8" xfId="7189"/>
    <cellStyle name="SAPBEXstdItemX 8 2" xfId="61123"/>
    <cellStyle name="SAPBEXstdItemX 9" xfId="7190"/>
    <cellStyle name="SAPBEXstdItemX 9 2" xfId="61124"/>
    <cellStyle name="SAPBEXtitle" xfId="7191"/>
    <cellStyle name="SAPBEXundefined" xfId="7192"/>
    <cellStyle name="SAPBEXundefined 10" xfId="7193"/>
    <cellStyle name="SAPBEXundefined 10 2" xfId="61125"/>
    <cellStyle name="SAPBEXundefined 11" xfId="7194"/>
    <cellStyle name="SAPBEXundefined 11 2" xfId="61126"/>
    <cellStyle name="SAPBEXundefined 12" xfId="7195"/>
    <cellStyle name="SAPBEXundefined 2" xfId="7196"/>
    <cellStyle name="SAPBEXundefined 2 10" xfId="7197"/>
    <cellStyle name="SAPBEXundefined 2 10 2" xfId="61127"/>
    <cellStyle name="SAPBEXundefined 2 11" xfId="7198"/>
    <cellStyle name="SAPBEXundefined 2 2" xfId="7199"/>
    <cellStyle name="SAPBEXundefined 2 2 2" xfId="61128"/>
    <cellStyle name="SAPBEXundefined 2 3" xfId="7200"/>
    <cellStyle name="SAPBEXundefined 2 3 2" xfId="61129"/>
    <cellStyle name="SAPBEXundefined 2 4" xfId="7201"/>
    <cellStyle name="SAPBEXundefined 2 4 2" xfId="61130"/>
    <cellStyle name="SAPBEXundefined 2 5" xfId="7202"/>
    <cellStyle name="SAPBEXundefined 2 5 2" xfId="61131"/>
    <cellStyle name="SAPBEXundefined 2 6" xfId="7203"/>
    <cellStyle name="SAPBEXundefined 2 6 2" xfId="61132"/>
    <cellStyle name="SAPBEXundefined 2 7" xfId="7204"/>
    <cellStyle name="SAPBEXundefined 2 7 2" xfId="61133"/>
    <cellStyle name="SAPBEXundefined 2 8" xfId="7205"/>
    <cellStyle name="SAPBEXundefined 2 8 2" xfId="61134"/>
    <cellStyle name="SAPBEXundefined 2 9" xfId="7206"/>
    <cellStyle name="SAPBEXundefined 2 9 2" xfId="61135"/>
    <cellStyle name="SAPBEXundefined 3" xfId="7207"/>
    <cellStyle name="SAPBEXundefined 3 2" xfId="61136"/>
    <cellStyle name="SAPBEXundefined 4" xfId="7208"/>
    <cellStyle name="SAPBEXundefined 4 2" xfId="61137"/>
    <cellStyle name="SAPBEXundefined 5" xfId="7209"/>
    <cellStyle name="SAPBEXundefined 5 2" xfId="61138"/>
    <cellStyle name="SAPBEXundefined 6" xfId="7210"/>
    <cellStyle name="SAPBEXundefined 6 2" xfId="61139"/>
    <cellStyle name="SAPBEXundefined 7" xfId="7211"/>
    <cellStyle name="SAPBEXundefined 7 2" xfId="61140"/>
    <cellStyle name="SAPBEXundefined 8" xfId="7212"/>
    <cellStyle name="SAPBEXundefined 8 2" xfId="61141"/>
    <cellStyle name="SAPBEXundefined 9" xfId="7213"/>
    <cellStyle name="SAPBEXundefined 9 2" xfId="61142"/>
    <cellStyle name="SAPDataCell" xfId="61143"/>
    <cellStyle name="SAPDataTotalCell" xfId="61144"/>
    <cellStyle name="SAPDimensionCell" xfId="61145"/>
    <cellStyle name="SAPEmphasized" xfId="61146"/>
    <cellStyle name="SAPHierarchyCell0" xfId="61147"/>
    <cellStyle name="SAPHierarchyCell1" xfId="61148"/>
    <cellStyle name="SAPHierarchyCell2" xfId="61149"/>
    <cellStyle name="SAPHierarchyCell3" xfId="61150"/>
    <cellStyle name="SAPHierarchyCell4" xfId="61151"/>
    <cellStyle name="SAPLocked" xfId="7214"/>
    <cellStyle name="SAPLocked 10" xfId="7215"/>
    <cellStyle name="SAPLocked 10 10" xfId="7216"/>
    <cellStyle name="SAPLocked 10 10 2" xfId="61152"/>
    <cellStyle name="SAPLocked 10 11" xfId="7217"/>
    <cellStyle name="SAPLocked 10 11 2" xfId="61153"/>
    <cellStyle name="SAPLocked 10 12" xfId="7218"/>
    <cellStyle name="SAPLocked 10 12 2" xfId="61154"/>
    <cellStyle name="SAPLocked 10 13" xfId="7219"/>
    <cellStyle name="SAPLocked 10 2" xfId="7220"/>
    <cellStyle name="SAPLocked 10 2 10" xfId="7221"/>
    <cellStyle name="SAPLocked 10 2 10 2" xfId="61155"/>
    <cellStyle name="SAPLocked 10 2 11" xfId="7222"/>
    <cellStyle name="SAPLocked 10 2 11 2" xfId="61156"/>
    <cellStyle name="SAPLocked 10 2 12" xfId="7223"/>
    <cellStyle name="SAPLocked 10 2 2" xfId="7224"/>
    <cellStyle name="SAPLocked 10 2 2 2" xfId="61157"/>
    <cellStyle name="SAPLocked 10 2 3" xfId="7225"/>
    <cellStyle name="SAPLocked 10 2 3 2" xfId="61158"/>
    <cellStyle name="SAPLocked 10 2 4" xfId="7226"/>
    <cellStyle name="SAPLocked 10 2 4 2" xfId="61159"/>
    <cellStyle name="SAPLocked 10 2 5" xfId="7227"/>
    <cellStyle name="SAPLocked 10 2 5 2" xfId="61160"/>
    <cellStyle name="SAPLocked 10 2 6" xfId="7228"/>
    <cellStyle name="SAPLocked 10 2 6 2" xfId="61161"/>
    <cellStyle name="SAPLocked 10 2 7" xfId="7229"/>
    <cellStyle name="SAPLocked 10 2 7 2" xfId="61162"/>
    <cellStyle name="SAPLocked 10 2 8" xfId="7230"/>
    <cellStyle name="SAPLocked 10 2 8 2" xfId="61163"/>
    <cellStyle name="SAPLocked 10 2 9" xfId="7231"/>
    <cellStyle name="SAPLocked 10 2 9 2" xfId="61164"/>
    <cellStyle name="SAPLocked 10 3" xfId="7232"/>
    <cellStyle name="SAPLocked 10 3 2" xfId="61165"/>
    <cellStyle name="SAPLocked 10 4" xfId="7233"/>
    <cellStyle name="SAPLocked 10 4 2" xfId="61166"/>
    <cellStyle name="SAPLocked 10 5" xfId="7234"/>
    <cellStyle name="SAPLocked 10 5 2" xfId="61167"/>
    <cellStyle name="SAPLocked 10 6" xfId="7235"/>
    <cellStyle name="SAPLocked 10 6 2" xfId="61168"/>
    <cellStyle name="SAPLocked 10 7" xfId="7236"/>
    <cellStyle name="SAPLocked 10 7 2" xfId="61169"/>
    <cellStyle name="SAPLocked 10 8" xfId="7237"/>
    <cellStyle name="SAPLocked 10 8 2" xfId="61170"/>
    <cellStyle name="SAPLocked 10 9" xfId="7238"/>
    <cellStyle name="SAPLocked 10 9 2" xfId="61171"/>
    <cellStyle name="SAPLocked 11" xfId="7239"/>
    <cellStyle name="SAPLocked 11 10" xfId="7240"/>
    <cellStyle name="SAPLocked 11 10 2" xfId="61172"/>
    <cellStyle name="SAPLocked 11 11" xfId="7241"/>
    <cellStyle name="SAPLocked 11 11 2" xfId="61173"/>
    <cellStyle name="SAPLocked 11 12" xfId="7242"/>
    <cellStyle name="SAPLocked 11 12 2" xfId="61174"/>
    <cellStyle name="SAPLocked 11 13" xfId="7243"/>
    <cellStyle name="SAPLocked 11 2" xfId="7244"/>
    <cellStyle name="SAPLocked 11 2 10" xfId="7245"/>
    <cellStyle name="SAPLocked 11 2 10 2" xfId="61175"/>
    <cellStyle name="SAPLocked 11 2 11" xfId="7246"/>
    <cellStyle name="SAPLocked 11 2 11 2" xfId="61176"/>
    <cellStyle name="SAPLocked 11 2 12" xfId="7247"/>
    <cellStyle name="SAPLocked 11 2 2" xfId="7248"/>
    <cellStyle name="SAPLocked 11 2 2 2" xfId="61177"/>
    <cellStyle name="SAPLocked 11 2 3" xfId="7249"/>
    <cellStyle name="SAPLocked 11 2 3 2" xfId="61178"/>
    <cellStyle name="SAPLocked 11 2 4" xfId="7250"/>
    <cellStyle name="SAPLocked 11 2 4 2" xfId="61179"/>
    <cellStyle name="SAPLocked 11 2 5" xfId="7251"/>
    <cellStyle name="SAPLocked 11 2 5 2" xfId="61180"/>
    <cellStyle name="SAPLocked 11 2 6" xfId="7252"/>
    <cellStyle name="SAPLocked 11 2 6 2" xfId="61181"/>
    <cellStyle name="SAPLocked 11 2 7" xfId="7253"/>
    <cellStyle name="SAPLocked 11 2 7 2" xfId="61182"/>
    <cellStyle name="SAPLocked 11 2 8" xfId="7254"/>
    <cellStyle name="SAPLocked 11 2 8 2" xfId="61183"/>
    <cellStyle name="SAPLocked 11 2 9" xfId="7255"/>
    <cellStyle name="SAPLocked 11 2 9 2" xfId="61184"/>
    <cellStyle name="SAPLocked 11 3" xfId="7256"/>
    <cellStyle name="SAPLocked 11 3 2" xfId="61185"/>
    <cellStyle name="SAPLocked 11 4" xfId="7257"/>
    <cellStyle name="SAPLocked 11 4 2" xfId="61186"/>
    <cellStyle name="SAPLocked 11 5" xfId="7258"/>
    <cellStyle name="SAPLocked 11 5 2" xfId="61187"/>
    <cellStyle name="SAPLocked 11 6" xfId="7259"/>
    <cellStyle name="SAPLocked 11 6 2" xfId="61188"/>
    <cellStyle name="SAPLocked 11 7" xfId="7260"/>
    <cellStyle name="SAPLocked 11 7 2" xfId="61189"/>
    <cellStyle name="SAPLocked 11 8" xfId="7261"/>
    <cellStyle name="SAPLocked 11 8 2" xfId="61190"/>
    <cellStyle name="SAPLocked 11 9" xfId="7262"/>
    <cellStyle name="SAPLocked 11 9 2" xfId="61191"/>
    <cellStyle name="SAPLocked 12" xfId="7263"/>
    <cellStyle name="SAPLocked 12 10" xfId="7264"/>
    <cellStyle name="SAPLocked 12 10 2" xfId="61192"/>
    <cellStyle name="SAPLocked 12 11" xfId="7265"/>
    <cellStyle name="SAPLocked 12 11 2" xfId="61193"/>
    <cellStyle name="SAPLocked 12 12" xfId="7266"/>
    <cellStyle name="SAPLocked 12 12 2" xfId="61194"/>
    <cellStyle name="SAPLocked 12 13" xfId="7267"/>
    <cellStyle name="SAPLocked 12 2" xfId="7268"/>
    <cellStyle name="SAPLocked 12 2 10" xfId="7269"/>
    <cellStyle name="SAPLocked 12 2 10 2" xfId="61195"/>
    <cellStyle name="SAPLocked 12 2 11" xfId="7270"/>
    <cellStyle name="SAPLocked 12 2 11 2" xfId="61196"/>
    <cellStyle name="SAPLocked 12 2 12" xfId="7271"/>
    <cellStyle name="SAPLocked 12 2 2" xfId="7272"/>
    <cellStyle name="SAPLocked 12 2 2 2" xfId="61197"/>
    <cellStyle name="SAPLocked 12 2 3" xfId="7273"/>
    <cellStyle name="SAPLocked 12 2 3 2" xfId="61198"/>
    <cellStyle name="SAPLocked 12 2 4" xfId="7274"/>
    <cellStyle name="SAPLocked 12 2 4 2" xfId="61199"/>
    <cellStyle name="SAPLocked 12 2 5" xfId="7275"/>
    <cellStyle name="SAPLocked 12 2 5 2" xfId="61200"/>
    <cellStyle name="SAPLocked 12 2 6" xfId="7276"/>
    <cellStyle name="SAPLocked 12 2 6 2" xfId="61201"/>
    <cellStyle name="SAPLocked 12 2 7" xfId="7277"/>
    <cellStyle name="SAPLocked 12 2 7 2" xfId="61202"/>
    <cellStyle name="SAPLocked 12 2 8" xfId="7278"/>
    <cellStyle name="SAPLocked 12 2 8 2" xfId="61203"/>
    <cellStyle name="SAPLocked 12 2 9" xfId="7279"/>
    <cellStyle name="SAPLocked 12 2 9 2" xfId="61204"/>
    <cellStyle name="SAPLocked 12 3" xfId="7280"/>
    <cellStyle name="SAPLocked 12 3 2" xfId="61205"/>
    <cellStyle name="SAPLocked 12 4" xfId="7281"/>
    <cellStyle name="SAPLocked 12 4 2" xfId="61206"/>
    <cellStyle name="SAPLocked 12 5" xfId="7282"/>
    <cellStyle name="SAPLocked 12 5 2" xfId="61207"/>
    <cellStyle name="SAPLocked 12 6" xfId="7283"/>
    <cellStyle name="SAPLocked 12 6 2" xfId="61208"/>
    <cellStyle name="SAPLocked 12 7" xfId="7284"/>
    <cellStyle name="SAPLocked 12 7 2" xfId="61209"/>
    <cellStyle name="SAPLocked 12 8" xfId="7285"/>
    <cellStyle name="SAPLocked 12 8 2" xfId="61210"/>
    <cellStyle name="SAPLocked 12 9" xfId="7286"/>
    <cellStyle name="SAPLocked 12 9 2" xfId="61211"/>
    <cellStyle name="SAPLocked 13" xfId="7287"/>
    <cellStyle name="SAPLocked 13 10" xfId="7288"/>
    <cellStyle name="SAPLocked 13 10 2" xfId="61212"/>
    <cellStyle name="SAPLocked 13 11" xfId="7289"/>
    <cellStyle name="SAPLocked 13 11 2" xfId="61213"/>
    <cellStyle name="SAPLocked 13 12" xfId="7290"/>
    <cellStyle name="SAPLocked 13 12 2" xfId="61214"/>
    <cellStyle name="SAPLocked 13 13" xfId="7291"/>
    <cellStyle name="SAPLocked 13 2" xfId="7292"/>
    <cellStyle name="SAPLocked 13 2 10" xfId="7293"/>
    <cellStyle name="SAPLocked 13 2 10 2" xfId="61215"/>
    <cellStyle name="SAPLocked 13 2 11" xfId="7294"/>
    <cellStyle name="SAPLocked 13 2 11 2" xfId="61216"/>
    <cellStyle name="SAPLocked 13 2 12" xfId="7295"/>
    <cellStyle name="SAPLocked 13 2 2" xfId="7296"/>
    <cellStyle name="SAPLocked 13 2 2 2" xfId="61217"/>
    <cellStyle name="SAPLocked 13 2 3" xfId="7297"/>
    <cellStyle name="SAPLocked 13 2 3 2" xfId="61218"/>
    <cellStyle name="SAPLocked 13 2 4" xfId="7298"/>
    <cellStyle name="SAPLocked 13 2 4 2" xfId="61219"/>
    <cellStyle name="SAPLocked 13 2 5" xfId="7299"/>
    <cellStyle name="SAPLocked 13 2 5 2" xfId="61220"/>
    <cellStyle name="SAPLocked 13 2 6" xfId="7300"/>
    <cellStyle name="SAPLocked 13 2 6 2" xfId="61221"/>
    <cellStyle name="SAPLocked 13 2 7" xfId="7301"/>
    <cellStyle name="SAPLocked 13 2 7 2" xfId="61222"/>
    <cellStyle name="SAPLocked 13 2 8" xfId="7302"/>
    <cellStyle name="SAPLocked 13 2 8 2" xfId="61223"/>
    <cellStyle name="SAPLocked 13 2 9" xfId="7303"/>
    <cellStyle name="SAPLocked 13 2 9 2" xfId="61224"/>
    <cellStyle name="SAPLocked 13 3" xfId="7304"/>
    <cellStyle name="SAPLocked 13 3 2" xfId="61225"/>
    <cellStyle name="SAPLocked 13 4" xfId="7305"/>
    <cellStyle name="SAPLocked 13 4 2" xfId="61226"/>
    <cellStyle name="SAPLocked 13 5" xfId="7306"/>
    <cellStyle name="SAPLocked 13 5 2" xfId="61227"/>
    <cellStyle name="SAPLocked 13 6" xfId="7307"/>
    <cellStyle name="SAPLocked 13 6 2" xfId="61228"/>
    <cellStyle name="SAPLocked 13 7" xfId="7308"/>
    <cellStyle name="SAPLocked 13 7 2" xfId="61229"/>
    <cellStyle name="SAPLocked 13 8" xfId="7309"/>
    <cellStyle name="SAPLocked 13 8 2" xfId="61230"/>
    <cellStyle name="SAPLocked 13 9" xfId="7310"/>
    <cellStyle name="SAPLocked 13 9 2" xfId="61231"/>
    <cellStyle name="SAPLocked 14" xfId="7311"/>
    <cellStyle name="SAPLocked 14 10" xfId="7312"/>
    <cellStyle name="SAPLocked 14 10 2" xfId="61232"/>
    <cellStyle name="SAPLocked 14 11" xfId="7313"/>
    <cellStyle name="SAPLocked 14 11 2" xfId="61233"/>
    <cellStyle name="SAPLocked 14 12" xfId="7314"/>
    <cellStyle name="SAPLocked 14 12 2" xfId="61234"/>
    <cellStyle name="SAPLocked 14 13" xfId="7315"/>
    <cellStyle name="SAPLocked 14 2" xfId="7316"/>
    <cellStyle name="SAPLocked 14 2 10" xfId="7317"/>
    <cellStyle name="SAPLocked 14 2 10 2" xfId="61235"/>
    <cellStyle name="SAPLocked 14 2 11" xfId="7318"/>
    <cellStyle name="SAPLocked 14 2 11 2" xfId="61236"/>
    <cellStyle name="SAPLocked 14 2 12" xfId="7319"/>
    <cellStyle name="SAPLocked 14 2 2" xfId="7320"/>
    <cellStyle name="SAPLocked 14 2 2 2" xfId="61237"/>
    <cellStyle name="SAPLocked 14 2 3" xfId="7321"/>
    <cellStyle name="SAPLocked 14 2 3 2" xfId="61238"/>
    <cellStyle name="SAPLocked 14 2 4" xfId="7322"/>
    <cellStyle name="SAPLocked 14 2 4 2" xfId="61239"/>
    <cellStyle name="SAPLocked 14 2 5" xfId="7323"/>
    <cellStyle name="SAPLocked 14 2 5 2" xfId="61240"/>
    <cellStyle name="SAPLocked 14 2 6" xfId="7324"/>
    <cellStyle name="SAPLocked 14 2 6 2" xfId="61241"/>
    <cellStyle name="SAPLocked 14 2 7" xfId="7325"/>
    <cellStyle name="SAPLocked 14 2 7 2" xfId="61242"/>
    <cellStyle name="SAPLocked 14 2 8" xfId="7326"/>
    <cellStyle name="SAPLocked 14 2 8 2" xfId="61243"/>
    <cellStyle name="SAPLocked 14 2 9" xfId="7327"/>
    <cellStyle name="SAPLocked 14 2 9 2" xfId="61244"/>
    <cellStyle name="SAPLocked 14 3" xfId="7328"/>
    <cellStyle name="SAPLocked 14 3 2" xfId="61245"/>
    <cellStyle name="SAPLocked 14 4" xfId="7329"/>
    <cellStyle name="SAPLocked 14 4 2" xfId="61246"/>
    <cellStyle name="SAPLocked 14 5" xfId="7330"/>
    <cellStyle name="SAPLocked 14 5 2" xfId="61247"/>
    <cellStyle name="SAPLocked 14 6" xfId="7331"/>
    <cellStyle name="SAPLocked 14 6 2" xfId="61248"/>
    <cellStyle name="SAPLocked 14 7" xfId="7332"/>
    <cellStyle name="SAPLocked 14 7 2" xfId="61249"/>
    <cellStyle name="SAPLocked 14 8" xfId="7333"/>
    <cellStyle name="SAPLocked 14 8 2" xfId="61250"/>
    <cellStyle name="SAPLocked 14 9" xfId="7334"/>
    <cellStyle name="SAPLocked 14 9 2" xfId="61251"/>
    <cellStyle name="SAPLocked 15" xfId="7335"/>
    <cellStyle name="SAPLocked 15 10" xfId="7336"/>
    <cellStyle name="SAPLocked 15 10 2" xfId="61252"/>
    <cellStyle name="SAPLocked 15 11" xfId="7337"/>
    <cellStyle name="SAPLocked 15 11 2" xfId="61253"/>
    <cellStyle name="SAPLocked 15 12" xfId="7338"/>
    <cellStyle name="SAPLocked 15 12 2" xfId="61254"/>
    <cellStyle name="SAPLocked 15 13" xfId="7339"/>
    <cellStyle name="SAPLocked 15 2" xfId="7340"/>
    <cellStyle name="SAPLocked 15 2 10" xfId="7341"/>
    <cellStyle name="SAPLocked 15 2 10 2" xfId="61255"/>
    <cellStyle name="SAPLocked 15 2 11" xfId="7342"/>
    <cellStyle name="SAPLocked 15 2 11 2" xfId="61256"/>
    <cellStyle name="SAPLocked 15 2 12" xfId="7343"/>
    <cellStyle name="SAPLocked 15 2 2" xfId="7344"/>
    <cellStyle name="SAPLocked 15 2 2 2" xfId="61257"/>
    <cellStyle name="SAPLocked 15 2 3" xfId="7345"/>
    <cellStyle name="SAPLocked 15 2 3 2" xfId="61258"/>
    <cellStyle name="SAPLocked 15 2 4" xfId="7346"/>
    <cellStyle name="SAPLocked 15 2 4 2" xfId="61259"/>
    <cellStyle name="SAPLocked 15 2 5" xfId="7347"/>
    <cellStyle name="SAPLocked 15 2 5 2" xfId="61260"/>
    <cellStyle name="SAPLocked 15 2 6" xfId="7348"/>
    <cellStyle name="SAPLocked 15 2 6 2" xfId="61261"/>
    <cellStyle name="SAPLocked 15 2 7" xfId="7349"/>
    <cellStyle name="SAPLocked 15 2 7 2" xfId="61262"/>
    <cellStyle name="SAPLocked 15 2 8" xfId="7350"/>
    <cellStyle name="SAPLocked 15 2 8 2" xfId="61263"/>
    <cellStyle name="SAPLocked 15 2 9" xfId="7351"/>
    <cellStyle name="SAPLocked 15 2 9 2" xfId="61264"/>
    <cellStyle name="SAPLocked 15 3" xfId="7352"/>
    <cellStyle name="SAPLocked 15 3 2" xfId="61265"/>
    <cellStyle name="SAPLocked 15 4" xfId="7353"/>
    <cellStyle name="SAPLocked 15 4 2" xfId="61266"/>
    <cellStyle name="SAPLocked 15 5" xfId="7354"/>
    <cellStyle name="SAPLocked 15 5 2" xfId="61267"/>
    <cellStyle name="SAPLocked 15 6" xfId="7355"/>
    <cellStyle name="SAPLocked 15 6 2" xfId="61268"/>
    <cellStyle name="SAPLocked 15 7" xfId="7356"/>
    <cellStyle name="SAPLocked 15 7 2" xfId="61269"/>
    <cellStyle name="SAPLocked 15 8" xfId="7357"/>
    <cellStyle name="SAPLocked 15 8 2" xfId="61270"/>
    <cellStyle name="SAPLocked 15 9" xfId="7358"/>
    <cellStyle name="SAPLocked 15 9 2" xfId="61271"/>
    <cellStyle name="SAPLocked 16" xfId="7359"/>
    <cellStyle name="SAPLocked 16 10" xfId="7360"/>
    <cellStyle name="SAPLocked 16 10 2" xfId="61272"/>
    <cellStyle name="SAPLocked 16 11" xfId="7361"/>
    <cellStyle name="SAPLocked 16 11 2" xfId="61273"/>
    <cellStyle name="SAPLocked 16 12" xfId="7362"/>
    <cellStyle name="SAPLocked 16 12 2" xfId="61274"/>
    <cellStyle name="SAPLocked 16 13" xfId="7363"/>
    <cellStyle name="SAPLocked 16 2" xfId="7364"/>
    <cellStyle name="SAPLocked 16 2 10" xfId="7365"/>
    <cellStyle name="SAPLocked 16 2 10 2" xfId="61275"/>
    <cellStyle name="SAPLocked 16 2 11" xfId="7366"/>
    <cellStyle name="SAPLocked 16 2 11 2" xfId="61276"/>
    <cellStyle name="SAPLocked 16 2 12" xfId="7367"/>
    <cellStyle name="SAPLocked 16 2 2" xfId="7368"/>
    <cellStyle name="SAPLocked 16 2 2 2" xfId="61277"/>
    <cellStyle name="SAPLocked 16 2 3" xfId="7369"/>
    <cellStyle name="SAPLocked 16 2 3 2" xfId="61278"/>
    <cellStyle name="SAPLocked 16 2 4" xfId="7370"/>
    <cellStyle name="SAPLocked 16 2 4 2" xfId="61279"/>
    <cellStyle name="SAPLocked 16 2 5" xfId="7371"/>
    <cellStyle name="SAPLocked 16 2 5 2" xfId="61280"/>
    <cellStyle name="SAPLocked 16 2 6" xfId="7372"/>
    <cellStyle name="SAPLocked 16 2 6 2" xfId="61281"/>
    <cellStyle name="SAPLocked 16 2 7" xfId="7373"/>
    <cellStyle name="SAPLocked 16 2 7 2" xfId="61282"/>
    <cellStyle name="SAPLocked 16 2 8" xfId="7374"/>
    <cellStyle name="SAPLocked 16 2 8 2" xfId="61283"/>
    <cellStyle name="SAPLocked 16 2 9" xfId="7375"/>
    <cellStyle name="SAPLocked 16 2 9 2" xfId="61284"/>
    <cellStyle name="SAPLocked 16 3" xfId="7376"/>
    <cellStyle name="SAPLocked 16 3 2" xfId="61285"/>
    <cellStyle name="SAPLocked 16 4" xfId="7377"/>
    <cellStyle name="SAPLocked 16 4 2" xfId="61286"/>
    <cellStyle name="SAPLocked 16 5" xfId="7378"/>
    <cellStyle name="SAPLocked 16 5 2" xfId="61287"/>
    <cellStyle name="SAPLocked 16 6" xfId="7379"/>
    <cellStyle name="SAPLocked 16 6 2" xfId="61288"/>
    <cellStyle name="SAPLocked 16 7" xfId="7380"/>
    <cellStyle name="SAPLocked 16 7 2" xfId="61289"/>
    <cellStyle name="SAPLocked 16 8" xfId="7381"/>
    <cellStyle name="SAPLocked 16 8 2" xfId="61290"/>
    <cellStyle name="SAPLocked 16 9" xfId="7382"/>
    <cellStyle name="SAPLocked 16 9 2" xfId="61291"/>
    <cellStyle name="SAPLocked 17" xfId="7383"/>
    <cellStyle name="SAPLocked 17 10" xfId="7384"/>
    <cellStyle name="SAPLocked 17 10 2" xfId="61292"/>
    <cellStyle name="SAPLocked 17 11" xfId="7385"/>
    <cellStyle name="SAPLocked 17 11 2" xfId="61293"/>
    <cellStyle name="SAPLocked 17 12" xfId="7386"/>
    <cellStyle name="SAPLocked 17 12 2" xfId="61294"/>
    <cellStyle name="SAPLocked 17 13" xfId="7387"/>
    <cellStyle name="SAPLocked 17 2" xfId="7388"/>
    <cellStyle name="SAPLocked 17 2 10" xfId="7389"/>
    <cellStyle name="SAPLocked 17 2 10 2" xfId="61295"/>
    <cellStyle name="SAPLocked 17 2 11" xfId="7390"/>
    <cellStyle name="SAPLocked 17 2 11 2" xfId="61296"/>
    <cellStyle name="SAPLocked 17 2 12" xfId="7391"/>
    <cellStyle name="SAPLocked 17 2 2" xfId="7392"/>
    <cellStyle name="SAPLocked 17 2 2 2" xfId="61297"/>
    <cellStyle name="SAPLocked 17 2 3" xfId="7393"/>
    <cellStyle name="SAPLocked 17 2 3 2" xfId="61298"/>
    <cellStyle name="SAPLocked 17 2 4" xfId="7394"/>
    <cellStyle name="SAPLocked 17 2 4 2" xfId="61299"/>
    <cellStyle name="SAPLocked 17 2 5" xfId="7395"/>
    <cellStyle name="SAPLocked 17 2 5 2" xfId="61300"/>
    <cellStyle name="SAPLocked 17 2 6" xfId="7396"/>
    <cellStyle name="SAPLocked 17 2 6 2" xfId="61301"/>
    <cellStyle name="SAPLocked 17 2 7" xfId="7397"/>
    <cellStyle name="SAPLocked 17 2 7 2" xfId="61302"/>
    <cellStyle name="SAPLocked 17 2 8" xfId="7398"/>
    <cellStyle name="SAPLocked 17 2 8 2" xfId="61303"/>
    <cellStyle name="SAPLocked 17 2 9" xfId="7399"/>
    <cellStyle name="SAPLocked 17 2 9 2" xfId="61304"/>
    <cellStyle name="SAPLocked 17 3" xfId="7400"/>
    <cellStyle name="SAPLocked 17 3 2" xfId="61305"/>
    <cellStyle name="SAPLocked 17 4" xfId="7401"/>
    <cellStyle name="SAPLocked 17 4 2" xfId="61306"/>
    <cellStyle name="SAPLocked 17 5" xfId="7402"/>
    <cellStyle name="SAPLocked 17 5 2" xfId="61307"/>
    <cellStyle name="SAPLocked 17 6" xfId="7403"/>
    <cellStyle name="SAPLocked 17 6 2" xfId="61308"/>
    <cellStyle name="SAPLocked 17 7" xfId="7404"/>
    <cellStyle name="SAPLocked 17 7 2" xfId="61309"/>
    <cellStyle name="SAPLocked 17 8" xfId="7405"/>
    <cellStyle name="SAPLocked 17 8 2" xfId="61310"/>
    <cellStyle name="SAPLocked 17 9" xfId="7406"/>
    <cellStyle name="SAPLocked 17 9 2" xfId="61311"/>
    <cellStyle name="SAPLocked 18" xfId="7407"/>
    <cellStyle name="SAPLocked 18 10" xfId="7408"/>
    <cellStyle name="SAPLocked 18 10 2" xfId="61312"/>
    <cellStyle name="SAPLocked 18 11" xfId="7409"/>
    <cellStyle name="SAPLocked 18 11 2" xfId="61313"/>
    <cellStyle name="SAPLocked 18 12" xfId="7410"/>
    <cellStyle name="SAPLocked 18 12 2" xfId="61314"/>
    <cellStyle name="SAPLocked 18 13" xfId="7411"/>
    <cellStyle name="SAPLocked 18 2" xfId="7412"/>
    <cellStyle name="SAPLocked 18 2 10" xfId="7413"/>
    <cellStyle name="SAPLocked 18 2 10 2" xfId="61315"/>
    <cellStyle name="SAPLocked 18 2 11" xfId="7414"/>
    <cellStyle name="SAPLocked 18 2 11 2" xfId="61316"/>
    <cellStyle name="SAPLocked 18 2 12" xfId="7415"/>
    <cellStyle name="SAPLocked 18 2 2" xfId="7416"/>
    <cellStyle name="SAPLocked 18 2 2 2" xfId="61317"/>
    <cellStyle name="SAPLocked 18 2 3" xfId="7417"/>
    <cellStyle name="SAPLocked 18 2 3 2" xfId="61318"/>
    <cellStyle name="SAPLocked 18 2 4" xfId="7418"/>
    <cellStyle name="SAPLocked 18 2 4 2" xfId="61319"/>
    <cellStyle name="SAPLocked 18 2 5" xfId="7419"/>
    <cellStyle name="SAPLocked 18 2 5 2" xfId="61320"/>
    <cellStyle name="SAPLocked 18 2 6" xfId="7420"/>
    <cellStyle name="SAPLocked 18 2 6 2" xfId="61321"/>
    <cellStyle name="SAPLocked 18 2 7" xfId="7421"/>
    <cellStyle name="SAPLocked 18 2 7 2" xfId="61322"/>
    <cellStyle name="SAPLocked 18 2 8" xfId="7422"/>
    <cellStyle name="SAPLocked 18 2 8 2" xfId="61323"/>
    <cellStyle name="SAPLocked 18 2 9" xfId="7423"/>
    <cellStyle name="SAPLocked 18 2 9 2" xfId="61324"/>
    <cellStyle name="SAPLocked 18 3" xfId="7424"/>
    <cellStyle name="SAPLocked 18 3 2" xfId="61325"/>
    <cellStyle name="SAPLocked 18 4" xfId="7425"/>
    <cellStyle name="SAPLocked 18 4 2" xfId="61326"/>
    <cellStyle name="SAPLocked 18 5" xfId="7426"/>
    <cellStyle name="SAPLocked 18 5 2" xfId="61327"/>
    <cellStyle name="SAPLocked 18 6" xfId="7427"/>
    <cellStyle name="SAPLocked 18 6 2" xfId="61328"/>
    <cellStyle name="SAPLocked 18 7" xfId="7428"/>
    <cellStyle name="SAPLocked 18 7 2" xfId="61329"/>
    <cellStyle name="SAPLocked 18 8" xfId="7429"/>
    <cellStyle name="SAPLocked 18 8 2" xfId="61330"/>
    <cellStyle name="SAPLocked 18 9" xfId="7430"/>
    <cellStyle name="SAPLocked 18 9 2" xfId="61331"/>
    <cellStyle name="SAPLocked 19" xfId="7431"/>
    <cellStyle name="SAPLocked 19 10" xfId="7432"/>
    <cellStyle name="SAPLocked 19 10 2" xfId="61332"/>
    <cellStyle name="SAPLocked 19 11" xfId="7433"/>
    <cellStyle name="SAPLocked 19 11 2" xfId="61333"/>
    <cellStyle name="SAPLocked 19 12" xfId="7434"/>
    <cellStyle name="SAPLocked 19 12 2" xfId="61334"/>
    <cellStyle name="SAPLocked 19 13" xfId="7435"/>
    <cellStyle name="SAPLocked 19 2" xfId="7436"/>
    <cellStyle name="SAPLocked 19 2 10" xfId="7437"/>
    <cellStyle name="SAPLocked 19 2 10 2" xfId="61335"/>
    <cellStyle name="SAPLocked 19 2 11" xfId="7438"/>
    <cellStyle name="SAPLocked 19 2 11 2" xfId="61336"/>
    <cellStyle name="SAPLocked 19 2 12" xfId="7439"/>
    <cellStyle name="SAPLocked 19 2 2" xfId="7440"/>
    <cellStyle name="SAPLocked 19 2 2 2" xfId="61337"/>
    <cellStyle name="SAPLocked 19 2 3" xfId="7441"/>
    <cellStyle name="SAPLocked 19 2 3 2" xfId="61338"/>
    <cellStyle name="SAPLocked 19 2 4" xfId="7442"/>
    <cellStyle name="SAPLocked 19 2 4 2" xfId="61339"/>
    <cellStyle name="SAPLocked 19 2 5" xfId="7443"/>
    <cellStyle name="SAPLocked 19 2 5 2" xfId="61340"/>
    <cellStyle name="SAPLocked 19 2 6" xfId="7444"/>
    <cellStyle name="SAPLocked 19 2 6 2" xfId="61341"/>
    <cellStyle name="SAPLocked 19 2 7" xfId="7445"/>
    <cellStyle name="SAPLocked 19 2 7 2" xfId="61342"/>
    <cellStyle name="SAPLocked 19 2 8" xfId="7446"/>
    <cellStyle name="SAPLocked 19 2 8 2" xfId="61343"/>
    <cellStyle name="SAPLocked 19 2 9" xfId="7447"/>
    <cellStyle name="SAPLocked 19 2 9 2" xfId="61344"/>
    <cellStyle name="SAPLocked 19 3" xfId="7448"/>
    <cellStyle name="SAPLocked 19 3 2" xfId="61345"/>
    <cellStyle name="SAPLocked 19 4" xfId="7449"/>
    <cellStyle name="SAPLocked 19 4 2" xfId="61346"/>
    <cellStyle name="SAPLocked 19 5" xfId="7450"/>
    <cellStyle name="SAPLocked 19 5 2" xfId="61347"/>
    <cellStyle name="SAPLocked 19 6" xfId="7451"/>
    <cellStyle name="SAPLocked 19 6 2" xfId="61348"/>
    <cellStyle name="SAPLocked 19 7" xfId="7452"/>
    <cellStyle name="SAPLocked 19 7 2" xfId="61349"/>
    <cellStyle name="SAPLocked 19 8" xfId="7453"/>
    <cellStyle name="SAPLocked 19 8 2" xfId="61350"/>
    <cellStyle name="SAPLocked 19 9" xfId="7454"/>
    <cellStyle name="SAPLocked 19 9 2" xfId="61351"/>
    <cellStyle name="SAPLocked 2" xfId="7455"/>
    <cellStyle name="SAPLocked 2 10" xfId="7456"/>
    <cellStyle name="SAPLocked 2 10 10" xfId="7457"/>
    <cellStyle name="SAPLocked 2 10 10 2" xfId="61352"/>
    <cellStyle name="SAPLocked 2 10 11" xfId="7458"/>
    <cellStyle name="SAPLocked 2 10 11 2" xfId="61353"/>
    <cellStyle name="SAPLocked 2 10 12" xfId="7459"/>
    <cellStyle name="SAPLocked 2 10 12 2" xfId="61354"/>
    <cellStyle name="SAPLocked 2 10 13" xfId="7460"/>
    <cellStyle name="SAPLocked 2 10 2" xfId="7461"/>
    <cellStyle name="SAPLocked 2 10 2 10" xfId="7462"/>
    <cellStyle name="SAPLocked 2 10 2 10 2" xfId="61355"/>
    <cellStyle name="SAPLocked 2 10 2 11" xfId="7463"/>
    <cellStyle name="SAPLocked 2 10 2 11 2" xfId="61356"/>
    <cellStyle name="SAPLocked 2 10 2 12" xfId="7464"/>
    <cellStyle name="SAPLocked 2 10 2 2" xfId="7465"/>
    <cellStyle name="SAPLocked 2 10 2 2 2" xfId="61357"/>
    <cellStyle name="SAPLocked 2 10 2 3" xfId="7466"/>
    <cellStyle name="SAPLocked 2 10 2 3 2" xfId="61358"/>
    <cellStyle name="SAPLocked 2 10 2 4" xfId="7467"/>
    <cellStyle name="SAPLocked 2 10 2 4 2" xfId="61359"/>
    <cellStyle name="SAPLocked 2 10 2 5" xfId="7468"/>
    <cellStyle name="SAPLocked 2 10 2 5 2" xfId="61360"/>
    <cellStyle name="SAPLocked 2 10 2 6" xfId="7469"/>
    <cellStyle name="SAPLocked 2 10 2 6 2" xfId="61361"/>
    <cellStyle name="SAPLocked 2 10 2 7" xfId="7470"/>
    <cellStyle name="SAPLocked 2 10 2 7 2" xfId="61362"/>
    <cellStyle name="SAPLocked 2 10 2 8" xfId="7471"/>
    <cellStyle name="SAPLocked 2 10 2 8 2" xfId="61363"/>
    <cellStyle name="SAPLocked 2 10 2 9" xfId="7472"/>
    <cellStyle name="SAPLocked 2 10 2 9 2" xfId="61364"/>
    <cellStyle name="SAPLocked 2 10 3" xfId="7473"/>
    <cellStyle name="SAPLocked 2 10 3 2" xfId="61365"/>
    <cellStyle name="SAPLocked 2 10 4" xfId="7474"/>
    <cellStyle name="SAPLocked 2 10 4 2" xfId="61366"/>
    <cellStyle name="SAPLocked 2 10 5" xfId="7475"/>
    <cellStyle name="SAPLocked 2 10 5 2" xfId="61367"/>
    <cellStyle name="SAPLocked 2 10 6" xfId="7476"/>
    <cellStyle name="SAPLocked 2 10 6 2" xfId="61368"/>
    <cellStyle name="SAPLocked 2 10 7" xfId="7477"/>
    <cellStyle name="SAPLocked 2 10 7 2" xfId="61369"/>
    <cellStyle name="SAPLocked 2 10 8" xfId="7478"/>
    <cellStyle name="SAPLocked 2 10 8 2" xfId="61370"/>
    <cellStyle name="SAPLocked 2 10 9" xfId="7479"/>
    <cellStyle name="SAPLocked 2 10 9 2" xfId="61371"/>
    <cellStyle name="SAPLocked 2 11" xfId="7480"/>
    <cellStyle name="SAPLocked 2 11 10" xfId="7481"/>
    <cellStyle name="SAPLocked 2 11 10 2" xfId="61372"/>
    <cellStyle name="SAPLocked 2 11 11" xfId="7482"/>
    <cellStyle name="SAPLocked 2 11 11 2" xfId="61373"/>
    <cellStyle name="SAPLocked 2 11 12" xfId="7483"/>
    <cellStyle name="SAPLocked 2 11 12 2" xfId="61374"/>
    <cellStyle name="SAPLocked 2 11 13" xfId="7484"/>
    <cellStyle name="SAPLocked 2 11 2" xfId="7485"/>
    <cellStyle name="SAPLocked 2 11 2 10" xfId="7486"/>
    <cellStyle name="SAPLocked 2 11 2 10 2" xfId="61375"/>
    <cellStyle name="SAPLocked 2 11 2 11" xfId="7487"/>
    <cellStyle name="SAPLocked 2 11 2 11 2" xfId="61376"/>
    <cellStyle name="SAPLocked 2 11 2 12" xfId="7488"/>
    <cellStyle name="SAPLocked 2 11 2 2" xfId="7489"/>
    <cellStyle name="SAPLocked 2 11 2 2 2" xfId="61377"/>
    <cellStyle name="SAPLocked 2 11 2 3" xfId="7490"/>
    <cellStyle name="SAPLocked 2 11 2 3 2" xfId="61378"/>
    <cellStyle name="SAPLocked 2 11 2 4" xfId="7491"/>
    <cellStyle name="SAPLocked 2 11 2 4 2" xfId="61379"/>
    <cellStyle name="SAPLocked 2 11 2 5" xfId="7492"/>
    <cellStyle name="SAPLocked 2 11 2 5 2" xfId="61380"/>
    <cellStyle name="SAPLocked 2 11 2 6" xfId="7493"/>
    <cellStyle name="SAPLocked 2 11 2 6 2" xfId="61381"/>
    <cellStyle name="SAPLocked 2 11 2 7" xfId="7494"/>
    <cellStyle name="SAPLocked 2 11 2 7 2" xfId="61382"/>
    <cellStyle name="SAPLocked 2 11 2 8" xfId="7495"/>
    <cellStyle name="SAPLocked 2 11 2 8 2" xfId="61383"/>
    <cellStyle name="SAPLocked 2 11 2 9" xfId="7496"/>
    <cellStyle name="SAPLocked 2 11 2 9 2" xfId="61384"/>
    <cellStyle name="SAPLocked 2 11 3" xfId="7497"/>
    <cellStyle name="SAPLocked 2 11 3 2" xfId="61385"/>
    <cellStyle name="SAPLocked 2 11 4" xfId="7498"/>
    <cellStyle name="SAPLocked 2 11 4 2" xfId="61386"/>
    <cellStyle name="SAPLocked 2 11 5" xfId="7499"/>
    <cellStyle name="SAPLocked 2 11 5 2" xfId="61387"/>
    <cellStyle name="SAPLocked 2 11 6" xfId="7500"/>
    <cellStyle name="SAPLocked 2 11 6 2" xfId="61388"/>
    <cellStyle name="SAPLocked 2 11 7" xfId="7501"/>
    <cellStyle name="SAPLocked 2 11 7 2" xfId="61389"/>
    <cellStyle name="SAPLocked 2 11 8" xfId="7502"/>
    <cellStyle name="SAPLocked 2 11 8 2" xfId="61390"/>
    <cellStyle name="SAPLocked 2 11 9" xfId="7503"/>
    <cellStyle name="SAPLocked 2 11 9 2" xfId="61391"/>
    <cellStyle name="SAPLocked 2 12" xfId="7504"/>
    <cellStyle name="SAPLocked 2 12 10" xfId="7505"/>
    <cellStyle name="SAPLocked 2 12 10 2" xfId="61392"/>
    <cellStyle name="SAPLocked 2 12 11" xfId="7506"/>
    <cellStyle name="SAPLocked 2 12 11 2" xfId="61393"/>
    <cellStyle name="SAPLocked 2 12 12" xfId="7507"/>
    <cellStyle name="SAPLocked 2 12 12 2" xfId="61394"/>
    <cellStyle name="SAPLocked 2 12 13" xfId="7508"/>
    <cellStyle name="SAPLocked 2 12 2" xfId="7509"/>
    <cellStyle name="SAPLocked 2 12 2 10" xfId="7510"/>
    <cellStyle name="SAPLocked 2 12 2 10 2" xfId="61395"/>
    <cellStyle name="SAPLocked 2 12 2 11" xfId="7511"/>
    <cellStyle name="SAPLocked 2 12 2 11 2" xfId="61396"/>
    <cellStyle name="SAPLocked 2 12 2 12" xfId="7512"/>
    <cellStyle name="SAPLocked 2 12 2 2" xfId="7513"/>
    <cellStyle name="SAPLocked 2 12 2 2 2" xfId="61397"/>
    <cellStyle name="SAPLocked 2 12 2 3" xfId="7514"/>
    <cellStyle name="SAPLocked 2 12 2 3 2" xfId="61398"/>
    <cellStyle name="SAPLocked 2 12 2 4" xfId="7515"/>
    <cellStyle name="SAPLocked 2 12 2 4 2" xfId="61399"/>
    <cellStyle name="SAPLocked 2 12 2 5" xfId="7516"/>
    <cellStyle name="SAPLocked 2 12 2 5 2" xfId="61400"/>
    <cellStyle name="SAPLocked 2 12 2 6" xfId="7517"/>
    <cellStyle name="SAPLocked 2 12 2 6 2" xfId="61401"/>
    <cellStyle name="SAPLocked 2 12 2 7" xfId="7518"/>
    <cellStyle name="SAPLocked 2 12 2 7 2" xfId="61402"/>
    <cellStyle name="SAPLocked 2 12 2 8" xfId="7519"/>
    <cellStyle name="SAPLocked 2 12 2 8 2" xfId="61403"/>
    <cellStyle name="SAPLocked 2 12 2 9" xfId="7520"/>
    <cellStyle name="SAPLocked 2 12 2 9 2" xfId="61404"/>
    <cellStyle name="SAPLocked 2 12 3" xfId="7521"/>
    <cellStyle name="SAPLocked 2 12 3 2" xfId="61405"/>
    <cellStyle name="SAPLocked 2 12 4" xfId="7522"/>
    <cellStyle name="SAPLocked 2 12 4 2" xfId="61406"/>
    <cellStyle name="SAPLocked 2 12 5" xfId="7523"/>
    <cellStyle name="SAPLocked 2 12 5 2" xfId="61407"/>
    <cellStyle name="SAPLocked 2 12 6" xfId="7524"/>
    <cellStyle name="SAPLocked 2 12 6 2" xfId="61408"/>
    <cellStyle name="SAPLocked 2 12 7" xfId="7525"/>
    <cellStyle name="SAPLocked 2 12 7 2" xfId="61409"/>
    <cellStyle name="SAPLocked 2 12 8" xfId="7526"/>
    <cellStyle name="SAPLocked 2 12 8 2" xfId="61410"/>
    <cellStyle name="SAPLocked 2 12 9" xfId="7527"/>
    <cellStyle name="SAPLocked 2 12 9 2" xfId="61411"/>
    <cellStyle name="SAPLocked 2 13" xfId="7528"/>
    <cellStyle name="SAPLocked 2 13 10" xfId="7529"/>
    <cellStyle name="SAPLocked 2 13 10 2" xfId="61412"/>
    <cellStyle name="SAPLocked 2 13 11" xfId="7530"/>
    <cellStyle name="SAPLocked 2 13 11 2" xfId="61413"/>
    <cellStyle name="SAPLocked 2 13 12" xfId="7531"/>
    <cellStyle name="SAPLocked 2 13 12 2" xfId="61414"/>
    <cellStyle name="SAPLocked 2 13 13" xfId="7532"/>
    <cellStyle name="SAPLocked 2 13 2" xfId="7533"/>
    <cellStyle name="SAPLocked 2 13 2 10" xfId="7534"/>
    <cellStyle name="SAPLocked 2 13 2 10 2" xfId="61415"/>
    <cellStyle name="SAPLocked 2 13 2 11" xfId="7535"/>
    <cellStyle name="SAPLocked 2 13 2 11 2" xfId="61416"/>
    <cellStyle name="SAPLocked 2 13 2 12" xfId="7536"/>
    <cellStyle name="SAPLocked 2 13 2 2" xfId="7537"/>
    <cellStyle name="SAPLocked 2 13 2 2 2" xfId="61417"/>
    <cellStyle name="SAPLocked 2 13 2 3" xfId="7538"/>
    <cellStyle name="SAPLocked 2 13 2 3 2" xfId="61418"/>
    <cellStyle name="SAPLocked 2 13 2 4" xfId="7539"/>
    <cellStyle name="SAPLocked 2 13 2 4 2" xfId="61419"/>
    <cellStyle name="SAPLocked 2 13 2 5" xfId="7540"/>
    <cellStyle name="SAPLocked 2 13 2 5 2" xfId="61420"/>
    <cellStyle name="SAPLocked 2 13 2 6" xfId="7541"/>
    <cellStyle name="SAPLocked 2 13 2 6 2" xfId="61421"/>
    <cellStyle name="SAPLocked 2 13 2 7" xfId="7542"/>
    <cellStyle name="SAPLocked 2 13 2 7 2" xfId="61422"/>
    <cellStyle name="SAPLocked 2 13 2 8" xfId="7543"/>
    <cellStyle name="SAPLocked 2 13 2 8 2" xfId="61423"/>
    <cellStyle name="SAPLocked 2 13 2 9" xfId="7544"/>
    <cellStyle name="SAPLocked 2 13 2 9 2" xfId="61424"/>
    <cellStyle name="SAPLocked 2 13 3" xfId="7545"/>
    <cellStyle name="SAPLocked 2 13 3 2" xfId="61425"/>
    <cellStyle name="SAPLocked 2 13 4" xfId="7546"/>
    <cellStyle name="SAPLocked 2 13 4 2" xfId="61426"/>
    <cellStyle name="SAPLocked 2 13 5" xfId="7547"/>
    <cellStyle name="SAPLocked 2 13 5 2" xfId="61427"/>
    <cellStyle name="SAPLocked 2 13 6" xfId="7548"/>
    <cellStyle name="SAPLocked 2 13 6 2" xfId="61428"/>
    <cellStyle name="SAPLocked 2 13 7" xfId="7549"/>
    <cellStyle name="SAPLocked 2 13 7 2" xfId="61429"/>
    <cellStyle name="SAPLocked 2 13 8" xfId="7550"/>
    <cellStyle name="SAPLocked 2 13 8 2" xfId="61430"/>
    <cellStyle name="SAPLocked 2 13 9" xfId="7551"/>
    <cellStyle name="SAPLocked 2 13 9 2" xfId="61431"/>
    <cellStyle name="SAPLocked 2 14" xfId="7552"/>
    <cellStyle name="SAPLocked 2 14 10" xfId="7553"/>
    <cellStyle name="SAPLocked 2 14 10 2" xfId="61432"/>
    <cellStyle name="SAPLocked 2 14 11" xfId="7554"/>
    <cellStyle name="SAPLocked 2 14 11 2" xfId="61433"/>
    <cellStyle name="SAPLocked 2 14 12" xfId="7555"/>
    <cellStyle name="SAPLocked 2 14 12 2" xfId="61434"/>
    <cellStyle name="SAPLocked 2 14 13" xfId="7556"/>
    <cellStyle name="SAPLocked 2 14 2" xfId="7557"/>
    <cellStyle name="SAPLocked 2 14 2 10" xfId="7558"/>
    <cellStyle name="SAPLocked 2 14 2 10 2" xfId="61435"/>
    <cellStyle name="SAPLocked 2 14 2 11" xfId="7559"/>
    <cellStyle name="SAPLocked 2 14 2 11 2" xfId="61436"/>
    <cellStyle name="SAPLocked 2 14 2 12" xfId="7560"/>
    <cellStyle name="SAPLocked 2 14 2 2" xfId="7561"/>
    <cellStyle name="SAPLocked 2 14 2 2 2" xfId="61437"/>
    <cellStyle name="SAPLocked 2 14 2 3" xfId="7562"/>
    <cellStyle name="SAPLocked 2 14 2 3 2" xfId="61438"/>
    <cellStyle name="SAPLocked 2 14 2 4" xfId="7563"/>
    <cellStyle name="SAPLocked 2 14 2 4 2" xfId="61439"/>
    <cellStyle name="SAPLocked 2 14 2 5" xfId="7564"/>
    <cellStyle name="SAPLocked 2 14 2 5 2" xfId="61440"/>
    <cellStyle name="SAPLocked 2 14 2 6" xfId="7565"/>
    <cellStyle name="SAPLocked 2 14 2 6 2" xfId="61441"/>
    <cellStyle name="SAPLocked 2 14 2 7" xfId="7566"/>
    <cellStyle name="SAPLocked 2 14 2 7 2" xfId="61442"/>
    <cellStyle name="SAPLocked 2 14 2 8" xfId="7567"/>
    <cellStyle name="SAPLocked 2 14 2 8 2" xfId="61443"/>
    <cellStyle name="SAPLocked 2 14 2 9" xfId="7568"/>
    <cellStyle name="SAPLocked 2 14 2 9 2" xfId="61444"/>
    <cellStyle name="SAPLocked 2 14 3" xfId="7569"/>
    <cellStyle name="SAPLocked 2 14 3 2" xfId="61445"/>
    <cellStyle name="SAPLocked 2 14 4" xfId="7570"/>
    <cellStyle name="SAPLocked 2 14 4 2" xfId="61446"/>
    <cellStyle name="SAPLocked 2 14 5" xfId="7571"/>
    <cellStyle name="SAPLocked 2 14 5 2" xfId="61447"/>
    <cellStyle name="SAPLocked 2 14 6" xfId="7572"/>
    <cellStyle name="SAPLocked 2 14 6 2" xfId="61448"/>
    <cellStyle name="SAPLocked 2 14 7" xfId="7573"/>
    <cellStyle name="SAPLocked 2 14 7 2" xfId="61449"/>
    <cellStyle name="SAPLocked 2 14 8" xfId="7574"/>
    <cellStyle name="SAPLocked 2 14 8 2" xfId="61450"/>
    <cellStyle name="SAPLocked 2 14 9" xfId="7575"/>
    <cellStyle name="SAPLocked 2 14 9 2" xfId="61451"/>
    <cellStyle name="SAPLocked 2 15" xfId="7576"/>
    <cellStyle name="SAPLocked 2 15 10" xfId="7577"/>
    <cellStyle name="SAPLocked 2 15 10 2" xfId="61452"/>
    <cellStyle name="SAPLocked 2 15 11" xfId="7578"/>
    <cellStyle name="SAPLocked 2 15 11 2" xfId="61453"/>
    <cellStyle name="SAPLocked 2 15 12" xfId="7579"/>
    <cellStyle name="SAPLocked 2 15 12 2" xfId="61454"/>
    <cellStyle name="SAPLocked 2 15 13" xfId="7580"/>
    <cellStyle name="SAPLocked 2 15 2" xfId="7581"/>
    <cellStyle name="SAPLocked 2 15 2 10" xfId="7582"/>
    <cellStyle name="SAPLocked 2 15 2 10 2" xfId="61455"/>
    <cellStyle name="SAPLocked 2 15 2 11" xfId="7583"/>
    <cellStyle name="SAPLocked 2 15 2 11 2" xfId="61456"/>
    <cellStyle name="SAPLocked 2 15 2 12" xfId="7584"/>
    <cellStyle name="SAPLocked 2 15 2 2" xfId="7585"/>
    <cellStyle name="SAPLocked 2 15 2 2 2" xfId="61457"/>
    <cellStyle name="SAPLocked 2 15 2 3" xfId="7586"/>
    <cellStyle name="SAPLocked 2 15 2 3 2" xfId="61458"/>
    <cellStyle name="SAPLocked 2 15 2 4" xfId="7587"/>
    <cellStyle name="SAPLocked 2 15 2 4 2" xfId="61459"/>
    <cellStyle name="SAPLocked 2 15 2 5" xfId="7588"/>
    <cellStyle name="SAPLocked 2 15 2 5 2" xfId="61460"/>
    <cellStyle name="SAPLocked 2 15 2 6" xfId="7589"/>
    <cellStyle name="SAPLocked 2 15 2 6 2" xfId="61461"/>
    <cellStyle name="SAPLocked 2 15 2 7" xfId="7590"/>
    <cellStyle name="SAPLocked 2 15 2 7 2" xfId="61462"/>
    <cellStyle name="SAPLocked 2 15 2 8" xfId="7591"/>
    <cellStyle name="SAPLocked 2 15 2 8 2" xfId="61463"/>
    <cellStyle name="SAPLocked 2 15 2 9" xfId="7592"/>
    <cellStyle name="SAPLocked 2 15 2 9 2" xfId="61464"/>
    <cellStyle name="SAPLocked 2 15 3" xfId="7593"/>
    <cellStyle name="SAPLocked 2 15 3 2" xfId="61465"/>
    <cellStyle name="SAPLocked 2 15 4" xfId="7594"/>
    <cellStyle name="SAPLocked 2 15 4 2" xfId="61466"/>
    <cellStyle name="SAPLocked 2 15 5" xfId="7595"/>
    <cellStyle name="SAPLocked 2 15 5 2" xfId="61467"/>
    <cellStyle name="SAPLocked 2 15 6" xfId="7596"/>
    <cellStyle name="SAPLocked 2 15 6 2" xfId="61468"/>
    <cellStyle name="SAPLocked 2 15 7" xfId="7597"/>
    <cellStyle name="SAPLocked 2 15 7 2" xfId="61469"/>
    <cellStyle name="SAPLocked 2 15 8" xfId="7598"/>
    <cellStyle name="SAPLocked 2 15 8 2" xfId="61470"/>
    <cellStyle name="SAPLocked 2 15 9" xfId="7599"/>
    <cellStyle name="SAPLocked 2 15 9 2" xfId="61471"/>
    <cellStyle name="SAPLocked 2 16" xfId="7600"/>
    <cellStyle name="SAPLocked 2 16 10" xfId="7601"/>
    <cellStyle name="SAPLocked 2 16 10 2" xfId="61472"/>
    <cellStyle name="SAPLocked 2 16 11" xfId="7602"/>
    <cellStyle name="SAPLocked 2 16 11 2" xfId="61473"/>
    <cellStyle name="SAPLocked 2 16 12" xfId="7603"/>
    <cellStyle name="SAPLocked 2 16 12 2" xfId="61474"/>
    <cellStyle name="SAPLocked 2 16 13" xfId="7604"/>
    <cellStyle name="SAPLocked 2 16 2" xfId="7605"/>
    <cellStyle name="SAPLocked 2 16 2 10" xfId="7606"/>
    <cellStyle name="SAPLocked 2 16 2 10 2" xfId="61475"/>
    <cellStyle name="SAPLocked 2 16 2 11" xfId="7607"/>
    <cellStyle name="SAPLocked 2 16 2 11 2" xfId="61476"/>
    <cellStyle name="SAPLocked 2 16 2 12" xfId="7608"/>
    <cellStyle name="SAPLocked 2 16 2 2" xfId="7609"/>
    <cellStyle name="SAPLocked 2 16 2 2 2" xfId="61477"/>
    <cellStyle name="SAPLocked 2 16 2 3" xfId="7610"/>
    <cellStyle name="SAPLocked 2 16 2 3 2" xfId="61478"/>
    <cellStyle name="SAPLocked 2 16 2 4" xfId="7611"/>
    <cellStyle name="SAPLocked 2 16 2 4 2" xfId="61479"/>
    <cellStyle name="SAPLocked 2 16 2 5" xfId="7612"/>
    <cellStyle name="SAPLocked 2 16 2 5 2" xfId="61480"/>
    <cellStyle name="SAPLocked 2 16 2 6" xfId="7613"/>
    <cellStyle name="SAPLocked 2 16 2 6 2" xfId="61481"/>
    <cellStyle name="SAPLocked 2 16 2 7" xfId="7614"/>
    <cellStyle name="SAPLocked 2 16 2 7 2" xfId="61482"/>
    <cellStyle name="SAPLocked 2 16 2 8" xfId="7615"/>
    <cellStyle name="SAPLocked 2 16 2 8 2" xfId="61483"/>
    <cellStyle name="SAPLocked 2 16 2 9" xfId="7616"/>
    <cellStyle name="SAPLocked 2 16 2 9 2" xfId="61484"/>
    <cellStyle name="SAPLocked 2 16 3" xfId="7617"/>
    <cellStyle name="SAPLocked 2 16 3 2" xfId="61485"/>
    <cellStyle name="SAPLocked 2 16 4" xfId="7618"/>
    <cellStyle name="SAPLocked 2 16 4 2" xfId="61486"/>
    <cellStyle name="SAPLocked 2 16 5" xfId="7619"/>
    <cellStyle name="SAPLocked 2 16 5 2" xfId="61487"/>
    <cellStyle name="SAPLocked 2 16 6" xfId="7620"/>
    <cellStyle name="SAPLocked 2 16 6 2" xfId="61488"/>
    <cellStyle name="SAPLocked 2 16 7" xfId="7621"/>
    <cellStyle name="SAPLocked 2 16 7 2" xfId="61489"/>
    <cellStyle name="SAPLocked 2 16 8" xfId="7622"/>
    <cellStyle name="SAPLocked 2 16 8 2" xfId="61490"/>
    <cellStyle name="SAPLocked 2 16 9" xfId="7623"/>
    <cellStyle name="SAPLocked 2 16 9 2" xfId="61491"/>
    <cellStyle name="SAPLocked 2 17" xfId="7624"/>
    <cellStyle name="SAPLocked 2 17 10" xfId="7625"/>
    <cellStyle name="SAPLocked 2 17 10 2" xfId="61492"/>
    <cellStyle name="SAPLocked 2 17 11" xfId="7626"/>
    <cellStyle name="SAPLocked 2 17 11 2" xfId="61493"/>
    <cellStyle name="SAPLocked 2 17 12" xfId="7627"/>
    <cellStyle name="SAPLocked 2 17 12 2" xfId="61494"/>
    <cellStyle name="SAPLocked 2 17 13" xfId="7628"/>
    <cellStyle name="SAPLocked 2 17 2" xfId="7629"/>
    <cellStyle name="SAPLocked 2 17 2 10" xfId="7630"/>
    <cellStyle name="SAPLocked 2 17 2 10 2" xfId="61495"/>
    <cellStyle name="SAPLocked 2 17 2 11" xfId="7631"/>
    <cellStyle name="SAPLocked 2 17 2 11 2" xfId="61496"/>
    <cellStyle name="SAPLocked 2 17 2 12" xfId="7632"/>
    <cellStyle name="SAPLocked 2 17 2 2" xfId="7633"/>
    <cellStyle name="SAPLocked 2 17 2 2 2" xfId="61497"/>
    <cellStyle name="SAPLocked 2 17 2 3" xfId="7634"/>
    <cellStyle name="SAPLocked 2 17 2 3 2" xfId="61498"/>
    <cellStyle name="SAPLocked 2 17 2 4" xfId="7635"/>
    <cellStyle name="SAPLocked 2 17 2 4 2" xfId="61499"/>
    <cellStyle name="SAPLocked 2 17 2 5" xfId="7636"/>
    <cellStyle name="SAPLocked 2 17 2 5 2" xfId="61500"/>
    <cellStyle name="SAPLocked 2 17 2 6" xfId="7637"/>
    <cellStyle name="SAPLocked 2 17 2 6 2" xfId="61501"/>
    <cellStyle name="SAPLocked 2 17 2 7" xfId="7638"/>
    <cellStyle name="SAPLocked 2 17 2 7 2" xfId="61502"/>
    <cellStyle name="SAPLocked 2 17 2 8" xfId="7639"/>
    <cellStyle name="SAPLocked 2 17 2 8 2" xfId="61503"/>
    <cellStyle name="SAPLocked 2 17 2 9" xfId="7640"/>
    <cellStyle name="SAPLocked 2 17 2 9 2" xfId="61504"/>
    <cellStyle name="SAPLocked 2 17 3" xfId="7641"/>
    <cellStyle name="SAPLocked 2 17 3 2" xfId="61505"/>
    <cellStyle name="SAPLocked 2 17 4" xfId="7642"/>
    <cellStyle name="SAPLocked 2 17 4 2" xfId="61506"/>
    <cellStyle name="SAPLocked 2 17 5" xfId="7643"/>
    <cellStyle name="SAPLocked 2 17 5 2" xfId="61507"/>
    <cellStyle name="SAPLocked 2 17 6" xfId="7644"/>
    <cellStyle name="SAPLocked 2 17 6 2" xfId="61508"/>
    <cellStyle name="SAPLocked 2 17 7" xfId="7645"/>
    <cellStyle name="SAPLocked 2 17 7 2" xfId="61509"/>
    <cellStyle name="SAPLocked 2 17 8" xfId="7646"/>
    <cellStyle name="SAPLocked 2 17 8 2" xfId="61510"/>
    <cellStyle name="SAPLocked 2 17 9" xfId="7647"/>
    <cellStyle name="SAPLocked 2 17 9 2" xfId="61511"/>
    <cellStyle name="SAPLocked 2 18" xfId="7648"/>
    <cellStyle name="SAPLocked 2 18 10" xfId="7649"/>
    <cellStyle name="SAPLocked 2 18 10 2" xfId="61512"/>
    <cellStyle name="SAPLocked 2 18 11" xfId="7650"/>
    <cellStyle name="SAPLocked 2 18 11 2" xfId="61513"/>
    <cellStyle name="SAPLocked 2 18 12" xfId="7651"/>
    <cellStyle name="SAPLocked 2 18 12 2" xfId="61514"/>
    <cellStyle name="SAPLocked 2 18 13" xfId="7652"/>
    <cellStyle name="SAPLocked 2 18 2" xfId="7653"/>
    <cellStyle name="SAPLocked 2 18 2 10" xfId="7654"/>
    <cellStyle name="SAPLocked 2 18 2 10 2" xfId="61515"/>
    <cellStyle name="SAPLocked 2 18 2 11" xfId="7655"/>
    <cellStyle name="SAPLocked 2 18 2 11 2" xfId="61516"/>
    <cellStyle name="SAPLocked 2 18 2 12" xfId="7656"/>
    <cellStyle name="SAPLocked 2 18 2 2" xfId="7657"/>
    <cellStyle name="SAPLocked 2 18 2 2 2" xfId="61517"/>
    <cellStyle name="SAPLocked 2 18 2 3" xfId="7658"/>
    <cellStyle name="SAPLocked 2 18 2 3 2" xfId="61518"/>
    <cellStyle name="SAPLocked 2 18 2 4" xfId="7659"/>
    <cellStyle name="SAPLocked 2 18 2 4 2" xfId="61519"/>
    <cellStyle name="SAPLocked 2 18 2 5" xfId="7660"/>
    <cellStyle name="SAPLocked 2 18 2 5 2" xfId="61520"/>
    <cellStyle name="SAPLocked 2 18 2 6" xfId="7661"/>
    <cellStyle name="SAPLocked 2 18 2 6 2" xfId="61521"/>
    <cellStyle name="SAPLocked 2 18 2 7" xfId="7662"/>
    <cellStyle name="SAPLocked 2 18 2 7 2" xfId="61522"/>
    <cellStyle name="SAPLocked 2 18 2 8" xfId="7663"/>
    <cellStyle name="SAPLocked 2 18 2 8 2" xfId="61523"/>
    <cellStyle name="SAPLocked 2 18 2 9" xfId="7664"/>
    <cellStyle name="SAPLocked 2 18 2 9 2" xfId="61524"/>
    <cellStyle name="SAPLocked 2 18 3" xfId="7665"/>
    <cellStyle name="SAPLocked 2 18 3 2" xfId="61525"/>
    <cellStyle name="SAPLocked 2 18 4" xfId="7666"/>
    <cellStyle name="SAPLocked 2 18 4 2" xfId="61526"/>
    <cellStyle name="SAPLocked 2 18 5" xfId="7667"/>
    <cellStyle name="SAPLocked 2 18 5 2" xfId="61527"/>
    <cellStyle name="SAPLocked 2 18 6" xfId="7668"/>
    <cellStyle name="SAPLocked 2 18 6 2" xfId="61528"/>
    <cellStyle name="SAPLocked 2 18 7" xfId="7669"/>
    <cellStyle name="SAPLocked 2 18 7 2" xfId="61529"/>
    <cellStyle name="SAPLocked 2 18 8" xfId="7670"/>
    <cellStyle name="SAPLocked 2 18 8 2" xfId="61530"/>
    <cellStyle name="SAPLocked 2 18 9" xfId="7671"/>
    <cellStyle name="SAPLocked 2 18 9 2" xfId="61531"/>
    <cellStyle name="SAPLocked 2 19" xfId="7672"/>
    <cellStyle name="SAPLocked 2 19 10" xfId="7673"/>
    <cellStyle name="SAPLocked 2 19 10 2" xfId="61532"/>
    <cellStyle name="SAPLocked 2 19 11" xfId="7674"/>
    <cellStyle name="SAPLocked 2 19 11 2" xfId="61533"/>
    <cellStyle name="SAPLocked 2 19 12" xfId="7675"/>
    <cellStyle name="SAPLocked 2 19 12 2" xfId="61534"/>
    <cellStyle name="SAPLocked 2 19 13" xfId="7676"/>
    <cellStyle name="SAPLocked 2 19 2" xfId="7677"/>
    <cellStyle name="SAPLocked 2 19 2 10" xfId="7678"/>
    <cellStyle name="SAPLocked 2 19 2 10 2" xfId="61535"/>
    <cellStyle name="SAPLocked 2 19 2 11" xfId="7679"/>
    <cellStyle name="SAPLocked 2 19 2 11 2" xfId="61536"/>
    <cellStyle name="SAPLocked 2 19 2 12" xfId="7680"/>
    <cellStyle name="SAPLocked 2 19 2 2" xfId="7681"/>
    <cellStyle name="SAPLocked 2 19 2 2 2" xfId="61537"/>
    <cellStyle name="SAPLocked 2 19 2 3" xfId="7682"/>
    <cellStyle name="SAPLocked 2 19 2 3 2" xfId="61538"/>
    <cellStyle name="SAPLocked 2 19 2 4" xfId="7683"/>
    <cellStyle name="SAPLocked 2 19 2 4 2" xfId="61539"/>
    <cellStyle name="SAPLocked 2 19 2 5" xfId="7684"/>
    <cellStyle name="SAPLocked 2 19 2 5 2" xfId="61540"/>
    <cellStyle name="SAPLocked 2 19 2 6" xfId="7685"/>
    <cellStyle name="SAPLocked 2 19 2 6 2" xfId="61541"/>
    <cellStyle name="SAPLocked 2 19 2 7" xfId="7686"/>
    <cellStyle name="SAPLocked 2 19 2 7 2" xfId="61542"/>
    <cellStyle name="SAPLocked 2 19 2 8" xfId="7687"/>
    <cellStyle name="SAPLocked 2 19 2 8 2" xfId="61543"/>
    <cellStyle name="SAPLocked 2 19 2 9" xfId="7688"/>
    <cellStyle name="SAPLocked 2 19 2 9 2" xfId="61544"/>
    <cellStyle name="SAPLocked 2 19 3" xfId="7689"/>
    <cellStyle name="SAPLocked 2 19 3 2" xfId="61545"/>
    <cellStyle name="SAPLocked 2 19 4" xfId="7690"/>
    <cellStyle name="SAPLocked 2 19 4 2" xfId="61546"/>
    <cellStyle name="SAPLocked 2 19 5" xfId="7691"/>
    <cellStyle name="SAPLocked 2 19 5 2" xfId="61547"/>
    <cellStyle name="SAPLocked 2 19 6" xfId="7692"/>
    <cellStyle name="SAPLocked 2 19 6 2" xfId="61548"/>
    <cellStyle name="SAPLocked 2 19 7" xfId="7693"/>
    <cellStyle name="SAPLocked 2 19 7 2" xfId="61549"/>
    <cellStyle name="SAPLocked 2 19 8" xfId="7694"/>
    <cellStyle name="SAPLocked 2 19 8 2" xfId="61550"/>
    <cellStyle name="SAPLocked 2 19 9" xfId="7695"/>
    <cellStyle name="SAPLocked 2 19 9 2" xfId="61551"/>
    <cellStyle name="SAPLocked 2 2" xfId="7696"/>
    <cellStyle name="SAPLocked 2 2 10" xfId="7697"/>
    <cellStyle name="SAPLocked 2 2 10 2" xfId="61552"/>
    <cellStyle name="SAPLocked 2 2 11" xfId="7698"/>
    <cellStyle name="SAPLocked 2 2 11 2" xfId="61553"/>
    <cellStyle name="SAPLocked 2 2 12" xfId="7699"/>
    <cellStyle name="SAPLocked 2 2 12 2" xfId="61554"/>
    <cellStyle name="SAPLocked 2 2 13" xfId="7700"/>
    <cellStyle name="SAPLocked 2 2 2" xfId="7701"/>
    <cellStyle name="SAPLocked 2 2 2 10" xfId="7702"/>
    <cellStyle name="SAPLocked 2 2 2 10 2" xfId="61555"/>
    <cellStyle name="SAPLocked 2 2 2 11" xfId="7703"/>
    <cellStyle name="SAPLocked 2 2 2 11 2" xfId="61556"/>
    <cellStyle name="SAPLocked 2 2 2 12" xfId="7704"/>
    <cellStyle name="SAPLocked 2 2 2 2" xfId="7705"/>
    <cellStyle name="SAPLocked 2 2 2 2 2" xfId="61557"/>
    <cellStyle name="SAPLocked 2 2 2 3" xfId="7706"/>
    <cellStyle name="SAPLocked 2 2 2 3 2" xfId="61558"/>
    <cellStyle name="SAPLocked 2 2 2 4" xfId="7707"/>
    <cellStyle name="SAPLocked 2 2 2 4 2" xfId="61559"/>
    <cellStyle name="SAPLocked 2 2 2 5" xfId="7708"/>
    <cellStyle name="SAPLocked 2 2 2 5 2" xfId="61560"/>
    <cellStyle name="SAPLocked 2 2 2 6" xfId="7709"/>
    <cellStyle name="SAPLocked 2 2 2 6 2" xfId="61561"/>
    <cellStyle name="SAPLocked 2 2 2 7" xfId="7710"/>
    <cellStyle name="SAPLocked 2 2 2 7 2" xfId="61562"/>
    <cellStyle name="SAPLocked 2 2 2 8" xfId="7711"/>
    <cellStyle name="SAPLocked 2 2 2 8 2" xfId="61563"/>
    <cellStyle name="SAPLocked 2 2 2 9" xfId="7712"/>
    <cellStyle name="SAPLocked 2 2 2 9 2" xfId="61564"/>
    <cellStyle name="SAPLocked 2 2 3" xfId="7713"/>
    <cellStyle name="SAPLocked 2 2 3 2" xfId="61565"/>
    <cellStyle name="SAPLocked 2 2 4" xfId="7714"/>
    <cellStyle name="SAPLocked 2 2 4 2" xfId="61566"/>
    <cellStyle name="SAPLocked 2 2 5" xfId="7715"/>
    <cellStyle name="SAPLocked 2 2 5 2" xfId="61567"/>
    <cellStyle name="SAPLocked 2 2 6" xfId="7716"/>
    <cellStyle name="SAPLocked 2 2 6 2" xfId="61568"/>
    <cellStyle name="SAPLocked 2 2 7" xfId="7717"/>
    <cellStyle name="SAPLocked 2 2 7 2" xfId="61569"/>
    <cellStyle name="SAPLocked 2 2 8" xfId="7718"/>
    <cellStyle name="SAPLocked 2 2 8 2" xfId="61570"/>
    <cellStyle name="SAPLocked 2 2 9" xfId="7719"/>
    <cellStyle name="SAPLocked 2 2 9 2" xfId="61571"/>
    <cellStyle name="SAPLocked 2 20" xfId="7720"/>
    <cellStyle name="SAPLocked 2 20 10" xfId="7721"/>
    <cellStyle name="SAPLocked 2 20 10 2" xfId="61572"/>
    <cellStyle name="SAPLocked 2 20 11" xfId="7722"/>
    <cellStyle name="SAPLocked 2 20 11 2" xfId="61573"/>
    <cellStyle name="SAPLocked 2 20 12" xfId="7723"/>
    <cellStyle name="SAPLocked 2 20 12 2" xfId="61574"/>
    <cellStyle name="SAPLocked 2 20 13" xfId="7724"/>
    <cellStyle name="SAPLocked 2 20 2" xfId="7725"/>
    <cellStyle name="SAPLocked 2 20 2 10" xfId="7726"/>
    <cellStyle name="SAPLocked 2 20 2 10 2" xfId="61575"/>
    <cellStyle name="SAPLocked 2 20 2 11" xfId="7727"/>
    <cellStyle name="SAPLocked 2 20 2 11 2" xfId="61576"/>
    <cellStyle name="SAPLocked 2 20 2 12" xfId="7728"/>
    <cellStyle name="SAPLocked 2 20 2 2" xfId="7729"/>
    <cellStyle name="SAPLocked 2 20 2 2 2" xfId="61577"/>
    <cellStyle name="SAPLocked 2 20 2 3" xfId="7730"/>
    <cellStyle name="SAPLocked 2 20 2 3 2" xfId="61578"/>
    <cellStyle name="SAPLocked 2 20 2 4" xfId="7731"/>
    <cellStyle name="SAPLocked 2 20 2 4 2" xfId="61579"/>
    <cellStyle name="SAPLocked 2 20 2 5" xfId="7732"/>
    <cellStyle name="SAPLocked 2 20 2 5 2" xfId="61580"/>
    <cellStyle name="SAPLocked 2 20 2 6" xfId="7733"/>
    <cellStyle name="SAPLocked 2 20 2 6 2" xfId="61581"/>
    <cellStyle name="SAPLocked 2 20 2 7" xfId="7734"/>
    <cellStyle name="SAPLocked 2 20 2 7 2" xfId="61582"/>
    <cellStyle name="SAPLocked 2 20 2 8" xfId="7735"/>
    <cellStyle name="SAPLocked 2 20 2 8 2" xfId="61583"/>
    <cellStyle name="SAPLocked 2 20 2 9" xfId="7736"/>
    <cellStyle name="SAPLocked 2 20 2 9 2" xfId="61584"/>
    <cellStyle name="SAPLocked 2 20 3" xfId="7737"/>
    <cellStyle name="SAPLocked 2 20 3 2" xfId="61585"/>
    <cellStyle name="SAPLocked 2 20 4" xfId="7738"/>
    <cellStyle name="SAPLocked 2 20 4 2" xfId="61586"/>
    <cellStyle name="SAPLocked 2 20 5" xfId="7739"/>
    <cellStyle name="SAPLocked 2 20 5 2" xfId="61587"/>
    <cellStyle name="SAPLocked 2 20 6" xfId="7740"/>
    <cellStyle name="SAPLocked 2 20 6 2" xfId="61588"/>
    <cellStyle name="SAPLocked 2 20 7" xfId="7741"/>
    <cellStyle name="SAPLocked 2 20 7 2" xfId="61589"/>
    <cellStyle name="SAPLocked 2 20 8" xfId="7742"/>
    <cellStyle name="SAPLocked 2 20 8 2" xfId="61590"/>
    <cellStyle name="SAPLocked 2 20 9" xfId="7743"/>
    <cellStyle name="SAPLocked 2 20 9 2" xfId="61591"/>
    <cellStyle name="SAPLocked 2 21" xfId="7744"/>
    <cellStyle name="SAPLocked 2 21 10" xfId="7745"/>
    <cellStyle name="SAPLocked 2 21 10 2" xfId="61592"/>
    <cellStyle name="SAPLocked 2 21 11" xfId="7746"/>
    <cellStyle name="SAPLocked 2 21 11 2" xfId="61593"/>
    <cellStyle name="SAPLocked 2 21 12" xfId="7747"/>
    <cellStyle name="SAPLocked 2 21 2" xfId="7748"/>
    <cellStyle name="SAPLocked 2 21 2 2" xfId="61594"/>
    <cellStyle name="SAPLocked 2 21 3" xfId="7749"/>
    <cellStyle name="SAPLocked 2 21 3 2" xfId="61595"/>
    <cellStyle name="SAPLocked 2 21 4" xfId="7750"/>
    <cellStyle name="SAPLocked 2 21 4 2" xfId="61596"/>
    <cellStyle name="SAPLocked 2 21 5" xfId="7751"/>
    <cellStyle name="SAPLocked 2 21 5 2" xfId="61597"/>
    <cellStyle name="SAPLocked 2 21 6" xfId="7752"/>
    <cellStyle name="SAPLocked 2 21 6 2" xfId="61598"/>
    <cellStyle name="SAPLocked 2 21 7" xfId="7753"/>
    <cellStyle name="SAPLocked 2 21 7 2" xfId="61599"/>
    <cellStyle name="SAPLocked 2 21 8" xfId="7754"/>
    <cellStyle name="SAPLocked 2 21 8 2" xfId="61600"/>
    <cellStyle name="SAPLocked 2 21 9" xfId="7755"/>
    <cellStyle name="SAPLocked 2 21 9 2" xfId="61601"/>
    <cellStyle name="SAPLocked 2 22" xfId="7756"/>
    <cellStyle name="SAPLocked 2 22 2" xfId="61602"/>
    <cellStyle name="SAPLocked 2 23" xfId="7757"/>
    <cellStyle name="SAPLocked 2 23 2" xfId="61603"/>
    <cellStyle name="SAPLocked 2 24" xfId="7758"/>
    <cellStyle name="SAPLocked 2 24 2" xfId="61604"/>
    <cellStyle name="SAPLocked 2 25" xfId="7759"/>
    <cellStyle name="SAPLocked 2 25 2" xfId="61605"/>
    <cellStyle name="SAPLocked 2 26" xfId="7760"/>
    <cellStyle name="SAPLocked 2 26 2" xfId="61606"/>
    <cellStyle name="SAPLocked 2 27" xfId="7761"/>
    <cellStyle name="SAPLocked 2 27 2" xfId="61607"/>
    <cellStyle name="SAPLocked 2 28" xfId="7762"/>
    <cellStyle name="SAPLocked 2 28 2" xfId="61608"/>
    <cellStyle name="SAPLocked 2 29" xfId="7763"/>
    <cellStyle name="SAPLocked 2 29 2" xfId="61609"/>
    <cellStyle name="SAPLocked 2 3" xfId="7764"/>
    <cellStyle name="SAPLocked 2 3 10" xfId="7765"/>
    <cellStyle name="SAPLocked 2 3 10 2" xfId="61610"/>
    <cellStyle name="SAPLocked 2 3 11" xfId="7766"/>
    <cellStyle name="SAPLocked 2 3 11 2" xfId="61611"/>
    <cellStyle name="SAPLocked 2 3 12" xfId="7767"/>
    <cellStyle name="SAPLocked 2 3 12 2" xfId="61612"/>
    <cellStyle name="SAPLocked 2 3 13" xfId="7768"/>
    <cellStyle name="SAPLocked 2 3 2" xfId="7769"/>
    <cellStyle name="SAPLocked 2 3 2 10" xfId="7770"/>
    <cellStyle name="SAPLocked 2 3 2 10 2" xfId="61613"/>
    <cellStyle name="SAPLocked 2 3 2 11" xfId="7771"/>
    <cellStyle name="SAPLocked 2 3 2 11 2" xfId="61614"/>
    <cellStyle name="SAPLocked 2 3 2 12" xfId="7772"/>
    <cellStyle name="SAPLocked 2 3 2 2" xfId="7773"/>
    <cellStyle name="SAPLocked 2 3 2 2 2" xfId="61615"/>
    <cellStyle name="SAPLocked 2 3 2 3" xfId="7774"/>
    <cellStyle name="SAPLocked 2 3 2 3 2" xfId="61616"/>
    <cellStyle name="SAPLocked 2 3 2 4" xfId="7775"/>
    <cellStyle name="SAPLocked 2 3 2 4 2" xfId="61617"/>
    <cellStyle name="SAPLocked 2 3 2 5" xfId="7776"/>
    <cellStyle name="SAPLocked 2 3 2 5 2" xfId="61618"/>
    <cellStyle name="SAPLocked 2 3 2 6" xfId="7777"/>
    <cellStyle name="SAPLocked 2 3 2 6 2" xfId="61619"/>
    <cellStyle name="SAPLocked 2 3 2 7" xfId="7778"/>
    <cellStyle name="SAPLocked 2 3 2 7 2" xfId="61620"/>
    <cellStyle name="SAPLocked 2 3 2 8" xfId="7779"/>
    <cellStyle name="SAPLocked 2 3 2 8 2" xfId="61621"/>
    <cellStyle name="SAPLocked 2 3 2 9" xfId="7780"/>
    <cellStyle name="SAPLocked 2 3 2 9 2" xfId="61622"/>
    <cellStyle name="SAPLocked 2 3 3" xfId="7781"/>
    <cellStyle name="SAPLocked 2 3 3 2" xfId="61623"/>
    <cellStyle name="SAPLocked 2 3 4" xfId="7782"/>
    <cellStyle name="SAPLocked 2 3 4 2" xfId="61624"/>
    <cellStyle name="SAPLocked 2 3 5" xfId="7783"/>
    <cellStyle name="SAPLocked 2 3 5 2" xfId="61625"/>
    <cellStyle name="SAPLocked 2 3 6" xfId="7784"/>
    <cellStyle name="SAPLocked 2 3 6 2" xfId="61626"/>
    <cellStyle name="SAPLocked 2 3 7" xfId="7785"/>
    <cellStyle name="SAPLocked 2 3 7 2" xfId="61627"/>
    <cellStyle name="SAPLocked 2 3 8" xfId="7786"/>
    <cellStyle name="SAPLocked 2 3 8 2" xfId="61628"/>
    <cellStyle name="SAPLocked 2 3 9" xfId="7787"/>
    <cellStyle name="SAPLocked 2 3 9 2" xfId="61629"/>
    <cellStyle name="SAPLocked 2 30" xfId="7788"/>
    <cellStyle name="SAPLocked 2 4" xfId="7789"/>
    <cellStyle name="SAPLocked 2 4 10" xfId="7790"/>
    <cellStyle name="SAPLocked 2 4 10 2" xfId="61630"/>
    <cellStyle name="SAPLocked 2 4 11" xfId="7791"/>
    <cellStyle name="SAPLocked 2 4 11 2" xfId="61631"/>
    <cellStyle name="SAPLocked 2 4 12" xfId="7792"/>
    <cellStyle name="SAPLocked 2 4 12 2" xfId="61632"/>
    <cellStyle name="SAPLocked 2 4 13" xfId="7793"/>
    <cellStyle name="SAPLocked 2 4 2" xfId="7794"/>
    <cellStyle name="SAPLocked 2 4 2 10" xfId="7795"/>
    <cellStyle name="SAPLocked 2 4 2 10 2" xfId="61633"/>
    <cellStyle name="SAPLocked 2 4 2 11" xfId="7796"/>
    <cellStyle name="SAPLocked 2 4 2 11 2" xfId="61634"/>
    <cellStyle name="SAPLocked 2 4 2 12" xfId="7797"/>
    <cellStyle name="SAPLocked 2 4 2 2" xfId="7798"/>
    <cellStyle name="SAPLocked 2 4 2 2 2" xfId="61635"/>
    <cellStyle name="SAPLocked 2 4 2 3" xfId="7799"/>
    <cellStyle name="SAPLocked 2 4 2 3 2" xfId="61636"/>
    <cellStyle name="SAPLocked 2 4 2 4" xfId="7800"/>
    <cellStyle name="SAPLocked 2 4 2 4 2" xfId="61637"/>
    <cellStyle name="SAPLocked 2 4 2 5" xfId="7801"/>
    <cellStyle name="SAPLocked 2 4 2 5 2" xfId="61638"/>
    <cellStyle name="SAPLocked 2 4 2 6" xfId="7802"/>
    <cellStyle name="SAPLocked 2 4 2 6 2" xfId="61639"/>
    <cellStyle name="SAPLocked 2 4 2 7" xfId="7803"/>
    <cellStyle name="SAPLocked 2 4 2 7 2" xfId="61640"/>
    <cellStyle name="SAPLocked 2 4 2 8" xfId="7804"/>
    <cellStyle name="SAPLocked 2 4 2 8 2" xfId="61641"/>
    <cellStyle name="SAPLocked 2 4 2 9" xfId="7805"/>
    <cellStyle name="SAPLocked 2 4 2 9 2" xfId="61642"/>
    <cellStyle name="SAPLocked 2 4 3" xfId="7806"/>
    <cellStyle name="SAPLocked 2 4 3 2" xfId="61643"/>
    <cellStyle name="SAPLocked 2 4 4" xfId="7807"/>
    <cellStyle name="SAPLocked 2 4 4 2" xfId="61644"/>
    <cellStyle name="SAPLocked 2 4 5" xfId="7808"/>
    <cellStyle name="SAPLocked 2 4 5 2" xfId="61645"/>
    <cellStyle name="SAPLocked 2 4 6" xfId="7809"/>
    <cellStyle name="SAPLocked 2 4 6 2" xfId="61646"/>
    <cellStyle name="SAPLocked 2 4 7" xfId="7810"/>
    <cellStyle name="SAPLocked 2 4 7 2" xfId="61647"/>
    <cellStyle name="SAPLocked 2 4 8" xfId="7811"/>
    <cellStyle name="SAPLocked 2 4 8 2" xfId="61648"/>
    <cellStyle name="SAPLocked 2 4 9" xfId="7812"/>
    <cellStyle name="SAPLocked 2 4 9 2" xfId="61649"/>
    <cellStyle name="SAPLocked 2 5" xfId="7813"/>
    <cellStyle name="SAPLocked 2 5 10" xfId="7814"/>
    <cellStyle name="SAPLocked 2 5 10 2" xfId="61650"/>
    <cellStyle name="SAPLocked 2 5 11" xfId="7815"/>
    <cellStyle name="SAPLocked 2 5 11 2" xfId="61651"/>
    <cellStyle name="SAPLocked 2 5 12" xfId="7816"/>
    <cellStyle name="SAPLocked 2 5 12 2" xfId="61652"/>
    <cellStyle name="SAPLocked 2 5 13" xfId="7817"/>
    <cellStyle name="SAPLocked 2 5 2" xfId="7818"/>
    <cellStyle name="SAPLocked 2 5 2 10" xfId="7819"/>
    <cellStyle name="SAPLocked 2 5 2 10 2" xfId="61653"/>
    <cellStyle name="SAPLocked 2 5 2 11" xfId="7820"/>
    <cellStyle name="SAPLocked 2 5 2 11 2" xfId="61654"/>
    <cellStyle name="SAPLocked 2 5 2 12" xfId="7821"/>
    <cellStyle name="SAPLocked 2 5 2 2" xfId="7822"/>
    <cellStyle name="SAPLocked 2 5 2 2 2" xfId="61655"/>
    <cellStyle name="SAPLocked 2 5 2 3" xfId="7823"/>
    <cellStyle name="SAPLocked 2 5 2 3 2" xfId="61656"/>
    <cellStyle name="SAPLocked 2 5 2 4" xfId="7824"/>
    <cellStyle name="SAPLocked 2 5 2 4 2" xfId="61657"/>
    <cellStyle name="SAPLocked 2 5 2 5" xfId="7825"/>
    <cellStyle name="SAPLocked 2 5 2 5 2" xfId="61658"/>
    <cellStyle name="SAPLocked 2 5 2 6" xfId="7826"/>
    <cellStyle name="SAPLocked 2 5 2 6 2" xfId="61659"/>
    <cellStyle name="SAPLocked 2 5 2 7" xfId="7827"/>
    <cellStyle name="SAPLocked 2 5 2 7 2" xfId="61660"/>
    <cellStyle name="SAPLocked 2 5 2 8" xfId="7828"/>
    <cellStyle name="SAPLocked 2 5 2 8 2" xfId="61661"/>
    <cellStyle name="SAPLocked 2 5 2 9" xfId="7829"/>
    <cellStyle name="SAPLocked 2 5 2 9 2" xfId="61662"/>
    <cellStyle name="SAPLocked 2 5 3" xfId="7830"/>
    <cellStyle name="SAPLocked 2 5 3 2" xfId="61663"/>
    <cellStyle name="SAPLocked 2 5 4" xfId="7831"/>
    <cellStyle name="SAPLocked 2 5 4 2" xfId="61664"/>
    <cellStyle name="SAPLocked 2 5 5" xfId="7832"/>
    <cellStyle name="SAPLocked 2 5 5 2" xfId="61665"/>
    <cellStyle name="SAPLocked 2 5 6" xfId="7833"/>
    <cellStyle name="SAPLocked 2 5 6 2" xfId="61666"/>
    <cellStyle name="SAPLocked 2 5 7" xfId="7834"/>
    <cellStyle name="SAPLocked 2 5 7 2" xfId="61667"/>
    <cellStyle name="SAPLocked 2 5 8" xfId="7835"/>
    <cellStyle name="SAPLocked 2 5 8 2" xfId="61668"/>
    <cellStyle name="SAPLocked 2 5 9" xfId="7836"/>
    <cellStyle name="SAPLocked 2 5 9 2" xfId="61669"/>
    <cellStyle name="SAPLocked 2 6" xfId="7837"/>
    <cellStyle name="SAPLocked 2 6 10" xfId="7838"/>
    <cellStyle name="SAPLocked 2 6 10 2" xfId="61670"/>
    <cellStyle name="SAPLocked 2 6 11" xfId="7839"/>
    <cellStyle name="SAPLocked 2 6 11 2" xfId="61671"/>
    <cellStyle name="SAPLocked 2 6 12" xfId="7840"/>
    <cellStyle name="SAPLocked 2 6 12 2" xfId="61672"/>
    <cellStyle name="SAPLocked 2 6 13" xfId="7841"/>
    <cellStyle name="SAPLocked 2 6 2" xfId="7842"/>
    <cellStyle name="SAPLocked 2 6 2 10" xfId="7843"/>
    <cellStyle name="SAPLocked 2 6 2 10 2" xfId="61673"/>
    <cellStyle name="SAPLocked 2 6 2 11" xfId="7844"/>
    <cellStyle name="SAPLocked 2 6 2 11 2" xfId="61674"/>
    <cellStyle name="SAPLocked 2 6 2 12" xfId="7845"/>
    <cellStyle name="SAPLocked 2 6 2 2" xfId="7846"/>
    <cellStyle name="SAPLocked 2 6 2 2 2" xfId="61675"/>
    <cellStyle name="SAPLocked 2 6 2 3" xfId="7847"/>
    <cellStyle name="SAPLocked 2 6 2 3 2" xfId="61676"/>
    <cellStyle name="SAPLocked 2 6 2 4" xfId="7848"/>
    <cellStyle name="SAPLocked 2 6 2 4 2" xfId="61677"/>
    <cellStyle name="SAPLocked 2 6 2 5" xfId="7849"/>
    <cellStyle name="SAPLocked 2 6 2 5 2" xfId="61678"/>
    <cellStyle name="SAPLocked 2 6 2 6" xfId="7850"/>
    <cellStyle name="SAPLocked 2 6 2 6 2" xfId="61679"/>
    <cellStyle name="SAPLocked 2 6 2 7" xfId="7851"/>
    <cellStyle name="SAPLocked 2 6 2 7 2" xfId="61680"/>
    <cellStyle name="SAPLocked 2 6 2 8" xfId="7852"/>
    <cellStyle name="SAPLocked 2 6 2 8 2" xfId="61681"/>
    <cellStyle name="SAPLocked 2 6 2 9" xfId="7853"/>
    <cellStyle name="SAPLocked 2 6 2 9 2" xfId="61682"/>
    <cellStyle name="SAPLocked 2 6 3" xfId="7854"/>
    <cellStyle name="SAPLocked 2 6 3 2" xfId="61683"/>
    <cellStyle name="SAPLocked 2 6 4" xfId="7855"/>
    <cellStyle name="SAPLocked 2 6 4 2" xfId="61684"/>
    <cellStyle name="SAPLocked 2 6 5" xfId="7856"/>
    <cellStyle name="SAPLocked 2 6 5 2" xfId="61685"/>
    <cellStyle name="SAPLocked 2 6 6" xfId="7857"/>
    <cellStyle name="SAPLocked 2 6 6 2" xfId="61686"/>
    <cellStyle name="SAPLocked 2 6 7" xfId="7858"/>
    <cellStyle name="SAPLocked 2 6 7 2" xfId="61687"/>
    <cellStyle name="SAPLocked 2 6 8" xfId="7859"/>
    <cellStyle name="SAPLocked 2 6 8 2" xfId="61688"/>
    <cellStyle name="SAPLocked 2 6 9" xfId="7860"/>
    <cellStyle name="SAPLocked 2 6 9 2" xfId="61689"/>
    <cellStyle name="SAPLocked 2 7" xfId="7861"/>
    <cellStyle name="SAPLocked 2 7 10" xfId="7862"/>
    <cellStyle name="SAPLocked 2 7 10 2" xfId="61690"/>
    <cellStyle name="SAPLocked 2 7 11" xfId="7863"/>
    <cellStyle name="SAPLocked 2 7 11 2" xfId="61691"/>
    <cellStyle name="SAPLocked 2 7 12" xfId="7864"/>
    <cellStyle name="SAPLocked 2 7 12 2" xfId="61692"/>
    <cellStyle name="SAPLocked 2 7 13" xfId="7865"/>
    <cellStyle name="SAPLocked 2 7 2" xfId="7866"/>
    <cellStyle name="SAPLocked 2 7 2 10" xfId="7867"/>
    <cellStyle name="SAPLocked 2 7 2 10 2" xfId="61693"/>
    <cellStyle name="SAPLocked 2 7 2 11" xfId="7868"/>
    <cellStyle name="SAPLocked 2 7 2 11 2" xfId="61694"/>
    <cellStyle name="SAPLocked 2 7 2 12" xfId="7869"/>
    <cellStyle name="SAPLocked 2 7 2 2" xfId="7870"/>
    <cellStyle name="SAPLocked 2 7 2 2 2" xfId="61695"/>
    <cellStyle name="SAPLocked 2 7 2 3" xfId="7871"/>
    <cellStyle name="SAPLocked 2 7 2 3 2" xfId="61696"/>
    <cellStyle name="SAPLocked 2 7 2 4" xfId="7872"/>
    <cellStyle name="SAPLocked 2 7 2 4 2" xfId="61697"/>
    <cellStyle name="SAPLocked 2 7 2 5" xfId="7873"/>
    <cellStyle name="SAPLocked 2 7 2 5 2" xfId="61698"/>
    <cellStyle name="SAPLocked 2 7 2 6" xfId="7874"/>
    <cellStyle name="SAPLocked 2 7 2 6 2" xfId="61699"/>
    <cellStyle name="SAPLocked 2 7 2 7" xfId="7875"/>
    <cellStyle name="SAPLocked 2 7 2 7 2" xfId="61700"/>
    <cellStyle name="SAPLocked 2 7 2 8" xfId="7876"/>
    <cellStyle name="SAPLocked 2 7 2 8 2" xfId="61701"/>
    <cellStyle name="SAPLocked 2 7 2 9" xfId="7877"/>
    <cellStyle name="SAPLocked 2 7 2 9 2" xfId="61702"/>
    <cellStyle name="SAPLocked 2 7 3" xfId="7878"/>
    <cellStyle name="SAPLocked 2 7 3 2" xfId="61703"/>
    <cellStyle name="SAPLocked 2 7 4" xfId="7879"/>
    <cellStyle name="SAPLocked 2 7 4 2" xfId="61704"/>
    <cellStyle name="SAPLocked 2 7 5" xfId="7880"/>
    <cellStyle name="SAPLocked 2 7 5 2" xfId="61705"/>
    <cellStyle name="SAPLocked 2 7 6" xfId="7881"/>
    <cellStyle name="SAPLocked 2 7 6 2" xfId="61706"/>
    <cellStyle name="SAPLocked 2 7 7" xfId="7882"/>
    <cellStyle name="SAPLocked 2 7 7 2" xfId="61707"/>
    <cellStyle name="SAPLocked 2 7 8" xfId="7883"/>
    <cellStyle name="SAPLocked 2 7 8 2" xfId="61708"/>
    <cellStyle name="SAPLocked 2 7 9" xfId="7884"/>
    <cellStyle name="SAPLocked 2 7 9 2" xfId="61709"/>
    <cellStyle name="SAPLocked 2 8" xfId="7885"/>
    <cellStyle name="SAPLocked 2 8 10" xfId="7886"/>
    <cellStyle name="SAPLocked 2 8 10 2" xfId="61710"/>
    <cellStyle name="SAPLocked 2 8 11" xfId="7887"/>
    <cellStyle name="SAPLocked 2 8 11 2" xfId="61711"/>
    <cellStyle name="SAPLocked 2 8 12" xfId="7888"/>
    <cellStyle name="SAPLocked 2 8 12 2" xfId="61712"/>
    <cellStyle name="SAPLocked 2 8 13" xfId="7889"/>
    <cellStyle name="SAPLocked 2 8 2" xfId="7890"/>
    <cellStyle name="SAPLocked 2 8 2 10" xfId="7891"/>
    <cellStyle name="SAPLocked 2 8 2 10 2" xfId="61713"/>
    <cellStyle name="SAPLocked 2 8 2 11" xfId="7892"/>
    <cellStyle name="SAPLocked 2 8 2 11 2" xfId="61714"/>
    <cellStyle name="SAPLocked 2 8 2 12" xfId="7893"/>
    <cellStyle name="SAPLocked 2 8 2 2" xfId="7894"/>
    <cellStyle name="SAPLocked 2 8 2 2 2" xfId="61715"/>
    <cellStyle name="SAPLocked 2 8 2 3" xfId="7895"/>
    <cellStyle name="SAPLocked 2 8 2 3 2" xfId="61716"/>
    <cellStyle name="SAPLocked 2 8 2 4" xfId="7896"/>
    <cellStyle name="SAPLocked 2 8 2 4 2" xfId="61717"/>
    <cellStyle name="SAPLocked 2 8 2 5" xfId="7897"/>
    <cellStyle name="SAPLocked 2 8 2 5 2" xfId="61718"/>
    <cellStyle name="SAPLocked 2 8 2 6" xfId="7898"/>
    <cellStyle name="SAPLocked 2 8 2 6 2" xfId="61719"/>
    <cellStyle name="SAPLocked 2 8 2 7" xfId="7899"/>
    <cellStyle name="SAPLocked 2 8 2 7 2" xfId="61720"/>
    <cellStyle name="SAPLocked 2 8 2 8" xfId="7900"/>
    <cellStyle name="SAPLocked 2 8 2 8 2" xfId="61721"/>
    <cellStyle name="SAPLocked 2 8 2 9" xfId="7901"/>
    <cellStyle name="SAPLocked 2 8 2 9 2" xfId="61722"/>
    <cellStyle name="SAPLocked 2 8 3" xfId="7902"/>
    <cellStyle name="SAPLocked 2 8 3 2" xfId="61723"/>
    <cellStyle name="SAPLocked 2 8 4" xfId="7903"/>
    <cellStyle name="SAPLocked 2 8 4 2" xfId="61724"/>
    <cellStyle name="SAPLocked 2 8 5" xfId="7904"/>
    <cellStyle name="SAPLocked 2 8 5 2" xfId="61725"/>
    <cellStyle name="SAPLocked 2 8 6" xfId="7905"/>
    <cellStyle name="SAPLocked 2 8 6 2" xfId="61726"/>
    <cellStyle name="SAPLocked 2 8 7" xfId="7906"/>
    <cellStyle name="SAPLocked 2 8 7 2" xfId="61727"/>
    <cellStyle name="SAPLocked 2 8 8" xfId="7907"/>
    <cellStyle name="SAPLocked 2 8 8 2" xfId="61728"/>
    <cellStyle name="SAPLocked 2 8 9" xfId="7908"/>
    <cellStyle name="SAPLocked 2 8 9 2" xfId="61729"/>
    <cellStyle name="SAPLocked 2 9" xfId="7909"/>
    <cellStyle name="SAPLocked 2 9 10" xfId="7910"/>
    <cellStyle name="SAPLocked 2 9 10 2" xfId="61730"/>
    <cellStyle name="SAPLocked 2 9 11" xfId="7911"/>
    <cellStyle name="SAPLocked 2 9 11 2" xfId="61731"/>
    <cellStyle name="SAPLocked 2 9 12" xfId="7912"/>
    <cellStyle name="SAPLocked 2 9 12 2" xfId="61732"/>
    <cellStyle name="SAPLocked 2 9 13" xfId="7913"/>
    <cellStyle name="SAPLocked 2 9 2" xfId="7914"/>
    <cellStyle name="SAPLocked 2 9 2 10" xfId="7915"/>
    <cellStyle name="SAPLocked 2 9 2 10 2" xfId="61733"/>
    <cellStyle name="SAPLocked 2 9 2 11" xfId="7916"/>
    <cellStyle name="SAPLocked 2 9 2 11 2" xfId="61734"/>
    <cellStyle name="SAPLocked 2 9 2 12" xfId="7917"/>
    <cellStyle name="SAPLocked 2 9 2 2" xfId="7918"/>
    <cellStyle name="SAPLocked 2 9 2 2 2" xfId="61735"/>
    <cellStyle name="SAPLocked 2 9 2 3" xfId="7919"/>
    <cellStyle name="SAPLocked 2 9 2 3 2" xfId="61736"/>
    <cellStyle name="SAPLocked 2 9 2 4" xfId="7920"/>
    <cellStyle name="SAPLocked 2 9 2 4 2" xfId="61737"/>
    <cellStyle name="SAPLocked 2 9 2 5" xfId="7921"/>
    <cellStyle name="SAPLocked 2 9 2 5 2" xfId="61738"/>
    <cellStyle name="SAPLocked 2 9 2 6" xfId="7922"/>
    <cellStyle name="SAPLocked 2 9 2 6 2" xfId="61739"/>
    <cellStyle name="SAPLocked 2 9 2 7" xfId="7923"/>
    <cellStyle name="SAPLocked 2 9 2 7 2" xfId="61740"/>
    <cellStyle name="SAPLocked 2 9 2 8" xfId="7924"/>
    <cellStyle name="SAPLocked 2 9 2 8 2" xfId="61741"/>
    <cellStyle name="SAPLocked 2 9 2 9" xfId="7925"/>
    <cellStyle name="SAPLocked 2 9 2 9 2" xfId="61742"/>
    <cellStyle name="SAPLocked 2 9 3" xfId="7926"/>
    <cellStyle name="SAPLocked 2 9 3 2" xfId="61743"/>
    <cellStyle name="SAPLocked 2 9 4" xfId="7927"/>
    <cellStyle name="SAPLocked 2 9 4 2" xfId="61744"/>
    <cellStyle name="SAPLocked 2 9 5" xfId="7928"/>
    <cellStyle name="SAPLocked 2 9 5 2" xfId="61745"/>
    <cellStyle name="SAPLocked 2 9 6" xfId="7929"/>
    <cellStyle name="SAPLocked 2 9 6 2" xfId="61746"/>
    <cellStyle name="SAPLocked 2 9 7" xfId="7930"/>
    <cellStyle name="SAPLocked 2 9 7 2" xfId="61747"/>
    <cellStyle name="SAPLocked 2 9 8" xfId="7931"/>
    <cellStyle name="SAPLocked 2 9 8 2" xfId="61748"/>
    <cellStyle name="SAPLocked 2 9 9" xfId="7932"/>
    <cellStyle name="SAPLocked 2 9 9 2" xfId="61749"/>
    <cellStyle name="SAPLocked 20" xfId="7933"/>
    <cellStyle name="SAPLocked 20 10" xfId="7934"/>
    <cellStyle name="SAPLocked 20 10 2" xfId="61750"/>
    <cellStyle name="SAPLocked 20 11" xfId="7935"/>
    <cellStyle name="SAPLocked 20 11 2" xfId="61751"/>
    <cellStyle name="SAPLocked 20 12" xfId="7936"/>
    <cellStyle name="SAPLocked 20 12 2" xfId="61752"/>
    <cellStyle name="SAPLocked 20 13" xfId="7937"/>
    <cellStyle name="SAPLocked 20 2" xfId="7938"/>
    <cellStyle name="SAPLocked 20 2 10" xfId="7939"/>
    <cellStyle name="SAPLocked 20 2 10 2" xfId="61753"/>
    <cellStyle name="SAPLocked 20 2 11" xfId="7940"/>
    <cellStyle name="SAPLocked 20 2 11 2" xfId="61754"/>
    <cellStyle name="SAPLocked 20 2 12" xfId="7941"/>
    <cellStyle name="SAPLocked 20 2 2" xfId="7942"/>
    <cellStyle name="SAPLocked 20 2 2 2" xfId="61755"/>
    <cellStyle name="SAPLocked 20 2 3" xfId="7943"/>
    <cellStyle name="SAPLocked 20 2 3 2" xfId="61756"/>
    <cellStyle name="SAPLocked 20 2 4" xfId="7944"/>
    <cellStyle name="SAPLocked 20 2 4 2" xfId="61757"/>
    <cellStyle name="SAPLocked 20 2 5" xfId="7945"/>
    <cellStyle name="SAPLocked 20 2 5 2" xfId="61758"/>
    <cellStyle name="SAPLocked 20 2 6" xfId="7946"/>
    <cellStyle name="SAPLocked 20 2 6 2" xfId="61759"/>
    <cellStyle name="SAPLocked 20 2 7" xfId="7947"/>
    <cellStyle name="SAPLocked 20 2 7 2" xfId="61760"/>
    <cellStyle name="SAPLocked 20 2 8" xfId="7948"/>
    <cellStyle name="SAPLocked 20 2 8 2" xfId="61761"/>
    <cellStyle name="SAPLocked 20 2 9" xfId="7949"/>
    <cellStyle name="SAPLocked 20 2 9 2" xfId="61762"/>
    <cellStyle name="SAPLocked 20 3" xfId="7950"/>
    <cellStyle name="SAPLocked 20 3 2" xfId="61763"/>
    <cellStyle name="SAPLocked 20 4" xfId="7951"/>
    <cellStyle name="SAPLocked 20 4 2" xfId="61764"/>
    <cellStyle name="SAPLocked 20 5" xfId="7952"/>
    <cellStyle name="SAPLocked 20 5 2" xfId="61765"/>
    <cellStyle name="SAPLocked 20 6" xfId="7953"/>
    <cellStyle name="SAPLocked 20 6 2" xfId="61766"/>
    <cellStyle name="SAPLocked 20 7" xfId="7954"/>
    <cellStyle name="SAPLocked 20 7 2" xfId="61767"/>
    <cellStyle name="SAPLocked 20 8" xfId="7955"/>
    <cellStyle name="SAPLocked 20 8 2" xfId="61768"/>
    <cellStyle name="SAPLocked 20 9" xfId="7956"/>
    <cellStyle name="SAPLocked 20 9 2" xfId="61769"/>
    <cellStyle name="SAPLocked 21" xfId="7957"/>
    <cellStyle name="SAPLocked 21 10" xfId="7958"/>
    <cellStyle name="SAPLocked 21 10 2" xfId="61770"/>
    <cellStyle name="SAPLocked 21 11" xfId="7959"/>
    <cellStyle name="SAPLocked 21 11 2" xfId="61771"/>
    <cellStyle name="SAPLocked 21 12" xfId="7960"/>
    <cellStyle name="SAPLocked 21 12 2" xfId="61772"/>
    <cellStyle name="SAPLocked 21 13" xfId="7961"/>
    <cellStyle name="SAPLocked 21 2" xfId="7962"/>
    <cellStyle name="SAPLocked 21 2 10" xfId="7963"/>
    <cellStyle name="SAPLocked 21 2 10 2" xfId="61773"/>
    <cellStyle name="SAPLocked 21 2 11" xfId="7964"/>
    <cellStyle name="SAPLocked 21 2 11 2" xfId="61774"/>
    <cellStyle name="SAPLocked 21 2 12" xfId="7965"/>
    <cellStyle name="SAPLocked 21 2 2" xfId="7966"/>
    <cellStyle name="SAPLocked 21 2 2 2" xfId="61775"/>
    <cellStyle name="SAPLocked 21 2 3" xfId="7967"/>
    <cellStyle name="SAPLocked 21 2 3 2" xfId="61776"/>
    <cellStyle name="SAPLocked 21 2 4" xfId="7968"/>
    <cellStyle name="SAPLocked 21 2 4 2" xfId="61777"/>
    <cellStyle name="SAPLocked 21 2 5" xfId="7969"/>
    <cellStyle name="SAPLocked 21 2 5 2" xfId="61778"/>
    <cellStyle name="SAPLocked 21 2 6" xfId="7970"/>
    <cellStyle name="SAPLocked 21 2 6 2" xfId="61779"/>
    <cellStyle name="SAPLocked 21 2 7" xfId="7971"/>
    <cellStyle name="SAPLocked 21 2 7 2" xfId="61780"/>
    <cellStyle name="SAPLocked 21 2 8" xfId="7972"/>
    <cellStyle name="SAPLocked 21 2 8 2" xfId="61781"/>
    <cellStyle name="SAPLocked 21 2 9" xfId="7973"/>
    <cellStyle name="SAPLocked 21 2 9 2" xfId="61782"/>
    <cellStyle name="SAPLocked 21 3" xfId="7974"/>
    <cellStyle name="SAPLocked 21 3 2" xfId="61783"/>
    <cellStyle name="SAPLocked 21 4" xfId="7975"/>
    <cellStyle name="SAPLocked 21 4 2" xfId="61784"/>
    <cellStyle name="SAPLocked 21 5" xfId="7976"/>
    <cellStyle name="SAPLocked 21 5 2" xfId="61785"/>
    <cellStyle name="SAPLocked 21 6" xfId="7977"/>
    <cellStyle name="SAPLocked 21 6 2" xfId="61786"/>
    <cellStyle name="SAPLocked 21 7" xfId="7978"/>
    <cellStyle name="SAPLocked 21 7 2" xfId="61787"/>
    <cellStyle name="SAPLocked 21 8" xfId="7979"/>
    <cellStyle name="SAPLocked 21 8 2" xfId="61788"/>
    <cellStyle name="SAPLocked 21 9" xfId="7980"/>
    <cellStyle name="SAPLocked 21 9 2" xfId="61789"/>
    <cellStyle name="SAPLocked 22" xfId="7981"/>
    <cellStyle name="SAPLocked 22 10" xfId="7982"/>
    <cellStyle name="SAPLocked 22 10 2" xfId="61790"/>
    <cellStyle name="SAPLocked 22 11" xfId="7983"/>
    <cellStyle name="SAPLocked 22 11 2" xfId="61791"/>
    <cellStyle name="SAPLocked 22 12" xfId="7984"/>
    <cellStyle name="SAPLocked 22 2" xfId="7985"/>
    <cellStyle name="SAPLocked 22 2 2" xfId="61792"/>
    <cellStyle name="SAPLocked 22 3" xfId="7986"/>
    <cellStyle name="SAPLocked 22 3 2" xfId="61793"/>
    <cellStyle name="SAPLocked 22 4" xfId="7987"/>
    <cellStyle name="SAPLocked 22 4 2" xfId="61794"/>
    <cellStyle name="SAPLocked 22 5" xfId="7988"/>
    <cellStyle name="SAPLocked 22 5 2" xfId="61795"/>
    <cellStyle name="SAPLocked 22 6" xfId="7989"/>
    <cellStyle name="SAPLocked 22 6 2" xfId="61796"/>
    <cellStyle name="SAPLocked 22 7" xfId="7990"/>
    <cellStyle name="SAPLocked 22 7 2" xfId="61797"/>
    <cellStyle name="SAPLocked 22 8" xfId="7991"/>
    <cellStyle name="SAPLocked 22 8 2" xfId="61798"/>
    <cellStyle name="SAPLocked 22 9" xfId="7992"/>
    <cellStyle name="SAPLocked 22 9 2" xfId="61799"/>
    <cellStyle name="SAPLocked 23" xfId="7993"/>
    <cellStyle name="SAPLocked 23 2" xfId="61800"/>
    <cellStyle name="SAPLocked 24" xfId="7994"/>
    <cellStyle name="SAPLocked 24 2" xfId="61801"/>
    <cellStyle name="SAPLocked 25" xfId="7995"/>
    <cellStyle name="SAPLocked 25 2" xfId="61802"/>
    <cellStyle name="SAPLocked 26" xfId="7996"/>
    <cellStyle name="SAPLocked 26 2" xfId="61803"/>
    <cellStyle name="SAPLocked 27" xfId="7997"/>
    <cellStyle name="SAPLocked 27 2" xfId="61804"/>
    <cellStyle name="SAPLocked 28" xfId="7998"/>
    <cellStyle name="SAPLocked 28 2" xfId="61805"/>
    <cellStyle name="SAPLocked 29" xfId="7999"/>
    <cellStyle name="SAPLocked 29 2" xfId="61806"/>
    <cellStyle name="SAPLocked 3" xfId="8000"/>
    <cellStyle name="SAPLocked 3 10" xfId="8001"/>
    <cellStyle name="SAPLocked 3 10 2" xfId="61807"/>
    <cellStyle name="SAPLocked 3 11" xfId="8002"/>
    <cellStyle name="SAPLocked 3 11 2" xfId="61808"/>
    <cellStyle name="SAPLocked 3 12" xfId="8003"/>
    <cellStyle name="SAPLocked 3 12 2" xfId="61809"/>
    <cellStyle name="SAPLocked 3 13" xfId="8004"/>
    <cellStyle name="SAPLocked 3 2" xfId="8005"/>
    <cellStyle name="SAPLocked 3 2 10" xfId="8006"/>
    <cellStyle name="SAPLocked 3 2 10 2" xfId="61810"/>
    <cellStyle name="SAPLocked 3 2 11" xfId="8007"/>
    <cellStyle name="SAPLocked 3 2 11 2" xfId="61811"/>
    <cellStyle name="SAPLocked 3 2 12" xfId="8008"/>
    <cellStyle name="SAPLocked 3 2 2" xfId="8009"/>
    <cellStyle name="SAPLocked 3 2 2 2" xfId="61812"/>
    <cellStyle name="SAPLocked 3 2 3" xfId="8010"/>
    <cellStyle name="SAPLocked 3 2 3 2" xfId="61813"/>
    <cellStyle name="SAPLocked 3 2 4" xfId="8011"/>
    <cellStyle name="SAPLocked 3 2 4 2" xfId="61814"/>
    <cellStyle name="SAPLocked 3 2 5" xfId="8012"/>
    <cellStyle name="SAPLocked 3 2 5 2" xfId="61815"/>
    <cellStyle name="SAPLocked 3 2 6" xfId="8013"/>
    <cellStyle name="SAPLocked 3 2 6 2" xfId="61816"/>
    <cellStyle name="SAPLocked 3 2 7" xfId="8014"/>
    <cellStyle name="SAPLocked 3 2 7 2" xfId="61817"/>
    <cellStyle name="SAPLocked 3 2 8" xfId="8015"/>
    <cellStyle name="SAPLocked 3 2 8 2" xfId="61818"/>
    <cellStyle name="SAPLocked 3 2 9" xfId="8016"/>
    <cellStyle name="SAPLocked 3 2 9 2" xfId="61819"/>
    <cellStyle name="SAPLocked 3 3" xfId="8017"/>
    <cellStyle name="SAPLocked 3 3 2" xfId="61820"/>
    <cellStyle name="SAPLocked 3 4" xfId="8018"/>
    <cellStyle name="SAPLocked 3 4 2" xfId="61821"/>
    <cellStyle name="SAPLocked 3 5" xfId="8019"/>
    <cellStyle name="SAPLocked 3 5 2" xfId="61822"/>
    <cellStyle name="SAPLocked 3 6" xfId="8020"/>
    <cellStyle name="SAPLocked 3 6 2" xfId="61823"/>
    <cellStyle name="SAPLocked 3 7" xfId="8021"/>
    <cellStyle name="SAPLocked 3 7 2" xfId="61824"/>
    <cellStyle name="SAPLocked 3 8" xfId="8022"/>
    <cellStyle name="SAPLocked 3 8 2" xfId="61825"/>
    <cellStyle name="SAPLocked 3 9" xfId="8023"/>
    <cellStyle name="SAPLocked 3 9 2" xfId="61826"/>
    <cellStyle name="SAPLocked 30" xfId="8024"/>
    <cellStyle name="SAPLocked 30 2" xfId="61827"/>
    <cellStyle name="SAPLocked 31" xfId="8025"/>
    <cellStyle name="SAPLocked 4" xfId="8026"/>
    <cellStyle name="SAPLocked 4 10" xfId="8027"/>
    <cellStyle name="SAPLocked 4 10 2" xfId="61828"/>
    <cellStyle name="SAPLocked 4 11" xfId="8028"/>
    <cellStyle name="SAPLocked 4 11 2" xfId="61829"/>
    <cellStyle name="SAPLocked 4 12" xfId="8029"/>
    <cellStyle name="SAPLocked 4 12 2" xfId="61830"/>
    <cellStyle name="SAPLocked 4 13" xfId="8030"/>
    <cellStyle name="SAPLocked 4 2" xfId="8031"/>
    <cellStyle name="SAPLocked 4 2 10" xfId="8032"/>
    <cellStyle name="SAPLocked 4 2 10 2" xfId="61831"/>
    <cellStyle name="SAPLocked 4 2 11" xfId="8033"/>
    <cellStyle name="SAPLocked 4 2 11 2" xfId="61832"/>
    <cellStyle name="SAPLocked 4 2 12" xfId="8034"/>
    <cellStyle name="SAPLocked 4 2 2" xfId="8035"/>
    <cellStyle name="SAPLocked 4 2 2 2" xfId="61833"/>
    <cellStyle name="SAPLocked 4 2 3" xfId="8036"/>
    <cellStyle name="SAPLocked 4 2 3 2" xfId="61834"/>
    <cellStyle name="SAPLocked 4 2 4" xfId="8037"/>
    <cellStyle name="SAPLocked 4 2 4 2" xfId="61835"/>
    <cellStyle name="SAPLocked 4 2 5" xfId="8038"/>
    <cellStyle name="SAPLocked 4 2 5 2" xfId="61836"/>
    <cellStyle name="SAPLocked 4 2 6" xfId="8039"/>
    <cellStyle name="SAPLocked 4 2 6 2" xfId="61837"/>
    <cellStyle name="SAPLocked 4 2 7" xfId="8040"/>
    <cellStyle name="SAPLocked 4 2 7 2" xfId="61838"/>
    <cellStyle name="SAPLocked 4 2 8" xfId="8041"/>
    <cellStyle name="SAPLocked 4 2 8 2" xfId="61839"/>
    <cellStyle name="SAPLocked 4 2 9" xfId="8042"/>
    <cellStyle name="SAPLocked 4 2 9 2" xfId="61840"/>
    <cellStyle name="SAPLocked 4 3" xfId="8043"/>
    <cellStyle name="SAPLocked 4 3 2" xfId="61841"/>
    <cellStyle name="SAPLocked 4 4" xfId="8044"/>
    <cellStyle name="SAPLocked 4 4 2" xfId="61842"/>
    <cellStyle name="SAPLocked 4 5" xfId="8045"/>
    <cellStyle name="SAPLocked 4 5 2" xfId="61843"/>
    <cellStyle name="SAPLocked 4 6" xfId="8046"/>
    <cellStyle name="SAPLocked 4 6 2" xfId="61844"/>
    <cellStyle name="SAPLocked 4 7" xfId="8047"/>
    <cellStyle name="SAPLocked 4 7 2" xfId="61845"/>
    <cellStyle name="SAPLocked 4 8" xfId="8048"/>
    <cellStyle name="SAPLocked 4 8 2" xfId="61846"/>
    <cellStyle name="SAPLocked 4 9" xfId="8049"/>
    <cellStyle name="SAPLocked 4 9 2" xfId="61847"/>
    <cellStyle name="SAPLocked 5" xfId="8050"/>
    <cellStyle name="SAPLocked 5 10" xfId="8051"/>
    <cellStyle name="SAPLocked 5 10 2" xfId="61848"/>
    <cellStyle name="SAPLocked 5 11" xfId="8052"/>
    <cellStyle name="SAPLocked 5 11 2" xfId="61849"/>
    <cellStyle name="SAPLocked 5 12" xfId="8053"/>
    <cellStyle name="SAPLocked 5 12 2" xfId="61850"/>
    <cellStyle name="SAPLocked 5 13" xfId="8054"/>
    <cellStyle name="SAPLocked 5 2" xfId="8055"/>
    <cellStyle name="SAPLocked 5 2 10" xfId="8056"/>
    <cellStyle name="SAPLocked 5 2 10 2" xfId="61851"/>
    <cellStyle name="SAPLocked 5 2 11" xfId="8057"/>
    <cellStyle name="SAPLocked 5 2 11 2" xfId="61852"/>
    <cellStyle name="SAPLocked 5 2 12" xfId="8058"/>
    <cellStyle name="SAPLocked 5 2 2" xfId="8059"/>
    <cellStyle name="SAPLocked 5 2 2 2" xfId="61853"/>
    <cellStyle name="SAPLocked 5 2 3" xfId="8060"/>
    <cellStyle name="SAPLocked 5 2 3 2" xfId="61854"/>
    <cellStyle name="SAPLocked 5 2 4" xfId="8061"/>
    <cellStyle name="SAPLocked 5 2 4 2" xfId="61855"/>
    <cellStyle name="SAPLocked 5 2 5" xfId="8062"/>
    <cellStyle name="SAPLocked 5 2 5 2" xfId="61856"/>
    <cellStyle name="SAPLocked 5 2 6" xfId="8063"/>
    <cellStyle name="SAPLocked 5 2 6 2" xfId="61857"/>
    <cellStyle name="SAPLocked 5 2 7" xfId="8064"/>
    <cellStyle name="SAPLocked 5 2 7 2" xfId="61858"/>
    <cellStyle name="SAPLocked 5 2 8" xfId="8065"/>
    <cellStyle name="SAPLocked 5 2 8 2" xfId="61859"/>
    <cellStyle name="SAPLocked 5 2 9" xfId="8066"/>
    <cellStyle name="SAPLocked 5 2 9 2" xfId="61860"/>
    <cellStyle name="SAPLocked 5 3" xfId="8067"/>
    <cellStyle name="SAPLocked 5 3 2" xfId="61861"/>
    <cellStyle name="SAPLocked 5 4" xfId="8068"/>
    <cellStyle name="SAPLocked 5 4 2" xfId="61862"/>
    <cellStyle name="SAPLocked 5 5" xfId="8069"/>
    <cellStyle name="SAPLocked 5 5 2" xfId="61863"/>
    <cellStyle name="SAPLocked 5 6" xfId="8070"/>
    <cellStyle name="SAPLocked 5 6 2" xfId="61864"/>
    <cellStyle name="SAPLocked 5 7" xfId="8071"/>
    <cellStyle name="SAPLocked 5 7 2" xfId="61865"/>
    <cellStyle name="SAPLocked 5 8" xfId="8072"/>
    <cellStyle name="SAPLocked 5 8 2" xfId="61866"/>
    <cellStyle name="SAPLocked 5 9" xfId="8073"/>
    <cellStyle name="SAPLocked 5 9 2" xfId="61867"/>
    <cellStyle name="SAPLocked 6" xfId="8074"/>
    <cellStyle name="SAPLocked 6 10" xfId="8075"/>
    <cellStyle name="SAPLocked 6 10 2" xfId="61868"/>
    <cellStyle name="SAPLocked 6 11" xfId="8076"/>
    <cellStyle name="SAPLocked 6 11 2" xfId="61869"/>
    <cellStyle name="SAPLocked 6 12" xfId="8077"/>
    <cellStyle name="SAPLocked 6 12 2" xfId="61870"/>
    <cellStyle name="SAPLocked 6 13" xfId="8078"/>
    <cellStyle name="SAPLocked 6 2" xfId="8079"/>
    <cellStyle name="SAPLocked 6 2 10" xfId="8080"/>
    <cellStyle name="SAPLocked 6 2 10 2" xfId="61871"/>
    <cellStyle name="SAPLocked 6 2 11" xfId="8081"/>
    <cellStyle name="SAPLocked 6 2 11 2" xfId="61872"/>
    <cellStyle name="SAPLocked 6 2 12" xfId="8082"/>
    <cellStyle name="SAPLocked 6 2 2" xfId="8083"/>
    <cellStyle name="SAPLocked 6 2 2 2" xfId="61873"/>
    <cellStyle name="SAPLocked 6 2 3" xfId="8084"/>
    <cellStyle name="SAPLocked 6 2 3 2" xfId="61874"/>
    <cellStyle name="SAPLocked 6 2 4" xfId="8085"/>
    <cellStyle name="SAPLocked 6 2 4 2" xfId="61875"/>
    <cellStyle name="SAPLocked 6 2 5" xfId="8086"/>
    <cellStyle name="SAPLocked 6 2 5 2" xfId="61876"/>
    <cellStyle name="SAPLocked 6 2 6" xfId="8087"/>
    <cellStyle name="SAPLocked 6 2 6 2" xfId="61877"/>
    <cellStyle name="SAPLocked 6 2 7" xfId="8088"/>
    <cellStyle name="SAPLocked 6 2 7 2" xfId="61878"/>
    <cellStyle name="SAPLocked 6 2 8" xfId="8089"/>
    <cellStyle name="SAPLocked 6 2 8 2" xfId="61879"/>
    <cellStyle name="SAPLocked 6 2 9" xfId="8090"/>
    <cellStyle name="SAPLocked 6 2 9 2" xfId="61880"/>
    <cellStyle name="SAPLocked 6 3" xfId="8091"/>
    <cellStyle name="SAPLocked 6 3 2" xfId="61881"/>
    <cellStyle name="SAPLocked 6 4" xfId="8092"/>
    <cellStyle name="SAPLocked 6 4 2" xfId="61882"/>
    <cellStyle name="SAPLocked 6 5" xfId="8093"/>
    <cellStyle name="SAPLocked 6 5 2" xfId="61883"/>
    <cellStyle name="SAPLocked 6 6" xfId="8094"/>
    <cellStyle name="SAPLocked 6 6 2" xfId="61884"/>
    <cellStyle name="SAPLocked 6 7" xfId="8095"/>
    <cellStyle name="SAPLocked 6 7 2" xfId="61885"/>
    <cellStyle name="SAPLocked 6 8" xfId="8096"/>
    <cellStyle name="SAPLocked 6 8 2" xfId="61886"/>
    <cellStyle name="SAPLocked 6 9" xfId="8097"/>
    <cellStyle name="SAPLocked 6 9 2" xfId="61887"/>
    <cellStyle name="SAPLocked 7" xfId="8098"/>
    <cellStyle name="SAPLocked 7 10" xfId="8099"/>
    <cellStyle name="SAPLocked 7 10 2" xfId="61888"/>
    <cellStyle name="SAPLocked 7 11" xfId="8100"/>
    <cellStyle name="SAPLocked 7 11 2" xfId="61889"/>
    <cellStyle name="SAPLocked 7 12" xfId="8101"/>
    <cellStyle name="SAPLocked 7 12 2" xfId="61890"/>
    <cellStyle name="SAPLocked 7 13" xfId="8102"/>
    <cellStyle name="SAPLocked 7 2" xfId="8103"/>
    <cellStyle name="SAPLocked 7 2 10" xfId="8104"/>
    <cellStyle name="SAPLocked 7 2 10 2" xfId="61891"/>
    <cellStyle name="SAPLocked 7 2 11" xfId="8105"/>
    <cellStyle name="SAPLocked 7 2 11 2" xfId="61892"/>
    <cellStyle name="SAPLocked 7 2 12" xfId="8106"/>
    <cellStyle name="SAPLocked 7 2 2" xfId="8107"/>
    <cellStyle name="SAPLocked 7 2 2 2" xfId="61893"/>
    <cellStyle name="SAPLocked 7 2 3" xfId="8108"/>
    <cellStyle name="SAPLocked 7 2 3 2" xfId="61894"/>
    <cellStyle name="SAPLocked 7 2 4" xfId="8109"/>
    <cellStyle name="SAPLocked 7 2 4 2" xfId="61895"/>
    <cellStyle name="SAPLocked 7 2 5" xfId="8110"/>
    <cellStyle name="SAPLocked 7 2 5 2" xfId="61896"/>
    <cellStyle name="SAPLocked 7 2 6" xfId="8111"/>
    <cellStyle name="SAPLocked 7 2 6 2" xfId="61897"/>
    <cellStyle name="SAPLocked 7 2 7" xfId="8112"/>
    <cellStyle name="SAPLocked 7 2 7 2" xfId="61898"/>
    <cellStyle name="SAPLocked 7 2 8" xfId="8113"/>
    <cellStyle name="SAPLocked 7 2 8 2" xfId="61899"/>
    <cellStyle name="SAPLocked 7 2 9" xfId="8114"/>
    <cellStyle name="SAPLocked 7 2 9 2" xfId="61900"/>
    <cellStyle name="SAPLocked 7 3" xfId="8115"/>
    <cellStyle name="SAPLocked 7 3 2" xfId="61901"/>
    <cellStyle name="SAPLocked 7 4" xfId="8116"/>
    <cellStyle name="SAPLocked 7 4 2" xfId="61902"/>
    <cellStyle name="SAPLocked 7 5" xfId="8117"/>
    <cellStyle name="SAPLocked 7 5 2" xfId="61903"/>
    <cellStyle name="SAPLocked 7 6" xfId="8118"/>
    <cellStyle name="SAPLocked 7 6 2" xfId="61904"/>
    <cellStyle name="SAPLocked 7 7" xfId="8119"/>
    <cellStyle name="SAPLocked 7 7 2" xfId="61905"/>
    <cellStyle name="SAPLocked 7 8" xfId="8120"/>
    <cellStyle name="SAPLocked 7 8 2" xfId="61906"/>
    <cellStyle name="SAPLocked 7 9" xfId="8121"/>
    <cellStyle name="SAPLocked 7 9 2" xfId="61907"/>
    <cellStyle name="SAPLocked 8" xfId="8122"/>
    <cellStyle name="SAPLocked 8 10" xfId="8123"/>
    <cellStyle name="SAPLocked 8 10 2" xfId="61908"/>
    <cellStyle name="SAPLocked 8 11" xfId="8124"/>
    <cellStyle name="SAPLocked 8 11 2" xfId="61909"/>
    <cellStyle name="SAPLocked 8 12" xfId="8125"/>
    <cellStyle name="SAPLocked 8 12 2" xfId="61910"/>
    <cellStyle name="SAPLocked 8 13" xfId="8126"/>
    <cellStyle name="SAPLocked 8 2" xfId="8127"/>
    <cellStyle name="SAPLocked 8 2 10" xfId="8128"/>
    <cellStyle name="SAPLocked 8 2 10 2" xfId="61911"/>
    <cellStyle name="SAPLocked 8 2 11" xfId="8129"/>
    <cellStyle name="SAPLocked 8 2 11 2" xfId="61912"/>
    <cellStyle name="SAPLocked 8 2 12" xfId="8130"/>
    <cellStyle name="SAPLocked 8 2 2" xfId="8131"/>
    <cellStyle name="SAPLocked 8 2 2 2" xfId="61913"/>
    <cellStyle name="SAPLocked 8 2 3" xfId="8132"/>
    <cellStyle name="SAPLocked 8 2 3 2" xfId="61914"/>
    <cellStyle name="SAPLocked 8 2 4" xfId="8133"/>
    <cellStyle name="SAPLocked 8 2 4 2" xfId="61915"/>
    <cellStyle name="SAPLocked 8 2 5" xfId="8134"/>
    <cellStyle name="SAPLocked 8 2 5 2" xfId="61916"/>
    <cellStyle name="SAPLocked 8 2 6" xfId="8135"/>
    <cellStyle name="SAPLocked 8 2 6 2" xfId="61917"/>
    <cellStyle name="SAPLocked 8 2 7" xfId="8136"/>
    <cellStyle name="SAPLocked 8 2 7 2" xfId="61918"/>
    <cellStyle name="SAPLocked 8 2 8" xfId="8137"/>
    <cellStyle name="SAPLocked 8 2 8 2" xfId="61919"/>
    <cellStyle name="SAPLocked 8 2 9" xfId="8138"/>
    <cellStyle name="SAPLocked 8 2 9 2" xfId="61920"/>
    <cellStyle name="SAPLocked 8 3" xfId="8139"/>
    <cellStyle name="SAPLocked 8 3 2" xfId="61921"/>
    <cellStyle name="SAPLocked 8 4" xfId="8140"/>
    <cellStyle name="SAPLocked 8 4 2" xfId="61922"/>
    <cellStyle name="SAPLocked 8 5" xfId="8141"/>
    <cellStyle name="SAPLocked 8 5 2" xfId="61923"/>
    <cellStyle name="SAPLocked 8 6" xfId="8142"/>
    <cellStyle name="SAPLocked 8 6 2" xfId="61924"/>
    <cellStyle name="SAPLocked 8 7" xfId="8143"/>
    <cellStyle name="SAPLocked 8 7 2" xfId="61925"/>
    <cellStyle name="SAPLocked 8 8" xfId="8144"/>
    <cellStyle name="SAPLocked 8 8 2" xfId="61926"/>
    <cellStyle name="SAPLocked 8 9" xfId="8145"/>
    <cellStyle name="SAPLocked 8 9 2" xfId="61927"/>
    <cellStyle name="SAPLocked 9" xfId="8146"/>
    <cellStyle name="SAPLocked 9 10" xfId="8147"/>
    <cellStyle name="SAPLocked 9 10 2" xfId="61928"/>
    <cellStyle name="SAPLocked 9 11" xfId="8148"/>
    <cellStyle name="SAPLocked 9 11 2" xfId="61929"/>
    <cellStyle name="SAPLocked 9 12" xfId="8149"/>
    <cellStyle name="SAPLocked 9 12 2" xfId="61930"/>
    <cellStyle name="SAPLocked 9 13" xfId="8150"/>
    <cellStyle name="SAPLocked 9 2" xfId="8151"/>
    <cellStyle name="SAPLocked 9 2 10" xfId="8152"/>
    <cellStyle name="SAPLocked 9 2 10 2" xfId="61931"/>
    <cellStyle name="SAPLocked 9 2 11" xfId="8153"/>
    <cellStyle name="SAPLocked 9 2 11 2" xfId="61932"/>
    <cellStyle name="SAPLocked 9 2 12" xfId="8154"/>
    <cellStyle name="SAPLocked 9 2 2" xfId="8155"/>
    <cellStyle name="SAPLocked 9 2 2 2" xfId="61933"/>
    <cellStyle name="SAPLocked 9 2 3" xfId="8156"/>
    <cellStyle name="SAPLocked 9 2 3 2" xfId="61934"/>
    <cellStyle name="SAPLocked 9 2 4" xfId="8157"/>
    <cellStyle name="SAPLocked 9 2 4 2" xfId="61935"/>
    <cellStyle name="SAPLocked 9 2 5" xfId="8158"/>
    <cellStyle name="SAPLocked 9 2 5 2" xfId="61936"/>
    <cellStyle name="SAPLocked 9 2 6" xfId="8159"/>
    <cellStyle name="SAPLocked 9 2 6 2" xfId="61937"/>
    <cellStyle name="SAPLocked 9 2 7" xfId="8160"/>
    <cellStyle name="SAPLocked 9 2 7 2" xfId="61938"/>
    <cellStyle name="SAPLocked 9 2 8" xfId="8161"/>
    <cellStyle name="SAPLocked 9 2 8 2" xfId="61939"/>
    <cellStyle name="SAPLocked 9 2 9" xfId="8162"/>
    <cellStyle name="SAPLocked 9 2 9 2" xfId="61940"/>
    <cellStyle name="SAPLocked 9 3" xfId="8163"/>
    <cellStyle name="SAPLocked 9 3 2" xfId="61941"/>
    <cellStyle name="SAPLocked 9 4" xfId="8164"/>
    <cellStyle name="SAPLocked 9 4 2" xfId="61942"/>
    <cellStyle name="SAPLocked 9 5" xfId="8165"/>
    <cellStyle name="SAPLocked 9 5 2" xfId="61943"/>
    <cellStyle name="SAPLocked 9 6" xfId="8166"/>
    <cellStyle name="SAPLocked 9 6 2" xfId="61944"/>
    <cellStyle name="SAPLocked 9 7" xfId="8167"/>
    <cellStyle name="SAPLocked 9 7 2" xfId="61945"/>
    <cellStyle name="SAPLocked 9 8" xfId="8168"/>
    <cellStyle name="SAPLocked 9 8 2" xfId="61946"/>
    <cellStyle name="SAPLocked 9 9" xfId="8169"/>
    <cellStyle name="SAPLocked 9 9 2" xfId="61947"/>
    <cellStyle name="SAPMemberCell" xfId="61948"/>
    <cellStyle name="SAPMemberTotalCell" xfId="61949"/>
    <cellStyle name="Shade" xfId="9362"/>
    <cellStyle name="Standard_CORE_20040805_Movement types_Sets_V0.1_e" xfId="8170"/>
    <cellStyle name="STYL5 - Style5" xfId="8171"/>
    <cellStyle name="STYL5 - Style5 2" xfId="8172"/>
    <cellStyle name="STYL5 - Style5 2 2" xfId="9948"/>
    <cellStyle name="STYL5 - Style5 3" xfId="9949"/>
    <cellStyle name="STYL5 - Style5 3 2" xfId="9950"/>
    <cellStyle name="STYL6 - Style6" xfId="8173"/>
    <cellStyle name="STYL6 - Style6 2" xfId="8174"/>
    <cellStyle name="STYL6 - Style6 2 2" xfId="9951"/>
    <cellStyle name="STYL6 - Style6 3" xfId="9952"/>
    <cellStyle name="STYL6 - Style6 3 2" xfId="9953"/>
    <cellStyle name="Style 1" xfId="8765"/>
    <cellStyle name="STYLE1 - Style1" xfId="8175"/>
    <cellStyle name="STYLE1 - Style1 2" xfId="8176"/>
    <cellStyle name="STYLE1 - Style1 2 2" xfId="9954"/>
    <cellStyle name="STYLE1 - Style1 3" xfId="9955"/>
    <cellStyle name="STYLE1 - Style1 3 2" xfId="9956"/>
    <cellStyle name="STYLE2 - Style2" xfId="8177"/>
    <cellStyle name="STYLE2 - Style2 2" xfId="8178"/>
    <cellStyle name="STYLE2 - Style2 2 2" xfId="9957"/>
    <cellStyle name="STYLE2 - Style2 3" xfId="9958"/>
    <cellStyle name="STYLE2 - Style2 3 2" xfId="9959"/>
    <cellStyle name="STYLE3 - Style3" xfId="8179"/>
    <cellStyle name="STYLE3 - Style3 2" xfId="8180"/>
    <cellStyle name="STYLE3 - Style3 2 2" xfId="9960"/>
    <cellStyle name="STYLE3 - Style3 3" xfId="9961"/>
    <cellStyle name="STYLE3 - Style3 3 2" xfId="9962"/>
    <cellStyle name="STYLE4 - Style4" xfId="8181"/>
    <cellStyle name="STYLE4 - Style4 2" xfId="8182"/>
    <cellStyle name="STYLE4 - Style4 2 2" xfId="9963"/>
    <cellStyle name="STYLE4 - Style4 3" xfId="9964"/>
    <cellStyle name="STYLE4 - Style4 3 2" xfId="9965"/>
    <cellStyle name="Table  - Style5" xfId="61950"/>
    <cellStyle name="Text" xfId="57796"/>
    <cellStyle name="Title  - Style6" xfId="61951"/>
    <cellStyle name="Title 10" xfId="9966"/>
    <cellStyle name="Title 11" xfId="9967"/>
    <cellStyle name="Title 12" xfId="9968"/>
    <cellStyle name="Title 13" xfId="9969"/>
    <cellStyle name="Title 14" xfId="9970"/>
    <cellStyle name="Title 15" xfId="9971"/>
    <cellStyle name="Title 16" xfId="9972"/>
    <cellStyle name="Title 17" xfId="9973"/>
    <cellStyle name="Title 17 2" xfId="61952"/>
    <cellStyle name="Title 18" xfId="61953"/>
    <cellStyle name="Title 19" xfId="61954"/>
    <cellStyle name="Title 2" xfId="8183"/>
    <cellStyle name="Title 2 2" xfId="8184"/>
    <cellStyle name="Title 2 2 2" xfId="57797"/>
    <cellStyle name="Title 2 3" xfId="57798"/>
    <cellStyle name="Title 20" xfId="61955"/>
    <cellStyle name="Title 3" xfId="8185"/>
    <cellStyle name="Title 3 2" xfId="9363"/>
    <cellStyle name="Title 4" xfId="9974"/>
    <cellStyle name="Title 5" xfId="9975"/>
    <cellStyle name="Title 6" xfId="9976"/>
    <cellStyle name="Title 7" xfId="9977"/>
    <cellStyle name="Title 8" xfId="9978"/>
    <cellStyle name="Title 9" xfId="9979"/>
    <cellStyle name="Total 10" xfId="9980"/>
    <cellStyle name="Total 11" xfId="9981"/>
    <cellStyle name="Total 12" xfId="9982"/>
    <cellStyle name="Total 13" xfId="9983"/>
    <cellStyle name="Total 14" xfId="9984"/>
    <cellStyle name="Total 15" xfId="9985"/>
    <cellStyle name="Total 16" xfId="9986"/>
    <cellStyle name="Total 17" xfId="9987"/>
    <cellStyle name="Total 17 2" xfId="61956"/>
    <cellStyle name="Total 17 3" xfId="61957"/>
    <cellStyle name="Total 17 4" xfId="61958"/>
    <cellStyle name="Total 18" xfId="61959"/>
    <cellStyle name="Total 2" xfId="8186"/>
    <cellStyle name="Total 2 2" xfId="8187"/>
    <cellStyle name="Total 2 2 2" xfId="8188"/>
    <cellStyle name="Total 2 2 3" xfId="61960"/>
    <cellStyle name="Total 2 3" xfId="8189"/>
    <cellStyle name="Total 2 3 2" xfId="61961"/>
    <cellStyle name="Total 2 4" xfId="8190"/>
    <cellStyle name="Total 2 4 2" xfId="61962"/>
    <cellStyle name="Total 2 5" xfId="8191"/>
    <cellStyle name="Total 2 5 2" xfId="61963"/>
    <cellStyle name="Total 2 6" xfId="8192"/>
    <cellStyle name="Total 2 6 2" xfId="61964"/>
    <cellStyle name="Total 2 7" xfId="8193"/>
    <cellStyle name="Total 2 7 2" xfId="61965"/>
    <cellStyle name="Total 2 8" xfId="8194"/>
    <cellStyle name="Total 2 9" xfId="8195"/>
    <cellStyle name="Total 3" xfId="8196"/>
    <cellStyle name="Total 3 2" xfId="8197"/>
    <cellStyle name="Total 3 2 2" xfId="61966"/>
    <cellStyle name="Total 3 3" xfId="8198"/>
    <cellStyle name="Total 4" xfId="9364"/>
    <cellStyle name="Total 4 2" xfId="57799"/>
    <cellStyle name="Total 5" xfId="9365"/>
    <cellStyle name="Total 5 2" xfId="57800"/>
    <cellStyle name="Total 6" xfId="9988"/>
    <cellStyle name="Total 6 2" xfId="57801"/>
    <cellStyle name="Total 7" xfId="9989"/>
    <cellStyle name="Total 7 2" xfId="57802"/>
    <cellStyle name="Total 8" xfId="9990"/>
    <cellStyle name="Total 9" xfId="9991"/>
    <cellStyle name="TotCol - Style7" xfId="61967"/>
    <cellStyle name="TotRow - Style8" xfId="61968"/>
    <cellStyle name="Undefiniert" xfId="8199"/>
    <cellStyle name="Undefiniert 2" xfId="9992"/>
    <cellStyle name="UploadThisRowValue" xfId="8200"/>
    <cellStyle name="UploadThisRowValue 2" xfId="8201"/>
    <cellStyle name="UploadThisRowValue 2 2" xfId="57803"/>
    <cellStyle name="UploadThisRowValue 3" xfId="8202"/>
    <cellStyle name="UploadThisRowValue 4" xfId="9366"/>
    <cellStyle name="Währung_KURSE3Q" xfId="9367"/>
    <cellStyle name="Warning Text 10" xfId="9993"/>
    <cellStyle name="Warning Text 11" xfId="9994"/>
    <cellStyle name="Warning Text 12" xfId="9995"/>
    <cellStyle name="Warning Text 13" xfId="9996"/>
    <cellStyle name="Warning Text 14" xfId="9997"/>
    <cellStyle name="Warning Text 15" xfId="9998"/>
    <cellStyle name="Warning Text 16" xfId="9999"/>
    <cellStyle name="Warning Text 17" xfId="10000"/>
    <cellStyle name="Warning Text 2" xfId="8203"/>
    <cellStyle name="Warning Text 2 2" xfId="8204"/>
    <cellStyle name="Warning Text 2 2 2" xfId="61969"/>
    <cellStyle name="Warning Text 2 3" xfId="57804"/>
    <cellStyle name="Warning Text 2 4" xfId="57805"/>
    <cellStyle name="Warning Text 2 5" xfId="57806"/>
    <cellStyle name="Warning Text 2 6" xfId="57807"/>
    <cellStyle name="Warning Text 3" xfId="8205"/>
    <cellStyle name="Warning Text 3 2" xfId="9368"/>
    <cellStyle name="Warning Text 3 3" xfId="57808"/>
    <cellStyle name="Warning Text 4" xfId="8206"/>
    <cellStyle name="Warning Text 4 2" xfId="57809"/>
    <cellStyle name="Warning Text 5" xfId="9369"/>
    <cellStyle name="Warning Text 5 2" xfId="57810"/>
    <cellStyle name="Warning Text 6" xfId="10001"/>
    <cellStyle name="Warning Text 6 2" xfId="57811"/>
    <cellStyle name="Warning Text 7" xfId="10002"/>
    <cellStyle name="Warning Text 7 2" xfId="57812"/>
    <cellStyle name="Warning Text 8" xfId="10003"/>
    <cellStyle name="Warning Text 8 2" xfId="57813"/>
    <cellStyle name="Warning Text 9" xfId="100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Pure%20Fishing\MODEL%20TO%20BANKS\Pure%20Fishing%20Base%20Case%202003%20Monthly%20Model%20031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home/Leveraged%20Finance/Diversified%20Industries/Manufacturing%20and%20Ind.%20Tech/P&amp;L%20Coal/P&amp;L%20Coal%202002%20Deal/Credit/Natural%20Gas%20and%20GDP%20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home/Inv_grad/Energy/RV%20Secondary%20Energy%202005%20Jan%2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nergy%20Services\Reporting\2014%20Reporting\02%20February%202014\Gen%20%20Services\Revised%20Gen%20Services%20Feb%20Accru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chome/DEBT%20JOURNAL%20ENTRIES/2013/12-%20Dec%202013/KU/J043-0110-1213%20AMORT%20EXP%20AND%20LOSS%20ON%20DEBTwith%20error%20correc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ICE OPSUM"/>
      <sheetName val="HOSPICE OPSUM BY MON"/>
      <sheetName val="RN &amp; Aides Graph"/>
      <sheetName val="HOSPICE FTE's BY MON"/>
      <sheetName val="CONSOL OPSUM"/>
      <sheetName val="HQ OPSUM"/>
      <sheetName val="FT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Model"/>
      <sheetName val="Bank Case - Blair"/>
      <sheetName val="Bank Case Buildup"/>
      <sheetName val="Net Sales"/>
      <sheetName val="Gross Profit"/>
      <sheetName val="expenses"/>
      <sheetName val="monthly - base case"/>
      <sheetName val="Standalone Base Case"/>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GDP"/>
      <sheetName val="Real GDP (2)"/>
      <sheetName val="Natural gas"/>
      <sheetName val="Consumption vs. GDP"/>
    </sheetNames>
    <sheetDataSet>
      <sheetData sheetId="0" refreshError="1"/>
      <sheetData sheetId="1" refreshError="1"/>
      <sheetData sheetId="2">
        <row r="3">
          <cell r="A3" t="e">
            <v>#NAME?</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 Sheet"/>
      <sheetName val="Tenor Adjustments"/>
      <sheetName val="Secondary"/>
      <sheetName val="Secondary ENB"/>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E"/>
      <sheetName val="Plant Input"/>
      <sheetName val="EiS Data Dump"/>
      <sheetName val="Instructions"/>
      <sheetName val="Gen Serv Accrual Tab"/>
    </sheetNames>
    <sheetDataSet>
      <sheetData sheetId="0">
        <row r="1">
          <cell r="A1" t="str">
            <v>No</v>
          </cell>
        </row>
        <row r="2">
          <cell r="A2" t="str">
            <v>Yes</v>
          </cell>
        </row>
      </sheetData>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043-0110"/>
      <sheetName val="Debt Exp Input"/>
      <sheetName val="Expense Amortization Tables"/>
      <sheetName val="Loss Input"/>
      <sheetName val="Loss Amortization Tables"/>
      <sheetName val="186004-2013"/>
      <sheetName val="186004-2014"/>
    </sheetNames>
    <sheetDataSet>
      <sheetData sheetId="0">
        <row r="1">
          <cell r="A1" t="str">
            <v>No</v>
          </cell>
        </row>
        <row r="2">
          <cell r="A2" t="str">
            <v>Yes</v>
          </cell>
        </row>
      </sheetData>
      <sheetData sheetId="1"/>
      <sheetData sheetId="2"/>
      <sheetData sheetId="3"/>
      <sheetData sheetId="4"/>
      <sheetData sheetId="5">
        <row r="31">
          <cell r="BF31">
            <v>566.79677570093452</v>
          </cell>
        </row>
      </sheetData>
      <sheetData sheetId="6"/>
      <sheetData sheetId="7">
        <row r="3">
          <cell r="F3">
            <v>21406.831685393259</v>
          </cell>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V53"/>
  <sheetViews>
    <sheetView showGridLines="0" zoomScale="55" zoomScaleNormal="55" zoomScaleSheetLayoutView="75" workbookViewId="0">
      <selection activeCell="J20" sqref="J20"/>
    </sheetView>
  </sheetViews>
  <sheetFormatPr defaultColWidth="9" defaultRowHeight="15.75"/>
  <cols>
    <col min="1" max="1" width="4.21875" style="301" bestFit="1" customWidth="1"/>
    <col min="2" max="2" width="53" style="302" customWidth="1"/>
    <col min="3" max="3" width="1.6640625" style="303" customWidth="1"/>
    <col min="4" max="4" width="18.6640625" style="302" customWidth="1"/>
    <col min="5" max="5" width="1.6640625" style="303" customWidth="1"/>
    <col min="6" max="6" width="18.6640625" style="302" customWidth="1"/>
    <col min="7" max="7" width="1.6640625" style="303" customWidth="1"/>
    <col min="8" max="8" width="16.6640625" style="302" customWidth="1"/>
    <col min="9" max="9" width="1.6640625" style="303" customWidth="1"/>
    <col min="10" max="10" width="16.6640625" style="302" customWidth="1"/>
    <col min="11" max="11" width="1.6640625" style="303" customWidth="1"/>
    <col min="12" max="12" width="16.6640625" style="302" customWidth="1"/>
    <col min="13" max="13" width="1.6640625" style="303" customWidth="1"/>
    <col min="14" max="14" width="18.6640625" style="302" customWidth="1"/>
    <col min="15" max="15" width="1.6640625" style="303" customWidth="1"/>
    <col min="16" max="16" width="18.6640625" style="302" customWidth="1"/>
    <col min="17" max="17" width="1.6640625" style="303" customWidth="1"/>
    <col min="18" max="18" width="18.6640625" style="302" customWidth="1"/>
    <col min="19" max="19" width="9.44140625" style="305" bestFit="1" customWidth="1"/>
    <col min="20" max="20" width="18.109375" style="302" customWidth="1"/>
    <col min="21" max="21" width="10.6640625" style="302" bestFit="1" customWidth="1"/>
    <col min="22" max="22" width="15.33203125" style="302" bestFit="1" customWidth="1"/>
    <col min="23" max="16384" width="9" style="302"/>
  </cols>
  <sheetData>
    <row r="1" spans="1:22">
      <c r="B1" s="370" t="s">
        <v>133</v>
      </c>
      <c r="R1" s="367" t="s">
        <v>2061</v>
      </c>
    </row>
    <row r="2" spans="1:22">
      <c r="B2" s="371" t="str">
        <f>'Rate Case Constants'!C29</f>
        <v>TYPE OF FILING: __X__ ORIGINAL  _____ UPDATED  _____ REVISED</v>
      </c>
      <c r="R2" s="368" t="str">
        <f>'Rate Case Constants'!C38</f>
        <v>WITNESS:   C. M. GARRETT</v>
      </c>
      <c r="T2" s="304"/>
    </row>
    <row r="3" spans="1:22">
      <c r="R3" s="369" t="s">
        <v>177</v>
      </c>
    </row>
    <row r="5" spans="1:22">
      <c r="A5" s="762" t="str">
        <f>'Rate Case Constants'!C9</f>
        <v>KENTUCKY UTILITIES COMPANY</v>
      </c>
      <c r="B5" s="762"/>
      <c r="C5" s="762"/>
      <c r="D5" s="762"/>
      <c r="E5" s="762"/>
      <c r="F5" s="762"/>
      <c r="G5" s="762"/>
      <c r="H5" s="762"/>
      <c r="I5" s="762"/>
      <c r="J5" s="762"/>
      <c r="K5" s="762"/>
      <c r="L5" s="762"/>
      <c r="M5" s="762"/>
      <c r="N5" s="762"/>
      <c r="O5" s="762"/>
      <c r="P5" s="762"/>
      <c r="Q5" s="762"/>
      <c r="R5" s="762"/>
    </row>
    <row r="7" spans="1:22">
      <c r="A7" s="763" t="s">
        <v>2468</v>
      </c>
      <c r="B7" s="763"/>
      <c r="C7" s="763"/>
      <c r="D7" s="763"/>
      <c r="E7" s="763"/>
      <c r="F7" s="763"/>
      <c r="G7" s="763"/>
      <c r="H7" s="763"/>
      <c r="I7" s="763"/>
      <c r="J7" s="763"/>
      <c r="K7" s="763"/>
      <c r="L7" s="763"/>
      <c r="M7" s="763"/>
      <c r="N7" s="763"/>
      <c r="O7" s="763"/>
      <c r="P7" s="763"/>
      <c r="Q7" s="763"/>
      <c r="R7" s="763"/>
    </row>
    <row r="8" spans="1:22">
      <c r="A8" s="764"/>
      <c r="B8" s="764"/>
      <c r="C8" s="764"/>
      <c r="D8" s="764"/>
      <c r="E8" s="764"/>
      <c r="F8" s="764"/>
      <c r="G8" s="764"/>
      <c r="H8" s="764"/>
      <c r="I8" s="764"/>
      <c r="J8" s="764"/>
      <c r="K8" s="764"/>
      <c r="L8" s="764"/>
      <c r="M8" s="764"/>
      <c r="N8" s="764"/>
      <c r="O8" s="764"/>
      <c r="P8" s="764"/>
      <c r="Q8" s="764"/>
      <c r="R8" s="764"/>
    </row>
    <row r="9" spans="1:22">
      <c r="A9" s="765"/>
      <c r="B9" s="765"/>
      <c r="C9" s="765"/>
      <c r="D9" s="765"/>
      <c r="E9" s="765"/>
      <c r="F9" s="765"/>
      <c r="G9" s="765"/>
      <c r="H9" s="765"/>
      <c r="I9" s="765"/>
      <c r="J9" s="765"/>
      <c r="K9" s="765"/>
      <c r="L9" s="765"/>
      <c r="M9" s="765"/>
      <c r="N9" s="765"/>
      <c r="O9" s="765"/>
      <c r="P9" s="765"/>
      <c r="Q9" s="765"/>
      <c r="R9" s="765"/>
    </row>
    <row r="10" spans="1:22">
      <c r="A10" s="306"/>
    </row>
    <row r="11" spans="1:22">
      <c r="A11" s="306"/>
      <c r="B11" s="307"/>
      <c r="C11" s="308"/>
      <c r="D11" s="309"/>
      <c r="E11" s="308"/>
      <c r="F11" s="307"/>
      <c r="G11" s="308"/>
      <c r="H11" s="307"/>
      <c r="I11" s="308"/>
      <c r="J11" s="307"/>
      <c r="K11" s="308"/>
      <c r="L11" s="307"/>
      <c r="M11" s="308"/>
      <c r="N11" s="307"/>
      <c r="O11" s="308"/>
      <c r="P11" s="307"/>
      <c r="Q11" s="308"/>
      <c r="R11" s="307"/>
    </row>
    <row r="12" spans="1:22">
      <c r="A12" s="306"/>
      <c r="B12" s="310"/>
      <c r="L12" s="312" t="s">
        <v>2023</v>
      </c>
      <c r="N12" s="312" t="s">
        <v>2023</v>
      </c>
    </row>
    <row r="13" spans="1:22">
      <c r="A13" s="306"/>
      <c r="B13" s="307"/>
      <c r="C13" s="308"/>
      <c r="D13" s="311" t="s">
        <v>2023</v>
      </c>
      <c r="E13" s="308"/>
      <c r="F13" s="311" t="s">
        <v>2023</v>
      </c>
      <c r="G13" s="308"/>
      <c r="H13" s="312" t="s">
        <v>2023</v>
      </c>
      <c r="I13" s="308"/>
      <c r="J13" s="312" t="s">
        <v>2023</v>
      </c>
      <c r="K13" s="308"/>
      <c r="L13" s="312" t="s">
        <v>2026</v>
      </c>
      <c r="M13" s="308"/>
      <c r="N13" s="312" t="s">
        <v>2026</v>
      </c>
      <c r="O13" s="308"/>
      <c r="P13" s="311" t="s">
        <v>2024</v>
      </c>
      <c r="Q13" s="308"/>
      <c r="R13" s="311" t="s">
        <v>2025</v>
      </c>
    </row>
    <row r="14" spans="1:22">
      <c r="A14" s="306"/>
      <c r="B14" s="307"/>
      <c r="C14" s="308"/>
      <c r="D14" s="311" t="s">
        <v>2026</v>
      </c>
      <c r="E14" s="308"/>
      <c r="F14" s="311" t="s">
        <v>2026</v>
      </c>
      <c r="G14" s="308"/>
      <c r="H14" s="312" t="s">
        <v>2026</v>
      </c>
      <c r="I14" s="308"/>
      <c r="J14" s="312" t="s">
        <v>2026</v>
      </c>
      <c r="K14" s="308"/>
      <c r="L14" s="313" t="s">
        <v>2056</v>
      </c>
      <c r="M14" s="308"/>
      <c r="N14" s="313" t="s">
        <v>2056</v>
      </c>
      <c r="O14" s="308"/>
      <c r="P14" s="311" t="s">
        <v>2026</v>
      </c>
      <c r="Q14" s="308"/>
      <c r="R14" s="311" t="s">
        <v>2027</v>
      </c>
    </row>
    <row r="15" spans="1:22">
      <c r="A15" s="306"/>
      <c r="B15" s="307" t="s">
        <v>2028</v>
      </c>
      <c r="C15" s="308"/>
      <c r="D15" s="313" t="s">
        <v>2029</v>
      </c>
      <c r="E15" s="308"/>
      <c r="F15" s="313" t="s">
        <v>2030</v>
      </c>
      <c r="G15" s="308"/>
      <c r="H15" s="313" t="s">
        <v>2054</v>
      </c>
      <c r="I15" s="308"/>
      <c r="J15" s="313" t="s">
        <v>2055</v>
      </c>
      <c r="K15" s="308"/>
      <c r="L15" s="313" t="s">
        <v>9</v>
      </c>
      <c r="M15" s="308"/>
      <c r="N15" s="313" t="s">
        <v>2031</v>
      </c>
      <c r="O15" s="308"/>
      <c r="P15" s="313" t="s">
        <v>2032</v>
      </c>
      <c r="Q15" s="308"/>
      <c r="R15" s="313" t="s">
        <v>2032</v>
      </c>
    </row>
    <row r="16" spans="1:22">
      <c r="A16" s="306"/>
      <c r="B16" s="314">
        <v>-1</v>
      </c>
      <c r="C16" s="308"/>
      <c r="D16" s="315">
        <v>-2</v>
      </c>
      <c r="E16" s="308"/>
      <c r="F16" s="314">
        <v>-3</v>
      </c>
      <c r="G16" s="308"/>
      <c r="H16" s="314">
        <v>-4</v>
      </c>
      <c r="I16" s="308"/>
      <c r="J16" s="314">
        <v>-5</v>
      </c>
      <c r="K16" s="308"/>
      <c r="L16" s="314">
        <v>-6</v>
      </c>
      <c r="M16" s="308"/>
      <c r="N16" s="314">
        <v>-7</v>
      </c>
      <c r="O16" s="308"/>
      <c r="P16" s="314">
        <v>-8</v>
      </c>
      <c r="Q16" s="308"/>
      <c r="R16" s="314">
        <v>-9</v>
      </c>
      <c r="T16" s="316"/>
      <c r="U16" s="303"/>
      <c r="V16" s="303"/>
    </row>
    <row r="17" spans="1:22">
      <c r="A17" s="306"/>
      <c r="B17" s="307"/>
      <c r="C17" s="308"/>
      <c r="D17" s="307"/>
      <c r="E17" s="308"/>
      <c r="F17" s="311"/>
      <c r="G17" s="308"/>
      <c r="H17" s="307"/>
      <c r="I17" s="308"/>
      <c r="J17" s="307"/>
      <c r="K17" s="308"/>
      <c r="L17" s="307"/>
      <c r="M17" s="308"/>
      <c r="N17" s="313" t="s">
        <v>2058</v>
      </c>
      <c r="O17" s="308"/>
      <c r="P17" s="307"/>
      <c r="Q17" s="308"/>
      <c r="R17" s="307" t="s">
        <v>2057</v>
      </c>
      <c r="T17" s="303"/>
      <c r="U17" s="303"/>
      <c r="V17" s="303"/>
    </row>
    <row r="18" spans="1:22" ht="21" customHeight="1">
      <c r="A18" s="317">
        <f>1</f>
        <v>1</v>
      </c>
      <c r="B18" s="318" t="s">
        <v>2033</v>
      </c>
      <c r="C18" s="319"/>
      <c r="D18" s="321">
        <f>'SCH B-2'!E27+SUM('SCH B-2.6'!G13:G18)+'SCH B-4'!H22</f>
        <v>8984630595.0489845</v>
      </c>
      <c r="E18" s="320"/>
      <c r="F18" s="321">
        <f>SUM('SCH B-2.2'!F12:F16,'SCH B-2.2'!F21:F24,'SCH B-2.2'!F27,'SCH B-4.1'!E12)*-1</f>
        <v>1451163773.6253018</v>
      </c>
      <c r="G18" s="320"/>
      <c r="H18" s="321">
        <f>SUM('SCH B-2.2'!F25,'SCH B-2.2'!F28)*-1</f>
        <v>9108523.959999999</v>
      </c>
      <c r="I18" s="320"/>
      <c r="J18" s="321">
        <f>SUM('SCH B-2.2'!F17:F20,'SCH B-2.2'!F26)*-1</f>
        <v>175155625.96361053</v>
      </c>
      <c r="K18" s="320"/>
      <c r="L18" s="321">
        <v>0</v>
      </c>
      <c r="M18" s="320"/>
      <c r="N18" s="321">
        <f>D18-SUM(F18:L18)</f>
        <v>7349202671.5000725</v>
      </c>
      <c r="O18" s="320"/>
      <c r="P18" s="321">
        <f>R18-D18</f>
        <v>1110930605.8217697</v>
      </c>
      <c r="Q18" s="320"/>
      <c r="R18" s="321">
        <f>SUM('SCH B-2'!C27+SUM('SCH B-2.6'!D13:D18)+'SCH B-4'!F22)</f>
        <v>10095561200.870754</v>
      </c>
      <c r="T18" s="303"/>
      <c r="U18" s="303"/>
      <c r="V18" s="322"/>
    </row>
    <row r="19" spans="1:22" ht="13.5" customHeight="1">
      <c r="A19" s="306"/>
      <c r="B19" s="318"/>
      <c r="C19" s="319"/>
      <c r="D19" s="323"/>
      <c r="E19" s="320"/>
      <c r="F19" s="323"/>
      <c r="G19" s="320"/>
      <c r="H19" s="323"/>
      <c r="I19" s="320"/>
      <c r="J19" s="323"/>
      <c r="K19" s="320"/>
      <c r="L19" s="323"/>
      <c r="M19" s="320"/>
      <c r="N19" s="323"/>
      <c r="O19" s="320"/>
      <c r="P19" s="323"/>
      <c r="Q19" s="320"/>
      <c r="R19" s="323"/>
      <c r="T19" s="303"/>
      <c r="U19" s="303"/>
      <c r="V19" s="303"/>
    </row>
    <row r="20" spans="1:22" ht="21" customHeight="1">
      <c r="A20" s="317">
        <f>1+A18</f>
        <v>2</v>
      </c>
      <c r="B20" s="318" t="s">
        <v>2034</v>
      </c>
      <c r="C20" s="319"/>
      <c r="D20" s="323"/>
      <c r="E20" s="320"/>
      <c r="F20" s="323"/>
      <c r="G20" s="320"/>
      <c r="H20" s="323"/>
      <c r="I20" s="320"/>
      <c r="J20" s="323"/>
      <c r="K20" s="320"/>
      <c r="L20" s="323"/>
      <c r="M20" s="320"/>
      <c r="N20" s="323"/>
      <c r="O20" s="320"/>
      <c r="P20" s="323"/>
      <c r="Q20" s="320"/>
      <c r="R20" s="323"/>
      <c r="T20" s="303"/>
      <c r="U20" s="303"/>
      <c r="V20" s="303"/>
    </row>
    <row r="21" spans="1:22" ht="21" customHeight="1">
      <c r="A21" s="317">
        <f>1+A20</f>
        <v>3</v>
      </c>
      <c r="B21" s="318" t="s">
        <v>2035</v>
      </c>
      <c r="C21" s="319"/>
      <c r="D21" s="323">
        <f>-'SCH B-3 B'!G116</f>
        <v>3055605875.6690841</v>
      </c>
      <c r="E21" s="320"/>
      <c r="F21" s="323">
        <f>SUM('SCH B-3.1'!F12:F15,'SCH B-3.1'!F20:F23,'SCH B-3.1'!F26)</f>
        <v>101893177.56357004</v>
      </c>
      <c r="G21" s="320"/>
      <c r="H21" s="323">
        <f>SUM('SCH B-3.1'!F27,'SCH B-3.1'!F24)</f>
        <v>2822503.9459919999</v>
      </c>
      <c r="I21" s="320"/>
      <c r="J21" s="323">
        <f>SUM('SCH B-3.1'!F16:F19,'SCH B-3.1'!F25)</f>
        <v>116437365.61267896</v>
      </c>
      <c r="K21" s="320"/>
      <c r="L21" s="323">
        <v>0</v>
      </c>
      <c r="M21" s="320"/>
      <c r="N21" s="323">
        <f>D21-SUM(F21:L21)</f>
        <v>2834452828.5468431</v>
      </c>
      <c r="O21" s="320"/>
      <c r="P21" s="323">
        <f>R21-D21</f>
        <v>403116605.62928057</v>
      </c>
      <c r="Q21" s="320"/>
      <c r="R21" s="323">
        <f>-'SCH B-3 B'!E116</f>
        <v>3458722481.2983646</v>
      </c>
      <c r="T21" s="303"/>
      <c r="U21" s="303"/>
      <c r="V21" s="322"/>
    </row>
    <row r="22" spans="1:22" ht="13.5" customHeight="1">
      <c r="A22" s="317"/>
      <c r="B22" s="318"/>
      <c r="C22" s="319"/>
      <c r="D22" s="323"/>
      <c r="E22" s="320"/>
      <c r="F22" s="323"/>
      <c r="G22" s="320"/>
      <c r="H22" s="323"/>
      <c r="I22" s="320"/>
      <c r="J22" s="323"/>
      <c r="K22" s="320"/>
      <c r="L22" s="323"/>
      <c r="M22" s="320"/>
      <c r="N22" s="323"/>
      <c r="O22" s="320"/>
      <c r="P22" s="323"/>
      <c r="Q22" s="320"/>
      <c r="R22" s="323"/>
      <c r="T22" s="303"/>
      <c r="U22" s="303"/>
      <c r="V22" s="303"/>
    </row>
    <row r="23" spans="1:22" ht="21" customHeight="1">
      <c r="A23" s="317">
        <f>1+A21</f>
        <v>4</v>
      </c>
      <c r="B23" s="318" t="s">
        <v>1502</v>
      </c>
      <c r="C23" s="319"/>
      <c r="D23" s="324">
        <f>D18-D21</f>
        <v>5929024719.3799</v>
      </c>
      <c r="E23" s="320"/>
      <c r="F23" s="324">
        <f>+F18-F21</f>
        <v>1349270596.0617318</v>
      </c>
      <c r="G23" s="320"/>
      <c r="H23" s="324">
        <f>+H18-H21</f>
        <v>6286020.0140079986</v>
      </c>
      <c r="I23" s="320"/>
      <c r="J23" s="324">
        <f>+J18-J21</f>
        <v>58718260.35093157</v>
      </c>
      <c r="K23" s="320"/>
      <c r="L23" s="324">
        <f>+L18-L21</f>
        <v>0</v>
      </c>
      <c r="M23" s="320"/>
      <c r="N23" s="324">
        <f>+N18-N21</f>
        <v>4514749842.9532299</v>
      </c>
      <c r="O23" s="320"/>
      <c r="P23" s="324">
        <f>P18-P21</f>
        <v>707814000.19248915</v>
      </c>
      <c r="Q23" s="320"/>
      <c r="R23" s="324">
        <f>+R18-R21</f>
        <v>6636838719.5723896</v>
      </c>
      <c r="T23" s="303"/>
      <c r="U23" s="303"/>
      <c r="V23" s="320"/>
    </row>
    <row r="24" spans="1:22" ht="13.5" customHeight="1">
      <c r="A24" s="317"/>
      <c r="B24" s="318"/>
      <c r="C24" s="319"/>
      <c r="D24" s="323"/>
      <c r="E24" s="320"/>
      <c r="F24" s="323"/>
      <c r="G24" s="320"/>
      <c r="H24" s="323"/>
      <c r="I24" s="320"/>
      <c r="J24" s="323"/>
      <c r="K24" s="320"/>
      <c r="L24" s="323"/>
      <c r="M24" s="320"/>
      <c r="N24" s="323"/>
      <c r="O24" s="320"/>
      <c r="P24" s="323"/>
      <c r="Q24" s="320"/>
      <c r="R24" s="323"/>
    </row>
    <row r="25" spans="1:22" ht="21" customHeight="1">
      <c r="A25" s="317">
        <f>1+A23</f>
        <v>5</v>
      </c>
      <c r="B25" s="318" t="s">
        <v>2034</v>
      </c>
      <c r="C25" s="319"/>
      <c r="D25" s="323"/>
      <c r="E25" s="320"/>
      <c r="F25" s="323"/>
      <c r="G25" s="320"/>
      <c r="H25" s="323"/>
      <c r="I25" s="320"/>
      <c r="J25" s="323"/>
      <c r="K25" s="320"/>
      <c r="L25" s="323"/>
      <c r="M25" s="320"/>
      <c r="N25" s="323"/>
      <c r="O25" s="320"/>
      <c r="P25" s="323"/>
      <c r="Q25" s="320"/>
      <c r="R25" s="323"/>
      <c r="S25" s="325"/>
    </row>
    <row r="26" spans="1:22" ht="21" customHeight="1">
      <c r="A26" s="317">
        <f>1+A25</f>
        <v>6</v>
      </c>
      <c r="B26" s="318" t="s">
        <v>2036</v>
      </c>
      <c r="C26" s="319"/>
      <c r="D26" s="323">
        <f>'SCH B-6'!F12</f>
        <v>951646.55364259379</v>
      </c>
      <c r="E26" s="320"/>
      <c r="F26" s="323">
        <v>0</v>
      </c>
      <c r="G26" s="320"/>
      <c r="H26" s="323">
        <v>0</v>
      </c>
      <c r="I26" s="320"/>
      <c r="J26" s="323">
        <v>0</v>
      </c>
      <c r="K26" s="320"/>
      <c r="L26" s="323">
        <v>0</v>
      </c>
      <c r="M26" s="320"/>
      <c r="N26" s="323">
        <f t="shared" ref="N26:N28" si="0">D26-SUM(F26:L26)</f>
        <v>951646.55364259379</v>
      </c>
      <c r="O26" s="320"/>
      <c r="P26" s="323">
        <f t="shared" ref="P26:P28" si="1">R26-D26</f>
        <v>29334.816357406205</v>
      </c>
      <c r="Q26" s="320"/>
      <c r="R26" s="323">
        <f>'SCH B-6'!D12</f>
        <v>980981.37</v>
      </c>
      <c r="T26" s="326"/>
    </row>
    <row r="27" spans="1:22" ht="21" customHeight="1">
      <c r="A27" s="317">
        <f>1+A26</f>
        <v>7</v>
      </c>
      <c r="B27" s="318" t="s">
        <v>2037</v>
      </c>
      <c r="C27" s="319"/>
      <c r="D27" s="323">
        <f>'SCH B-6'!F16</f>
        <v>1235326969.3563197</v>
      </c>
      <c r="E27" s="327"/>
      <c r="F27" s="328">
        <f>-'ECR DEFTAX'!M4</f>
        <v>294508460.53322691</v>
      </c>
      <c r="G27" s="327"/>
      <c r="H27" s="328">
        <f>-'DSM DEFTAX'!M2</f>
        <v>1782749.3012646399</v>
      </c>
      <c r="I27" s="327"/>
      <c r="J27" s="328">
        <v>0</v>
      </c>
      <c r="K27" s="327"/>
      <c r="L27" s="328">
        <v>0</v>
      </c>
      <c r="M27" s="327"/>
      <c r="N27" s="328">
        <f t="shared" si="0"/>
        <v>939035759.52182817</v>
      </c>
      <c r="O27" s="327"/>
      <c r="P27" s="323">
        <f t="shared" si="1"/>
        <v>145167572.64368033</v>
      </c>
      <c r="Q27" s="327"/>
      <c r="R27" s="323">
        <f>'SCH B-6'!D16</f>
        <v>1380494542</v>
      </c>
    </row>
    <row r="28" spans="1:22" ht="21" customHeight="1">
      <c r="A28" s="317">
        <f>A27+1</f>
        <v>8</v>
      </c>
      <c r="B28" s="331" t="s">
        <v>2038</v>
      </c>
      <c r="C28" s="319"/>
      <c r="D28" s="323">
        <f>'SCH B-6'!F14</f>
        <v>79747509.863892987</v>
      </c>
      <c r="E28" s="320"/>
      <c r="F28" s="320">
        <v>0</v>
      </c>
      <c r="G28" s="320"/>
      <c r="H28" s="320">
        <v>0</v>
      </c>
      <c r="I28" s="320"/>
      <c r="J28" s="320">
        <v>0</v>
      </c>
      <c r="K28" s="320"/>
      <c r="L28" s="320">
        <v>0</v>
      </c>
      <c r="M28" s="320"/>
      <c r="N28" s="320">
        <f t="shared" si="0"/>
        <v>79747509.863892987</v>
      </c>
      <c r="O28" s="320"/>
      <c r="P28" s="323">
        <f t="shared" si="1"/>
        <v>11876536.136107028</v>
      </c>
      <c r="Q28" s="320"/>
      <c r="R28" s="323">
        <f>'SCH B-6'!D14</f>
        <v>91624046.000000015</v>
      </c>
    </row>
    <row r="29" spans="1:22" ht="12" customHeight="1">
      <c r="A29" s="317"/>
      <c r="B29" s="318"/>
      <c r="C29" s="319"/>
      <c r="D29" s="320"/>
      <c r="E29" s="320"/>
      <c r="F29" s="320"/>
      <c r="G29" s="320"/>
      <c r="H29" s="320"/>
      <c r="I29" s="320"/>
      <c r="J29" s="320"/>
      <c r="K29" s="320"/>
      <c r="L29" s="320"/>
      <c r="M29" s="320"/>
      <c r="N29" s="320"/>
      <c r="O29" s="320"/>
      <c r="P29" s="320"/>
      <c r="Q29" s="320"/>
      <c r="R29" s="320"/>
    </row>
    <row r="30" spans="1:22" ht="21" customHeight="1">
      <c r="A30" s="317">
        <f>1+A28</f>
        <v>9</v>
      </c>
      <c r="B30" s="318" t="s">
        <v>2039</v>
      </c>
      <c r="C30" s="319"/>
      <c r="D30" s="324">
        <f>SUM(D26:D29)</f>
        <v>1316026125.7738552</v>
      </c>
      <c r="E30" s="320"/>
      <c r="F30" s="324">
        <f>SUM(F26:F29)</f>
        <v>294508460.53322691</v>
      </c>
      <c r="G30" s="320"/>
      <c r="H30" s="324">
        <f>SUM(H26:H29)</f>
        <v>1782749.3012646399</v>
      </c>
      <c r="I30" s="320"/>
      <c r="J30" s="324">
        <f>SUM(J26:J29)</f>
        <v>0</v>
      </c>
      <c r="K30" s="320"/>
      <c r="L30" s="324">
        <f>SUM(L26:L29)</f>
        <v>0</v>
      </c>
      <c r="M30" s="320"/>
      <c r="N30" s="324">
        <f>SUM(N26:N29)</f>
        <v>1019734915.9393638</v>
      </c>
      <c r="O30" s="320"/>
      <c r="P30" s="324">
        <f>SUM(P26:P29)</f>
        <v>157073443.59614477</v>
      </c>
      <c r="Q30" s="320"/>
      <c r="R30" s="324">
        <f>SUM(R26:R29)</f>
        <v>1473099569.3699999</v>
      </c>
    </row>
    <row r="31" spans="1:22" ht="13.5" customHeight="1">
      <c r="A31" s="306"/>
      <c r="B31" s="318"/>
      <c r="C31" s="319"/>
      <c r="D31" s="323"/>
      <c r="E31" s="320"/>
      <c r="F31" s="323"/>
      <c r="G31" s="320"/>
      <c r="H31" s="323"/>
      <c r="I31" s="320"/>
      <c r="J31" s="323"/>
      <c r="K31" s="320"/>
      <c r="L31" s="323"/>
      <c r="M31" s="320"/>
      <c r="N31" s="323"/>
      <c r="O31" s="320"/>
      <c r="P31" s="323"/>
      <c r="Q31" s="320"/>
      <c r="R31" s="323"/>
    </row>
    <row r="32" spans="1:22" ht="21" customHeight="1">
      <c r="A32" s="306">
        <f>1+A30</f>
        <v>10</v>
      </c>
      <c r="B32" s="318" t="s">
        <v>2040</v>
      </c>
      <c r="C32" s="319"/>
      <c r="D32" s="324">
        <f>D23-D30</f>
        <v>4612998593.6060448</v>
      </c>
      <c r="E32" s="320"/>
      <c r="F32" s="324">
        <f>+F23-F30</f>
        <v>1054762135.5285048</v>
      </c>
      <c r="G32" s="320"/>
      <c r="H32" s="324">
        <f>+H23-H30</f>
        <v>4503270.7127433587</v>
      </c>
      <c r="I32" s="320"/>
      <c r="J32" s="324">
        <f>+J23-J30</f>
        <v>58718260.35093157</v>
      </c>
      <c r="K32" s="320"/>
      <c r="L32" s="324">
        <f>+L23-L30</f>
        <v>0</v>
      </c>
      <c r="M32" s="320"/>
      <c r="N32" s="324">
        <f>+N23-N30</f>
        <v>3495014927.0138659</v>
      </c>
      <c r="O32" s="320"/>
      <c r="P32" s="324">
        <f>P23-P30</f>
        <v>550740556.59634435</v>
      </c>
      <c r="Q32" s="320"/>
      <c r="R32" s="324">
        <f>+R23-R30</f>
        <v>5163739150.2023897</v>
      </c>
    </row>
    <row r="33" spans="1:19" ht="15" customHeight="1">
      <c r="A33" s="306"/>
      <c r="B33" s="318"/>
      <c r="C33" s="319"/>
      <c r="D33" s="323"/>
      <c r="E33" s="320"/>
      <c r="F33" s="323"/>
      <c r="G33" s="320"/>
      <c r="H33" s="323"/>
      <c r="I33" s="320"/>
      <c r="J33" s="323"/>
      <c r="K33" s="320"/>
      <c r="L33" s="323"/>
      <c r="M33" s="320"/>
      <c r="N33" s="323"/>
      <c r="O33" s="320"/>
      <c r="P33" s="323"/>
      <c r="Q33" s="320"/>
      <c r="R33" s="323"/>
    </row>
    <row r="34" spans="1:19" ht="21" customHeight="1">
      <c r="A34" s="306">
        <f>1+A32</f>
        <v>11</v>
      </c>
      <c r="B34" s="318" t="s">
        <v>2041</v>
      </c>
      <c r="C34" s="319"/>
      <c r="D34" s="323"/>
      <c r="E34" s="320"/>
      <c r="F34" s="323"/>
      <c r="G34" s="320"/>
      <c r="H34" s="323"/>
      <c r="I34" s="320"/>
      <c r="J34" s="323"/>
      <c r="K34" s="320"/>
      <c r="L34" s="323"/>
      <c r="M34" s="320"/>
      <c r="N34" s="323"/>
      <c r="O34" s="320"/>
      <c r="P34" s="323"/>
      <c r="Q34" s="320"/>
      <c r="R34" s="323"/>
    </row>
    <row r="35" spans="1:19" ht="21" customHeight="1">
      <c r="A35" s="317">
        <f>1+A34</f>
        <v>12</v>
      </c>
      <c r="B35" s="331" t="s">
        <v>2042</v>
      </c>
      <c r="C35" s="319"/>
      <c r="D35" s="328">
        <f>'SCH B-5'!G13+'SCH B-5'!G15</f>
        <v>109067414.1573939</v>
      </c>
      <c r="E35" s="320"/>
      <c r="F35" s="323">
        <v>0</v>
      </c>
      <c r="G35" s="320"/>
      <c r="H35" s="323">
        <v>0</v>
      </c>
      <c r="I35" s="320"/>
      <c r="J35" s="323">
        <v>0</v>
      </c>
      <c r="K35" s="320"/>
      <c r="L35" s="323">
        <v>0</v>
      </c>
      <c r="M35" s="320"/>
      <c r="N35" s="323">
        <f t="shared" ref="N35:N37" si="2">D35-SUM(F35:L35)</f>
        <v>109067414.1573939</v>
      </c>
      <c r="O35" s="320"/>
      <c r="P35" s="328">
        <f t="shared" ref="P35:P38" si="3">R35-D35</f>
        <v>14271886.842606097</v>
      </c>
      <c r="Q35" s="320"/>
      <c r="R35" s="328">
        <f>'SCH B-5'!E13+'SCH B-5'!E15</f>
        <v>123339301</v>
      </c>
    </row>
    <row r="36" spans="1:19" ht="21" customHeight="1">
      <c r="A36" s="317">
        <f>1+A35</f>
        <v>13</v>
      </c>
      <c r="B36" s="332" t="s">
        <v>2043</v>
      </c>
      <c r="C36" s="319"/>
      <c r="D36" s="328">
        <f>'SCH B-5'!G17</f>
        <v>15329715.377801962</v>
      </c>
      <c r="E36" s="320"/>
      <c r="F36" s="323">
        <v>0</v>
      </c>
      <c r="G36" s="320"/>
      <c r="H36" s="323">
        <v>0</v>
      </c>
      <c r="I36" s="320"/>
      <c r="J36" s="323">
        <v>0</v>
      </c>
      <c r="K36" s="320"/>
      <c r="L36" s="323">
        <v>0</v>
      </c>
      <c r="M36" s="320"/>
      <c r="N36" s="323">
        <f t="shared" si="2"/>
        <v>15329715.377801962</v>
      </c>
      <c r="O36" s="320"/>
      <c r="P36" s="328">
        <f t="shared" si="3"/>
        <v>956393.25915067829</v>
      </c>
      <c r="Q36" s="320"/>
      <c r="R36" s="328">
        <f>'SCH B-5'!E17</f>
        <v>16286108.63695264</v>
      </c>
    </row>
    <row r="37" spans="1:19" ht="21" customHeight="1">
      <c r="A37" s="317">
        <f>1+A36</f>
        <v>14</v>
      </c>
      <c r="B37" s="318" t="s">
        <v>2044</v>
      </c>
      <c r="C37" s="319"/>
      <c r="D37" s="328">
        <f>'SCH B-5'!G19+F37</f>
        <v>113981.13937935673</v>
      </c>
      <c r="E37" s="320"/>
      <c r="F37" s="328">
        <f>'ECR ALLOW'!O7*1000</f>
        <v>113981.13937935673</v>
      </c>
      <c r="G37" s="320"/>
      <c r="H37" s="323">
        <v>0</v>
      </c>
      <c r="I37" s="320"/>
      <c r="J37" s="323">
        <v>0</v>
      </c>
      <c r="K37" s="320"/>
      <c r="L37" s="323">
        <v>0</v>
      </c>
      <c r="M37" s="320"/>
      <c r="N37" s="323">
        <f t="shared" si="2"/>
        <v>0</v>
      </c>
      <c r="O37" s="320"/>
      <c r="P37" s="328">
        <f t="shared" si="3"/>
        <v>16024.860620643274</v>
      </c>
      <c r="Q37" s="320"/>
      <c r="R37" s="328">
        <f>'JURISSEP B'!$E$30</f>
        <v>130006</v>
      </c>
      <c r="S37" s="330"/>
    </row>
    <row r="38" spans="1:19" ht="21" customHeight="1">
      <c r="A38" s="317">
        <f>1+A37</f>
        <v>15</v>
      </c>
      <c r="B38" s="318" t="s">
        <v>2664</v>
      </c>
      <c r="C38" s="319"/>
      <c r="D38" s="320">
        <f>'SCH B-5.2 B (1)'!$Q78</f>
        <v>55945780.897078604</v>
      </c>
      <c r="E38" s="320"/>
      <c r="F38" s="320">
        <f ca="1">'SCH B-5.2 B (1)'!$Q80</f>
        <v>2900008.3762499974</v>
      </c>
      <c r="G38" s="320"/>
      <c r="H38" s="320">
        <v>0</v>
      </c>
      <c r="I38" s="320"/>
      <c r="J38" s="320">
        <v>0</v>
      </c>
      <c r="K38" s="320"/>
      <c r="L38" s="320">
        <v>0</v>
      </c>
      <c r="M38" s="320"/>
      <c r="N38" s="320">
        <f ca="1">D38-SUM(F38:L38)</f>
        <v>53045772.520828605</v>
      </c>
      <c r="O38" s="320"/>
      <c r="P38" s="320">
        <f t="shared" si="3"/>
        <v>13133109.73037596</v>
      </c>
      <c r="Q38" s="320"/>
      <c r="R38" s="320">
        <f>'JURISSEP B'!$E$29</f>
        <v>69078890.627454564</v>
      </c>
    </row>
    <row r="39" spans="1:19" ht="21" customHeight="1">
      <c r="A39" s="317">
        <f t="shared" ref="A39" si="4">A38+1</f>
        <v>16</v>
      </c>
      <c r="B39" s="467" t="s">
        <v>2266</v>
      </c>
      <c r="C39" s="345"/>
      <c r="D39" s="345">
        <f>-'SCH B-6'!F18</f>
        <v>62293698</v>
      </c>
      <c r="E39" s="345"/>
      <c r="F39" s="345">
        <f>'SCH B-6'!G18</f>
        <v>62293698</v>
      </c>
      <c r="G39" s="345"/>
      <c r="H39" s="323">
        <v>0</v>
      </c>
      <c r="I39" s="320"/>
      <c r="J39" s="323">
        <v>0</v>
      </c>
      <c r="K39" s="320"/>
      <c r="L39" s="323">
        <v>0</v>
      </c>
      <c r="M39" s="320"/>
      <c r="N39" s="323">
        <f t="shared" ref="N39" si="5">D39-SUM(F39:L39)</f>
        <v>0</v>
      </c>
      <c r="O39" s="320"/>
      <c r="P39" s="328">
        <f t="shared" ref="P39" si="6">R39-D39</f>
        <v>7339924.4276371151</v>
      </c>
      <c r="Q39" s="320"/>
      <c r="R39" s="323">
        <f>-'SCH B-6'!D18</f>
        <v>69633622.427637115</v>
      </c>
      <c r="S39" s="330"/>
    </row>
    <row r="40" spans="1:19" ht="13.5" customHeight="1">
      <c r="A40" s="317"/>
      <c r="B40" s="318"/>
      <c r="C40" s="319"/>
      <c r="D40" s="320"/>
      <c r="E40" s="320"/>
      <c r="F40" s="320"/>
      <c r="G40" s="320"/>
      <c r="H40" s="320"/>
      <c r="I40" s="320"/>
      <c r="J40" s="320"/>
      <c r="K40" s="320"/>
      <c r="L40" s="320"/>
      <c r="M40" s="320"/>
      <c r="N40" s="320"/>
      <c r="O40" s="320"/>
      <c r="P40" s="320"/>
      <c r="Q40" s="320"/>
      <c r="R40" s="320"/>
    </row>
    <row r="41" spans="1:19" ht="21" customHeight="1">
      <c r="A41" s="317">
        <f>A39+1</f>
        <v>17</v>
      </c>
      <c r="B41" s="329" t="s">
        <v>2045</v>
      </c>
      <c r="C41" s="319"/>
      <c r="D41" s="324">
        <f>SUM(D35:D39)</f>
        <v>242750589.57165381</v>
      </c>
      <c r="E41" s="320"/>
      <c r="F41" s="324">
        <f ca="1">SUM(F35:F39)</f>
        <v>65307687.515629351</v>
      </c>
      <c r="G41" s="320"/>
      <c r="H41" s="324">
        <f>SUM(H35:H39)</f>
        <v>0</v>
      </c>
      <c r="I41" s="320"/>
      <c r="J41" s="324">
        <f>SUM(J35:J39)</f>
        <v>0</v>
      </c>
      <c r="K41" s="320"/>
      <c r="L41" s="324">
        <f>SUM(L35:L39)</f>
        <v>0</v>
      </c>
      <c r="M41" s="320"/>
      <c r="N41" s="324">
        <f ca="1">SUM(N35:N39)</f>
        <v>177442902.05602446</v>
      </c>
      <c r="O41" s="320"/>
      <c r="P41" s="324">
        <f>SUM(P35:P39)</f>
        <v>35717339.120390497</v>
      </c>
      <c r="Q41" s="320"/>
      <c r="R41" s="324">
        <f>SUM(R35:R39)</f>
        <v>278467928.69204432</v>
      </c>
    </row>
    <row r="42" spans="1:19" ht="13.5" customHeight="1">
      <c r="A42" s="317"/>
      <c r="B42" s="318"/>
      <c r="C42" s="319"/>
      <c r="D42" s="323"/>
      <c r="E42" s="320"/>
      <c r="F42" s="323"/>
      <c r="G42" s="320"/>
      <c r="H42" s="323"/>
      <c r="I42" s="320"/>
      <c r="J42" s="323"/>
      <c r="K42" s="320"/>
      <c r="L42" s="323"/>
      <c r="M42" s="320"/>
      <c r="N42" s="323"/>
      <c r="O42" s="320"/>
      <c r="P42" s="323"/>
      <c r="Q42" s="320"/>
      <c r="R42" s="323"/>
    </row>
    <row r="43" spans="1:19" ht="21" customHeight="1" thickBot="1">
      <c r="A43" s="317">
        <f>1+A41</f>
        <v>18</v>
      </c>
      <c r="B43" s="331" t="s">
        <v>2046</v>
      </c>
      <c r="C43" s="319"/>
      <c r="D43" s="333">
        <f>+D32+D41</f>
        <v>4855749183.1776981</v>
      </c>
      <c r="E43" s="334"/>
      <c r="F43" s="333">
        <f ca="1">+F32+F41</f>
        <v>1120069823.0441341</v>
      </c>
      <c r="G43" s="334"/>
      <c r="H43" s="333">
        <f>+H32+H41</f>
        <v>4503270.7127433587</v>
      </c>
      <c r="I43" s="334"/>
      <c r="J43" s="333">
        <f>+J32+J41</f>
        <v>58718260.35093157</v>
      </c>
      <c r="K43" s="334"/>
      <c r="L43" s="333">
        <f>+L32+L41</f>
        <v>0</v>
      </c>
      <c r="M43" s="334"/>
      <c r="N43" s="333">
        <f ca="1">+N32+N41</f>
        <v>3672457829.0698905</v>
      </c>
      <c r="O43" s="334"/>
      <c r="P43" s="333">
        <f>+P32+P41</f>
        <v>586457895.71673489</v>
      </c>
      <c r="Q43" s="334"/>
      <c r="R43" s="333">
        <f>+R32+R41</f>
        <v>5442207078.894434</v>
      </c>
    </row>
    <row r="44" spans="1:19" ht="13.5" customHeight="1" thickTop="1">
      <c r="A44" s="317"/>
      <c r="B44" s="318"/>
      <c r="C44" s="319"/>
      <c r="D44" s="323"/>
      <c r="E44" s="320"/>
      <c r="F44" s="323"/>
      <c r="G44" s="320"/>
      <c r="H44" s="323"/>
      <c r="I44" s="320"/>
      <c r="J44" s="323"/>
      <c r="K44" s="320"/>
      <c r="L44" s="323"/>
      <c r="M44" s="320"/>
      <c r="N44" s="323"/>
      <c r="O44" s="320"/>
      <c r="P44" s="323"/>
      <c r="Q44" s="320"/>
      <c r="R44" s="323"/>
    </row>
    <row r="45" spans="1:19" ht="21" customHeight="1">
      <c r="A45" s="317">
        <f>1+A43</f>
        <v>19</v>
      </c>
      <c r="B45" s="332" t="s">
        <v>2059</v>
      </c>
      <c r="C45" s="319"/>
      <c r="D45" s="328"/>
      <c r="E45" s="320"/>
      <c r="F45" s="323"/>
      <c r="G45" s="320"/>
      <c r="H45" s="323"/>
      <c r="I45" s="320"/>
      <c r="J45" s="323">
        <f>-J43</f>
        <v>-58718260.35093157</v>
      </c>
      <c r="K45" s="320"/>
      <c r="L45" s="323">
        <v>0</v>
      </c>
      <c r="M45" s="320"/>
      <c r="N45" s="323">
        <f t="shared" ref="N45" si="7">D45-SUM(F45:L45)</f>
        <v>58718260.35093157</v>
      </c>
      <c r="O45" s="320"/>
      <c r="P45" s="328"/>
      <c r="Q45" s="320"/>
      <c r="R45" s="328">
        <f>SUM(D45,P45)</f>
        <v>0</v>
      </c>
    </row>
    <row r="46" spans="1:19" ht="15.75" customHeight="1">
      <c r="A46" s="317"/>
      <c r="C46" s="319"/>
      <c r="D46" s="323"/>
      <c r="E46" s="320"/>
      <c r="F46" s="323"/>
      <c r="G46" s="320"/>
      <c r="H46" s="323"/>
      <c r="I46" s="320"/>
      <c r="J46" s="323"/>
      <c r="K46" s="320"/>
      <c r="L46" s="323"/>
      <c r="M46" s="320"/>
      <c r="N46" s="323"/>
      <c r="O46" s="320"/>
      <c r="P46" s="323"/>
      <c r="Q46" s="320"/>
      <c r="R46" s="323"/>
    </row>
    <row r="47" spans="1:19" ht="21" customHeight="1" thickBot="1">
      <c r="A47" s="317">
        <f>1+A45</f>
        <v>20</v>
      </c>
      <c r="B47" s="345" t="s">
        <v>2060</v>
      </c>
      <c r="C47" s="319"/>
      <c r="D47" s="333">
        <f>D43+D45</f>
        <v>4855749183.1776981</v>
      </c>
      <c r="E47" s="334"/>
      <c r="F47" s="333">
        <f ca="1">F43+F45</f>
        <v>1120069823.0441341</v>
      </c>
      <c r="G47" s="334"/>
      <c r="H47" s="333">
        <f>H43+H45</f>
        <v>4503270.7127433587</v>
      </c>
      <c r="I47" s="334"/>
      <c r="J47" s="333">
        <f>J43+J45</f>
        <v>0</v>
      </c>
      <c r="K47" s="334"/>
      <c r="L47" s="333">
        <f>L43+L45</f>
        <v>0</v>
      </c>
      <c r="M47" s="334"/>
      <c r="N47" s="333">
        <f ca="1">N43+N45</f>
        <v>3731176089.4208221</v>
      </c>
      <c r="O47" s="334"/>
      <c r="P47" s="333">
        <f>P43+P45</f>
        <v>586457895.71673489</v>
      </c>
      <c r="Q47" s="334"/>
      <c r="R47" s="333">
        <f>R43+R45</f>
        <v>5442207078.894434</v>
      </c>
    </row>
    <row r="48" spans="1:19" ht="13.5" customHeight="1" thickTop="1">
      <c r="A48" s="317"/>
      <c r="B48" s="318"/>
      <c r="C48" s="319"/>
      <c r="D48" s="323"/>
      <c r="E48" s="320"/>
      <c r="F48" s="323"/>
      <c r="G48" s="320"/>
      <c r="H48" s="323"/>
      <c r="I48" s="320"/>
      <c r="J48" s="323"/>
      <c r="K48" s="320"/>
      <c r="L48" s="323"/>
      <c r="M48" s="320"/>
      <c r="N48" s="323"/>
      <c r="O48" s="320"/>
      <c r="P48" s="323"/>
      <c r="Q48" s="320"/>
      <c r="R48" s="323"/>
    </row>
    <row r="49" spans="1:21" ht="21" customHeight="1" thickBot="1">
      <c r="A49" s="335">
        <f>1+A47</f>
        <v>21</v>
      </c>
      <c r="B49" s="331" t="s">
        <v>2047</v>
      </c>
      <c r="C49" s="302"/>
      <c r="D49" s="336">
        <f>ROUND(D47/$R47,4)</f>
        <v>0.89219999999999999</v>
      </c>
      <c r="E49" s="302"/>
      <c r="F49" s="336">
        <f ca="1">ROUND(F47/$R47,4)</f>
        <v>0.20580000000000001</v>
      </c>
      <c r="G49" s="302"/>
      <c r="H49" s="336">
        <f>ROUND(H47/$R47,4)</f>
        <v>8.0000000000000004E-4</v>
      </c>
      <c r="I49" s="302"/>
      <c r="J49" s="336">
        <f>ROUND(J47/$R47,4)</f>
        <v>0</v>
      </c>
      <c r="K49" s="302"/>
      <c r="L49" s="336">
        <f>ROUND(L47/$R47,4)</f>
        <v>0</v>
      </c>
      <c r="M49" s="302"/>
      <c r="N49" s="336">
        <f ca="1">ROUND(N47/$R47,4)</f>
        <v>0.68559999999999999</v>
      </c>
      <c r="O49" s="302"/>
      <c r="P49" s="336">
        <f>ROUND(P47/$R47,4)</f>
        <v>0.10780000000000001</v>
      </c>
      <c r="Q49" s="302"/>
      <c r="R49" s="336">
        <f>ROUND(R47/$R47,4)</f>
        <v>1</v>
      </c>
    </row>
    <row r="50" spans="1:21" ht="18.95" customHeight="1" thickTop="1">
      <c r="A50" s="302"/>
      <c r="C50" s="302"/>
      <c r="E50" s="302"/>
      <c r="F50" s="337"/>
      <c r="G50" s="302"/>
      <c r="I50" s="302"/>
      <c r="K50" s="302"/>
      <c r="M50" s="302"/>
      <c r="N50" s="338"/>
      <c r="O50" s="302"/>
      <c r="Q50" s="302"/>
    </row>
    <row r="51" spans="1:21" ht="18.95" customHeight="1">
      <c r="A51" s="339" t="s">
        <v>2048</v>
      </c>
      <c r="B51" s="331" t="s">
        <v>2049</v>
      </c>
      <c r="C51" s="302"/>
      <c r="E51" s="302"/>
      <c r="F51" s="337"/>
      <c r="G51" s="302"/>
      <c r="I51" s="302"/>
      <c r="K51" s="302"/>
      <c r="M51" s="302"/>
      <c r="N51" s="344"/>
      <c r="O51" s="302"/>
      <c r="Q51" s="302"/>
    </row>
    <row r="52" spans="1:21" ht="18.95" customHeight="1">
      <c r="A52" s="340" t="s">
        <v>2050</v>
      </c>
      <c r="B52" s="341" t="s">
        <v>2051</v>
      </c>
      <c r="C52" s="302"/>
      <c r="E52" s="302"/>
      <c r="F52" s="342"/>
      <c r="G52" s="302"/>
      <c r="I52" s="302"/>
      <c r="K52" s="302"/>
      <c r="M52" s="302"/>
      <c r="O52" s="302"/>
      <c r="Q52" s="302"/>
    </row>
    <row r="53" spans="1:21" ht="18.95" customHeight="1">
      <c r="A53" s="340" t="s">
        <v>2052</v>
      </c>
      <c r="B53" s="302" t="s">
        <v>2053</v>
      </c>
      <c r="C53" s="302"/>
      <c r="E53" s="302"/>
      <c r="G53" s="302"/>
      <c r="I53" s="302"/>
      <c r="K53" s="302"/>
      <c r="M53" s="302"/>
      <c r="O53" s="302"/>
      <c r="Q53" s="302"/>
      <c r="T53" s="343"/>
      <c r="U53" s="343"/>
    </row>
  </sheetData>
  <mergeCells count="4">
    <mergeCell ref="A5:R5"/>
    <mergeCell ref="A7:R7"/>
    <mergeCell ref="A8:R8"/>
    <mergeCell ref="A9:R9"/>
  </mergeCells>
  <printOptions horizontalCentered="1"/>
  <pageMargins left="0" right="0" top="0.75" bottom="0" header="0.75" footer="0.5"/>
  <pageSetup scale="5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69"/>
  <sheetViews>
    <sheetView zoomScaleNormal="100" workbookViewId="0">
      <selection activeCell="K43" sqref="K43"/>
    </sheetView>
  </sheetViews>
  <sheetFormatPr defaultColWidth="9" defaultRowHeight="12.75"/>
  <cols>
    <col min="1" max="1" width="6" style="69" customWidth="1"/>
    <col min="2" max="2" width="7.6640625" style="69" customWidth="1"/>
    <col min="3" max="3" width="29.77734375" style="69" customWidth="1"/>
    <col min="4" max="6" width="15.77734375" style="69" customWidth="1"/>
    <col min="7" max="7" width="15.33203125" style="69" customWidth="1"/>
    <col min="8" max="8" width="33" style="69" customWidth="1"/>
    <col min="9" max="9" width="1.6640625" style="69" customWidth="1"/>
    <col min="10" max="10" width="9" style="69"/>
    <col min="11" max="11" width="18" style="69" customWidth="1"/>
    <col min="12" max="16384" width="9" style="69"/>
  </cols>
  <sheetData>
    <row r="1" spans="1:11" s="68" customFormat="1" ht="20.100000000000001" customHeight="1">
      <c r="A1" s="769" t="str">
        <f>'Rate Case Constants'!C9</f>
        <v>KENTUCKY UTILITIES COMPANY</v>
      </c>
      <c r="B1" s="769"/>
      <c r="C1" s="769"/>
      <c r="D1" s="769"/>
      <c r="E1" s="769"/>
      <c r="F1" s="769"/>
      <c r="G1" s="769"/>
      <c r="H1" s="769"/>
    </row>
    <row r="2" spans="1:11" s="68" customFormat="1" ht="20.100000000000001" customHeight="1">
      <c r="A2" s="769" t="str">
        <f>'Rate Case Constants'!C10</f>
        <v>CASE NO. 2018-00294 - RESPONSE TO PSC 2-65 (SLIPPAGE FACTOR 96.027%)</v>
      </c>
      <c r="B2" s="769"/>
      <c r="C2" s="769"/>
      <c r="D2" s="769"/>
      <c r="E2" s="769"/>
      <c r="F2" s="769"/>
      <c r="G2" s="769"/>
      <c r="H2" s="769"/>
    </row>
    <row r="3" spans="1:11" s="68" customFormat="1" ht="20.100000000000001" customHeight="1">
      <c r="A3" s="769" t="s">
        <v>215</v>
      </c>
      <c r="B3" s="769"/>
      <c r="C3" s="769"/>
      <c r="D3" s="769"/>
      <c r="E3" s="769"/>
      <c r="F3" s="769"/>
      <c r="G3" s="769"/>
      <c r="H3" s="769"/>
    </row>
    <row r="4" spans="1:11" s="68" customFormat="1" ht="20.100000000000001" customHeight="1">
      <c r="A4" s="769" t="str">
        <f>'Rate Case Constants'!C12</f>
        <v>AS OF DECEMBER 31, 2018</v>
      </c>
      <c r="B4" s="769"/>
      <c r="C4" s="769"/>
      <c r="D4" s="769"/>
      <c r="E4" s="769"/>
      <c r="F4" s="769"/>
      <c r="G4" s="769"/>
      <c r="H4" s="769"/>
    </row>
    <row r="5" spans="1:11" s="68" customFormat="1" ht="20.100000000000001" customHeight="1">
      <c r="A5" s="84"/>
      <c r="B5" s="84"/>
      <c r="C5" s="84"/>
      <c r="D5" s="84"/>
      <c r="E5" s="84"/>
      <c r="F5" s="84"/>
      <c r="G5" s="84"/>
      <c r="H5" s="84"/>
    </row>
    <row r="6" spans="1:11" s="68" customFormat="1" ht="20.100000000000001" customHeight="1">
      <c r="A6" s="67" t="s">
        <v>133</v>
      </c>
      <c r="B6" s="67"/>
      <c r="G6" s="74"/>
      <c r="H6" s="74" t="s">
        <v>214</v>
      </c>
    </row>
    <row r="7" spans="1:11" s="68" customFormat="1" ht="20.100000000000001" customHeight="1">
      <c r="A7" s="68" t="str">
        <f>'Rate Case Constants'!C29</f>
        <v>TYPE OF FILING: __X__ ORIGINAL  _____ UPDATED  _____ REVISED</v>
      </c>
      <c r="G7" s="74"/>
      <c r="H7" s="74" t="s">
        <v>177</v>
      </c>
    </row>
    <row r="8" spans="1:11" s="68" customFormat="1" ht="20.100000000000001" customHeight="1">
      <c r="A8" s="67" t="s">
        <v>1198</v>
      </c>
      <c r="B8" s="67"/>
      <c r="F8" s="67"/>
      <c r="G8" s="75"/>
      <c r="H8" s="75" t="str">
        <f>'Rate Case Constants'!C36</f>
        <v>WITNESS:   C. M. GARRETT</v>
      </c>
    </row>
    <row r="9" spans="1:11" s="68" customFormat="1" ht="20.100000000000001" customHeight="1"/>
    <row r="10" spans="1:11" ht="58.5" customHeight="1">
      <c r="A10" s="76" t="s">
        <v>131</v>
      </c>
      <c r="B10" s="76" t="s">
        <v>134</v>
      </c>
      <c r="C10" s="79" t="s">
        <v>135</v>
      </c>
      <c r="D10" s="76" t="s">
        <v>216</v>
      </c>
      <c r="E10" s="76" t="s">
        <v>217</v>
      </c>
      <c r="F10" s="76" t="s">
        <v>218</v>
      </c>
      <c r="G10" s="76" t="s">
        <v>219</v>
      </c>
      <c r="H10" s="76" t="s">
        <v>220</v>
      </c>
      <c r="K10" s="497" t="s">
        <v>2186</v>
      </c>
    </row>
    <row r="11" spans="1:11" ht="23.1" customHeight="1">
      <c r="A11" s="80"/>
      <c r="B11" s="80"/>
      <c r="C11" s="81"/>
      <c r="D11" s="82" t="s">
        <v>142</v>
      </c>
      <c r="E11" s="350"/>
      <c r="F11" s="82" t="s">
        <v>142</v>
      </c>
      <c r="G11" s="82"/>
      <c r="H11" s="82"/>
      <c r="K11" s="419" t="s">
        <v>2183</v>
      </c>
    </row>
    <row r="12" spans="1:11" ht="18.95" customHeight="1">
      <c r="A12" s="282">
        <v>1</v>
      </c>
      <c r="B12" s="390">
        <v>310</v>
      </c>
      <c r="C12" s="67" t="s">
        <v>154</v>
      </c>
      <c r="D12" s="396">
        <f>SUMIFS('FCPIS B'!$T$6:$T$901,'FCPIS B'!$G$6:$G$901,$J12,'FCPIS B'!$B$6:$B$901,"KY",'FCPIS B'!$D$6:$D$901,"P",'FCPIS B'!$E$6:$E$901,$B12)*-1000</f>
        <v>-13041006.0399999</v>
      </c>
      <c r="E12" s="137">
        <f>'SCH B-2.1 B'!E19</f>
        <v>0.87673530496058716</v>
      </c>
      <c r="F12" s="396">
        <f t="shared" ref="F12:F15" si="0">D12*E12</f>
        <v>-11433510.407472171</v>
      </c>
      <c r="H12" s="68" t="s">
        <v>2002</v>
      </c>
      <c r="J12" s="68" t="s">
        <v>2183</v>
      </c>
      <c r="K12" s="396">
        <f>SUMIFS('FCPIS B'!$T$6:$T$901,'FCPIS B'!$G$6:$G$901,$K11,'FCPIS B'!$B$6:$B$901,"KY",'FCPIS B'!$D$6:$D$901,"P")*-1000</f>
        <v>-1425114592.9699988</v>
      </c>
    </row>
    <row r="13" spans="1:11" ht="18.95" customHeight="1">
      <c r="A13" s="282">
        <f>A12+1</f>
        <v>2</v>
      </c>
      <c r="B13" s="390">
        <v>311</v>
      </c>
      <c r="C13" s="67" t="s">
        <v>148</v>
      </c>
      <c r="D13" s="396">
        <f>SUMIFS('FCPIS B'!$T$6:$T$901,'FCPIS B'!$G$6:$G$901,$J13,'FCPIS B'!$B$6:$B$901,"KY",'FCPIS B'!$D$6:$D$901,"P",'FCPIS B'!$E$6:$E$901,$B13)*-1000</f>
        <v>-24803207.66</v>
      </c>
      <c r="E13" s="137">
        <f>'SCH B-2.1 B'!E20</f>
        <v>0.86792787670626392</v>
      </c>
      <c r="F13" s="396">
        <f t="shared" si="0"/>
        <v>-21527395.359848343</v>
      </c>
      <c r="H13" s="68" t="s">
        <v>2002</v>
      </c>
      <c r="J13" s="68" t="s">
        <v>2183</v>
      </c>
      <c r="K13" s="88">
        <f>SUM(D12:D16,D21:D24,D27)-'ECR Exclusion'!$G$6</f>
        <v>-1425114592.9699986</v>
      </c>
    </row>
    <row r="14" spans="1:11" ht="18.95" customHeight="1">
      <c r="A14" s="282">
        <f>A13+1</f>
        <v>3</v>
      </c>
      <c r="B14" s="390">
        <v>312</v>
      </c>
      <c r="C14" s="67" t="s">
        <v>1629</v>
      </c>
      <c r="D14" s="396">
        <f>SUMIFS('FCPIS B'!$T$6:$T$901,'FCPIS B'!$G$6:$G$901,$J14,'FCPIS B'!$B$6:$B$901,"KY",'FCPIS B'!$D$6:$D$901,"P",'FCPIS B'!$E$6:$E$901,$B14)*-1000+'ECR Exclusion'!$G$6</f>
        <v>-1339657379.6799998</v>
      </c>
      <c r="E14" s="137">
        <f>'SCH B-2.1 B'!E21</f>
        <v>0.87020459299024178</v>
      </c>
      <c r="F14" s="396">
        <f t="shared" si="0"/>
        <v>-1165776004.8308082</v>
      </c>
      <c r="H14" s="68" t="s">
        <v>2002</v>
      </c>
      <c r="J14" s="68" t="s">
        <v>2183</v>
      </c>
      <c r="K14" s="88">
        <f>K12-K13</f>
        <v>0</v>
      </c>
    </row>
    <row r="15" spans="1:11" ht="18.95" customHeight="1">
      <c r="A15" s="282">
        <f>A14+1</f>
        <v>4</v>
      </c>
      <c r="B15" s="390">
        <v>315</v>
      </c>
      <c r="C15" s="67" t="s">
        <v>1633</v>
      </c>
      <c r="D15" s="396">
        <f>SUMIFS('FCPIS B'!$T$6:$T$901,'FCPIS B'!$G$6:$G$901,$J15,'FCPIS B'!$B$6:$B$901,"KY",'FCPIS B'!$D$6:$D$901,"P",'FCPIS B'!$E$6:$E$901,$B15)*-1000</f>
        <v>-36312139.769999996</v>
      </c>
      <c r="E15" s="137">
        <f>'SCH B-2.1 B'!E24</f>
        <v>0.86660355329883765</v>
      </c>
      <c r="F15" s="396">
        <f t="shared" si="0"/>
        <v>-31468229.352566034</v>
      </c>
      <c r="H15" s="68" t="s">
        <v>2002</v>
      </c>
      <c r="J15" s="68" t="s">
        <v>2183</v>
      </c>
    </row>
    <row r="16" spans="1:11" ht="18.95" customHeight="1">
      <c r="A16" s="422">
        <f t="shared" ref="A16:A28" si="1">A15+1</f>
        <v>5</v>
      </c>
      <c r="B16" s="421">
        <v>316</v>
      </c>
      <c r="C16" s="78" t="s">
        <v>1635</v>
      </c>
      <c r="D16" s="396">
        <f>SUMIFS('FCPIS B'!$T$6:$T$901,'FCPIS B'!$G$6:$G$901,$J16,'FCPIS B'!$B$6:$B$901,"KY",'FCPIS B'!$D$6:$D$901,"P",'FCPIS B'!$E$6:$E$901,$B16)*-1000</f>
        <v>-824923.38</v>
      </c>
      <c r="E16" s="137">
        <f>'SCH B-2.1 B'!E25</f>
        <v>0.87084456988807568</v>
      </c>
      <c r="F16" s="396">
        <f t="shared" ref="F16" si="2">D16*E16</f>
        <v>-718380.04604671767</v>
      </c>
      <c r="H16" s="68" t="s">
        <v>2002</v>
      </c>
      <c r="J16" s="68" t="s">
        <v>2183</v>
      </c>
      <c r="K16" s="419" t="s">
        <v>2184</v>
      </c>
    </row>
    <row r="17" spans="1:11" ht="18.95" customHeight="1">
      <c r="A17" s="422">
        <f t="shared" si="1"/>
        <v>6</v>
      </c>
      <c r="B17" s="390" t="str">
        <f>'SCH B-2.1 B'!B$26</f>
        <v>317</v>
      </c>
      <c r="C17" s="67" t="str">
        <f>'SCH B-2.1 B'!C$26</f>
        <v>ARO Cost Steam Production</v>
      </c>
      <c r="D17" s="396">
        <f>SUMIFS('FCPIS B'!$T$6:$T$901,'FCPIS B'!$G$6:$G$901,$J17,'FCPIS B'!$B$6:$B$901,"KY",'FCPIS B'!$D$6:$D$901,"P",'FCPIS B'!$E$6:$E$901,$B17)*-1000</f>
        <v>-197376730.81</v>
      </c>
      <c r="E17" s="137">
        <f>'SCH B-2.1 B'!E$26</f>
        <v>0.87673530496058716</v>
      </c>
      <c r="F17" s="396">
        <f>D17*E17</f>
        <v>-173047148.27882907</v>
      </c>
      <c r="H17" s="68" t="s">
        <v>1417</v>
      </c>
      <c r="J17" s="68" t="s">
        <v>2184</v>
      </c>
      <c r="K17" s="396">
        <f>SUMIFS('FCPIS B'!$T$6:$T$901,'FCPIS B'!$G$6:$G$901,$K16,'FCPIS B'!$B$6:$B$901,"KY",'FCPIS B'!$D$6:$D$901,"P")*-1000</f>
        <v>-199639120.99000004</v>
      </c>
    </row>
    <row r="18" spans="1:11" ht="18.95" customHeight="1">
      <c r="A18" s="422">
        <f t="shared" si="1"/>
        <v>7</v>
      </c>
      <c r="B18" s="390" t="str">
        <f>'SCH B-2.1 B'!B$37</f>
        <v>337</v>
      </c>
      <c r="C18" s="67" t="str">
        <f>'SCH B-2.1 B'!C$37</f>
        <v>ARO Cost Hydro Production</v>
      </c>
      <c r="D18" s="396">
        <f>SUMIFS('FCPIS B'!$T$6:$T$901,'FCPIS B'!$G$6:$G$901,$J18,'FCPIS B'!$B$6:$B$901,"KY",'FCPIS B'!$D$6:$D$901,"P",'FCPIS B'!$E$6:$E$901,$B18)*-1000</f>
        <v>-645787.99</v>
      </c>
      <c r="E18" s="137">
        <f>'SCH B-2.1 B'!E$37</f>
        <v>0.87673530496058716</v>
      </c>
      <c r="F18" s="396">
        <f>D18*E18</f>
        <v>-566185.13035253459</v>
      </c>
      <c r="H18" s="68" t="s">
        <v>1417</v>
      </c>
      <c r="J18" s="68" t="s">
        <v>2184</v>
      </c>
      <c r="K18" s="88">
        <f>SUM(D17:D20,D26)</f>
        <v>-199639120.99000001</v>
      </c>
    </row>
    <row r="19" spans="1:11" ht="18.95" customHeight="1">
      <c r="A19" s="422">
        <f t="shared" si="1"/>
        <v>8</v>
      </c>
      <c r="B19" s="421" t="str">
        <f>'SCH B-2.1 B'!B$59</f>
        <v>347</v>
      </c>
      <c r="C19" s="67" t="str">
        <f>'SCH B-2.1 B'!C$59</f>
        <v>ARO Cost Other Production</v>
      </c>
      <c r="D19" s="396">
        <f>SUMIFS('FCPIS B'!$T$6:$T$901,'FCPIS B'!$G$6:$G$901,$J19,'FCPIS B'!$B$6:$B$901,"KY",'FCPIS B'!$D$6:$D$901,"P",'FCPIS B'!$E$6:$E$901,$B19)*-1000</f>
        <v>-406991.12</v>
      </c>
      <c r="E19" s="137">
        <f>'SCH B-2.1 B'!E$59</f>
        <v>0.87673530496058716</v>
      </c>
      <c r="F19" s="396">
        <f>D19*E19</f>
        <v>-356823.48370945093</v>
      </c>
      <c r="H19" s="68" t="s">
        <v>1417</v>
      </c>
      <c r="J19" s="68" t="s">
        <v>2184</v>
      </c>
      <c r="K19" s="88">
        <f>K17-K18</f>
        <v>0</v>
      </c>
    </row>
    <row r="20" spans="1:11" ht="18.95" customHeight="1">
      <c r="A20" s="422">
        <f t="shared" si="1"/>
        <v>9</v>
      </c>
      <c r="B20" s="390" t="str">
        <f>'SCH B-2.1 B'!B$71</f>
        <v>359</v>
      </c>
      <c r="C20" s="67" t="str">
        <f>'SCH B-2.1 B'!C$71</f>
        <v>ARO Cost Elec Transmission</v>
      </c>
      <c r="D20" s="396">
        <f>SUMIFS('FCPIS B'!$T$6:$T$901,'FCPIS B'!$G$6:$G$901,$J20,'FCPIS B'!$B$6:$B$901,"KY",'FCPIS B'!$D$6:$D$901,"P",'FCPIS B'!$E$6:$E$901,$B20)*-1000</f>
        <v>-551323.88</v>
      </c>
      <c r="E20" s="137">
        <f>'SCH B-2.1 B'!E71</f>
        <v>0.95621085870522027</v>
      </c>
      <c r="F20" s="396">
        <f>D20*E20</f>
        <v>-527181.88071949384</v>
      </c>
      <c r="H20" s="68" t="s">
        <v>1417</v>
      </c>
      <c r="J20" s="68" t="s">
        <v>2184</v>
      </c>
    </row>
    <row r="21" spans="1:11" ht="18.95" customHeight="1">
      <c r="A21" s="422">
        <f t="shared" si="1"/>
        <v>10</v>
      </c>
      <c r="B21" s="421">
        <v>364</v>
      </c>
      <c r="C21" s="78" t="s">
        <v>1681</v>
      </c>
      <c r="D21" s="396">
        <f>SUMIFS('FCPIS B'!$T$6:$T$901,'FCPIS B'!$G$6:$G$901,$J21,'FCPIS B'!$B$6:$B$901,"KY",'FCPIS B'!$D$6:$D$901,"P",'FCPIS B'!$E$6:$E$901,$B21)*-1000</f>
        <v>-26531.199999999997</v>
      </c>
      <c r="E21" s="137">
        <f>'SCH B-2.1 B'!E78</f>
        <v>0.92621126939833942</v>
      </c>
      <c r="F21" s="396">
        <f t="shared" ref="F21:F25" si="3">D21*E21</f>
        <v>-24573.49643066122</v>
      </c>
      <c r="H21" s="68" t="s">
        <v>2002</v>
      </c>
      <c r="J21" s="68" t="s">
        <v>2183</v>
      </c>
      <c r="K21" s="419" t="s">
        <v>2185</v>
      </c>
    </row>
    <row r="22" spans="1:11" ht="18.95" customHeight="1">
      <c r="A22" s="422">
        <f t="shared" si="1"/>
        <v>11</v>
      </c>
      <c r="B22" s="421">
        <v>365</v>
      </c>
      <c r="C22" s="78" t="s">
        <v>1670</v>
      </c>
      <c r="D22" s="396">
        <f>SUMIFS('FCPIS B'!$T$6:$T$901,'FCPIS B'!$G$6:$G$901,$J22,'FCPIS B'!$B$6:$B$901,"KY",'FCPIS B'!$D$6:$D$901,"P",'FCPIS B'!$E$6:$E$901,$B22)*-1000</f>
        <v>-23599.41</v>
      </c>
      <c r="E22" s="137">
        <f>'SCH B-2.1 B'!E79</f>
        <v>0.93141283155637211</v>
      </c>
      <c r="F22" s="396">
        <f t="shared" si="3"/>
        <v>-21980.793291159764</v>
      </c>
      <c r="H22" s="68" t="s">
        <v>2002</v>
      </c>
      <c r="J22" s="68" t="s">
        <v>2183</v>
      </c>
      <c r="K22" s="396">
        <f>SUMIFS('FCPIS B'!$T$6:$T$901,'FCPIS B'!$G$6:$G$901,$K21,'FCPIS B'!$B$6:$B$901,"KY",'FCPIS B'!$D$6:$D$901,"P")*-1000</f>
        <v>-9108523.959999999</v>
      </c>
    </row>
    <row r="23" spans="1:11" ht="18.95" customHeight="1">
      <c r="A23" s="422">
        <f t="shared" si="1"/>
        <v>12</v>
      </c>
      <c r="B23" s="421">
        <v>366</v>
      </c>
      <c r="C23" s="78" t="s">
        <v>1672</v>
      </c>
      <c r="D23" s="396">
        <f>SUMIFS('FCPIS B'!$T$6:$T$901,'FCPIS B'!$G$6:$G$901,$J23,'FCPIS B'!$B$6:$B$901,"KY",'FCPIS B'!$D$6:$D$901,"P",'FCPIS B'!$E$6:$E$901,$B23)*-1000</f>
        <v>-171002.52000000002</v>
      </c>
      <c r="E23" s="137">
        <f>'SCH B-2.1 B'!E80</f>
        <v>1</v>
      </c>
      <c r="F23" s="396">
        <f t="shared" si="3"/>
        <v>-171002.52000000002</v>
      </c>
      <c r="H23" s="68" t="s">
        <v>2002</v>
      </c>
      <c r="J23" s="68" t="s">
        <v>2183</v>
      </c>
      <c r="K23" s="88">
        <f>SUM(D28,D25)</f>
        <v>-9108523.959999999</v>
      </c>
    </row>
    <row r="24" spans="1:11" ht="18.95" customHeight="1">
      <c r="A24" s="497">
        <f t="shared" si="1"/>
        <v>13</v>
      </c>
      <c r="B24" s="421">
        <v>367</v>
      </c>
      <c r="C24" s="78" t="s">
        <v>1674</v>
      </c>
      <c r="D24" s="396">
        <f>SUMIFS('FCPIS B'!$T$6:$T$901,'FCPIS B'!$G$6:$G$901,$J24,'FCPIS B'!$B$6:$B$901,"KY",'FCPIS B'!$D$6:$D$901,"P",'FCPIS B'!$E$6:$E$901,$B24)*-1000</f>
        <v>-1326115.3699999999</v>
      </c>
      <c r="E24" s="137">
        <f>'SCH B-2.1 B'!E81</f>
        <v>0.97746964624951327</v>
      </c>
      <c r="F24" s="396">
        <f t="shared" si="3"/>
        <v>-1296237.5215999424</v>
      </c>
      <c r="H24" s="68" t="s">
        <v>2002</v>
      </c>
      <c r="J24" s="68" t="s">
        <v>2183</v>
      </c>
      <c r="K24" s="88">
        <f>K22-K23</f>
        <v>0</v>
      </c>
    </row>
    <row r="25" spans="1:11" ht="18.95" customHeight="1">
      <c r="A25" s="497">
        <f t="shared" si="1"/>
        <v>14</v>
      </c>
      <c r="B25" s="496">
        <v>370</v>
      </c>
      <c r="C25" s="67" t="s">
        <v>1690</v>
      </c>
      <c r="D25" s="396">
        <f>SUMIFS('FCPIS B'!$T$6:$T$901,'FCPIS B'!$G$6:$G$901,$J25,'FCPIS B'!$B$6:$B$901,"KY",'FCPIS B'!$D$6:$D$901,"P",'FCPIS B'!$E$6:$E$901,$B25)*-1000</f>
        <v>-1331333.5999999999</v>
      </c>
      <c r="E25" s="395">
        <v>1</v>
      </c>
      <c r="F25" s="396">
        <f t="shared" si="3"/>
        <v>-1331333.5999999999</v>
      </c>
      <c r="H25" s="68" t="s">
        <v>2003</v>
      </c>
      <c r="J25" s="68" t="s">
        <v>2185</v>
      </c>
    </row>
    <row r="26" spans="1:11" ht="18.95" customHeight="1">
      <c r="A26" s="497">
        <f t="shared" si="1"/>
        <v>15</v>
      </c>
      <c r="B26" s="390" t="str">
        <f>'SCH B-2.1 B'!B$87</f>
        <v>374</v>
      </c>
      <c r="C26" s="67" t="str">
        <f>'SCH B-2.1 B'!C$87</f>
        <v>ARO Cost Elec Distribution</v>
      </c>
      <c r="D26" s="396">
        <f>SUMIFS('FCPIS B'!$T$6:$T$901,'FCPIS B'!$G$6:$G$901,$J26,'FCPIS B'!$B$6:$B$901,"KY",'FCPIS B'!$D$6:$D$901,"P",'FCPIS B'!$E$6:$E$901,$B26)*-1000</f>
        <v>-658287.19000000006</v>
      </c>
      <c r="E26" s="137">
        <f>'SCH B-2.1 B'!E$87</f>
        <v>1</v>
      </c>
      <c r="F26" s="396">
        <f>D26*E26</f>
        <v>-658287.19000000006</v>
      </c>
      <c r="H26" s="68" t="s">
        <v>1417</v>
      </c>
      <c r="J26" s="68" t="s">
        <v>2184</v>
      </c>
    </row>
    <row r="27" spans="1:11" ht="18.95" customHeight="1">
      <c r="A27" s="497">
        <f t="shared" si="1"/>
        <v>16</v>
      </c>
      <c r="B27" s="390">
        <v>392</v>
      </c>
      <c r="C27" s="67" t="s">
        <v>155</v>
      </c>
      <c r="D27" s="396">
        <f>SUMIFS('FCPIS B'!$T$6:$T$901,'FCPIS B'!$G$6:$G$901,$J27,'FCPIS B'!$B$6:$B$901,"KY",'FCPIS B'!$D$6:$D$901,"P",'FCPIS B'!$E$6:$E$901,$B27)*-1000</f>
        <v>-19403.82</v>
      </c>
      <c r="E27" s="395">
        <f>'SCH B-2.1 B'!E$104</f>
        <v>0.90502527949833733</v>
      </c>
      <c r="F27" s="396">
        <f t="shared" ref="F27" si="4">D27*E27</f>
        <v>-17560.947618835427</v>
      </c>
      <c r="H27" s="68" t="s">
        <v>2002</v>
      </c>
      <c r="J27" s="68" t="s">
        <v>2183</v>
      </c>
    </row>
    <row r="28" spans="1:11" ht="18.95" customHeight="1">
      <c r="A28" s="497">
        <f t="shared" si="1"/>
        <v>17</v>
      </c>
      <c r="B28" s="390">
        <v>397</v>
      </c>
      <c r="C28" s="67" t="s">
        <v>157</v>
      </c>
      <c r="D28" s="396">
        <f>SUMIFS('FCPIS B'!$T$6:$T$901,'FCPIS B'!$G$6:$G$901,$J28,'FCPIS B'!$B$6:$B$901,"KY",'FCPIS B'!$D$6:$D$901,"P",'FCPIS B'!$E$6:$E$901,$B28)*-1000</f>
        <v>-7777190.3599999994</v>
      </c>
      <c r="E28" s="395">
        <v>1</v>
      </c>
      <c r="F28" s="396">
        <f t="shared" ref="F28" si="5">D28*E28</f>
        <v>-7777190.3599999994</v>
      </c>
      <c r="H28" s="68" t="s">
        <v>2003</v>
      </c>
      <c r="J28" s="68" t="s">
        <v>2185</v>
      </c>
    </row>
    <row r="29" spans="1:11" ht="18.95" customHeight="1">
      <c r="A29" s="300"/>
      <c r="B29" s="390"/>
      <c r="C29" s="67"/>
      <c r="D29" s="396"/>
      <c r="E29" s="395"/>
      <c r="F29" s="396"/>
      <c r="H29" s="68"/>
    </row>
    <row r="30" spans="1:11" ht="18.95" customHeight="1" thickBot="1">
      <c r="A30" s="300">
        <f>A28+1</f>
        <v>18</v>
      </c>
      <c r="B30" s="390"/>
      <c r="C30" s="67" t="s">
        <v>2022</v>
      </c>
      <c r="D30" s="394">
        <f>SUM(D12:D29)</f>
        <v>-1624952953.7999995</v>
      </c>
      <c r="E30" s="395"/>
      <c r="F30" s="394">
        <f>SUM(F12:F29)</f>
        <v>-1416719025.1992922</v>
      </c>
      <c r="H30" s="68"/>
    </row>
    <row r="31" spans="1:11" ht="18.95" customHeight="1" thickTop="1">
      <c r="B31" s="71"/>
      <c r="D31" s="86"/>
    </row>
    <row r="32" spans="1:11" s="68" customFormat="1" ht="20.100000000000001" customHeight="1">
      <c r="A32" s="769" t="str">
        <f>$A$1</f>
        <v>KENTUCKY UTILITIES COMPANY</v>
      </c>
      <c r="B32" s="769"/>
      <c r="C32" s="769"/>
      <c r="D32" s="769"/>
      <c r="E32" s="769"/>
      <c r="F32" s="769"/>
      <c r="G32" s="769"/>
      <c r="H32" s="769"/>
    </row>
    <row r="33" spans="1:11" s="68" customFormat="1" ht="20.100000000000001" customHeight="1">
      <c r="A33" s="769" t="str">
        <f>$A$2</f>
        <v>CASE NO. 2018-00294 - RESPONSE TO PSC 2-65 (SLIPPAGE FACTOR 96.027%)</v>
      </c>
      <c r="B33" s="769"/>
      <c r="C33" s="769"/>
      <c r="D33" s="769"/>
      <c r="E33" s="769"/>
      <c r="F33" s="769"/>
      <c r="G33" s="769"/>
      <c r="H33" s="769"/>
    </row>
    <row r="34" spans="1:11" s="68" customFormat="1" ht="20.100000000000001" customHeight="1">
      <c r="A34" s="769" t="str">
        <f>$A$3</f>
        <v>PROPOSED ADJUSTMENTS TO PLANT IN SERVICE</v>
      </c>
      <c r="B34" s="769"/>
      <c r="C34" s="769"/>
      <c r="D34" s="769"/>
      <c r="E34" s="769"/>
      <c r="F34" s="769"/>
      <c r="G34" s="769"/>
      <c r="H34" s="769"/>
    </row>
    <row r="35" spans="1:11" s="68" customFormat="1" ht="20.100000000000001" customHeight="1">
      <c r="A35" s="769" t="str">
        <f>'Rate Case Constants'!C18</f>
        <v>AS OF APRIL 30, 2020</v>
      </c>
      <c r="B35" s="769"/>
      <c r="C35" s="769"/>
      <c r="D35" s="769"/>
      <c r="E35" s="769"/>
      <c r="F35" s="769"/>
      <c r="G35" s="769"/>
      <c r="H35" s="769"/>
    </row>
    <row r="36" spans="1:11" s="68" customFormat="1" ht="20.100000000000001" customHeight="1">
      <c r="A36" s="84"/>
      <c r="B36" s="84"/>
      <c r="C36" s="84"/>
      <c r="D36" s="84"/>
      <c r="E36" s="84"/>
      <c r="F36" s="84"/>
      <c r="G36" s="84"/>
      <c r="H36" s="84"/>
    </row>
    <row r="37" spans="1:11" s="68" customFormat="1" ht="20.100000000000001" customHeight="1">
      <c r="A37" s="67" t="s">
        <v>161</v>
      </c>
      <c r="B37" s="67"/>
      <c r="G37" s="74"/>
      <c r="H37" s="74" t="s">
        <v>214</v>
      </c>
    </row>
    <row r="38" spans="1:11" s="68" customFormat="1" ht="20.100000000000001" customHeight="1">
      <c r="A38" s="67" t="str">
        <f>$A$7</f>
        <v>TYPE OF FILING: __X__ ORIGINAL  _____ UPDATED  _____ REVISED</v>
      </c>
      <c r="G38" s="74"/>
      <c r="H38" s="74" t="s">
        <v>185</v>
      </c>
    </row>
    <row r="39" spans="1:11" s="68" customFormat="1" ht="20.100000000000001" customHeight="1">
      <c r="A39" s="67" t="str">
        <f>$A$8</f>
        <v>WORKPAPER REFERENCE NO(S).:</v>
      </c>
      <c r="B39" s="67"/>
      <c r="F39" s="67"/>
      <c r="G39" s="75"/>
      <c r="H39" s="75" t="str">
        <f>$H$8</f>
        <v>WITNESS:   C. M. GARRETT</v>
      </c>
    </row>
    <row r="40" spans="1:11" s="68" customFormat="1" ht="20.100000000000001" customHeight="1"/>
    <row r="41" spans="1:11" ht="58.5" customHeight="1">
      <c r="A41" s="76" t="s">
        <v>131</v>
      </c>
      <c r="B41" s="76" t="s">
        <v>134</v>
      </c>
      <c r="C41" s="79" t="s">
        <v>135</v>
      </c>
      <c r="D41" s="76" t="s">
        <v>216</v>
      </c>
      <c r="E41" s="76" t="s">
        <v>217</v>
      </c>
      <c r="F41" s="76" t="s">
        <v>218</v>
      </c>
      <c r="G41" s="76" t="s">
        <v>219</v>
      </c>
      <c r="H41" s="76" t="s">
        <v>220</v>
      </c>
      <c r="K41" s="418" t="s">
        <v>2186</v>
      </c>
    </row>
    <row r="42" spans="1:11" ht="23.1" customHeight="1">
      <c r="A42" s="80"/>
      <c r="B42" s="80"/>
      <c r="C42" s="81"/>
      <c r="D42" s="82" t="s">
        <v>142</v>
      </c>
      <c r="E42" s="82"/>
      <c r="F42" s="82" t="s">
        <v>142</v>
      </c>
      <c r="G42" s="82"/>
      <c r="H42" s="82"/>
      <c r="K42" s="419" t="s">
        <v>2183</v>
      </c>
    </row>
    <row r="43" spans="1:11" ht="18.95" customHeight="1">
      <c r="A43" s="283">
        <v>1</v>
      </c>
      <c r="B43" s="390">
        <f t="shared" ref="B43:B49" si="6">B12</f>
        <v>310</v>
      </c>
      <c r="C43" s="67" t="s">
        <v>154</v>
      </c>
      <c r="D43" s="396">
        <f>SUMIFS('FCPIS F'!$V$6:$V$901,'FCPIS F'!$G$6:$G$901,$J43,'FCPIS F'!$B$6:$B$901,"KY",'FCPIS F'!$D$6:$D$901,"P",'FCPIS F'!$E$6:$E$901,$B43)*-1000</f>
        <v>-13041006.0399999</v>
      </c>
      <c r="E43" s="137">
        <f>'SCH B-2.1 F'!E19</f>
        <v>0.93741603079505242</v>
      </c>
      <c r="F43" s="396">
        <f t="shared" ref="F43:F46" si="7">D43*E43</f>
        <v>-12224848.119591011</v>
      </c>
      <c r="H43" s="68" t="s">
        <v>2002</v>
      </c>
      <c r="J43" s="68" t="s">
        <v>2183</v>
      </c>
      <c r="K43" s="396">
        <f>SUMIFS('FCPIS F'!$V$6:$V$901,'FCPIS F'!$G$6:$G$901,$K42,'FCPIS F'!$B$6:$B$901,"KY",'FCPIS F'!$D$6:$D$901,"P")*-1000</f>
        <v>-1639995250.3653843</v>
      </c>
    </row>
    <row r="44" spans="1:11" ht="18.95" customHeight="1">
      <c r="A44" s="283">
        <f>A43+1</f>
        <v>2</v>
      </c>
      <c r="B44" s="421">
        <f t="shared" si="6"/>
        <v>311</v>
      </c>
      <c r="C44" s="67" t="s">
        <v>148</v>
      </c>
      <c r="D44" s="396">
        <f>SUMIFS('FCPIS F'!$V$6:$V$901,'FCPIS F'!$G$6:$G$901,$J44,'FCPIS F'!$B$6:$B$901,"KY",'FCPIS F'!$D$6:$D$901,"P",'FCPIS F'!$E$6:$E$901,$B44)*-1000</f>
        <v>-24803207.659999993</v>
      </c>
      <c r="E44" s="137">
        <f>'SCH B-2.1 F'!E20</f>
        <v>0.93447697627128501</v>
      </c>
      <c r="F44" s="396">
        <f t="shared" si="7"/>
        <v>-23178026.495945569</v>
      </c>
      <c r="H44" s="68" t="s">
        <v>2002</v>
      </c>
      <c r="J44" s="68" t="s">
        <v>2183</v>
      </c>
      <c r="K44" s="88">
        <f>SUM(D43:D47,D52:D55,D58)-'ECR Exclusion'!$G$6</f>
        <v>-1639995250.3653843</v>
      </c>
    </row>
    <row r="45" spans="1:11" ht="18.95" customHeight="1">
      <c r="A45" s="283">
        <f>A44+1</f>
        <v>3</v>
      </c>
      <c r="B45" s="421">
        <f t="shared" si="6"/>
        <v>312</v>
      </c>
      <c r="C45" s="67" t="s">
        <v>1629</v>
      </c>
      <c r="D45" s="396">
        <f>SUMIFS('FCPIS F'!$V$6:$V$901,'FCPIS F'!$G$6:$G$901,$J45,'FCPIS F'!$B$6:$B$901,"KY",'FCPIS F'!$D$6:$D$901,"P",'FCPIS F'!$E$6:$E$901,$B45)*-1000+'ECR Exclusion'!$G$6</f>
        <v>-1554538037.0753856</v>
      </c>
      <c r="E45" s="137">
        <f>'SCH B-2.1 F'!E21</f>
        <v>0.93568261572784073</v>
      </c>
      <c r="F45" s="396">
        <f t="shared" si="7"/>
        <v>-1454554216.7791197</v>
      </c>
      <c r="H45" s="68" t="s">
        <v>2002</v>
      </c>
      <c r="J45" s="68" t="s">
        <v>2183</v>
      </c>
      <c r="K45" s="88">
        <f>K43-K44</f>
        <v>0</v>
      </c>
    </row>
    <row r="46" spans="1:11" ht="18.95" customHeight="1">
      <c r="A46" s="283">
        <f>A45+1</f>
        <v>4</v>
      </c>
      <c r="B46" s="421">
        <f t="shared" si="6"/>
        <v>315</v>
      </c>
      <c r="C46" s="67" t="s">
        <v>1633</v>
      </c>
      <c r="D46" s="396">
        <f>SUMIFS('FCPIS F'!$V$6:$V$901,'FCPIS F'!$G$6:$G$901,$J46,'FCPIS F'!$B$6:$B$901,"KY",'FCPIS F'!$D$6:$D$901,"P",'FCPIS F'!$E$6:$E$901,$B46)*-1000</f>
        <v>-36312139.770000003</v>
      </c>
      <c r="E46" s="137">
        <f>'SCH B-2.1 F'!E24</f>
        <v>0.93373859160184203</v>
      </c>
      <c r="F46" s="396">
        <f t="shared" si="7"/>
        <v>-33906046.24688904</v>
      </c>
      <c r="H46" s="68" t="s">
        <v>2002</v>
      </c>
      <c r="J46" s="68" t="s">
        <v>2183</v>
      </c>
    </row>
    <row r="47" spans="1:11" ht="18.95" customHeight="1">
      <c r="A47" s="422">
        <f t="shared" ref="A47:A59" si="8">A46+1</f>
        <v>5</v>
      </c>
      <c r="B47" s="421">
        <f t="shared" si="6"/>
        <v>316</v>
      </c>
      <c r="C47" s="78" t="s">
        <v>1635</v>
      </c>
      <c r="D47" s="396">
        <f>SUMIFS('FCPIS F'!$V$6:$V$901,'FCPIS F'!$G$6:$G$901,$J47,'FCPIS F'!$B$6:$B$901,"KY",'FCPIS F'!$D$6:$D$901,"P",'FCPIS F'!$E$6:$E$901,$B47)*-1000</f>
        <v>-824923.38000000012</v>
      </c>
      <c r="E47" s="137">
        <f>'SCH B-2.1 F'!E25</f>
        <v>0.93546269718939867</v>
      </c>
      <c r="F47" s="396">
        <f t="shared" ref="F47" si="9">D47*E47</f>
        <v>-771685.05002939538</v>
      </c>
      <c r="H47" s="68" t="s">
        <v>2002</v>
      </c>
      <c r="J47" s="68" t="s">
        <v>2183</v>
      </c>
      <c r="K47" s="419" t="s">
        <v>2184</v>
      </c>
    </row>
    <row r="48" spans="1:11" ht="18.95" customHeight="1">
      <c r="A48" s="422">
        <f t="shared" si="8"/>
        <v>6</v>
      </c>
      <c r="B48" s="421" t="str">
        <f t="shared" si="6"/>
        <v>317</v>
      </c>
      <c r="C48" s="67" t="str">
        <f>'SCH B-2.1 F'!C$26</f>
        <v>ARO Cost Steam Production</v>
      </c>
      <c r="D48" s="396">
        <f>SUMIFS('FCPIS F'!$V$6:$V$901,'FCPIS F'!$G$6:$G$901,$J48,'FCPIS F'!$B$6:$B$901,"KY",'FCPIS F'!$D$6:$D$901,"P",'FCPIS F'!$E$6:$E$901,$B48)*-1000</f>
        <v>-178310652.40384617</v>
      </c>
      <c r="E48" s="137">
        <f>'SCH B-2.1 F'!E$26</f>
        <v>0.93741603079505254</v>
      </c>
      <c r="F48" s="396">
        <f>D48*E48</f>
        <v>-167151264.02488977</v>
      </c>
      <c r="H48" s="68" t="s">
        <v>1417</v>
      </c>
      <c r="J48" s="68" t="s">
        <v>2184</v>
      </c>
      <c r="K48" s="396">
        <f>SUMIFS('FCPIS F'!$V$6:$V$901,'FCPIS F'!$G$6:$G$901,$K47,'FCPIS F'!$B$6:$B$901,"KY",'FCPIS F'!$D$6:$D$901,"P")*-1000</f>
        <v>-180573042.58384618</v>
      </c>
    </row>
    <row r="49" spans="1:11" ht="18.95" customHeight="1">
      <c r="A49" s="422">
        <f t="shared" si="8"/>
        <v>7</v>
      </c>
      <c r="B49" s="421" t="str">
        <f t="shared" si="6"/>
        <v>337</v>
      </c>
      <c r="C49" s="67" t="str">
        <f>'SCH B-2.1 F'!C$37</f>
        <v>ARO Cost Hydro Production</v>
      </c>
      <c r="D49" s="396">
        <f>SUMIFS('FCPIS F'!$V$6:$V$901,'FCPIS F'!$G$6:$G$901,$J49,'FCPIS F'!$B$6:$B$901,"KY",'FCPIS F'!$D$6:$D$901,"P",'FCPIS F'!$E$6:$E$901,$B49)*-1000</f>
        <v>-645787.98999999987</v>
      </c>
      <c r="E49" s="137">
        <f>'SCH B-2.1 F'!E$37</f>
        <v>0.93741603079505242</v>
      </c>
      <c r="F49" s="396">
        <f>D49*E49</f>
        <v>-605372.01432091487</v>
      </c>
      <c r="H49" s="68" t="s">
        <v>1417</v>
      </c>
      <c r="J49" s="68" t="s">
        <v>2184</v>
      </c>
      <c r="K49" s="88">
        <f>SUM(D48:D51,D57)</f>
        <v>-180573042.58384618</v>
      </c>
    </row>
    <row r="50" spans="1:11" ht="18.95" customHeight="1">
      <c r="A50" s="422">
        <f t="shared" si="8"/>
        <v>8</v>
      </c>
      <c r="B50" s="421" t="str">
        <f>'SCH B-2.1 B'!B$59</f>
        <v>347</v>
      </c>
      <c r="C50" s="67" t="str">
        <f>'SCH B-2.1 F'!C$59</f>
        <v>ARO Cost Other Production</v>
      </c>
      <c r="D50" s="396">
        <f>SUMIFS('FCPIS F'!$V$6:$V$901,'FCPIS F'!$G$6:$G$901,$J50,'FCPIS F'!$B$6:$B$901,"KY",'FCPIS F'!$D$6:$D$901,"P",'FCPIS F'!$E$6:$E$901,$B50)*-1000</f>
        <v>-406991.12</v>
      </c>
      <c r="E50" s="137">
        <f>'SCH B-2.1 F'!E$59</f>
        <v>0.93741603079505242</v>
      </c>
      <c r="F50" s="396">
        <f>D50*E50</f>
        <v>-381520.00027923286</v>
      </c>
      <c r="H50" s="68" t="s">
        <v>1417</v>
      </c>
      <c r="J50" s="68" t="s">
        <v>2184</v>
      </c>
      <c r="K50" s="88">
        <f>K48-K49</f>
        <v>0</v>
      </c>
    </row>
    <row r="51" spans="1:11" ht="18.95" customHeight="1">
      <c r="A51" s="422">
        <f t="shared" si="8"/>
        <v>9</v>
      </c>
      <c r="B51" s="421" t="str">
        <f>B20</f>
        <v>359</v>
      </c>
      <c r="C51" s="67" t="str">
        <f>'SCH B-2.1 F'!C$71</f>
        <v>ARO Cost Elec Transmission</v>
      </c>
      <c r="D51" s="396">
        <f>SUMIFS('FCPIS F'!$V$6:$V$901,'FCPIS F'!$G$6:$G$901,$J51,'FCPIS F'!$B$6:$B$901,"KY",'FCPIS F'!$D$6:$D$901,"P",'FCPIS F'!$E$6:$E$901,$B51)*-1000</f>
        <v>-551323.88</v>
      </c>
      <c r="E51" s="137">
        <f>'SCH B-2.1 F'!E$71</f>
        <v>0.95621085870522027</v>
      </c>
      <c r="F51" s="396">
        <f>D51*E51</f>
        <v>-527181.88071949384</v>
      </c>
      <c r="H51" s="68" t="s">
        <v>1417</v>
      </c>
      <c r="J51" s="68" t="s">
        <v>2184</v>
      </c>
    </row>
    <row r="52" spans="1:11" ht="18.95" customHeight="1">
      <c r="A52" s="422">
        <f t="shared" si="8"/>
        <v>10</v>
      </c>
      <c r="B52" s="421">
        <f>B21</f>
        <v>364</v>
      </c>
      <c r="C52" s="78" t="s">
        <v>1681</v>
      </c>
      <c r="D52" s="396">
        <f>SUMIFS('FCPIS F'!$V$6:$V$901,'FCPIS F'!$G$6:$G$901,$J52,'FCPIS F'!$B$6:$B$901,"KY",'FCPIS F'!$D$6:$D$901,"P",'FCPIS F'!$E$6:$E$901,$B52)*-1000</f>
        <v>-26531.200000000008</v>
      </c>
      <c r="E52" s="137">
        <f>'SCH B-2.1 F'!E78</f>
        <v>0.92817441977970139</v>
      </c>
      <c r="F52" s="396">
        <f t="shared" ref="F52:F56" si="10">D52*E52</f>
        <v>-24625.581166059223</v>
      </c>
      <c r="H52" s="68" t="s">
        <v>2002</v>
      </c>
      <c r="J52" s="68" t="s">
        <v>2183</v>
      </c>
      <c r="K52" s="419" t="s">
        <v>2185</v>
      </c>
    </row>
    <row r="53" spans="1:11" ht="18.95" customHeight="1">
      <c r="A53" s="422">
        <f t="shared" si="8"/>
        <v>11</v>
      </c>
      <c r="B53" s="421">
        <f>B22</f>
        <v>365</v>
      </c>
      <c r="C53" s="78" t="s">
        <v>1670</v>
      </c>
      <c r="D53" s="396">
        <f>SUMIFS('FCPIS F'!$V$6:$V$901,'FCPIS F'!$G$6:$G$901,$J53,'FCPIS F'!$B$6:$B$901,"KY",'FCPIS F'!$D$6:$D$901,"P",'FCPIS F'!$E$6:$E$901,$B53)*-1000</f>
        <v>-23599.41</v>
      </c>
      <c r="E53" s="137">
        <f>'SCH B-2.1 F'!E79</f>
        <v>0.93147980348125792</v>
      </c>
      <c r="F53" s="396">
        <f t="shared" si="10"/>
        <v>-21982.373789073634</v>
      </c>
      <c r="H53" s="68" t="s">
        <v>2002</v>
      </c>
      <c r="J53" s="68" t="s">
        <v>2183</v>
      </c>
      <c r="K53" s="396">
        <f>SUMIFS('FCPIS F'!$V$6:$V$901,'FCPIS F'!$G$6:$G$901,$K52,'FCPIS F'!$B$6:$B$901,"KY",'FCPIS F'!$D$6:$D$901,"P")*-1000</f>
        <v>-9302786.7492307667</v>
      </c>
    </row>
    <row r="54" spans="1:11" ht="18.95" customHeight="1">
      <c r="A54" s="638">
        <f t="shared" si="8"/>
        <v>12</v>
      </c>
      <c r="B54" s="421">
        <f>B23</f>
        <v>366</v>
      </c>
      <c r="C54" s="78" t="s">
        <v>1672</v>
      </c>
      <c r="D54" s="396">
        <f>SUMIFS('FCPIS F'!$V$6:$V$901,'FCPIS F'!$G$6:$G$901,$J54,'FCPIS F'!$B$6:$B$901,"KY",'FCPIS F'!$D$6:$D$901,"P",'FCPIS F'!$E$6:$E$901,$B54)*-1000</f>
        <v>-171002.52000000002</v>
      </c>
      <c r="E54" s="137">
        <f>'SCH B-2.1 F'!E80</f>
        <v>1</v>
      </c>
      <c r="F54" s="396">
        <f t="shared" si="10"/>
        <v>-171002.52000000002</v>
      </c>
      <c r="H54" s="68" t="s">
        <v>2002</v>
      </c>
      <c r="J54" s="68" t="s">
        <v>2183</v>
      </c>
      <c r="K54" s="88">
        <f>SUM(D59,D56)</f>
        <v>-9302786.7492307685</v>
      </c>
    </row>
    <row r="55" spans="1:11" ht="18.95" customHeight="1">
      <c r="A55" s="638">
        <f t="shared" si="8"/>
        <v>13</v>
      </c>
      <c r="B55" s="421">
        <f>B24</f>
        <v>367</v>
      </c>
      <c r="C55" s="78" t="s">
        <v>1674</v>
      </c>
      <c r="D55" s="396">
        <f>SUMIFS('FCPIS F'!$V$6:$V$901,'FCPIS F'!$G$6:$G$901,$J55,'FCPIS F'!$B$6:$B$901,"KY",'FCPIS F'!$D$6:$D$901,"P",'FCPIS F'!$E$6:$E$901,$B55)*-1000</f>
        <v>-1326115.3699999996</v>
      </c>
      <c r="E55" s="137">
        <f>'SCH B-2.1 F'!E81</f>
        <v>0.97689609547390932</v>
      </c>
      <c r="F55" s="396">
        <f t="shared" si="10"/>
        <v>-1295476.9271009383</v>
      </c>
      <c r="H55" s="68" t="s">
        <v>2002</v>
      </c>
      <c r="J55" s="68" t="s">
        <v>2183</v>
      </c>
      <c r="K55" s="88">
        <f>K53-K54</f>
        <v>0</v>
      </c>
    </row>
    <row r="56" spans="1:11" ht="18.95" customHeight="1">
      <c r="A56" s="638">
        <f t="shared" si="8"/>
        <v>14</v>
      </c>
      <c r="B56" s="637">
        <v>370</v>
      </c>
      <c r="C56" s="67" t="s">
        <v>1690</v>
      </c>
      <c r="D56" s="396">
        <f>SUMIFS('FCPIS F'!$V$6:$V$901,'FCPIS F'!$G$6:$G$901,$J56,'FCPIS F'!$B$6:$B$901,"KY",'FCPIS F'!$D$6:$D$901,"P",'FCPIS F'!$E$6:$E$901,$B56)*-1000</f>
        <v>-1331333.5999999996</v>
      </c>
      <c r="E56" s="395">
        <v>1</v>
      </c>
      <c r="F56" s="396">
        <f t="shared" si="10"/>
        <v>-1331333.5999999996</v>
      </c>
      <c r="H56" s="68" t="s">
        <v>2003</v>
      </c>
      <c r="J56" s="68" t="s">
        <v>2185</v>
      </c>
    </row>
    <row r="57" spans="1:11" ht="18.95" customHeight="1">
      <c r="A57" s="638">
        <f t="shared" si="8"/>
        <v>15</v>
      </c>
      <c r="B57" s="421" t="str">
        <f>B26</f>
        <v>374</v>
      </c>
      <c r="C57" s="67" t="str">
        <f>'SCH B-2.1 F'!C$87</f>
        <v>ARO Cost Elec Distribution</v>
      </c>
      <c r="D57" s="396">
        <f>SUMIFS('FCPIS F'!$V$6:$V$901,'FCPIS F'!$G$6:$G$901,$J57,'FCPIS F'!$B$6:$B$901,"KY",'FCPIS F'!$D$6:$D$901,"P",'FCPIS F'!$E$6:$E$901,$B57)*-1000</f>
        <v>-658287.18999999994</v>
      </c>
      <c r="E57" s="137">
        <f>'SCH B-2.1 F'!E$87</f>
        <v>1</v>
      </c>
      <c r="F57" s="396">
        <f>D57*E57</f>
        <v>-658287.18999999994</v>
      </c>
      <c r="H57" s="68" t="s">
        <v>1417</v>
      </c>
      <c r="J57" s="68" t="s">
        <v>2184</v>
      </c>
    </row>
    <row r="58" spans="1:11" ht="18.95" customHeight="1">
      <c r="A58" s="638">
        <f t="shared" si="8"/>
        <v>16</v>
      </c>
      <c r="B58" s="421">
        <f>B27</f>
        <v>392</v>
      </c>
      <c r="C58" s="67" t="s">
        <v>155</v>
      </c>
      <c r="D58" s="396">
        <f>SUMIFS('FCPIS F'!$V$6:$V$901,'FCPIS F'!$G$6:$G$901,$J58,'FCPIS F'!$B$6:$B$901,"KY",'FCPIS F'!$D$6:$D$901,"P",'FCPIS F'!$E$6:$E$901,$B58)*-1000</f>
        <v>-19403.82</v>
      </c>
      <c r="E58" s="395">
        <f>'SCH B-2.1 F'!E$104</f>
        <v>0.9406756525662282</v>
      </c>
      <c r="F58" s="396">
        <f t="shared" ref="F58:F59" si="11">D58*E58</f>
        <v>-18252.701040777629</v>
      </c>
      <c r="H58" s="68" t="s">
        <v>2002</v>
      </c>
      <c r="J58" s="68" t="s">
        <v>2183</v>
      </c>
    </row>
    <row r="59" spans="1:11" ht="18.95" customHeight="1">
      <c r="A59" s="638">
        <f t="shared" si="8"/>
        <v>17</v>
      </c>
      <c r="B59" s="421">
        <f>B28</f>
        <v>397</v>
      </c>
      <c r="C59" s="67" t="s">
        <v>157</v>
      </c>
      <c r="D59" s="396">
        <f>SUMIFS('FCPIS F'!$V$6:$V$901,'FCPIS F'!$G$6:$G$901,$J59,'FCPIS F'!$B$6:$B$901,"KY",'FCPIS F'!$D$6:$D$901,"P",'FCPIS F'!$E$6:$E$901,$B59)*-1000</f>
        <v>-7971453.149230768</v>
      </c>
      <c r="E59" s="395">
        <v>1</v>
      </c>
      <c r="F59" s="396">
        <f t="shared" si="11"/>
        <v>-7971453.149230768</v>
      </c>
      <c r="H59" s="68" t="s">
        <v>2003</v>
      </c>
      <c r="J59" s="68" t="s">
        <v>2185</v>
      </c>
    </row>
    <row r="60" spans="1:11" ht="18.95" customHeight="1"/>
    <row r="61" spans="1:11" ht="18.95" customHeight="1" thickBot="1">
      <c r="A61" s="300">
        <f>A59+1</f>
        <v>18</v>
      </c>
      <c r="B61" s="390"/>
      <c r="C61" s="67" t="s">
        <v>2022</v>
      </c>
      <c r="D61" s="394">
        <f>SUM(D43:D60)</f>
        <v>-1820961795.5784624</v>
      </c>
      <c r="E61" s="395"/>
      <c r="F61" s="394">
        <f>SUM(F43:F60)</f>
        <v>-1704792574.6541114</v>
      </c>
      <c r="H61" s="68"/>
    </row>
    <row r="62" spans="1:11" ht="18.95" customHeight="1" thickTop="1"/>
    <row r="63" spans="1:11" ht="18.95" customHeight="1"/>
    <row r="64" spans="1:11" ht="18.95" customHeight="1"/>
    <row r="65" ht="18.95" customHeight="1"/>
    <row r="66" ht="18.95" customHeight="1"/>
    <row r="67" ht="18.95" customHeight="1"/>
    <row r="68" ht="18.95" customHeight="1"/>
    <row r="69" ht="18.95" customHeight="1"/>
  </sheetData>
  <mergeCells count="8">
    <mergeCell ref="A34:H34"/>
    <mergeCell ref="A35:H35"/>
    <mergeCell ref="A1:H1"/>
    <mergeCell ref="A2:H2"/>
    <mergeCell ref="A3:H3"/>
    <mergeCell ref="A4:H4"/>
    <mergeCell ref="A32:H32"/>
    <mergeCell ref="A33:H33"/>
  </mergeCells>
  <pageMargins left="0.95" right="0.5" top="0.75" bottom="0.75" header="0.3" footer="0.3"/>
  <pageSetup scale="65" fitToHeight="0" orientation="portrait" r:id="rId1"/>
  <rowBreaks count="1" manualBreakCount="1">
    <brk id="3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131"/>
  <sheetViews>
    <sheetView topLeftCell="A88" zoomScaleNormal="100" workbookViewId="0">
      <selection activeCell="D104" sqref="D104"/>
    </sheetView>
  </sheetViews>
  <sheetFormatPr defaultColWidth="9" defaultRowHeight="12.75"/>
  <cols>
    <col min="1" max="1" width="6" style="69" customWidth="1"/>
    <col min="2" max="2" width="7.6640625" style="69" customWidth="1"/>
    <col min="3" max="3" width="38.33203125" style="69" customWidth="1"/>
    <col min="4" max="4" width="14.77734375" style="69" customWidth="1"/>
    <col min="5" max="5" width="13.6640625" style="69" customWidth="1"/>
    <col min="6" max="6" width="14.77734375" style="69" customWidth="1"/>
    <col min="7" max="7" width="13.6640625" style="69" customWidth="1"/>
    <col min="8" max="8" width="14.77734375" style="69" customWidth="1"/>
    <col min="9" max="9" width="1.6640625" style="69" customWidth="1"/>
    <col min="10" max="16384" width="9" style="69"/>
  </cols>
  <sheetData>
    <row r="1" spans="1:8" s="68" customFormat="1" ht="20.100000000000001" customHeight="1">
      <c r="A1" s="769" t="str">
        <f>'Rate Case Constants'!C9</f>
        <v>KENTUCKY UTILITIES COMPANY</v>
      </c>
      <c r="B1" s="769"/>
      <c r="C1" s="769"/>
      <c r="D1" s="769"/>
      <c r="E1" s="769"/>
      <c r="F1" s="769"/>
      <c r="G1" s="769"/>
      <c r="H1" s="769"/>
    </row>
    <row r="2" spans="1:8" s="68" customFormat="1" ht="20.100000000000001" customHeight="1">
      <c r="A2" s="769" t="str">
        <f>'Rate Case Constants'!C10</f>
        <v>CASE NO. 2018-00294 - RESPONSE TO PSC 2-65 (SLIPPAGE FACTOR 96.027%)</v>
      </c>
      <c r="B2" s="769"/>
      <c r="C2" s="769"/>
      <c r="D2" s="769"/>
      <c r="E2" s="769"/>
      <c r="F2" s="769"/>
      <c r="G2" s="769"/>
      <c r="H2" s="769"/>
    </row>
    <row r="3" spans="1:8" s="68" customFormat="1" ht="20.100000000000001" customHeight="1">
      <c r="A3" s="769" t="s">
        <v>132</v>
      </c>
      <c r="B3" s="769"/>
      <c r="C3" s="769"/>
      <c r="D3" s="769"/>
      <c r="E3" s="769"/>
      <c r="F3" s="769"/>
      <c r="G3" s="769"/>
      <c r="H3" s="769"/>
    </row>
    <row r="4" spans="1:8" s="68" customFormat="1" ht="20.100000000000001" customHeight="1">
      <c r="A4" s="769" t="str">
        <f>'Rate Case Constants'!C14</f>
        <v>FROM JANUARY 1, 2018 TO DECEMBER 31, 2018</v>
      </c>
      <c r="B4" s="769"/>
      <c r="C4" s="769"/>
      <c r="D4" s="769"/>
      <c r="E4" s="769"/>
      <c r="F4" s="769"/>
      <c r="G4" s="769"/>
      <c r="H4" s="769"/>
    </row>
    <row r="5" spans="1:8" s="68" customFormat="1" ht="20.100000000000001" customHeight="1">
      <c r="A5" s="83"/>
      <c r="B5" s="83"/>
      <c r="C5" s="83"/>
      <c r="D5" s="83"/>
      <c r="E5" s="83"/>
      <c r="F5" s="83"/>
      <c r="G5" s="83"/>
      <c r="H5" s="83"/>
    </row>
    <row r="6" spans="1:8" s="68" customFormat="1" ht="20.100000000000001" customHeight="1">
      <c r="A6" s="67" t="s">
        <v>133</v>
      </c>
      <c r="B6" s="67"/>
      <c r="G6" s="74"/>
      <c r="H6" s="74" t="s">
        <v>139</v>
      </c>
    </row>
    <row r="7" spans="1:8" s="68" customFormat="1" ht="20.100000000000001" customHeight="1">
      <c r="A7" s="68" t="str">
        <f>'Rate Case Constants'!C29</f>
        <v>TYPE OF FILING: __X__ ORIGINAL  _____ UPDATED  _____ REVISED</v>
      </c>
      <c r="G7" s="74"/>
      <c r="H7" s="74" t="s">
        <v>173</v>
      </c>
    </row>
    <row r="8" spans="1:8" s="68" customFormat="1" ht="20.100000000000001" customHeight="1">
      <c r="A8" s="67" t="s">
        <v>1198</v>
      </c>
      <c r="B8" s="67"/>
      <c r="F8" s="67"/>
      <c r="G8" s="75"/>
      <c r="H8" s="75" t="str">
        <f>'Rate Case Constants'!C36</f>
        <v>WITNESS:   C. M. GARRETT</v>
      </c>
    </row>
    <row r="9" spans="1:8" s="68" customFormat="1" ht="20.100000000000001" customHeight="1"/>
    <row r="10" spans="1:8" ht="58.5" customHeight="1">
      <c r="A10" s="76" t="s">
        <v>131</v>
      </c>
      <c r="B10" s="76" t="s">
        <v>134</v>
      </c>
      <c r="C10" s="79" t="s">
        <v>135</v>
      </c>
      <c r="D10" s="76" t="s">
        <v>136</v>
      </c>
      <c r="E10" s="76" t="s">
        <v>137</v>
      </c>
      <c r="F10" s="76" t="s">
        <v>138</v>
      </c>
      <c r="G10" s="76" t="s">
        <v>140</v>
      </c>
      <c r="H10" s="76" t="s">
        <v>141</v>
      </c>
    </row>
    <row r="11" spans="1:8" ht="23.1" customHeight="1">
      <c r="A11" s="80"/>
      <c r="B11" s="80"/>
      <c r="C11" s="81"/>
      <c r="D11" s="82" t="s">
        <v>142</v>
      </c>
      <c r="E11" s="82" t="s">
        <v>142</v>
      </c>
      <c r="F11" s="82" t="s">
        <v>142</v>
      </c>
      <c r="G11" s="82" t="s">
        <v>142</v>
      </c>
      <c r="H11" s="82" t="s">
        <v>142</v>
      </c>
    </row>
    <row r="12" spans="1:8" ht="23.1" customHeight="1">
      <c r="A12" s="73">
        <v>1</v>
      </c>
      <c r="B12" s="73"/>
      <c r="C12" s="85" t="s">
        <v>56</v>
      </c>
      <c r="D12" s="77"/>
      <c r="E12" s="77"/>
      <c r="F12" s="77"/>
      <c r="G12" s="77"/>
      <c r="H12" s="77"/>
    </row>
    <row r="13" spans="1:8" ht="18.95" customHeight="1">
      <c r="A13" s="70">
        <f>A12+1</f>
        <v>2</v>
      </c>
      <c r="B13" s="71" t="s">
        <v>1620</v>
      </c>
      <c r="C13" s="78" t="s">
        <v>1621</v>
      </c>
      <c r="D13" s="86">
        <f>SUMIFS('PIS B'!$E$11:$E$338,'PIS B'!$C$11:$C$338,'SCH B-2.3 B'!$B13)</f>
        <v>44455.58</v>
      </c>
      <c r="E13" s="86">
        <f>SUMIFS('PIS B'!$G$11:$G$338,'PIS B'!$C$11:$C$338,'SCH B-2.3 B'!$B13)</f>
        <v>0</v>
      </c>
      <c r="F13" s="86">
        <f>SUMIFS('PIS B'!$I$11:$I$338,'PIS B'!$C$11:$C$338,'SCH B-2.3 B'!$B13)</f>
        <v>0</v>
      </c>
      <c r="G13" s="86">
        <f>SUMIFS('PIS B'!$K$11:$K$338,'PIS B'!$C$11:$C$338,'SCH B-2.3 B'!$B13)</f>
        <v>0</v>
      </c>
      <c r="H13" s="86">
        <f>SUM(D13:G13)</f>
        <v>44455.58</v>
      </c>
    </row>
    <row r="14" spans="1:8" ht="18.95" customHeight="1">
      <c r="A14" s="70">
        <f t="shared" ref="A14:A88" si="0">A13+1</f>
        <v>3</v>
      </c>
      <c r="B14" s="71" t="s">
        <v>1622</v>
      </c>
      <c r="C14" s="78" t="s">
        <v>1623</v>
      </c>
      <c r="D14" s="86">
        <f>SUMIFS('PIS B'!$E$11:$E$338,'PIS B'!$C$11:$C$338,'SCH B-2.3 B'!$B14)</f>
        <v>55918.83</v>
      </c>
      <c r="E14" s="86">
        <f>SUMIFS('PIS B'!$G$11:$G$338,'PIS B'!$C$11:$C$338,'SCH B-2.3 B'!$B14)</f>
        <v>0</v>
      </c>
      <c r="F14" s="87">
        <f>SUMIFS('PIS B'!$I$11:$I$338,'PIS B'!$C$11:$C$338,'SCH B-2.3 B'!$B14)</f>
        <v>0</v>
      </c>
      <c r="G14" s="87">
        <f>SUMIFS('PIS B'!$K$11:$K$338,'PIS B'!$C$11:$C$338,'SCH B-2.3 B'!$B14)</f>
        <v>0</v>
      </c>
      <c r="H14" s="87">
        <f t="shared" ref="H14:H15" si="1">SUM(D14:G14)</f>
        <v>55918.83</v>
      </c>
    </row>
    <row r="15" spans="1:8" ht="18.95" customHeight="1">
      <c r="A15" s="70">
        <f t="shared" si="0"/>
        <v>4</v>
      </c>
      <c r="B15" s="71" t="s">
        <v>1624</v>
      </c>
      <c r="C15" s="78" t="s">
        <v>1625</v>
      </c>
      <c r="D15" s="89">
        <f>SUMIFS('PIS B'!$E$11:$E$338,'PIS B'!$C$11:$C$338,'SCH B-2.3 B'!$B15)</f>
        <v>118588359.95</v>
      </c>
      <c r="E15" s="89">
        <f>SUMIFS('PIS B'!$G$11:$G$338,'PIS B'!$C$11:$C$338,'SCH B-2.3 B'!$B15)</f>
        <v>20033821.594204284</v>
      </c>
      <c r="F15" s="89">
        <f>SUMIFS('PIS B'!$I$11:$I$338,'PIS B'!$C$11:$C$338,'SCH B-2.3 B'!$B15)</f>
        <v>-7125529.3799999896</v>
      </c>
      <c r="G15" s="89">
        <f>SUMIFS('PIS B'!$K$11:$K$338,'PIS B'!$C$11:$C$338,'SCH B-2.3 B'!$B15)</f>
        <v>0</v>
      </c>
      <c r="H15" s="89">
        <f t="shared" si="1"/>
        <v>131496652.1642043</v>
      </c>
    </row>
    <row r="16" spans="1:8" ht="18.95" customHeight="1">
      <c r="A16" s="70">
        <f t="shared" si="0"/>
        <v>5</v>
      </c>
      <c r="B16" s="70"/>
      <c r="C16" s="78" t="s">
        <v>143</v>
      </c>
      <c r="D16" s="86">
        <f>SUM(D13:D15)</f>
        <v>118688734.36</v>
      </c>
      <c r="E16" s="86">
        <f>SUM(E13:E15)</f>
        <v>20033821.594204284</v>
      </c>
      <c r="F16" s="86">
        <f>SUM(F13:F15)</f>
        <v>-7125529.3799999896</v>
      </c>
      <c r="G16" s="86">
        <f>SUM(G13:G15)</f>
        <v>0</v>
      </c>
      <c r="H16" s="86">
        <f>SUM(H13:H15)</f>
        <v>131597026.5742043</v>
      </c>
    </row>
    <row r="17" spans="1:8" ht="18.95" customHeight="1">
      <c r="A17" s="70"/>
      <c r="B17" s="70"/>
      <c r="D17" s="72"/>
      <c r="E17" s="72"/>
      <c r="F17" s="72"/>
      <c r="G17" s="72"/>
      <c r="H17" s="72"/>
    </row>
    <row r="18" spans="1:8" ht="18.95" customHeight="1">
      <c r="A18" s="70">
        <f>A16+1</f>
        <v>6</v>
      </c>
      <c r="B18" s="70"/>
      <c r="C18" s="90" t="s">
        <v>72</v>
      </c>
      <c r="D18" s="72"/>
      <c r="E18" s="72"/>
      <c r="F18" s="72"/>
      <c r="G18" s="72"/>
      <c r="H18" s="72"/>
    </row>
    <row r="19" spans="1:8" ht="18.95" customHeight="1">
      <c r="A19" s="70">
        <f t="shared" si="0"/>
        <v>7</v>
      </c>
      <c r="B19" s="71" t="s">
        <v>1626</v>
      </c>
      <c r="C19" s="78" t="s">
        <v>154</v>
      </c>
      <c r="D19" s="88">
        <f>SUMIFS('PIS B'!$E$11:$E$338,'PIS B'!$C$11:$C$338,'SCH B-2.3 B'!$B19)</f>
        <v>24171385.919999901</v>
      </c>
      <c r="E19" s="88">
        <f>SUMIFS('PIS B'!$G$11:$G$338,'PIS B'!$C$11:$C$338,'SCH B-2.3 B'!$B19)</f>
        <v>275087.91039999999</v>
      </c>
      <c r="F19" s="88">
        <f>SUMIFS('PIS B'!$I$11:$I$338,'PIS B'!$C$11:$C$338,'SCH B-2.3 B'!$B19)</f>
        <v>0</v>
      </c>
      <c r="G19" s="88">
        <f>SUMIFS('PIS B'!$K$11:$K$338,'PIS B'!$C$11:$C$338,'SCH B-2.3 B'!$B19)</f>
        <v>0</v>
      </c>
      <c r="H19" s="88">
        <f t="shared" ref="H19:H26" si="2">SUM(D19:G19)</f>
        <v>24446473.830399901</v>
      </c>
    </row>
    <row r="20" spans="1:8" ht="18" customHeight="1">
      <c r="A20" s="70">
        <f t="shared" si="0"/>
        <v>8</v>
      </c>
      <c r="B20" s="71" t="s">
        <v>1627</v>
      </c>
      <c r="C20" s="78" t="s">
        <v>148</v>
      </c>
      <c r="D20" s="88">
        <f>SUMIFS('PIS B'!$E$11:$E$338,'PIS B'!$C$11:$C$338,'SCH B-2.3 B'!$B20)</f>
        <v>351757110.73000002</v>
      </c>
      <c r="E20" s="88">
        <f>SUMIFS('PIS B'!$G$11:$G$338,'PIS B'!$C$11:$C$338,'SCH B-2.3 B'!$B20)</f>
        <v>3635219.3601146997</v>
      </c>
      <c r="F20" s="88">
        <f>SUMIFS('PIS B'!$I$11:$I$338,'PIS B'!$C$11:$C$338,'SCH B-2.3 B'!$B20)</f>
        <v>-34696.36</v>
      </c>
      <c r="G20" s="88">
        <f>SUMIFS('PIS B'!$K$11:$K$338,'PIS B'!$C$11:$C$338,'SCH B-2.3 B'!$B20)</f>
        <v>2066298.3999999997</v>
      </c>
      <c r="H20" s="88">
        <f t="shared" si="2"/>
        <v>357423932.13011467</v>
      </c>
    </row>
    <row r="21" spans="1:8" ht="18.95" customHeight="1">
      <c r="A21" s="70">
        <f t="shared" si="0"/>
        <v>9</v>
      </c>
      <c r="B21" s="71" t="s">
        <v>1628</v>
      </c>
      <c r="C21" s="78" t="s">
        <v>1629</v>
      </c>
      <c r="D21" s="88">
        <f>SUMIFS('PIS B'!$E$11:$E$338,'PIS B'!$C$11:$C$338,'SCH B-2.3 B'!$B21)</f>
        <v>3968896484.9799895</v>
      </c>
      <c r="E21" s="88">
        <f>SUMIFS('PIS B'!$G$11:$G$338,'PIS B'!$C$11:$C$338,'SCH B-2.3 B'!$B21)</f>
        <v>138373813.34233525</v>
      </c>
      <c r="F21" s="88">
        <f>SUMIFS('PIS B'!$I$11:$I$338,'PIS B'!$C$11:$C$338,'SCH B-2.3 B'!$B21)</f>
        <v>-7387110.2299999893</v>
      </c>
      <c r="G21" s="88">
        <f>SUMIFS('PIS B'!$K$11:$K$338,'PIS B'!$C$11:$C$338,'SCH B-2.3 B'!$B21)</f>
        <v>-706125.60000000009</v>
      </c>
      <c r="H21" s="88">
        <f t="shared" si="2"/>
        <v>4099177062.4923248</v>
      </c>
    </row>
    <row r="22" spans="1:8" ht="18.95" customHeight="1">
      <c r="A22" s="70">
        <f>A20+1</f>
        <v>9</v>
      </c>
      <c r="B22" s="71">
        <v>313</v>
      </c>
      <c r="C22" s="78" t="s">
        <v>144</v>
      </c>
      <c r="D22" s="88">
        <f>SUMIFS('PIS B'!$E$11:$E$338,'PIS B'!$C$11:$C$338,'SCH B-2.3 B'!$B22)</f>
        <v>0</v>
      </c>
      <c r="E22" s="88">
        <f>SUMIFS('PIS B'!$G$11:$G$338,'PIS B'!$C$11:$C$338,'SCH B-2.3 B'!$B22)</f>
        <v>0</v>
      </c>
      <c r="F22" s="88">
        <f>SUMIFS('PIS B'!$I$11:$I$338,'PIS B'!$C$11:$C$338,'SCH B-2.3 B'!$B22)</f>
        <v>0</v>
      </c>
      <c r="G22" s="88">
        <f>SUMIFS('PIS B'!$K$11:$K$338,'PIS B'!$C$11:$C$338,'SCH B-2.3 B'!$B22)</f>
        <v>0</v>
      </c>
      <c r="H22" s="88">
        <f t="shared" ref="H22" si="3">SUM(D22:G22)</f>
        <v>0</v>
      </c>
    </row>
    <row r="23" spans="1:8" ht="18.95" customHeight="1">
      <c r="A23" s="70">
        <f>A21+1</f>
        <v>10</v>
      </c>
      <c r="B23" s="71" t="s">
        <v>1630</v>
      </c>
      <c r="C23" s="78" t="s">
        <v>1631</v>
      </c>
      <c r="D23" s="88">
        <f>SUMIFS('PIS B'!$E$11:$E$338,'PIS B'!$C$11:$C$338,'SCH B-2.3 B'!$B23)</f>
        <v>337507665.61000001</v>
      </c>
      <c r="E23" s="88">
        <f>SUMIFS('PIS B'!$G$11:$G$338,'PIS B'!$C$11:$C$338,'SCH B-2.3 B'!$B23)</f>
        <v>23178947.078471199</v>
      </c>
      <c r="F23" s="88">
        <f>SUMIFS('PIS B'!$I$11:$I$338,'PIS B'!$C$11:$C$338,'SCH B-2.3 B'!$B23)</f>
        <v>-6414979.8799999999</v>
      </c>
      <c r="G23" s="88">
        <f>SUMIFS('PIS B'!$K$11:$K$338,'PIS B'!$C$11:$C$338,'SCH B-2.3 B'!$B23)</f>
        <v>-164486.25999999998</v>
      </c>
      <c r="H23" s="88">
        <f t="shared" si="2"/>
        <v>354107146.54847121</v>
      </c>
    </row>
    <row r="24" spans="1:8" ht="18.95" customHeight="1">
      <c r="A24" s="70">
        <f t="shared" si="0"/>
        <v>11</v>
      </c>
      <c r="B24" s="71" t="s">
        <v>1632</v>
      </c>
      <c r="C24" s="78" t="s">
        <v>1633</v>
      </c>
      <c r="D24" s="88">
        <f>SUMIFS('PIS B'!$E$11:$E$338,'PIS B'!$C$11:$C$338,'SCH B-2.3 B'!$B24)</f>
        <v>251867428.06</v>
      </c>
      <c r="E24" s="88">
        <f>SUMIFS('PIS B'!$G$11:$G$338,'PIS B'!$C$11:$C$338,'SCH B-2.3 B'!$B24)</f>
        <v>2367187.7581359991</v>
      </c>
      <c r="F24" s="88">
        <f>SUMIFS('PIS B'!$I$11:$I$338,'PIS B'!$C$11:$C$338,'SCH B-2.3 B'!$B24)</f>
        <v>-6115.6100000000006</v>
      </c>
      <c r="G24" s="88">
        <f>SUMIFS('PIS B'!$K$11:$K$338,'PIS B'!$C$11:$C$338,'SCH B-2.3 B'!$B24)</f>
        <v>-670417.05999999994</v>
      </c>
      <c r="H24" s="88">
        <f t="shared" si="2"/>
        <v>253558083.14813599</v>
      </c>
    </row>
    <row r="25" spans="1:8" ht="18.95" customHeight="1">
      <c r="A25" s="70">
        <f t="shared" si="0"/>
        <v>12</v>
      </c>
      <c r="B25" s="71" t="s">
        <v>1634</v>
      </c>
      <c r="C25" s="78" t="s">
        <v>1635</v>
      </c>
      <c r="D25" s="88">
        <f>SUMIFS('PIS B'!$E$11:$E$338,'PIS B'!$C$11:$C$338,'SCH B-2.3 B'!$B25)</f>
        <v>36601585.720000006</v>
      </c>
      <c r="E25" s="88">
        <f>SUMIFS('PIS B'!$G$11:$G$338,'PIS B'!$C$11:$C$338,'SCH B-2.3 B'!$B25)</f>
        <v>2188298.4766269978</v>
      </c>
      <c r="F25" s="88">
        <f>SUMIFS('PIS B'!$I$11:$I$338,'PIS B'!$C$11:$C$338,'SCH B-2.3 B'!$B25)</f>
        <v>-40955.609999999899</v>
      </c>
      <c r="G25" s="88">
        <f>SUMIFS('PIS B'!$K$11:$K$338,'PIS B'!$C$11:$C$338,'SCH B-2.3 B'!$B25)</f>
        <v>-525269.4800000001</v>
      </c>
      <c r="H25" s="88">
        <f t="shared" si="2"/>
        <v>38223659.10662701</v>
      </c>
    </row>
    <row r="26" spans="1:8" ht="18.95" customHeight="1">
      <c r="A26" s="70">
        <f t="shared" si="0"/>
        <v>13</v>
      </c>
      <c r="B26" s="71" t="s">
        <v>1636</v>
      </c>
      <c r="C26" s="78" t="s">
        <v>1655</v>
      </c>
      <c r="D26" s="89">
        <f>SUMIFS('PIS B'!$E$11:$E$338,'PIS B'!$C$11:$C$338,'SCH B-2.3 B'!$B26)</f>
        <v>202001563.71999991</v>
      </c>
      <c r="E26" s="89">
        <f>SUMIFS('PIS B'!$G$11:$G$338,'PIS B'!$C$11:$C$338,'SCH B-2.3 B'!$B26)</f>
        <v>0</v>
      </c>
      <c r="F26" s="89">
        <f>SUMIFS('PIS B'!$I$11:$I$338,'PIS B'!$C$11:$C$338,'SCH B-2.3 B'!$B26)</f>
        <v>0</v>
      </c>
      <c r="G26" s="89">
        <f>SUMIFS('PIS B'!$K$11:$K$338,'PIS B'!$C$11:$C$338,'SCH B-2.3 B'!$B26)</f>
        <v>-4624832.9699999904</v>
      </c>
      <c r="H26" s="89">
        <f t="shared" si="2"/>
        <v>197376730.74999991</v>
      </c>
    </row>
    <row r="27" spans="1:8" ht="18.95" customHeight="1">
      <c r="A27" s="70">
        <f t="shared" si="0"/>
        <v>14</v>
      </c>
      <c r="C27" s="78" t="s">
        <v>146</v>
      </c>
      <c r="D27" s="86">
        <f>SUM(D19:D26)</f>
        <v>5172803224.7399902</v>
      </c>
      <c r="E27" s="86">
        <f>SUM(E19:E26)</f>
        <v>170018553.92608413</v>
      </c>
      <c r="F27" s="86">
        <f>SUM(F19:F26)</f>
        <v>-13883857.689999988</v>
      </c>
      <c r="G27" s="86">
        <f>SUM(G19:G26)</f>
        <v>-4624832.9699999914</v>
      </c>
      <c r="H27" s="86">
        <f>SUM(H19:H26)</f>
        <v>5324313088.006074</v>
      </c>
    </row>
    <row r="28" spans="1:8" ht="18.95" customHeight="1">
      <c r="A28" s="70"/>
      <c r="C28" s="78"/>
    </row>
    <row r="29" spans="1:8" ht="18.95" customHeight="1">
      <c r="A29" s="70">
        <f>A27+1</f>
        <v>15</v>
      </c>
      <c r="C29" s="90" t="s">
        <v>47</v>
      </c>
    </row>
    <row r="30" spans="1:8" ht="18.95" customHeight="1">
      <c r="A30" s="70">
        <f t="shared" si="0"/>
        <v>16</v>
      </c>
      <c r="B30" s="71" t="s">
        <v>1637</v>
      </c>
      <c r="C30" s="78" t="s">
        <v>154</v>
      </c>
      <c r="D30" s="88">
        <f>SUMIFS('PIS B'!$E$11:$E$338,'PIS B'!$C$11:$C$338,'SCH B-2.3 B'!$B30)</f>
        <v>855636.47000000009</v>
      </c>
      <c r="E30" s="88">
        <f>SUMIFS('PIS B'!$G$11:$G$338,'PIS B'!$C$11:$C$338,'SCH B-2.3 B'!$B30)</f>
        <v>0</v>
      </c>
      <c r="F30" s="88">
        <f>SUMIFS('PIS B'!$I$11:$I$338,'PIS B'!$C$11:$C$338,'SCH B-2.3 B'!$B30)</f>
        <v>0</v>
      </c>
      <c r="G30" s="88">
        <f>SUMIFS('PIS B'!$K$11:$K$338,'PIS B'!$C$11:$C$338,'SCH B-2.3 B'!$B30)</f>
        <v>0</v>
      </c>
      <c r="H30" s="88">
        <f t="shared" ref="H30:H37" si="4">SUM(D30:G30)</f>
        <v>855636.47000000009</v>
      </c>
    </row>
    <row r="31" spans="1:8" ht="18.95" customHeight="1">
      <c r="A31" s="70">
        <f t="shared" si="0"/>
        <v>17</v>
      </c>
      <c r="B31" s="71" t="s">
        <v>1638</v>
      </c>
      <c r="C31" s="78" t="s">
        <v>148</v>
      </c>
      <c r="D31" s="88">
        <f>SUMIFS('PIS B'!$E$11:$E$338,'PIS B'!$C$11:$C$338,'SCH B-2.3 B'!$B31)</f>
        <v>2999390.54</v>
      </c>
      <c r="E31" s="88">
        <f>SUMIFS('PIS B'!$G$11:$G$338,'PIS B'!$C$11:$C$338,'SCH B-2.3 B'!$B31)</f>
        <v>1393800.9300000002</v>
      </c>
      <c r="F31" s="88">
        <f>SUMIFS('PIS B'!$I$11:$I$338,'PIS B'!$C$11:$C$338,'SCH B-2.3 B'!$B31)</f>
        <v>0</v>
      </c>
      <c r="G31" s="88">
        <f>SUMIFS('PIS B'!$K$11:$K$338,'PIS B'!$C$11:$C$338,'SCH B-2.3 B'!$B31)</f>
        <v>0</v>
      </c>
      <c r="H31" s="88">
        <f t="shared" si="4"/>
        <v>4393191.4700000007</v>
      </c>
    </row>
    <row r="32" spans="1:8" ht="18.95" customHeight="1">
      <c r="A32" s="70">
        <f t="shared" si="0"/>
        <v>18</v>
      </c>
      <c r="B32" s="71" t="s">
        <v>1639</v>
      </c>
      <c r="C32" s="78" t="s">
        <v>1640</v>
      </c>
      <c r="D32" s="88">
        <f>SUMIFS('PIS B'!$E$11:$E$338,'PIS B'!$C$11:$C$338,'SCH B-2.3 B'!$B32)</f>
        <v>21885646.369999997</v>
      </c>
      <c r="E32" s="88">
        <f>SUMIFS('PIS B'!$G$11:$G$338,'PIS B'!$C$11:$C$338,'SCH B-2.3 B'!$B32)</f>
        <v>0</v>
      </c>
      <c r="F32" s="88">
        <f>SUMIFS('PIS B'!$I$11:$I$338,'PIS B'!$C$11:$C$338,'SCH B-2.3 B'!$B32)</f>
        <v>0</v>
      </c>
      <c r="G32" s="88">
        <f>SUMIFS('PIS B'!$K$11:$K$338,'PIS B'!$C$11:$C$338,'SCH B-2.3 B'!$B32)</f>
        <v>0</v>
      </c>
      <c r="H32" s="88">
        <f t="shared" si="4"/>
        <v>21885646.369999997</v>
      </c>
    </row>
    <row r="33" spans="1:8" ht="18.95" customHeight="1">
      <c r="A33" s="70">
        <f t="shared" si="0"/>
        <v>19</v>
      </c>
      <c r="B33" s="71" t="s">
        <v>1641</v>
      </c>
      <c r="C33" s="78" t="s">
        <v>1642</v>
      </c>
      <c r="D33" s="88">
        <f>SUMIFS('PIS B'!$E$11:$E$338,'PIS B'!$C$11:$C$338,'SCH B-2.3 B'!$B33)</f>
        <v>14046741.58</v>
      </c>
      <c r="E33" s="88">
        <f>SUMIFS('PIS B'!$G$11:$G$338,'PIS B'!$C$11:$C$338,'SCH B-2.3 B'!$B33)</f>
        <v>0</v>
      </c>
      <c r="F33" s="88">
        <f>SUMIFS('PIS B'!$I$11:$I$338,'PIS B'!$C$11:$C$338,'SCH B-2.3 B'!$B33)</f>
        <v>0</v>
      </c>
      <c r="G33" s="88">
        <f>SUMIFS('PIS B'!$K$11:$K$338,'PIS B'!$C$11:$C$338,'SCH B-2.3 B'!$B33)</f>
        <v>0</v>
      </c>
      <c r="H33" s="88">
        <f t="shared" si="4"/>
        <v>14046741.58</v>
      </c>
    </row>
    <row r="34" spans="1:8" ht="18.95" customHeight="1">
      <c r="A34" s="70">
        <f t="shared" si="0"/>
        <v>20</v>
      </c>
      <c r="B34" s="71" t="s">
        <v>1643</v>
      </c>
      <c r="C34" s="78" t="s">
        <v>1633</v>
      </c>
      <c r="D34" s="88">
        <f>SUMIFS('PIS B'!$E$11:$E$338,'PIS B'!$C$11:$C$338,'SCH B-2.3 B'!$B34)</f>
        <v>1381870.67</v>
      </c>
      <c r="E34" s="88">
        <f>SUMIFS('PIS B'!$G$11:$G$338,'PIS B'!$C$11:$C$338,'SCH B-2.3 B'!$B34)</f>
        <v>0</v>
      </c>
      <c r="F34" s="88">
        <f>SUMIFS('PIS B'!$I$11:$I$338,'PIS B'!$C$11:$C$338,'SCH B-2.3 B'!$B34)</f>
        <v>0</v>
      </c>
      <c r="G34" s="88">
        <f>SUMIFS('PIS B'!$K$11:$K$338,'PIS B'!$C$11:$C$338,'SCH B-2.3 B'!$B34)</f>
        <v>0</v>
      </c>
      <c r="H34" s="88">
        <f t="shared" si="4"/>
        <v>1381870.67</v>
      </c>
    </row>
    <row r="35" spans="1:8" ht="18.95" customHeight="1">
      <c r="A35" s="70">
        <f t="shared" si="0"/>
        <v>21</v>
      </c>
      <c r="B35" s="71" t="s">
        <v>1644</v>
      </c>
      <c r="C35" s="78" t="s">
        <v>1645</v>
      </c>
      <c r="D35" s="88">
        <f>SUMIFS('PIS B'!$E$11:$E$338,'PIS B'!$C$11:$C$338,'SCH B-2.3 B'!$B35)</f>
        <v>329374.18000000005</v>
      </c>
      <c r="E35" s="88">
        <f>SUMIFS('PIS B'!$G$11:$G$338,'PIS B'!$C$11:$C$338,'SCH B-2.3 B'!$B35)</f>
        <v>0</v>
      </c>
      <c r="F35" s="88">
        <f>SUMIFS('PIS B'!$I$11:$I$338,'PIS B'!$C$11:$C$338,'SCH B-2.3 B'!$B35)</f>
        <v>0</v>
      </c>
      <c r="G35" s="88">
        <f>SUMIFS('PIS B'!$K$11:$K$338,'PIS B'!$C$11:$C$338,'SCH B-2.3 B'!$B35)</f>
        <v>0</v>
      </c>
      <c r="H35" s="88">
        <f t="shared" si="4"/>
        <v>329374.18000000005</v>
      </c>
    </row>
    <row r="36" spans="1:8" ht="18.95" customHeight="1">
      <c r="A36" s="70">
        <f t="shared" si="0"/>
        <v>22</v>
      </c>
      <c r="B36" s="71" t="s">
        <v>1646</v>
      </c>
      <c r="C36" s="78" t="s">
        <v>1647</v>
      </c>
      <c r="D36" s="88">
        <f>SUMIFS('PIS B'!$E$11:$E$338,'PIS B'!$C$11:$C$338,'SCH B-2.3 B'!$B36)</f>
        <v>234509.13</v>
      </c>
      <c r="E36" s="88">
        <f>SUMIFS('PIS B'!$G$11:$G$338,'PIS B'!$C$11:$C$338,'SCH B-2.3 B'!$B36)</f>
        <v>0</v>
      </c>
      <c r="F36" s="88">
        <f>SUMIFS('PIS B'!$I$11:$I$338,'PIS B'!$C$11:$C$338,'SCH B-2.3 B'!$B36)</f>
        <v>0</v>
      </c>
      <c r="G36" s="88">
        <f>SUMIFS('PIS B'!$K$11:$K$338,'PIS B'!$C$11:$C$338,'SCH B-2.3 B'!$B36)</f>
        <v>0</v>
      </c>
      <c r="H36" s="88">
        <f t="shared" si="4"/>
        <v>234509.13</v>
      </c>
    </row>
    <row r="37" spans="1:8" ht="18.95" customHeight="1">
      <c r="A37" s="70">
        <f t="shared" si="0"/>
        <v>23</v>
      </c>
      <c r="B37" s="71" t="s">
        <v>1648</v>
      </c>
      <c r="C37" s="78" t="s">
        <v>1656</v>
      </c>
      <c r="D37" s="89">
        <f>SUMIFS('PIS B'!$E$11:$E$338,'PIS B'!$C$11:$C$338,'SCH B-2.3 B'!$B37)</f>
        <v>645787.99</v>
      </c>
      <c r="E37" s="89">
        <f>SUMIFS('PIS B'!$G$11:$G$338,'PIS B'!$C$11:$C$338,'SCH B-2.3 B'!$B37)</f>
        <v>0</v>
      </c>
      <c r="F37" s="89">
        <f>SUMIFS('PIS B'!$I$11:$I$338,'PIS B'!$C$11:$C$338,'SCH B-2.3 B'!$B37)</f>
        <v>0</v>
      </c>
      <c r="G37" s="89">
        <f>SUMIFS('PIS B'!$K$11:$K$338,'PIS B'!$C$11:$C$338,'SCH B-2.3 B'!$B37)</f>
        <v>0</v>
      </c>
      <c r="H37" s="89">
        <f t="shared" si="4"/>
        <v>645787.99</v>
      </c>
    </row>
    <row r="38" spans="1:8" ht="18.95" customHeight="1">
      <c r="A38" s="70">
        <f t="shared" si="0"/>
        <v>24</v>
      </c>
      <c r="B38" s="71" t="s">
        <v>251</v>
      </c>
      <c r="C38" s="78" t="s">
        <v>147</v>
      </c>
      <c r="D38" s="86">
        <f>SUM(D30:D37)</f>
        <v>42378956.930000007</v>
      </c>
      <c r="E38" s="86">
        <f t="shared" ref="E38:H38" si="5">SUM(E30:E37)</f>
        <v>1393800.9300000002</v>
      </c>
      <c r="F38" s="86">
        <f t="shared" si="5"/>
        <v>0</v>
      </c>
      <c r="G38" s="86">
        <f t="shared" si="5"/>
        <v>0</v>
      </c>
      <c r="H38" s="86">
        <f t="shared" si="5"/>
        <v>43772757.860000007</v>
      </c>
    </row>
    <row r="39" spans="1:8" ht="18.95" customHeight="1">
      <c r="A39" s="70"/>
      <c r="B39" s="71"/>
      <c r="C39" s="78"/>
      <c r="D39" s="86"/>
      <c r="E39" s="86"/>
      <c r="F39" s="86"/>
      <c r="G39" s="86"/>
      <c r="H39" s="86"/>
    </row>
    <row r="40" spans="1:8" ht="18.95" customHeight="1">
      <c r="A40" s="70">
        <f>A38+1</f>
        <v>25</v>
      </c>
      <c r="C40" s="90" t="s">
        <v>61</v>
      </c>
    </row>
    <row r="41" spans="1:8" ht="18.95" customHeight="1">
      <c r="A41" s="70">
        <f t="shared" si="0"/>
        <v>26</v>
      </c>
      <c r="B41" s="71" t="s">
        <v>1649</v>
      </c>
      <c r="C41" s="78" t="s">
        <v>154</v>
      </c>
      <c r="D41" s="88">
        <f>SUMIFS('PIS B'!$E$11:$E$338,'PIS B'!$C$11:$C$338,'SCH B-2.3 B'!$B41)</f>
        <v>473578.52</v>
      </c>
      <c r="E41" s="88">
        <f>SUMIFS('PIS B'!$G$11:$G$338,'PIS B'!$C$11:$C$338,'SCH B-2.3 B'!$B41)</f>
        <v>429222.93800000002</v>
      </c>
      <c r="F41" s="88">
        <f>SUMIFS('PIS B'!$I$11:$I$338,'PIS B'!$C$11:$C$338,'SCH B-2.3 B'!$B41)</f>
        <v>0</v>
      </c>
      <c r="G41" s="88">
        <f>SUMIFS('PIS B'!$K$11:$K$338,'PIS B'!$C$11:$C$338,'SCH B-2.3 B'!$B41)</f>
        <v>0</v>
      </c>
      <c r="H41" s="88">
        <f t="shared" ref="H41:H59" si="6">SUM(D41:G41)</f>
        <v>902801.4580000001</v>
      </c>
    </row>
    <row r="42" spans="1:8" ht="18.95" customHeight="1">
      <c r="A42" s="70">
        <f t="shared" si="0"/>
        <v>27</v>
      </c>
      <c r="B42" s="71" t="s">
        <v>1650</v>
      </c>
      <c r="C42" s="78" t="s">
        <v>148</v>
      </c>
      <c r="D42" s="88">
        <f>SUMIFS('PIS B'!$E$11:$E$338,'PIS B'!$C$11:$C$338,'SCH B-2.3 B'!$B42)</f>
        <v>85707409.529999986</v>
      </c>
      <c r="E42" s="88">
        <f>SUMIFS('PIS B'!$G$11:$G$338,'PIS B'!$C$11:$C$338,'SCH B-2.3 B'!$B42)</f>
        <v>1437306.1736819991</v>
      </c>
      <c r="F42" s="88">
        <f>SUMIFS('PIS B'!$I$11:$I$338,'PIS B'!$C$11:$C$338,'SCH B-2.3 B'!$B42)</f>
        <v>0</v>
      </c>
      <c r="G42" s="88">
        <f>SUMIFS('PIS B'!$K$11:$K$338,'PIS B'!$C$11:$C$338,'SCH B-2.3 B'!$B42)</f>
        <v>0</v>
      </c>
      <c r="H42" s="88">
        <f t="shared" si="6"/>
        <v>87144715.703681991</v>
      </c>
    </row>
    <row r="43" spans="1:8" ht="18.95" customHeight="1">
      <c r="A43" s="70">
        <f t="shared" si="0"/>
        <v>28</v>
      </c>
      <c r="B43" s="71" t="s">
        <v>1651</v>
      </c>
      <c r="C43" s="78" t="s">
        <v>1652</v>
      </c>
      <c r="D43" s="88">
        <f>SUMIFS('PIS B'!$E$11:$E$338,'PIS B'!$C$11:$C$338,'SCH B-2.3 B'!$B43)</f>
        <v>62586648.629999988</v>
      </c>
      <c r="E43" s="88">
        <f>SUMIFS('PIS B'!$G$11:$G$338,'PIS B'!$C$11:$C$338,'SCH B-2.3 B'!$B43)</f>
        <v>509746.1042</v>
      </c>
      <c r="F43" s="88">
        <f>SUMIFS('PIS B'!$I$11:$I$338,'PIS B'!$C$11:$C$338,'SCH B-2.3 B'!$B43)</f>
        <v>0</v>
      </c>
      <c r="G43" s="88">
        <f>SUMIFS('PIS B'!$K$11:$K$338,'PIS B'!$C$11:$C$338,'SCH B-2.3 B'!$B43)</f>
        <v>0</v>
      </c>
      <c r="H43" s="88">
        <f t="shared" si="6"/>
        <v>63096394.734199986</v>
      </c>
    </row>
    <row r="44" spans="1:8" ht="18.95" customHeight="1">
      <c r="A44" s="70">
        <f t="shared" si="0"/>
        <v>29</v>
      </c>
      <c r="B44" s="71" t="s">
        <v>1653</v>
      </c>
      <c r="C44" s="78" t="s">
        <v>1654</v>
      </c>
      <c r="D44" s="88">
        <f>SUMIFS('PIS B'!$E$11:$E$338,'PIS B'!$C$11:$C$338,'SCH B-2.3 B'!$B44)</f>
        <v>657987557.62000012</v>
      </c>
      <c r="E44" s="88">
        <f>SUMIFS('PIS B'!$G$11:$G$338,'PIS B'!$C$11:$C$338,'SCH B-2.3 B'!$B44)</f>
        <v>16140638.217167303</v>
      </c>
      <c r="F44" s="88">
        <f>SUMIFS('PIS B'!$I$11:$I$338,'PIS B'!$C$11:$C$338,'SCH B-2.3 B'!$B44)</f>
        <v>-9132411.8499999996</v>
      </c>
      <c r="G44" s="88">
        <f>SUMIFS('PIS B'!$K$11:$K$338,'PIS B'!$C$11:$C$338,'SCH B-2.3 B'!$B44)</f>
        <v>0</v>
      </c>
      <c r="H44" s="88">
        <f t="shared" si="6"/>
        <v>664995783.98716736</v>
      </c>
    </row>
    <row r="45" spans="1:8" s="68" customFormat="1" ht="20.100000000000001" customHeight="1">
      <c r="A45" s="769" t="str">
        <f>$A$1</f>
        <v>KENTUCKY UTILITIES COMPANY</v>
      </c>
      <c r="B45" s="769"/>
      <c r="C45" s="769"/>
      <c r="D45" s="769"/>
      <c r="E45" s="769"/>
      <c r="F45" s="769"/>
      <c r="G45" s="769"/>
      <c r="H45" s="769"/>
    </row>
    <row r="46" spans="1:8" s="68" customFormat="1" ht="20.100000000000001" customHeight="1">
      <c r="A46" s="769" t="str">
        <f>$A$2</f>
        <v>CASE NO. 2018-00294 - RESPONSE TO PSC 2-65 (SLIPPAGE FACTOR 96.027%)</v>
      </c>
      <c r="B46" s="769"/>
      <c r="C46" s="769"/>
      <c r="D46" s="769"/>
      <c r="E46" s="769"/>
      <c r="F46" s="769"/>
      <c r="G46" s="769"/>
      <c r="H46" s="769"/>
    </row>
    <row r="47" spans="1:8" s="68" customFormat="1" ht="20.100000000000001" customHeight="1">
      <c r="A47" s="769" t="str">
        <f>$A$3</f>
        <v>GROSS ADDITIONS, RETIREMENTS, AND TRANSFERS</v>
      </c>
      <c r="B47" s="769"/>
      <c r="C47" s="769"/>
      <c r="D47" s="769"/>
      <c r="E47" s="769"/>
      <c r="F47" s="769"/>
      <c r="G47" s="769"/>
      <c r="H47" s="769"/>
    </row>
    <row r="48" spans="1:8" s="68" customFormat="1" ht="20.100000000000001" customHeight="1">
      <c r="A48" s="768" t="str">
        <f>$A$4</f>
        <v>FROM JANUARY 1, 2018 TO DECEMBER 31, 2018</v>
      </c>
      <c r="B48" s="769"/>
      <c r="C48" s="769"/>
      <c r="D48" s="769"/>
      <c r="E48" s="769"/>
      <c r="F48" s="769"/>
      <c r="G48" s="769"/>
      <c r="H48" s="769"/>
    </row>
    <row r="49" spans="1:8" s="68" customFormat="1" ht="20.100000000000001" customHeight="1">
      <c r="A49" s="84"/>
      <c r="B49" s="84"/>
      <c r="C49" s="84"/>
      <c r="D49" s="84"/>
      <c r="E49" s="84"/>
      <c r="F49" s="84"/>
      <c r="G49" s="84"/>
      <c r="H49" s="84"/>
    </row>
    <row r="50" spans="1:8" s="68" customFormat="1" ht="20.100000000000001" customHeight="1">
      <c r="A50" s="67" t="str">
        <f>$A$6</f>
        <v>DATA:__X__BASE  PERIOD____FORECASTED  PERIOD</v>
      </c>
      <c r="B50" s="67"/>
      <c r="G50" s="74"/>
      <c r="H50" s="75" t="str">
        <f>$H$6</f>
        <v>SCHEDULE B-2.3</v>
      </c>
    </row>
    <row r="51" spans="1:8" s="68" customFormat="1" ht="20.100000000000001" customHeight="1">
      <c r="A51" s="67" t="str">
        <f>$A$7</f>
        <v>TYPE OF FILING: __X__ ORIGINAL  _____ UPDATED  _____ REVISED</v>
      </c>
      <c r="G51" s="74"/>
      <c r="H51" s="74" t="s">
        <v>172</v>
      </c>
    </row>
    <row r="52" spans="1:8" s="68" customFormat="1" ht="20.100000000000001" customHeight="1">
      <c r="A52" s="67" t="str">
        <f>$A$8</f>
        <v>WORKPAPER REFERENCE NO(S).:</v>
      </c>
      <c r="B52" s="67"/>
      <c r="F52" s="67"/>
      <c r="G52" s="75"/>
      <c r="H52" s="75" t="str">
        <f>$H$8</f>
        <v>WITNESS:   C. M. GARRETT</v>
      </c>
    </row>
    <row r="53" spans="1:8" s="68" customFormat="1" ht="20.100000000000001" customHeight="1"/>
    <row r="54" spans="1:8" ht="58.5" customHeight="1">
      <c r="A54" s="76" t="s">
        <v>131</v>
      </c>
      <c r="B54" s="76" t="s">
        <v>134</v>
      </c>
      <c r="C54" s="79" t="s">
        <v>135</v>
      </c>
      <c r="D54" s="76" t="s">
        <v>136</v>
      </c>
      <c r="E54" s="76" t="s">
        <v>137</v>
      </c>
      <c r="F54" s="76" t="s">
        <v>138</v>
      </c>
      <c r="G54" s="76" t="s">
        <v>140</v>
      </c>
      <c r="H54" s="76" t="s">
        <v>141</v>
      </c>
    </row>
    <row r="55" spans="1:8" ht="23.1" customHeight="1">
      <c r="A55" s="80"/>
      <c r="B55" s="80"/>
      <c r="C55" s="81"/>
      <c r="D55" s="82" t="s">
        <v>142</v>
      </c>
      <c r="E55" s="82" t="s">
        <v>142</v>
      </c>
      <c r="F55" s="82" t="s">
        <v>142</v>
      </c>
      <c r="G55" s="82" t="s">
        <v>142</v>
      </c>
      <c r="H55" s="82" t="s">
        <v>142</v>
      </c>
    </row>
    <row r="56" spans="1:8" ht="18.95" customHeight="1">
      <c r="A56" s="70">
        <f>A44+1</f>
        <v>30</v>
      </c>
      <c r="B56" s="71" t="s">
        <v>1657</v>
      </c>
      <c r="C56" s="78" t="s">
        <v>1658</v>
      </c>
      <c r="D56" s="88">
        <f>SUMIFS('PIS B'!$E$11:$E$338,'PIS B'!$C$11:$C$338,'SCH B-2.3 B'!$B56)</f>
        <v>131571205.04000001</v>
      </c>
      <c r="E56" s="88">
        <f>SUMIFS('PIS B'!$G$11:$G$338,'PIS B'!$C$11:$C$338,'SCH B-2.3 B'!$B56)</f>
        <v>789522.14595000015</v>
      </c>
      <c r="F56" s="88">
        <f>SUMIFS('PIS B'!$I$11:$I$338,'PIS B'!$C$11:$C$338,'SCH B-2.3 B'!$B56)</f>
        <v>0</v>
      </c>
      <c r="G56" s="88">
        <f>SUMIFS('PIS B'!$K$11:$K$338,'PIS B'!$C$11:$C$338,'SCH B-2.3 B'!$B56)</f>
        <v>0</v>
      </c>
      <c r="H56" s="88">
        <f t="shared" si="6"/>
        <v>132360727.18595001</v>
      </c>
    </row>
    <row r="57" spans="1:8" ht="18.95" customHeight="1">
      <c r="A57" s="70">
        <f t="shared" si="0"/>
        <v>31</v>
      </c>
      <c r="B57" s="71" t="s">
        <v>1659</v>
      </c>
      <c r="C57" s="78" t="s">
        <v>1633</v>
      </c>
      <c r="D57" s="88">
        <f>SUMIFS('PIS B'!$E$11:$E$338,'PIS B'!$C$11:$C$338,'SCH B-2.3 B'!$B57)</f>
        <v>78605669.599999994</v>
      </c>
      <c r="E57" s="88">
        <f>SUMIFS('PIS B'!$G$11:$G$338,'PIS B'!$C$11:$C$338,'SCH B-2.3 B'!$B57)</f>
        <v>243821.37710999997</v>
      </c>
      <c r="F57" s="88">
        <f>SUMIFS('PIS B'!$I$11:$I$338,'PIS B'!$C$11:$C$338,'SCH B-2.3 B'!$B57)</f>
        <v>0</v>
      </c>
      <c r="G57" s="88">
        <f>SUMIFS('PIS B'!$K$11:$K$338,'PIS B'!$C$11:$C$338,'SCH B-2.3 B'!$B57)</f>
        <v>0</v>
      </c>
      <c r="H57" s="88">
        <f t="shared" si="6"/>
        <v>78849490.977109998</v>
      </c>
    </row>
    <row r="58" spans="1:8" ht="18.95" customHeight="1">
      <c r="A58" s="70">
        <f t="shared" si="0"/>
        <v>32</v>
      </c>
      <c r="B58" s="71" t="s">
        <v>1660</v>
      </c>
      <c r="C58" s="78" t="s">
        <v>1645</v>
      </c>
      <c r="D58" s="88">
        <f>SUMIFS('PIS B'!$E$11:$E$338,'PIS B'!$C$11:$C$338,'SCH B-2.3 B'!$B58)</f>
        <v>9077175.629999999</v>
      </c>
      <c r="E58" s="88">
        <f>SUMIFS('PIS B'!$G$11:$G$338,'PIS B'!$C$11:$C$338,'SCH B-2.3 B'!$B58)</f>
        <v>661985.03790999984</v>
      </c>
      <c r="F58" s="88">
        <f>SUMIFS('PIS B'!$I$11:$I$338,'PIS B'!$C$11:$C$338,'SCH B-2.3 B'!$B58)</f>
        <v>0</v>
      </c>
      <c r="G58" s="88">
        <f>SUMIFS('PIS B'!$K$11:$K$338,'PIS B'!$C$11:$C$338,'SCH B-2.3 B'!$B58)</f>
        <v>0</v>
      </c>
      <c r="H58" s="88">
        <f t="shared" si="6"/>
        <v>9739160.6679099984</v>
      </c>
    </row>
    <row r="59" spans="1:8" ht="18.95" customHeight="1">
      <c r="A59" s="70">
        <f t="shared" si="0"/>
        <v>33</v>
      </c>
      <c r="B59" s="71" t="s">
        <v>1661</v>
      </c>
      <c r="C59" s="78" t="s">
        <v>1696</v>
      </c>
      <c r="D59" s="89">
        <f>SUMIFS('PIS B'!$E$11:$E$338,'PIS B'!$C$11:$C$338,'SCH B-2.3 B'!$B59)</f>
        <v>406991.12</v>
      </c>
      <c r="E59" s="89">
        <f>SUMIFS('PIS B'!$G$11:$G$338,'PIS B'!$C$11:$C$338,'SCH B-2.3 B'!$B59)</f>
        <v>0</v>
      </c>
      <c r="F59" s="89">
        <f>SUMIFS('PIS B'!$I$11:$I$338,'PIS B'!$C$11:$C$338,'SCH B-2.3 B'!$B59)</f>
        <v>0</v>
      </c>
      <c r="G59" s="89">
        <f>SUMIFS('PIS B'!$K$11:$K$338,'PIS B'!$C$11:$C$338,'SCH B-2.3 B'!$B59)</f>
        <v>0</v>
      </c>
      <c r="H59" s="89">
        <f t="shared" si="6"/>
        <v>406991.12</v>
      </c>
    </row>
    <row r="60" spans="1:8" ht="18.95" customHeight="1">
      <c r="A60" s="70">
        <f t="shared" si="0"/>
        <v>34</v>
      </c>
      <c r="C60" s="78" t="s">
        <v>145</v>
      </c>
      <c r="D60" s="86">
        <f>SUM(D41:D44,D56:D59)</f>
        <v>1026416235.6900001</v>
      </c>
      <c r="E60" s="86">
        <f t="shared" ref="E60:H60" si="7">SUM(E41:E44,E56:E59)</f>
        <v>20212241.994019303</v>
      </c>
      <c r="F60" s="86">
        <f t="shared" si="7"/>
        <v>-9132411.8499999996</v>
      </c>
      <c r="G60" s="86">
        <f t="shared" si="7"/>
        <v>0</v>
      </c>
      <c r="H60" s="86">
        <f t="shared" si="7"/>
        <v>1037496065.8340194</v>
      </c>
    </row>
    <row r="61" spans="1:8" ht="18.95" customHeight="1">
      <c r="A61" s="70"/>
    </row>
    <row r="62" spans="1:8" ht="18.95" customHeight="1">
      <c r="A62" s="70">
        <f>A60+1</f>
        <v>35</v>
      </c>
      <c r="C62" s="90" t="s">
        <v>84</v>
      </c>
    </row>
    <row r="63" spans="1:8" ht="18.95" customHeight="1">
      <c r="A63" s="70">
        <f t="shared" si="0"/>
        <v>36</v>
      </c>
      <c r="B63" s="71" t="s">
        <v>1662</v>
      </c>
      <c r="C63" s="78" t="s">
        <v>154</v>
      </c>
      <c r="D63" s="88">
        <f>SUMIFS('PIS B'!$E$11:$E$338,'PIS B'!$C$11:$C$338,'SCH B-2.3 B'!$B63)</f>
        <v>31890109.750000004</v>
      </c>
      <c r="E63" s="88">
        <f>SUMIFS('PIS B'!$G$11:$G$338,'PIS B'!$C$11:$C$338,'SCH B-2.3 B'!$B63)</f>
        <v>137108.8583279</v>
      </c>
      <c r="F63" s="88">
        <f>SUMIFS('PIS B'!$I$11:$I$338,'PIS B'!$C$11:$C$338,'SCH B-2.3 B'!$B63)</f>
        <v>0</v>
      </c>
      <c r="G63" s="88">
        <f>SUMIFS('PIS B'!$K$11:$K$338,'PIS B'!$C$11:$C$338,'SCH B-2.3 B'!$B63)</f>
        <v>0</v>
      </c>
      <c r="H63" s="88">
        <f t="shared" ref="H63:H71" si="8">SUM(D63:G63)</f>
        <v>32027218.608327903</v>
      </c>
    </row>
    <row r="64" spans="1:8" ht="18.95" customHeight="1">
      <c r="A64" s="70">
        <f t="shared" si="0"/>
        <v>37</v>
      </c>
      <c r="B64" s="71" t="s">
        <v>1663</v>
      </c>
      <c r="C64" s="78" t="s">
        <v>148</v>
      </c>
      <c r="D64" s="88">
        <f>SUMIFS('PIS B'!$E$11:$E$338,'PIS B'!$C$11:$C$338,'SCH B-2.3 B'!$B64)</f>
        <v>29506791.419999998</v>
      </c>
      <c r="E64" s="88">
        <f>SUMIFS('PIS B'!$G$11:$G$338,'PIS B'!$C$11:$C$338,'SCH B-2.3 B'!$B64)</f>
        <v>126038.78000000001</v>
      </c>
      <c r="F64" s="88">
        <f>SUMIFS('PIS B'!$I$11:$I$338,'PIS B'!$C$11:$C$338,'SCH B-2.3 B'!$B64)</f>
        <v>-6735.58</v>
      </c>
      <c r="G64" s="88">
        <f>SUMIFS('PIS B'!$K$11:$K$338,'PIS B'!$C$11:$C$338,'SCH B-2.3 B'!$B64)</f>
        <v>0</v>
      </c>
      <c r="H64" s="88">
        <f t="shared" si="8"/>
        <v>29626094.620000001</v>
      </c>
    </row>
    <row r="65" spans="1:8" ht="18.95" customHeight="1">
      <c r="A65" s="70">
        <f t="shared" si="0"/>
        <v>38</v>
      </c>
      <c r="B65" s="71" t="s">
        <v>1664</v>
      </c>
      <c r="C65" s="78" t="s">
        <v>149</v>
      </c>
      <c r="D65" s="88">
        <f>SUMIFS('PIS B'!$E$11:$E$338,'PIS B'!$C$11:$C$338,'SCH B-2.3 B'!$B65)</f>
        <v>287839871.51999998</v>
      </c>
      <c r="E65" s="88">
        <f>SUMIFS('PIS B'!$G$11:$G$338,'PIS B'!$C$11:$C$338,'SCH B-2.3 B'!$B65)</f>
        <v>65210430.560756385</v>
      </c>
      <c r="F65" s="88">
        <f>SUMIFS('PIS B'!$I$11:$I$338,'PIS B'!$C$11:$C$338,'SCH B-2.3 B'!$B65)</f>
        <v>-1912795.4</v>
      </c>
      <c r="G65" s="88">
        <f>SUMIFS('PIS B'!$K$11:$K$338,'PIS B'!$C$11:$C$338,'SCH B-2.3 B'!$B65)</f>
        <v>0</v>
      </c>
      <c r="H65" s="88">
        <f t="shared" si="8"/>
        <v>351137506.68075639</v>
      </c>
    </row>
    <row r="66" spans="1:8" ht="18.95" customHeight="1">
      <c r="A66" s="70">
        <f t="shared" si="0"/>
        <v>39</v>
      </c>
      <c r="B66" s="71" t="s">
        <v>1665</v>
      </c>
      <c r="C66" s="78" t="s">
        <v>1666</v>
      </c>
      <c r="D66" s="88">
        <f>SUMIFS('PIS B'!$E$11:$E$338,'PIS B'!$C$11:$C$338,'SCH B-2.3 B'!$B66)</f>
        <v>78033094.149999991</v>
      </c>
      <c r="E66" s="88">
        <f>SUMIFS('PIS B'!$G$11:$G$338,'PIS B'!$C$11:$C$338,'SCH B-2.3 B'!$B66)</f>
        <v>0</v>
      </c>
      <c r="F66" s="88">
        <f>SUMIFS('PIS B'!$I$11:$I$338,'PIS B'!$C$11:$C$338,'SCH B-2.3 B'!$B66)</f>
        <v>0</v>
      </c>
      <c r="G66" s="88">
        <f>SUMIFS('PIS B'!$K$11:$K$338,'PIS B'!$C$11:$C$338,'SCH B-2.3 B'!$B66)</f>
        <v>0</v>
      </c>
      <c r="H66" s="88">
        <f t="shared" si="8"/>
        <v>78033094.149999991</v>
      </c>
    </row>
    <row r="67" spans="1:8" ht="18.95" customHeight="1">
      <c r="A67" s="70">
        <f t="shared" si="0"/>
        <v>40</v>
      </c>
      <c r="B67" s="71" t="s">
        <v>1667</v>
      </c>
      <c r="C67" s="78" t="s">
        <v>1668</v>
      </c>
      <c r="D67" s="88">
        <f>SUMIFS('PIS B'!$E$11:$E$338,'PIS B'!$C$11:$C$338,'SCH B-2.3 B'!$B67)</f>
        <v>307006356.60999995</v>
      </c>
      <c r="E67" s="88">
        <f>SUMIFS('PIS B'!$G$11:$G$338,'PIS B'!$C$11:$C$338,'SCH B-2.3 B'!$B67)</f>
        <v>88266240.735001311</v>
      </c>
      <c r="F67" s="88">
        <f>SUMIFS('PIS B'!$I$11:$I$338,'PIS B'!$C$11:$C$338,'SCH B-2.3 B'!$B67)</f>
        <v>-1870536.4499999997</v>
      </c>
      <c r="G67" s="88">
        <f>SUMIFS('PIS B'!$K$11:$K$338,'PIS B'!$C$11:$C$338,'SCH B-2.3 B'!$B67)</f>
        <v>0</v>
      </c>
      <c r="H67" s="88">
        <f t="shared" si="8"/>
        <v>393402060.89500129</v>
      </c>
    </row>
    <row r="68" spans="1:8" ht="18.95" customHeight="1">
      <c r="A68" s="70">
        <f t="shared" si="0"/>
        <v>41</v>
      </c>
      <c r="B68" s="71" t="s">
        <v>1669</v>
      </c>
      <c r="C68" s="78" t="s">
        <v>1670</v>
      </c>
      <c r="D68" s="88">
        <f>SUMIFS('PIS B'!$E$11:$E$338,'PIS B'!$C$11:$C$338,'SCH B-2.3 B'!$B68)</f>
        <v>188110717.31</v>
      </c>
      <c r="E68" s="88">
        <f>SUMIFS('PIS B'!$G$11:$G$338,'PIS B'!$C$11:$C$338,'SCH B-2.3 B'!$B68)</f>
        <v>2858684.3481084998</v>
      </c>
      <c r="F68" s="88">
        <f>SUMIFS('PIS B'!$I$11:$I$338,'PIS B'!$C$11:$C$338,'SCH B-2.3 B'!$B68)</f>
        <v>-1290994.189999999</v>
      </c>
      <c r="G68" s="88">
        <f>SUMIFS('PIS B'!$K$11:$K$338,'PIS B'!$C$11:$C$338,'SCH B-2.3 B'!$B68)</f>
        <v>0</v>
      </c>
      <c r="H68" s="88">
        <f t="shared" si="8"/>
        <v>189678407.46810851</v>
      </c>
    </row>
    <row r="69" spans="1:8" ht="18.95" customHeight="1">
      <c r="A69" s="70">
        <f t="shared" si="0"/>
        <v>42</v>
      </c>
      <c r="B69" s="71" t="s">
        <v>1671</v>
      </c>
      <c r="C69" s="78" t="s">
        <v>1672</v>
      </c>
      <c r="D69" s="88">
        <f>SUMIFS('PIS B'!$E$11:$E$338,'PIS B'!$C$11:$C$338,'SCH B-2.3 B'!$B69)</f>
        <v>448760.26</v>
      </c>
      <c r="E69" s="88">
        <f>SUMIFS('PIS B'!$G$11:$G$338,'PIS B'!$C$11:$C$338,'SCH B-2.3 B'!$B69)</f>
        <v>0</v>
      </c>
      <c r="F69" s="88">
        <f>SUMIFS('PIS B'!$I$11:$I$338,'PIS B'!$C$11:$C$338,'SCH B-2.3 B'!$B69)</f>
        <v>0</v>
      </c>
      <c r="G69" s="88">
        <f>SUMIFS('PIS B'!$K$11:$K$338,'PIS B'!$C$11:$C$338,'SCH B-2.3 B'!$B69)</f>
        <v>0</v>
      </c>
      <c r="H69" s="88">
        <f t="shared" si="8"/>
        <v>448760.26</v>
      </c>
    </row>
    <row r="70" spans="1:8" ht="18.95" customHeight="1">
      <c r="A70" s="70">
        <f t="shared" si="0"/>
        <v>43</v>
      </c>
      <c r="B70" s="71" t="s">
        <v>1673</v>
      </c>
      <c r="C70" s="78" t="s">
        <v>1674</v>
      </c>
      <c r="D70" s="88">
        <f>SUMIFS('PIS B'!$E$11:$E$338,'PIS B'!$C$11:$C$338,'SCH B-2.3 B'!$B70)</f>
        <v>1299094.3999999999</v>
      </c>
      <c r="E70" s="88">
        <f>SUMIFS('PIS B'!$G$11:$G$338,'PIS B'!$C$11:$C$338,'SCH B-2.3 B'!$B70)</f>
        <v>498.15</v>
      </c>
      <c r="F70" s="88">
        <f>SUMIFS('PIS B'!$I$11:$I$338,'PIS B'!$C$11:$C$338,'SCH B-2.3 B'!$B70)</f>
        <v>0</v>
      </c>
      <c r="G70" s="88">
        <f>SUMIFS('PIS B'!$K$11:$K$338,'PIS B'!$C$11:$C$338,'SCH B-2.3 B'!$B70)</f>
        <v>0</v>
      </c>
      <c r="H70" s="88">
        <f t="shared" si="8"/>
        <v>1299592.5499999998</v>
      </c>
    </row>
    <row r="71" spans="1:8" ht="18.95" customHeight="1">
      <c r="A71" s="70">
        <f t="shared" si="0"/>
        <v>44</v>
      </c>
      <c r="B71" s="71" t="s">
        <v>1675</v>
      </c>
      <c r="C71" s="78" t="s">
        <v>152</v>
      </c>
      <c r="D71" s="89">
        <f>SUMIFS('PIS B'!$E$11:$E$338,'PIS B'!$C$11:$C$338,'SCH B-2.3 B'!$B71)</f>
        <v>556857.62</v>
      </c>
      <c r="E71" s="89">
        <f>SUMIFS('PIS B'!$G$11:$G$338,'PIS B'!$C$11:$C$338,'SCH B-2.3 B'!$B71)</f>
        <v>0</v>
      </c>
      <c r="F71" s="89">
        <f>SUMIFS('PIS B'!$I$11:$I$338,'PIS B'!$C$11:$C$338,'SCH B-2.3 B'!$B71)</f>
        <v>-5533.74</v>
      </c>
      <c r="G71" s="89">
        <f>SUMIFS('PIS B'!$K$11:$K$338,'PIS B'!$C$11:$C$338,'SCH B-2.3 B'!$B71)</f>
        <v>0</v>
      </c>
      <c r="H71" s="89">
        <f t="shared" si="8"/>
        <v>551323.88</v>
      </c>
    </row>
    <row r="72" spans="1:8" ht="18.95" customHeight="1">
      <c r="A72" s="70">
        <f t="shared" si="0"/>
        <v>45</v>
      </c>
      <c r="C72" s="78" t="s">
        <v>150</v>
      </c>
      <c r="D72" s="86">
        <f>SUM(D63:D71)</f>
        <v>924691653.03999996</v>
      </c>
      <c r="E72" s="86">
        <f t="shared" ref="E72:H72" si="9">SUM(E63:E71)</f>
        <v>156599001.43219411</v>
      </c>
      <c r="F72" s="86">
        <f t="shared" si="9"/>
        <v>-5086595.3599999994</v>
      </c>
      <c r="G72" s="86">
        <f t="shared" si="9"/>
        <v>0</v>
      </c>
      <c r="H72" s="86">
        <f t="shared" si="9"/>
        <v>1076204059.1121941</v>
      </c>
    </row>
    <row r="73" spans="1:8" ht="18.95" customHeight="1">
      <c r="A73" s="70"/>
      <c r="B73" s="71"/>
    </row>
    <row r="74" spans="1:8" ht="18.95" customHeight="1">
      <c r="A74" s="70">
        <f>A72+1</f>
        <v>46</v>
      </c>
      <c r="B74" s="71" t="s">
        <v>251</v>
      </c>
      <c r="C74" s="90" t="s">
        <v>16</v>
      </c>
    </row>
    <row r="75" spans="1:8" ht="18.95" customHeight="1">
      <c r="A75" s="70">
        <f t="shared" si="0"/>
        <v>47</v>
      </c>
      <c r="B75" s="71" t="s">
        <v>1676</v>
      </c>
      <c r="C75" s="78" t="s">
        <v>154</v>
      </c>
      <c r="D75" s="88">
        <f>SUMIFS('PIS B'!$E$11:$E$338,'PIS B'!$C$11:$C$338,'SCH B-2.3 B'!$B75)</f>
        <v>7723995.7499999907</v>
      </c>
      <c r="E75" s="88">
        <f>SUMIFS('PIS B'!$G$11:$G$338,'PIS B'!$C$11:$C$338,'SCH B-2.3 B'!$B75)</f>
        <v>2188611.9763599997</v>
      </c>
      <c r="F75" s="88">
        <f>SUMIFS('PIS B'!$I$11:$I$338,'PIS B'!$C$11:$C$338,'SCH B-2.3 B'!$B75)</f>
        <v>0</v>
      </c>
      <c r="G75" s="88">
        <f>SUMIFS('PIS B'!$K$11:$K$338,'PIS B'!$C$11:$C$338,'SCH B-2.3 B'!$B75)</f>
        <v>0</v>
      </c>
      <c r="H75" s="88">
        <f t="shared" ref="H75:H87" si="10">SUM(D75:G75)</f>
        <v>9912607.7263599895</v>
      </c>
    </row>
    <row r="76" spans="1:8" ht="18.95" customHeight="1">
      <c r="A76" s="70">
        <f t="shared" si="0"/>
        <v>48</v>
      </c>
      <c r="B76" s="71" t="s">
        <v>1677</v>
      </c>
      <c r="C76" s="78" t="s">
        <v>148</v>
      </c>
      <c r="D76" s="88">
        <f>SUMIFS('PIS B'!$E$11:$E$338,'PIS B'!$C$11:$C$338,'SCH B-2.3 B'!$B76)</f>
        <v>14411933.720000001</v>
      </c>
      <c r="E76" s="88">
        <f>SUMIFS('PIS B'!$G$11:$G$338,'PIS B'!$C$11:$C$338,'SCH B-2.3 B'!$B76)</f>
        <v>6364812.3739819992</v>
      </c>
      <c r="F76" s="88">
        <f>SUMIFS('PIS B'!$I$11:$I$338,'PIS B'!$C$11:$C$338,'SCH B-2.3 B'!$B76)</f>
        <v>-54514.94</v>
      </c>
      <c r="G76" s="88">
        <f>SUMIFS('PIS B'!$K$11:$K$338,'PIS B'!$C$11:$C$338,'SCH B-2.3 B'!$B76)</f>
        <v>860.21</v>
      </c>
      <c r="H76" s="88">
        <f t="shared" si="10"/>
        <v>20723091.363981999</v>
      </c>
    </row>
    <row r="77" spans="1:8" ht="18.95" customHeight="1">
      <c r="A77" s="70">
        <f t="shared" si="0"/>
        <v>49</v>
      </c>
      <c r="B77" s="71" t="s">
        <v>1678</v>
      </c>
      <c r="C77" s="78" t="s">
        <v>1679</v>
      </c>
      <c r="D77" s="88">
        <f>SUMIFS('PIS B'!$E$11:$E$338,'PIS B'!$C$11:$C$338,'SCH B-2.3 B'!$B77)</f>
        <v>198035492.24000001</v>
      </c>
      <c r="E77" s="88">
        <f>SUMIFS('PIS B'!$G$11:$G$338,'PIS B'!$C$11:$C$338,'SCH B-2.3 B'!$B77)</f>
        <v>43213605.285904497</v>
      </c>
      <c r="F77" s="88">
        <f>SUMIFS('PIS B'!$I$11:$I$338,'PIS B'!$C$11:$C$338,'SCH B-2.3 B'!$B77)</f>
        <v>-1394718.2199999997</v>
      </c>
      <c r="G77" s="88">
        <f>SUMIFS('PIS B'!$K$11:$K$338,'PIS B'!$C$11:$C$338,'SCH B-2.3 B'!$B77)</f>
        <v>0</v>
      </c>
      <c r="H77" s="88">
        <f t="shared" si="10"/>
        <v>239854379.30590451</v>
      </c>
    </row>
    <row r="78" spans="1:8" ht="18.95" customHeight="1">
      <c r="A78" s="70">
        <f t="shared" si="0"/>
        <v>50</v>
      </c>
      <c r="B78" s="71" t="s">
        <v>1680</v>
      </c>
      <c r="C78" s="78" t="s">
        <v>1681</v>
      </c>
      <c r="D78" s="88">
        <f>SUMIFS('PIS B'!$E$11:$E$338,'PIS B'!$C$11:$C$338,'SCH B-2.3 B'!$B78)</f>
        <v>389091936.75000006</v>
      </c>
      <c r="E78" s="88">
        <f>SUMIFS('PIS B'!$G$11:$G$338,'PIS B'!$C$11:$C$338,'SCH B-2.3 B'!$B78)</f>
        <v>24846504.037328992</v>
      </c>
      <c r="F78" s="88">
        <f>SUMIFS('PIS B'!$I$11:$I$338,'PIS B'!$C$11:$C$338,'SCH B-2.3 B'!$B78)</f>
        <v>-1237573.3899999999</v>
      </c>
      <c r="G78" s="88">
        <f>SUMIFS('PIS B'!$K$11:$K$338,'PIS B'!$C$11:$C$338,'SCH B-2.3 B'!$B78)</f>
        <v>0</v>
      </c>
      <c r="H78" s="88">
        <f t="shared" si="10"/>
        <v>412700867.39732909</v>
      </c>
    </row>
    <row r="79" spans="1:8" ht="18.95" customHeight="1">
      <c r="A79" s="70">
        <f t="shared" si="0"/>
        <v>51</v>
      </c>
      <c r="B79" s="71" t="s">
        <v>1682</v>
      </c>
      <c r="C79" s="78" t="s">
        <v>1670</v>
      </c>
      <c r="D79" s="88">
        <f>SUMIFS('PIS B'!$E$11:$E$338,'PIS B'!$C$11:$C$338,'SCH B-2.3 B'!$B79)</f>
        <v>369561367.32000005</v>
      </c>
      <c r="E79" s="88">
        <f>SUMIFS('PIS B'!$G$11:$G$338,'PIS B'!$C$11:$C$338,'SCH B-2.3 B'!$B79)</f>
        <v>44967686.964598171</v>
      </c>
      <c r="F79" s="88">
        <f>SUMIFS('PIS B'!$I$11:$I$338,'PIS B'!$C$11:$C$338,'SCH B-2.3 B'!$B79)</f>
        <v>-5988888.0399999982</v>
      </c>
      <c r="G79" s="88">
        <f>SUMIFS('PIS B'!$K$11:$K$338,'PIS B'!$C$11:$C$338,'SCH B-2.3 B'!$B79)</f>
        <v>0</v>
      </c>
      <c r="H79" s="88">
        <f t="shared" si="10"/>
        <v>408540166.24459821</v>
      </c>
    </row>
    <row r="80" spans="1:8" ht="18.95" customHeight="1">
      <c r="A80" s="70">
        <f t="shared" si="0"/>
        <v>52</v>
      </c>
      <c r="B80" s="71" t="s">
        <v>1683</v>
      </c>
      <c r="C80" s="78" t="s">
        <v>1672</v>
      </c>
      <c r="D80" s="88">
        <f>SUMIFS('PIS B'!$E$11:$E$338,'PIS B'!$C$11:$C$338,'SCH B-2.3 B'!$B80)</f>
        <v>2390171.06</v>
      </c>
      <c r="E80" s="88">
        <f>SUMIFS('PIS B'!$G$11:$G$338,'PIS B'!$C$11:$C$338,'SCH B-2.3 B'!$B80)</f>
        <v>-65.02</v>
      </c>
      <c r="F80" s="88">
        <f>SUMIFS('PIS B'!$I$11:$I$338,'PIS B'!$C$11:$C$338,'SCH B-2.3 B'!$B80)</f>
        <v>0</v>
      </c>
      <c r="G80" s="88">
        <f>SUMIFS('PIS B'!$K$11:$K$338,'PIS B'!$C$11:$C$338,'SCH B-2.3 B'!$B80)</f>
        <v>0</v>
      </c>
      <c r="H80" s="88">
        <f t="shared" si="10"/>
        <v>2390106.04</v>
      </c>
    </row>
    <row r="81" spans="1:8" ht="18.95" customHeight="1">
      <c r="A81" s="70">
        <f t="shared" si="0"/>
        <v>53</v>
      </c>
      <c r="B81" s="71" t="s">
        <v>1684</v>
      </c>
      <c r="C81" s="78" t="s">
        <v>1674</v>
      </c>
      <c r="D81" s="88">
        <f>SUMIFS('PIS B'!$E$11:$E$338,'PIS B'!$C$11:$C$338,'SCH B-2.3 B'!$B81)</f>
        <v>194252350.83000004</v>
      </c>
      <c r="E81" s="88">
        <f>SUMIFS('PIS B'!$G$11:$G$338,'PIS B'!$C$11:$C$338,'SCH B-2.3 B'!$B81)</f>
        <v>14030673.451006589</v>
      </c>
      <c r="F81" s="88">
        <f>SUMIFS('PIS B'!$I$11:$I$338,'PIS B'!$C$11:$C$338,'SCH B-2.3 B'!$B81)</f>
        <v>-466335.94</v>
      </c>
      <c r="G81" s="88">
        <f>SUMIFS('PIS B'!$K$11:$K$338,'PIS B'!$C$11:$C$338,'SCH B-2.3 B'!$B81)</f>
        <v>0</v>
      </c>
      <c r="H81" s="88">
        <f t="shared" si="10"/>
        <v>207816688.34100664</v>
      </c>
    </row>
    <row r="82" spans="1:8" ht="18.95" customHeight="1">
      <c r="A82" s="70">
        <f t="shared" si="0"/>
        <v>54</v>
      </c>
      <c r="B82" s="71" t="s">
        <v>1685</v>
      </c>
      <c r="C82" s="78" t="s">
        <v>1686</v>
      </c>
      <c r="D82" s="88">
        <f>SUMIFS('PIS B'!$E$11:$E$338,'PIS B'!$C$11:$C$338,'SCH B-2.3 B'!$B82)</f>
        <v>313646674.88</v>
      </c>
      <c r="E82" s="88">
        <f>SUMIFS('PIS B'!$G$11:$G$338,'PIS B'!$C$11:$C$338,'SCH B-2.3 B'!$B82)</f>
        <v>8153306.8863309994</v>
      </c>
      <c r="F82" s="88">
        <f>SUMIFS('PIS B'!$I$11:$I$338,'PIS B'!$C$11:$C$338,'SCH B-2.3 B'!$B82)</f>
        <v>-401895.83999999991</v>
      </c>
      <c r="G82" s="88">
        <f>SUMIFS('PIS B'!$K$11:$K$338,'PIS B'!$C$11:$C$338,'SCH B-2.3 B'!$B82)</f>
        <v>0</v>
      </c>
      <c r="H82" s="88">
        <f t="shared" si="10"/>
        <v>321398085.92633104</v>
      </c>
    </row>
    <row r="83" spans="1:8" ht="18.95" customHeight="1">
      <c r="A83" s="70">
        <f t="shared" si="0"/>
        <v>55</v>
      </c>
      <c r="B83" s="71" t="s">
        <v>1687</v>
      </c>
      <c r="C83" s="78" t="s">
        <v>1688</v>
      </c>
      <c r="D83" s="88">
        <f>SUMIFS('PIS B'!$E$11:$E$338,'PIS B'!$C$11:$C$338,'SCH B-2.3 B'!$B83)</f>
        <v>114368256.35000001</v>
      </c>
      <c r="E83" s="88">
        <f>SUMIFS('PIS B'!$G$11:$G$338,'PIS B'!$C$11:$C$338,'SCH B-2.3 B'!$B83)</f>
        <v>135495.57</v>
      </c>
      <c r="F83" s="88">
        <f>SUMIFS('PIS B'!$I$11:$I$338,'PIS B'!$C$11:$C$338,'SCH B-2.3 B'!$B83)</f>
        <v>0</v>
      </c>
      <c r="G83" s="88">
        <f>SUMIFS('PIS B'!$K$11:$K$338,'PIS B'!$C$11:$C$338,'SCH B-2.3 B'!$B83)</f>
        <v>0</v>
      </c>
      <c r="H83" s="88">
        <f t="shared" si="10"/>
        <v>114503751.92</v>
      </c>
    </row>
    <row r="84" spans="1:8" ht="18.95" customHeight="1">
      <c r="A84" s="70">
        <f>A83+1</f>
        <v>56</v>
      </c>
      <c r="B84" s="71" t="s">
        <v>1689</v>
      </c>
      <c r="C84" s="78" t="s">
        <v>1690</v>
      </c>
      <c r="D84" s="88">
        <f>SUMIFS('PIS B'!$E$11:$E$338,'PIS B'!$C$11:$C$338,'SCH B-2.3 B'!$B84)</f>
        <v>78827769.109999999</v>
      </c>
      <c r="E84" s="88">
        <f>SUMIFS('PIS B'!$G$11:$G$338,'PIS B'!$C$11:$C$338,'SCH B-2.3 B'!$B84)</f>
        <v>2310709.2678699996</v>
      </c>
      <c r="F84" s="88">
        <f>SUMIFS('PIS B'!$I$11:$I$338,'PIS B'!$C$11:$C$338,'SCH B-2.3 B'!$B84)</f>
        <v>-130486.76</v>
      </c>
      <c r="G84" s="88">
        <f>SUMIFS('PIS B'!$K$11:$K$338,'PIS B'!$C$11:$C$338,'SCH B-2.3 B'!$B84)</f>
        <v>0</v>
      </c>
      <c r="H84" s="88">
        <f t="shared" si="10"/>
        <v>81007991.617869988</v>
      </c>
    </row>
    <row r="85" spans="1:8" ht="18.95" customHeight="1">
      <c r="A85" s="70">
        <f t="shared" si="0"/>
        <v>57</v>
      </c>
      <c r="B85" s="71" t="s">
        <v>1691</v>
      </c>
      <c r="C85" s="78" t="s">
        <v>1692</v>
      </c>
      <c r="D85" s="88">
        <f>SUMIFS('PIS B'!$E$11:$E$338,'PIS B'!$C$11:$C$338,'SCH B-2.3 B'!$B85)</f>
        <v>6164.11</v>
      </c>
      <c r="E85" s="88">
        <f>SUMIFS('PIS B'!$G$11:$G$338,'PIS B'!$C$11:$C$338,'SCH B-2.3 B'!$B85)</f>
        <v>139495.85809999998</v>
      </c>
      <c r="F85" s="88">
        <f>SUMIFS('PIS B'!$I$11:$I$338,'PIS B'!$C$11:$C$338,'SCH B-2.3 B'!$B85)</f>
        <v>0</v>
      </c>
      <c r="G85" s="88">
        <f>SUMIFS('PIS B'!$K$11:$K$338,'PIS B'!$C$11:$C$338,'SCH B-2.3 B'!$B85)</f>
        <v>0</v>
      </c>
      <c r="H85" s="88">
        <f t="shared" si="10"/>
        <v>145659.96809999997</v>
      </c>
    </row>
    <row r="86" spans="1:8" ht="18.95" customHeight="1">
      <c r="A86" s="70">
        <f t="shared" si="0"/>
        <v>58</v>
      </c>
      <c r="B86" s="71" t="s">
        <v>1693</v>
      </c>
      <c r="C86" s="78" t="s">
        <v>1694</v>
      </c>
      <c r="D86" s="88">
        <f>SUMIFS('PIS B'!$E$11:$E$338,'PIS B'!$C$11:$C$338,'SCH B-2.3 B'!$B86)</f>
        <v>120862948.14999999</v>
      </c>
      <c r="E86" s="88">
        <f>SUMIFS('PIS B'!$G$11:$G$338,'PIS B'!$C$11:$C$338,'SCH B-2.3 B'!$B86)</f>
        <v>6858689.4700387996</v>
      </c>
      <c r="F86" s="88">
        <f>SUMIFS('PIS B'!$I$11:$I$338,'PIS B'!$C$11:$C$338,'SCH B-2.3 B'!$B86)</f>
        <v>-102313.40999999989</v>
      </c>
      <c r="G86" s="88">
        <f>SUMIFS('PIS B'!$K$11:$K$338,'PIS B'!$C$11:$C$338,'SCH B-2.3 B'!$B86)</f>
        <v>0</v>
      </c>
      <c r="H86" s="88">
        <f t="shared" si="10"/>
        <v>127619324.2100388</v>
      </c>
    </row>
    <row r="87" spans="1:8" ht="18.95" customHeight="1">
      <c r="A87" s="70">
        <f t="shared" si="0"/>
        <v>59</v>
      </c>
      <c r="B87" s="71" t="s">
        <v>1695</v>
      </c>
      <c r="C87" s="78" t="s">
        <v>151</v>
      </c>
      <c r="D87" s="89">
        <f>SUMIFS('PIS B'!$E$11:$E$338,'PIS B'!$C$11:$C$338,'SCH B-2.3 B'!$B87)</f>
        <v>670190.36999999906</v>
      </c>
      <c r="E87" s="89">
        <f>SUMIFS('PIS B'!$G$11:$G$338,'PIS B'!$C$11:$C$338,'SCH B-2.3 B'!$B87)</f>
        <v>0</v>
      </c>
      <c r="F87" s="89">
        <f>SUMIFS('PIS B'!$I$11:$I$338,'PIS B'!$C$11:$C$338,'SCH B-2.3 B'!$B87)</f>
        <v>-11903.18</v>
      </c>
      <c r="G87" s="89">
        <f>SUMIFS('PIS B'!$K$11:$K$338,'PIS B'!$C$11:$C$338,'SCH B-2.3 B'!$B87)</f>
        <v>0</v>
      </c>
      <c r="H87" s="89">
        <f t="shared" si="10"/>
        <v>658287.18999999901</v>
      </c>
    </row>
    <row r="88" spans="1:8" ht="18.95" customHeight="1">
      <c r="A88" s="70">
        <f t="shared" si="0"/>
        <v>60</v>
      </c>
      <c r="B88" s="71"/>
      <c r="C88" s="78" t="s">
        <v>153</v>
      </c>
      <c r="D88" s="86">
        <f>SUM(D75:D87)</f>
        <v>1803849250.6399999</v>
      </c>
      <c r="E88" s="86">
        <f t="shared" ref="E88:H88" si="11">SUM(E75:E87)</f>
        <v>153209526.12152004</v>
      </c>
      <c r="F88" s="86">
        <f t="shared" si="11"/>
        <v>-9788629.7199999969</v>
      </c>
      <c r="G88" s="86">
        <f t="shared" si="11"/>
        <v>860.21</v>
      </c>
      <c r="H88" s="86">
        <f t="shared" si="11"/>
        <v>1947271007.2515206</v>
      </c>
    </row>
    <row r="89" spans="1:8" s="68" customFormat="1" ht="20.100000000000001" customHeight="1">
      <c r="A89" s="769" t="str">
        <f>$A$1</f>
        <v>KENTUCKY UTILITIES COMPANY</v>
      </c>
      <c r="B89" s="769"/>
      <c r="C89" s="769"/>
      <c r="D89" s="769"/>
      <c r="E89" s="769"/>
      <c r="F89" s="769"/>
      <c r="G89" s="769"/>
      <c r="H89" s="769"/>
    </row>
    <row r="90" spans="1:8" s="68" customFormat="1" ht="20.100000000000001" customHeight="1">
      <c r="A90" s="769" t="str">
        <f>$A$2</f>
        <v>CASE NO. 2018-00294 - RESPONSE TO PSC 2-65 (SLIPPAGE FACTOR 96.027%)</v>
      </c>
      <c r="B90" s="769"/>
      <c r="C90" s="769"/>
      <c r="D90" s="769"/>
      <c r="E90" s="769"/>
      <c r="F90" s="769"/>
      <c r="G90" s="769"/>
      <c r="H90" s="769"/>
    </row>
    <row r="91" spans="1:8" s="68" customFormat="1" ht="20.100000000000001" customHeight="1">
      <c r="A91" s="769" t="str">
        <f>$A$3</f>
        <v>GROSS ADDITIONS, RETIREMENTS, AND TRANSFERS</v>
      </c>
      <c r="B91" s="769"/>
      <c r="C91" s="769"/>
      <c r="D91" s="769"/>
      <c r="E91" s="769"/>
      <c r="F91" s="769"/>
      <c r="G91" s="769"/>
      <c r="H91" s="769"/>
    </row>
    <row r="92" spans="1:8" s="68" customFormat="1" ht="20.100000000000001" customHeight="1">
      <c r="A92" s="768" t="str">
        <f>$A$4</f>
        <v>FROM JANUARY 1, 2018 TO DECEMBER 31, 2018</v>
      </c>
      <c r="B92" s="769"/>
      <c r="C92" s="769"/>
      <c r="D92" s="769"/>
      <c r="E92" s="769"/>
      <c r="F92" s="769"/>
      <c r="G92" s="769"/>
      <c r="H92" s="769"/>
    </row>
    <row r="93" spans="1:8" s="68" customFormat="1" ht="20.100000000000001" customHeight="1">
      <c r="A93" s="84"/>
      <c r="B93" s="84"/>
      <c r="C93" s="84"/>
      <c r="D93" s="84"/>
      <c r="E93" s="84"/>
      <c r="F93" s="84"/>
      <c r="G93" s="84"/>
      <c r="H93" s="84"/>
    </row>
    <row r="94" spans="1:8" s="68" customFormat="1" ht="20.100000000000001" customHeight="1">
      <c r="A94" s="67" t="str">
        <f>$A$6</f>
        <v>DATA:__X__BASE  PERIOD____FORECASTED  PERIOD</v>
      </c>
      <c r="B94" s="67"/>
      <c r="G94" s="74"/>
      <c r="H94" s="75" t="str">
        <f>$H$6</f>
        <v>SCHEDULE B-2.3</v>
      </c>
    </row>
    <row r="95" spans="1:8" s="68" customFormat="1" ht="20.100000000000001" customHeight="1">
      <c r="A95" s="67" t="str">
        <f>$A$7</f>
        <v>TYPE OF FILING: __X__ ORIGINAL  _____ UPDATED  _____ REVISED</v>
      </c>
      <c r="G95" s="74"/>
      <c r="H95" s="74" t="s">
        <v>171</v>
      </c>
    </row>
    <row r="96" spans="1:8" s="68" customFormat="1" ht="20.100000000000001" customHeight="1">
      <c r="A96" s="67" t="str">
        <f>$A$8</f>
        <v>WORKPAPER REFERENCE NO(S).:</v>
      </c>
      <c r="B96" s="67"/>
      <c r="F96" s="67"/>
      <c r="G96" s="75"/>
      <c r="H96" s="75" t="str">
        <f>$H$8</f>
        <v>WITNESS:   C. M. GARRETT</v>
      </c>
    </row>
    <row r="97" spans="1:8" s="68" customFormat="1" ht="20.100000000000001" customHeight="1"/>
    <row r="98" spans="1:8" ht="58.5" customHeight="1">
      <c r="A98" s="76" t="s">
        <v>131</v>
      </c>
      <c r="B98" s="76" t="s">
        <v>134</v>
      </c>
      <c r="C98" s="79" t="s">
        <v>135</v>
      </c>
      <c r="D98" s="76" t="s">
        <v>136</v>
      </c>
      <c r="E98" s="76" t="s">
        <v>137</v>
      </c>
      <c r="F98" s="76" t="s">
        <v>138</v>
      </c>
      <c r="G98" s="76" t="s">
        <v>140</v>
      </c>
      <c r="H98" s="76" t="s">
        <v>141</v>
      </c>
    </row>
    <row r="99" spans="1:8" ht="23.1" customHeight="1">
      <c r="A99" s="80"/>
      <c r="B99" s="80"/>
      <c r="C99" s="81"/>
      <c r="D99" s="82" t="s">
        <v>142</v>
      </c>
      <c r="E99" s="82" t="s">
        <v>142</v>
      </c>
      <c r="F99" s="82" t="s">
        <v>142</v>
      </c>
      <c r="G99" s="82" t="s">
        <v>142</v>
      </c>
      <c r="H99" s="82" t="s">
        <v>142</v>
      </c>
    </row>
    <row r="100" spans="1:8" ht="18.95" customHeight="1">
      <c r="A100" s="70">
        <f>A88+1</f>
        <v>61</v>
      </c>
      <c r="C100" s="90" t="s">
        <v>32</v>
      </c>
    </row>
    <row r="101" spans="1:8" ht="18.95" customHeight="1">
      <c r="A101" s="70">
        <f t="shared" ref="A101:A111" si="12">A100+1</f>
        <v>62</v>
      </c>
      <c r="B101" s="71" t="s">
        <v>1697</v>
      </c>
      <c r="C101" s="78" t="s">
        <v>154</v>
      </c>
      <c r="D101" s="88">
        <f>SUMIFS('PIS B'!$E$11:$E$338,'PIS B'!$C$11:$C$338,'SCH B-2.3 B'!$B101)</f>
        <v>3397712.1999999997</v>
      </c>
      <c r="E101" s="88">
        <f>SUMIFS('PIS B'!$G$11:$G$338,'PIS B'!$C$11:$C$338,'SCH B-2.3 B'!$B101)</f>
        <v>716990.57274999993</v>
      </c>
      <c r="F101" s="88">
        <f>SUMIFS('PIS B'!$I$11:$I$338,'PIS B'!$C$11:$C$338,'SCH B-2.3 B'!$B101)</f>
        <v>0</v>
      </c>
      <c r="G101" s="88">
        <f>SUMIFS('PIS B'!$K$11:$K$338,'PIS B'!$C$11:$C$338,'SCH B-2.3 B'!$B101)</f>
        <v>0</v>
      </c>
      <c r="H101" s="88">
        <f t="shared" ref="H101:H110" si="13">SUM(D101:G101)</f>
        <v>4114702.7727499995</v>
      </c>
    </row>
    <row r="102" spans="1:8" ht="18.95" customHeight="1">
      <c r="A102" s="70">
        <f t="shared" si="12"/>
        <v>63</v>
      </c>
      <c r="B102" s="71" t="s">
        <v>1698</v>
      </c>
      <c r="C102" s="78" t="s">
        <v>148</v>
      </c>
      <c r="D102" s="88">
        <f>SUMIFS('PIS B'!$E$11:$E$338,'PIS B'!$C$11:$C$338,'SCH B-2.3 B'!$B102)</f>
        <v>63009328.00999999</v>
      </c>
      <c r="E102" s="88">
        <f>SUMIFS('PIS B'!$G$11:$G$338,'PIS B'!$C$11:$C$338,'SCH B-2.3 B'!$B102)</f>
        <v>6789813.1947268983</v>
      </c>
      <c r="F102" s="88">
        <f>SUMIFS('PIS B'!$I$11:$I$338,'PIS B'!$C$11:$C$338,'SCH B-2.3 B'!$B102)</f>
        <v>-289182.42</v>
      </c>
      <c r="G102" s="88">
        <f>SUMIFS('PIS B'!$K$11:$K$338,'PIS B'!$C$11:$C$338,'SCH B-2.3 B'!$B102)</f>
        <v>-860.21</v>
      </c>
      <c r="H102" s="88">
        <f t="shared" si="13"/>
        <v>69509098.574726894</v>
      </c>
    </row>
    <row r="103" spans="1:8" ht="18.95" customHeight="1">
      <c r="A103" s="70">
        <f t="shared" si="12"/>
        <v>64</v>
      </c>
      <c r="B103" s="71" t="s">
        <v>1699</v>
      </c>
      <c r="C103" s="78" t="s">
        <v>156</v>
      </c>
      <c r="D103" s="88">
        <f>SUMIFS('PIS B'!$E$11:$E$338,'PIS B'!$C$11:$C$338,'SCH B-2.3 B'!$B103)</f>
        <v>38262138.25</v>
      </c>
      <c r="E103" s="88">
        <f>SUMIFS('PIS B'!$G$11:$G$338,'PIS B'!$C$11:$C$338,'SCH B-2.3 B'!$B103)</f>
        <v>12503390.824825499</v>
      </c>
      <c r="F103" s="88">
        <f>SUMIFS('PIS B'!$I$11:$I$338,'PIS B'!$C$11:$C$338,'SCH B-2.3 B'!$B103)</f>
        <v>-4605502.8399999989</v>
      </c>
      <c r="G103" s="88">
        <f>SUMIFS('PIS B'!$K$11:$K$338,'PIS B'!$C$11:$C$338,'SCH B-2.3 B'!$B103)</f>
        <v>0</v>
      </c>
      <c r="H103" s="88">
        <f t="shared" si="13"/>
        <v>46160026.234825499</v>
      </c>
    </row>
    <row r="104" spans="1:8" ht="18.95" customHeight="1">
      <c r="A104" s="70">
        <f t="shared" si="12"/>
        <v>65</v>
      </c>
      <c r="B104" s="71" t="s">
        <v>1700</v>
      </c>
      <c r="C104" s="78" t="s">
        <v>155</v>
      </c>
      <c r="D104" s="88">
        <f>SUMIFS('PIS B'!$E$11:$E$338,'PIS B'!$C$11:$C$338,'SCH B-2.3 B'!$B104)</f>
        <v>7247022.6799999997</v>
      </c>
      <c r="E104" s="88">
        <f>SUMIFS('PIS B'!$G$11:$G$338,'PIS B'!$C$11:$C$338,'SCH B-2.3 B'!$B104)</f>
        <v>506030.67000000004</v>
      </c>
      <c r="F104" s="88">
        <f>SUMIFS('PIS B'!$I$11:$I$338,'PIS B'!$C$11:$C$338,'SCH B-2.3 B'!$B104)</f>
        <v>-214781.65000000002</v>
      </c>
      <c r="G104" s="88">
        <f>SUMIFS('PIS B'!$K$11:$K$338,'PIS B'!$C$11:$C$338,'SCH B-2.3 B'!$B104)</f>
        <v>0</v>
      </c>
      <c r="H104" s="88">
        <f t="shared" si="13"/>
        <v>7538271.6999999993</v>
      </c>
    </row>
    <row r="105" spans="1:8" ht="18.95" customHeight="1">
      <c r="A105" s="70">
        <f t="shared" si="12"/>
        <v>66</v>
      </c>
      <c r="B105" s="71" t="s">
        <v>1701</v>
      </c>
      <c r="C105" s="78" t="s">
        <v>1702</v>
      </c>
      <c r="D105" s="88">
        <f>SUMIFS('PIS B'!$E$11:$E$338,'PIS B'!$C$11:$C$338,'SCH B-2.3 B'!$B105)</f>
        <v>910970.78999999992</v>
      </c>
      <c r="E105" s="88">
        <f>SUMIFS('PIS B'!$G$11:$G$338,'PIS B'!$C$11:$C$338,'SCH B-2.3 B'!$B105)</f>
        <v>49035.707419999999</v>
      </c>
      <c r="F105" s="88">
        <f>SUMIFS('PIS B'!$I$11:$I$338,'PIS B'!$C$11:$C$338,'SCH B-2.3 B'!$B105)</f>
        <v>-10498.11</v>
      </c>
      <c r="G105" s="88">
        <f>SUMIFS('PIS B'!$K$11:$K$338,'PIS B'!$C$11:$C$338,'SCH B-2.3 B'!$B105)</f>
        <v>0</v>
      </c>
      <c r="H105" s="88">
        <f t="shared" si="13"/>
        <v>949508.38741999993</v>
      </c>
    </row>
    <row r="106" spans="1:8" ht="18.95" customHeight="1">
      <c r="A106" s="70">
        <f t="shared" si="12"/>
        <v>67</v>
      </c>
      <c r="B106" s="71" t="s">
        <v>1703</v>
      </c>
      <c r="C106" s="78" t="s">
        <v>1704</v>
      </c>
      <c r="D106" s="88">
        <f>SUMIFS('PIS B'!$E$11:$E$338,'PIS B'!$C$11:$C$338,'SCH B-2.3 B'!$B106)</f>
        <v>13303566.550000001</v>
      </c>
      <c r="E106" s="88">
        <f>SUMIFS('PIS B'!$G$11:$G$338,'PIS B'!$C$11:$C$338,'SCH B-2.3 B'!$B106)</f>
        <v>2107514.9951081998</v>
      </c>
      <c r="F106" s="88">
        <f>SUMIFS('PIS B'!$I$11:$I$338,'PIS B'!$C$11:$C$338,'SCH B-2.3 B'!$B106)</f>
        <v>-61108.549999999988</v>
      </c>
      <c r="G106" s="88">
        <f>SUMIFS('PIS B'!$K$11:$K$338,'PIS B'!$C$11:$C$338,'SCH B-2.3 B'!$B106)</f>
        <v>0</v>
      </c>
      <c r="H106" s="88">
        <f t="shared" si="13"/>
        <v>15349972.9951082</v>
      </c>
    </row>
    <row r="107" spans="1:8" ht="18.95" customHeight="1">
      <c r="A107" s="70">
        <f t="shared" si="12"/>
        <v>68</v>
      </c>
      <c r="B107" s="71" t="s">
        <v>1705</v>
      </c>
      <c r="C107" s="78" t="s">
        <v>1706</v>
      </c>
      <c r="D107" s="88">
        <f>SUMIFS('PIS B'!$E$11:$E$338,'PIS B'!$C$11:$C$338,'SCH B-2.3 B'!$B107)</f>
        <v>0</v>
      </c>
      <c r="E107" s="88">
        <f>SUMIFS('PIS B'!$G$11:$G$338,'PIS B'!$C$11:$C$338,'SCH B-2.3 B'!$B107)</f>
        <v>0</v>
      </c>
      <c r="F107" s="88">
        <f>SUMIFS('PIS B'!$I$11:$I$338,'PIS B'!$C$11:$C$338,'SCH B-2.3 B'!$B107)</f>
        <v>0</v>
      </c>
      <c r="G107" s="88">
        <f>SUMIFS('PIS B'!$K$11:$K$338,'PIS B'!$C$11:$C$338,'SCH B-2.3 B'!$B107)</f>
        <v>0</v>
      </c>
      <c r="H107" s="88">
        <f t="shared" si="13"/>
        <v>0</v>
      </c>
    </row>
    <row r="108" spans="1:8" ht="18.95" customHeight="1">
      <c r="A108" s="70">
        <f t="shared" si="12"/>
        <v>69</v>
      </c>
      <c r="B108" s="71" t="s">
        <v>1707</v>
      </c>
      <c r="C108" s="78" t="s">
        <v>1708</v>
      </c>
      <c r="D108" s="88">
        <f>SUMIFS('PIS B'!$E$11:$E$338,'PIS B'!$C$11:$C$338,'SCH B-2.3 B'!$B108)</f>
        <v>3458015.8199999994</v>
      </c>
      <c r="E108" s="88">
        <f>SUMIFS('PIS B'!$G$11:$G$338,'PIS B'!$C$11:$C$338,'SCH B-2.3 B'!$B108)</f>
        <v>679891.58</v>
      </c>
      <c r="F108" s="88">
        <f>SUMIFS('PIS B'!$I$11:$I$338,'PIS B'!$C$11:$C$338,'SCH B-2.3 B'!$B108)</f>
        <v>0</v>
      </c>
      <c r="G108" s="88">
        <f>SUMIFS('PIS B'!$K$11:$K$338,'PIS B'!$C$11:$C$338,'SCH B-2.3 B'!$B108)</f>
        <v>0</v>
      </c>
      <c r="H108" s="88">
        <f t="shared" si="13"/>
        <v>4137907.3999999994</v>
      </c>
    </row>
    <row r="109" spans="1:8" ht="18.95" customHeight="1">
      <c r="A109" s="70">
        <f t="shared" si="12"/>
        <v>70</v>
      </c>
      <c r="B109" s="71" t="s">
        <v>1709</v>
      </c>
      <c r="C109" s="78" t="s">
        <v>157</v>
      </c>
      <c r="D109" s="88">
        <f>SUMIFS('PIS B'!$E$11:$E$338,'PIS B'!$C$11:$C$338,'SCH B-2.3 B'!$B109)</f>
        <v>56854164.019999996</v>
      </c>
      <c r="E109" s="88">
        <f>SUMIFS('PIS B'!$G$11:$G$338,'PIS B'!$C$11:$C$338,'SCH B-2.3 B'!$B109)</f>
        <v>9118284.3585163895</v>
      </c>
      <c r="F109" s="88">
        <f>SUMIFS('PIS B'!$I$11:$I$338,'PIS B'!$C$11:$C$338,'SCH B-2.3 B'!$B109)</f>
        <v>0</v>
      </c>
      <c r="G109" s="88">
        <f>SUMIFS('PIS B'!$K$11:$K$338,'PIS B'!$C$11:$C$338,'SCH B-2.3 B'!$B109)</f>
        <v>0</v>
      </c>
      <c r="H109" s="88">
        <f t="shared" si="13"/>
        <v>65972448.378516383</v>
      </c>
    </row>
    <row r="110" spans="1:8" ht="18.95" customHeight="1">
      <c r="A110" s="70">
        <f t="shared" si="12"/>
        <v>71</v>
      </c>
      <c r="B110" s="71" t="s">
        <v>1710</v>
      </c>
      <c r="C110" s="78" t="s">
        <v>1711</v>
      </c>
      <c r="D110" s="89">
        <f>SUMIFS('PIS B'!$E$11:$E$338,'PIS B'!$C$11:$C$338,'SCH B-2.3 B'!$B110)</f>
        <v>0</v>
      </c>
      <c r="E110" s="89">
        <f>SUMIFS('PIS B'!$G$11:$G$338,'PIS B'!$C$11:$C$338,'SCH B-2.3 B'!$B110)</f>
        <v>0</v>
      </c>
      <c r="F110" s="89">
        <f>SUMIFS('PIS B'!$I$11:$I$338,'PIS B'!$C$11:$C$338,'SCH B-2.3 B'!$B110)</f>
        <v>0</v>
      </c>
      <c r="G110" s="89">
        <f>SUMIFS('PIS B'!$K$11:$K$338,'PIS B'!$C$11:$C$338,'SCH B-2.3 B'!$B110)</f>
        <v>0</v>
      </c>
      <c r="H110" s="89">
        <f t="shared" si="13"/>
        <v>0</v>
      </c>
    </row>
    <row r="111" spans="1:8" ht="18.95" customHeight="1">
      <c r="A111" s="70">
        <f t="shared" si="12"/>
        <v>72</v>
      </c>
      <c r="B111" s="71"/>
      <c r="C111" s="78" t="s">
        <v>158</v>
      </c>
      <c r="D111" s="86">
        <f>SUM(D101:D110)</f>
        <v>186442918.31999999</v>
      </c>
      <c r="E111" s="86">
        <f t="shared" ref="E111:H111" si="14">SUM(E101:E110)</f>
        <v>32470951.903346986</v>
      </c>
      <c r="F111" s="86">
        <f t="shared" si="14"/>
        <v>-5181073.5699999994</v>
      </c>
      <c r="G111" s="86">
        <f t="shared" si="14"/>
        <v>-860.21</v>
      </c>
      <c r="H111" s="86">
        <f t="shared" si="14"/>
        <v>213731936.44334698</v>
      </c>
    </row>
    <row r="112" spans="1:8" ht="18.95" customHeight="1">
      <c r="A112" s="70"/>
      <c r="B112" s="71"/>
    </row>
    <row r="113" spans="1:8" ht="18.95" customHeight="1" thickBot="1">
      <c r="A113" s="70">
        <f>A111+1</f>
        <v>73</v>
      </c>
      <c r="B113" s="71"/>
      <c r="C113" s="68" t="s">
        <v>159</v>
      </c>
      <c r="D113" s="94">
        <f>SUM(D16,D27,D38,D60,D72,D88,D111)</f>
        <v>9275270973.7199898</v>
      </c>
      <c r="E113" s="94">
        <f>SUM(E16,E27,E38,E60,E72,E88,E111)</f>
        <v>553937897.90136886</v>
      </c>
      <c r="F113" s="94">
        <f>SUM(F16,F27,F38,F60,F72,F88,F111)</f>
        <v>-50198097.569999978</v>
      </c>
      <c r="G113" s="94">
        <f>SUM(G16,G27,G38,G60,G72,G88,G111)</f>
        <v>-4624832.9699999914</v>
      </c>
      <c r="H113" s="94">
        <f>SUM(H16,H27,H38,H60,H72,H88,H111)</f>
        <v>9774385941.0813599</v>
      </c>
    </row>
    <row r="114" spans="1:8" ht="18.95" customHeight="1" thickTop="1">
      <c r="B114" s="71"/>
    </row>
    <row r="115" spans="1:8" ht="18.95" customHeight="1">
      <c r="B115" s="71"/>
      <c r="D115" s="86"/>
    </row>
    <row r="116" spans="1:8" ht="18.95" customHeight="1">
      <c r="B116" s="71"/>
      <c r="C116" s="429" t="s">
        <v>2180</v>
      </c>
      <c r="D116" s="88">
        <f>'PIS B'!E115+'PIS B'!E248+'PIS B'!E314</f>
        <v>9275270973.7199898</v>
      </c>
      <c r="H116" s="88">
        <f>'PIS B'!O115+'PIS B'!O248+'PIS B'!O314</f>
        <v>9774385941.0813599</v>
      </c>
    </row>
    <row r="117" spans="1:8" ht="18.95" customHeight="1">
      <c r="B117" s="71"/>
      <c r="D117" s="88">
        <f>D113-D116</f>
        <v>0</v>
      </c>
      <c r="H117" s="88">
        <f>H113-H116</f>
        <v>0</v>
      </c>
    </row>
    <row r="118" spans="1:8" ht="18.95" customHeight="1">
      <c r="B118" s="71"/>
    </row>
    <row r="119" spans="1:8" ht="18.95" customHeight="1">
      <c r="D119" s="69" t="s">
        <v>160</v>
      </c>
    </row>
    <row r="120" spans="1:8" ht="18.95" customHeight="1"/>
    <row r="121" spans="1:8" ht="18.95" customHeight="1"/>
    <row r="122" spans="1:8" ht="18.95" customHeight="1"/>
    <row r="123" spans="1:8" ht="18.95" customHeight="1"/>
    <row r="124" spans="1:8" ht="18.95" customHeight="1"/>
    <row r="125" spans="1:8" ht="18.95" customHeight="1"/>
    <row r="126" spans="1:8" ht="18.95" customHeight="1"/>
    <row r="127" spans="1:8" ht="18.95" customHeight="1"/>
    <row r="128" spans="1:8" ht="18.95" customHeight="1"/>
    <row r="129" ht="18.95" customHeight="1"/>
    <row r="130" ht="18.95" customHeight="1"/>
    <row r="131" ht="18.95" customHeight="1"/>
  </sheetData>
  <mergeCells count="12">
    <mergeCell ref="A1:H1"/>
    <mergeCell ref="A2:H2"/>
    <mergeCell ref="A3:H3"/>
    <mergeCell ref="A4:H4"/>
    <mergeCell ref="A89:H89"/>
    <mergeCell ref="A90:H90"/>
    <mergeCell ref="A91:H91"/>
    <mergeCell ref="A92:H92"/>
    <mergeCell ref="A45:H45"/>
    <mergeCell ref="A46:H46"/>
    <mergeCell ref="A47:H47"/>
    <mergeCell ref="A48:H48"/>
  </mergeCells>
  <pageMargins left="0.95" right="0.5" top="0.75" bottom="0.75" header="0.3" footer="0.3"/>
  <pageSetup scale="73" fitToHeight="0" orientation="portrait" r:id="rId1"/>
  <rowBreaks count="2" manualBreakCount="2">
    <brk id="44" max="16383" man="1"/>
    <brk id="88"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132"/>
  <sheetViews>
    <sheetView zoomScaleNormal="100" workbookViewId="0">
      <selection sqref="A1:I1"/>
    </sheetView>
  </sheetViews>
  <sheetFormatPr defaultColWidth="9" defaultRowHeight="12.75"/>
  <cols>
    <col min="1" max="1" width="6" style="69" customWidth="1"/>
    <col min="2" max="2" width="7.6640625" style="69" customWidth="1"/>
    <col min="3" max="3" width="38.33203125" style="69" customWidth="1"/>
    <col min="4" max="4" width="14.77734375" style="69" customWidth="1"/>
    <col min="5" max="5" width="13.77734375" style="69" customWidth="1"/>
    <col min="6" max="6" width="14.77734375" style="69" customWidth="1"/>
    <col min="7" max="7" width="13.77734375" style="69" customWidth="1"/>
    <col min="8" max="9" width="14.77734375" style="69" customWidth="1"/>
    <col min="10" max="10" width="1.6640625" style="69" customWidth="1"/>
    <col min="11" max="16384" width="9" style="69"/>
  </cols>
  <sheetData>
    <row r="1" spans="1:9" s="68" customFormat="1" ht="20.100000000000001" customHeight="1">
      <c r="A1" s="769" t="str">
        <f>'Rate Case Constants'!C9</f>
        <v>KENTUCKY UTILITIES COMPANY</v>
      </c>
      <c r="B1" s="769"/>
      <c r="C1" s="769"/>
      <c r="D1" s="769"/>
      <c r="E1" s="769"/>
      <c r="F1" s="769"/>
      <c r="G1" s="769"/>
      <c r="H1" s="769"/>
      <c r="I1" s="769"/>
    </row>
    <row r="2" spans="1:9" s="68" customFormat="1" ht="20.100000000000001" customHeight="1">
      <c r="A2" s="769" t="str">
        <f>'Rate Case Constants'!C10</f>
        <v>CASE NO. 2018-00294 - RESPONSE TO PSC 2-65 (SLIPPAGE FACTOR 96.027%)</v>
      </c>
      <c r="B2" s="769"/>
      <c r="C2" s="769"/>
      <c r="D2" s="769"/>
      <c r="E2" s="769"/>
      <c r="F2" s="769"/>
      <c r="G2" s="769"/>
      <c r="H2" s="769"/>
      <c r="I2" s="769"/>
    </row>
    <row r="3" spans="1:9" s="68" customFormat="1" ht="20.100000000000001" customHeight="1">
      <c r="A3" s="769" t="s">
        <v>132</v>
      </c>
      <c r="B3" s="769"/>
      <c r="C3" s="769"/>
      <c r="D3" s="769"/>
      <c r="E3" s="769"/>
      <c r="F3" s="769"/>
      <c r="G3" s="769"/>
      <c r="H3" s="769"/>
      <c r="I3" s="769"/>
    </row>
    <row r="4" spans="1:9" s="68" customFormat="1" ht="20.100000000000001" customHeight="1">
      <c r="A4" s="769" t="str">
        <f>'Rate Case Constants'!C20</f>
        <v>FROM MAY 1, 2019 TO APRIL 30, 2020</v>
      </c>
      <c r="B4" s="769"/>
      <c r="C4" s="769"/>
      <c r="D4" s="769"/>
      <c r="E4" s="769"/>
      <c r="F4" s="769"/>
      <c r="G4" s="769"/>
      <c r="H4" s="769"/>
      <c r="I4" s="769"/>
    </row>
    <row r="5" spans="1:9" s="68" customFormat="1" ht="20.100000000000001" customHeight="1">
      <c r="A5" s="84"/>
      <c r="B5" s="84"/>
      <c r="C5" s="84"/>
      <c r="D5" s="84"/>
      <c r="E5" s="84"/>
      <c r="F5" s="84"/>
      <c r="G5" s="84"/>
      <c r="H5" s="84"/>
      <c r="I5" s="84"/>
    </row>
    <row r="6" spans="1:9" s="68" customFormat="1" ht="20.100000000000001" customHeight="1">
      <c r="A6" s="67" t="s">
        <v>161</v>
      </c>
      <c r="B6" s="67"/>
      <c r="G6" s="74"/>
      <c r="H6" s="74"/>
      <c r="I6" s="74" t="s">
        <v>139</v>
      </c>
    </row>
    <row r="7" spans="1:9" s="68" customFormat="1" ht="20.100000000000001" customHeight="1">
      <c r="A7" s="68" t="str">
        <f>'Rate Case Constants'!C29</f>
        <v>TYPE OF FILING: __X__ ORIGINAL  _____ UPDATED  _____ REVISED</v>
      </c>
      <c r="G7" s="74"/>
      <c r="H7" s="74"/>
      <c r="I7" s="74" t="s">
        <v>168</v>
      </c>
    </row>
    <row r="8" spans="1:9" s="68" customFormat="1" ht="20.100000000000001" customHeight="1">
      <c r="A8" s="67" t="s">
        <v>1198</v>
      </c>
      <c r="B8" s="67"/>
      <c r="F8" s="67"/>
      <c r="G8" s="75"/>
      <c r="H8" s="75"/>
      <c r="I8" s="75" t="str">
        <f>'Rate Case Constants'!C36</f>
        <v>WITNESS:   C. M. GARRETT</v>
      </c>
    </row>
    <row r="9" spans="1:9" s="68" customFormat="1" ht="20.100000000000001" customHeight="1"/>
    <row r="10" spans="1:9" ht="65.099999999999994" customHeight="1">
      <c r="A10" s="76" t="s">
        <v>131</v>
      </c>
      <c r="B10" s="76" t="s">
        <v>134</v>
      </c>
      <c r="C10" s="79" t="s">
        <v>135</v>
      </c>
      <c r="D10" s="76" t="s">
        <v>162</v>
      </c>
      <c r="E10" s="76" t="s">
        <v>137</v>
      </c>
      <c r="F10" s="76" t="s">
        <v>138</v>
      </c>
      <c r="G10" s="76" t="s">
        <v>140</v>
      </c>
      <c r="H10" s="76" t="s">
        <v>163</v>
      </c>
      <c r="I10" s="76" t="s">
        <v>164</v>
      </c>
    </row>
    <row r="11" spans="1:9" ht="23.1" customHeight="1">
      <c r="A11" s="80"/>
      <c r="B11" s="80"/>
      <c r="C11" s="81"/>
      <c r="D11" s="82" t="s">
        <v>142</v>
      </c>
      <c r="E11" s="82" t="s">
        <v>142</v>
      </c>
      <c r="F11" s="82" t="s">
        <v>142</v>
      </c>
      <c r="G11" s="82" t="s">
        <v>142</v>
      </c>
      <c r="H11" s="82" t="s">
        <v>142</v>
      </c>
      <c r="I11" s="82" t="s">
        <v>142</v>
      </c>
    </row>
    <row r="12" spans="1:9" ht="23.1" customHeight="1">
      <c r="A12" s="73">
        <v>1</v>
      </c>
      <c r="B12" s="73"/>
      <c r="C12" s="85" t="s">
        <v>56</v>
      </c>
      <c r="D12" s="77"/>
      <c r="E12" s="77"/>
      <c r="F12" s="77"/>
      <c r="G12" s="77"/>
      <c r="H12" s="77"/>
      <c r="I12" s="77"/>
    </row>
    <row r="13" spans="1:9" ht="18.95" customHeight="1">
      <c r="A13" s="70">
        <f>A12+1</f>
        <v>2</v>
      </c>
      <c r="B13" s="71" t="s">
        <v>1620</v>
      </c>
      <c r="C13" s="78" t="s">
        <v>1621</v>
      </c>
      <c r="D13" s="86">
        <f>SUMIFS('PIS F'!$E$11:$E$344,'PIS F'!$C$11:$C$344,'SCH B-2.3 F'!$B13)</f>
        <v>44455.58</v>
      </c>
      <c r="E13" s="86">
        <f>SUMIFS('PIS F'!$G$11:$G$344,'PIS F'!$C$11:$C$344,'SCH B-2.3 F'!$B13)</f>
        <v>0</v>
      </c>
      <c r="F13" s="86">
        <f>SUMIFS('PIS F'!$I$11:$I$344,'PIS F'!$C$11:$C$344,'SCH B-2.3 F'!$B13)</f>
        <v>0</v>
      </c>
      <c r="G13" s="86">
        <f>SUMIFS('PIS F'!$K$11:$K$344,'PIS F'!$C$11:$C$344,'SCH B-2.3 F'!$B13)</f>
        <v>0</v>
      </c>
      <c r="H13" s="86">
        <f>SUM(D13:G13)</f>
        <v>44455.58</v>
      </c>
      <c r="I13" s="86">
        <f>SUMIFS('PIS F'!$Q$11:$Q$344,'PIS F'!$C$11:$C$344,'SCH B-2.3 F'!$B13)</f>
        <v>44455.580000000009</v>
      </c>
    </row>
    <row r="14" spans="1:9" ht="18.95" customHeight="1">
      <c r="A14" s="70">
        <f t="shared" ref="A14:A77" si="0">A13+1</f>
        <v>3</v>
      </c>
      <c r="B14" s="71" t="s">
        <v>1622</v>
      </c>
      <c r="C14" s="78" t="s">
        <v>1623</v>
      </c>
      <c r="D14" s="86">
        <f>SUMIFS('PIS F'!$E$11:$E$344,'PIS F'!$C$11:$C$344,'SCH B-2.3 F'!$B14)</f>
        <v>55918.83</v>
      </c>
      <c r="E14" s="86">
        <f>SUMIFS('PIS F'!$G$11:$G$344,'PIS F'!$C$11:$C$344,'SCH B-2.3 F'!$B14)</f>
        <v>0</v>
      </c>
      <c r="F14" s="87">
        <f>SUMIFS('PIS F'!$I$11:$I$344,'PIS F'!$C$11:$C$344,'SCH B-2.3 F'!$B14)</f>
        <v>0</v>
      </c>
      <c r="G14" s="87">
        <f>SUMIFS('PIS F'!$K$11:$K$344,'PIS F'!$C$11:$C$344,'SCH B-2.3 F'!$B14)</f>
        <v>0</v>
      </c>
      <c r="H14" s="87">
        <f t="shared" ref="H14:H15" si="1">SUM(D14:G14)</f>
        <v>55918.83</v>
      </c>
      <c r="I14" s="86">
        <f>SUMIFS('PIS F'!$Q$11:$Q$344,'PIS F'!$C$11:$C$344,'SCH B-2.3 F'!$B14)</f>
        <v>55918.829999999994</v>
      </c>
    </row>
    <row r="15" spans="1:9" ht="18.95" customHeight="1">
      <c r="A15" s="70">
        <f t="shared" si="0"/>
        <v>4</v>
      </c>
      <c r="B15" s="71" t="s">
        <v>1624</v>
      </c>
      <c r="C15" s="78" t="s">
        <v>1625</v>
      </c>
      <c r="D15" s="89">
        <f>SUMIFS('PIS F'!$E$11:$E$344,'PIS F'!$C$11:$C$344,'SCH B-2.3 F'!$B15)</f>
        <v>92171012.256104201</v>
      </c>
      <c r="E15" s="89">
        <f>SUMIFS('PIS F'!$G$11:$G$344,'PIS F'!$C$11:$C$344,'SCH B-2.3 F'!$B15)</f>
        <v>22628947.323479995</v>
      </c>
      <c r="F15" s="89">
        <f>SUMIFS('PIS F'!$I$11:$I$344,'PIS F'!$C$11:$C$344,'SCH B-2.3 F'!$B15)</f>
        <v>-11987927.70999999</v>
      </c>
      <c r="G15" s="89">
        <f>SUMIFS('PIS F'!$K$11:$K$344,'PIS F'!$C$11:$C$344,'SCH B-2.3 F'!$B15)</f>
        <v>0</v>
      </c>
      <c r="H15" s="89">
        <f t="shared" si="1"/>
        <v>102812031.8695842</v>
      </c>
      <c r="I15" s="89">
        <f>SUMIFS('PIS F'!$Q$11:$Q$344,'PIS F'!$C$11:$C$344,'SCH B-2.3 F'!$B15)</f>
        <v>97263001.68879573</v>
      </c>
    </row>
    <row r="16" spans="1:9" ht="18.95" customHeight="1">
      <c r="A16" s="70">
        <f t="shared" si="0"/>
        <v>5</v>
      </c>
      <c r="B16" s="70"/>
      <c r="C16" s="78" t="s">
        <v>143</v>
      </c>
      <c r="D16" s="86">
        <f t="shared" ref="D16:H16" si="2">SUM(D13:D15)</f>
        <v>92271386.666104198</v>
      </c>
      <c r="E16" s="86">
        <f t="shared" si="2"/>
        <v>22628947.323479995</v>
      </c>
      <c r="F16" s="86">
        <f t="shared" si="2"/>
        <v>-11987927.70999999</v>
      </c>
      <c r="G16" s="86">
        <f t="shared" si="2"/>
        <v>0</v>
      </c>
      <c r="H16" s="86">
        <f t="shared" si="2"/>
        <v>102912406.2795842</v>
      </c>
      <c r="I16" s="86">
        <f t="shared" ref="I16" si="3">SUM(I13:I15)</f>
        <v>97363376.098795727</v>
      </c>
    </row>
    <row r="17" spans="1:9" ht="18.95" customHeight="1">
      <c r="A17" s="70"/>
      <c r="B17" s="70"/>
      <c r="D17" s="72"/>
      <c r="E17" s="72"/>
      <c r="F17" s="72"/>
      <c r="G17" s="72"/>
      <c r="H17" s="72"/>
      <c r="I17" s="72"/>
    </row>
    <row r="18" spans="1:9" ht="18.95" customHeight="1">
      <c r="A18" s="70">
        <f>A16+1</f>
        <v>6</v>
      </c>
      <c r="B18" s="70"/>
      <c r="C18" s="90" t="s">
        <v>72</v>
      </c>
      <c r="D18" s="72"/>
      <c r="E18" s="72"/>
      <c r="F18" s="72"/>
      <c r="G18" s="72"/>
      <c r="H18" s="72"/>
      <c r="I18" s="72"/>
    </row>
    <row r="19" spans="1:9" ht="18.95" customHeight="1">
      <c r="A19" s="70">
        <f t="shared" si="0"/>
        <v>7</v>
      </c>
      <c r="B19" s="71" t="s">
        <v>1626</v>
      </c>
      <c r="C19" s="78" t="s">
        <v>154</v>
      </c>
      <c r="D19" s="88">
        <f>SUMIFS('PIS F'!$E$11:$E$344,'PIS F'!$C$11:$C$344,'SCH B-2.3 F'!$B19)</f>
        <v>24446473.830399901</v>
      </c>
      <c r="E19" s="88">
        <f>SUMIFS('PIS F'!$G$11:$G$344,'PIS F'!$C$11:$C$344,'SCH B-2.3 F'!$B19)</f>
        <v>0</v>
      </c>
      <c r="F19" s="88">
        <f>SUMIFS('PIS F'!$I$11:$I$344,'PIS F'!$C$11:$C$344,'SCH B-2.3 F'!$B19)</f>
        <v>0</v>
      </c>
      <c r="G19" s="88">
        <f>SUMIFS('PIS F'!$K$11:$K$344,'PIS F'!$C$11:$C$344,'SCH B-2.3 F'!$B19)</f>
        <v>0</v>
      </c>
      <c r="H19" s="88">
        <f t="shared" ref="H19:H26" si="4">SUM(D19:G19)</f>
        <v>24446473.830399901</v>
      </c>
      <c r="I19" s="88">
        <f>SUMIFS('PIS F'!$Q$11:$Q$344,'PIS F'!$C$11:$C$344,'SCH B-2.3 F'!$B19)</f>
        <v>24446473.830399901</v>
      </c>
    </row>
    <row r="20" spans="1:9" ht="18" customHeight="1">
      <c r="A20" s="70">
        <f t="shared" si="0"/>
        <v>8</v>
      </c>
      <c r="B20" s="71" t="s">
        <v>1627</v>
      </c>
      <c r="C20" s="78" t="s">
        <v>148</v>
      </c>
      <c r="D20" s="88">
        <f>SUMIFS('PIS F'!$E$11:$E$344,'PIS F'!$C$11:$C$344,'SCH B-2.3 F'!$B20)</f>
        <v>358084548.76845402</v>
      </c>
      <c r="E20" s="88">
        <f>SUMIFS('PIS F'!$G$11:$G$344,'PIS F'!$C$11:$C$344,'SCH B-2.3 F'!$B20)</f>
        <v>3237735.4931500005</v>
      </c>
      <c r="F20" s="88">
        <f>SUMIFS('PIS F'!$I$11:$I$344,'PIS F'!$C$11:$C$344,'SCH B-2.3 F'!$B20)</f>
        <v>-10675505.010000002</v>
      </c>
      <c r="G20" s="88">
        <f>SUMIFS('PIS F'!$K$11:$K$344,'PIS F'!$C$11:$C$344,'SCH B-2.3 F'!$B20)</f>
        <v>0</v>
      </c>
      <c r="H20" s="88">
        <f t="shared" si="4"/>
        <v>350646779.25160402</v>
      </c>
      <c r="I20" s="88">
        <f>SUMIFS('PIS F'!$Q$11:$Q$344,'PIS F'!$C$11:$C$344,'SCH B-2.3 F'!$B20)</f>
        <v>356223563.15797478</v>
      </c>
    </row>
    <row r="21" spans="1:9" ht="18.95" customHeight="1">
      <c r="A21" s="70">
        <f t="shared" si="0"/>
        <v>9</v>
      </c>
      <c r="B21" s="71" t="s">
        <v>1628</v>
      </c>
      <c r="C21" s="78" t="s">
        <v>1629</v>
      </c>
      <c r="D21" s="88">
        <f>SUMIFS('PIS F'!$E$11:$E$344,'PIS F'!$C$11:$C$344,'SCH B-2.3 F'!$B21)</f>
        <v>4065908922.1159101</v>
      </c>
      <c r="E21" s="88">
        <f>SUMIFS('PIS F'!$G$11:$G$344,'PIS F'!$C$11:$C$344,'SCH B-2.3 F'!$B21)</f>
        <v>315389915.35184675</v>
      </c>
      <c r="F21" s="88">
        <f>SUMIFS('PIS F'!$I$11:$I$344,'PIS F'!$C$11:$C$344,'SCH B-2.3 F'!$B21)</f>
        <v>-16499907.68</v>
      </c>
      <c r="G21" s="88">
        <f>SUMIFS('PIS F'!$K$11:$K$344,'PIS F'!$C$11:$C$344,'SCH B-2.3 F'!$B21)</f>
        <v>0</v>
      </c>
      <c r="H21" s="88">
        <f t="shared" si="4"/>
        <v>4364798929.7877569</v>
      </c>
      <c r="I21" s="88">
        <f>SUMIFS('PIS F'!$Q$11:$Q$344,'PIS F'!$C$11:$C$344,'SCH B-2.3 F'!$B21)</f>
        <v>4268165562.5740767</v>
      </c>
    </row>
    <row r="22" spans="1:9" ht="18.95" customHeight="1">
      <c r="A22" s="70">
        <f>A20+1</f>
        <v>9</v>
      </c>
      <c r="B22" s="71">
        <v>313</v>
      </c>
      <c r="C22" s="78" t="s">
        <v>144</v>
      </c>
      <c r="D22" s="88">
        <f>SUMIFS('PIS F'!$E$11:$E$344,'PIS F'!$C$11:$C$344,'SCH B-2.3 F'!$B22)</f>
        <v>0</v>
      </c>
      <c r="E22" s="88">
        <f>SUMIFS('PIS F'!$G$11:$G$344,'PIS F'!$C$11:$C$344,'SCH B-2.3 F'!$B22)</f>
        <v>0</v>
      </c>
      <c r="F22" s="88">
        <f>SUMIFS('PIS F'!$I$11:$I$344,'PIS F'!$C$11:$C$344,'SCH B-2.3 F'!$B22)</f>
        <v>0</v>
      </c>
      <c r="G22" s="88">
        <f>SUMIFS('PIS F'!$K$11:$K$344,'PIS F'!$C$11:$C$344,'SCH B-2.3 F'!$B22)</f>
        <v>0</v>
      </c>
      <c r="H22" s="88">
        <f t="shared" si="4"/>
        <v>0</v>
      </c>
      <c r="I22" s="88">
        <f>SUMIFS('PIS F'!$Q$11:$Q$344,'PIS F'!$C$11:$C$344,'SCH B-2.3 F'!$B22)</f>
        <v>0</v>
      </c>
    </row>
    <row r="23" spans="1:9" ht="18.95" customHeight="1">
      <c r="A23" s="70">
        <f>A21+1</f>
        <v>10</v>
      </c>
      <c r="B23" s="71" t="s">
        <v>1630</v>
      </c>
      <c r="C23" s="78" t="s">
        <v>1631</v>
      </c>
      <c r="D23" s="88">
        <f>SUMIFS('PIS F'!$E$11:$E$344,'PIS F'!$C$11:$C$344,'SCH B-2.3 F'!$B23)</f>
        <v>330028893.46397096</v>
      </c>
      <c r="E23" s="88">
        <f>SUMIFS('PIS F'!$G$11:$G$344,'PIS F'!$C$11:$C$344,'SCH B-2.3 F'!$B23)</f>
        <v>10197328.981240001</v>
      </c>
      <c r="F23" s="88">
        <f>SUMIFS('PIS F'!$I$11:$I$344,'PIS F'!$C$11:$C$344,'SCH B-2.3 F'!$B23)</f>
        <v>-7294506.6399999997</v>
      </c>
      <c r="G23" s="88">
        <f>SUMIFS('PIS F'!$K$11:$K$344,'PIS F'!$C$11:$C$344,'SCH B-2.3 F'!$B23)</f>
        <v>0</v>
      </c>
      <c r="H23" s="88">
        <f t="shared" si="4"/>
        <v>332931715.80521095</v>
      </c>
      <c r="I23" s="88">
        <f>SUMIFS('PIS F'!$Q$11:$Q$344,'PIS F'!$C$11:$C$344,'SCH B-2.3 F'!$B23)</f>
        <v>334308154.74648631</v>
      </c>
    </row>
    <row r="24" spans="1:9" ht="18.95" customHeight="1">
      <c r="A24" s="70">
        <f t="shared" si="0"/>
        <v>11</v>
      </c>
      <c r="B24" s="71" t="s">
        <v>1632</v>
      </c>
      <c r="C24" s="78" t="s">
        <v>1633</v>
      </c>
      <c r="D24" s="88">
        <f>SUMIFS('PIS F'!$E$11:$E$344,'PIS F'!$C$11:$C$344,'SCH B-2.3 F'!$B24)</f>
        <v>250294530.18813601</v>
      </c>
      <c r="E24" s="88">
        <f>SUMIFS('PIS F'!$G$11:$G$344,'PIS F'!$C$11:$C$344,'SCH B-2.3 F'!$B24)</f>
        <v>7955975.3571700007</v>
      </c>
      <c r="F24" s="88">
        <f>SUMIFS('PIS F'!$I$11:$I$344,'PIS F'!$C$11:$C$344,'SCH B-2.3 F'!$B24)</f>
        <v>-1058983.8</v>
      </c>
      <c r="G24" s="88">
        <f>SUMIFS('PIS F'!$K$11:$K$344,'PIS F'!$C$11:$C$344,'SCH B-2.3 F'!$B24)</f>
        <v>0</v>
      </c>
      <c r="H24" s="88">
        <f t="shared" si="4"/>
        <v>257191521.74530602</v>
      </c>
      <c r="I24" s="88">
        <f>SUMIFS('PIS F'!$Q$11:$Q$344,'PIS F'!$C$11:$C$344,'SCH B-2.3 F'!$B24)</f>
        <v>253631737.58526215</v>
      </c>
    </row>
    <row r="25" spans="1:9" ht="18.95" customHeight="1">
      <c r="A25" s="70">
        <f t="shared" si="0"/>
        <v>12</v>
      </c>
      <c r="B25" s="71" t="s">
        <v>1634</v>
      </c>
      <c r="C25" s="78" t="s">
        <v>1635</v>
      </c>
      <c r="D25" s="88">
        <f>SUMIFS('PIS F'!$E$11:$E$344,'PIS F'!$C$11:$C$344,'SCH B-2.3 F'!$B25)</f>
        <v>39678536.534277</v>
      </c>
      <c r="E25" s="88">
        <f>SUMIFS('PIS F'!$G$11:$G$344,'PIS F'!$C$11:$C$344,'SCH B-2.3 F'!$B25)</f>
        <v>7139814.301409998</v>
      </c>
      <c r="F25" s="88">
        <f>SUMIFS('PIS F'!$I$11:$I$344,'PIS F'!$C$11:$C$344,'SCH B-2.3 F'!$B25)</f>
        <v>-536312.27</v>
      </c>
      <c r="G25" s="88">
        <f>SUMIFS('PIS F'!$K$11:$K$344,'PIS F'!$C$11:$C$344,'SCH B-2.3 F'!$B25)</f>
        <v>0</v>
      </c>
      <c r="H25" s="88">
        <f t="shared" si="4"/>
        <v>46282038.565686993</v>
      </c>
      <c r="I25" s="88">
        <f>SUMIFS('PIS F'!$Q$11:$Q$344,'PIS F'!$C$11:$C$344,'SCH B-2.3 F'!$B25)</f>
        <v>43360171.782118492</v>
      </c>
    </row>
    <row r="26" spans="1:9" ht="18.95" customHeight="1">
      <c r="A26" s="70">
        <f t="shared" si="0"/>
        <v>13</v>
      </c>
      <c r="B26" s="71" t="s">
        <v>1636</v>
      </c>
      <c r="C26" s="78" t="s">
        <v>1655</v>
      </c>
      <c r="D26" s="89">
        <f>SUMIFS('PIS F'!$E$11:$E$344,'PIS F'!$C$11:$C$344,'SCH B-2.3 F'!$B26)</f>
        <v>197376730.81</v>
      </c>
      <c r="E26" s="89">
        <f>SUMIFS('PIS F'!$G$11:$G$344,'PIS F'!$C$11:$C$344,'SCH B-2.3 F'!$B26)</f>
        <v>0</v>
      </c>
      <c r="F26" s="89">
        <f>SUMIFS('PIS F'!$I$11:$I$344,'PIS F'!$C$11:$C$344,'SCH B-2.3 F'!$B26)</f>
        <v>-61964754.82</v>
      </c>
      <c r="G26" s="89">
        <f>SUMIFS('PIS F'!$K$11:$K$344,'PIS F'!$C$11:$C$344,'SCH B-2.3 F'!$B26)</f>
        <v>0</v>
      </c>
      <c r="H26" s="89">
        <f t="shared" si="4"/>
        <v>135411975.99000001</v>
      </c>
      <c r="I26" s="89">
        <f>SUMIFS('PIS F'!$Q$11:$Q$344,'PIS F'!$C$11:$C$344,'SCH B-2.3 F'!$B26)</f>
        <v>178310652.40384617</v>
      </c>
    </row>
    <row r="27" spans="1:9" ht="18.95" customHeight="1">
      <c r="A27" s="70">
        <f t="shared" si="0"/>
        <v>14</v>
      </c>
      <c r="C27" s="78" t="s">
        <v>146</v>
      </c>
      <c r="D27" s="86">
        <f t="shared" ref="D27:H27" si="5">SUM(D19:D26)</f>
        <v>5265818635.7111483</v>
      </c>
      <c r="E27" s="86">
        <f t="shared" si="5"/>
        <v>343920769.48481673</v>
      </c>
      <c r="F27" s="86">
        <f t="shared" si="5"/>
        <v>-98029970.219999999</v>
      </c>
      <c r="G27" s="86">
        <f t="shared" si="5"/>
        <v>0</v>
      </c>
      <c r="H27" s="86">
        <f t="shared" si="5"/>
        <v>5511709434.9759645</v>
      </c>
      <c r="I27" s="86">
        <f t="shared" ref="I27" si="6">SUM(I19:I26)</f>
        <v>5458446316.0801649</v>
      </c>
    </row>
    <row r="28" spans="1:9" ht="18.95" customHeight="1">
      <c r="A28" s="70"/>
      <c r="C28" s="78"/>
    </row>
    <row r="29" spans="1:9" ht="18.95" customHeight="1">
      <c r="A29" s="70">
        <f>A27+1</f>
        <v>15</v>
      </c>
      <c r="C29" s="90" t="s">
        <v>47</v>
      </c>
    </row>
    <row r="30" spans="1:9" ht="18.95" customHeight="1">
      <c r="A30" s="70">
        <f t="shared" si="0"/>
        <v>16</v>
      </c>
      <c r="B30" s="71" t="s">
        <v>1637</v>
      </c>
      <c r="C30" s="78" t="s">
        <v>154</v>
      </c>
      <c r="D30" s="88">
        <f>SUMIFS('PIS F'!$E$11:$E$344,'PIS F'!$C$11:$C$344,'SCH B-2.3 F'!$B30)</f>
        <v>855636.47000000009</v>
      </c>
      <c r="E30" s="88">
        <f>SUMIFS('PIS F'!$G$11:$G$344,'PIS F'!$C$11:$C$344,'SCH B-2.3 F'!$B30)</f>
        <v>0</v>
      </c>
      <c r="F30" s="88">
        <f>SUMIFS('PIS F'!$I$11:$I$344,'PIS F'!$C$11:$C$344,'SCH B-2.3 F'!$B30)</f>
        <v>0</v>
      </c>
      <c r="G30" s="88">
        <f>SUMIFS('PIS F'!$K$11:$K$344,'PIS F'!$C$11:$C$344,'SCH B-2.3 F'!$B30)</f>
        <v>0</v>
      </c>
      <c r="H30" s="88">
        <f t="shared" ref="H30:H37" si="7">SUM(D30:G30)</f>
        <v>855636.47000000009</v>
      </c>
      <c r="I30" s="88">
        <f>SUMIFS('PIS F'!$Q$11:$Q$344,'PIS F'!$C$11:$C$344,'SCH B-2.3 F'!$B30)</f>
        <v>855636.47000000009</v>
      </c>
    </row>
    <row r="31" spans="1:9" ht="18.95" customHeight="1">
      <c r="A31" s="70">
        <f t="shared" si="0"/>
        <v>17</v>
      </c>
      <c r="B31" s="71" t="s">
        <v>1638</v>
      </c>
      <c r="C31" s="78" t="s">
        <v>148</v>
      </c>
      <c r="D31" s="88">
        <f>SUMIFS('PIS F'!$E$11:$E$344,'PIS F'!$C$11:$C$344,'SCH B-2.3 F'!$B31)</f>
        <v>4393191.47</v>
      </c>
      <c r="E31" s="88">
        <f>SUMIFS('PIS F'!$G$11:$G$344,'PIS F'!$C$11:$C$344,'SCH B-2.3 F'!$B31)</f>
        <v>93505.330979999999</v>
      </c>
      <c r="F31" s="88">
        <f>SUMIFS('PIS F'!$I$11:$I$344,'PIS F'!$C$11:$C$344,'SCH B-2.3 F'!$B31)</f>
        <v>0</v>
      </c>
      <c r="G31" s="88">
        <f>SUMIFS('PIS F'!$K$11:$K$344,'PIS F'!$C$11:$C$344,'SCH B-2.3 F'!$B31)</f>
        <v>0</v>
      </c>
      <c r="H31" s="88">
        <f t="shared" si="7"/>
        <v>4486696.8009799998</v>
      </c>
      <c r="I31" s="88">
        <f>SUMIFS('PIS F'!$Q$11:$Q$344,'PIS F'!$C$11:$C$344,'SCH B-2.3 F'!$B31)</f>
        <v>4472311.3654446071</v>
      </c>
    </row>
    <row r="32" spans="1:9" ht="18.95" customHeight="1">
      <c r="A32" s="70">
        <f t="shared" si="0"/>
        <v>18</v>
      </c>
      <c r="B32" s="71" t="s">
        <v>1639</v>
      </c>
      <c r="C32" s="78" t="s">
        <v>1640</v>
      </c>
      <c r="D32" s="88">
        <f>SUMIFS('PIS F'!$E$11:$E$344,'PIS F'!$C$11:$C$344,'SCH B-2.3 F'!$B32)</f>
        <v>21885646.369999997</v>
      </c>
      <c r="E32" s="88">
        <f>SUMIFS('PIS F'!$G$11:$G$344,'PIS F'!$C$11:$C$344,'SCH B-2.3 F'!$B32)</f>
        <v>0</v>
      </c>
      <c r="F32" s="88">
        <f>SUMIFS('PIS F'!$I$11:$I$344,'PIS F'!$C$11:$C$344,'SCH B-2.3 F'!$B32)</f>
        <v>0</v>
      </c>
      <c r="G32" s="88">
        <f>SUMIFS('PIS F'!$K$11:$K$344,'PIS F'!$C$11:$C$344,'SCH B-2.3 F'!$B32)</f>
        <v>0</v>
      </c>
      <c r="H32" s="88">
        <f t="shared" si="7"/>
        <v>21885646.369999997</v>
      </c>
      <c r="I32" s="88">
        <f>SUMIFS('PIS F'!$Q$11:$Q$344,'PIS F'!$C$11:$C$344,'SCH B-2.3 F'!$B32)</f>
        <v>21885646.369999994</v>
      </c>
    </row>
    <row r="33" spans="1:9" ht="18.95" customHeight="1">
      <c r="A33" s="70">
        <f t="shared" si="0"/>
        <v>19</v>
      </c>
      <c r="B33" s="71" t="s">
        <v>1641</v>
      </c>
      <c r="C33" s="78" t="s">
        <v>1642</v>
      </c>
      <c r="D33" s="88">
        <f>SUMIFS('PIS F'!$E$11:$E$344,'PIS F'!$C$11:$C$344,'SCH B-2.3 F'!$B33)</f>
        <v>14046741.58</v>
      </c>
      <c r="E33" s="88">
        <f>SUMIFS('PIS F'!$G$11:$G$344,'PIS F'!$C$11:$C$344,'SCH B-2.3 F'!$B33)</f>
        <v>0</v>
      </c>
      <c r="F33" s="88">
        <f>SUMIFS('PIS F'!$I$11:$I$344,'PIS F'!$C$11:$C$344,'SCH B-2.3 F'!$B33)</f>
        <v>0</v>
      </c>
      <c r="G33" s="88">
        <f>SUMIFS('PIS F'!$K$11:$K$344,'PIS F'!$C$11:$C$344,'SCH B-2.3 F'!$B33)</f>
        <v>0</v>
      </c>
      <c r="H33" s="88">
        <f t="shared" si="7"/>
        <v>14046741.58</v>
      </c>
      <c r="I33" s="88">
        <f>SUMIFS('PIS F'!$Q$11:$Q$344,'PIS F'!$C$11:$C$344,'SCH B-2.3 F'!$B33)</f>
        <v>14046741.58</v>
      </c>
    </row>
    <row r="34" spans="1:9" ht="18.95" customHeight="1">
      <c r="A34" s="70">
        <f t="shared" si="0"/>
        <v>20</v>
      </c>
      <c r="B34" s="71" t="s">
        <v>1643</v>
      </c>
      <c r="C34" s="78" t="s">
        <v>1633</v>
      </c>
      <c r="D34" s="88">
        <f>SUMIFS('PIS F'!$E$11:$E$344,'PIS F'!$C$11:$C$344,'SCH B-2.3 F'!$B34)</f>
        <v>1381870.67</v>
      </c>
      <c r="E34" s="88">
        <f>SUMIFS('PIS F'!$G$11:$G$344,'PIS F'!$C$11:$C$344,'SCH B-2.3 F'!$B34)</f>
        <v>0</v>
      </c>
      <c r="F34" s="88">
        <f>SUMIFS('PIS F'!$I$11:$I$344,'PIS F'!$C$11:$C$344,'SCH B-2.3 F'!$B34)</f>
        <v>0</v>
      </c>
      <c r="G34" s="88">
        <f>SUMIFS('PIS F'!$K$11:$K$344,'PIS F'!$C$11:$C$344,'SCH B-2.3 F'!$B34)</f>
        <v>0</v>
      </c>
      <c r="H34" s="88">
        <f t="shared" si="7"/>
        <v>1381870.67</v>
      </c>
      <c r="I34" s="88">
        <f>SUMIFS('PIS F'!$Q$11:$Q$344,'PIS F'!$C$11:$C$344,'SCH B-2.3 F'!$B34)</f>
        <v>1381870.67</v>
      </c>
    </row>
    <row r="35" spans="1:9" ht="18.95" customHeight="1">
      <c r="A35" s="70">
        <f t="shared" si="0"/>
        <v>21</v>
      </c>
      <c r="B35" s="71" t="s">
        <v>1644</v>
      </c>
      <c r="C35" s="78" t="s">
        <v>1645</v>
      </c>
      <c r="D35" s="88">
        <f>SUMIFS('PIS F'!$E$11:$E$344,'PIS F'!$C$11:$C$344,'SCH B-2.3 F'!$B35)</f>
        <v>329374.18000000005</v>
      </c>
      <c r="E35" s="88">
        <f>SUMIFS('PIS F'!$G$11:$G$344,'PIS F'!$C$11:$C$344,'SCH B-2.3 F'!$B35)</f>
        <v>0</v>
      </c>
      <c r="F35" s="88">
        <f>SUMIFS('PIS F'!$I$11:$I$344,'PIS F'!$C$11:$C$344,'SCH B-2.3 F'!$B35)</f>
        <v>0</v>
      </c>
      <c r="G35" s="88">
        <f>SUMIFS('PIS F'!$K$11:$K$344,'PIS F'!$C$11:$C$344,'SCH B-2.3 F'!$B35)</f>
        <v>0</v>
      </c>
      <c r="H35" s="88">
        <f t="shared" si="7"/>
        <v>329374.18000000005</v>
      </c>
      <c r="I35" s="88">
        <f>SUMIFS('PIS F'!$Q$11:$Q$344,'PIS F'!$C$11:$C$344,'SCH B-2.3 F'!$B35)</f>
        <v>329374.17999999993</v>
      </c>
    </row>
    <row r="36" spans="1:9" ht="18.95" customHeight="1">
      <c r="A36" s="70">
        <f t="shared" si="0"/>
        <v>22</v>
      </c>
      <c r="B36" s="71" t="s">
        <v>1646</v>
      </c>
      <c r="C36" s="78" t="s">
        <v>1647</v>
      </c>
      <c r="D36" s="88">
        <f>SUMIFS('PIS F'!$E$11:$E$344,'PIS F'!$C$11:$C$344,'SCH B-2.3 F'!$B36)</f>
        <v>234509.13</v>
      </c>
      <c r="E36" s="88">
        <f>SUMIFS('PIS F'!$G$11:$G$344,'PIS F'!$C$11:$C$344,'SCH B-2.3 F'!$B36)</f>
        <v>0</v>
      </c>
      <c r="F36" s="88">
        <f>SUMIFS('PIS F'!$I$11:$I$344,'PIS F'!$C$11:$C$344,'SCH B-2.3 F'!$B36)</f>
        <v>0</v>
      </c>
      <c r="G36" s="88">
        <f>SUMIFS('PIS F'!$K$11:$K$344,'PIS F'!$C$11:$C$344,'SCH B-2.3 F'!$B36)</f>
        <v>0</v>
      </c>
      <c r="H36" s="88">
        <f t="shared" si="7"/>
        <v>234509.13</v>
      </c>
      <c r="I36" s="88">
        <f>SUMIFS('PIS F'!$Q$11:$Q$344,'PIS F'!$C$11:$C$344,'SCH B-2.3 F'!$B36)</f>
        <v>234509.12999999995</v>
      </c>
    </row>
    <row r="37" spans="1:9" ht="18.95" customHeight="1">
      <c r="A37" s="70">
        <f t="shared" si="0"/>
        <v>23</v>
      </c>
      <c r="B37" s="71" t="s">
        <v>1648</v>
      </c>
      <c r="C37" s="78" t="s">
        <v>1656</v>
      </c>
      <c r="D37" s="89">
        <f>SUMIFS('PIS F'!$E$11:$E$344,'PIS F'!$C$11:$C$344,'SCH B-2.3 F'!$B37)</f>
        <v>645787.99</v>
      </c>
      <c r="E37" s="89">
        <f>SUMIFS('PIS F'!$G$11:$G$344,'PIS F'!$C$11:$C$344,'SCH B-2.3 F'!$B37)</f>
        <v>0</v>
      </c>
      <c r="F37" s="89">
        <f>SUMIFS('PIS F'!$I$11:$I$344,'PIS F'!$C$11:$C$344,'SCH B-2.3 F'!$B37)</f>
        <v>0</v>
      </c>
      <c r="G37" s="89">
        <f>SUMIFS('PIS F'!$K$11:$K$344,'PIS F'!$C$11:$C$344,'SCH B-2.3 F'!$B37)</f>
        <v>0</v>
      </c>
      <c r="H37" s="89">
        <f t="shared" si="7"/>
        <v>645787.99</v>
      </c>
      <c r="I37" s="89">
        <f>SUMIFS('PIS F'!$Q$11:$Q$344,'PIS F'!$C$11:$C$344,'SCH B-2.3 F'!$B37)</f>
        <v>645787.98999999987</v>
      </c>
    </row>
    <row r="38" spans="1:9" ht="18.95" customHeight="1">
      <c r="A38" s="70">
        <f t="shared" si="0"/>
        <v>24</v>
      </c>
      <c r="B38" s="71" t="s">
        <v>251</v>
      </c>
      <c r="C38" s="78" t="s">
        <v>147</v>
      </c>
      <c r="D38" s="86">
        <f>SUM(D30:D37)</f>
        <v>43772757.859999999</v>
      </c>
      <c r="E38" s="86">
        <f t="shared" ref="E38:H38" si="8">SUM(E30:E37)</f>
        <v>93505.330979999999</v>
      </c>
      <c r="F38" s="86">
        <f t="shared" si="8"/>
        <v>0</v>
      </c>
      <c r="G38" s="86">
        <f t="shared" si="8"/>
        <v>0</v>
      </c>
      <c r="H38" s="86">
        <f t="shared" si="8"/>
        <v>43866263.190980002</v>
      </c>
      <c r="I38" s="86">
        <f>SUM(I30:I37)</f>
        <v>43851877.755444609</v>
      </c>
    </row>
    <row r="39" spans="1:9" ht="18.95" customHeight="1">
      <c r="A39" s="70"/>
      <c r="B39" s="71"/>
      <c r="C39" s="78"/>
      <c r="D39" s="86"/>
      <c r="E39" s="86"/>
      <c r="F39" s="86"/>
      <c r="G39" s="86"/>
      <c r="H39" s="86"/>
      <c r="I39" s="86"/>
    </row>
    <row r="40" spans="1:9" ht="18.95" customHeight="1">
      <c r="A40" s="70">
        <f>A38+1</f>
        <v>25</v>
      </c>
      <c r="C40" s="90" t="s">
        <v>61</v>
      </c>
    </row>
    <row r="41" spans="1:9" ht="18.95" customHeight="1">
      <c r="A41" s="70">
        <f t="shared" si="0"/>
        <v>26</v>
      </c>
      <c r="B41" s="71" t="s">
        <v>1649</v>
      </c>
      <c r="C41" s="78" t="s">
        <v>154</v>
      </c>
      <c r="D41" s="88">
        <f>SUMIFS('PIS F'!$E$11:$E$344,'PIS F'!$C$11:$C$344,'SCH B-2.3 F'!$B41)</f>
        <v>902801.45799999987</v>
      </c>
      <c r="E41" s="88">
        <f>SUMIFS('PIS F'!$G$11:$G$344,'PIS F'!$C$11:$C$344,'SCH B-2.3 F'!$B41)</f>
        <v>0</v>
      </c>
      <c r="F41" s="88">
        <f>SUMIFS('PIS F'!$I$11:$I$344,'PIS F'!$C$11:$C$344,'SCH B-2.3 F'!$B41)</f>
        <v>0</v>
      </c>
      <c r="G41" s="88">
        <f>SUMIFS('PIS F'!$K$11:$K$344,'PIS F'!$C$11:$C$344,'SCH B-2.3 F'!$B41)</f>
        <v>0</v>
      </c>
      <c r="H41" s="88">
        <f t="shared" ref="H41:H48" si="9">SUM(D41:G41)</f>
        <v>902801.45799999987</v>
      </c>
      <c r="I41" s="88">
        <f>SUMIFS('PIS F'!$Q$11:$Q$344,'PIS F'!$C$11:$C$344,'SCH B-2.3 F'!$B41)</f>
        <v>902801.45799999998</v>
      </c>
    </row>
    <row r="42" spans="1:9" ht="18.95" customHeight="1">
      <c r="A42" s="70">
        <f t="shared" si="0"/>
        <v>27</v>
      </c>
      <c r="B42" s="71" t="s">
        <v>1650</v>
      </c>
      <c r="C42" s="78" t="s">
        <v>148</v>
      </c>
      <c r="D42" s="88">
        <f>SUMIFS('PIS F'!$E$11:$E$344,'PIS F'!$C$11:$C$344,'SCH B-2.3 F'!$B42)</f>
        <v>87144715.703682005</v>
      </c>
      <c r="E42" s="88">
        <f>SUMIFS('PIS F'!$G$11:$G$344,'PIS F'!$C$11:$C$344,'SCH B-2.3 F'!$B42)</f>
        <v>0</v>
      </c>
      <c r="F42" s="88">
        <f>SUMIFS('PIS F'!$I$11:$I$344,'PIS F'!$C$11:$C$344,'SCH B-2.3 F'!$B42)</f>
        <v>0</v>
      </c>
      <c r="G42" s="88">
        <f>SUMIFS('PIS F'!$K$11:$K$344,'PIS F'!$C$11:$C$344,'SCH B-2.3 F'!$B42)</f>
        <v>0</v>
      </c>
      <c r="H42" s="88">
        <f t="shared" si="9"/>
        <v>87144715.703682005</v>
      </c>
      <c r="I42" s="88">
        <f>SUMIFS('PIS F'!$Q$11:$Q$344,'PIS F'!$C$11:$C$344,'SCH B-2.3 F'!$B42)</f>
        <v>87144715.703681976</v>
      </c>
    </row>
    <row r="43" spans="1:9" ht="18.95" customHeight="1">
      <c r="A43" s="70">
        <f t="shared" si="0"/>
        <v>28</v>
      </c>
      <c r="B43" s="71" t="s">
        <v>1651</v>
      </c>
      <c r="C43" s="78" t="s">
        <v>1652</v>
      </c>
      <c r="D43" s="88">
        <f>SUMIFS('PIS F'!$E$11:$E$344,'PIS F'!$C$11:$C$344,'SCH B-2.3 F'!$B43)</f>
        <v>63096394.734199889</v>
      </c>
      <c r="E43" s="88">
        <f>SUMIFS('PIS F'!$G$11:$G$344,'PIS F'!$C$11:$C$344,'SCH B-2.3 F'!$B43)</f>
        <v>19947653.599999998</v>
      </c>
      <c r="F43" s="88">
        <f>SUMIFS('PIS F'!$I$11:$I$344,'PIS F'!$C$11:$C$344,'SCH B-2.3 F'!$B43)</f>
        <v>0</v>
      </c>
      <c r="G43" s="88">
        <f>SUMIFS('PIS F'!$K$11:$K$344,'PIS F'!$C$11:$C$344,'SCH B-2.3 F'!$B43)</f>
        <v>0</v>
      </c>
      <c r="H43" s="88">
        <f t="shared" si="9"/>
        <v>83044048.33419989</v>
      </c>
      <c r="I43" s="88">
        <f>SUMIFS('PIS F'!$Q$11:$Q$344,'PIS F'!$C$11:$C$344,'SCH B-2.3 F'!$B43)</f>
        <v>75258488.145738348</v>
      </c>
    </row>
    <row r="44" spans="1:9" ht="18.95" customHeight="1">
      <c r="A44" s="70">
        <f t="shared" si="0"/>
        <v>29</v>
      </c>
      <c r="B44" s="71" t="s">
        <v>1653</v>
      </c>
      <c r="C44" s="78" t="s">
        <v>1654</v>
      </c>
      <c r="D44" s="88">
        <f>SUMIFS('PIS F'!$E$11:$E$344,'PIS F'!$C$11:$C$344,'SCH B-2.3 F'!$B44)</f>
        <v>665701387.8772471</v>
      </c>
      <c r="E44" s="88">
        <f>SUMIFS('PIS F'!$G$11:$G$344,'PIS F'!$C$11:$C$344,'SCH B-2.3 F'!$B44)</f>
        <v>32118507.551059999</v>
      </c>
      <c r="F44" s="88">
        <f>SUMIFS('PIS F'!$I$11:$I$344,'PIS F'!$C$11:$C$344,'SCH B-2.3 F'!$B44)</f>
        <v>-4093363.1999999997</v>
      </c>
      <c r="G44" s="88">
        <f>SUMIFS('PIS F'!$K$11:$K$344,'PIS F'!$C$11:$C$344,'SCH B-2.3 F'!$B44)</f>
        <v>0</v>
      </c>
      <c r="H44" s="88">
        <f t="shared" si="9"/>
        <v>693726532.22830701</v>
      </c>
      <c r="I44" s="88">
        <f>SUMIFS('PIS F'!$Q$11:$Q$344,'PIS F'!$C$11:$C$344,'SCH B-2.3 F'!$B44)</f>
        <v>679583343.67366791</v>
      </c>
    </row>
    <row r="45" spans="1:9" ht="18.95" customHeight="1">
      <c r="A45" s="70">
        <f>A44+1</f>
        <v>30</v>
      </c>
      <c r="B45" s="71" t="s">
        <v>1657</v>
      </c>
      <c r="C45" s="78" t="s">
        <v>1658</v>
      </c>
      <c r="D45" s="88">
        <f>SUMIFS('PIS F'!$E$11:$E$344,'PIS F'!$C$11:$C$344,'SCH B-2.3 F'!$B45)</f>
        <v>132360727.18594989</v>
      </c>
      <c r="E45" s="88">
        <f>SUMIFS('PIS F'!$G$11:$G$344,'PIS F'!$C$11:$C$344,'SCH B-2.3 F'!$B45)</f>
        <v>795372.65649999992</v>
      </c>
      <c r="F45" s="88">
        <f>SUMIFS('PIS F'!$I$11:$I$344,'PIS F'!$C$11:$C$344,'SCH B-2.3 F'!$B45)</f>
        <v>0</v>
      </c>
      <c r="G45" s="88">
        <f>SUMIFS('PIS F'!$K$11:$K$344,'PIS F'!$C$11:$C$344,'SCH B-2.3 F'!$B45)</f>
        <v>0</v>
      </c>
      <c r="H45" s="88">
        <f t="shared" si="9"/>
        <v>133156099.84244989</v>
      </c>
      <c r="I45" s="88">
        <f>SUMIFS('PIS F'!$Q$11:$Q$344,'PIS F'!$C$11:$C$344,'SCH B-2.3 F'!$B45)</f>
        <v>132421909.69798836</v>
      </c>
    </row>
    <row r="46" spans="1:9" ht="18.95" customHeight="1">
      <c r="A46" s="70">
        <f t="shared" si="0"/>
        <v>31</v>
      </c>
      <c r="B46" s="71" t="s">
        <v>1659</v>
      </c>
      <c r="C46" s="78" t="s">
        <v>1633</v>
      </c>
      <c r="D46" s="88">
        <f>SUMIFS('PIS F'!$E$11:$E$344,'PIS F'!$C$11:$C$344,'SCH B-2.3 F'!$B46)</f>
        <v>78896914.94814989</v>
      </c>
      <c r="E46" s="88">
        <f>SUMIFS('PIS F'!$G$11:$G$344,'PIS F'!$C$11:$C$344,'SCH B-2.3 F'!$B46)</f>
        <v>1477713.55424</v>
      </c>
      <c r="F46" s="88">
        <f>SUMIFS('PIS F'!$I$11:$I$344,'PIS F'!$C$11:$C$344,'SCH B-2.3 F'!$B46)</f>
        <v>0</v>
      </c>
      <c r="G46" s="88">
        <f>SUMIFS('PIS F'!$K$11:$K$344,'PIS F'!$C$11:$C$344,'SCH B-2.3 F'!$B46)</f>
        <v>0</v>
      </c>
      <c r="H46" s="88">
        <f t="shared" si="9"/>
        <v>80374628.502389893</v>
      </c>
      <c r="I46" s="88">
        <f>SUMIFS('PIS F'!$Q$11:$Q$344,'PIS F'!$C$11:$C$344,'SCH B-2.3 F'!$B46)</f>
        <v>79346381.904942185</v>
      </c>
    </row>
    <row r="47" spans="1:9" ht="18.95" customHeight="1">
      <c r="A47" s="70">
        <f t="shared" si="0"/>
        <v>32</v>
      </c>
      <c r="B47" s="71" t="s">
        <v>1660</v>
      </c>
      <c r="C47" s="78" t="s">
        <v>1645</v>
      </c>
      <c r="D47" s="88">
        <f>SUMIFS('PIS F'!$E$11:$E$344,'PIS F'!$C$11:$C$344,'SCH B-2.3 F'!$B47)</f>
        <v>10277334.165810002</v>
      </c>
      <c r="E47" s="88">
        <f>SUMIFS('PIS F'!$G$11:$G$344,'PIS F'!$C$11:$C$344,'SCH B-2.3 F'!$B47)</f>
        <v>4643940.6212100005</v>
      </c>
      <c r="F47" s="88">
        <f>SUMIFS('PIS F'!$I$11:$I$344,'PIS F'!$C$11:$C$344,'SCH B-2.3 F'!$B47)</f>
        <v>0</v>
      </c>
      <c r="G47" s="88">
        <f>SUMIFS('PIS F'!$K$11:$K$344,'PIS F'!$C$11:$C$344,'SCH B-2.3 F'!$B47)</f>
        <v>0</v>
      </c>
      <c r="H47" s="88">
        <f t="shared" si="9"/>
        <v>14921274.787020002</v>
      </c>
      <c r="I47" s="88">
        <f>SUMIFS('PIS F'!$Q$11:$Q$344,'PIS F'!$C$11:$C$344,'SCH B-2.3 F'!$B47)</f>
        <v>12592466.195764616</v>
      </c>
    </row>
    <row r="48" spans="1:9" ht="18.95" customHeight="1">
      <c r="A48" s="70">
        <f t="shared" si="0"/>
        <v>33</v>
      </c>
      <c r="B48" s="71" t="s">
        <v>1661</v>
      </c>
      <c r="C48" s="78" t="s">
        <v>1696</v>
      </c>
      <c r="D48" s="89">
        <f>SUMIFS('PIS F'!$E$11:$E$344,'PIS F'!$C$11:$C$344,'SCH B-2.3 F'!$B48)</f>
        <v>406991.12</v>
      </c>
      <c r="E48" s="89">
        <f>SUMIFS('PIS F'!$G$11:$G$344,'PIS F'!$C$11:$C$344,'SCH B-2.3 F'!$B48)</f>
        <v>0</v>
      </c>
      <c r="F48" s="89">
        <f>SUMIFS('PIS F'!$I$11:$I$344,'PIS F'!$C$11:$C$344,'SCH B-2.3 F'!$B48)</f>
        <v>0</v>
      </c>
      <c r="G48" s="89">
        <f>SUMIFS('PIS F'!$K$11:$K$344,'PIS F'!$C$11:$C$344,'SCH B-2.3 F'!$B48)</f>
        <v>0</v>
      </c>
      <c r="H48" s="89">
        <f t="shared" si="9"/>
        <v>406991.12</v>
      </c>
      <c r="I48" s="89">
        <f>SUMIFS('PIS F'!$Q$11:$Q$344,'PIS F'!$C$11:$C$344,'SCH B-2.3 F'!$B48)</f>
        <v>406991.12</v>
      </c>
    </row>
    <row r="49" spans="1:9" ht="18.95" customHeight="1">
      <c r="A49" s="70">
        <f t="shared" si="0"/>
        <v>34</v>
      </c>
      <c r="C49" s="78" t="s">
        <v>145</v>
      </c>
      <c r="D49" s="86">
        <f t="shared" ref="D49:H49" si="10">SUM(D41:D44,D45:D48)</f>
        <v>1038787267.1930388</v>
      </c>
      <c r="E49" s="86">
        <f t="shared" si="10"/>
        <v>58983187.983010001</v>
      </c>
      <c r="F49" s="86">
        <f t="shared" si="10"/>
        <v>-4093363.1999999997</v>
      </c>
      <c r="G49" s="86">
        <f t="shared" si="10"/>
        <v>0</v>
      </c>
      <c r="H49" s="86">
        <f t="shared" si="10"/>
        <v>1093677091.9760485</v>
      </c>
      <c r="I49" s="86">
        <f t="shared" ref="I49" si="11">SUM(I41:I44,I45:I48)</f>
        <v>1067657097.8997834</v>
      </c>
    </row>
    <row r="50" spans="1:9" ht="18.95" customHeight="1">
      <c r="A50" s="70"/>
    </row>
    <row r="51" spans="1:9" s="68" customFormat="1" ht="20.100000000000001" customHeight="1">
      <c r="A51" s="769" t="str">
        <f>$A$1</f>
        <v>KENTUCKY UTILITIES COMPANY</v>
      </c>
      <c r="B51" s="769"/>
      <c r="C51" s="769"/>
      <c r="D51" s="769"/>
      <c r="E51" s="769"/>
      <c r="F51" s="769"/>
      <c r="G51" s="769"/>
      <c r="H51" s="769"/>
      <c r="I51" s="769"/>
    </row>
    <row r="52" spans="1:9" s="68" customFormat="1" ht="20.100000000000001" customHeight="1">
      <c r="A52" s="769" t="str">
        <f>$A$2</f>
        <v>CASE NO. 2018-00294 - RESPONSE TO PSC 2-65 (SLIPPAGE FACTOR 96.027%)</v>
      </c>
      <c r="B52" s="769"/>
      <c r="C52" s="769"/>
      <c r="D52" s="769"/>
      <c r="E52" s="769"/>
      <c r="F52" s="769"/>
      <c r="G52" s="769"/>
      <c r="H52" s="769"/>
      <c r="I52" s="769"/>
    </row>
    <row r="53" spans="1:9" s="68" customFormat="1" ht="20.100000000000001" customHeight="1">
      <c r="A53" s="769" t="str">
        <f>$A$3</f>
        <v>GROSS ADDITIONS, RETIREMENTS, AND TRANSFERS</v>
      </c>
      <c r="B53" s="769"/>
      <c r="C53" s="769"/>
      <c r="D53" s="769"/>
      <c r="E53" s="769"/>
      <c r="F53" s="769"/>
      <c r="G53" s="769"/>
      <c r="H53" s="769"/>
      <c r="I53" s="769"/>
    </row>
    <row r="54" spans="1:9" s="68" customFormat="1" ht="20.100000000000001" customHeight="1">
      <c r="A54" s="768" t="str">
        <f>$A$4</f>
        <v>FROM MAY 1, 2019 TO APRIL 30, 2020</v>
      </c>
      <c r="B54" s="768"/>
      <c r="C54" s="768"/>
      <c r="D54" s="768"/>
      <c r="E54" s="768"/>
      <c r="F54" s="768"/>
      <c r="G54" s="768"/>
      <c r="H54" s="768"/>
      <c r="I54" s="768"/>
    </row>
    <row r="55" spans="1:9" s="68" customFormat="1" ht="20.100000000000001" customHeight="1">
      <c r="A55" s="84"/>
      <c r="B55" s="84"/>
      <c r="C55" s="84"/>
      <c r="D55" s="84"/>
      <c r="E55" s="84"/>
      <c r="F55" s="84"/>
      <c r="G55" s="84"/>
      <c r="H55" s="84"/>
      <c r="I55" s="84"/>
    </row>
    <row r="56" spans="1:9" s="68" customFormat="1" ht="20.100000000000001" customHeight="1">
      <c r="A56" s="67" t="str">
        <f>$A$6</f>
        <v>DATA:____BASE  PERIOD__X__FORECASTED  PERIOD</v>
      </c>
      <c r="B56" s="67"/>
      <c r="G56" s="74"/>
      <c r="H56" s="74"/>
      <c r="I56" s="75" t="str">
        <f>$I$6</f>
        <v>SCHEDULE B-2.3</v>
      </c>
    </row>
    <row r="57" spans="1:9" s="68" customFormat="1" ht="20.100000000000001" customHeight="1">
      <c r="A57" s="67" t="str">
        <f>$A$7</f>
        <v>TYPE OF FILING: __X__ ORIGINAL  _____ UPDATED  _____ REVISED</v>
      </c>
      <c r="G57" s="74"/>
      <c r="H57" s="74"/>
      <c r="I57" s="74" t="s">
        <v>169</v>
      </c>
    </row>
    <row r="58" spans="1:9" s="68" customFormat="1" ht="20.100000000000001" customHeight="1">
      <c r="A58" s="67" t="str">
        <f>$A$8</f>
        <v>WORKPAPER REFERENCE NO(S).:</v>
      </c>
      <c r="B58" s="67"/>
      <c r="F58" s="67"/>
      <c r="G58" s="75"/>
      <c r="H58" s="75"/>
      <c r="I58" s="75" t="str">
        <f>$I$8</f>
        <v>WITNESS:   C. M. GARRETT</v>
      </c>
    </row>
    <row r="59" spans="1:9" s="68" customFormat="1" ht="20.100000000000001" customHeight="1"/>
    <row r="60" spans="1:9" ht="65.099999999999994" customHeight="1">
      <c r="A60" s="76" t="s">
        <v>131</v>
      </c>
      <c r="B60" s="76" t="s">
        <v>134</v>
      </c>
      <c r="C60" s="79" t="s">
        <v>135</v>
      </c>
      <c r="D60" s="76" t="s">
        <v>162</v>
      </c>
      <c r="E60" s="76" t="s">
        <v>137</v>
      </c>
      <c r="F60" s="76" t="s">
        <v>138</v>
      </c>
      <c r="G60" s="76" t="s">
        <v>140</v>
      </c>
      <c r="H60" s="76" t="s">
        <v>163</v>
      </c>
      <c r="I60" s="76" t="s">
        <v>164</v>
      </c>
    </row>
    <row r="61" spans="1:9" ht="23.1" customHeight="1">
      <c r="A61" s="80"/>
      <c r="B61" s="80"/>
      <c r="C61" s="81"/>
      <c r="D61" s="82" t="s">
        <v>142</v>
      </c>
      <c r="E61" s="82" t="s">
        <v>142</v>
      </c>
      <c r="F61" s="82" t="s">
        <v>142</v>
      </c>
      <c r="G61" s="82" t="s">
        <v>142</v>
      </c>
      <c r="H61" s="82" t="s">
        <v>142</v>
      </c>
      <c r="I61" s="82" t="s">
        <v>142</v>
      </c>
    </row>
    <row r="62" spans="1:9" ht="18.95" customHeight="1">
      <c r="A62" s="70">
        <f>A49+1</f>
        <v>35</v>
      </c>
      <c r="C62" s="90" t="s">
        <v>84</v>
      </c>
    </row>
    <row r="63" spans="1:9" ht="18.95" customHeight="1">
      <c r="A63" s="70">
        <f t="shared" si="0"/>
        <v>36</v>
      </c>
      <c r="B63" s="71" t="s">
        <v>1662</v>
      </c>
      <c r="C63" s="78" t="s">
        <v>154</v>
      </c>
      <c r="D63" s="88">
        <f>SUMIFS('PIS F'!$E$11:$E$344,'PIS F'!$C$11:$C$344,'SCH B-2.3 F'!$B63)</f>
        <v>32027218.608327903</v>
      </c>
      <c r="E63" s="88">
        <f>SUMIFS('PIS F'!$G$11:$G$344,'PIS F'!$C$11:$C$344,'SCH B-2.3 F'!$B63)</f>
        <v>304449.7953</v>
      </c>
      <c r="F63" s="88">
        <f>SUMIFS('PIS F'!$I$11:$I$344,'PIS F'!$C$11:$C$344,'SCH B-2.3 F'!$B63)</f>
        <v>0</v>
      </c>
      <c r="G63" s="88">
        <f>SUMIFS('PIS F'!$K$11:$K$344,'PIS F'!$C$11:$C$344,'SCH B-2.3 F'!$B63)</f>
        <v>0</v>
      </c>
      <c r="H63" s="88">
        <f t="shared" ref="H63:H71" si="12">SUM(D63:G63)</f>
        <v>32331668.403627902</v>
      </c>
      <c r="I63" s="88">
        <f>SUMIFS('PIS F'!$Q$11:$Q$344,'PIS F'!$C$11:$C$344,'SCH B-2.3 F'!$B63)</f>
        <v>32144314.683443282</v>
      </c>
    </row>
    <row r="64" spans="1:9" ht="18.95" customHeight="1">
      <c r="A64" s="70">
        <f t="shared" si="0"/>
        <v>37</v>
      </c>
      <c r="B64" s="71" t="s">
        <v>1663</v>
      </c>
      <c r="C64" s="78" t="s">
        <v>148</v>
      </c>
      <c r="D64" s="88">
        <f>SUMIFS('PIS F'!$E$11:$E$344,'PIS F'!$C$11:$C$344,'SCH B-2.3 F'!$B64)</f>
        <v>29626094.619999997</v>
      </c>
      <c r="E64" s="88">
        <f>SUMIFS('PIS F'!$G$11:$G$344,'PIS F'!$C$11:$C$344,'SCH B-2.3 F'!$B64)</f>
        <v>77789.47533999999</v>
      </c>
      <c r="F64" s="88">
        <f>SUMIFS('PIS F'!$I$11:$I$344,'PIS F'!$C$11:$C$344,'SCH B-2.3 F'!$B64)</f>
        <v>0</v>
      </c>
      <c r="G64" s="88">
        <f>SUMIFS('PIS F'!$K$11:$K$344,'PIS F'!$C$11:$C$344,'SCH B-2.3 F'!$B64)</f>
        <v>0</v>
      </c>
      <c r="H64" s="88">
        <f t="shared" si="12"/>
        <v>29703884.095339999</v>
      </c>
      <c r="I64" s="88">
        <f>SUMIFS('PIS F'!$Q$11:$Q$344,'PIS F'!$C$11:$C$344,'SCH B-2.3 F'!$B64)</f>
        <v>29667981.260567699</v>
      </c>
    </row>
    <row r="65" spans="1:9" ht="18.95" customHeight="1">
      <c r="A65" s="70">
        <f t="shared" si="0"/>
        <v>38</v>
      </c>
      <c r="B65" s="71" t="s">
        <v>1664</v>
      </c>
      <c r="C65" s="78" t="s">
        <v>149</v>
      </c>
      <c r="D65" s="88">
        <f>SUMIFS('PIS F'!$E$11:$E$344,'PIS F'!$C$11:$C$344,'SCH B-2.3 F'!$B65)</f>
        <v>357156787.48286206</v>
      </c>
      <c r="E65" s="88">
        <f>SUMIFS('PIS F'!$G$11:$G$344,'PIS F'!$C$11:$C$344,'SCH B-2.3 F'!$B65)</f>
        <v>29430695.97266208</v>
      </c>
      <c r="F65" s="88">
        <f>SUMIFS('PIS F'!$I$11:$I$344,'PIS F'!$C$11:$C$344,'SCH B-2.3 F'!$B65)</f>
        <v>-1544773.4200000002</v>
      </c>
      <c r="G65" s="88">
        <f>SUMIFS('PIS F'!$K$11:$K$344,'PIS F'!$C$11:$C$344,'SCH B-2.3 F'!$B65)</f>
        <v>0</v>
      </c>
      <c r="H65" s="88">
        <f t="shared" si="12"/>
        <v>385042710.03552413</v>
      </c>
      <c r="I65" s="88">
        <f>SUMIFS('PIS F'!$Q$11:$Q$344,'PIS F'!$C$11:$C$344,'SCH B-2.3 F'!$B65)</f>
        <v>369153290.02259749</v>
      </c>
    </row>
    <row r="66" spans="1:9" ht="18.95" customHeight="1">
      <c r="A66" s="70">
        <f t="shared" si="0"/>
        <v>39</v>
      </c>
      <c r="B66" s="71" t="s">
        <v>1665</v>
      </c>
      <c r="C66" s="78" t="s">
        <v>1666</v>
      </c>
      <c r="D66" s="88">
        <f>SUMIFS('PIS F'!$E$11:$E$344,'PIS F'!$C$11:$C$344,'SCH B-2.3 F'!$B66)</f>
        <v>78033094.149999991</v>
      </c>
      <c r="E66" s="88">
        <f>SUMIFS('PIS F'!$G$11:$G$344,'PIS F'!$C$11:$C$344,'SCH B-2.3 F'!$B66)</f>
        <v>0</v>
      </c>
      <c r="F66" s="88">
        <f>SUMIFS('PIS F'!$I$11:$I$344,'PIS F'!$C$11:$C$344,'SCH B-2.3 F'!$B66)</f>
        <v>0</v>
      </c>
      <c r="G66" s="88">
        <f>SUMIFS('PIS F'!$K$11:$K$344,'PIS F'!$C$11:$C$344,'SCH B-2.3 F'!$B66)</f>
        <v>0</v>
      </c>
      <c r="H66" s="88">
        <f t="shared" si="12"/>
        <v>78033094.149999991</v>
      </c>
      <c r="I66" s="88">
        <f>SUMIFS('PIS F'!$Q$11:$Q$344,'PIS F'!$C$11:$C$344,'SCH B-2.3 F'!$B66)</f>
        <v>78033094.150000021</v>
      </c>
    </row>
    <row r="67" spans="1:9" ht="18.95" customHeight="1">
      <c r="A67" s="70">
        <f t="shared" si="0"/>
        <v>40</v>
      </c>
      <c r="B67" s="71" t="s">
        <v>1667</v>
      </c>
      <c r="C67" s="78" t="s">
        <v>1668</v>
      </c>
      <c r="D67" s="88">
        <f>SUMIFS('PIS F'!$E$11:$E$344,'PIS F'!$C$11:$C$344,'SCH B-2.3 F'!$B67)</f>
        <v>404171092.44275826</v>
      </c>
      <c r="E67" s="88">
        <f>SUMIFS('PIS F'!$G$11:$G$344,'PIS F'!$C$11:$C$344,'SCH B-2.3 F'!$B67)</f>
        <v>61144728.981530994</v>
      </c>
      <c r="F67" s="88">
        <f>SUMIFS('PIS F'!$I$11:$I$344,'PIS F'!$C$11:$C$344,'SCH B-2.3 F'!$B67)</f>
        <v>-2202126.2999999989</v>
      </c>
      <c r="G67" s="88">
        <f>SUMIFS('PIS F'!$K$11:$K$344,'PIS F'!$C$11:$C$344,'SCH B-2.3 F'!$B67)</f>
        <v>0</v>
      </c>
      <c r="H67" s="88">
        <f t="shared" si="12"/>
        <v>463113695.12428921</v>
      </c>
      <c r="I67" s="88">
        <f>SUMIFS('PIS F'!$Q$11:$Q$344,'PIS F'!$C$11:$C$344,'SCH B-2.3 F'!$B67)</f>
        <v>433359613.80944544</v>
      </c>
    </row>
    <row r="68" spans="1:9" ht="18.95" customHeight="1">
      <c r="A68" s="70">
        <f t="shared" si="0"/>
        <v>41</v>
      </c>
      <c r="B68" s="71" t="s">
        <v>1669</v>
      </c>
      <c r="C68" s="78" t="s">
        <v>1670</v>
      </c>
      <c r="D68" s="88">
        <f>SUMIFS('PIS F'!$E$11:$E$344,'PIS F'!$C$11:$C$344,'SCH B-2.3 F'!$B68)</f>
        <v>189619216.73129851</v>
      </c>
      <c r="E68" s="88">
        <f>SUMIFS('PIS F'!$G$11:$G$344,'PIS F'!$C$11:$C$344,'SCH B-2.3 F'!$B68)</f>
        <v>5349940.4396900004</v>
      </c>
      <c r="F68" s="88">
        <f>SUMIFS('PIS F'!$I$11:$I$344,'PIS F'!$C$11:$C$344,'SCH B-2.3 F'!$B68)</f>
        <v>-1253759.97</v>
      </c>
      <c r="G68" s="88">
        <f>SUMIFS('PIS F'!$K$11:$K$344,'PIS F'!$C$11:$C$344,'SCH B-2.3 F'!$B68)</f>
        <v>0</v>
      </c>
      <c r="H68" s="88">
        <f t="shared" si="12"/>
        <v>193715397.2009885</v>
      </c>
      <c r="I68" s="88">
        <f>SUMIFS('PIS F'!$Q$11:$Q$344,'PIS F'!$C$11:$C$344,'SCH B-2.3 F'!$B68)</f>
        <v>189686397.04838008</v>
      </c>
    </row>
    <row r="69" spans="1:9" ht="18.95" customHeight="1">
      <c r="A69" s="70">
        <f t="shared" si="0"/>
        <v>42</v>
      </c>
      <c r="B69" s="71" t="s">
        <v>1671</v>
      </c>
      <c r="C69" s="78" t="s">
        <v>1672</v>
      </c>
      <c r="D69" s="88">
        <f>SUMIFS('PIS F'!$E$11:$E$344,'PIS F'!$C$11:$C$344,'SCH B-2.3 F'!$B69)</f>
        <v>448760.26</v>
      </c>
      <c r="E69" s="88">
        <f>SUMIFS('PIS F'!$G$11:$G$344,'PIS F'!$C$11:$C$344,'SCH B-2.3 F'!$B69)</f>
        <v>0</v>
      </c>
      <c r="F69" s="88">
        <f>SUMIFS('PIS F'!$I$11:$I$344,'PIS F'!$C$11:$C$344,'SCH B-2.3 F'!$B69)</f>
        <v>0</v>
      </c>
      <c r="G69" s="88">
        <f>SUMIFS('PIS F'!$K$11:$K$344,'PIS F'!$C$11:$C$344,'SCH B-2.3 F'!$B69)</f>
        <v>0</v>
      </c>
      <c r="H69" s="88">
        <f t="shared" si="12"/>
        <v>448760.26</v>
      </c>
      <c r="I69" s="88">
        <f>SUMIFS('PIS F'!$Q$11:$Q$344,'PIS F'!$C$11:$C$344,'SCH B-2.3 F'!$B69)</f>
        <v>448760.26</v>
      </c>
    </row>
    <row r="70" spans="1:9" ht="18.95" customHeight="1">
      <c r="A70" s="70">
        <f t="shared" si="0"/>
        <v>43</v>
      </c>
      <c r="B70" s="71" t="s">
        <v>1673</v>
      </c>
      <c r="C70" s="78" t="s">
        <v>1674</v>
      </c>
      <c r="D70" s="88">
        <f>SUMIFS('PIS F'!$E$11:$E$344,'PIS F'!$C$11:$C$344,'SCH B-2.3 F'!$B70)</f>
        <v>1299592.55</v>
      </c>
      <c r="E70" s="88">
        <f>SUMIFS('PIS F'!$G$11:$G$344,'PIS F'!$C$11:$C$344,'SCH B-2.3 F'!$B70)</f>
        <v>9555819.6013999991</v>
      </c>
      <c r="F70" s="88">
        <f>SUMIFS('PIS F'!$I$11:$I$344,'PIS F'!$C$11:$C$344,'SCH B-2.3 F'!$B70)</f>
        <v>0</v>
      </c>
      <c r="G70" s="88">
        <f>SUMIFS('PIS F'!$K$11:$K$344,'PIS F'!$C$11:$C$344,'SCH B-2.3 F'!$B70)</f>
        <v>0</v>
      </c>
      <c r="H70" s="88">
        <f t="shared" si="12"/>
        <v>10855412.1514</v>
      </c>
      <c r="I70" s="88">
        <f>SUMIFS('PIS F'!$Q$11:$Q$344,'PIS F'!$C$11:$C$344,'SCH B-2.3 F'!$B70)</f>
        <v>4862479.0092461538</v>
      </c>
    </row>
    <row r="71" spans="1:9" ht="18.95" customHeight="1">
      <c r="A71" s="70">
        <f t="shared" si="0"/>
        <v>44</v>
      </c>
      <c r="B71" s="71" t="s">
        <v>1675</v>
      </c>
      <c r="C71" s="78" t="s">
        <v>152</v>
      </c>
      <c r="D71" s="89">
        <f>SUMIFS('PIS F'!$E$11:$E$344,'PIS F'!$C$11:$C$344,'SCH B-2.3 F'!$B71)</f>
        <v>551323.88</v>
      </c>
      <c r="E71" s="89">
        <f>SUMIFS('PIS F'!$G$11:$G$344,'PIS F'!$C$11:$C$344,'SCH B-2.3 F'!$B71)</f>
        <v>0</v>
      </c>
      <c r="F71" s="89">
        <f>SUMIFS('PIS F'!$I$11:$I$344,'PIS F'!$C$11:$C$344,'SCH B-2.3 F'!$B71)</f>
        <v>0</v>
      </c>
      <c r="G71" s="89">
        <f>SUMIFS('PIS F'!$K$11:$K$344,'PIS F'!$C$11:$C$344,'SCH B-2.3 F'!$B71)</f>
        <v>0</v>
      </c>
      <c r="H71" s="89">
        <f t="shared" si="12"/>
        <v>551323.88</v>
      </c>
      <c r="I71" s="89">
        <f>SUMIFS('PIS F'!$Q$11:$Q$344,'PIS F'!$C$11:$C$344,'SCH B-2.3 F'!$B71)</f>
        <v>551323.88</v>
      </c>
    </row>
    <row r="72" spans="1:9" ht="18.95" customHeight="1">
      <c r="A72" s="70">
        <f t="shared" si="0"/>
        <v>45</v>
      </c>
      <c r="C72" s="78" t="s">
        <v>150</v>
      </c>
      <c r="D72" s="86">
        <f>SUM(D63:D71)</f>
        <v>1092933180.7252467</v>
      </c>
      <c r="E72" s="86">
        <f t="shared" ref="E72:I72" si="13">SUM(E63:E71)</f>
        <v>105863424.26592307</v>
      </c>
      <c r="F72" s="86">
        <f t="shared" si="13"/>
        <v>-5000659.6899999985</v>
      </c>
      <c r="G72" s="86">
        <f t="shared" si="13"/>
        <v>0</v>
      </c>
      <c r="H72" s="86">
        <f t="shared" si="13"/>
        <v>1193795945.3011699</v>
      </c>
      <c r="I72" s="86">
        <f t="shared" si="13"/>
        <v>1137907254.1236804</v>
      </c>
    </row>
    <row r="73" spans="1:9" ht="18.95" customHeight="1">
      <c r="A73" s="70"/>
      <c r="B73" s="71"/>
    </row>
    <row r="74" spans="1:9" ht="18.95" customHeight="1">
      <c r="A74" s="70">
        <f>A72+1</f>
        <v>46</v>
      </c>
      <c r="B74" s="71" t="s">
        <v>251</v>
      </c>
      <c r="C74" s="90" t="s">
        <v>16</v>
      </c>
    </row>
    <row r="75" spans="1:9" ht="18.95" customHeight="1">
      <c r="A75" s="70">
        <f t="shared" si="0"/>
        <v>47</v>
      </c>
      <c r="B75" s="71" t="s">
        <v>1676</v>
      </c>
      <c r="C75" s="78" t="s">
        <v>154</v>
      </c>
      <c r="D75" s="88">
        <f>SUMIFS('PIS F'!$E$11:$E$344,'PIS F'!$C$11:$C$344,'SCH B-2.3 F'!$B75)</f>
        <v>9912607.7263599876</v>
      </c>
      <c r="E75" s="88">
        <f>SUMIFS('PIS F'!$G$11:$G$344,'PIS F'!$C$11:$C$344,'SCH B-2.3 F'!$B75)</f>
        <v>288081.5858</v>
      </c>
      <c r="F75" s="88">
        <f>SUMIFS('PIS F'!$I$11:$I$344,'PIS F'!$C$11:$C$344,'SCH B-2.3 F'!$B75)</f>
        <v>0</v>
      </c>
      <c r="G75" s="88">
        <f>SUMIFS('PIS F'!$K$11:$K$344,'PIS F'!$C$11:$C$344,'SCH B-2.3 F'!$B75)</f>
        <v>0</v>
      </c>
      <c r="H75" s="88">
        <f t="shared" ref="H75:H87" si="14">SUM(D75:G75)</f>
        <v>10200689.312159987</v>
      </c>
      <c r="I75" s="88">
        <f>SUMIFS('PIS F'!$Q$11:$Q$344,'PIS F'!$C$11:$C$344,'SCH B-2.3 F'!$B75)</f>
        <v>10023408.336283065</v>
      </c>
    </row>
    <row r="76" spans="1:9" ht="18.95" customHeight="1">
      <c r="A76" s="70">
        <f t="shared" si="0"/>
        <v>48</v>
      </c>
      <c r="B76" s="71" t="s">
        <v>1677</v>
      </c>
      <c r="C76" s="78" t="s">
        <v>148</v>
      </c>
      <c r="D76" s="88">
        <f>SUMIFS('PIS F'!$E$11:$E$344,'PIS F'!$C$11:$C$344,'SCH B-2.3 F'!$B76)</f>
        <v>23774484.226181999</v>
      </c>
      <c r="E76" s="88">
        <f>SUMIFS('PIS F'!$G$11:$G$344,'PIS F'!$C$11:$C$344,'SCH B-2.3 F'!$B76)</f>
        <v>9532268.2670999989</v>
      </c>
      <c r="F76" s="88">
        <f>SUMIFS('PIS F'!$I$11:$I$344,'PIS F'!$C$11:$C$344,'SCH B-2.3 F'!$B76)</f>
        <v>0</v>
      </c>
      <c r="G76" s="88">
        <f>SUMIFS('PIS F'!$K$11:$K$344,'PIS F'!$C$11:$C$344,'SCH B-2.3 F'!$B76)</f>
        <v>0</v>
      </c>
      <c r="H76" s="88">
        <f t="shared" si="14"/>
        <v>33306752.493281998</v>
      </c>
      <c r="I76" s="88">
        <f>SUMIFS('PIS F'!$Q$11:$Q$344,'PIS F'!$C$11:$C$344,'SCH B-2.3 F'!$B76)</f>
        <v>28545220.977428153</v>
      </c>
    </row>
    <row r="77" spans="1:9" ht="18.95" customHeight="1">
      <c r="A77" s="70">
        <f t="shared" si="0"/>
        <v>49</v>
      </c>
      <c r="B77" s="71" t="s">
        <v>1678</v>
      </c>
      <c r="C77" s="78" t="s">
        <v>1679</v>
      </c>
      <c r="D77" s="88">
        <f>SUMIFS('PIS F'!$E$11:$E$344,'PIS F'!$C$11:$C$344,'SCH B-2.3 F'!$B77)</f>
        <v>241924920.89363402</v>
      </c>
      <c r="E77" s="88">
        <f>SUMIFS('PIS F'!$G$11:$G$344,'PIS F'!$C$11:$C$344,'SCH B-2.3 F'!$B77)</f>
        <v>26736534.259379987</v>
      </c>
      <c r="F77" s="88">
        <f>SUMIFS('PIS F'!$I$11:$I$344,'PIS F'!$C$11:$C$344,'SCH B-2.3 F'!$B77)</f>
        <v>-1069852.3600000001</v>
      </c>
      <c r="G77" s="88">
        <f>SUMIFS('PIS F'!$K$11:$K$344,'PIS F'!$C$11:$C$344,'SCH B-2.3 F'!$B77)</f>
        <v>0</v>
      </c>
      <c r="H77" s="88">
        <f t="shared" si="14"/>
        <v>267591602.79301399</v>
      </c>
      <c r="I77" s="88">
        <f>SUMIFS('PIS F'!$Q$11:$Q$344,'PIS F'!$C$11:$C$344,'SCH B-2.3 F'!$B77)</f>
        <v>253757355.6864517</v>
      </c>
    </row>
    <row r="78" spans="1:9" ht="18.95" customHeight="1">
      <c r="A78" s="70">
        <f t="shared" ref="A78:A88" si="15">A77+1</f>
        <v>50</v>
      </c>
      <c r="B78" s="71" t="s">
        <v>1680</v>
      </c>
      <c r="C78" s="78" t="s">
        <v>1681</v>
      </c>
      <c r="D78" s="88">
        <f>SUMIFS('PIS F'!$E$11:$E$344,'PIS F'!$C$11:$C$344,'SCH B-2.3 F'!$B78)</f>
        <v>418430742.62802011</v>
      </c>
      <c r="E78" s="88">
        <f>SUMIFS('PIS F'!$G$11:$G$344,'PIS F'!$C$11:$C$344,'SCH B-2.3 F'!$B78)</f>
        <v>20638701.796366513</v>
      </c>
      <c r="F78" s="88">
        <f>SUMIFS('PIS F'!$I$11:$I$344,'PIS F'!$C$11:$C$344,'SCH B-2.3 F'!$B78)</f>
        <v>-1844796.7899999989</v>
      </c>
      <c r="G78" s="88">
        <f>SUMIFS('PIS F'!$K$11:$K$344,'PIS F'!$C$11:$C$344,'SCH B-2.3 F'!$B78)</f>
        <v>0</v>
      </c>
      <c r="H78" s="88">
        <f t="shared" si="14"/>
        <v>437224647.6343866</v>
      </c>
      <c r="I78" s="88">
        <f>SUMIFS('PIS F'!$Q$11:$Q$344,'PIS F'!$C$11:$C$344,'SCH B-2.3 F'!$B78)</f>
        <v>428175903.41060489</v>
      </c>
    </row>
    <row r="79" spans="1:9" ht="18.95" customHeight="1">
      <c r="A79" s="70">
        <f t="shared" si="15"/>
        <v>51</v>
      </c>
      <c r="B79" s="71" t="s">
        <v>1682</v>
      </c>
      <c r="C79" s="78" t="s">
        <v>1670</v>
      </c>
      <c r="D79" s="88">
        <f>SUMIFS('PIS F'!$E$11:$E$344,'PIS F'!$C$11:$C$344,'SCH B-2.3 F'!$B79)</f>
        <v>415259494.33291107</v>
      </c>
      <c r="E79" s="88">
        <f>SUMIFS('PIS F'!$G$11:$G$344,'PIS F'!$C$11:$C$344,'SCH B-2.3 F'!$B79)</f>
        <v>31449750.613748126</v>
      </c>
      <c r="F79" s="88">
        <f>SUMIFS('PIS F'!$I$11:$I$344,'PIS F'!$C$11:$C$344,'SCH B-2.3 F'!$B79)</f>
        <v>-6656519.5300000003</v>
      </c>
      <c r="G79" s="88">
        <f>SUMIFS('PIS F'!$K$11:$K$344,'PIS F'!$C$11:$C$344,'SCH B-2.3 F'!$B79)</f>
        <v>0</v>
      </c>
      <c r="H79" s="88">
        <f t="shared" si="14"/>
        <v>440052725.41665924</v>
      </c>
      <c r="I79" s="88">
        <f>SUMIFS('PIS F'!$Q$11:$Q$344,'PIS F'!$C$11:$C$344,'SCH B-2.3 F'!$B79)</f>
        <v>428091152.89970493</v>
      </c>
    </row>
    <row r="80" spans="1:9" ht="18.95" customHeight="1">
      <c r="A80" s="70">
        <f t="shared" si="15"/>
        <v>52</v>
      </c>
      <c r="B80" s="71" t="s">
        <v>1683</v>
      </c>
      <c r="C80" s="78" t="s">
        <v>1672</v>
      </c>
      <c r="D80" s="88">
        <f>SUMIFS('PIS F'!$E$11:$E$344,'PIS F'!$C$11:$C$344,'SCH B-2.3 F'!$B80)</f>
        <v>2390106.04</v>
      </c>
      <c r="E80" s="88">
        <f>SUMIFS('PIS F'!$G$11:$G$344,'PIS F'!$C$11:$C$344,'SCH B-2.3 F'!$B80)</f>
        <v>0</v>
      </c>
      <c r="F80" s="88">
        <f>SUMIFS('PIS F'!$I$11:$I$344,'PIS F'!$C$11:$C$344,'SCH B-2.3 F'!$B80)</f>
        <v>0</v>
      </c>
      <c r="G80" s="88">
        <f>SUMIFS('PIS F'!$K$11:$K$344,'PIS F'!$C$11:$C$344,'SCH B-2.3 F'!$B80)</f>
        <v>0</v>
      </c>
      <c r="H80" s="88">
        <f t="shared" si="14"/>
        <v>2390106.04</v>
      </c>
      <c r="I80" s="88">
        <f>SUMIFS('PIS F'!$Q$11:$Q$344,'PIS F'!$C$11:$C$344,'SCH B-2.3 F'!$B80)</f>
        <v>2390106.04</v>
      </c>
    </row>
    <row r="81" spans="1:9" ht="18.95" customHeight="1">
      <c r="A81" s="70">
        <f t="shared" si="15"/>
        <v>53</v>
      </c>
      <c r="B81" s="71" t="s">
        <v>1684</v>
      </c>
      <c r="C81" s="78" t="s">
        <v>1674</v>
      </c>
      <c r="D81" s="88">
        <f>SUMIFS('PIS F'!$E$11:$E$344,'PIS F'!$C$11:$C$344,'SCH B-2.3 F'!$B81)</f>
        <v>212746654.2841585</v>
      </c>
      <c r="E81" s="88">
        <f>SUMIFS('PIS F'!$G$11:$G$344,'PIS F'!$C$11:$C$344,'SCH B-2.3 F'!$B81)</f>
        <v>17650577.841038942</v>
      </c>
      <c r="F81" s="88">
        <f>SUMIFS('PIS F'!$I$11:$I$344,'PIS F'!$C$11:$C$344,'SCH B-2.3 F'!$B81)</f>
        <v>0</v>
      </c>
      <c r="G81" s="88">
        <f>SUMIFS('PIS F'!$K$11:$K$344,'PIS F'!$C$11:$C$344,'SCH B-2.3 F'!$B81)</f>
        <v>0</v>
      </c>
      <c r="H81" s="88">
        <f t="shared" si="14"/>
        <v>230397232.12519744</v>
      </c>
      <c r="I81" s="88">
        <f>SUMIFS('PIS F'!$Q$11:$Q$344,'PIS F'!$C$11:$C$344,'SCH B-2.3 F'!$B81)</f>
        <v>221649904.61752218</v>
      </c>
    </row>
    <row r="82" spans="1:9" ht="18.95" customHeight="1">
      <c r="A82" s="70">
        <f t="shared" si="15"/>
        <v>54</v>
      </c>
      <c r="B82" s="71" t="s">
        <v>1685</v>
      </c>
      <c r="C82" s="78" t="s">
        <v>1686</v>
      </c>
      <c r="D82" s="88">
        <f>SUMIFS('PIS F'!$E$11:$E$344,'PIS F'!$C$11:$C$344,'SCH B-2.3 F'!$B82)</f>
        <v>323337870.53560102</v>
      </c>
      <c r="E82" s="88">
        <f>SUMIFS('PIS F'!$G$11:$G$344,'PIS F'!$C$11:$C$344,'SCH B-2.3 F'!$B82)</f>
        <v>10215324.796424896</v>
      </c>
      <c r="F82" s="88">
        <f>SUMIFS('PIS F'!$I$11:$I$344,'PIS F'!$C$11:$C$344,'SCH B-2.3 F'!$B82)</f>
        <v>-3488019.6499999971</v>
      </c>
      <c r="G82" s="88">
        <f>SUMIFS('PIS F'!$K$11:$K$344,'PIS F'!$C$11:$C$344,'SCH B-2.3 F'!$B82)</f>
        <v>0</v>
      </c>
      <c r="H82" s="88">
        <f t="shared" si="14"/>
        <v>330065175.68202591</v>
      </c>
      <c r="I82" s="88">
        <f>SUMIFS('PIS F'!$Q$11:$Q$344,'PIS F'!$C$11:$C$344,'SCH B-2.3 F'!$B82)</f>
        <v>326614785.13967967</v>
      </c>
    </row>
    <row r="83" spans="1:9" ht="18.95" customHeight="1">
      <c r="A83" s="70">
        <f t="shared" si="15"/>
        <v>55</v>
      </c>
      <c r="B83" s="71" t="s">
        <v>1687</v>
      </c>
      <c r="C83" s="78" t="s">
        <v>1688</v>
      </c>
      <c r="D83" s="88">
        <f>SUMIFS('PIS F'!$E$11:$E$344,'PIS F'!$C$11:$C$344,'SCH B-2.3 F'!$B83)</f>
        <v>114503751.85000001</v>
      </c>
      <c r="E83" s="88">
        <f>SUMIFS('PIS F'!$G$11:$G$344,'PIS F'!$C$11:$C$344,'SCH B-2.3 F'!$B83)</f>
        <v>53775.12</v>
      </c>
      <c r="F83" s="88">
        <f>SUMIFS('PIS F'!$I$11:$I$344,'PIS F'!$C$11:$C$344,'SCH B-2.3 F'!$B83)</f>
        <v>0</v>
      </c>
      <c r="G83" s="88">
        <f>SUMIFS('PIS F'!$K$11:$K$344,'PIS F'!$C$11:$C$344,'SCH B-2.3 F'!$B83)</f>
        <v>0</v>
      </c>
      <c r="H83" s="88">
        <f t="shared" si="14"/>
        <v>114557526.97000001</v>
      </c>
      <c r="I83" s="88">
        <f>SUMIFS('PIS F'!$Q$11:$Q$344,'PIS F'!$C$11:$C$344,'SCH B-2.3 F'!$B83)</f>
        <v>114524434.58846155</v>
      </c>
    </row>
    <row r="84" spans="1:9" ht="18.95" customHeight="1">
      <c r="A84" s="70">
        <f>A83+1</f>
        <v>56</v>
      </c>
      <c r="B84" s="71" t="s">
        <v>1689</v>
      </c>
      <c r="C84" s="78" t="s">
        <v>1690</v>
      </c>
      <c r="D84" s="88">
        <f>SUMIFS('PIS F'!$E$11:$E$344,'PIS F'!$C$11:$C$344,'SCH B-2.3 F'!$B84)</f>
        <v>81517450.450100005</v>
      </c>
      <c r="E84" s="88">
        <f>SUMIFS('PIS F'!$G$11:$G$344,'PIS F'!$C$11:$C$344,'SCH B-2.3 F'!$B84)</f>
        <v>2284873.3905099989</v>
      </c>
      <c r="F84" s="88">
        <f>SUMIFS('PIS F'!$I$11:$I$344,'PIS F'!$C$11:$C$344,'SCH B-2.3 F'!$B84)</f>
        <v>0</v>
      </c>
      <c r="G84" s="88">
        <f>SUMIFS('PIS F'!$K$11:$K$344,'PIS F'!$C$11:$C$344,'SCH B-2.3 F'!$B84)</f>
        <v>0</v>
      </c>
      <c r="H84" s="88">
        <f t="shared" si="14"/>
        <v>83802323.840609998</v>
      </c>
      <c r="I84" s="88">
        <f>SUMIFS('PIS F'!$Q$11:$Q$344,'PIS F'!$C$11:$C$344,'SCH B-2.3 F'!$B84)</f>
        <v>82578598.694320768</v>
      </c>
    </row>
    <row r="85" spans="1:9" ht="18.95" customHeight="1">
      <c r="A85" s="70">
        <f t="shared" si="15"/>
        <v>57</v>
      </c>
      <c r="B85" s="71" t="s">
        <v>1691</v>
      </c>
      <c r="C85" s="78" t="s">
        <v>1692</v>
      </c>
      <c r="D85" s="88">
        <f>SUMIFS('PIS F'!$E$11:$E$344,'PIS F'!$C$11:$C$344,'SCH B-2.3 F'!$B85)</f>
        <v>145659.9681</v>
      </c>
      <c r="E85" s="88">
        <f>SUMIFS('PIS F'!$G$11:$G$344,'PIS F'!$C$11:$C$344,'SCH B-2.3 F'!$B85)</f>
        <v>0</v>
      </c>
      <c r="F85" s="88">
        <f>SUMIFS('PIS F'!$I$11:$I$344,'PIS F'!$C$11:$C$344,'SCH B-2.3 F'!$B85)</f>
        <v>0</v>
      </c>
      <c r="G85" s="88">
        <f>SUMIFS('PIS F'!$K$11:$K$344,'PIS F'!$C$11:$C$344,'SCH B-2.3 F'!$B85)</f>
        <v>0</v>
      </c>
      <c r="H85" s="88">
        <f t="shared" si="14"/>
        <v>145659.9681</v>
      </c>
      <c r="I85" s="88">
        <f>SUMIFS('PIS F'!$Q$11:$Q$344,'PIS F'!$C$11:$C$344,'SCH B-2.3 F'!$B85)</f>
        <v>145659.9681</v>
      </c>
    </row>
    <row r="86" spans="1:9" ht="18.95" customHeight="1">
      <c r="A86" s="70">
        <f t="shared" si="15"/>
        <v>58</v>
      </c>
      <c r="B86" s="71" t="s">
        <v>1693</v>
      </c>
      <c r="C86" s="78" t="s">
        <v>1694</v>
      </c>
      <c r="D86" s="88">
        <f>SUMIFS('PIS F'!$E$11:$E$344,'PIS F'!$C$11:$C$344,'SCH B-2.3 F'!$B86)</f>
        <v>129219252.70889078</v>
      </c>
      <c r="E86" s="88">
        <f>SUMIFS('PIS F'!$G$11:$G$344,'PIS F'!$C$11:$C$344,'SCH B-2.3 F'!$B86)</f>
        <v>7476008.3432669966</v>
      </c>
      <c r="F86" s="88">
        <f>SUMIFS('PIS F'!$I$11:$I$344,'PIS F'!$C$11:$C$344,'SCH B-2.3 F'!$B86)</f>
        <v>-3697027.82</v>
      </c>
      <c r="G86" s="88">
        <f>SUMIFS('PIS F'!$K$11:$K$344,'PIS F'!$C$11:$C$344,'SCH B-2.3 F'!$B86)</f>
        <v>0</v>
      </c>
      <c r="H86" s="88">
        <f t="shared" si="14"/>
        <v>132998233.2321578</v>
      </c>
      <c r="I86" s="88">
        <f>SUMIFS('PIS F'!$Q$11:$Q$344,'PIS F'!$C$11:$C$344,'SCH B-2.3 F'!$B86)</f>
        <v>130848709.48707603</v>
      </c>
    </row>
    <row r="87" spans="1:9" ht="18.95" customHeight="1">
      <c r="A87" s="70">
        <f t="shared" si="15"/>
        <v>59</v>
      </c>
      <c r="B87" s="71" t="s">
        <v>1695</v>
      </c>
      <c r="C87" s="78" t="s">
        <v>151</v>
      </c>
      <c r="D87" s="89">
        <f>SUMIFS('PIS F'!$E$11:$E$344,'PIS F'!$C$11:$C$344,'SCH B-2.3 F'!$B87)</f>
        <v>658287.19000000006</v>
      </c>
      <c r="E87" s="89">
        <f>SUMIFS('PIS F'!$G$11:$G$344,'PIS F'!$C$11:$C$344,'SCH B-2.3 F'!$B87)</f>
        <v>0</v>
      </c>
      <c r="F87" s="89">
        <f>SUMIFS('PIS F'!$I$11:$I$344,'PIS F'!$C$11:$C$344,'SCH B-2.3 F'!$B87)</f>
        <v>0</v>
      </c>
      <c r="G87" s="89">
        <f>SUMIFS('PIS F'!$K$11:$K$344,'PIS F'!$C$11:$C$344,'SCH B-2.3 F'!$B87)</f>
        <v>0</v>
      </c>
      <c r="H87" s="89">
        <f t="shared" si="14"/>
        <v>658287.19000000006</v>
      </c>
      <c r="I87" s="89">
        <f>SUMIFS('PIS F'!$Q$11:$Q$344,'PIS F'!$C$11:$C$344,'SCH B-2.3 F'!$B87)</f>
        <v>658287.18999999994</v>
      </c>
    </row>
    <row r="88" spans="1:9" ht="18.95" customHeight="1">
      <c r="A88" s="70">
        <f t="shared" si="15"/>
        <v>60</v>
      </c>
      <c r="B88" s="71"/>
      <c r="C88" s="78" t="s">
        <v>153</v>
      </c>
      <c r="D88" s="86">
        <f>SUM(D75:D87)</f>
        <v>1973821282.8339574</v>
      </c>
      <c r="E88" s="86">
        <f t="shared" ref="E88:I88" si="16">SUM(E75:E87)</f>
        <v>126325896.01363546</v>
      </c>
      <c r="F88" s="86">
        <f t="shared" si="16"/>
        <v>-16756216.149999997</v>
      </c>
      <c r="G88" s="86">
        <f t="shared" si="16"/>
        <v>0</v>
      </c>
      <c r="H88" s="86">
        <f t="shared" si="16"/>
        <v>2083390962.697593</v>
      </c>
      <c r="I88" s="86">
        <f t="shared" si="16"/>
        <v>2028003527.0356331</v>
      </c>
    </row>
    <row r="89" spans="1:9" ht="18.95" customHeight="1">
      <c r="A89" s="70"/>
      <c r="B89" s="71"/>
      <c r="C89" s="78"/>
      <c r="D89" s="86"/>
      <c r="E89" s="86"/>
      <c r="F89" s="86"/>
      <c r="G89" s="86"/>
      <c r="H89" s="86"/>
      <c r="I89" s="86"/>
    </row>
    <row r="90" spans="1:9" ht="18.95" customHeight="1">
      <c r="A90" s="70">
        <f>A88+1</f>
        <v>61</v>
      </c>
      <c r="C90" s="90" t="s">
        <v>32</v>
      </c>
    </row>
    <row r="91" spans="1:9" ht="18.95" customHeight="1">
      <c r="A91" s="70">
        <f t="shared" ref="A91:A112" si="17">A90+1</f>
        <v>62</v>
      </c>
      <c r="B91" s="71" t="s">
        <v>1697</v>
      </c>
      <c r="C91" s="78" t="s">
        <v>154</v>
      </c>
      <c r="D91" s="88">
        <f>SUMIFS('PIS F'!$E$11:$E$344,'PIS F'!$C$11:$C$344,'SCH B-2.3 F'!$B91)</f>
        <v>4114702.7727499902</v>
      </c>
      <c r="E91" s="88">
        <f>SUMIFS('PIS F'!$G$11:$G$344,'PIS F'!$C$11:$C$344,'SCH B-2.3 F'!$B91)</f>
        <v>636814.06484999997</v>
      </c>
      <c r="F91" s="88">
        <f>SUMIFS('PIS F'!$I$11:$I$344,'PIS F'!$C$11:$C$344,'SCH B-2.3 F'!$B91)</f>
        <v>0</v>
      </c>
      <c r="G91" s="88">
        <f>SUMIFS('PIS F'!$K$11:$K$344,'PIS F'!$C$11:$C$344,'SCH B-2.3 F'!$B91)</f>
        <v>0</v>
      </c>
      <c r="H91" s="88">
        <f t="shared" ref="H91:H111" si="18">SUM(D91:G91)</f>
        <v>4751516.83759999</v>
      </c>
      <c r="I91" s="88">
        <f>SUMIFS('PIS F'!$Q$11:$Q$344,'PIS F'!$C$11:$C$344,'SCH B-2.3 F'!$B91)</f>
        <v>4407139.5781769175</v>
      </c>
    </row>
    <row r="92" spans="1:9" ht="18.95" customHeight="1">
      <c r="A92" s="70">
        <f t="shared" si="17"/>
        <v>63</v>
      </c>
      <c r="B92" s="71" t="s">
        <v>1698</v>
      </c>
      <c r="C92" s="78" t="s">
        <v>148</v>
      </c>
      <c r="D92" s="88">
        <f>SUMIFS('PIS F'!$E$11:$E$344,'PIS F'!$C$11:$C$344,'SCH B-2.3 F'!$B92)</f>
        <v>70253792.915289894</v>
      </c>
      <c r="E92" s="88">
        <f>SUMIFS('PIS F'!$G$11:$G$344,'PIS F'!$C$11:$C$344,'SCH B-2.3 F'!$B92)</f>
        <v>16969003.784070984</v>
      </c>
      <c r="F92" s="88">
        <f>SUMIFS('PIS F'!$I$11:$I$344,'PIS F'!$C$11:$C$344,'SCH B-2.3 F'!$B92)</f>
        <v>0</v>
      </c>
      <c r="G92" s="88">
        <f>SUMIFS('PIS F'!$K$11:$K$344,'PIS F'!$C$11:$C$344,'SCH B-2.3 F'!$B92)</f>
        <v>0</v>
      </c>
      <c r="H92" s="88">
        <f t="shared" si="18"/>
        <v>87222796.699360877</v>
      </c>
      <c r="I92" s="88">
        <f>SUMIFS('PIS F'!$Q$11:$Q$344,'PIS F'!$C$11:$C$344,'SCH B-2.3 F'!$B92)</f>
        <v>82444608.51143311</v>
      </c>
    </row>
    <row r="93" spans="1:9" ht="18.95" customHeight="1">
      <c r="A93" s="70">
        <f t="shared" si="17"/>
        <v>64</v>
      </c>
      <c r="B93" s="71" t="s">
        <v>1699</v>
      </c>
      <c r="C93" s="78" t="s">
        <v>156</v>
      </c>
      <c r="D93" s="88">
        <f>SUMIFS('PIS F'!$E$11:$E$344,'PIS F'!$C$11:$C$344,'SCH B-2.3 F'!$B93)</f>
        <v>45389359.661425501</v>
      </c>
      <c r="E93" s="88">
        <f>SUMIFS('PIS F'!$G$11:$G$344,'PIS F'!$C$11:$C$344,'SCH B-2.3 F'!$B93)</f>
        <v>5207104.5599600002</v>
      </c>
      <c r="F93" s="88">
        <f>SUMIFS('PIS F'!$I$11:$I$344,'PIS F'!$C$11:$C$344,'SCH B-2.3 F'!$B93)</f>
        <v>-8155519.4099999974</v>
      </c>
      <c r="G93" s="88">
        <f>SUMIFS('PIS F'!$K$11:$K$344,'PIS F'!$C$11:$C$344,'SCH B-2.3 F'!$B93)</f>
        <v>0</v>
      </c>
      <c r="H93" s="88">
        <f t="shared" si="18"/>
        <v>42440944.811385505</v>
      </c>
      <c r="I93" s="88">
        <f>SUMIFS('PIS F'!$Q$11:$Q$344,'PIS F'!$C$11:$C$344,'SCH B-2.3 F'!$B93)</f>
        <v>43470434.51483319</v>
      </c>
    </row>
    <row r="94" spans="1:9" ht="18.95" customHeight="1">
      <c r="A94" s="70">
        <f t="shared" si="17"/>
        <v>65</v>
      </c>
      <c r="B94" s="71" t="s">
        <v>1700</v>
      </c>
      <c r="C94" s="78" t="s">
        <v>155</v>
      </c>
      <c r="D94" s="88">
        <f>SUMIFS('PIS F'!$E$11:$E$344,'PIS F'!$C$11:$C$344,'SCH B-2.3 F'!$B94)</f>
        <v>7538271.7000000011</v>
      </c>
      <c r="E94" s="88">
        <f>SUMIFS('PIS F'!$G$11:$G$344,'PIS F'!$C$11:$C$344,'SCH B-2.3 F'!$B94)</f>
        <v>0</v>
      </c>
      <c r="F94" s="88">
        <f>SUMIFS('PIS F'!$I$11:$I$344,'PIS F'!$C$11:$C$344,'SCH B-2.3 F'!$B94)</f>
        <v>0</v>
      </c>
      <c r="G94" s="88">
        <f>SUMIFS('PIS F'!$K$11:$K$344,'PIS F'!$C$11:$C$344,'SCH B-2.3 F'!$B94)</f>
        <v>0</v>
      </c>
      <c r="H94" s="88">
        <f t="shared" si="18"/>
        <v>7538271.7000000011</v>
      </c>
      <c r="I94" s="88">
        <f>SUMIFS('PIS F'!$Q$11:$Q$344,'PIS F'!$C$11:$C$344,'SCH B-2.3 F'!$B94)</f>
        <v>7538271.700000002</v>
      </c>
    </row>
    <row r="95" spans="1:9" ht="18.95" customHeight="1">
      <c r="A95" s="70">
        <f t="shared" si="17"/>
        <v>66</v>
      </c>
      <c r="B95" s="71" t="s">
        <v>1701</v>
      </c>
      <c r="C95" s="78" t="s">
        <v>1702</v>
      </c>
      <c r="D95" s="88">
        <f>SUMIFS('PIS F'!$E$11:$E$344,'PIS F'!$C$11:$C$344,'SCH B-2.3 F'!$B95)</f>
        <v>930973.19741999998</v>
      </c>
      <c r="E95" s="88">
        <f>SUMIFS('PIS F'!$G$11:$G$344,'PIS F'!$C$11:$C$344,'SCH B-2.3 F'!$B95)</f>
        <v>0</v>
      </c>
      <c r="F95" s="88">
        <f>SUMIFS('PIS F'!$I$11:$I$344,'PIS F'!$C$11:$C$344,'SCH B-2.3 F'!$B95)</f>
        <v>-31840.82</v>
      </c>
      <c r="G95" s="88">
        <f>SUMIFS('PIS F'!$K$11:$K$344,'PIS F'!$C$11:$C$344,'SCH B-2.3 F'!$B95)</f>
        <v>0</v>
      </c>
      <c r="H95" s="88">
        <f t="shared" si="18"/>
        <v>899132.37742000003</v>
      </c>
      <c r="I95" s="88">
        <f>SUMIFS('PIS F'!$Q$11:$Q$344,'PIS F'!$C$11:$C$344,'SCH B-2.3 F'!$B95)</f>
        <v>908062.33049692307</v>
      </c>
    </row>
    <row r="96" spans="1:9" ht="18.95" customHeight="1">
      <c r="A96" s="70">
        <f t="shared" si="17"/>
        <v>67</v>
      </c>
      <c r="B96" s="71" t="s">
        <v>1703</v>
      </c>
      <c r="C96" s="78" t="s">
        <v>1704</v>
      </c>
      <c r="D96" s="88">
        <f>SUMIFS('PIS F'!$E$11:$E$344,'PIS F'!$C$11:$C$344,'SCH B-2.3 F'!$B96)</f>
        <v>15633220.6094152</v>
      </c>
      <c r="E96" s="88">
        <f>SUMIFS('PIS F'!$G$11:$G$344,'PIS F'!$C$11:$C$344,'SCH B-2.3 F'!$B96)</f>
        <v>2366348.4588199998</v>
      </c>
      <c r="F96" s="88">
        <f>SUMIFS('PIS F'!$I$11:$I$344,'PIS F'!$C$11:$C$344,'SCH B-2.3 F'!$B96)</f>
        <v>-106014.96999999988</v>
      </c>
      <c r="G96" s="88">
        <f>SUMIFS('PIS F'!$K$11:$K$344,'PIS F'!$C$11:$C$344,'SCH B-2.3 F'!$B96)</f>
        <v>0</v>
      </c>
      <c r="H96" s="88">
        <f t="shared" si="18"/>
        <v>17893554.098235201</v>
      </c>
      <c r="I96" s="88">
        <f>SUMIFS('PIS F'!$Q$11:$Q$344,'PIS F'!$C$11:$C$344,'SCH B-2.3 F'!$B96)</f>
        <v>16911378.19559266</v>
      </c>
    </row>
    <row r="97" spans="1:9" ht="18.95" customHeight="1">
      <c r="A97" s="70">
        <f t="shared" si="17"/>
        <v>68</v>
      </c>
      <c r="B97" s="71" t="s">
        <v>1705</v>
      </c>
      <c r="C97" s="78" t="s">
        <v>1706</v>
      </c>
      <c r="D97" s="88">
        <f>SUMIFS('PIS F'!$E$11:$E$344,'PIS F'!$C$11:$C$344,'SCH B-2.3 F'!$B97)</f>
        <v>0</v>
      </c>
      <c r="E97" s="88">
        <f>SUMIFS('PIS F'!$G$11:$G$344,'PIS F'!$C$11:$C$344,'SCH B-2.3 F'!$B97)</f>
        <v>0</v>
      </c>
      <c r="F97" s="88">
        <f>SUMIFS('PIS F'!$I$11:$I$344,'PIS F'!$C$11:$C$344,'SCH B-2.3 F'!$B97)</f>
        <v>0</v>
      </c>
      <c r="G97" s="88">
        <f>SUMIFS('PIS F'!$K$11:$K$344,'PIS F'!$C$11:$C$344,'SCH B-2.3 F'!$B97)</f>
        <v>0</v>
      </c>
      <c r="H97" s="88">
        <f t="shared" si="18"/>
        <v>0</v>
      </c>
      <c r="I97" s="88">
        <f>SUMIFS('PIS F'!$Q$11:$Q$344,'PIS F'!$C$11:$C$344,'SCH B-2.3 F'!$B97)</f>
        <v>0</v>
      </c>
    </row>
    <row r="98" spans="1:9" ht="18.95" customHeight="1">
      <c r="A98" s="70">
        <f>A97+1</f>
        <v>69</v>
      </c>
      <c r="B98" s="71" t="s">
        <v>1707</v>
      </c>
      <c r="C98" s="78" t="s">
        <v>1708</v>
      </c>
      <c r="D98" s="88">
        <f>SUMIFS('PIS F'!$E$11:$E$344,'PIS F'!$C$11:$C$344,'SCH B-2.3 F'!$B98)</f>
        <v>4137907.4000000004</v>
      </c>
      <c r="E98" s="88">
        <f>SUMIFS('PIS F'!$G$11:$G$344,'PIS F'!$C$11:$C$344,'SCH B-2.3 F'!$B98)</f>
        <v>0</v>
      </c>
      <c r="F98" s="88">
        <f>SUMIFS('PIS F'!$I$11:$I$344,'PIS F'!$C$11:$C$344,'SCH B-2.3 F'!$B98)</f>
        <v>0</v>
      </c>
      <c r="G98" s="88">
        <f>SUMIFS('PIS F'!$K$11:$K$344,'PIS F'!$C$11:$C$344,'SCH B-2.3 F'!$B98)</f>
        <v>0</v>
      </c>
      <c r="H98" s="88">
        <f t="shared" si="18"/>
        <v>4137907.4000000004</v>
      </c>
      <c r="I98" s="88">
        <f>SUMIFS('PIS F'!$Q$11:$Q$344,'PIS F'!$C$11:$C$344,'SCH B-2.3 F'!$B98)</f>
        <v>4137907.4</v>
      </c>
    </row>
    <row r="99" spans="1:9" ht="18.95" customHeight="1">
      <c r="A99" s="70">
        <f t="shared" si="17"/>
        <v>70</v>
      </c>
      <c r="B99" s="71" t="s">
        <v>1709</v>
      </c>
      <c r="C99" s="78" t="s">
        <v>157</v>
      </c>
      <c r="D99" s="88">
        <f>SUMIFS('PIS F'!$E$11:$E$344,'PIS F'!$C$11:$C$344,'SCH B-2.3 F'!$B99)</f>
        <v>66055781.698516302</v>
      </c>
      <c r="E99" s="88">
        <f>SUMIFS('PIS F'!$G$11:$G$344,'PIS F'!$C$11:$C$344,'SCH B-2.3 F'!$B99)</f>
        <v>2925456.70015998</v>
      </c>
      <c r="F99" s="88">
        <f>SUMIFS('PIS F'!$I$11:$I$344,'PIS F'!$C$11:$C$344,'SCH B-2.3 F'!$B99)</f>
        <v>0</v>
      </c>
      <c r="G99" s="88">
        <f>SUMIFS('PIS F'!$K$11:$K$344,'PIS F'!$C$11:$C$344,'SCH B-2.3 F'!$B99)</f>
        <v>0</v>
      </c>
      <c r="H99" s="88">
        <f t="shared" si="18"/>
        <v>68981238.398676276</v>
      </c>
      <c r="I99" s="88">
        <f>SUMIFS('PIS F'!$Q$11:$Q$344,'PIS F'!$C$11:$C$344,'SCH B-2.3 F'!$B99)</f>
        <v>67434523.196247071</v>
      </c>
    </row>
    <row r="100" spans="1:9" s="68" customFormat="1" ht="20.100000000000001" customHeight="1">
      <c r="A100" s="769" t="str">
        <f>$A$1</f>
        <v>KENTUCKY UTILITIES COMPANY</v>
      </c>
      <c r="B100" s="769"/>
      <c r="C100" s="769"/>
      <c r="D100" s="769"/>
      <c r="E100" s="769"/>
      <c r="F100" s="769"/>
      <c r="G100" s="769"/>
      <c r="H100" s="769"/>
      <c r="I100" s="769"/>
    </row>
    <row r="101" spans="1:9" s="68" customFormat="1" ht="20.100000000000001" customHeight="1">
      <c r="A101" s="769" t="str">
        <f>$A$2</f>
        <v>CASE NO. 2018-00294 - RESPONSE TO PSC 2-65 (SLIPPAGE FACTOR 96.027%)</v>
      </c>
      <c r="B101" s="769"/>
      <c r="C101" s="769"/>
      <c r="D101" s="769"/>
      <c r="E101" s="769"/>
      <c r="F101" s="769"/>
      <c r="G101" s="769"/>
      <c r="H101" s="769"/>
      <c r="I101" s="769"/>
    </row>
    <row r="102" spans="1:9" s="68" customFormat="1" ht="20.100000000000001" customHeight="1">
      <c r="A102" s="769" t="str">
        <f>$A$3</f>
        <v>GROSS ADDITIONS, RETIREMENTS, AND TRANSFERS</v>
      </c>
      <c r="B102" s="769"/>
      <c r="C102" s="769"/>
      <c r="D102" s="769"/>
      <c r="E102" s="769"/>
      <c r="F102" s="769"/>
      <c r="G102" s="769"/>
      <c r="H102" s="769"/>
      <c r="I102" s="769"/>
    </row>
    <row r="103" spans="1:9" s="68" customFormat="1" ht="20.100000000000001" customHeight="1">
      <c r="A103" s="768" t="str">
        <f>$A$4</f>
        <v>FROM MAY 1, 2019 TO APRIL 30, 2020</v>
      </c>
      <c r="B103" s="768"/>
      <c r="C103" s="768"/>
      <c r="D103" s="768"/>
      <c r="E103" s="768"/>
      <c r="F103" s="768"/>
      <c r="G103" s="768"/>
      <c r="H103" s="768"/>
      <c r="I103" s="768"/>
    </row>
    <row r="104" spans="1:9" s="68" customFormat="1" ht="20.100000000000001" customHeight="1">
      <c r="A104" s="84"/>
      <c r="B104" s="84"/>
      <c r="C104" s="84"/>
      <c r="D104" s="84"/>
      <c r="E104" s="84"/>
      <c r="F104" s="84"/>
      <c r="G104" s="84"/>
      <c r="H104" s="84"/>
      <c r="I104" s="84"/>
    </row>
    <row r="105" spans="1:9" s="68" customFormat="1" ht="20.100000000000001" customHeight="1">
      <c r="A105" s="67" t="str">
        <f>$A$6</f>
        <v>DATA:____BASE  PERIOD__X__FORECASTED  PERIOD</v>
      </c>
      <c r="B105" s="67"/>
      <c r="G105" s="74"/>
      <c r="H105" s="74"/>
      <c r="I105" s="75" t="str">
        <f>$I$6</f>
        <v>SCHEDULE B-2.3</v>
      </c>
    </row>
    <row r="106" spans="1:9" s="68" customFormat="1" ht="20.100000000000001" customHeight="1">
      <c r="A106" s="67" t="str">
        <f>$A$7</f>
        <v>TYPE OF FILING: __X__ ORIGINAL  _____ UPDATED  _____ REVISED</v>
      </c>
      <c r="G106" s="74"/>
      <c r="H106" s="74"/>
      <c r="I106" s="74" t="s">
        <v>170</v>
      </c>
    </row>
    <row r="107" spans="1:9" s="68" customFormat="1" ht="20.100000000000001" customHeight="1">
      <c r="A107" s="67" t="str">
        <f>$A$8</f>
        <v>WORKPAPER REFERENCE NO(S).:</v>
      </c>
      <c r="B107" s="67"/>
      <c r="F107" s="67"/>
      <c r="G107" s="75"/>
      <c r="H107" s="75"/>
      <c r="I107" s="75" t="str">
        <f>$I$8</f>
        <v>WITNESS:   C. M. GARRETT</v>
      </c>
    </row>
    <row r="108" spans="1:9" s="68" customFormat="1" ht="20.100000000000001" customHeight="1"/>
    <row r="109" spans="1:9" ht="65.099999999999994" customHeight="1">
      <c r="A109" s="76" t="s">
        <v>131</v>
      </c>
      <c r="B109" s="76" t="s">
        <v>134</v>
      </c>
      <c r="C109" s="79" t="s">
        <v>135</v>
      </c>
      <c r="D109" s="76" t="s">
        <v>162</v>
      </c>
      <c r="E109" s="76" t="s">
        <v>137</v>
      </c>
      <c r="F109" s="76" t="s">
        <v>138</v>
      </c>
      <c r="G109" s="76" t="s">
        <v>140</v>
      </c>
      <c r="H109" s="76" t="s">
        <v>163</v>
      </c>
      <c r="I109" s="76" t="s">
        <v>164</v>
      </c>
    </row>
    <row r="110" spans="1:9" ht="23.1" customHeight="1">
      <c r="A110" s="80"/>
      <c r="B110" s="80"/>
      <c r="C110" s="81"/>
      <c r="D110" s="82" t="s">
        <v>142</v>
      </c>
      <c r="E110" s="82" t="s">
        <v>142</v>
      </c>
      <c r="F110" s="82" t="s">
        <v>142</v>
      </c>
      <c r="G110" s="82" t="s">
        <v>142</v>
      </c>
      <c r="H110" s="82" t="s">
        <v>142</v>
      </c>
      <c r="I110" s="82" t="s">
        <v>142</v>
      </c>
    </row>
    <row r="111" spans="1:9" ht="18.95" customHeight="1">
      <c r="A111" s="70">
        <f>A99+1</f>
        <v>71</v>
      </c>
      <c r="B111" s="71" t="s">
        <v>1710</v>
      </c>
      <c r="C111" s="78" t="s">
        <v>1711</v>
      </c>
      <c r="D111" s="89">
        <f>SUMIFS('PIS F'!$E$11:$E$344,'PIS F'!$C$11:$C$344,'SCH B-2.3 F'!$B111)</f>
        <v>0</v>
      </c>
      <c r="E111" s="89">
        <f>SUMIFS('PIS F'!$G$11:$G$344,'PIS F'!$C$11:$C$344,'SCH B-2.3 F'!$B111)</f>
        <v>0</v>
      </c>
      <c r="F111" s="89">
        <f>SUMIFS('PIS F'!$I$11:$I$344,'PIS F'!$C$11:$C$344,'SCH B-2.3 F'!$B111)</f>
        <v>0</v>
      </c>
      <c r="G111" s="89">
        <f>SUMIFS('PIS F'!$K$11:$K$344,'PIS F'!$C$11:$C$344,'SCH B-2.3 F'!$B111)</f>
        <v>0</v>
      </c>
      <c r="H111" s="89">
        <f t="shared" si="18"/>
        <v>0</v>
      </c>
      <c r="I111" s="89">
        <f>SUMIFS('PIS F'!$Q$11:$Q$344,'PIS F'!$C$11:$C$344,'SCH B-2.3 F'!$B111)</f>
        <v>0</v>
      </c>
    </row>
    <row r="112" spans="1:9" ht="18.95" customHeight="1">
      <c r="A112" s="70">
        <f t="shared" si="17"/>
        <v>72</v>
      </c>
      <c r="B112" s="71"/>
      <c r="C112" s="78" t="s">
        <v>158</v>
      </c>
      <c r="D112" s="86">
        <f>SUM(D91:D99,D111)</f>
        <v>214054009.95481691</v>
      </c>
      <c r="E112" s="86">
        <f t="shared" ref="E112:I112" si="19">SUM(E91:E99,E111)</f>
        <v>28104727.567860961</v>
      </c>
      <c r="F112" s="86">
        <f t="shared" si="19"/>
        <v>-8293375.1999999974</v>
      </c>
      <c r="G112" s="86">
        <f t="shared" si="19"/>
        <v>0</v>
      </c>
      <c r="H112" s="86">
        <f t="shared" si="19"/>
        <v>233865362.32267785</v>
      </c>
      <c r="I112" s="86">
        <f t="shared" si="19"/>
        <v>227252325.4267799</v>
      </c>
    </row>
    <row r="113" spans="1:9" ht="18.95" customHeight="1">
      <c r="A113" s="70"/>
      <c r="B113" s="71"/>
    </row>
    <row r="114" spans="1:9" ht="18.95" customHeight="1" thickBot="1">
      <c r="A114" s="70">
        <f>A112+1</f>
        <v>73</v>
      </c>
      <c r="B114" s="71"/>
      <c r="C114" s="68" t="s">
        <v>159</v>
      </c>
      <c r="D114" s="94">
        <f t="shared" ref="D114:I114" si="20">SUM(D16,D27,D38,D49,D72,D88,D112)</f>
        <v>9721458520.9443111</v>
      </c>
      <c r="E114" s="94">
        <f t="shared" si="20"/>
        <v>685920457.96970618</v>
      </c>
      <c r="F114" s="94">
        <f t="shared" si="20"/>
        <v>-144161512.16999999</v>
      </c>
      <c r="G114" s="94">
        <f t="shared" si="20"/>
        <v>0</v>
      </c>
      <c r="H114" s="94">
        <f t="shared" si="20"/>
        <v>10263217466.744019</v>
      </c>
      <c r="I114" s="94">
        <f t="shared" si="20"/>
        <v>10060481774.420282</v>
      </c>
    </row>
    <row r="115" spans="1:9" ht="18.95" customHeight="1" thickTop="1">
      <c r="B115" s="71"/>
    </row>
    <row r="116" spans="1:9" ht="18.95" customHeight="1">
      <c r="B116" s="71"/>
      <c r="C116" s="74" t="s">
        <v>2180</v>
      </c>
      <c r="D116" s="86">
        <f>'PIS F'!E115+'PIS F'!E248+'PIS F'!E314</f>
        <v>9721458520.944313</v>
      </c>
      <c r="H116" s="86">
        <f>'PIS F'!O115+'PIS F'!O248+'PIS F'!O314</f>
        <v>10263217466.744019</v>
      </c>
      <c r="I116" s="86">
        <f>'PIS F'!Q115+'PIS F'!Q248+'PIS F'!Q314</f>
        <v>10060481774.420282</v>
      </c>
    </row>
    <row r="117" spans="1:9" ht="18.95" customHeight="1">
      <c r="B117" s="71"/>
      <c r="C117" s="78"/>
      <c r="D117" s="86">
        <f>D114-D116</f>
        <v>0</v>
      </c>
      <c r="H117" s="86">
        <f t="shared" ref="H117:I117" si="21">H114-H116</f>
        <v>0</v>
      </c>
      <c r="I117" s="86">
        <f t="shared" si="21"/>
        <v>0</v>
      </c>
    </row>
    <row r="118" spans="1:9" ht="18.95" customHeight="1">
      <c r="B118" s="71"/>
    </row>
    <row r="119" spans="1:9" ht="18.95" customHeight="1">
      <c r="B119" s="71"/>
    </row>
    <row r="120" spans="1:9" ht="18.95" customHeight="1">
      <c r="D120" s="69" t="s">
        <v>160</v>
      </c>
    </row>
    <row r="121" spans="1:9" ht="18.95" customHeight="1"/>
    <row r="122" spans="1:9" ht="18.95" customHeight="1"/>
    <row r="123" spans="1:9" ht="18.95" customHeight="1"/>
    <row r="124" spans="1:9" ht="18.95" customHeight="1"/>
    <row r="125" spans="1:9" ht="18.95" customHeight="1"/>
    <row r="126" spans="1:9" ht="18.95" customHeight="1"/>
    <row r="127" spans="1:9" ht="18.95" customHeight="1"/>
    <row r="128" spans="1:9" ht="18.95" customHeight="1"/>
    <row r="129" ht="18.95" customHeight="1"/>
    <row r="130" ht="18.95" customHeight="1"/>
    <row r="131" ht="18.95" customHeight="1"/>
    <row r="132" ht="18.95" customHeight="1"/>
  </sheetData>
  <mergeCells count="12">
    <mergeCell ref="A101:I101"/>
    <mergeCell ref="A102:I102"/>
    <mergeCell ref="A103:I103"/>
    <mergeCell ref="A1:I1"/>
    <mergeCell ref="A2:I2"/>
    <mergeCell ref="A3:I3"/>
    <mergeCell ref="A4:I4"/>
    <mergeCell ref="A51:I51"/>
    <mergeCell ref="A52:I52"/>
    <mergeCell ref="A53:I53"/>
    <mergeCell ref="A54:I54"/>
    <mergeCell ref="A100:I100"/>
  </mergeCells>
  <pageMargins left="0.95" right="0.5" top="0.75" bottom="0.75" header="0.3" footer="0.3"/>
  <pageSetup scale="65" fitToHeight="0" orientation="portrait" r:id="rId1"/>
  <rowBreaks count="2" manualBreakCount="2">
    <brk id="50" max="16383" man="1"/>
    <brk id="99"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40"/>
  <sheetViews>
    <sheetView zoomScaleNormal="100" workbookViewId="0">
      <selection sqref="A1:I1"/>
    </sheetView>
  </sheetViews>
  <sheetFormatPr defaultColWidth="9" defaultRowHeight="12.75"/>
  <cols>
    <col min="1" max="1" width="6" style="69" customWidth="1"/>
    <col min="2" max="2" width="7.6640625" style="69" customWidth="1"/>
    <col min="3" max="3" width="31.33203125" style="69" customWidth="1"/>
    <col min="4" max="4" width="12.6640625" style="69" customWidth="1"/>
    <col min="5" max="5" width="9.44140625" style="69" customWidth="1"/>
    <col min="6" max="6" width="13.6640625" style="69" customWidth="1"/>
    <col min="7" max="7" width="16.77734375" style="69" customWidth="1"/>
    <col min="8" max="8" width="13.6640625" style="69" customWidth="1"/>
    <col min="9" max="9" width="13.77734375" style="69" customWidth="1"/>
    <col min="10" max="10" width="1.6640625" style="69" customWidth="1"/>
    <col min="11" max="16384" width="9" style="69"/>
  </cols>
  <sheetData>
    <row r="1" spans="1:9" s="68" customFormat="1" ht="20.100000000000001" customHeight="1">
      <c r="A1" s="769" t="str">
        <f>'Rate Case Constants'!C9</f>
        <v>KENTUCKY UTILITIES COMPANY</v>
      </c>
      <c r="B1" s="769"/>
      <c r="C1" s="769"/>
      <c r="D1" s="769"/>
      <c r="E1" s="769"/>
      <c r="F1" s="769"/>
      <c r="G1" s="769"/>
      <c r="H1" s="769"/>
      <c r="I1" s="769"/>
    </row>
    <row r="2" spans="1:9" s="68" customFormat="1" ht="20.100000000000001" customHeight="1">
      <c r="A2" s="769" t="str">
        <f>'Rate Case Constants'!C10</f>
        <v>CASE NO. 2018-00294 - RESPONSE TO PSC 2-65 (SLIPPAGE FACTOR 96.027%)</v>
      </c>
      <c r="B2" s="769"/>
      <c r="C2" s="769"/>
      <c r="D2" s="769"/>
      <c r="E2" s="769"/>
      <c r="F2" s="769"/>
      <c r="G2" s="769"/>
      <c r="H2" s="769"/>
      <c r="I2" s="769"/>
    </row>
    <row r="3" spans="1:9" s="68" customFormat="1" ht="20.100000000000001" customHeight="1">
      <c r="A3" s="769" t="s">
        <v>179</v>
      </c>
      <c r="B3" s="769"/>
      <c r="C3" s="769"/>
      <c r="D3" s="769"/>
      <c r="E3" s="769"/>
      <c r="F3" s="769"/>
      <c r="G3" s="769"/>
      <c r="H3" s="769"/>
      <c r="I3" s="769"/>
    </row>
    <row r="4" spans="1:9" s="68" customFormat="1" ht="20.100000000000001" customHeight="1">
      <c r="A4" s="769" t="str">
        <f>'Rate Case Constants'!C12</f>
        <v>AS OF DECEMBER 31, 2018</v>
      </c>
      <c r="B4" s="769"/>
      <c r="C4" s="769"/>
      <c r="D4" s="769"/>
      <c r="E4" s="769"/>
      <c r="F4" s="769"/>
      <c r="G4" s="769"/>
      <c r="H4" s="769"/>
      <c r="I4" s="769"/>
    </row>
    <row r="5" spans="1:9" s="68" customFormat="1" ht="20.100000000000001" customHeight="1">
      <c r="A5" s="84"/>
      <c r="B5" s="84"/>
      <c r="C5" s="84"/>
      <c r="D5" s="84"/>
      <c r="E5" s="84"/>
      <c r="F5" s="84"/>
      <c r="G5" s="84"/>
      <c r="H5" s="84"/>
      <c r="I5" s="84"/>
    </row>
    <row r="6" spans="1:9" s="68" customFormat="1" ht="20.100000000000001" customHeight="1">
      <c r="A6" s="67" t="s">
        <v>133</v>
      </c>
      <c r="B6" s="67"/>
      <c r="G6" s="74"/>
      <c r="H6" s="74"/>
      <c r="I6" s="74" t="s">
        <v>175</v>
      </c>
    </row>
    <row r="7" spans="1:9" s="68" customFormat="1" ht="20.100000000000001" customHeight="1">
      <c r="A7" s="68" t="str">
        <f>'Rate Case Constants'!C29</f>
        <v>TYPE OF FILING: __X__ ORIGINAL  _____ UPDATED  _____ REVISED</v>
      </c>
      <c r="G7" s="74"/>
      <c r="H7" s="74"/>
      <c r="I7" s="74" t="s">
        <v>177</v>
      </c>
    </row>
    <row r="8" spans="1:9" s="68" customFormat="1" ht="20.100000000000001" customHeight="1">
      <c r="A8" s="67" t="s">
        <v>1198</v>
      </c>
      <c r="B8" s="67"/>
      <c r="F8" s="67"/>
      <c r="G8" s="75"/>
      <c r="H8" s="75"/>
      <c r="I8" s="75" t="str">
        <f>'Rate Case Constants'!C36</f>
        <v>WITNESS:   C. M. GARRETT</v>
      </c>
    </row>
    <row r="9" spans="1:9" s="68" customFormat="1" ht="20.100000000000001" customHeight="1"/>
    <row r="10" spans="1:9" ht="58.5" customHeight="1">
      <c r="A10" s="76" t="s">
        <v>131</v>
      </c>
      <c r="B10" s="76" t="s">
        <v>134</v>
      </c>
      <c r="C10" s="79" t="s">
        <v>178</v>
      </c>
      <c r="D10" s="76" t="s">
        <v>1577</v>
      </c>
      <c r="E10" s="76" t="s">
        <v>180</v>
      </c>
      <c r="F10" s="76" t="s">
        <v>181</v>
      </c>
      <c r="G10" s="76" t="s">
        <v>182</v>
      </c>
      <c r="H10" s="76" t="s">
        <v>183</v>
      </c>
      <c r="I10" s="76" t="s">
        <v>184</v>
      </c>
    </row>
    <row r="11" spans="1:9" ht="23.1" customHeight="1">
      <c r="A11" s="80"/>
      <c r="B11" s="80"/>
      <c r="C11" s="81"/>
      <c r="D11" s="82"/>
      <c r="E11" s="82"/>
      <c r="F11" s="82"/>
      <c r="G11" s="82"/>
      <c r="H11" s="82"/>
      <c r="I11" s="82"/>
    </row>
    <row r="12" spans="1:9" ht="18.95" customHeight="1">
      <c r="A12" s="770" t="s">
        <v>1582</v>
      </c>
      <c r="B12" s="770"/>
      <c r="C12" s="770"/>
      <c r="D12" s="770"/>
      <c r="E12" s="770"/>
      <c r="F12" s="770"/>
      <c r="G12" s="770"/>
      <c r="H12" s="770"/>
      <c r="I12" s="770"/>
    </row>
    <row r="13" spans="1:9" ht="18.95" customHeight="1">
      <c r="B13" s="71"/>
      <c r="D13" s="86"/>
    </row>
    <row r="14" spans="1:9" s="68" customFormat="1" ht="20.100000000000001" customHeight="1">
      <c r="A14" s="769" t="str">
        <f>$A$1</f>
        <v>KENTUCKY UTILITIES COMPANY</v>
      </c>
      <c r="B14" s="769"/>
      <c r="C14" s="769"/>
      <c r="D14" s="769"/>
      <c r="E14" s="769"/>
      <c r="F14" s="769"/>
      <c r="G14" s="769"/>
      <c r="H14" s="769"/>
      <c r="I14" s="769"/>
    </row>
    <row r="15" spans="1:9" s="68" customFormat="1" ht="20.100000000000001" customHeight="1">
      <c r="A15" s="769" t="str">
        <f>$A$2</f>
        <v>CASE NO. 2018-00294 - RESPONSE TO PSC 2-65 (SLIPPAGE FACTOR 96.027%)</v>
      </c>
      <c r="B15" s="769"/>
      <c r="C15" s="769"/>
      <c r="D15" s="769"/>
      <c r="E15" s="769"/>
      <c r="F15" s="769"/>
      <c r="G15" s="769"/>
      <c r="H15" s="769"/>
      <c r="I15" s="769"/>
    </row>
    <row r="16" spans="1:9" s="68" customFormat="1" ht="20.100000000000001" customHeight="1">
      <c r="A16" s="769" t="str">
        <f>$A$3</f>
        <v>PROPERTY MERGED OR ACQUIRED</v>
      </c>
      <c r="B16" s="769"/>
      <c r="C16" s="769"/>
      <c r="D16" s="769"/>
      <c r="E16" s="769"/>
      <c r="F16" s="769"/>
      <c r="G16" s="769"/>
      <c r="H16" s="769"/>
      <c r="I16" s="769"/>
    </row>
    <row r="17" spans="1:9" s="68" customFormat="1" ht="20.100000000000001" customHeight="1">
      <c r="A17" s="769" t="str">
        <f>'Rate Case Constants'!C18</f>
        <v>AS OF APRIL 30, 2020</v>
      </c>
      <c r="B17" s="769"/>
      <c r="C17" s="769"/>
      <c r="D17" s="769"/>
      <c r="E17" s="769"/>
      <c r="F17" s="769"/>
      <c r="G17" s="769"/>
      <c r="H17" s="769"/>
      <c r="I17" s="769"/>
    </row>
    <row r="18" spans="1:9" s="68" customFormat="1" ht="20.100000000000001" customHeight="1">
      <c r="A18" s="84"/>
      <c r="B18" s="84"/>
      <c r="C18" s="84"/>
      <c r="D18" s="84"/>
      <c r="E18" s="84"/>
      <c r="F18" s="84"/>
      <c r="G18" s="84"/>
      <c r="H18" s="84"/>
      <c r="I18" s="84"/>
    </row>
    <row r="19" spans="1:9" s="68" customFormat="1" ht="20.100000000000001" customHeight="1">
      <c r="A19" s="67" t="s">
        <v>161</v>
      </c>
      <c r="B19" s="67"/>
      <c r="G19" s="74"/>
      <c r="H19" s="74"/>
      <c r="I19" s="74" t="s">
        <v>175</v>
      </c>
    </row>
    <row r="20" spans="1:9" s="68" customFormat="1" ht="20.100000000000001" customHeight="1">
      <c r="A20" s="67" t="str">
        <f>$A$7</f>
        <v>TYPE OF FILING: __X__ ORIGINAL  _____ UPDATED  _____ REVISED</v>
      </c>
      <c r="G20" s="74"/>
      <c r="H20" s="74"/>
      <c r="I20" s="74" t="s">
        <v>185</v>
      </c>
    </row>
    <row r="21" spans="1:9" s="68" customFormat="1" ht="20.100000000000001" customHeight="1">
      <c r="A21" s="67" t="str">
        <f>$A$8</f>
        <v>WORKPAPER REFERENCE NO(S).:</v>
      </c>
      <c r="B21" s="67"/>
      <c r="F21" s="67"/>
      <c r="G21" s="75"/>
      <c r="H21" s="75"/>
      <c r="I21" s="75" t="str">
        <f>$I$8</f>
        <v>WITNESS:   C. M. GARRETT</v>
      </c>
    </row>
    <row r="22" spans="1:9" s="68" customFormat="1" ht="20.100000000000001" customHeight="1"/>
    <row r="23" spans="1:9" ht="58.5" customHeight="1">
      <c r="A23" s="76" t="s">
        <v>131</v>
      </c>
      <c r="B23" s="76" t="s">
        <v>134</v>
      </c>
      <c r="C23" s="79" t="s">
        <v>178</v>
      </c>
      <c r="D23" s="76" t="s">
        <v>1577</v>
      </c>
      <c r="E23" s="76" t="s">
        <v>180</v>
      </c>
      <c r="F23" s="76" t="s">
        <v>181</v>
      </c>
      <c r="G23" s="76" t="s">
        <v>182</v>
      </c>
      <c r="H23" s="76" t="s">
        <v>183</v>
      </c>
      <c r="I23" s="76" t="s">
        <v>184</v>
      </c>
    </row>
    <row r="24" spans="1:9" ht="23.1" customHeight="1">
      <c r="A24" s="80"/>
      <c r="B24" s="80"/>
      <c r="C24" s="81"/>
      <c r="D24" s="82"/>
      <c r="E24" s="82"/>
      <c r="F24" s="82"/>
      <c r="G24" s="82"/>
      <c r="H24" s="82"/>
      <c r="I24" s="82"/>
    </row>
    <row r="25" spans="1:9" ht="18.95" customHeight="1">
      <c r="A25" s="770" t="s">
        <v>1582</v>
      </c>
      <c r="B25" s="770"/>
      <c r="C25" s="770"/>
      <c r="D25" s="770"/>
      <c r="E25" s="770"/>
      <c r="F25" s="770"/>
      <c r="G25" s="770"/>
      <c r="H25" s="770"/>
      <c r="I25" s="770"/>
    </row>
    <row r="26" spans="1:9" ht="18.95" customHeight="1">
      <c r="B26" s="71"/>
    </row>
    <row r="27" spans="1:9" ht="18.95" customHeight="1">
      <c r="B27" s="71"/>
    </row>
    <row r="28" spans="1:9" ht="18.95" customHeight="1">
      <c r="D28" s="69" t="s">
        <v>160</v>
      </c>
    </row>
    <row r="29" spans="1:9" ht="18.95" customHeight="1"/>
    <row r="30" spans="1:9" ht="18.95" customHeight="1"/>
    <row r="31" spans="1:9" ht="18.95" customHeight="1"/>
    <row r="32" spans="1:9" ht="18.95" customHeight="1"/>
    <row r="33" ht="18.95" customHeight="1"/>
    <row r="34" ht="18.95" customHeight="1"/>
    <row r="35" ht="18.95" customHeight="1"/>
    <row r="36" ht="18.95" customHeight="1"/>
    <row r="37" ht="18.95" customHeight="1"/>
    <row r="38" ht="18.95" customHeight="1"/>
    <row r="39" ht="18.95" customHeight="1"/>
    <row r="40" ht="18.95" customHeight="1"/>
  </sheetData>
  <mergeCells count="10">
    <mergeCell ref="A25:I25"/>
    <mergeCell ref="A14:I14"/>
    <mergeCell ref="A15:I15"/>
    <mergeCell ref="A16:I16"/>
    <mergeCell ref="A17:I17"/>
    <mergeCell ref="A1:I1"/>
    <mergeCell ref="A2:I2"/>
    <mergeCell ref="A3:I3"/>
    <mergeCell ref="A4:I4"/>
    <mergeCell ref="A12:I12"/>
  </mergeCells>
  <pageMargins left="0.95" right="0.5" top="0.75" bottom="0.75" header="0.3" footer="0.3"/>
  <pageSetup scale="72" fitToHeight="0" orientation="portrait" r:id="rId1"/>
  <rowBreaks count="1" manualBreakCount="1">
    <brk id="1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40"/>
  <sheetViews>
    <sheetView zoomScaleNormal="100" workbookViewId="0">
      <selection sqref="A1:H1"/>
    </sheetView>
  </sheetViews>
  <sheetFormatPr defaultColWidth="9" defaultRowHeight="12.75"/>
  <cols>
    <col min="1" max="1" width="6" style="69" customWidth="1"/>
    <col min="2" max="2" width="16.77734375" style="69" customWidth="1"/>
    <col min="3" max="3" width="27.77734375" style="69" customWidth="1"/>
    <col min="4" max="4" width="14.21875" style="69" customWidth="1"/>
    <col min="5" max="5" width="13.109375" style="69" customWidth="1"/>
    <col min="6" max="6" width="13.6640625" style="69" customWidth="1"/>
    <col min="7" max="7" width="15.33203125" style="69" customWidth="1"/>
    <col min="8" max="8" width="22.6640625" style="69" customWidth="1"/>
    <col min="9" max="9" width="1.6640625" style="69" customWidth="1"/>
    <col min="10" max="16384" width="9" style="69"/>
  </cols>
  <sheetData>
    <row r="1" spans="1:8" s="68" customFormat="1" ht="20.100000000000001" customHeight="1">
      <c r="A1" s="769" t="str">
        <f>'Rate Case Constants'!C9</f>
        <v>KENTUCKY UTILITIES COMPANY</v>
      </c>
      <c r="B1" s="769"/>
      <c r="C1" s="769"/>
      <c r="D1" s="769"/>
      <c r="E1" s="769"/>
      <c r="F1" s="769"/>
      <c r="G1" s="769"/>
      <c r="H1" s="769"/>
    </row>
    <row r="2" spans="1:8" s="68" customFormat="1" ht="20.100000000000001" customHeight="1">
      <c r="A2" s="769" t="str">
        <f>'Rate Case Constants'!C10</f>
        <v>CASE NO. 2018-00294 - RESPONSE TO PSC 2-65 (SLIPPAGE FACTOR 96.027%)</v>
      </c>
      <c r="B2" s="769"/>
      <c r="C2" s="769"/>
      <c r="D2" s="769"/>
      <c r="E2" s="769"/>
      <c r="F2" s="769"/>
      <c r="G2" s="769"/>
      <c r="H2" s="769"/>
    </row>
    <row r="3" spans="1:8" s="68" customFormat="1" ht="20.100000000000001" customHeight="1">
      <c r="A3" s="769" t="s">
        <v>186</v>
      </c>
      <c r="B3" s="769"/>
      <c r="C3" s="769"/>
      <c r="D3" s="769"/>
      <c r="E3" s="769"/>
      <c r="F3" s="769"/>
      <c r="G3" s="769"/>
      <c r="H3" s="769"/>
    </row>
    <row r="4" spans="1:8" s="68" customFormat="1" ht="20.100000000000001" customHeight="1">
      <c r="A4" s="769" t="str">
        <f>'Rate Case Constants'!C12</f>
        <v>AS OF DECEMBER 31, 2018</v>
      </c>
      <c r="B4" s="769"/>
      <c r="C4" s="769"/>
      <c r="D4" s="769"/>
      <c r="E4" s="769"/>
      <c r="F4" s="769"/>
      <c r="G4" s="769"/>
      <c r="H4" s="769"/>
    </row>
    <row r="5" spans="1:8" s="68" customFormat="1" ht="20.100000000000001" customHeight="1">
      <c r="A5" s="84"/>
      <c r="B5" s="84"/>
      <c r="C5" s="84"/>
      <c r="D5" s="84"/>
      <c r="E5" s="84"/>
      <c r="F5" s="84"/>
      <c r="G5" s="84"/>
      <c r="H5" s="84"/>
    </row>
    <row r="6" spans="1:8" s="68" customFormat="1" ht="20.100000000000001" customHeight="1">
      <c r="A6" s="67" t="s">
        <v>133</v>
      </c>
      <c r="B6" s="67"/>
      <c r="G6" s="74"/>
      <c r="H6" s="74" t="s">
        <v>187</v>
      </c>
    </row>
    <row r="7" spans="1:8" s="68" customFormat="1" ht="20.100000000000001" customHeight="1">
      <c r="A7" s="68" t="str">
        <f>'Rate Case Constants'!C29</f>
        <v>TYPE OF FILING: __X__ ORIGINAL  _____ UPDATED  _____ REVISED</v>
      </c>
      <c r="G7" s="74"/>
      <c r="H7" s="74" t="s">
        <v>177</v>
      </c>
    </row>
    <row r="8" spans="1:8" s="68" customFormat="1" ht="20.100000000000001" customHeight="1">
      <c r="A8" s="67" t="s">
        <v>1198</v>
      </c>
      <c r="B8" s="67"/>
      <c r="F8" s="67"/>
      <c r="G8" s="75"/>
      <c r="H8" s="75" t="str">
        <f>'Rate Case Constants'!C36</f>
        <v>WITNESS:   C. M. GARRETT</v>
      </c>
    </row>
    <row r="9" spans="1:8" s="68" customFormat="1" ht="20.100000000000001" customHeight="1"/>
    <row r="10" spans="1:8" ht="58.5" customHeight="1">
      <c r="A10" s="76" t="s">
        <v>131</v>
      </c>
      <c r="B10" s="76" t="s">
        <v>188</v>
      </c>
      <c r="C10" s="79" t="s">
        <v>189</v>
      </c>
      <c r="D10" s="76" t="s">
        <v>190</v>
      </c>
      <c r="E10" s="76" t="s">
        <v>191</v>
      </c>
      <c r="F10" s="76" t="s">
        <v>192</v>
      </c>
      <c r="G10" s="76" t="s">
        <v>193</v>
      </c>
      <c r="H10" s="76" t="s">
        <v>194</v>
      </c>
    </row>
    <row r="11" spans="1:8" ht="23.1" customHeight="1">
      <c r="A11" s="80"/>
      <c r="B11" s="80"/>
      <c r="C11" s="81"/>
      <c r="D11" s="82"/>
      <c r="E11" s="82"/>
      <c r="F11" s="82"/>
      <c r="G11" s="82"/>
      <c r="H11" s="82"/>
    </row>
    <row r="12" spans="1:8" ht="18.95" customHeight="1">
      <c r="A12" s="769" t="s">
        <v>1581</v>
      </c>
      <c r="B12" s="769"/>
      <c r="C12" s="769"/>
      <c r="D12" s="769"/>
      <c r="E12" s="769"/>
      <c r="F12" s="769"/>
      <c r="G12" s="769"/>
      <c r="H12" s="769"/>
    </row>
    <row r="13" spans="1:8" ht="18.95" customHeight="1">
      <c r="B13" s="71"/>
      <c r="D13" s="86"/>
    </row>
    <row r="14" spans="1:8" s="68" customFormat="1" ht="20.100000000000001" customHeight="1">
      <c r="A14" s="769" t="str">
        <f>$A$1</f>
        <v>KENTUCKY UTILITIES COMPANY</v>
      </c>
      <c r="B14" s="769"/>
      <c r="C14" s="769"/>
      <c r="D14" s="769"/>
      <c r="E14" s="769"/>
      <c r="F14" s="769"/>
      <c r="G14" s="769"/>
      <c r="H14" s="769"/>
    </row>
    <row r="15" spans="1:8" s="68" customFormat="1" ht="20.100000000000001" customHeight="1">
      <c r="A15" s="769" t="str">
        <f>$A$2</f>
        <v>CASE NO. 2018-00294 - RESPONSE TO PSC 2-65 (SLIPPAGE FACTOR 96.027%)</v>
      </c>
      <c r="B15" s="769"/>
      <c r="C15" s="769"/>
      <c r="D15" s="769"/>
      <c r="E15" s="769"/>
      <c r="F15" s="769"/>
      <c r="G15" s="769"/>
      <c r="H15" s="769"/>
    </row>
    <row r="16" spans="1:8" s="68" customFormat="1" ht="20.100000000000001" customHeight="1">
      <c r="A16" s="769" t="str">
        <f>$A$3</f>
        <v>LEASED PROPERTY</v>
      </c>
      <c r="B16" s="769"/>
      <c r="C16" s="769"/>
      <c r="D16" s="769"/>
      <c r="E16" s="769"/>
      <c r="F16" s="769"/>
      <c r="G16" s="769"/>
      <c r="H16" s="769"/>
    </row>
    <row r="17" spans="1:8" s="68" customFormat="1" ht="20.100000000000001" customHeight="1">
      <c r="A17" s="769" t="str">
        <f>'Rate Case Constants'!C18</f>
        <v>AS OF APRIL 30, 2020</v>
      </c>
      <c r="B17" s="769"/>
      <c r="C17" s="769"/>
      <c r="D17" s="769"/>
      <c r="E17" s="769"/>
      <c r="F17" s="769"/>
      <c r="G17" s="769"/>
      <c r="H17" s="769"/>
    </row>
    <row r="18" spans="1:8" s="68" customFormat="1" ht="20.100000000000001" customHeight="1">
      <c r="A18" s="84"/>
      <c r="B18" s="84"/>
      <c r="C18" s="84"/>
      <c r="D18" s="84"/>
      <c r="E18" s="84"/>
      <c r="F18" s="84"/>
      <c r="G18" s="84"/>
      <c r="H18" s="84"/>
    </row>
    <row r="19" spans="1:8" s="68" customFormat="1" ht="20.100000000000001" customHeight="1">
      <c r="A19" s="67" t="s">
        <v>161</v>
      </c>
      <c r="B19" s="67"/>
      <c r="G19" s="74"/>
      <c r="H19" s="74" t="s">
        <v>187</v>
      </c>
    </row>
    <row r="20" spans="1:8" s="68" customFormat="1" ht="20.100000000000001" customHeight="1">
      <c r="A20" s="67" t="str">
        <f>$A$7</f>
        <v>TYPE OF FILING: __X__ ORIGINAL  _____ UPDATED  _____ REVISED</v>
      </c>
      <c r="G20" s="74"/>
      <c r="H20" s="74" t="s">
        <v>185</v>
      </c>
    </row>
    <row r="21" spans="1:8" s="68" customFormat="1" ht="20.100000000000001" customHeight="1">
      <c r="A21" s="67" t="str">
        <f>$A$8</f>
        <v>WORKPAPER REFERENCE NO(S).:</v>
      </c>
      <c r="B21" s="67"/>
      <c r="F21" s="67"/>
      <c r="G21" s="75"/>
      <c r="H21" s="75" t="str">
        <f>$H$8</f>
        <v>WITNESS:   C. M. GARRETT</v>
      </c>
    </row>
    <row r="22" spans="1:8" s="68" customFormat="1" ht="20.100000000000001" customHeight="1"/>
    <row r="23" spans="1:8" ht="58.5" customHeight="1">
      <c r="A23" s="76" t="s">
        <v>131</v>
      </c>
      <c r="B23" s="76" t="s">
        <v>188</v>
      </c>
      <c r="C23" s="79" t="s">
        <v>189</v>
      </c>
      <c r="D23" s="76" t="s">
        <v>190</v>
      </c>
      <c r="E23" s="76" t="s">
        <v>191</v>
      </c>
      <c r="F23" s="76" t="s">
        <v>192</v>
      </c>
      <c r="G23" s="76" t="s">
        <v>193</v>
      </c>
      <c r="H23" s="76" t="s">
        <v>194</v>
      </c>
    </row>
    <row r="24" spans="1:8" ht="23.1" customHeight="1">
      <c r="A24" s="80"/>
      <c r="B24" s="80"/>
      <c r="C24" s="81"/>
      <c r="D24" s="82"/>
      <c r="E24" s="82"/>
      <c r="F24" s="82"/>
      <c r="G24" s="82"/>
      <c r="H24" s="82"/>
    </row>
    <row r="25" spans="1:8" ht="18.95" customHeight="1">
      <c r="A25" s="769" t="s">
        <v>1581</v>
      </c>
      <c r="B25" s="769"/>
      <c r="C25" s="769"/>
      <c r="D25" s="769"/>
      <c r="E25" s="769"/>
      <c r="F25" s="769"/>
      <c r="G25" s="769"/>
      <c r="H25" s="769"/>
    </row>
    <row r="26" spans="1:8" ht="18.95" customHeight="1">
      <c r="B26" s="71"/>
    </row>
    <row r="27" spans="1:8" ht="18.95" customHeight="1">
      <c r="B27" s="71"/>
    </row>
    <row r="28" spans="1:8" ht="18.95" customHeight="1">
      <c r="D28" s="69" t="s">
        <v>160</v>
      </c>
    </row>
    <row r="29" spans="1:8" ht="18.95" customHeight="1"/>
    <row r="30" spans="1:8" ht="18.95" customHeight="1"/>
    <row r="31" spans="1:8" ht="18.95" customHeight="1"/>
    <row r="32" spans="1:8" ht="18.95" customHeight="1"/>
    <row r="33" ht="18.95" customHeight="1"/>
    <row r="34" ht="18.95" customHeight="1"/>
    <row r="35" ht="18.95" customHeight="1"/>
    <row r="36" ht="18.95" customHeight="1"/>
    <row r="37" ht="18.95" customHeight="1"/>
    <row r="38" ht="18.95" customHeight="1"/>
    <row r="39" ht="18.95" customHeight="1"/>
    <row r="40" ht="18.95" customHeight="1"/>
  </sheetData>
  <mergeCells count="10">
    <mergeCell ref="A25:H25"/>
    <mergeCell ref="A16:H16"/>
    <mergeCell ref="A17:H17"/>
    <mergeCell ref="A1:H1"/>
    <mergeCell ref="A2:H2"/>
    <mergeCell ref="A3:H3"/>
    <mergeCell ref="A4:H4"/>
    <mergeCell ref="A14:H14"/>
    <mergeCell ref="A15:H15"/>
    <mergeCell ref="A12:H12"/>
  </mergeCells>
  <pageMargins left="0.95" right="0.5" top="0.75" bottom="0.75" header="0.3" footer="0.3"/>
  <pageSetup scale="69" fitToHeight="0" orientation="portrait" r:id="rId1"/>
  <rowBreaks count="1" manualBreakCount="1">
    <brk id="1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56"/>
  <sheetViews>
    <sheetView zoomScaleNormal="100" workbookViewId="0">
      <selection sqref="A1:N1"/>
    </sheetView>
  </sheetViews>
  <sheetFormatPr defaultColWidth="9" defaultRowHeight="12.75"/>
  <cols>
    <col min="1" max="1" width="6" style="69" customWidth="1"/>
    <col min="2" max="2" width="35.77734375" style="69" customWidth="1"/>
    <col min="3" max="3" width="12.33203125" style="69" customWidth="1"/>
    <col min="4" max="4" width="13.77734375" style="69" customWidth="1"/>
    <col min="5" max="5" width="15.77734375" style="69" customWidth="1"/>
    <col min="6" max="6" width="11.109375" style="69" customWidth="1"/>
    <col min="7" max="7" width="12.77734375" style="69" customWidth="1"/>
    <col min="8" max="8" width="11.6640625" style="69" customWidth="1"/>
    <col min="9" max="9" width="7.77734375" style="69" customWidth="1"/>
    <col min="10" max="10" width="15.77734375" style="69" customWidth="1"/>
    <col min="11" max="11" width="2.21875" style="69" customWidth="1"/>
    <col min="12" max="12" width="11.6640625" style="69" customWidth="1"/>
    <col min="13" max="13" width="7.77734375" style="69" customWidth="1"/>
    <col min="14" max="14" width="15.77734375" style="69" customWidth="1"/>
    <col min="15" max="15" width="1.6640625" style="69" customWidth="1"/>
    <col min="16" max="16384" width="9" style="69"/>
  </cols>
  <sheetData>
    <row r="1" spans="1:14" s="68" customFormat="1" ht="20.100000000000001" customHeight="1">
      <c r="A1" s="769" t="str">
        <f>'Rate Case Constants'!C9</f>
        <v>KENTUCKY UTILITIES COMPANY</v>
      </c>
      <c r="B1" s="769"/>
      <c r="C1" s="769"/>
      <c r="D1" s="769"/>
      <c r="E1" s="769"/>
      <c r="F1" s="769"/>
      <c r="G1" s="769"/>
      <c r="H1" s="769"/>
      <c r="I1" s="769"/>
      <c r="J1" s="769"/>
      <c r="K1" s="769"/>
      <c r="L1" s="769"/>
      <c r="M1" s="769"/>
      <c r="N1" s="769"/>
    </row>
    <row r="2" spans="1:14" s="68" customFormat="1" ht="20.100000000000001" customHeight="1">
      <c r="A2" s="769" t="str">
        <f>'Rate Case Constants'!C10</f>
        <v>CASE NO. 2018-00294 - RESPONSE TO PSC 2-65 (SLIPPAGE FACTOR 96.027%)</v>
      </c>
      <c r="B2" s="769"/>
      <c r="C2" s="769"/>
      <c r="D2" s="769"/>
      <c r="E2" s="769"/>
      <c r="F2" s="769"/>
      <c r="G2" s="769"/>
      <c r="H2" s="769"/>
      <c r="I2" s="769"/>
      <c r="J2" s="769"/>
      <c r="K2" s="769"/>
      <c r="L2" s="769"/>
      <c r="M2" s="769"/>
      <c r="N2" s="769"/>
    </row>
    <row r="3" spans="1:14" s="68" customFormat="1" ht="20.100000000000001" customHeight="1">
      <c r="A3" s="769" t="s">
        <v>195</v>
      </c>
      <c r="B3" s="769"/>
      <c r="C3" s="769"/>
      <c r="D3" s="769"/>
      <c r="E3" s="769"/>
      <c r="F3" s="769"/>
      <c r="G3" s="769"/>
      <c r="H3" s="769"/>
      <c r="I3" s="769"/>
      <c r="J3" s="769"/>
      <c r="K3" s="769"/>
      <c r="L3" s="769"/>
      <c r="M3" s="769"/>
      <c r="N3" s="769"/>
    </row>
    <row r="4" spans="1:14" s="68" customFormat="1" ht="20.100000000000001" customHeight="1">
      <c r="A4" s="769" t="str">
        <f>'Rate Case Constants'!C12</f>
        <v>AS OF DECEMBER 31, 2018</v>
      </c>
      <c r="B4" s="769"/>
      <c r="C4" s="769"/>
      <c r="D4" s="769"/>
      <c r="E4" s="769"/>
      <c r="F4" s="769"/>
      <c r="G4" s="769"/>
      <c r="H4" s="769"/>
      <c r="I4" s="769"/>
      <c r="J4" s="769"/>
      <c r="K4" s="769"/>
      <c r="L4" s="769"/>
      <c r="M4" s="769"/>
      <c r="N4" s="769"/>
    </row>
    <row r="5" spans="1:14" s="68" customFormat="1" ht="20.100000000000001" customHeight="1">
      <c r="A5" s="84"/>
      <c r="B5" s="84"/>
      <c r="C5" s="84"/>
      <c r="D5" s="84"/>
      <c r="E5" s="84"/>
      <c r="F5" s="420"/>
      <c r="G5" s="84"/>
      <c r="H5" s="84"/>
      <c r="I5" s="84"/>
      <c r="J5" s="84"/>
      <c r="K5" s="84"/>
      <c r="L5" s="84"/>
      <c r="M5" s="84"/>
      <c r="N5" s="84"/>
    </row>
    <row r="6" spans="1:14" s="68" customFormat="1" ht="20.100000000000001" customHeight="1">
      <c r="A6" s="67" t="s">
        <v>133</v>
      </c>
      <c r="B6" s="67"/>
      <c r="H6" s="74"/>
      <c r="I6" s="74"/>
      <c r="J6" s="74"/>
      <c r="K6" s="74"/>
      <c r="L6" s="74"/>
      <c r="M6" s="74"/>
      <c r="N6" s="74" t="s">
        <v>196</v>
      </c>
    </row>
    <row r="7" spans="1:14" s="68" customFormat="1" ht="20.100000000000001" customHeight="1">
      <c r="A7" s="68" t="str">
        <f>'Rate Case Constants'!C29</f>
        <v>TYPE OF FILING: __X__ ORIGINAL  _____ UPDATED  _____ REVISED</v>
      </c>
      <c r="H7" s="74"/>
      <c r="I7" s="74"/>
      <c r="J7" s="74"/>
      <c r="K7" s="74"/>
      <c r="L7" s="74"/>
      <c r="M7" s="74"/>
      <c r="N7" s="74" t="s">
        <v>177</v>
      </c>
    </row>
    <row r="8" spans="1:14" s="68" customFormat="1" ht="20.100000000000001" customHeight="1">
      <c r="A8" s="67" t="s">
        <v>1198</v>
      </c>
      <c r="B8" s="67"/>
      <c r="G8" s="67"/>
      <c r="H8" s="75"/>
      <c r="I8" s="75"/>
      <c r="J8" s="75"/>
      <c r="K8" s="75"/>
      <c r="L8" s="75"/>
      <c r="M8" s="75"/>
      <c r="N8" s="75" t="str">
        <f>'Rate Case Constants'!C36</f>
        <v>WITNESS:   C. M. GARRETT</v>
      </c>
    </row>
    <row r="9" spans="1:14" s="68" customFormat="1" ht="20.100000000000001" customHeight="1"/>
    <row r="10" spans="1:14" s="68" customFormat="1" ht="20.100000000000001" customHeight="1">
      <c r="A10" s="96"/>
      <c r="B10" s="96"/>
      <c r="C10" s="96"/>
      <c r="D10" s="96"/>
      <c r="E10" s="96"/>
      <c r="F10" s="96"/>
      <c r="G10" s="96"/>
      <c r="H10" s="771" t="s">
        <v>204</v>
      </c>
      <c r="I10" s="771"/>
      <c r="J10" s="771"/>
      <c r="K10" s="97"/>
      <c r="L10" s="771" t="s">
        <v>206</v>
      </c>
      <c r="M10" s="771"/>
      <c r="N10" s="771"/>
    </row>
    <row r="11" spans="1:14" ht="43.5" customHeight="1">
      <c r="A11" s="71" t="s">
        <v>131</v>
      </c>
      <c r="B11" s="71" t="s">
        <v>197</v>
      </c>
      <c r="C11" s="71" t="s">
        <v>198</v>
      </c>
      <c r="D11" s="71" t="s">
        <v>199</v>
      </c>
      <c r="E11" s="71" t="s">
        <v>200</v>
      </c>
      <c r="F11" s="71" t="s">
        <v>2229</v>
      </c>
      <c r="G11" s="71" t="s">
        <v>201</v>
      </c>
      <c r="H11" s="71" t="s">
        <v>202</v>
      </c>
      <c r="I11" s="71" t="s">
        <v>203</v>
      </c>
      <c r="J11" s="71" t="s">
        <v>205</v>
      </c>
      <c r="K11" s="71"/>
      <c r="L11" s="71" t="s">
        <v>202</v>
      </c>
      <c r="M11" s="71" t="s">
        <v>203</v>
      </c>
      <c r="N11" s="71" t="s">
        <v>205</v>
      </c>
    </row>
    <row r="12" spans="1:14" ht="23.1" customHeight="1">
      <c r="A12" s="80"/>
      <c r="B12" s="80"/>
      <c r="C12" s="81"/>
      <c r="D12" s="82" t="s">
        <v>142</v>
      </c>
      <c r="E12" s="82" t="s">
        <v>142</v>
      </c>
      <c r="F12" s="82"/>
      <c r="G12" s="82" t="s">
        <v>142</v>
      </c>
      <c r="H12" s="82" t="s">
        <v>142</v>
      </c>
      <c r="I12" s="82"/>
      <c r="J12" s="82"/>
      <c r="K12" s="82"/>
      <c r="L12" s="82" t="s">
        <v>142</v>
      </c>
      <c r="M12" s="82"/>
      <c r="N12" s="82"/>
    </row>
    <row r="13" spans="1:14" ht="34.5" customHeight="1">
      <c r="A13" s="99">
        <v>1</v>
      </c>
      <c r="B13" s="78" t="s">
        <v>2230</v>
      </c>
      <c r="C13" s="226">
        <v>41821</v>
      </c>
      <c r="D13" s="392">
        <v>309540.84999999998</v>
      </c>
      <c r="E13" s="392">
        <v>0</v>
      </c>
      <c r="F13" s="134">
        <f>G13/D13</f>
        <v>0.87673530496058716</v>
      </c>
      <c r="G13" s="392">
        <f>'JURISSEP B'!G$229</f>
        <v>271385.39152250934</v>
      </c>
      <c r="H13" s="392">
        <v>0</v>
      </c>
      <c r="L13" s="392">
        <v>0</v>
      </c>
    </row>
    <row r="14" spans="1:14" ht="34.5" customHeight="1">
      <c r="A14" s="99">
        <v>2</v>
      </c>
      <c r="B14" s="78" t="s">
        <v>2231</v>
      </c>
      <c r="C14" s="226">
        <v>40756</v>
      </c>
      <c r="D14" s="392">
        <v>113882.25</v>
      </c>
      <c r="E14" s="392">
        <v>0</v>
      </c>
      <c r="F14" s="134">
        <f>G14/D14</f>
        <v>1</v>
      </c>
      <c r="G14" s="392">
        <f>D14</f>
        <v>113882.25</v>
      </c>
      <c r="H14" s="392">
        <v>0</v>
      </c>
      <c r="L14" s="392">
        <v>0</v>
      </c>
    </row>
    <row r="15" spans="1:14" ht="34.5" customHeight="1">
      <c r="A15" s="99">
        <v>3</v>
      </c>
      <c r="B15" s="78" t="s">
        <v>1619</v>
      </c>
      <c r="C15" s="226">
        <v>40905</v>
      </c>
      <c r="D15" s="392">
        <v>324087.84000000003</v>
      </c>
      <c r="E15" s="392">
        <v>0</v>
      </c>
      <c r="F15" s="134">
        <f>G15/D15</f>
        <v>0</v>
      </c>
      <c r="G15" s="392">
        <v>0</v>
      </c>
      <c r="H15" s="392">
        <v>0</v>
      </c>
      <c r="L15" s="392">
        <v>0</v>
      </c>
    </row>
    <row r="16" spans="1:14" ht="34.5" customHeight="1">
      <c r="A16" s="99">
        <v>4</v>
      </c>
      <c r="B16" s="78" t="s">
        <v>2566</v>
      </c>
      <c r="C16" s="226">
        <v>42360</v>
      </c>
      <c r="D16" s="392">
        <v>131956.31</v>
      </c>
      <c r="E16" s="392">
        <v>0</v>
      </c>
      <c r="F16" s="134">
        <f t="shared" ref="F16:F20" si="0">G16/D16</f>
        <v>0.90502527949833722</v>
      </c>
      <c r="G16" s="392">
        <f>'JURISSEP B'!G$232</f>
        <v>119423.79633931923</v>
      </c>
      <c r="H16" s="392">
        <v>0</v>
      </c>
      <c r="L16" s="392">
        <v>0</v>
      </c>
    </row>
    <row r="17" spans="1:14" ht="34.5" customHeight="1">
      <c r="A17" s="99">
        <v>5</v>
      </c>
      <c r="B17" s="78" t="s">
        <v>2567</v>
      </c>
      <c r="C17" s="226">
        <v>42767</v>
      </c>
      <c r="D17" s="392">
        <v>240853.29</v>
      </c>
      <c r="E17" s="392">
        <v>0</v>
      </c>
      <c r="F17" s="134">
        <f t="shared" si="0"/>
        <v>1</v>
      </c>
      <c r="G17" s="392">
        <f t="shared" ref="G17:G18" si="1">D17</f>
        <v>240853.29</v>
      </c>
      <c r="H17" s="392">
        <v>0</v>
      </c>
      <c r="L17" s="392">
        <v>0</v>
      </c>
    </row>
    <row r="18" spans="1:14" ht="34.5" customHeight="1">
      <c r="A18" s="99">
        <v>6</v>
      </c>
      <c r="B18" s="78" t="s">
        <v>2568</v>
      </c>
      <c r="C18" s="226">
        <v>40237</v>
      </c>
      <c r="D18" s="393">
        <v>792599.21</v>
      </c>
      <c r="E18" s="393">
        <v>0</v>
      </c>
      <c r="F18" s="699">
        <f t="shared" si="0"/>
        <v>1</v>
      </c>
      <c r="G18" s="393">
        <f t="shared" si="1"/>
        <v>792599.21</v>
      </c>
      <c r="H18" s="393">
        <v>0</v>
      </c>
      <c r="L18" s="393">
        <v>0</v>
      </c>
    </row>
    <row r="19" spans="1:14" s="68" customFormat="1" ht="20.100000000000001" customHeight="1">
      <c r="A19" s="698"/>
      <c r="B19" s="698"/>
      <c r="C19" s="698"/>
      <c r="D19" s="698"/>
      <c r="E19" s="698"/>
      <c r="F19" s="698"/>
      <c r="G19" s="698"/>
      <c r="H19" s="698"/>
      <c r="I19" s="698"/>
      <c r="J19" s="698"/>
      <c r="K19" s="698"/>
      <c r="L19" s="698"/>
      <c r="M19" s="698"/>
      <c r="N19" s="698"/>
    </row>
    <row r="20" spans="1:14" ht="18.95" customHeight="1" thickBot="1">
      <c r="A20" s="99">
        <v>7</v>
      </c>
      <c r="B20" s="78" t="s">
        <v>3411</v>
      </c>
      <c r="C20" s="226"/>
      <c r="D20" s="700">
        <f>SUM(D13:D18)</f>
        <v>1912919.75</v>
      </c>
      <c r="E20" s="700">
        <v>0</v>
      </c>
      <c r="F20" s="701">
        <f t="shared" si="0"/>
        <v>0.80408179060403795</v>
      </c>
      <c r="G20" s="700">
        <f>SUM(G13:G18)</f>
        <v>1538143.9378618286</v>
      </c>
      <c r="H20" s="700">
        <v>0</v>
      </c>
      <c r="L20" s="700">
        <v>0</v>
      </c>
    </row>
    <row r="21" spans="1:14" ht="18.95" customHeight="1" thickTop="1">
      <c r="B21" s="71"/>
      <c r="D21" s="86"/>
    </row>
    <row r="22" spans="1:14" s="68" customFormat="1" ht="20.100000000000001" customHeight="1">
      <c r="A22" s="769" t="str">
        <f>$A$1</f>
        <v>KENTUCKY UTILITIES COMPANY</v>
      </c>
      <c r="B22" s="769"/>
      <c r="C22" s="769"/>
      <c r="D22" s="769"/>
      <c r="E22" s="769"/>
      <c r="F22" s="769"/>
      <c r="G22" s="769"/>
      <c r="H22" s="769"/>
      <c r="I22" s="769"/>
      <c r="J22" s="769"/>
      <c r="K22" s="769"/>
      <c r="L22" s="769"/>
      <c r="M22" s="769"/>
      <c r="N22" s="769"/>
    </row>
    <row r="23" spans="1:14" s="68" customFormat="1" ht="20.100000000000001" customHeight="1">
      <c r="A23" s="769" t="str">
        <f>$A$2</f>
        <v>CASE NO. 2018-00294 - RESPONSE TO PSC 2-65 (SLIPPAGE FACTOR 96.027%)</v>
      </c>
      <c r="B23" s="769"/>
      <c r="C23" s="769"/>
      <c r="D23" s="769"/>
      <c r="E23" s="769"/>
      <c r="F23" s="769"/>
      <c r="G23" s="769"/>
      <c r="H23" s="769"/>
      <c r="I23" s="769"/>
      <c r="J23" s="769"/>
      <c r="K23" s="769"/>
      <c r="L23" s="769"/>
      <c r="M23" s="769"/>
      <c r="N23" s="769"/>
    </row>
    <row r="24" spans="1:14" s="68" customFormat="1" ht="20.100000000000001" customHeight="1">
      <c r="A24" s="769" t="str">
        <f>$A$3</f>
        <v>PROPERTY HELD FOR FUTURE USE INCLUDED IN RATE BASE</v>
      </c>
      <c r="B24" s="769"/>
      <c r="C24" s="769"/>
      <c r="D24" s="769"/>
      <c r="E24" s="769"/>
      <c r="F24" s="769"/>
      <c r="G24" s="769"/>
      <c r="H24" s="769"/>
      <c r="I24" s="769"/>
      <c r="J24" s="769"/>
      <c r="K24" s="769"/>
      <c r="L24" s="769"/>
      <c r="M24" s="769"/>
      <c r="N24" s="769"/>
    </row>
    <row r="25" spans="1:14" s="68" customFormat="1" ht="20.100000000000001" customHeight="1">
      <c r="A25" s="769" t="str">
        <f>'Rate Case Constants'!C18</f>
        <v>AS OF APRIL 30, 2020</v>
      </c>
      <c r="B25" s="769"/>
      <c r="C25" s="769"/>
      <c r="D25" s="769"/>
      <c r="E25" s="769"/>
      <c r="F25" s="769"/>
      <c r="G25" s="769"/>
      <c r="H25" s="769"/>
      <c r="I25" s="769"/>
      <c r="J25" s="769"/>
      <c r="K25" s="769"/>
      <c r="L25" s="769"/>
      <c r="M25" s="769"/>
      <c r="N25" s="769"/>
    </row>
    <row r="26" spans="1:14" s="68" customFormat="1" ht="20.100000000000001" customHeight="1">
      <c r="A26" s="84"/>
      <c r="B26" s="84"/>
      <c r="C26" s="84"/>
      <c r="D26" s="84"/>
      <c r="E26" s="84"/>
      <c r="F26" s="420"/>
      <c r="G26" s="84"/>
      <c r="H26" s="84"/>
      <c r="I26" s="84"/>
      <c r="J26" s="84"/>
      <c r="K26" s="84"/>
      <c r="L26" s="84"/>
      <c r="M26" s="84"/>
      <c r="N26" s="84"/>
    </row>
    <row r="27" spans="1:14" s="68" customFormat="1" ht="20.100000000000001" customHeight="1">
      <c r="A27" s="67" t="s">
        <v>161</v>
      </c>
      <c r="B27" s="67"/>
      <c r="H27" s="74"/>
      <c r="I27" s="74"/>
      <c r="J27" s="74"/>
      <c r="K27" s="74"/>
      <c r="L27" s="74"/>
      <c r="M27" s="74"/>
      <c r="N27" s="74" t="s">
        <v>196</v>
      </c>
    </row>
    <row r="28" spans="1:14" s="68" customFormat="1" ht="20.100000000000001" customHeight="1">
      <c r="A28" s="67" t="str">
        <f>$A$7</f>
        <v>TYPE OF FILING: __X__ ORIGINAL  _____ UPDATED  _____ REVISED</v>
      </c>
      <c r="H28" s="74"/>
      <c r="I28" s="74"/>
      <c r="J28" s="74"/>
      <c r="K28" s="74"/>
      <c r="L28" s="74"/>
      <c r="M28" s="74"/>
      <c r="N28" s="74" t="s">
        <v>185</v>
      </c>
    </row>
    <row r="29" spans="1:14" s="68" customFormat="1" ht="20.100000000000001" customHeight="1">
      <c r="A29" s="67" t="str">
        <f>$A$8</f>
        <v>WORKPAPER REFERENCE NO(S).:</v>
      </c>
      <c r="B29" s="67"/>
      <c r="G29" s="67"/>
      <c r="H29" s="75"/>
      <c r="I29" s="75"/>
      <c r="J29" s="75"/>
      <c r="K29" s="75"/>
      <c r="L29" s="75"/>
      <c r="M29" s="75"/>
      <c r="N29" s="75" t="str">
        <f>$N$8</f>
        <v>WITNESS:   C. M. GARRETT</v>
      </c>
    </row>
    <row r="30" spans="1:14" s="68" customFormat="1" ht="20.100000000000001" customHeight="1"/>
    <row r="31" spans="1:14" s="68" customFormat="1" ht="20.100000000000001" customHeight="1">
      <c r="A31" s="96"/>
      <c r="B31" s="96"/>
      <c r="C31" s="96"/>
      <c r="D31" s="96"/>
      <c r="E31" s="96"/>
      <c r="F31" s="96"/>
      <c r="G31" s="96"/>
      <c r="H31" s="771" t="s">
        <v>204</v>
      </c>
      <c r="I31" s="771"/>
      <c r="J31" s="771"/>
      <c r="K31" s="97"/>
      <c r="L31" s="771" t="s">
        <v>206</v>
      </c>
      <c r="M31" s="771"/>
      <c r="N31" s="771"/>
    </row>
    <row r="32" spans="1:14" ht="43.5" customHeight="1">
      <c r="A32" s="71" t="s">
        <v>131</v>
      </c>
      <c r="B32" s="71" t="s">
        <v>197</v>
      </c>
      <c r="C32" s="71" t="s">
        <v>198</v>
      </c>
      <c r="D32" s="71" t="s">
        <v>199</v>
      </c>
      <c r="E32" s="71" t="s">
        <v>200</v>
      </c>
      <c r="F32" s="71" t="s">
        <v>2229</v>
      </c>
      <c r="G32" s="71" t="s">
        <v>201</v>
      </c>
      <c r="H32" s="71" t="s">
        <v>202</v>
      </c>
      <c r="I32" s="71" t="s">
        <v>203</v>
      </c>
      <c r="J32" s="71" t="s">
        <v>205</v>
      </c>
      <c r="K32" s="71"/>
      <c r="L32" s="71" t="s">
        <v>202</v>
      </c>
      <c r="M32" s="71" t="s">
        <v>203</v>
      </c>
      <c r="N32" s="71" t="s">
        <v>205</v>
      </c>
    </row>
    <row r="33" spans="1:14" ht="23.1" customHeight="1">
      <c r="A33" s="80"/>
      <c r="B33" s="80"/>
      <c r="C33" s="81"/>
      <c r="D33" s="82" t="s">
        <v>142</v>
      </c>
      <c r="E33" s="82" t="s">
        <v>142</v>
      </c>
      <c r="F33" s="82"/>
      <c r="G33" s="82" t="s">
        <v>142</v>
      </c>
      <c r="H33" s="82" t="s">
        <v>142</v>
      </c>
      <c r="I33" s="82"/>
      <c r="J33" s="82"/>
      <c r="K33" s="82"/>
      <c r="L33" s="82" t="s">
        <v>142</v>
      </c>
      <c r="M33" s="82"/>
      <c r="N33" s="82"/>
    </row>
    <row r="34" spans="1:14" ht="34.5" customHeight="1">
      <c r="A34" s="99">
        <v>1</v>
      </c>
      <c r="B34" s="78" t="s">
        <v>2230</v>
      </c>
      <c r="C34" s="226">
        <v>41821</v>
      </c>
      <c r="D34" s="392">
        <v>309540.84999999998</v>
      </c>
      <c r="E34" s="392">
        <v>0</v>
      </c>
      <c r="F34" s="134">
        <f>G34/D34</f>
        <v>0.93741603079505254</v>
      </c>
      <c r="G34" s="392">
        <f>'JURISSEP F'!G$229</f>
        <v>290168.5549759267</v>
      </c>
      <c r="H34" s="392">
        <v>0</v>
      </c>
      <c r="L34" s="392">
        <v>0</v>
      </c>
    </row>
    <row r="35" spans="1:14" ht="34.5" customHeight="1">
      <c r="A35" s="99">
        <v>2</v>
      </c>
      <c r="B35" s="78" t="s">
        <v>2231</v>
      </c>
      <c r="C35" s="226">
        <v>40756</v>
      </c>
      <c r="D35" s="392">
        <v>113882.25</v>
      </c>
      <c r="E35" s="392">
        <v>0</v>
      </c>
      <c r="F35" s="134">
        <f>G35/D35</f>
        <v>1</v>
      </c>
      <c r="G35" s="392">
        <f>D35</f>
        <v>113882.25</v>
      </c>
      <c r="H35" s="392">
        <v>0</v>
      </c>
      <c r="L35" s="392">
        <v>0</v>
      </c>
    </row>
    <row r="36" spans="1:14" ht="34.5" customHeight="1">
      <c r="A36" s="99">
        <v>3</v>
      </c>
      <c r="B36" s="78" t="s">
        <v>1619</v>
      </c>
      <c r="C36" s="226">
        <v>40905</v>
      </c>
      <c r="D36" s="392">
        <v>324087.84000000003</v>
      </c>
      <c r="E36" s="392">
        <v>0</v>
      </c>
      <c r="F36" s="134">
        <f>G36/D36</f>
        <v>0</v>
      </c>
      <c r="G36" s="392">
        <v>0</v>
      </c>
      <c r="H36" s="392">
        <v>0</v>
      </c>
      <c r="L36" s="392">
        <v>0</v>
      </c>
    </row>
    <row r="37" spans="1:14" ht="34.5" customHeight="1">
      <c r="A37" s="99">
        <v>4</v>
      </c>
      <c r="B37" s="78" t="s">
        <v>2566</v>
      </c>
      <c r="C37" s="226">
        <v>42360</v>
      </c>
      <c r="D37" s="392">
        <v>131956.31</v>
      </c>
      <c r="E37" s="392">
        <v>0</v>
      </c>
      <c r="F37" s="134">
        <f t="shared" ref="F37:F39" si="2">G37/D37</f>
        <v>0.94067565256622832</v>
      </c>
      <c r="G37" s="392">
        <f>'JURISSEP F'!G$232</f>
        <v>124128.08801948151</v>
      </c>
      <c r="H37" s="392">
        <v>0</v>
      </c>
      <c r="L37" s="392">
        <v>0</v>
      </c>
    </row>
    <row r="38" spans="1:14" ht="34.5" customHeight="1">
      <c r="A38" s="99">
        <v>5</v>
      </c>
      <c r="B38" s="78" t="s">
        <v>2567</v>
      </c>
      <c r="C38" s="226">
        <v>42767</v>
      </c>
      <c r="D38" s="392">
        <v>240853.29</v>
      </c>
      <c r="E38" s="392">
        <v>0</v>
      </c>
      <c r="F38" s="134">
        <f t="shared" si="2"/>
        <v>1</v>
      </c>
      <c r="G38" s="392">
        <f t="shared" ref="G38:G39" si="3">D38</f>
        <v>240853.29</v>
      </c>
      <c r="H38" s="392">
        <v>0</v>
      </c>
      <c r="L38" s="392">
        <v>0</v>
      </c>
    </row>
    <row r="39" spans="1:14" ht="34.5" customHeight="1">
      <c r="A39" s="99">
        <v>6</v>
      </c>
      <c r="B39" s="78" t="s">
        <v>2568</v>
      </c>
      <c r="C39" s="226">
        <v>40237</v>
      </c>
      <c r="D39" s="393">
        <v>792599.21</v>
      </c>
      <c r="E39" s="393">
        <v>0</v>
      </c>
      <c r="F39" s="699">
        <f t="shared" si="2"/>
        <v>1</v>
      </c>
      <c r="G39" s="393">
        <f t="shared" si="3"/>
        <v>792599.21</v>
      </c>
      <c r="H39" s="393">
        <v>0</v>
      </c>
      <c r="L39" s="393">
        <v>0</v>
      </c>
    </row>
    <row r="40" spans="1:14" s="68" customFormat="1" ht="20.100000000000001" customHeight="1">
      <c r="A40" s="698"/>
      <c r="B40" s="698"/>
      <c r="C40" s="698"/>
      <c r="D40" s="698"/>
      <c r="E40" s="698"/>
      <c r="F40" s="698"/>
      <c r="G40" s="698"/>
      <c r="H40" s="698"/>
      <c r="I40" s="698"/>
      <c r="J40" s="698"/>
      <c r="K40" s="698"/>
      <c r="L40" s="698"/>
      <c r="M40" s="698"/>
      <c r="N40" s="698"/>
    </row>
    <row r="41" spans="1:14" ht="18.95" customHeight="1" thickBot="1">
      <c r="A41" s="99">
        <v>7</v>
      </c>
      <c r="B41" s="78" t="s">
        <v>3411</v>
      </c>
      <c r="C41" s="226"/>
      <c r="D41" s="700">
        <f>SUM(D34:D39)</f>
        <v>1912919.75</v>
      </c>
      <c r="E41" s="700">
        <v>0</v>
      </c>
      <c r="F41" s="701">
        <f t="shared" ref="F41" si="4">G41/D41</f>
        <v>0.81636011808410058</v>
      </c>
      <c r="G41" s="700">
        <f>SUM(G34:G39)</f>
        <v>1561631.3929954083</v>
      </c>
      <c r="H41" s="700">
        <v>0</v>
      </c>
      <c r="L41" s="700">
        <v>0</v>
      </c>
    </row>
    <row r="42" spans="1:14" ht="18.95" customHeight="1" thickTop="1">
      <c r="B42" s="71"/>
    </row>
    <row r="43" spans="1:14" ht="18.95" customHeight="1">
      <c r="B43" s="71"/>
      <c r="D43" s="93"/>
      <c r="G43" s="93"/>
      <c r="H43" s="93"/>
    </row>
    <row r="44" spans="1:14" ht="18.95" customHeight="1">
      <c r="D44" s="69" t="s">
        <v>160</v>
      </c>
    </row>
    <row r="45" spans="1:14" ht="18.95" customHeight="1"/>
    <row r="46" spans="1:14" ht="18.95" customHeight="1"/>
    <row r="47" spans="1:14" ht="18.95" customHeight="1"/>
    <row r="48" spans="1:14" ht="18.95" customHeight="1"/>
    <row r="49" ht="18.95" customHeight="1"/>
    <row r="50" ht="18.95" customHeight="1"/>
    <row r="51" ht="18.95" customHeight="1"/>
    <row r="52" ht="18.95" customHeight="1"/>
    <row r="53" ht="18.95" customHeight="1"/>
    <row r="54" ht="18.95" customHeight="1"/>
    <row r="55" ht="18.95" customHeight="1"/>
    <row r="56" ht="18.95" customHeight="1"/>
  </sheetData>
  <mergeCells count="12">
    <mergeCell ref="A1:N1"/>
    <mergeCell ref="A2:N2"/>
    <mergeCell ref="A3:N3"/>
    <mergeCell ref="A4:N4"/>
    <mergeCell ref="A22:N22"/>
    <mergeCell ref="A24:N24"/>
    <mergeCell ref="A25:N25"/>
    <mergeCell ref="H10:J10"/>
    <mergeCell ref="L10:N10"/>
    <mergeCell ref="H31:J31"/>
    <mergeCell ref="L31:N31"/>
    <mergeCell ref="A23:N23"/>
  </mergeCells>
  <pageMargins left="0.95" right="0.5" top="0.75" bottom="0.75" header="0.3" footer="0.3"/>
  <pageSetup scale="50" fitToHeight="0" orientation="portrait" r:id="rId1"/>
  <rowBreaks count="1" manualBreakCount="1">
    <brk id="2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96"/>
  <sheetViews>
    <sheetView zoomScaleNormal="100" workbookViewId="0">
      <selection sqref="A1:K1"/>
    </sheetView>
  </sheetViews>
  <sheetFormatPr defaultColWidth="9" defaultRowHeight="12.75"/>
  <cols>
    <col min="1" max="1" width="6" style="69" customWidth="1"/>
    <col min="2" max="2" width="7.109375" style="69" customWidth="1"/>
    <col min="3" max="3" width="33.5546875" style="69" customWidth="1"/>
    <col min="4" max="4" width="11.44140625" style="69" customWidth="1"/>
    <col min="5" max="5" width="12.33203125" style="69" customWidth="1"/>
    <col min="6" max="6" width="15.77734375" style="69" customWidth="1"/>
    <col min="7" max="7" width="10.77734375" style="69" customWidth="1"/>
    <col min="8" max="8" width="11.6640625" style="69" customWidth="1"/>
    <col min="9" max="9" width="7.77734375" style="69" customWidth="1"/>
    <col min="10" max="10" width="14.77734375" style="69" customWidth="1"/>
    <col min="11" max="11" width="40.77734375" style="69" customWidth="1"/>
    <col min="12" max="12" width="1.6640625" style="69" customWidth="1"/>
    <col min="13" max="16384" width="9" style="69"/>
  </cols>
  <sheetData>
    <row r="1" spans="1:11" s="68" customFormat="1" ht="20.100000000000001" customHeight="1">
      <c r="A1" s="769" t="str">
        <f>'Rate Case Constants'!C9</f>
        <v>KENTUCKY UTILITIES COMPANY</v>
      </c>
      <c r="B1" s="769"/>
      <c r="C1" s="769"/>
      <c r="D1" s="769"/>
      <c r="E1" s="769"/>
      <c r="F1" s="769"/>
      <c r="G1" s="769"/>
      <c r="H1" s="769"/>
      <c r="I1" s="769"/>
      <c r="J1" s="769"/>
      <c r="K1" s="769"/>
    </row>
    <row r="2" spans="1:11" s="68" customFormat="1" ht="20.100000000000001" customHeight="1">
      <c r="A2" s="769" t="str">
        <f>'Rate Case Constants'!C10</f>
        <v>CASE NO. 2018-00294 - RESPONSE TO PSC 2-65 (SLIPPAGE FACTOR 96.027%)</v>
      </c>
      <c r="B2" s="769"/>
      <c r="C2" s="769"/>
      <c r="D2" s="769"/>
      <c r="E2" s="769"/>
      <c r="F2" s="769"/>
      <c r="G2" s="769"/>
      <c r="H2" s="769"/>
      <c r="I2" s="769"/>
      <c r="J2" s="769"/>
      <c r="K2" s="769"/>
    </row>
    <row r="3" spans="1:11" s="68" customFormat="1" ht="20.100000000000001" customHeight="1">
      <c r="A3" s="769" t="s">
        <v>208</v>
      </c>
      <c r="B3" s="769"/>
      <c r="C3" s="769"/>
      <c r="D3" s="769"/>
      <c r="E3" s="769"/>
      <c r="F3" s="769"/>
      <c r="G3" s="769"/>
      <c r="H3" s="769"/>
      <c r="I3" s="769"/>
      <c r="J3" s="769"/>
      <c r="K3" s="769"/>
    </row>
    <row r="4" spans="1:11" s="68" customFormat="1" ht="20.100000000000001" customHeight="1">
      <c r="A4" s="769" t="s">
        <v>209</v>
      </c>
      <c r="B4" s="769"/>
      <c r="C4" s="769"/>
      <c r="D4" s="769"/>
      <c r="E4" s="769"/>
      <c r="F4" s="769"/>
      <c r="G4" s="769"/>
      <c r="H4" s="769"/>
      <c r="I4" s="769"/>
      <c r="J4" s="769"/>
      <c r="K4" s="769"/>
    </row>
    <row r="5" spans="1:11" s="68" customFormat="1" ht="20.100000000000001" customHeight="1">
      <c r="A5" s="769" t="str">
        <f>'Rate Case Constants'!C12</f>
        <v>AS OF DECEMBER 31, 2018</v>
      </c>
      <c r="B5" s="769"/>
      <c r="C5" s="769"/>
      <c r="D5" s="769"/>
      <c r="E5" s="769"/>
      <c r="F5" s="769"/>
      <c r="G5" s="769"/>
      <c r="H5" s="769"/>
      <c r="I5" s="769"/>
      <c r="J5" s="769"/>
      <c r="K5" s="769"/>
    </row>
    <row r="6" spans="1:11" s="68" customFormat="1" ht="20.100000000000001" customHeight="1">
      <c r="A6" s="84"/>
      <c r="B6" s="84"/>
      <c r="C6" s="84"/>
      <c r="D6" s="84"/>
      <c r="E6" s="84"/>
      <c r="F6" s="84"/>
      <c r="G6" s="84"/>
      <c r="H6" s="84"/>
      <c r="I6" s="84"/>
      <c r="J6" s="84"/>
      <c r="K6" s="84"/>
    </row>
    <row r="7" spans="1:11" s="68" customFormat="1" ht="20.100000000000001" customHeight="1">
      <c r="A7" s="67" t="s">
        <v>133</v>
      </c>
      <c r="B7" s="67"/>
      <c r="H7" s="74"/>
      <c r="I7" s="74"/>
      <c r="J7" s="74"/>
      <c r="K7" s="74" t="s">
        <v>207</v>
      </c>
    </row>
    <row r="8" spans="1:11" s="68" customFormat="1" ht="20.100000000000001" customHeight="1">
      <c r="A8" s="68" t="str">
        <f>'Rate Case Constants'!C29</f>
        <v>TYPE OF FILING: __X__ ORIGINAL  _____ UPDATED  _____ REVISED</v>
      </c>
      <c r="H8" s="74"/>
      <c r="I8" s="74"/>
      <c r="J8" s="74"/>
      <c r="K8" s="74" t="s">
        <v>177</v>
      </c>
    </row>
    <row r="9" spans="1:11" s="68" customFormat="1" ht="20.100000000000001" customHeight="1">
      <c r="A9" s="67" t="s">
        <v>1198</v>
      </c>
      <c r="B9" s="67"/>
      <c r="G9" s="67"/>
      <c r="H9" s="75"/>
      <c r="I9" s="75"/>
      <c r="J9" s="75"/>
      <c r="K9" s="75" t="str">
        <f>'Rate Case Constants'!C36</f>
        <v>WITNESS:   C. M. GARRETT</v>
      </c>
    </row>
    <row r="10" spans="1:11" s="68" customFormat="1" ht="20.100000000000001" customHeight="1"/>
    <row r="11" spans="1:11" s="68" customFormat="1" ht="20.100000000000001" customHeight="1">
      <c r="A11" s="96"/>
      <c r="B11" s="96"/>
      <c r="C11" s="96"/>
      <c r="D11" s="96"/>
      <c r="E11" s="96"/>
      <c r="F11" s="96"/>
      <c r="G11" s="96"/>
      <c r="H11" s="771" t="s">
        <v>211</v>
      </c>
      <c r="I11" s="771"/>
      <c r="J11" s="771"/>
      <c r="K11" s="97"/>
    </row>
    <row r="12" spans="1:11" ht="43.5" customHeight="1">
      <c r="A12" s="71" t="s">
        <v>131</v>
      </c>
      <c r="B12" s="71" t="s">
        <v>134</v>
      </c>
      <c r="C12" s="71" t="s">
        <v>213</v>
      </c>
      <c r="D12" s="71" t="s">
        <v>210</v>
      </c>
      <c r="E12" s="71" t="s">
        <v>199</v>
      </c>
      <c r="F12" s="71" t="s">
        <v>200</v>
      </c>
      <c r="G12" s="71" t="s">
        <v>201</v>
      </c>
      <c r="H12" s="71" t="s">
        <v>202</v>
      </c>
      <c r="I12" s="71" t="s">
        <v>203</v>
      </c>
      <c r="J12" s="71" t="s">
        <v>205</v>
      </c>
      <c r="K12" s="98" t="s">
        <v>212</v>
      </c>
    </row>
    <row r="13" spans="1:11" ht="23.1" customHeight="1">
      <c r="A13" s="80"/>
      <c r="B13" s="80"/>
      <c r="C13" s="81"/>
      <c r="D13" s="82"/>
      <c r="E13" s="82" t="s">
        <v>142</v>
      </c>
      <c r="F13" s="82" t="s">
        <v>142</v>
      </c>
      <c r="G13" s="82" t="s">
        <v>142</v>
      </c>
      <c r="H13" s="82" t="s">
        <v>142</v>
      </c>
      <c r="I13" s="82"/>
      <c r="J13" s="82"/>
      <c r="K13" s="82"/>
    </row>
    <row r="14" spans="1:11" ht="23.1" customHeight="1">
      <c r="A14" s="221">
        <v>1</v>
      </c>
      <c r="B14" s="73"/>
      <c r="C14" s="225" t="s">
        <v>1618</v>
      </c>
      <c r="D14" s="95"/>
      <c r="E14" s="95"/>
      <c r="F14" s="95"/>
      <c r="G14" s="95"/>
      <c r="H14" s="95"/>
      <c r="I14" s="95"/>
      <c r="J14" s="95"/>
      <c r="K14" s="95"/>
    </row>
    <row r="15" spans="1:11" ht="18.95" customHeight="1">
      <c r="A15" s="221">
        <f>A14+1</f>
        <v>2</v>
      </c>
      <c r="B15" s="389">
        <v>121</v>
      </c>
      <c r="C15" s="68" t="s">
        <v>1593</v>
      </c>
      <c r="D15" s="226">
        <v>26876</v>
      </c>
      <c r="E15" s="392">
        <v>7073.06</v>
      </c>
      <c r="F15" s="392">
        <v>0</v>
      </c>
      <c r="G15" s="392">
        <f>E15-F15</f>
        <v>7073.06</v>
      </c>
      <c r="K15" s="147" t="s">
        <v>1580</v>
      </c>
    </row>
    <row r="16" spans="1:11" ht="18.95" customHeight="1">
      <c r="A16" s="221">
        <f t="shared" ref="A16:A40" si="0">A15+1</f>
        <v>3</v>
      </c>
      <c r="B16" s="389">
        <v>121</v>
      </c>
      <c r="C16" s="68" t="s">
        <v>1594</v>
      </c>
      <c r="D16" s="226">
        <v>21915</v>
      </c>
      <c r="E16" s="392">
        <v>2210.35</v>
      </c>
      <c r="F16" s="392">
        <v>0</v>
      </c>
      <c r="G16" s="392">
        <f t="shared" ref="G16:G39" si="1">E16-F16</f>
        <v>2210.35</v>
      </c>
      <c r="K16" s="147" t="s">
        <v>1580</v>
      </c>
    </row>
    <row r="17" spans="1:11" ht="18.95" customHeight="1">
      <c r="A17" s="221">
        <f t="shared" si="0"/>
        <v>4</v>
      </c>
      <c r="B17" s="389">
        <v>121</v>
      </c>
      <c r="C17" s="68" t="s">
        <v>1595</v>
      </c>
      <c r="D17" s="226">
        <v>33450</v>
      </c>
      <c r="E17" s="392">
        <v>29788.73</v>
      </c>
      <c r="F17" s="392">
        <v>0</v>
      </c>
      <c r="G17" s="392">
        <f t="shared" si="1"/>
        <v>29788.73</v>
      </c>
      <c r="K17" s="147" t="s">
        <v>1580</v>
      </c>
    </row>
    <row r="18" spans="1:11" ht="18.95" customHeight="1">
      <c r="A18" s="221">
        <f t="shared" si="0"/>
        <v>5</v>
      </c>
      <c r="B18" s="389">
        <v>121</v>
      </c>
      <c r="C18" s="68" t="s">
        <v>1596</v>
      </c>
      <c r="D18" s="226">
        <v>15341</v>
      </c>
      <c r="E18" s="392">
        <v>75</v>
      </c>
      <c r="F18" s="392">
        <v>0</v>
      </c>
      <c r="G18" s="392">
        <f t="shared" si="1"/>
        <v>75</v>
      </c>
      <c r="K18" s="147" t="s">
        <v>1580</v>
      </c>
    </row>
    <row r="19" spans="1:11" ht="18.95" customHeight="1">
      <c r="A19" s="221">
        <f t="shared" si="0"/>
        <v>6</v>
      </c>
      <c r="B19" s="389">
        <v>121</v>
      </c>
      <c r="C19" s="68" t="s">
        <v>1597</v>
      </c>
      <c r="D19" s="226">
        <v>15219</v>
      </c>
      <c r="E19" s="392">
        <v>500</v>
      </c>
      <c r="F19" s="392">
        <v>0</v>
      </c>
      <c r="G19" s="392">
        <f t="shared" si="1"/>
        <v>500</v>
      </c>
      <c r="K19" s="147" t="s">
        <v>1580</v>
      </c>
    </row>
    <row r="20" spans="1:11" ht="18.95" customHeight="1">
      <c r="A20" s="221">
        <f t="shared" si="0"/>
        <v>7</v>
      </c>
      <c r="B20" s="389">
        <v>121</v>
      </c>
      <c r="C20" s="68" t="s">
        <v>1598</v>
      </c>
      <c r="D20" s="226">
        <v>15035</v>
      </c>
      <c r="E20" s="392">
        <v>961.5</v>
      </c>
      <c r="F20" s="392">
        <v>0</v>
      </c>
      <c r="G20" s="392">
        <f t="shared" si="1"/>
        <v>961.5</v>
      </c>
      <c r="K20" s="147" t="s">
        <v>1580</v>
      </c>
    </row>
    <row r="21" spans="1:11" ht="18.95" customHeight="1">
      <c r="A21" s="221">
        <f t="shared" si="0"/>
        <v>8</v>
      </c>
      <c r="B21" s="389">
        <v>121</v>
      </c>
      <c r="C21" s="68" t="s">
        <v>1599</v>
      </c>
      <c r="D21" s="226">
        <v>19663</v>
      </c>
      <c r="E21" s="392">
        <v>212.25</v>
      </c>
      <c r="F21" s="392">
        <v>0</v>
      </c>
      <c r="G21" s="392">
        <f t="shared" si="1"/>
        <v>212.25</v>
      </c>
      <c r="K21" s="147" t="s">
        <v>1580</v>
      </c>
    </row>
    <row r="22" spans="1:11" ht="18.95" customHeight="1">
      <c r="A22" s="221">
        <f t="shared" si="0"/>
        <v>9</v>
      </c>
      <c r="B22" s="389">
        <v>121</v>
      </c>
      <c r="C22" s="68" t="s">
        <v>1600</v>
      </c>
      <c r="D22" s="226">
        <v>14884</v>
      </c>
      <c r="E22" s="392">
        <v>12950</v>
      </c>
      <c r="F22" s="392">
        <v>0</v>
      </c>
      <c r="G22" s="392">
        <f t="shared" si="1"/>
        <v>12950</v>
      </c>
      <c r="K22" s="147" t="s">
        <v>1580</v>
      </c>
    </row>
    <row r="23" spans="1:11" ht="18.95" customHeight="1">
      <c r="A23" s="221">
        <f t="shared" si="0"/>
        <v>10</v>
      </c>
      <c r="B23" s="389">
        <v>121</v>
      </c>
      <c r="C23" s="68" t="s">
        <v>1601</v>
      </c>
      <c r="D23" s="226">
        <v>24776</v>
      </c>
      <c r="E23" s="392">
        <v>79501.5</v>
      </c>
      <c r="F23" s="392">
        <v>0</v>
      </c>
      <c r="G23" s="392">
        <f t="shared" si="1"/>
        <v>79501.5</v>
      </c>
      <c r="K23" s="147" t="s">
        <v>1580</v>
      </c>
    </row>
    <row r="24" spans="1:11" ht="18.95" customHeight="1">
      <c r="A24" s="221">
        <f t="shared" si="0"/>
        <v>11</v>
      </c>
      <c r="B24" s="389">
        <v>121</v>
      </c>
      <c r="C24" s="68" t="s">
        <v>1602</v>
      </c>
      <c r="D24" s="226">
        <v>15341</v>
      </c>
      <c r="E24" s="392">
        <v>250</v>
      </c>
      <c r="F24" s="392">
        <v>0</v>
      </c>
      <c r="G24" s="392">
        <f t="shared" si="1"/>
        <v>250</v>
      </c>
      <c r="K24" s="147" t="s">
        <v>1580</v>
      </c>
    </row>
    <row r="25" spans="1:11" ht="18.95" customHeight="1">
      <c r="A25" s="221">
        <f t="shared" si="0"/>
        <v>12</v>
      </c>
      <c r="B25" s="389">
        <v>121</v>
      </c>
      <c r="C25" s="68" t="s">
        <v>1603</v>
      </c>
      <c r="D25" s="226">
        <v>18506</v>
      </c>
      <c r="E25" s="392">
        <v>429</v>
      </c>
      <c r="F25" s="392">
        <v>0</v>
      </c>
      <c r="G25" s="392">
        <f t="shared" si="1"/>
        <v>429</v>
      </c>
      <c r="K25" s="147" t="s">
        <v>1580</v>
      </c>
    </row>
    <row r="26" spans="1:11" ht="18.95" customHeight="1">
      <c r="A26" s="497">
        <f t="shared" si="0"/>
        <v>13</v>
      </c>
      <c r="B26" s="389">
        <v>121</v>
      </c>
      <c r="C26" s="68" t="s">
        <v>1604</v>
      </c>
      <c r="D26" s="226">
        <v>15341</v>
      </c>
      <c r="E26" s="392">
        <v>149.88999999999999</v>
      </c>
      <c r="F26" s="392">
        <v>0</v>
      </c>
      <c r="G26" s="392">
        <f t="shared" si="1"/>
        <v>149.88999999999999</v>
      </c>
      <c r="K26" s="147" t="s">
        <v>1580</v>
      </c>
    </row>
    <row r="27" spans="1:11" ht="18.95" customHeight="1">
      <c r="A27" s="497">
        <f t="shared" si="0"/>
        <v>14</v>
      </c>
      <c r="B27" s="389">
        <v>121</v>
      </c>
      <c r="C27" s="68" t="s">
        <v>1605</v>
      </c>
      <c r="D27" s="226">
        <v>15341</v>
      </c>
      <c r="E27" s="392">
        <v>850</v>
      </c>
      <c r="F27" s="392">
        <v>0</v>
      </c>
      <c r="G27" s="392">
        <f t="shared" si="1"/>
        <v>850</v>
      </c>
      <c r="K27" s="147" t="s">
        <v>1580</v>
      </c>
    </row>
    <row r="28" spans="1:11" ht="18.95" customHeight="1">
      <c r="A28" s="497">
        <f t="shared" si="0"/>
        <v>15</v>
      </c>
      <c r="B28" s="389">
        <v>121</v>
      </c>
      <c r="C28" s="68" t="s">
        <v>1606</v>
      </c>
      <c r="D28" s="226">
        <v>18171</v>
      </c>
      <c r="E28" s="392">
        <v>145.62</v>
      </c>
      <c r="F28" s="392">
        <v>0</v>
      </c>
      <c r="G28" s="392">
        <f t="shared" si="1"/>
        <v>145.62</v>
      </c>
      <c r="K28" s="147" t="s">
        <v>1580</v>
      </c>
    </row>
    <row r="29" spans="1:11" ht="18.95" customHeight="1">
      <c r="A29" s="497">
        <f t="shared" si="0"/>
        <v>16</v>
      </c>
      <c r="B29" s="389">
        <v>121</v>
      </c>
      <c r="C29" s="68" t="s">
        <v>1607</v>
      </c>
      <c r="D29" s="226">
        <v>15249</v>
      </c>
      <c r="E29" s="392">
        <v>3590.58</v>
      </c>
      <c r="F29" s="392">
        <v>0</v>
      </c>
      <c r="G29" s="392">
        <f t="shared" si="1"/>
        <v>3590.58</v>
      </c>
      <c r="K29" s="147" t="s">
        <v>1580</v>
      </c>
    </row>
    <row r="30" spans="1:11" ht="18.95" customHeight="1">
      <c r="A30" s="497">
        <f t="shared" si="0"/>
        <v>17</v>
      </c>
      <c r="B30" s="389">
        <v>121</v>
      </c>
      <c r="C30" s="68" t="s">
        <v>1608</v>
      </c>
      <c r="D30" s="226">
        <v>33116</v>
      </c>
      <c r="E30" s="392">
        <v>192.5</v>
      </c>
      <c r="F30" s="392">
        <v>0</v>
      </c>
      <c r="G30" s="392">
        <f t="shared" si="1"/>
        <v>192.5</v>
      </c>
      <c r="K30" s="147" t="s">
        <v>1580</v>
      </c>
    </row>
    <row r="31" spans="1:11" ht="18.95" customHeight="1">
      <c r="A31" s="497">
        <f t="shared" si="0"/>
        <v>18</v>
      </c>
      <c r="B31" s="389">
        <v>121</v>
      </c>
      <c r="C31" s="68" t="s">
        <v>1609</v>
      </c>
      <c r="D31" s="226">
        <v>36191</v>
      </c>
      <c r="E31" s="392">
        <v>3402.5</v>
      </c>
      <c r="F31" s="392">
        <v>0</v>
      </c>
      <c r="G31" s="392">
        <f t="shared" si="1"/>
        <v>3402.5</v>
      </c>
      <c r="K31" s="147" t="s">
        <v>1580</v>
      </c>
    </row>
    <row r="32" spans="1:11" ht="18.95" customHeight="1">
      <c r="A32" s="497">
        <f t="shared" si="0"/>
        <v>19</v>
      </c>
      <c r="B32" s="389">
        <v>121</v>
      </c>
      <c r="C32" s="68" t="s">
        <v>1610</v>
      </c>
      <c r="D32" s="226">
        <v>21397</v>
      </c>
      <c r="E32" s="392">
        <v>160</v>
      </c>
      <c r="F32" s="392">
        <v>0</v>
      </c>
      <c r="G32" s="392">
        <f t="shared" si="1"/>
        <v>160</v>
      </c>
      <c r="K32" s="147" t="s">
        <v>1580</v>
      </c>
    </row>
    <row r="33" spans="1:11" ht="18.95" customHeight="1">
      <c r="A33" s="497">
        <f t="shared" si="0"/>
        <v>20</v>
      </c>
      <c r="B33" s="389">
        <v>121</v>
      </c>
      <c r="C33" s="68" t="s">
        <v>1611</v>
      </c>
      <c r="D33" s="226">
        <v>15341</v>
      </c>
      <c r="E33" s="392">
        <v>73</v>
      </c>
      <c r="F33" s="392">
        <v>0</v>
      </c>
      <c r="G33" s="392">
        <f t="shared" si="1"/>
        <v>73</v>
      </c>
      <c r="K33" s="147" t="s">
        <v>1580</v>
      </c>
    </row>
    <row r="34" spans="1:11" ht="18.95" customHeight="1">
      <c r="A34" s="497">
        <f t="shared" si="0"/>
        <v>21</v>
      </c>
      <c r="B34" s="389">
        <v>121</v>
      </c>
      <c r="C34" s="68" t="s">
        <v>1612</v>
      </c>
      <c r="D34" s="226">
        <v>15341</v>
      </c>
      <c r="E34" s="392">
        <v>59.8</v>
      </c>
      <c r="F34" s="392">
        <v>0</v>
      </c>
      <c r="G34" s="392">
        <f t="shared" si="1"/>
        <v>59.8</v>
      </c>
      <c r="K34" s="147" t="s">
        <v>1580</v>
      </c>
    </row>
    <row r="35" spans="1:11" ht="18.95" customHeight="1">
      <c r="A35" s="497">
        <f t="shared" si="0"/>
        <v>22</v>
      </c>
      <c r="B35" s="389">
        <v>121</v>
      </c>
      <c r="C35" s="68" t="s">
        <v>1613</v>
      </c>
      <c r="D35" s="226">
        <v>31351</v>
      </c>
      <c r="E35" s="392">
        <v>28294.17</v>
      </c>
      <c r="F35" s="392">
        <v>0</v>
      </c>
      <c r="G35" s="392">
        <f t="shared" si="1"/>
        <v>28294.17</v>
      </c>
      <c r="K35" s="147" t="s">
        <v>1580</v>
      </c>
    </row>
    <row r="36" spans="1:11" ht="18.95" customHeight="1">
      <c r="A36" s="497">
        <f t="shared" si="0"/>
        <v>23</v>
      </c>
      <c r="B36" s="389">
        <v>121</v>
      </c>
      <c r="C36" s="68" t="s">
        <v>1614</v>
      </c>
      <c r="D36" s="226">
        <v>15035</v>
      </c>
      <c r="E36" s="392">
        <v>800</v>
      </c>
      <c r="F36" s="392">
        <v>0</v>
      </c>
      <c r="G36" s="392">
        <f t="shared" si="1"/>
        <v>800</v>
      </c>
      <c r="K36" s="147" t="s">
        <v>1580</v>
      </c>
    </row>
    <row r="37" spans="1:11" ht="18.95" customHeight="1">
      <c r="A37" s="497">
        <f t="shared" si="0"/>
        <v>24</v>
      </c>
      <c r="B37" s="389">
        <v>121</v>
      </c>
      <c r="C37" s="68" t="s">
        <v>1615</v>
      </c>
      <c r="D37" s="226">
        <v>15096</v>
      </c>
      <c r="E37" s="392">
        <v>86.96</v>
      </c>
      <c r="F37" s="392">
        <v>0</v>
      </c>
      <c r="G37" s="392">
        <f t="shared" si="1"/>
        <v>86.96</v>
      </c>
      <c r="K37" s="147" t="s">
        <v>1580</v>
      </c>
    </row>
    <row r="38" spans="1:11" ht="18.95" customHeight="1">
      <c r="A38" s="497">
        <f t="shared" si="0"/>
        <v>25</v>
      </c>
      <c r="B38" s="389">
        <v>121</v>
      </c>
      <c r="C38" s="68" t="s">
        <v>1616</v>
      </c>
      <c r="D38" s="226">
        <v>18506</v>
      </c>
      <c r="E38" s="392">
        <v>2857.48</v>
      </c>
      <c r="F38" s="392">
        <v>0</v>
      </c>
      <c r="G38" s="392">
        <f t="shared" si="1"/>
        <v>2857.48</v>
      </c>
      <c r="K38" s="147" t="s">
        <v>1580</v>
      </c>
    </row>
    <row r="39" spans="1:11" ht="18.95" customHeight="1">
      <c r="A39" s="497">
        <f t="shared" si="0"/>
        <v>26</v>
      </c>
      <c r="B39" s="389">
        <v>121</v>
      </c>
      <c r="C39" s="68" t="s">
        <v>1617</v>
      </c>
      <c r="D39" s="226">
        <v>21915</v>
      </c>
      <c r="E39" s="393">
        <v>4100</v>
      </c>
      <c r="F39" s="393">
        <v>0</v>
      </c>
      <c r="G39" s="393">
        <f t="shared" si="1"/>
        <v>4100</v>
      </c>
      <c r="H39" s="227"/>
      <c r="K39" s="147" t="s">
        <v>1580</v>
      </c>
    </row>
    <row r="40" spans="1:11" ht="18.95" customHeight="1" thickBot="1">
      <c r="A40" s="497">
        <f t="shared" si="0"/>
        <v>27</v>
      </c>
      <c r="B40" s="71"/>
      <c r="C40" s="68" t="s">
        <v>234</v>
      </c>
      <c r="D40" s="226"/>
      <c r="E40" s="391">
        <f>SUM(E15:E39)</f>
        <v>178713.89</v>
      </c>
      <c r="F40" s="391">
        <v>0</v>
      </c>
      <c r="G40" s="391">
        <f t="shared" ref="G40" si="2">E40-F40</f>
        <v>178713.89</v>
      </c>
      <c r="H40" s="391">
        <f>SUM(H15:H39)</f>
        <v>0</v>
      </c>
      <c r="K40" s="147" t="s">
        <v>1580</v>
      </c>
    </row>
    <row r="41" spans="1:11" ht="18.95" customHeight="1" thickTop="1">
      <c r="B41" s="71"/>
      <c r="C41" s="68"/>
      <c r="E41" s="86"/>
      <c r="K41" s="147"/>
    </row>
    <row r="42" spans="1:11" s="68" customFormat="1" ht="20.100000000000001" customHeight="1">
      <c r="A42" s="769" t="str">
        <f>$A$1</f>
        <v>KENTUCKY UTILITIES COMPANY</v>
      </c>
      <c r="B42" s="769"/>
      <c r="C42" s="769"/>
      <c r="D42" s="769"/>
      <c r="E42" s="769"/>
      <c r="F42" s="769"/>
      <c r="G42" s="769"/>
      <c r="H42" s="769"/>
      <c r="I42" s="769"/>
      <c r="J42" s="769"/>
      <c r="K42" s="769"/>
    </row>
    <row r="43" spans="1:11" s="68" customFormat="1" ht="20.100000000000001" customHeight="1">
      <c r="A43" s="769" t="str">
        <f>$A$2</f>
        <v>CASE NO. 2018-00294 - RESPONSE TO PSC 2-65 (SLIPPAGE FACTOR 96.027%)</v>
      </c>
      <c r="B43" s="769"/>
      <c r="C43" s="769"/>
      <c r="D43" s="769"/>
      <c r="E43" s="769"/>
      <c r="F43" s="769"/>
      <c r="G43" s="769"/>
      <c r="H43" s="769"/>
      <c r="I43" s="769"/>
      <c r="J43" s="769"/>
      <c r="K43" s="769"/>
    </row>
    <row r="44" spans="1:11" s="68" customFormat="1" ht="20.100000000000001" customHeight="1">
      <c r="A44" s="769" t="str">
        <f>$A$3</f>
        <v>PROPERTY EXCLUDED FROM RATE BASE</v>
      </c>
      <c r="B44" s="769"/>
      <c r="C44" s="769"/>
      <c r="D44" s="769"/>
      <c r="E44" s="769"/>
      <c r="F44" s="769"/>
      <c r="G44" s="769"/>
      <c r="H44" s="769"/>
      <c r="I44" s="769"/>
      <c r="J44" s="769"/>
      <c r="K44" s="769"/>
    </row>
    <row r="45" spans="1:11" s="68" customFormat="1" ht="20.100000000000001" customHeight="1">
      <c r="A45" s="769" t="str">
        <f>$A$4</f>
        <v>(FOR REASONS OTHER THAN JURISDICTIONAL ALLOCATION)</v>
      </c>
      <c r="B45" s="769"/>
      <c r="C45" s="769"/>
      <c r="D45" s="769"/>
      <c r="E45" s="769"/>
      <c r="F45" s="769"/>
      <c r="G45" s="769"/>
      <c r="H45" s="769"/>
      <c r="I45" s="769"/>
      <c r="J45" s="769"/>
      <c r="K45" s="769"/>
    </row>
    <row r="46" spans="1:11" s="68" customFormat="1" ht="20.100000000000001" customHeight="1">
      <c r="A46" s="769" t="str">
        <f>'Rate Case Constants'!C18</f>
        <v>AS OF APRIL 30, 2020</v>
      </c>
      <c r="B46" s="769"/>
      <c r="C46" s="769"/>
      <c r="D46" s="769"/>
      <c r="E46" s="769"/>
      <c r="F46" s="769"/>
      <c r="G46" s="769"/>
      <c r="H46" s="769"/>
      <c r="I46" s="769"/>
      <c r="J46" s="769"/>
      <c r="K46" s="769"/>
    </row>
    <row r="47" spans="1:11" s="68" customFormat="1" ht="20.100000000000001" customHeight="1">
      <c r="A47" s="84"/>
      <c r="B47" s="84"/>
      <c r="C47" s="84"/>
      <c r="D47" s="84"/>
      <c r="E47" s="84"/>
      <c r="F47" s="84"/>
      <c r="G47" s="84"/>
      <c r="H47" s="84"/>
      <c r="I47" s="84"/>
      <c r="J47" s="84"/>
      <c r="K47" s="84"/>
    </row>
    <row r="48" spans="1:11" s="68" customFormat="1" ht="20.100000000000001" customHeight="1">
      <c r="A48" s="67" t="s">
        <v>161</v>
      </c>
      <c r="B48" s="67"/>
      <c r="H48" s="74"/>
      <c r="I48" s="74"/>
      <c r="J48" s="74"/>
      <c r="K48" s="74" t="s">
        <v>207</v>
      </c>
    </row>
    <row r="49" spans="1:11" s="68" customFormat="1" ht="20.100000000000001" customHeight="1">
      <c r="A49" s="67" t="str">
        <f>$A$8</f>
        <v>TYPE OF FILING: __X__ ORIGINAL  _____ UPDATED  _____ REVISED</v>
      </c>
      <c r="H49" s="74"/>
      <c r="I49" s="74"/>
      <c r="J49" s="74"/>
      <c r="K49" s="74" t="s">
        <v>185</v>
      </c>
    </row>
    <row r="50" spans="1:11" s="68" customFormat="1" ht="20.100000000000001" customHeight="1">
      <c r="A50" s="67" t="str">
        <f>$A$9</f>
        <v>WORKPAPER REFERENCE NO(S).:</v>
      </c>
      <c r="B50" s="67"/>
      <c r="G50" s="67"/>
      <c r="H50" s="75"/>
      <c r="I50" s="75"/>
      <c r="J50" s="75"/>
      <c r="K50" s="75" t="str">
        <f>$K$9</f>
        <v>WITNESS:   C. M. GARRETT</v>
      </c>
    </row>
    <row r="51" spans="1:11" s="68" customFormat="1" ht="20.100000000000001" customHeight="1"/>
    <row r="52" spans="1:11" s="68" customFormat="1" ht="20.100000000000001" customHeight="1">
      <c r="A52" s="96"/>
      <c r="B52" s="96"/>
      <c r="C52" s="96"/>
      <c r="D52" s="96"/>
      <c r="E52" s="96"/>
      <c r="F52" s="96"/>
      <c r="G52" s="96"/>
      <c r="H52" s="771" t="s">
        <v>211</v>
      </c>
      <c r="I52" s="771"/>
      <c r="J52" s="771"/>
      <c r="K52" s="97"/>
    </row>
    <row r="53" spans="1:11" ht="43.5" customHeight="1">
      <c r="A53" s="71" t="s">
        <v>131</v>
      </c>
      <c r="B53" s="71" t="s">
        <v>134</v>
      </c>
      <c r="C53" s="71" t="s">
        <v>213</v>
      </c>
      <c r="D53" s="71" t="s">
        <v>210</v>
      </c>
      <c r="E53" s="71" t="s">
        <v>199</v>
      </c>
      <c r="F53" s="71" t="s">
        <v>200</v>
      </c>
      <c r="G53" s="71" t="s">
        <v>201</v>
      </c>
      <c r="H53" s="71" t="s">
        <v>202</v>
      </c>
      <c r="I53" s="71" t="s">
        <v>203</v>
      </c>
      <c r="J53" s="71" t="s">
        <v>205</v>
      </c>
      <c r="K53" s="98" t="s">
        <v>212</v>
      </c>
    </row>
    <row r="54" spans="1:11" ht="23.1" customHeight="1">
      <c r="A54" s="80"/>
      <c r="B54" s="80"/>
      <c r="C54" s="81"/>
      <c r="D54" s="82"/>
      <c r="E54" s="82" t="s">
        <v>142</v>
      </c>
      <c r="F54" s="82" t="s">
        <v>142</v>
      </c>
      <c r="G54" s="82" t="s">
        <v>142</v>
      </c>
      <c r="H54" s="82" t="s">
        <v>142</v>
      </c>
      <c r="I54" s="82"/>
      <c r="J54" s="82"/>
      <c r="K54" s="82"/>
    </row>
    <row r="55" spans="1:11" ht="23.1" customHeight="1">
      <c r="A55" s="221">
        <v>1</v>
      </c>
      <c r="B55" s="73"/>
      <c r="C55" s="225" t="s">
        <v>1618</v>
      </c>
      <c r="D55" s="95"/>
      <c r="E55" s="95"/>
      <c r="F55" s="95"/>
      <c r="G55" s="95"/>
      <c r="H55" s="95"/>
      <c r="I55" s="95"/>
      <c r="J55" s="95"/>
      <c r="K55" s="95"/>
    </row>
    <row r="56" spans="1:11" ht="18.95" customHeight="1">
      <c r="A56" s="221">
        <f>A55+1</f>
        <v>2</v>
      </c>
      <c r="B56" s="389">
        <v>121</v>
      </c>
      <c r="C56" s="68" t="s">
        <v>1593</v>
      </c>
      <c r="D56" s="226">
        <v>26876</v>
      </c>
      <c r="E56" s="392">
        <v>7073.06</v>
      </c>
      <c r="F56" s="392">
        <v>0</v>
      </c>
      <c r="G56" s="392">
        <f>E56-F56</f>
        <v>7073.06</v>
      </c>
      <c r="K56" s="147" t="s">
        <v>1580</v>
      </c>
    </row>
    <row r="57" spans="1:11" ht="18.95" customHeight="1">
      <c r="A57" s="221">
        <f t="shared" ref="A57:A81" si="3">A56+1</f>
        <v>3</v>
      </c>
      <c r="B57" s="389">
        <v>121</v>
      </c>
      <c r="C57" s="68" t="s">
        <v>1594</v>
      </c>
      <c r="D57" s="226">
        <v>21915</v>
      </c>
      <c r="E57" s="392">
        <v>2210.35</v>
      </c>
      <c r="F57" s="392">
        <v>0</v>
      </c>
      <c r="G57" s="392">
        <f t="shared" ref="G57:G81" si="4">E57-F57</f>
        <v>2210.35</v>
      </c>
      <c r="K57" s="147" t="s">
        <v>1580</v>
      </c>
    </row>
    <row r="58" spans="1:11" ht="18.95" customHeight="1">
      <c r="A58" s="221">
        <f t="shared" si="3"/>
        <v>4</v>
      </c>
      <c r="B58" s="389">
        <v>121</v>
      </c>
      <c r="C58" s="68" t="s">
        <v>1595</v>
      </c>
      <c r="D58" s="226">
        <v>33450</v>
      </c>
      <c r="E58" s="392">
        <v>29788.73</v>
      </c>
      <c r="F58" s="392">
        <v>0</v>
      </c>
      <c r="G58" s="392">
        <f t="shared" si="4"/>
        <v>29788.73</v>
      </c>
      <c r="K58" s="147" t="s">
        <v>1580</v>
      </c>
    </row>
    <row r="59" spans="1:11" ht="18.95" customHeight="1">
      <c r="A59" s="221">
        <f t="shared" si="3"/>
        <v>5</v>
      </c>
      <c r="B59" s="389">
        <v>121</v>
      </c>
      <c r="C59" s="68" t="s">
        <v>1596</v>
      </c>
      <c r="D59" s="226">
        <v>15341</v>
      </c>
      <c r="E59" s="392">
        <v>75</v>
      </c>
      <c r="F59" s="392">
        <v>0</v>
      </c>
      <c r="G59" s="392">
        <f t="shared" si="4"/>
        <v>75</v>
      </c>
      <c r="K59" s="147" t="s">
        <v>1580</v>
      </c>
    </row>
    <row r="60" spans="1:11" ht="18.95" customHeight="1">
      <c r="A60" s="221">
        <f t="shared" si="3"/>
        <v>6</v>
      </c>
      <c r="B60" s="389">
        <v>121</v>
      </c>
      <c r="C60" s="68" t="s">
        <v>1597</v>
      </c>
      <c r="D60" s="226">
        <v>15219</v>
      </c>
      <c r="E60" s="392">
        <v>500</v>
      </c>
      <c r="F60" s="392">
        <v>0</v>
      </c>
      <c r="G60" s="392">
        <f t="shared" si="4"/>
        <v>500</v>
      </c>
      <c r="K60" s="147" t="s">
        <v>1580</v>
      </c>
    </row>
    <row r="61" spans="1:11" ht="18.95" customHeight="1">
      <c r="A61" s="221">
        <f t="shared" si="3"/>
        <v>7</v>
      </c>
      <c r="B61" s="389">
        <v>121</v>
      </c>
      <c r="C61" s="68" t="s">
        <v>1598</v>
      </c>
      <c r="D61" s="226">
        <v>15035</v>
      </c>
      <c r="E61" s="392">
        <v>961.5</v>
      </c>
      <c r="F61" s="392">
        <v>0</v>
      </c>
      <c r="G61" s="392">
        <f t="shared" si="4"/>
        <v>961.5</v>
      </c>
      <c r="K61" s="147" t="s">
        <v>1580</v>
      </c>
    </row>
    <row r="62" spans="1:11" ht="18.95" customHeight="1">
      <c r="A62" s="221">
        <f t="shared" si="3"/>
        <v>8</v>
      </c>
      <c r="B62" s="389">
        <v>121</v>
      </c>
      <c r="C62" s="68" t="s">
        <v>1599</v>
      </c>
      <c r="D62" s="226">
        <v>19663</v>
      </c>
      <c r="E62" s="392">
        <v>212.25</v>
      </c>
      <c r="F62" s="392">
        <v>0</v>
      </c>
      <c r="G62" s="392">
        <f t="shared" si="4"/>
        <v>212.25</v>
      </c>
      <c r="K62" s="147" t="s">
        <v>1580</v>
      </c>
    </row>
    <row r="63" spans="1:11" ht="18.95" customHeight="1">
      <c r="A63" s="221">
        <f t="shared" si="3"/>
        <v>9</v>
      </c>
      <c r="B63" s="389">
        <v>121</v>
      </c>
      <c r="C63" s="68" t="s">
        <v>1600</v>
      </c>
      <c r="D63" s="226">
        <v>14884</v>
      </c>
      <c r="E63" s="392">
        <v>12950</v>
      </c>
      <c r="F63" s="392">
        <v>0</v>
      </c>
      <c r="G63" s="392">
        <f t="shared" si="4"/>
        <v>12950</v>
      </c>
      <c r="K63" s="147" t="s">
        <v>1580</v>
      </c>
    </row>
    <row r="64" spans="1:11" ht="18.95" customHeight="1">
      <c r="A64" s="221">
        <f t="shared" si="3"/>
        <v>10</v>
      </c>
      <c r="B64" s="389">
        <v>121</v>
      </c>
      <c r="C64" s="68" t="s">
        <v>1601</v>
      </c>
      <c r="D64" s="226">
        <v>24776</v>
      </c>
      <c r="E64" s="392">
        <v>79501.5</v>
      </c>
      <c r="F64" s="392">
        <v>0</v>
      </c>
      <c r="G64" s="392">
        <f t="shared" si="4"/>
        <v>79501.5</v>
      </c>
      <c r="K64" s="147" t="s">
        <v>1580</v>
      </c>
    </row>
    <row r="65" spans="1:11" ht="18.95" customHeight="1">
      <c r="A65" s="221">
        <f t="shared" si="3"/>
        <v>11</v>
      </c>
      <c r="B65" s="389">
        <v>121</v>
      </c>
      <c r="C65" s="68" t="s">
        <v>1602</v>
      </c>
      <c r="D65" s="226">
        <v>15341</v>
      </c>
      <c r="E65" s="392">
        <v>250</v>
      </c>
      <c r="F65" s="392">
        <v>0</v>
      </c>
      <c r="G65" s="392">
        <f t="shared" si="4"/>
        <v>250</v>
      </c>
      <c r="K65" s="147" t="s">
        <v>1580</v>
      </c>
    </row>
    <row r="66" spans="1:11" ht="18.95" customHeight="1">
      <c r="A66" s="497">
        <f t="shared" si="3"/>
        <v>12</v>
      </c>
      <c r="B66" s="389">
        <v>121</v>
      </c>
      <c r="C66" s="68" t="s">
        <v>1603</v>
      </c>
      <c r="D66" s="226">
        <v>18506</v>
      </c>
      <c r="E66" s="392">
        <v>429</v>
      </c>
      <c r="F66" s="392">
        <v>0</v>
      </c>
      <c r="G66" s="392">
        <f t="shared" si="4"/>
        <v>429</v>
      </c>
      <c r="K66" s="147" t="s">
        <v>1580</v>
      </c>
    </row>
    <row r="67" spans="1:11" ht="18.95" customHeight="1">
      <c r="A67" s="497">
        <f t="shared" si="3"/>
        <v>13</v>
      </c>
      <c r="B67" s="389">
        <v>121</v>
      </c>
      <c r="C67" s="68" t="s">
        <v>1604</v>
      </c>
      <c r="D67" s="226">
        <v>15341</v>
      </c>
      <c r="E67" s="392">
        <v>149.88999999999999</v>
      </c>
      <c r="F67" s="392">
        <v>0</v>
      </c>
      <c r="G67" s="392">
        <f t="shared" si="4"/>
        <v>149.88999999999999</v>
      </c>
      <c r="K67" s="147" t="s">
        <v>1580</v>
      </c>
    </row>
    <row r="68" spans="1:11" ht="18.95" customHeight="1">
      <c r="A68" s="497">
        <f t="shared" si="3"/>
        <v>14</v>
      </c>
      <c r="B68" s="389">
        <v>121</v>
      </c>
      <c r="C68" s="68" t="s">
        <v>1605</v>
      </c>
      <c r="D68" s="226">
        <v>15341</v>
      </c>
      <c r="E68" s="392">
        <v>850</v>
      </c>
      <c r="F68" s="392">
        <v>0</v>
      </c>
      <c r="G68" s="392">
        <f t="shared" si="4"/>
        <v>850</v>
      </c>
      <c r="K68" s="147" t="s">
        <v>1580</v>
      </c>
    </row>
    <row r="69" spans="1:11" ht="18.95" customHeight="1">
      <c r="A69" s="497">
        <f t="shared" si="3"/>
        <v>15</v>
      </c>
      <c r="B69" s="389">
        <v>121</v>
      </c>
      <c r="C69" s="68" t="s">
        <v>1606</v>
      </c>
      <c r="D69" s="226">
        <v>18171</v>
      </c>
      <c r="E69" s="392">
        <v>145.62</v>
      </c>
      <c r="F69" s="392">
        <v>0</v>
      </c>
      <c r="G69" s="392">
        <f t="shared" si="4"/>
        <v>145.62</v>
      </c>
      <c r="K69" s="147" t="s">
        <v>1580</v>
      </c>
    </row>
    <row r="70" spans="1:11" ht="18.95" customHeight="1">
      <c r="A70" s="497">
        <f t="shared" si="3"/>
        <v>16</v>
      </c>
      <c r="B70" s="389">
        <v>121</v>
      </c>
      <c r="C70" s="68" t="s">
        <v>1607</v>
      </c>
      <c r="D70" s="226">
        <v>15249</v>
      </c>
      <c r="E70" s="392">
        <v>3590.58</v>
      </c>
      <c r="F70" s="392">
        <v>0</v>
      </c>
      <c r="G70" s="392">
        <f t="shared" si="4"/>
        <v>3590.58</v>
      </c>
      <c r="K70" s="147" t="s">
        <v>1580</v>
      </c>
    </row>
    <row r="71" spans="1:11" ht="18.95" customHeight="1">
      <c r="A71" s="497">
        <f t="shared" si="3"/>
        <v>17</v>
      </c>
      <c r="B71" s="389">
        <v>121</v>
      </c>
      <c r="C71" s="68" t="s">
        <v>1608</v>
      </c>
      <c r="D71" s="226">
        <v>33116</v>
      </c>
      <c r="E71" s="392">
        <v>192.5</v>
      </c>
      <c r="F71" s="392">
        <v>0</v>
      </c>
      <c r="G71" s="392">
        <f t="shared" si="4"/>
        <v>192.5</v>
      </c>
      <c r="K71" s="147" t="s">
        <v>1580</v>
      </c>
    </row>
    <row r="72" spans="1:11" ht="18.95" customHeight="1">
      <c r="A72" s="221">
        <f t="shared" si="3"/>
        <v>18</v>
      </c>
      <c r="B72" s="389">
        <v>121</v>
      </c>
      <c r="C72" s="68" t="s">
        <v>1609</v>
      </c>
      <c r="D72" s="226">
        <v>36191</v>
      </c>
      <c r="E72" s="392">
        <v>3402.5</v>
      </c>
      <c r="F72" s="392">
        <v>0</v>
      </c>
      <c r="G72" s="392">
        <f t="shared" si="4"/>
        <v>3402.5</v>
      </c>
      <c r="K72" s="147" t="s">
        <v>1580</v>
      </c>
    </row>
    <row r="73" spans="1:11" ht="18.95" customHeight="1">
      <c r="A73" s="221">
        <f t="shared" si="3"/>
        <v>19</v>
      </c>
      <c r="B73" s="389">
        <v>121</v>
      </c>
      <c r="C73" s="68" t="s">
        <v>1610</v>
      </c>
      <c r="D73" s="226">
        <v>21397</v>
      </c>
      <c r="E73" s="392">
        <v>160</v>
      </c>
      <c r="F73" s="392">
        <v>0</v>
      </c>
      <c r="G73" s="392">
        <f t="shared" si="4"/>
        <v>160</v>
      </c>
      <c r="K73" s="147" t="s">
        <v>1580</v>
      </c>
    </row>
    <row r="74" spans="1:11" ht="18.95" customHeight="1">
      <c r="A74" s="221">
        <f t="shared" si="3"/>
        <v>20</v>
      </c>
      <c r="B74" s="389">
        <v>121</v>
      </c>
      <c r="C74" s="68" t="s">
        <v>1611</v>
      </c>
      <c r="D74" s="226">
        <v>15341</v>
      </c>
      <c r="E74" s="392">
        <v>73</v>
      </c>
      <c r="F74" s="392">
        <v>0</v>
      </c>
      <c r="G74" s="392">
        <f t="shared" si="4"/>
        <v>73</v>
      </c>
      <c r="K74" s="147" t="s">
        <v>1580</v>
      </c>
    </row>
    <row r="75" spans="1:11" ht="18.95" customHeight="1">
      <c r="A75" s="221">
        <f t="shared" si="3"/>
        <v>21</v>
      </c>
      <c r="B75" s="389">
        <v>121</v>
      </c>
      <c r="C75" s="68" t="s">
        <v>1612</v>
      </c>
      <c r="D75" s="226">
        <v>15341</v>
      </c>
      <c r="E75" s="392">
        <v>59.8</v>
      </c>
      <c r="F75" s="392">
        <v>0</v>
      </c>
      <c r="G75" s="392">
        <f t="shared" si="4"/>
        <v>59.8</v>
      </c>
      <c r="K75" s="147" t="s">
        <v>1580</v>
      </c>
    </row>
    <row r="76" spans="1:11" ht="18.95" customHeight="1">
      <c r="A76" s="221">
        <f t="shared" si="3"/>
        <v>22</v>
      </c>
      <c r="B76" s="389">
        <v>121</v>
      </c>
      <c r="C76" s="68" t="s">
        <v>1613</v>
      </c>
      <c r="D76" s="226">
        <v>31351</v>
      </c>
      <c r="E76" s="392">
        <v>28294.17</v>
      </c>
      <c r="F76" s="392">
        <v>0</v>
      </c>
      <c r="G76" s="392">
        <f t="shared" si="4"/>
        <v>28294.17</v>
      </c>
      <c r="K76" s="147" t="s">
        <v>1580</v>
      </c>
    </row>
    <row r="77" spans="1:11" ht="18.95" customHeight="1">
      <c r="A77" s="221">
        <f t="shared" si="3"/>
        <v>23</v>
      </c>
      <c r="B77" s="389">
        <v>121</v>
      </c>
      <c r="C77" s="68" t="s">
        <v>1614</v>
      </c>
      <c r="D77" s="226">
        <v>15035</v>
      </c>
      <c r="E77" s="392">
        <v>800</v>
      </c>
      <c r="F77" s="392">
        <v>0</v>
      </c>
      <c r="G77" s="392">
        <f t="shared" si="4"/>
        <v>800</v>
      </c>
      <c r="K77" s="147" t="s">
        <v>1580</v>
      </c>
    </row>
    <row r="78" spans="1:11" ht="18.95" customHeight="1">
      <c r="A78" s="221">
        <f t="shared" si="3"/>
        <v>24</v>
      </c>
      <c r="B78" s="389">
        <v>121</v>
      </c>
      <c r="C78" s="68" t="s">
        <v>1615</v>
      </c>
      <c r="D78" s="226">
        <v>15096</v>
      </c>
      <c r="E78" s="392">
        <v>86.96</v>
      </c>
      <c r="F78" s="392">
        <v>0</v>
      </c>
      <c r="G78" s="392">
        <f t="shared" si="4"/>
        <v>86.96</v>
      </c>
      <c r="K78" s="147" t="s">
        <v>1580</v>
      </c>
    </row>
    <row r="79" spans="1:11" ht="18.95" customHeight="1">
      <c r="A79" s="221">
        <f t="shared" si="3"/>
        <v>25</v>
      </c>
      <c r="B79" s="389">
        <v>121</v>
      </c>
      <c r="C79" s="68" t="s">
        <v>1616</v>
      </c>
      <c r="D79" s="226">
        <v>18506</v>
      </c>
      <c r="E79" s="392">
        <v>2857.48</v>
      </c>
      <c r="F79" s="392">
        <v>0</v>
      </c>
      <c r="G79" s="392">
        <f t="shared" si="4"/>
        <v>2857.48</v>
      </c>
      <c r="K79" s="147" t="s">
        <v>1580</v>
      </c>
    </row>
    <row r="80" spans="1:11" ht="18.95" customHeight="1">
      <c r="A80" s="221">
        <f t="shared" si="3"/>
        <v>26</v>
      </c>
      <c r="B80" s="389">
        <v>121</v>
      </c>
      <c r="C80" s="68" t="s">
        <v>1617</v>
      </c>
      <c r="D80" s="226">
        <v>21915</v>
      </c>
      <c r="E80" s="393">
        <v>4100</v>
      </c>
      <c r="F80" s="393">
        <v>0</v>
      </c>
      <c r="G80" s="393">
        <f t="shared" si="4"/>
        <v>4100</v>
      </c>
      <c r="H80" s="227"/>
      <c r="K80" s="147" t="s">
        <v>1580</v>
      </c>
    </row>
    <row r="81" spans="1:11" ht="18.95" customHeight="1" thickBot="1">
      <c r="A81" s="221">
        <f t="shared" si="3"/>
        <v>27</v>
      </c>
      <c r="B81" s="71"/>
      <c r="C81" s="68" t="s">
        <v>234</v>
      </c>
      <c r="D81" s="226"/>
      <c r="E81" s="391">
        <f>SUM(E56:E80)</f>
        <v>178713.89</v>
      </c>
      <c r="F81" s="391">
        <v>0</v>
      </c>
      <c r="G81" s="391">
        <f t="shared" si="4"/>
        <v>178713.89</v>
      </c>
      <c r="H81" s="391">
        <f>SUM(H56:H80)</f>
        <v>0</v>
      </c>
      <c r="K81" s="147" t="s">
        <v>1580</v>
      </c>
    </row>
    <row r="82" spans="1:11" ht="18.95" customHeight="1" thickTop="1">
      <c r="B82" s="71"/>
      <c r="C82" s="78"/>
    </row>
    <row r="83" spans="1:11" ht="18.95" customHeight="1">
      <c r="B83" s="71"/>
    </row>
    <row r="84" spans="1:11" ht="18.95" customHeight="1">
      <c r="D84" s="69" t="s">
        <v>160</v>
      </c>
      <c r="E84" s="69" t="s">
        <v>160</v>
      </c>
    </row>
    <row r="85" spans="1:11" ht="18.95" customHeight="1"/>
    <row r="86" spans="1:11" ht="18.95" customHeight="1"/>
    <row r="87" spans="1:11" ht="18.95" customHeight="1"/>
    <row r="88" spans="1:11" ht="18.95" customHeight="1"/>
    <row r="89" spans="1:11" ht="18.95" customHeight="1"/>
    <row r="90" spans="1:11" ht="18.95" customHeight="1"/>
    <row r="91" spans="1:11" ht="18.95" customHeight="1"/>
    <row r="92" spans="1:11" ht="18.95" customHeight="1"/>
    <row r="93" spans="1:11" ht="18.95" customHeight="1"/>
    <row r="94" spans="1:11" ht="18.95" customHeight="1"/>
    <row r="95" spans="1:11" ht="18.95" customHeight="1"/>
    <row r="96" spans="1:11" ht="18.95" customHeight="1"/>
  </sheetData>
  <mergeCells count="12">
    <mergeCell ref="A1:K1"/>
    <mergeCell ref="A2:K2"/>
    <mergeCell ref="A3:K3"/>
    <mergeCell ref="A5:K5"/>
    <mergeCell ref="H11:J11"/>
    <mergeCell ref="A4:K4"/>
    <mergeCell ref="A42:K42"/>
    <mergeCell ref="A43:K43"/>
    <mergeCell ref="A44:K44"/>
    <mergeCell ref="A46:K46"/>
    <mergeCell ref="H52:J52"/>
    <mergeCell ref="A45:K45"/>
  </mergeCells>
  <pageMargins left="0.95" right="0.5" top="0.75" bottom="0.75" header="0.3" footer="0.3"/>
  <pageSetup scale="52" fitToHeight="0" orientation="portrait" r:id="rId1"/>
  <rowBreaks count="1" manualBreakCount="1">
    <brk id="4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P134"/>
  <sheetViews>
    <sheetView zoomScaleNormal="100" workbookViewId="0">
      <selection sqref="A1:I1"/>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5.77734375" style="69" customWidth="1"/>
    <col min="6" max="6" width="9.88671875" style="69" customWidth="1"/>
    <col min="7" max="9" width="15.77734375" style="69" customWidth="1"/>
    <col min="10" max="10" width="1.6640625" style="69" customWidth="1"/>
    <col min="11" max="11" width="9" style="69"/>
    <col min="12" max="12" width="13.109375" style="69" customWidth="1"/>
    <col min="13" max="13" width="11.77734375" style="69" customWidth="1"/>
    <col min="14" max="14" width="12.6640625" style="69" customWidth="1"/>
    <col min="15" max="15" width="12.88671875" style="69" customWidth="1"/>
    <col min="16" max="16384" width="9" style="69"/>
  </cols>
  <sheetData>
    <row r="1" spans="1:16" s="68" customFormat="1" ht="20.100000000000001" customHeight="1">
      <c r="A1" s="769" t="str">
        <f>'Rate Case Constants'!C9</f>
        <v>KENTUCKY UTILITIES COMPANY</v>
      </c>
      <c r="B1" s="769"/>
      <c r="C1" s="769"/>
      <c r="D1" s="769"/>
      <c r="E1" s="769"/>
      <c r="F1" s="769"/>
      <c r="G1" s="769"/>
      <c r="H1" s="769"/>
      <c r="I1" s="769"/>
    </row>
    <row r="2" spans="1:16" s="68" customFormat="1" ht="20.100000000000001" customHeight="1">
      <c r="A2" s="769" t="str">
        <f>'Rate Case Constants'!C10</f>
        <v>CASE NO. 2018-00294 - RESPONSE TO PSC 2-65 (SLIPPAGE FACTOR 96.027%)</v>
      </c>
      <c r="B2" s="769"/>
      <c r="C2" s="769"/>
      <c r="D2" s="769"/>
      <c r="E2" s="769"/>
      <c r="F2" s="769"/>
      <c r="G2" s="769"/>
      <c r="H2" s="769"/>
      <c r="I2" s="769"/>
    </row>
    <row r="3" spans="1:16" s="68" customFormat="1" ht="20.100000000000001" customHeight="1">
      <c r="A3" s="769" t="s">
        <v>1200</v>
      </c>
      <c r="B3" s="769"/>
      <c r="C3" s="769"/>
      <c r="D3" s="769"/>
      <c r="E3" s="769"/>
      <c r="F3" s="769"/>
      <c r="G3" s="769"/>
      <c r="H3" s="769"/>
      <c r="I3" s="769"/>
    </row>
    <row r="4" spans="1:16" s="68" customFormat="1" ht="20.100000000000001" customHeight="1">
      <c r="A4" s="768" t="str">
        <f>'Rate Case Constants'!C12</f>
        <v>AS OF DECEMBER 31, 2018</v>
      </c>
      <c r="B4" s="769"/>
      <c r="C4" s="769"/>
      <c r="D4" s="769"/>
      <c r="E4" s="769"/>
      <c r="F4" s="769"/>
      <c r="G4" s="769"/>
      <c r="H4" s="769"/>
      <c r="I4" s="769"/>
    </row>
    <row r="5" spans="1:16" s="68" customFormat="1" ht="20.100000000000001" customHeight="1">
      <c r="A5" s="84"/>
      <c r="B5" s="84"/>
      <c r="C5" s="84"/>
      <c r="D5" s="84"/>
      <c r="E5" s="84"/>
      <c r="F5" s="84"/>
      <c r="G5" s="84"/>
      <c r="H5" s="84"/>
      <c r="I5" s="84"/>
    </row>
    <row r="6" spans="1:16" s="68" customFormat="1" ht="20.100000000000001" customHeight="1">
      <c r="A6" s="67" t="s">
        <v>133</v>
      </c>
      <c r="B6" s="67"/>
      <c r="H6" s="74"/>
      <c r="I6" s="74" t="s">
        <v>1199</v>
      </c>
    </row>
    <row r="7" spans="1:16" s="68" customFormat="1" ht="20.100000000000001" customHeight="1">
      <c r="A7" s="68" t="str">
        <f>'Rate Case Constants'!C29</f>
        <v>TYPE OF FILING: __X__ ORIGINAL  _____ UPDATED  _____ REVISED</v>
      </c>
      <c r="H7" s="74"/>
      <c r="I7" s="74" t="s">
        <v>173</v>
      </c>
    </row>
    <row r="8" spans="1:16" s="68" customFormat="1" ht="20.100000000000001" customHeight="1">
      <c r="A8" s="67" t="s">
        <v>1198</v>
      </c>
      <c r="B8" s="67"/>
      <c r="F8" s="67"/>
      <c r="G8" s="67"/>
      <c r="H8" s="75"/>
      <c r="I8" s="75" t="str">
        <f>'Rate Case Constants'!C36</f>
        <v>WITNESS:   C. M. GARRETT</v>
      </c>
    </row>
    <row r="9" spans="1:16" s="68" customFormat="1" ht="20.100000000000001" customHeight="1"/>
    <row r="10" spans="1:16" s="68" customFormat="1" ht="20.100000000000001" customHeight="1">
      <c r="A10" s="96"/>
      <c r="B10" s="96"/>
      <c r="C10" s="96"/>
      <c r="D10" s="96"/>
      <c r="E10" s="771" t="s">
        <v>1203</v>
      </c>
      <c r="F10" s="771"/>
      <c r="G10" s="771"/>
      <c r="H10" s="771"/>
      <c r="I10" s="771"/>
      <c r="L10" s="399" t="s">
        <v>2181</v>
      </c>
      <c r="M10" s="399"/>
      <c r="N10" s="399"/>
      <c r="O10" s="399"/>
      <c r="P10" s="399"/>
    </row>
    <row r="11" spans="1:16" ht="65.099999999999994" customHeight="1">
      <c r="A11" s="71" t="s">
        <v>131</v>
      </c>
      <c r="B11" s="71" t="s">
        <v>134</v>
      </c>
      <c r="C11" s="78" t="s">
        <v>135</v>
      </c>
      <c r="D11" s="71" t="s">
        <v>1201</v>
      </c>
      <c r="E11" s="71" t="s">
        <v>1202</v>
      </c>
      <c r="F11" s="71" t="s">
        <v>224</v>
      </c>
      <c r="G11" s="71" t="s">
        <v>225</v>
      </c>
      <c r="H11" s="71" t="s">
        <v>226</v>
      </c>
      <c r="I11" s="71" t="s">
        <v>227</v>
      </c>
    </row>
    <row r="12" spans="1:16" ht="23.1" customHeight="1">
      <c r="A12" s="80"/>
      <c r="B12" s="80"/>
      <c r="C12" s="81"/>
      <c r="D12" s="82" t="s">
        <v>142</v>
      </c>
      <c r="E12" s="82" t="s">
        <v>142</v>
      </c>
      <c r="F12" s="82"/>
      <c r="G12" s="82" t="s">
        <v>142</v>
      </c>
      <c r="H12" s="82" t="s">
        <v>142</v>
      </c>
      <c r="I12" s="82" t="s">
        <v>142</v>
      </c>
    </row>
    <row r="13" spans="1:16" ht="23.1" customHeight="1">
      <c r="A13" s="73">
        <v>1</v>
      </c>
      <c r="B13" s="73"/>
      <c r="C13" s="85" t="s">
        <v>56</v>
      </c>
      <c r="D13" s="77"/>
      <c r="E13" s="77"/>
      <c r="F13" s="77"/>
      <c r="G13" s="77"/>
      <c r="H13" s="77"/>
      <c r="I13" s="77"/>
    </row>
    <row r="14" spans="1:16" ht="18.95" customHeight="1">
      <c r="A14" s="70">
        <f>A13+1</f>
        <v>2</v>
      </c>
      <c r="B14" s="71" t="s">
        <v>1620</v>
      </c>
      <c r="C14" s="78" t="s">
        <v>1621</v>
      </c>
      <c r="D14" s="86">
        <f>'SCH B-2.1 B'!D13</f>
        <v>44455.58</v>
      </c>
      <c r="E14" s="86">
        <f>SUMIFS('PIS B'!$W$11:$W$338,'PIS B'!$C$11:$C$338,'SCH B-3 B'!$B14)</f>
        <v>0</v>
      </c>
      <c r="F14" s="130">
        <f>$P$17</f>
        <v>0.89018565112547321</v>
      </c>
      <c r="G14" s="86">
        <f>E14*F14</f>
        <v>0</v>
      </c>
      <c r="H14" s="86">
        <f>SUMIFS('SCH B-3.1'!$F$12:$F$27,'SCH B-3.1'!$B$12:$B$27,'SCH B-3 B'!$B14)</f>
        <v>0</v>
      </c>
      <c r="I14" s="86">
        <f t="shared" ref="I14:I15" si="0">SUM(G14:H14)</f>
        <v>0</v>
      </c>
    </row>
    <row r="15" spans="1:16" ht="18.95" customHeight="1">
      <c r="A15" s="70">
        <f t="shared" ref="A15:A79" si="1">A14+1</f>
        <v>3</v>
      </c>
      <c r="B15" s="71" t="s">
        <v>1622</v>
      </c>
      <c r="C15" s="78" t="s">
        <v>1623</v>
      </c>
      <c r="D15" s="86">
        <f>'SCH B-2.1 B'!D14</f>
        <v>55918.83</v>
      </c>
      <c r="E15" s="86">
        <f>SUMIFS('PIS B'!$W$11:$W$338,'PIS B'!$C$11:$C$338,'SCH B-3 B'!$B15)</f>
        <v>-71375.27</v>
      </c>
      <c r="F15" s="134">
        <f>'SCH B-2.1 B'!E14</f>
        <v>1</v>
      </c>
      <c r="G15" s="88">
        <f t="shared" ref="G15:G16" si="2">E15*F15</f>
        <v>-71375.27</v>
      </c>
      <c r="H15" s="87">
        <f>SUMIFS('SCH B-3.1'!$F$12:$F$27,'SCH B-3.1'!$B$12:$B$27,'SCH B-3 B'!$B15)</f>
        <v>0</v>
      </c>
      <c r="I15" s="88">
        <f t="shared" si="0"/>
        <v>-71375.27</v>
      </c>
    </row>
    <row r="16" spans="1:16" ht="18.95" customHeight="1">
      <c r="A16" s="70">
        <f t="shared" si="1"/>
        <v>4</v>
      </c>
      <c r="B16" s="71" t="s">
        <v>1624</v>
      </c>
      <c r="C16" s="78" t="s">
        <v>1625</v>
      </c>
      <c r="D16" s="89">
        <f>'SCH B-2.1 B'!D15</f>
        <v>131496652.1642043</v>
      </c>
      <c r="E16" s="89">
        <f>SUMIFS('PIS B'!$W$11:$W$338,'PIS B'!$C$11:$C$338,'SCH B-3 B'!$B16)</f>
        <v>-70597930.191655308</v>
      </c>
      <c r="F16" s="130">
        <f>$P$17</f>
        <v>0.89018565112547321</v>
      </c>
      <c r="G16" s="89">
        <f t="shared" si="2"/>
        <v>-62845264.455769382</v>
      </c>
      <c r="H16" s="89">
        <f>SUMIFS('SCH B-3.1'!$F$12:$F$27,'SCH B-3.1'!$B$12:$B$27,'SCH B-3 B'!$B16)</f>
        <v>0</v>
      </c>
      <c r="I16" s="89">
        <f>SUM(G16:H16)</f>
        <v>-62845264.455769382</v>
      </c>
    </row>
    <row r="17" spans="1:16" ht="18.95" customHeight="1">
      <c r="A17" s="70">
        <f t="shared" si="1"/>
        <v>5</v>
      </c>
      <c r="B17" s="70"/>
      <c r="C17" s="78" t="s">
        <v>143</v>
      </c>
      <c r="D17" s="86">
        <f>SUM(D14:D16)</f>
        <v>131597026.5742043</v>
      </c>
      <c r="E17" s="86">
        <f>SUM(E14:E16)</f>
        <v>-70669305.461655304</v>
      </c>
      <c r="F17" s="130"/>
      <c r="G17" s="86">
        <f>SUM(G14:G16)</f>
        <v>-62916639.725769386</v>
      </c>
      <c r="H17" s="86">
        <f>SUM(H14:H16)</f>
        <v>0</v>
      </c>
      <c r="I17" s="86">
        <f>SUM(I14:I16)</f>
        <v>-62916639.725769386</v>
      </c>
      <c r="L17" s="136">
        <f>'JURISSEP B'!G275+'JURISSEP B'!G276</f>
        <v>62916639.725769386</v>
      </c>
      <c r="M17" s="136">
        <f>G15</f>
        <v>-71375.27</v>
      </c>
      <c r="N17" s="136">
        <f>SUM(L17:M17)</f>
        <v>62845264.455769382</v>
      </c>
      <c r="O17" s="136">
        <f>-E17+M17</f>
        <v>70597930.191655308</v>
      </c>
      <c r="P17" s="137">
        <f>N17/O17</f>
        <v>0.89018565112547321</v>
      </c>
    </row>
    <row r="18" spans="1:16" ht="18.95" customHeight="1">
      <c r="A18" s="70"/>
      <c r="B18" s="70"/>
      <c r="D18" s="72"/>
      <c r="E18" s="72"/>
      <c r="F18" s="133"/>
      <c r="G18" s="72"/>
      <c r="H18" s="72"/>
      <c r="I18" s="72"/>
    </row>
    <row r="19" spans="1:16" ht="18.95" customHeight="1">
      <c r="A19" s="70">
        <f>A17+1</f>
        <v>6</v>
      </c>
      <c r="B19" s="70"/>
      <c r="C19" s="90" t="s">
        <v>72</v>
      </c>
      <c r="D19" s="72"/>
      <c r="E19" s="72"/>
      <c r="F19" s="133"/>
      <c r="G19" s="72"/>
      <c r="H19" s="72"/>
      <c r="I19" s="72"/>
    </row>
    <row r="20" spans="1:16" ht="18.95" customHeight="1">
      <c r="A20" s="70">
        <f t="shared" si="1"/>
        <v>7</v>
      </c>
      <c r="B20" s="71" t="s">
        <v>1626</v>
      </c>
      <c r="C20" s="78" t="s">
        <v>154</v>
      </c>
      <c r="D20" s="88">
        <f>'SCH B-2.1 B'!D19</f>
        <v>24446473.830399901</v>
      </c>
      <c r="E20" s="88">
        <f>SUMIFS('PIS B'!$W$11:$W$338,'PIS B'!$C$11:$C$338,'SCH B-3 B'!$B20)</f>
        <v>0</v>
      </c>
      <c r="F20" s="134">
        <f>$P$28</f>
        <v>0.86542387378229513</v>
      </c>
      <c r="G20" s="88">
        <f t="shared" ref="G20:G27" si="3">E20*F20</f>
        <v>0</v>
      </c>
      <c r="H20" s="88">
        <f>SUMIFS('SCH B-3.1'!$F$12:$F$27,'SCH B-3.1'!$B$12:$B$27,'SCH B-3 B'!$B20)</f>
        <v>0</v>
      </c>
      <c r="I20" s="88">
        <f t="shared" ref="I20:I27" si="4">SUM(G20:H20)</f>
        <v>0</v>
      </c>
    </row>
    <row r="21" spans="1:16" ht="18" customHeight="1">
      <c r="A21" s="70">
        <f t="shared" si="1"/>
        <v>8</v>
      </c>
      <c r="B21" s="71" t="s">
        <v>1627</v>
      </c>
      <c r="C21" s="78" t="s">
        <v>148</v>
      </c>
      <c r="D21" s="88">
        <f>'SCH B-2.1 B'!D20</f>
        <v>357423932.13011467</v>
      </c>
      <c r="E21" s="88">
        <f>SUMIFS('PIS B'!$W$11:$W$338,'PIS B'!$C$11:$C$338,'SCH B-3 B'!$B21)</f>
        <v>-191963848.93259183</v>
      </c>
      <c r="F21" s="134">
        <f t="shared" ref="F21:F27" si="5">$P$28</f>
        <v>0.86542387378229513</v>
      </c>
      <c r="G21" s="88">
        <f t="shared" si="3"/>
        <v>-166130097.76940292</v>
      </c>
      <c r="H21" s="88">
        <f>SUMIFS('SCH B-3.1'!$F$12:$F$27,'SCH B-3.1'!$B$12:$B$27,'SCH B-3 B'!$B21)</f>
        <v>983508.39828923286</v>
      </c>
      <c r="I21" s="88">
        <f t="shared" si="4"/>
        <v>-165146589.37111369</v>
      </c>
    </row>
    <row r="22" spans="1:16" ht="18.95" customHeight="1">
      <c r="A22" s="70">
        <f t="shared" si="1"/>
        <v>9</v>
      </c>
      <c r="B22" s="71" t="s">
        <v>1628</v>
      </c>
      <c r="C22" s="78" t="s">
        <v>1629</v>
      </c>
      <c r="D22" s="88">
        <f>'SCH B-2.1 B'!D21</f>
        <v>4099177062.4923248</v>
      </c>
      <c r="E22" s="88">
        <f>SUMIFS('PIS B'!$W$11:$W$338,'PIS B'!$C$11:$C$338,'SCH B-3 B'!$B22)</f>
        <v>-1278158390.1925771</v>
      </c>
      <c r="F22" s="134">
        <f t="shared" si="5"/>
        <v>0.86542387378229513</v>
      </c>
      <c r="G22" s="88">
        <f t="shared" si="3"/>
        <v>-1106148785.3478024</v>
      </c>
      <c r="H22" s="88">
        <f>SUMIFS('SCH B-3.1'!$F$12:$F$27,'SCH B-3.1'!$B$12:$B$27,'SCH B-3 B'!$B22)</f>
        <v>99849467.703606099</v>
      </c>
      <c r="I22" s="88">
        <f t="shared" si="4"/>
        <v>-1006299317.6441963</v>
      </c>
    </row>
    <row r="23" spans="1:16" ht="18.95" customHeight="1">
      <c r="A23" s="70">
        <f>A21+1</f>
        <v>9</v>
      </c>
      <c r="B23" s="71">
        <v>313</v>
      </c>
      <c r="C23" s="78" t="s">
        <v>144</v>
      </c>
      <c r="D23" s="88">
        <f>'SCH B-2.1 B'!D22</f>
        <v>0</v>
      </c>
      <c r="E23" s="88">
        <f>SUMIFS('PIS B'!$W$11:$W$338,'PIS B'!$C$11:$C$338,'SCH B-3 B'!$B23)</f>
        <v>0</v>
      </c>
      <c r="F23" s="134">
        <f t="shared" si="5"/>
        <v>0.86542387378229513</v>
      </c>
      <c r="G23" s="88">
        <f t="shared" si="3"/>
        <v>0</v>
      </c>
      <c r="H23" s="88">
        <f>SUMIFS('SCH B-3.1'!$F$12:$F$27,'SCH B-3.1'!$B$12:$B$27,'SCH B-3 B'!$B23)</f>
        <v>0</v>
      </c>
      <c r="I23" s="88">
        <f t="shared" si="4"/>
        <v>0</v>
      </c>
    </row>
    <row r="24" spans="1:16" ht="18.95" customHeight="1">
      <c r="A24" s="70">
        <f>A22+1</f>
        <v>10</v>
      </c>
      <c r="B24" s="71" t="s">
        <v>1630</v>
      </c>
      <c r="C24" s="78" t="s">
        <v>1631</v>
      </c>
      <c r="D24" s="88">
        <f>'SCH B-2.1 B'!D23</f>
        <v>354107146.54847121</v>
      </c>
      <c r="E24" s="88">
        <f>SUMIFS('PIS B'!$W$11:$W$338,'PIS B'!$C$11:$C$338,'SCH B-3 B'!$B24)</f>
        <v>-164604763.27575403</v>
      </c>
      <c r="F24" s="134">
        <f t="shared" si="5"/>
        <v>0.86542387378229513</v>
      </c>
      <c r="G24" s="88">
        <f t="shared" si="3"/>
        <v>-142452891.87712073</v>
      </c>
      <c r="H24" s="88">
        <f>SUMIFS('SCH B-3.1'!$F$12:$F$27,'SCH B-3.1'!$B$12:$B$27,'SCH B-3 B'!$B24)</f>
        <v>0</v>
      </c>
      <c r="I24" s="88">
        <f t="shared" si="4"/>
        <v>-142452891.87712073</v>
      </c>
    </row>
    <row r="25" spans="1:16" ht="18.95" customHeight="1">
      <c r="A25" s="70">
        <f t="shared" si="1"/>
        <v>11</v>
      </c>
      <c r="B25" s="71" t="s">
        <v>1632</v>
      </c>
      <c r="C25" s="78" t="s">
        <v>1633</v>
      </c>
      <c r="D25" s="88">
        <f>'SCH B-2.1 B'!D24</f>
        <v>253558083.14813599</v>
      </c>
      <c r="E25" s="88">
        <f>SUMIFS('PIS B'!$W$11:$W$338,'PIS B'!$C$11:$C$338,'SCH B-3 B'!$B25)</f>
        <v>-114766608.79762131</v>
      </c>
      <c r="F25" s="134">
        <f t="shared" si="5"/>
        <v>0.86542387378229513</v>
      </c>
      <c r="G25" s="88">
        <f t="shared" si="3"/>
        <v>-99321763.166494668</v>
      </c>
      <c r="H25" s="88">
        <f>SUMIFS('SCH B-3.1'!$F$12:$F$27,'SCH B-3.1'!$B$12:$B$27,'SCH B-3 B'!$B25)</f>
        <v>859849.39165347873</v>
      </c>
      <c r="I25" s="88">
        <f t="shared" si="4"/>
        <v>-98461913.774841189</v>
      </c>
    </row>
    <row r="26" spans="1:16" ht="18.95" customHeight="1">
      <c r="A26" s="70">
        <f t="shared" si="1"/>
        <v>12</v>
      </c>
      <c r="B26" s="71" t="s">
        <v>1634</v>
      </c>
      <c r="C26" s="78" t="s">
        <v>1635</v>
      </c>
      <c r="D26" s="88">
        <f>'SCH B-2.1 B'!D25</f>
        <v>38223659.10662701</v>
      </c>
      <c r="E26" s="88">
        <f>SUMIFS('PIS B'!$W$11:$W$338,'PIS B'!$C$11:$C$338,'SCH B-3 B'!$B26)</f>
        <v>-16975839.450278018</v>
      </c>
      <c r="F26" s="134">
        <f t="shared" si="5"/>
        <v>0.86542387378229513</v>
      </c>
      <c r="G26" s="88">
        <f t="shared" si="3"/>
        <v>-14691296.73776591</v>
      </c>
      <c r="H26" s="88">
        <f>SUMIFS('SCH B-3.1'!$F$12:$F$27,'SCH B-3.1'!$B$12:$B$27,'SCH B-3 B'!$B26)</f>
        <v>30353.427170944535</v>
      </c>
      <c r="I26" s="88">
        <f t="shared" si="4"/>
        <v>-14660943.310594965</v>
      </c>
    </row>
    <row r="27" spans="1:16" ht="18.95" customHeight="1">
      <c r="A27" s="70">
        <f t="shared" si="1"/>
        <v>13</v>
      </c>
      <c r="B27" s="71" t="s">
        <v>1636</v>
      </c>
      <c r="C27" s="78" t="s">
        <v>1655</v>
      </c>
      <c r="D27" s="89">
        <f>'SCH B-2.1 B'!D26</f>
        <v>197376730.74999991</v>
      </c>
      <c r="E27" s="89">
        <f>SUMIFS('PIS B'!$W$11:$W$338,'PIS B'!$C$11:$C$338,'SCH B-3 B'!$B27)</f>
        <v>-134179168.45999999</v>
      </c>
      <c r="F27" s="134">
        <f t="shared" si="5"/>
        <v>0.86542387378229513</v>
      </c>
      <c r="G27" s="89">
        <f t="shared" si="3"/>
        <v>-116121855.74954034</v>
      </c>
      <c r="H27" s="89">
        <f>SUMIFS('SCH B-3.1'!$F$12:$F$27,'SCH B-3.1'!$B$12:$B$27,'SCH B-3 B'!$B27)</f>
        <v>116121855.74954034</v>
      </c>
      <c r="I27" s="89">
        <f t="shared" si="4"/>
        <v>0</v>
      </c>
    </row>
    <row r="28" spans="1:16" ht="18.95" customHeight="1">
      <c r="A28" s="70">
        <f t="shared" si="1"/>
        <v>14</v>
      </c>
      <c r="C28" s="78" t="s">
        <v>146</v>
      </c>
      <c r="D28" s="86">
        <f>SUM(D20:D27)</f>
        <v>5324313088.006074</v>
      </c>
      <c r="E28" s="86">
        <f>SUM(E20:E27)</f>
        <v>-1900648619.1088223</v>
      </c>
      <c r="F28" s="130"/>
      <c r="G28" s="86">
        <f>SUM(G20:G27)</f>
        <v>-1644866690.6481271</v>
      </c>
      <c r="H28" s="86">
        <f>SUM(H20:H27)</f>
        <v>217845034.6702601</v>
      </c>
      <c r="I28" s="86">
        <f>SUM(I20:I27)</f>
        <v>-1427021655.9778671</v>
      </c>
      <c r="L28" s="136">
        <f>'JURISSEP B'!G246</f>
        <v>1644866690.6481271</v>
      </c>
      <c r="M28" s="136"/>
      <c r="N28" s="136">
        <f>SUM(L28:M28)</f>
        <v>1644866690.6481271</v>
      </c>
      <c r="O28" s="136">
        <f>-E28+M28</f>
        <v>1900648619.1088223</v>
      </c>
      <c r="P28" s="137">
        <f>N28/O28</f>
        <v>0.86542387378229513</v>
      </c>
    </row>
    <row r="29" spans="1:16" ht="18.95" customHeight="1">
      <c r="A29" s="70"/>
      <c r="C29" s="78"/>
      <c r="F29" s="135"/>
    </row>
    <row r="30" spans="1:16" ht="18.95" customHeight="1">
      <c r="A30" s="70">
        <f>A28+1</f>
        <v>15</v>
      </c>
      <c r="C30" s="90" t="s">
        <v>47</v>
      </c>
      <c r="F30" s="135"/>
    </row>
    <row r="31" spans="1:16" ht="18.95" customHeight="1">
      <c r="A31" s="70">
        <f t="shared" si="1"/>
        <v>16</v>
      </c>
      <c r="B31" s="71" t="s">
        <v>1637</v>
      </c>
      <c r="C31" s="78" t="s">
        <v>154</v>
      </c>
      <c r="D31" s="88">
        <f>'SCH B-2.1 B'!D30</f>
        <v>855636.47000000009</v>
      </c>
      <c r="E31" s="88">
        <f>SUMIFS('PIS B'!$W$11:$W$338,'PIS B'!$C$11:$C$338,'SCH B-3 B'!$B31)</f>
        <v>-912332.6</v>
      </c>
      <c r="F31" s="134">
        <f>$P$39</f>
        <v>0.87536633127792185</v>
      </c>
      <c r="G31" s="88">
        <f t="shared" ref="G31:G38" si="6">E31*F31</f>
        <v>-798625.24096724775</v>
      </c>
      <c r="H31" s="88">
        <f>SUMIFS('SCH B-3.1'!$F$12:$F$27,'SCH B-3.1'!$B$12:$B$27,'SCH B-3 B'!$B31)</f>
        <v>0</v>
      </c>
      <c r="I31" s="88">
        <f t="shared" ref="I31:I38" si="7">SUM(G31:H31)</f>
        <v>-798625.24096724775</v>
      </c>
    </row>
    <row r="32" spans="1:16" ht="18.95" customHeight="1">
      <c r="A32" s="70">
        <f t="shared" si="1"/>
        <v>17</v>
      </c>
      <c r="B32" s="71" t="s">
        <v>1638</v>
      </c>
      <c r="C32" s="78" t="s">
        <v>148</v>
      </c>
      <c r="D32" s="88">
        <f>'SCH B-2.1 B'!D31</f>
        <v>4393191.4700000007</v>
      </c>
      <c r="E32" s="88">
        <f>SUMIFS('PIS B'!$W$11:$W$338,'PIS B'!$C$11:$C$338,'SCH B-3 B'!$B32)</f>
        <v>-327333.859999999</v>
      </c>
      <c r="F32" s="134">
        <f t="shared" ref="F32:F38" si="8">$P$39</f>
        <v>0.87536633127792185</v>
      </c>
      <c r="G32" s="88">
        <f t="shared" si="6"/>
        <v>-286537.04013124004</v>
      </c>
      <c r="H32" s="88">
        <f>SUMIFS('SCH B-3.1'!$F$12:$F$27,'SCH B-3.1'!$B$12:$B$27,'SCH B-3 B'!$B32)</f>
        <v>0</v>
      </c>
      <c r="I32" s="88">
        <f t="shared" si="7"/>
        <v>-286537.04013124004</v>
      </c>
    </row>
    <row r="33" spans="1:16" ht="18.95" customHeight="1">
      <c r="A33" s="70">
        <f t="shared" si="1"/>
        <v>18</v>
      </c>
      <c r="B33" s="71" t="s">
        <v>1639</v>
      </c>
      <c r="C33" s="78" t="s">
        <v>1640</v>
      </c>
      <c r="D33" s="88">
        <f>'SCH B-2.1 B'!D32</f>
        <v>21885646.369999997</v>
      </c>
      <c r="E33" s="88">
        <f>SUMIFS('PIS B'!$W$11:$W$338,'PIS B'!$C$11:$C$338,'SCH B-3 B'!$B33)</f>
        <v>-9887589.409999989</v>
      </c>
      <c r="F33" s="134">
        <f t="shared" si="8"/>
        <v>0.87536633127792185</v>
      </c>
      <c r="G33" s="88">
        <f t="shared" si="6"/>
        <v>-8655262.8670141213</v>
      </c>
      <c r="H33" s="88">
        <f>SUMIFS('SCH B-3.1'!$F$12:$F$27,'SCH B-3.1'!$B$12:$B$27,'SCH B-3 B'!$B33)</f>
        <v>0</v>
      </c>
      <c r="I33" s="88">
        <f t="shared" si="7"/>
        <v>-8655262.8670141213</v>
      </c>
    </row>
    <row r="34" spans="1:16" ht="18.95" customHeight="1">
      <c r="A34" s="70">
        <f t="shared" si="1"/>
        <v>19</v>
      </c>
      <c r="B34" s="71" t="s">
        <v>1641</v>
      </c>
      <c r="C34" s="78" t="s">
        <v>1642</v>
      </c>
      <c r="D34" s="88">
        <f>'SCH B-2.1 B'!D33</f>
        <v>14046741.58</v>
      </c>
      <c r="E34" s="88">
        <f>SUMIFS('PIS B'!$W$11:$W$338,'PIS B'!$C$11:$C$338,'SCH B-3 B'!$B34)</f>
        <v>-2389412.4299999899</v>
      </c>
      <c r="F34" s="134">
        <f t="shared" si="8"/>
        <v>0.87536633127792185</v>
      </c>
      <c r="G34" s="88">
        <f t="shared" si="6"/>
        <v>-2091611.1927589555</v>
      </c>
      <c r="H34" s="88">
        <f>SUMIFS('SCH B-3.1'!$F$12:$F$27,'SCH B-3.1'!$B$12:$B$27,'SCH B-3 B'!$B34)</f>
        <v>0</v>
      </c>
      <c r="I34" s="88">
        <f t="shared" si="7"/>
        <v>-2091611.1927589555</v>
      </c>
    </row>
    <row r="35" spans="1:16" ht="18.95" customHeight="1">
      <c r="A35" s="70">
        <f t="shared" si="1"/>
        <v>20</v>
      </c>
      <c r="B35" s="71" t="s">
        <v>1643</v>
      </c>
      <c r="C35" s="78" t="s">
        <v>1633</v>
      </c>
      <c r="D35" s="88">
        <f>'SCH B-2.1 B'!D34</f>
        <v>1381870.67</v>
      </c>
      <c r="E35" s="88">
        <f>SUMIFS('PIS B'!$W$11:$W$338,'PIS B'!$C$11:$C$338,'SCH B-3 B'!$B35)</f>
        <v>-370958.609999999</v>
      </c>
      <c r="F35" s="134">
        <f t="shared" si="8"/>
        <v>0.87536633127792185</v>
      </c>
      <c r="G35" s="88">
        <f t="shared" si="6"/>
        <v>-324724.67749165656</v>
      </c>
      <c r="H35" s="88">
        <f>SUMIFS('SCH B-3.1'!$F$12:$F$27,'SCH B-3.1'!$B$12:$B$27,'SCH B-3 B'!$B35)</f>
        <v>0</v>
      </c>
      <c r="I35" s="88">
        <f t="shared" si="7"/>
        <v>-324724.67749165656</v>
      </c>
    </row>
    <row r="36" spans="1:16" ht="18.95" customHeight="1">
      <c r="A36" s="70">
        <f t="shared" si="1"/>
        <v>21</v>
      </c>
      <c r="B36" s="71" t="s">
        <v>1644</v>
      </c>
      <c r="C36" s="78" t="s">
        <v>1645</v>
      </c>
      <c r="D36" s="88">
        <f>'SCH B-2.1 B'!D35</f>
        <v>329374.18000000005</v>
      </c>
      <c r="E36" s="88">
        <f>SUMIFS('PIS B'!$W$11:$W$338,'PIS B'!$C$11:$C$338,'SCH B-3 B'!$B36)</f>
        <v>-155938.28999999899</v>
      </c>
      <c r="F36" s="134">
        <f t="shared" si="8"/>
        <v>0.87536633127792185</v>
      </c>
      <c r="G36" s="88">
        <f t="shared" si="6"/>
        <v>-136503.12882305175</v>
      </c>
      <c r="H36" s="88">
        <f>SUMIFS('SCH B-3.1'!$F$12:$F$27,'SCH B-3.1'!$B$12:$B$27,'SCH B-3 B'!$B36)</f>
        <v>0</v>
      </c>
      <c r="I36" s="88">
        <f t="shared" si="7"/>
        <v>-136503.12882305175</v>
      </c>
    </row>
    <row r="37" spans="1:16" ht="18.95" customHeight="1">
      <c r="A37" s="70">
        <f t="shared" si="1"/>
        <v>22</v>
      </c>
      <c r="B37" s="71" t="s">
        <v>1646</v>
      </c>
      <c r="C37" s="78" t="s">
        <v>1647</v>
      </c>
      <c r="D37" s="88">
        <f>'SCH B-2.1 B'!D36</f>
        <v>234509.13</v>
      </c>
      <c r="E37" s="88">
        <f>SUMIFS('PIS B'!$W$11:$W$338,'PIS B'!$C$11:$C$338,'SCH B-3 B'!$B37)</f>
        <v>-95823.92</v>
      </c>
      <c r="F37" s="134">
        <f t="shared" si="8"/>
        <v>0.87536633127792185</v>
      </c>
      <c r="G37" s="88">
        <f t="shared" si="6"/>
        <v>-83881.03329906908</v>
      </c>
      <c r="H37" s="88">
        <f>SUMIFS('SCH B-3.1'!$F$12:$F$27,'SCH B-3.1'!$B$12:$B$27,'SCH B-3 B'!$B37)</f>
        <v>0</v>
      </c>
      <c r="I37" s="88">
        <f t="shared" si="7"/>
        <v>-83881.03329906908</v>
      </c>
    </row>
    <row r="38" spans="1:16" ht="18.95" customHeight="1">
      <c r="A38" s="70">
        <f t="shared" si="1"/>
        <v>23</v>
      </c>
      <c r="B38" s="71" t="s">
        <v>1648</v>
      </c>
      <c r="C38" s="78" t="s">
        <v>1656</v>
      </c>
      <c r="D38" s="89">
        <f>'SCH B-2.1 B'!D37</f>
        <v>645787.99</v>
      </c>
      <c r="E38" s="89">
        <f>SUMIFS('PIS B'!$W$11:$W$338,'PIS B'!$C$11:$C$338,'SCH B-3 B'!$B38)</f>
        <v>-55478.109999999899</v>
      </c>
      <c r="F38" s="134">
        <f t="shared" si="8"/>
        <v>0.87536633127792185</v>
      </c>
      <c r="G38" s="89">
        <f t="shared" si="6"/>
        <v>-48563.669616932901</v>
      </c>
      <c r="H38" s="89">
        <f>SUMIFS('SCH B-3.1'!$F$12:$F$27,'SCH B-3.1'!$B$12:$B$27,'SCH B-3 B'!$B38)</f>
        <v>48563.669616932901</v>
      </c>
      <c r="I38" s="89">
        <f t="shared" si="7"/>
        <v>0</v>
      </c>
    </row>
    <row r="39" spans="1:16" ht="18.95" customHeight="1">
      <c r="A39" s="70">
        <f t="shared" si="1"/>
        <v>24</v>
      </c>
      <c r="B39" s="71" t="s">
        <v>251</v>
      </c>
      <c r="C39" s="78" t="s">
        <v>147</v>
      </c>
      <c r="D39" s="86">
        <f>SUM(D31:D38)</f>
        <v>43772757.860000007</v>
      </c>
      <c r="E39" s="86">
        <f t="shared" ref="E39:I39" si="9">SUM(E31:E38)</f>
        <v>-14194867.229999976</v>
      </c>
      <c r="F39" s="130"/>
      <c r="G39" s="86">
        <f t="shared" si="9"/>
        <v>-12425708.850102276</v>
      </c>
      <c r="H39" s="86">
        <f t="shared" si="9"/>
        <v>48563.669616932901</v>
      </c>
      <c r="I39" s="86">
        <f t="shared" si="9"/>
        <v>-12377145.180485344</v>
      </c>
      <c r="L39" s="136">
        <f>'JURISSEP B'!G252</f>
        <v>12425708.850102276</v>
      </c>
      <c r="M39" s="136"/>
      <c r="N39" s="136">
        <f>SUM(L39:M39)</f>
        <v>12425708.850102276</v>
      </c>
      <c r="O39" s="136">
        <f>-E39+M39</f>
        <v>14194867.229999976</v>
      </c>
      <c r="P39" s="137">
        <f>N39/O39</f>
        <v>0.87536633127792185</v>
      </c>
    </row>
    <row r="40" spans="1:16" ht="18.95" customHeight="1">
      <c r="A40" s="70"/>
      <c r="B40" s="71"/>
      <c r="C40" s="78"/>
      <c r="D40" s="86"/>
      <c r="E40" s="86"/>
      <c r="F40" s="130"/>
      <c r="G40" s="86"/>
      <c r="H40" s="86"/>
      <c r="I40" s="86"/>
    </row>
    <row r="41" spans="1:16" ht="18.95" customHeight="1">
      <c r="A41" s="70">
        <f>A39+1</f>
        <v>25</v>
      </c>
      <c r="C41" s="90" t="s">
        <v>61</v>
      </c>
      <c r="F41" s="135"/>
    </row>
    <row r="42" spans="1:16" ht="18.95" customHeight="1">
      <c r="A42" s="70">
        <f t="shared" si="1"/>
        <v>26</v>
      </c>
      <c r="B42" s="71" t="s">
        <v>1649</v>
      </c>
      <c r="C42" s="78" t="s">
        <v>154</v>
      </c>
      <c r="D42" s="88">
        <f>'SCH B-2.1 B'!D41</f>
        <v>902801.4580000001</v>
      </c>
      <c r="E42" s="88">
        <f>SUMIFS('PIS B'!$W$11:$W$338,'PIS B'!$C$11:$C$338,'SCH B-3 B'!$B42)</f>
        <v>-128860.38999994477</v>
      </c>
      <c r="F42" s="134">
        <f t="shared" ref="F42:F45" si="10">$P$62</f>
        <v>0.87240631046921291</v>
      </c>
      <c r="G42" s="88">
        <f t="shared" ref="G42:G45" si="11">E42*F42</f>
        <v>-112418.61740547568</v>
      </c>
      <c r="H42" s="88">
        <f>SUMIFS('SCH B-3.1'!$F$12:$F$27,'SCH B-3.1'!$B$12:$B$27,'SCH B-3 B'!$B42)</f>
        <v>0</v>
      </c>
      <c r="I42" s="88">
        <f t="shared" ref="I42:I45" si="12">SUM(G42:H42)</f>
        <v>-112418.61740547568</v>
      </c>
    </row>
    <row r="43" spans="1:16" ht="18.95" customHeight="1">
      <c r="A43" s="70">
        <f t="shared" si="1"/>
        <v>27</v>
      </c>
      <c r="B43" s="71" t="s">
        <v>1650</v>
      </c>
      <c r="C43" s="78" t="s">
        <v>148</v>
      </c>
      <c r="D43" s="88">
        <f>'SCH B-2.1 B'!D42</f>
        <v>87144715.703681991</v>
      </c>
      <c r="E43" s="88">
        <f>SUMIFS('PIS B'!$W$11:$W$338,'PIS B'!$C$11:$C$338,'SCH B-3 B'!$B43)</f>
        <v>-26610165.241789814</v>
      </c>
      <c r="F43" s="134">
        <f t="shared" si="10"/>
        <v>0.87240631046921291</v>
      </c>
      <c r="G43" s="88">
        <f t="shared" si="11"/>
        <v>-23214876.079565942</v>
      </c>
      <c r="H43" s="88">
        <f>SUMIFS('SCH B-3.1'!$F$12:$F$27,'SCH B-3.1'!$B$12:$B$27,'SCH B-3 B'!$B43)</f>
        <v>0</v>
      </c>
      <c r="I43" s="88">
        <f t="shared" si="12"/>
        <v>-23214876.079565942</v>
      </c>
    </row>
    <row r="44" spans="1:16" ht="18.95" customHeight="1">
      <c r="A44" s="70">
        <f t="shared" si="1"/>
        <v>28</v>
      </c>
      <c r="B44" s="71" t="s">
        <v>1651</v>
      </c>
      <c r="C44" s="78" t="s">
        <v>1652</v>
      </c>
      <c r="D44" s="88">
        <f>'SCH B-2.1 B'!D43</f>
        <v>63096394.734199986</v>
      </c>
      <c r="E44" s="88">
        <f>SUMIFS('PIS B'!$W$11:$W$338,'PIS B'!$C$11:$C$338,'SCH B-3 B'!$B44)</f>
        <v>-21394677.48999992</v>
      </c>
      <c r="F44" s="134">
        <f t="shared" si="10"/>
        <v>0.87240631046921291</v>
      </c>
      <c r="G44" s="88">
        <f t="shared" si="11"/>
        <v>-18664851.652729552</v>
      </c>
      <c r="H44" s="88">
        <f>SUMIFS('SCH B-3.1'!$F$12:$F$27,'SCH B-3.1'!$B$12:$B$27,'SCH B-3 B'!$B44)</f>
        <v>0</v>
      </c>
      <c r="I44" s="88">
        <f t="shared" si="12"/>
        <v>-18664851.652729552</v>
      </c>
    </row>
    <row r="45" spans="1:16" ht="18.95" customHeight="1">
      <c r="A45" s="70">
        <f t="shared" si="1"/>
        <v>29</v>
      </c>
      <c r="B45" s="71" t="s">
        <v>1653</v>
      </c>
      <c r="C45" s="78" t="s">
        <v>1654</v>
      </c>
      <c r="D45" s="88">
        <f>'SCH B-2.1 B'!D44</f>
        <v>664995783.98716736</v>
      </c>
      <c r="E45" s="88">
        <f>SUMIFS('PIS B'!$W$11:$W$338,'PIS B'!$C$11:$C$338,'SCH B-3 B'!$B45)</f>
        <v>-221214945.71105683</v>
      </c>
      <c r="F45" s="134">
        <f t="shared" si="10"/>
        <v>0.87240631046921291</v>
      </c>
      <c r="G45" s="88">
        <f t="shared" si="11"/>
        <v>-192989314.60843033</v>
      </c>
      <c r="H45" s="88">
        <f>SUMIFS('SCH B-3.1'!$F$12:$F$27,'SCH B-3.1'!$B$12:$B$27,'SCH B-3 B'!$B45)</f>
        <v>0</v>
      </c>
      <c r="I45" s="88">
        <f t="shared" si="12"/>
        <v>-192989314.60843033</v>
      </c>
    </row>
    <row r="46" spans="1:16" s="68" customFormat="1" ht="20.100000000000001" customHeight="1">
      <c r="A46" s="769" t="str">
        <f>$A$1</f>
        <v>KENTUCKY UTILITIES COMPANY</v>
      </c>
      <c r="B46" s="769"/>
      <c r="C46" s="769"/>
      <c r="D46" s="769"/>
      <c r="E46" s="769"/>
      <c r="F46" s="769"/>
      <c r="G46" s="769"/>
      <c r="H46" s="769"/>
      <c r="I46" s="769"/>
    </row>
    <row r="47" spans="1:16" s="68" customFormat="1" ht="20.100000000000001" customHeight="1">
      <c r="A47" s="769" t="str">
        <f>$A$2</f>
        <v>CASE NO. 2018-00294 - RESPONSE TO PSC 2-65 (SLIPPAGE FACTOR 96.027%)</v>
      </c>
      <c r="B47" s="769"/>
      <c r="C47" s="769"/>
      <c r="D47" s="769"/>
      <c r="E47" s="769"/>
      <c r="F47" s="769"/>
      <c r="G47" s="769"/>
      <c r="H47" s="769"/>
      <c r="I47" s="769"/>
    </row>
    <row r="48" spans="1:16" s="68" customFormat="1" ht="20.100000000000001" customHeight="1">
      <c r="A48" s="769" t="str">
        <f>$A$3</f>
        <v>ACCUMULATED DEPRECIATION AND AMORTIZATION</v>
      </c>
      <c r="B48" s="769"/>
      <c r="C48" s="769"/>
      <c r="D48" s="769"/>
      <c r="E48" s="769"/>
      <c r="F48" s="769"/>
      <c r="G48" s="769"/>
      <c r="H48" s="769"/>
      <c r="I48" s="769"/>
    </row>
    <row r="49" spans="1:16" s="68" customFormat="1" ht="20.100000000000001" customHeight="1">
      <c r="A49" s="768" t="str">
        <f>$A$4</f>
        <v>AS OF DECEMBER 31, 2018</v>
      </c>
      <c r="B49" s="769"/>
      <c r="C49" s="769"/>
      <c r="D49" s="769"/>
      <c r="E49" s="769"/>
      <c r="F49" s="769"/>
      <c r="G49" s="769"/>
      <c r="H49" s="769"/>
      <c r="I49" s="769"/>
    </row>
    <row r="50" spans="1:16" s="68" customFormat="1" ht="20.100000000000001" customHeight="1">
      <c r="A50" s="84"/>
      <c r="B50" s="84"/>
      <c r="C50" s="84"/>
      <c r="D50" s="84"/>
      <c r="E50" s="84"/>
      <c r="F50" s="84"/>
      <c r="G50" s="84"/>
      <c r="H50" s="84"/>
      <c r="I50" s="84"/>
    </row>
    <row r="51" spans="1:16" s="68" customFormat="1" ht="20.100000000000001" customHeight="1">
      <c r="A51" s="67" t="str">
        <f>$A$6</f>
        <v>DATA:__X__BASE  PERIOD____FORECASTED  PERIOD</v>
      </c>
      <c r="B51" s="67"/>
      <c r="H51" s="74"/>
      <c r="I51" s="75" t="str">
        <f>$I$6</f>
        <v>SCHEDULE B-3</v>
      </c>
    </row>
    <row r="52" spans="1:16" s="68" customFormat="1" ht="20.100000000000001" customHeight="1">
      <c r="A52" s="67" t="str">
        <f>$A$7</f>
        <v>TYPE OF FILING: __X__ ORIGINAL  _____ UPDATED  _____ REVISED</v>
      </c>
      <c r="H52" s="74"/>
      <c r="I52" s="74" t="s">
        <v>172</v>
      </c>
    </row>
    <row r="53" spans="1:16" s="68" customFormat="1" ht="20.100000000000001" customHeight="1">
      <c r="A53" s="67" t="str">
        <f>$A$8</f>
        <v>WORKPAPER REFERENCE NO(S).:</v>
      </c>
      <c r="B53" s="67"/>
      <c r="F53" s="67"/>
      <c r="G53" s="67"/>
      <c r="H53" s="75"/>
      <c r="I53" s="75" t="str">
        <f>$I$8</f>
        <v>WITNESS:   C. M. GARRETT</v>
      </c>
    </row>
    <row r="54" spans="1:16" s="68" customFormat="1" ht="20.100000000000001" customHeight="1"/>
    <row r="55" spans="1:16" s="68" customFormat="1" ht="20.100000000000001" customHeight="1">
      <c r="A55" s="96"/>
      <c r="B55" s="96"/>
      <c r="C55" s="96"/>
      <c r="D55" s="96"/>
      <c r="E55" s="771" t="s">
        <v>1203</v>
      </c>
      <c r="F55" s="771"/>
      <c r="G55" s="771"/>
      <c r="H55" s="771"/>
      <c r="I55" s="771"/>
    </row>
    <row r="56" spans="1:16" ht="65.099999999999994" customHeight="1">
      <c r="A56" s="71" t="s">
        <v>131</v>
      </c>
      <c r="B56" s="71" t="s">
        <v>134</v>
      </c>
      <c r="C56" s="78" t="s">
        <v>135</v>
      </c>
      <c r="D56" s="71" t="s">
        <v>1201</v>
      </c>
      <c r="E56" s="71" t="s">
        <v>1202</v>
      </c>
      <c r="F56" s="71" t="s">
        <v>224</v>
      </c>
      <c r="G56" s="71" t="s">
        <v>225</v>
      </c>
      <c r="H56" s="71" t="s">
        <v>226</v>
      </c>
      <c r="I56" s="71" t="s">
        <v>227</v>
      </c>
    </row>
    <row r="57" spans="1:16" ht="23.1" customHeight="1">
      <c r="A57" s="80"/>
      <c r="B57" s="80"/>
      <c r="C57" s="81"/>
      <c r="D57" s="82" t="s">
        <v>142</v>
      </c>
      <c r="E57" s="82" t="s">
        <v>142</v>
      </c>
      <c r="F57" s="82"/>
      <c r="G57" s="82" t="s">
        <v>142</v>
      </c>
      <c r="H57" s="82" t="s">
        <v>142</v>
      </c>
      <c r="I57" s="82" t="s">
        <v>142</v>
      </c>
    </row>
    <row r="58" spans="1:16" ht="18.95" customHeight="1">
      <c r="A58" s="70">
        <f>A45+1</f>
        <v>30</v>
      </c>
      <c r="B58" s="71" t="s">
        <v>1657</v>
      </c>
      <c r="C58" s="78" t="s">
        <v>1658</v>
      </c>
      <c r="D58" s="88">
        <f>'SCH B-2.1 B'!D56</f>
        <v>132360727.18595001</v>
      </c>
      <c r="E58" s="88">
        <f>SUMIFS('PIS B'!$W$11:$W$338,'PIS B'!$C$11:$C$338,'SCH B-3 B'!$B58)</f>
        <v>-45877561.070999891</v>
      </c>
      <c r="F58" s="134">
        <f>$P$62</f>
        <v>0.87240631046921291</v>
      </c>
      <c r="G58" s="88">
        <f t="shared" ref="G58:G61" si="13">E58*F58</f>
        <v>-40023873.787277006</v>
      </c>
      <c r="H58" s="88">
        <f>SUMIFS('SCH B-3.1'!$F$12:$F$27,'SCH B-3.1'!$B$12:$B$27,'SCH B-3 B'!$B58)</f>
        <v>0</v>
      </c>
      <c r="I58" s="88">
        <f t="shared" ref="I58:I61" si="14">SUM(G58:H58)</f>
        <v>-40023873.787277006</v>
      </c>
    </row>
    <row r="59" spans="1:16" ht="18.95" customHeight="1">
      <c r="A59" s="70">
        <f t="shared" si="1"/>
        <v>31</v>
      </c>
      <c r="B59" s="71" t="s">
        <v>1659</v>
      </c>
      <c r="C59" s="78" t="s">
        <v>1633</v>
      </c>
      <c r="D59" s="88">
        <f>'SCH B-2.1 B'!D57</f>
        <v>78849490.977109998</v>
      </c>
      <c r="E59" s="88">
        <f>SUMIFS('PIS B'!$W$11:$W$338,'PIS B'!$C$11:$C$338,'SCH B-3 B'!$B59)</f>
        <v>-28646408.22999987</v>
      </c>
      <c r="F59" s="134">
        <f t="shared" ref="F59:F61" si="15">$P$62</f>
        <v>0.87240631046921291</v>
      </c>
      <c r="G59" s="88">
        <f t="shared" si="13"/>
        <v>-24991307.312129084</v>
      </c>
      <c r="H59" s="88">
        <f>SUMIFS('SCH B-3.1'!$F$12:$F$27,'SCH B-3.1'!$B$12:$B$27,'SCH B-3 B'!$B59)</f>
        <v>0</v>
      </c>
      <c r="I59" s="88">
        <f t="shared" si="14"/>
        <v>-24991307.312129084</v>
      </c>
    </row>
    <row r="60" spans="1:16" ht="18.95" customHeight="1">
      <c r="A60" s="70">
        <f t="shared" si="1"/>
        <v>32</v>
      </c>
      <c r="B60" s="71" t="s">
        <v>1660</v>
      </c>
      <c r="C60" s="78" t="s">
        <v>1645</v>
      </c>
      <c r="D60" s="88">
        <f>'SCH B-2.1 B'!D58</f>
        <v>9739160.6679099984</v>
      </c>
      <c r="E60" s="88">
        <f>SUMIFS('PIS B'!$W$11:$W$338,'PIS B'!$C$11:$C$338,'SCH B-3 B'!$B60)</f>
        <v>-3752688.9299999145</v>
      </c>
      <c r="F60" s="134">
        <f t="shared" si="15"/>
        <v>0.87240631046921291</v>
      </c>
      <c r="G60" s="88">
        <f t="shared" si="13"/>
        <v>-3273869.5037598838</v>
      </c>
      <c r="H60" s="88">
        <f>SUMIFS('SCH B-3.1'!$F$12:$F$27,'SCH B-3.1'!$B$12:$B$27,'SCH B-3 B'!$B60)</f>
        <v>0</v>
      </c>
      <c r="I60" s="88">
        <f t="shared" si="14"/>
        <v>-3273869.5037598838</v>
      </c>
    </row>
    <row r="61" spans="1:16" ht="18.95" customHeight="1">
      <c r="A61" s="70">
        <f t="shared" si="1"/>
        <v>33</v>
      </c>
      <c r="B61" s="71" t="s">
        <v>1661</v>
      </c>
      <c r="C61" s="78" t="s">
        <v>1696</v>
      </c>
      <c r="D61" s="89">
        <f>'SCH B-2.1 B'!D59</f>
        <v>406991.12</v>
      </c>
      <c r="E61" s="89">
        <f>SUMIFS('PIS B'!$W$11:$W$338,'PIS B'!$C$11:$C$338,'SCH B-3 B'!$B61)</f>
        <v>-73527.01999999999</v>
      </c>
      <c r="F61" s="134">
        <f t="shared" si="15"/>
        <v>0.87240631046921291</v>
      </c>
      <c r="G61" s="89">
        <f t="shared" si="13"/>
        <v>-64145.436237996015</v>
      </c>
      <c r="H61" s="89">
        <f>SUMIFS('SCH B-3.1'!$F$12:$F$27,'SCH B-3.1'!$B$12:$B$27,'SCH B-3 B'!$B61)</f>
        <v>64145.436237996015</v>
      </c>
      <c r="I61" s="89">
        <f t="shared" si="14"/>
        <v>0</v>
      </c>
    </row>
    <row r="62" spans="1:16" ht="18.95" customHeight="1">
      <c r="A62" s="70">
        <f t="shared" si="1"/>
        <v>34</v>
      </c>
      <c r="C62" s="78" t="s">
        <v>145</v>
      </c>
      <c r="D62" s="86">
        <f>SUM(D42:D45,D58:D61)</f>
        <v>1037496065.8340194</v>
      </c>
      <c r="E62" s="86">
        <f t="shared" ref="E62:I62" si="16">SUM(E42:E45,E58:E61)</f>
        <v>-347698834.08384615</v>
      </c>
      <c r="F62" s="86"/>
      <c r="G62" s="86">
        <f t="shared" si="16"/>
        <v>-303334656.99753523</v>
      </c>
      <c r="H62" s="86">
        <f t="shared" si="16"/>
        <v>64145.436237996015</v>
      </c>
      <c r="I62" s="86">
        <f t="shared" si="16"/>
        <v>-303270511.56129724</v>
      </c>
      <c r="L62" s="136">
        <f>'JURISSEP B'!G258</f>
        <v>303334656.99753523</v>
      </c>
      <c r="M62" s="136"/>
      <c r="N62" s="136">
        <f>SUM(L62:M62)</f>
        <v>303334656.99753523</v>
      </c>
      <c r="O62" s="136">
        <f>-E62+M62</f>
        <v>347698834.08384615</v>
      </c>
      <c r="P62" s="137">
        <f>N62/O62</f>
        <v>0.87240631046921291</v>
      </c>
    </row>
    <row r="63" spans="1:16" ht="18.95" customHeight="1">
      <c r="A63" s="70"/>
    </row>
    <row r="64" spans="1:16" ht="18.95" customHeight="1">
      <c r="A64" s="70">
        <f>A62+1</f>
        <v>35</v>
      </c>
      <c r="C64" s="90" t="s">
        <v>84</v>
      </c>
    </row>
    <row r="65" spans="1:16" ht="18.95" customHeight="1">
      <c r="A65" s="70">
        <f t="shared" si="1"/>
        <v>36</v>
      </c>
      <c r="B65" s="71" t="s">
        <v>1662</v>
      </c>
      <c r="C65" s="78" t="s">
        <v>154</v>
      </c>
      <c r="D65" s="88">
        <f>'SCH B-2.1 B'!D63</f>
        <v>32027218.608327903</v>
      </c>
      <c r="E65" s="88">
        <f>SUMIFS('PIS B'!$W$11:$W$338,'PIS B'!$C$11:$C$338,'SCH B-3 B'!$B65)</f>
        <v>-17849532.963267282</v>
      </c>
      <c r="F65" s="134">
        <f>$P$74</f>
        <v>0.87243283191649268</v>
      </c>
      <c r="G65" s="88">
        <f t="shared" ref="G65:G73" si="17">E65*F65</f>
        <v>-15572518.59153006</v>
      </c>
      <c r="H65" s="88">
        <f>SUMIFS('SCH B-3.1'!$F$12:$F$27,'SCH B-3.1'!$B$12:$B$27,'SCH B-3 B'!$B65)</f>
        <v>0</v>
      </c>
      <c r="I65" s="88">
        <f t="shared" ref="I65:I73" si="18">SUM(G65:H65)</f>
        <v>-15572518.59153006</v>
      </c>
    </row>
    <row r="66" spans="1:16" ht="18.95" customHeight="1">
      <c r="A66" s="70">
        <f t="shared" si="1"/>
        <v>37</v>
      </c>
      <c r="B66" s="71" t="s">
        <v>1663</v>
      </c>
      <c r="C66" s="78" t="s">
        <v>148</v>
      </c>
      <c r="D66" s="88">
        <f>'SCH B-2.1 B'!D64</f>
        <v>29626094.620000001</v>
      </c>
      <c r="E66" s="88">
        <f>SUMIFS('PIS B'!$W$11:$W$338,'PIS B'!$C$11:$C$338,'SCH B-3 B'!$B66)</f>
        <v>-7652701.5446839444</v>
      </c>
      <c r="F66" s="134">
        <f t="shared" ref="F66:F73" si="19">$P$74</f>
        <v>0.87243283191649268</v>
      </c>
      <c r="G66" s="88">
        <f t="shared" si="17"/>
        <v>-6676468.0804403313</v>
      </c>
      <c r="H66" s="88">
        <f>SUMIFS('SCH B-3.1'!$F$12:$F$27,'SCH B-3.1'!$B$12:$B$27,'SCH B-3 B'!$B66)</f>
        <v>0</v>
      </c>
      <c r="I66" s="88">
        <f t="shared" si="18"/>
        <v>-6676468.0804403313</v>
      </c>
    </row>
    <row r="67" spans="1:16" ht="18.95" customHeight="1">
      <c r="A67" s="70">
        <f t="shared" si="1"/>
        <v>38</v>
      </c>
      <c r="B67" s="71" t="s">
        <v>1664</v>
      </c>
      <c r="C67" s="78" t="s">
        <v>149</v>
      </c>
      <c r="D67" s="88">
        <f>'SCH B-2.1 B'!D65</f>
        <v>351137506.68075639</v>
      </c>
      <c r="E67" s="88">
        <f>SUMIFS('PIS B'!$W$11:$W$338,'PIS B'!$C$11:$C$338,'SCH B-3 B'!$B67)</f>
        <v>-81697656.065140486</v>
      </c>
      <c r="F67" s="134">
        <f t="shared" si="19"/>
        <v>0.87243283191649268</v>
      </c>
      <c r="G67" s="88">
        <f t="shared" si="17"/>
        <v>-71275717.441850141</v>
      </c>
      <c r="H67" s="88">
        <f>SUMIFS('SCH B-3.1'!$F$12:$F$27,'SCH B-3.1'!$B$12:$B$27,'SCH B-3 B'!$B67)</f>
        <v>0</v>
      </c>
      <c r="I67" s="88">
        <f t="shared" si="18"/>
        <v>-71275717.441850141</v>
      </c>
    </row>
    <row r="68" spans="1:16" ht="18.95" customHeight="1">
      <c r="A68" s="70">
        <f t="shared" si="1"/>
        <v>39</v>
      </c>
      <c r="B68" s="71" t="s">
        <v>1665</v>
      </c>
      <c r="C68" s="78" t="s">
        <v>1666</v>
      </c>
      <c r="D68" s="88">
        <f>'SCH B-2.1 B'!D66</f>
        <v>78033094.149999991</v>
      </c>
      <c r="E68" s="88">
        <f>SUMIFS('PIS B'!$W$11:$W$338,'PIS B'!$C$11:$C$338,'SCH B-3 B'!$B68)</f>
        <v>-52470303.57</v>
      </c>
      <c r="F68" s="134">
        <f t="shared" si="19"/>
        <v>0.87243283191649268</v>
      </c>
      <c r="G68" s="88">
        <f t="shared" si="17"/>
        <v>-45776815.535093158</v>
      </c>
      <c r="H68" s="88">
        <f>SUMIFS('SCH B-3.1'!$F$12:$F$27,'SCH B-3.1'!$B$12:$B$27,'SCH B-3 B'!$B68)</f>
        <v>0</v>
      </c>
      <c r="I68" s="88">
        <f t="shared" si="18"/>
        <v>-45776815.535093158</v>
      </c>
    </row>
    <row r="69" spans="1:16" ht="18.95" customHeight="1">
      <c r="A69" s="70">
        <f t="shared" si="1"/>
        <v>40</v>
      </c>
      <c r="B69" s="71" t="s">
        <v>1667</v>
      </c>
      <c r="C69" s="78" t="s">
        <v>1668</v>
      </c>
      <c r="D69" s="88">
        <f>'SCH B-2.1 B'!D67</f>
        <v>393402060.89500129</v>
      </c>
      <c r="E69" s="88">
        <f>SUMIFS('PIS B'!$W$11:$W$338,'PIS B'!$C$11:$C$338,'SCH B-3 B'!$B69)</f>
        <v>-73449849.900755629</v>
      </c>
      <c r="F69" s="134">
        <f t="shared" si="19"/>
        <v>0.87243283191649268</v>
      </c>
      <c r="G69" s="88">
        <f t="shared" si="17"/>
        <v>-64080060.552757554</v>
      </c>
      <c r="H69" s="88">
        <f>SUMIFS('SCH B-3.1'!$F$12:$F$27,'SCH B-3.1'!$B$12:$B$27,'SCH B-3 B'!$B69)</f>
        <v>0</v>
      </c>
      <c r="I69" s="88">
        <f t="shared" si="18"/>
        <v>-64080060.552757554</v>
      </c>
    </row>
    <row r="70" spans="1:16" ht="18.95" customHeight="1">
      <c r="A70" s="70">
        <f t="shared" si="1"/>
        <v>41</v>
      </c>
      <c r="B70" s="71" t="s">
        <v>1669</v>
      </c>
      <c r="C70" s="78" t="s">
        <v>1670</v>
      </c>
      <c r="D70" s="88">
        <f>'SCH B-2.1 B'!D68</f>
        <v>189678407.46810851</v>
      </c>
      <c r="E70" s="88">
        <f>SUMIFS('PIS B'!$W$11:$W$338,'PIS B'!$C$11:$C$338,'SCH B-3 B'!$B70)</f>
        <v>-115921780.05145633</v>
      </c>
      <c r="F70" s="134">
        <f t="shared" si="19"/>
        <v>0.87243283191649268</v>
      </c>
      <c r="G70" s="88">
        <f t="shared" si="17"/>
        <v>-101133966.85109283</v>
      </c>
      <c r="H70" s="88">
        <f>SUMIFS('SCH B-3.1'!$F$12:$F$27,'SCH B-3.1'!$B$12:$B$27,'SCH B-3 B'!$B70)</f>
        <v>0</v>
      </c>
      <c r="I70" s="88">
        <f t="shared" si="18"/>
        <v>-101133966.85109283</v>
      </c>
    </row>
    <row r="71" spans="1:16" ht="18.95" customHeight="1">
      <c r="A71" s="70">
        <f t="shared" si="1"/>
        <v>42</v>
      </c>
      <c r="B71" s="71" t="s">
        <v>1671</v>
      </c>
      <c r="C71" s="78" t="s">
        <v>1672</v>
      </c>
      <c r="D71" s="88">
        <f>'SCH B-2.1 B'!D69</f>
        <v>448760.26</v>
      </c>
      <c r="E71" s="88">
        <f>SUMIFS('PIS B'!$W$11:$W$338,'PIS B'!$C$11:$C$338,'SCH B-3 B'!$B71)</f>
        <v>-256369.31</v>
      </c>
      <c r="F71" s="134">
        <f t="shared" si="19"/>
        <v>0.87243283191649268</v>
      </c>
      <c r="G71" s="88">
        <f t="shared" si="17"/>
        <v>-223665.0031397772</v>
      </c>
      <c r="H71" s="88">
        <f>SUMIFS('SCH B-3.1'!$F$12:$F$27,'SCH B-3.1'!$B$12:$B$27,'SCH B-3 B'!$B71)</f>
        <v>0</v>
      </c>
      <c r="I71" s="88">
        <f t="shared" si="18"/>
        <v>-223665.0031397772</v>
      </c>
    </row>
    <row r="72" spans="1:16" ht="18.95" customHeight="1">
      <c r="A72" s="70">
        <f t="shared" si="1"/>
        <v>43</v>
      </c>
      <c r="B72" s="71" t="s">
        <v>1673</v>
      </c>
      <c r="C72" s="78" t="s">
        <v>1674</v>
      </c>
      <c r="D72" s="88">
        <f>'SCH B-2.1 B'!D70</f>
        <v>1299592.5499999998</v>
      </c>
      <c r="E72" s="88">
        <f>SUMIFS('PIS B'!$W$11:$W$338,'PIS B'!$C$11:$C$338,'SCH B-3 B'!$B72)</f>
        <v>-958368.58844793646</v>
      </c>
      <c r="F72" s="134">
        <f t="shared" si="19"/>
        <v>0.87243283191649268</v>
      </c>
      <c r="G72" s="88">
        <f t="shared" si="17"/>
        <v>-836112.22163944494</v>
      </c>
      <c r="H72" s="88">
        <f>SUMIFS('SCH B-3.1'!$F$12:$F$27,'SCH B-3.1'!$B$12:$B$27,'SCH B-3 B'!$B72)</f>
        <v>0</v>
      </c>
      <c r="I72" s="88">
        <f t="shared" si="18"/>
        <v>-836112.22163944494</v>
      </c>
    </row>
    <row r="73" spans="1:16" ht="18.95" customHeight="1">
      <c r="A73" s="70">
        <f t="shared" si="1"/>
        <v>44</v>
      </c>
      <c r="B73" s="71" t="s">
        <v>1675</v>
      </c>
      <c r="C73" s="78" t="s">
        <v>152</v>
      </c>
      <c r="D73" s="89">
        <f>'SCH B-2.1 B'!D71</f>
        <v>551323.88</v>
      </c>
      <c r="E73" s="89">
        <f>SUMIFS('PIS B'!$W$11:$W$338,'PIS B'!$C$11:$C$338,'SCH B-3 B'!$B73)</f>
        <v>-91218.789999999892</v>
      </c>
      <c r="F73" s="134">
        <f t="shared" si="19"/>
        <v>0.87243283191649268</v>
      </c>
      <c r="G73" s="89">
        <f t="shared" si="17"/>
        <v>-79582.26728369575</v>
      </c>
      <c r="H73" s="89">
        <f>SUMIFS('SCH B-3.1'!$F$12:$F$27,'SCH B-3.1'!$B$12:$B$27,'SCH B-3 B'!$B73)</f>
        <v>79582.26728369575</v>
      </c>
      <c r="I73" s="89">
        <f t="shared" si="18"/>
        <v>0</v>
      </c>
    </row>
    <row r="74" spans="1:16" ht="18.95" customHeight="1">
      <c r="A74" s="70">
        <f t="shared" si="1"/>
        <v>45</v>
      </c>
      <c r="C74" s="78" t="s">
        <v>150</v>
      </c>
      <c r="D74" s="86">
        <f>SUM(D65:D73)</f>
        <v>1076204059.1121941</v>
      </c>
      <c r="E74" s="86">
        <f t="shared" ref="E74:I74" si="20">SUM(E65:E73)</f>
        <v>-350347780.78375161</v>
      </c>
      <c r="F74" s="86"/>
      <c r="G74" s="86">
        <f t="shared" si="20"/>
        <v>-305654906.54482698</v>
      </c>
      <c r="H74" s="86">
        <f t="shared" si="20"/>
        <v>79582.26728369575</v>
      </c>
      <c r="I74" s="86">
        <f t="shared" si="20"/>
        <v>-305575324.27754331</v>
      </c>
      <c r="L74" s="136">
        <f>'JURISSEP B'!G267</f>
        <v>305654906.54482698</v>
      </c>
      <c r="M74" s="136"/>
      <c r="N74" s="136">
        <f>SUM(L74:M74)</f>
        <v>305654906.54482698</v>
      </c>
      <c r="O74" s="136">
        <f>-E74+M74</f>
        <v>350347780.78375161</v>
      </c>
      <c r="P74" s="137">
        <f>N74/O74</f>
        <v>0.87243283191649268</v>
      </c>
    </row>
    <row r="75" spans="1:16" ht="18.95" customHeight="1">
      <c r="A75" s="70"/>
      <c r="B75" s="71"/>
    </row>
    <row r="76" spans="1:16" ht="18.95" customHeight="1">
      <c r="A76" s="70">
        <f>A74+1</f>
        <v>46</v>
      </c>
      <c r="B76" s="71" t="s">
        <v>251</v>
      </c>
      <c r="C76" s="90" t="s">
        <v>16</v>
      </c>
    </row>
    <row r="77" spans="1:16" ht="18.95" customHeight="1">
      <c r="A77" s="70">
        <f t="shared" si="1"/>
        <v>47</v>
      </c>
      <c r="B77" s="71" t="s">
        <v>1676</v>
      </c>
      <c r="C77" s="78" t="s">
        <v>154</v>
      </c>
      <c r="D77" s="88">
        <f>'SCH B-2.1 B'!D75</f>
        <v>9912607.7263599895</v>
      </c>
      <c r="E77" s="88">
        <f>SUMIFS('PIS B'!$W$11:$W$338,'PIS B'!$C$11:$C$338,'SCH B-3 B'!$B77)</f>
        <v>-1496197.7882666178</v>
      </c>
      <c r="F77" s="134">
        <f>$P$90</f>
        <v>0.94001104582975414</v>
      </c>
      <c r="G77" s="88">
        <f t="shared" ref="G77:G89" si="21">E77*F77</f>
        <v>-1406442.4477166685</v>
      </c>
      <c r="H77" s="88">
        <f>SUMIFS('SCH B-3.1'!$F$12:$F$27,'SCH B-3.1'!$B$12:$B$27,'SCH B-3 B'!$B77)</f>
        <v>0</v>
      </c>
      <c r="I77" s="88">
        <f t="shared" ref="I77:I89" si="22">SUM(G77:H77)</f>
        <v>-1406442.4477166685</v>
      </c>
    </row>
    <row r="78" spans="1:16" ht="18.95" customHeight="1">
      <c r="A78" s="70">
        <f t="shared" si="1"/>
        <v>48</v>
      </c>
      <c r="B78" s="71" t="s">
        <v>1677</v>
      </c>
      <c r="C78" s="78" t="s">
        <v>148</v>
      </c>
      <c r="D78" s="88">
        <f>'SCH B-2.1 B'!D76</f>
        <v>20723091.363981999</v>
      </c>
      <c r="E78" s="88">
        <f>SUMIFS('PIS B'!$W$11:$W$338,'PIS B'!$C$11:$C$338,'SCH B-3 B'!$B78)</f>
        <v>-2687191.3081859425</v>
      </c>
      <c r="F78" s="134">
        <f t="shared" ref="F78:F81" si="23">$P$90</f>
        <v>0.94001104582975414</v>
      </c>
      <c r="G78" s="88">
        <f t="shared" si="21"/>
        <v>-2525989.5119524929</v>
      </c>
      <c r="H78" s="88">
        <f>SUMIFS('SCH B-3.1'!$F$12:$F$27,'SCH B-3.1'!$B$12:$B$27,'SCH B-3 B'!$B78)</f>
        <v>0</v>
      </c>
      <c r="I78" s="88">
        <f t="shared" si="22"/>
        <v>-2525989.5119524929</v>
      </c>
    </row>
    <row r="79" spans="1:16" ht="18.95" customHeight="1">
      <c r="A79" s="70">
        <f t="shared" si="1"/>
        <v>49</v>
      </c>
      <c r="B79" s="71" t="s">
        <v>1678</v>
      </c>
      <c r="C79" s="78" t="s">
        <v>1679</v>
      </c>
      <c r="D79" s="88">
        <f>'SCH B-2.1 B'!D77</f>
        <v>239854379.30590451</v>
      </c>
      <c r="E79" s="88">
        <f>SUMIFS('PIS B'!$W$11:$W$338,'PIS B'!$C$11:$C$338,'SCH B-3 B'!$B79)</f>
        <v>-53254147.638167843</v>
      </c>
      <c r="F79" s="134">
        <f t="shared" si="23"/>
        <v>0.94001104582975414</v>
      </c>
      <c r="G79" s="88">
        <f t="shared" si="21"/>
        <v>-50059487.016126283</v>
      </c>
      <c r="H79" s="88">
        <f>SUMIFS('SCH B-3.1'!$F$12:$F$27,'SCH B-3.1'!$B$12:$B$27,'SCH B-3 B'!$B79)</f>
        <v>0</v>
      </c>
      <c r="I79" s="88">
        <f t="shared" si="22"/>
        <v>-50059487.016126283</v>
      </c>
    </row>
    <row r="80" spans="1:16" ht="18.95" customHeight="1">
      <c r="A80" s="70">
        <f t="shared" ref="A80:A90" si="24">A79+1</f>
        <v>50</v>
      </c>
      <c r="B80" s="71" t="s">
        <v>1680</v>
      </c>
      <c r="C80" s="78" t="s">
        <v>1681</v>
      </c>
      <c r="D80" s="88">
        <f>'SCH B-2.1 B'!D78</f>
        <v>412700867.39732909</v>
      </c>
      <c r="E80" s="88">
        <f>SUMIFS('PIS B'!$W$11:$W$338,'PIS B'!$C$11:$C$338,'SCH B-3 B'!$B80)</f>
        <v>-171287568.99131122</v>
      </c>
      <c r="F80" s="134">
        <f t="shared" si="23"/>
        <v>0.94001104582975414</v>
      </c>
      <c r="G80" s="88">
        <f t="shared" si="21"/>
        <v>-161012206.86515862</v>
      </c>
      <c r="H80" s="88">
        <f>SUMIFS('SCH B-3.1'!$F$12:$F$27,'SCH B-3.1'!$B$12:$B$27,'SCH B-3 B'!$B80)</f>
        <v>2621.194029781675</v>
      </c>
      <c r="I80" s="88">
        <f t="shared" si="22"/>
        <v>-161009585.67112884</v>
      </c>
    </row>
    <row r="81" spans="1:16" ht="18.95" customHeight="1">
      <c r="A81" s="70">
        <f t="shared" si="24"/>
        <v>51</v>
      </c>
      <c r="B81" s="71" t="s">
        <v>1682</v>
      </c>
      <c r="C81" s="78" t="s">
        <v>1670</v>
      </c>
      <c r="D81" s="88">
        <f>'SCH B-2.1 B'!D79</f>
        <v>408540166.24459821</v>
      </c>
      <c r="E81" s="88">
        <f>SUMIFS('PIS B'!$W$11:$W$338,'PIS B'!$C$11:$C$338,'SCH B-3 B'!$B81)</f>
        <v>-117506514.35315433</v>
      </c>
      <c r="F81" s="134">
        <f t="shared" si="23"/>
        <v>0.94001104582975414</v>
      </c>
      <c r="G81" s="88">
        <f t="shared" si="21"/>
        <v>-110457421.44891761</v>
      </c>
      <c r="H81" s="88">
        <f>SUMIFS('SCH B-3.1'!$F$12:$F$27,'SCH B-3.1'!$B$12:$B$27,'SCH B-3 B'!$B81)</f>
        <v>2822.5361175911421</v>
      </c>
      <c r="I81" s="88">
        <f t="shared" si="22"/>
        <v>-110454598.91280001</v>
      </c>
    </row>
    <row r="82" spans="1:16" ht="18.95" customHeight="1">
      <c r="A82" s="70">
        <f t="shared" si="24"/>
        <v>52</v>
      </c>
      <c r="B82" s="71" t="s">
        <v>1683</v>
      </c>
      <c r="C82" s="78" t="s">
        <v>1672</v>
      </c>
      <c r="D82" s="88">
        <f>'SCH B-2.1 B'!D80</f>
        <v>2390106.04</v>
      </c>
      <c r="E82" s="88">
        <f>SUMIFS('PIS B'!$W$11:$W$338,'PIS B'!$C$11:$C$338,'SCH B-3 B'!$B82)</f>
        <v>-1006561.1442685102</v>
      </c>
      <c r="F82" s="134">
        <f>'SCH B-2.1 B'!E80</f>
        <v>1</v>
      </c>
      <c r="G82" s="88">
        <f t="shared" si="21"/>
        <v>-1006561.1442685102</v>
      </c>
      <c r="H82" s="88">
        <f>SUMIFS('SCH B-3.1'!$F$12:$F$27,'SCH B-3.1'!$B$12:$B$27,'SCH B-3 B'!$B82)</f>
        <v>18840.289231999901</v>
      </c>
      <c r="I82" s="88">
        <f t="shared" si="22"/>
        <v>-987720.85503651027</v>
      </c>
    </row>
    <row r="83" spans="1:16" ht="18.95" customHeight="1">
      <c r="A83" s="70">
        <f t="shared" si="24"/>
        <v>53</v>
      </c>
      <c r="B83" s="71" t="s">
        <v>1684</v>
      </c>
      <c r="C83" s="78" t="s">
        <v>1674</v>
      </c>
      <c r="D83" s="88">
        <f>'SCH B-2.1 B'!D81</f>
        <v>207816688.34100664</v>
      </c>
      <c r="E83" s="88">
        <f>SUMIFS('PIS B'!$W$11:$W$338,'PIS B'!$C$11:$C$338,'SCH B-3 B'!$B83)</f>
        <v>-51556498.69484587</v>
      </c>
      <c r="F83" s="134">
        <f t="shared" ref="F83:F88" si="25">$P$90</f>
        <v>0.94001104582975414</v>
      </c>
      <c r="G83" s="88">
        <f t="shared" si="21"/>
        <v>-48463678.25746242</v>
      </c>
      <c r="H83" s="88">
        <f>SUMIFS('SCH B-3.1'!$F$12:$F$27,'SCH B-3.1'!$B$12:$B$27,'SCH B-3 B'!$B83)</f>
        <v>127912.98231271472</v>
      </c>
      <c r="I83" s="88">
        <f t="shared" si="22"/>
        <v>-48335765.275149703</v>
      </c>
    </row>
    <row r="84" spans="1:16" ht="18.95" customHeight="1">
      <c r="A84" s="70">
        <f t="shared" si="24"/>
        <v>54</v>
      </c>
      <c r="B84" s="71" t="s">
        <v>1685</v>
      </c>
      <c r="C84" s="78" t="s">
        <v>1686</v>
      </c>
      <c r="D84" s="88">
        <f>'SCH B-2.1 B'!D82</f>
        <v>321398085.92633104</v>
      </c>
      <c r="E84" s="88">
        <f>SUMIFS('PIS B'!$W$11:$W$338,'PIS B'!$C$11:$C$338,'SCH B-3 B'!$B84)</f>
        <v>-149293912.60327709</v>
      </c>
      <c r="F84" s="134">
        <f t="shared" si="25"/>
        <v>0.94001104582975414</v>
      </c>
      <c r="G84" s="88">
        <f t="shared" si="21"/>
        <v>-140337926.92222241</v>
      </c>
      <c r="H84" s="88">
        <f>SUMIFS('SCH B-3.1'!$F$12:$F$27,'SCH B-3.1'!$B$12:$B$27,'SCH B-3 B'!$B84)</f>
        <v>0</v>
      </c>
      <c r="I84" s="88">
        <f t="shared" si="22"/>
        <v>-140337926.92222241</v>
      </c>
    </row>
    <row r="85" spans="1:16" ht="18.95" customHeight="1">
      <c r="A85" s="70">
        <f t="shared" si="24"/>
        <v>55</v>
      </c>
      <c r="B85" s="71" t="s">
        <v>1687</v>
      </c>
      <c r="C85" s="78" t="s">
        <v>1688</v>
      </c>
      <c r="D85" s="88">
        <f>'SCH B-2.1 B'!D83</f>
        <v>114503751.92</v>
      </c>
      <c r="E85" s="88">
        <f>SUMIFS('PIS B'!$W$11:$W$338,'PIS B'!$C$11:$C$338,'SCH B-3 B'!$B85)</f>
        <v>-65891538.10002239</v>
      </c>
      <c r="F85" s="134">
        <f t="shared" si="25"/>
        <v>0.94001104582975414</v>
      </c>
      <c r="G85" s="88">
        <f t="shared" si="21"/>
        <v>-61938773.640733138</v>
      </c>
      <c r="H85" s="88">
        <f>SUMIFS('SCH B-3.1'!$F$12:$F$27,'SCH B-3.1'!$B$12:$B$27,'SCH B-3 B'!$B85)</f>
        <v>0</v>
      </c>
      <c r="I85" s="88">
        <f t="shared" si="22"/>
        <v>-61938773.640733138</v>
      </c>
    </row>
    <row r="86" spans="1:16" ht="18.95" customHeight="1">
      <c r="A86" s="70">
        <f>A85+1</f>
        <v>56</v>
      </c>
      <c r="B86" s="71" t="s">
        <v>1689</v>
      </c>
      <c r="C86" s="78" t="s">
        <v>1690</v>
      </c>
      <c r="D86" s="88">
        <f>'SCH B-2.1 B'!D84</f>
        <v>81007991.617869988</v>
      </c>
      <c r="E86" s="88">
        <f>SUMIFS('PIS B'!$W$11:$W$338,'PIS B'!$C$11:$C$338,'SCH B-3 B'!$B86)</f>
        <v>-42020178.746901587</v>
      </c>
      <c r="F86" s="134">
        <f t="shared" si="25"/>
        <v>0.94001104582975414</v>
      </c>
      <c r="G86" s="88">
        <f t="shared" si="21"/>
        <v>-39499432.169828169</v>
      </c>
      <c r="H86" s="88">
        <f>SUMIFS('SCH B-3.1'!$F$12:$F$27,'SCH B-3.1'!$B$12:$B$27,'SCH B-3 B'!$B86)</f>
        <v>161829.76580200001</v>
      </c>
      <c r="I86" s="88">
        <f t="shared" si="22"/>
        <v>-39337602.404026166</v>
      </c>
    </row>
    <row r="87" spans="1:16" ht="18.95" customHeight="1">
      <c r="A87" s="70">
        <f t="shared" si="24"/>
        <v>57</v>
      </c>
      <c r="B87" s="71" t="s">
        <v>1691</v>
      </c>
      <c r="C87" s="78" t="s">
        <v>1692</v>
      </c>
      <c r="D87" s="88">
        <f>'SCH B-2.1 B'!D85</f>
        <v>145659.96809999997</v>
      </c>
      <c r="E87" s="88">
        <f>SUMIFS('PIS B'!$W$11:$W$338,'PIS B'!$C$11:$C$338,'SCH B-3 B'!$B87)</f>
        <v>-4020.3487184600531</v>
      </c>
      <c r="F87" s="134">
        <f t="shared" si="25"/>
        <v>0.94001104582975414</v>
      </c>
      <c r="G87" s="88">
        <f t="shared" si="21"/>
        <v>-3779.1722034399463</v>
      </c>
      <c r="H87" s="88">
        <f>SUMIFS('SCH B-3.1'!$F$12:$F$27,'SCH B-3.1'!$B$12:$B$27,'SCH B-3 B'!$B87)</f>
        <v>0</v>
      </c>
      <c r="I87" s="88">
        <f t="shared" si="22"/>
        <v>-3779.1722034399463</v>
      </c>
    </row>
    <row r="88" spans="1:16" ht="18.95" customHeight="1">
      <c r="A88" s="70">
        <f t="shared" si="24"/>
        <v>58</v>
      </c>
      <c r="B88" s="71" t="s">
        <v>1693</v>
      </c>
      <c r="C88" s="78" t="s">
        <v>1694</v>
      </c>
      <c r="D88" s="88">
        <f>'SCH B-2.1 B'!D86</f>
        <v>127619324.2100388</v>
      </c>
      <c r="E88" s="88">
        <f>SUMIFS('PIS B'!$W$11:$W$338,'PIS B'!$C$11:$C$338,'SCH B-3 B'!$B88)</f>
        <v>-45379839.449124105</v>
      </c>
      <c r="F88" s="134">
        <f t="shared" si="25"/>
        <v>0.94001104582975414</v>
      </c>
      <c r="G88" s="88">
        <f t="shared" si="21"/>
        <v>-42657550.340157486</v>
      </c>
      <c r="H88" s="88">
        <f>SUMIFS('SCH B-3.1'!$F$12:$F$27,'SCH B-3.1'!$B$12:$B$27,'SCH B-3 B'!$B88)</f>
        <v>0</v>
      </c>
      <c r="I88" s="88">
        <f t="shared" si="22"/>
        <v>-42657550.340157486</v>
      </c>
    </row>
    <row r="89" spans="1:16" ht="18.95" customHeight="1">
      <c r="A89" s="70">
        <f t="shared" si="24"/>
        <v>59</v>
      </c>
      <c r="B89" s="71" t="s">
        <v>1695</v>
      </c>
      <c r="C89" s="78" t="s">
        <v>151</v>
      </c>
      <c r="D89" s="89">
        <f>'SCH B-2.1 B'!D87</f>
        <v>658287.18999999901</v>
      </c>
      <c r="E89" s="89">
        <f>SUMIFS('PIS B'!$W$11:$W$338,'PIS B'!$C$11:$C$338,'SCH B-3 B'!$B89)</f>
        <v>-123218.49</v>
      </c>
      <c r="F89" s="134">
        <f>'SCH B-2.1 B'!E87</f>
        <v>1</v>
      </c>
      <c r="G89" s="89">
        <f t="shared" si="21"/>
        <v>-123218.49</v>
      </c>
      <c r="H89" s="89">
        <f>SUMIFS('SCH B-3.1'!$F$12:$F$27,'SCH B-3.1'!$B$12:$B$27,'SCH B-3 B'!$B89)</f>
        <v>123218.49</v>
      </c>
      <c r="I89" s="89">
        <f t="shared" si="22"/>
        <v>0</v>
      </c>
    </row>
    <row r="90" spans="1:16" ht="18.95" customHeight="1">
      <c r="A90" s="70">
        <f t="shared" si="24"/>
        <v>60</v>
      </c>
      <c r="B90" s="71"/>
      <c r="C90" s="78" t="s">
        <v>153</v>
      </c>
      <c r="D90" s="86">
        <f>SUM(D77:D89)</f>
        <v>1947271007.2515206</v>
      </c>
      <c r="E90" s="86">
        <f t="shared" ref="E90:I90" si="26">SUM(E77:E89)</f>
        <v>-701507387.65624404</v>
      </c>
      <c r="F90" s="86"/>
      <c r="G90" s="86">
        <f t="shared" si="26"/>
        <v>-659492467.42674732</v>
      </c>
      <c r="H90" s="86">
        <f t="shared" si="26"/>
        <v>437245.25749408745</v>
      </c>
      <c r="I90" s="86">
        <f t="shared" si="26"/>
        <v>-659055222.16925311</v>
      </c>
      <c r="L90" s="136">
        <f>'JURISSEP B'!G271</f>
        <v>659492467.42674732</v>
      </c>
      <c r="M90" s="136">
        <f>G82+G89</f>
        <v>-1129779.6342685102</v>
      </c>
      <c r="N90" s="136">
        <f>SUM(L90:M90)</f>
        <v>658362687.7924788</v>
      </c>
      <c r="O90" s="136">
        <f>-E90+M90</f>
        <v>700377608.02197552</v>
      </c>
      <c r="P90" s="137">
        <f>N90/O90</f>
        <v>0.94001104582975414</v>
      </c>
    </row>
    <row r="91" spans="1:16" s="68" customFormat="1" ht="20.100000000000001" customHeight="1">
      <c r="A91" s="769" t="str">
        <f>$A$1</f>
        <v>KENTUCKY UTILITIES COMPANY</v>
      </c>
      <c r="B91" s="769"/>
      <c r="C91" s="769"/>
      <c r="D91" s="769"/>
      <c r="E91" s="769"/>
      <c r="F91" s="769"/>
      <c r="G91" s="769"/>
      <c r="H91" s="769"/>
      <c r="I91" s="769"/>
    </row>
    <row r="92" spans="1:16" s="68" customFormat="1" ht="20.100000000000001" customHeight="1">
      <c r="A92" s="769" t="str">
        <f>$A$2</f>
        <v>CASE NO. 2018-00294 - RESPONSE TO PSC 2-65 (SLIPPAGE FACTOR 96.027%)</v>
      </c>
      <c r="B92" s="769"/>
      <c r="C92" s="769"/>
      <c r="D92" s="769"/>
      <c r="E92" s="769"/>
      <c r="F92" s="769"/>
      <c r="G92" s="769"/>
      <c r="H92" s="769"/>
      <c r="I92" s="769"/>
    </row>
    <row r="93" spans="1:16" s="68" customFormat="1" ht="20.100000000000001" customHeight="1">
      <c r="A93" s="769" t="str">
        <f>$A$3</f>
        <v>ACCUMULATED DEPRECIATION AND AMORTIZATION</v>
      </c>
      <c r="B93" s="769"/>
      <c r="C93" s="769"/>
      <c r="D93" s="769"/>
      <c r="E93" s="769"/>
      <c r="F93" s="769"/>
      <c r="G93" s="769"/>
      <c r="H93" s="769"/>
      <c r="I93" s="769"/>
    </row>
    <row r="94" spans="1:16" s="68" customFormat="1" ht="20.100000000000001" customHeight="1">
      <c r="A94" s="768" t="str">
        <f>$A$4</f>
        <v>AS OF DECEMBER 31, 2018</v>
      </c>
      <c r="B94" s="769"/>
      <c r="C94" s="769"/>
      <c r="D94" s="769"/>
      <c r="E94" s="769"/>
      <c r="F94" s="769"/>
      <c r="G94" s="769"/>
      <c r="H94" s="769"/>
      <c r="I94" s="769"/>
    </row>
    <row r="95" spans="1:16" s="68" customFormat="1" ht="20.100000000000001" customHeight="1">
      <c r="A95" s="84"/>
      <c r="B95" s="84"/>
      <c r="C95" s="84"/>
      <c r="D95" s="84"/>
      <c r="E95" s="84"/>
      <c r="F95" s="84"/>
      <c r="G95" s="84"/>
      <c r="H95" s="84"/>
      <c r="I95" s="84"/>
    </row>
    <row r="96" spans="1:16" s="68" customFormat="1" ht="20.100000000000001" customHeight="1">
      <c r="A96" s="67" t="str">
        <f>$A$6</f>
        <v>DATA:__X__BASE  PERIOD____FORECASTED  PERIOD</v>
      </c>
      <c r="B96" s="67"/>
      <c r="H96" s="74"/>
      <c r="I96" s="75" t="str">
        <f>$I$6</f>
        <v>SCHEDULE B-3</v>
      </c>
    </row>
    <row r="97" spans="1:9" s="68" customFormat="1" ht="20.100000000000001" customHeight="1">
      <c r="A97" s="67" t="str">
        <f>$A$7</f>
        <v>TYPE OF FILING: __X__ ORIGINAL  _____ UPDATED  _____ REVISED</v>
      </c>
      <c r="H97" s="74"/>
      <c r="I97" s="74" t="s">
        <v>171</v>
      </c>
    </row>
    <row r="98" spans="1:9" s="68" customFormat="1" ht="20.100000000000001" customHeight="1">
      <c r="A98" s="67" t="str">
        <f>$A$8</f>
        <v>WORKPAPER REFERENCE NO(S).:</v>
      </c>
      <c r="B98" s="67"/>
      <c r="F98" s="67"/>
      <c r="G98" s="67"/>
      <c r="H98" s="75"/>
      <c r="I98" s="75" t="str">
        <f>$I$8</f>
        <v>WITNESS:   C. M. GARRETT</v>
      </c>
    </row>
    <row r="99" spans="1:9" s="68" customFormat="1" ht="20.100000000000001" customHeight="1"/>
    <row r="100" spans="1:9" s="68" customFormat="1" ht="20.100000000000001" customHeight="1">
      <c r="A100" s="96"/>
      <c r="B100" s="96"/>
      <c r="C100" s="96"/>
      <c r="D100" s="96"/>
      <c r="E100" s="771" t="s">
        <v>1203</v>
      </c>
      <c r="F100" s="771"/>
      <c r="G100" s="771"/>
      <c r="H100" s="771"/>
      <c r="I100" s="771"/>
    </row>
    <row r="101" spans="1:9" ht="65.099999999999994" customHeight="1">
      <c r="A101" s="71" t="s">
        <v>131</v>
      </c>
      <c r="B101" s="71" t="s">
        <v>134</v>
      </c>
      <c r="C101" s="78" t="s">
        <v>135</v>
      </c>
      <c r="D101" s="71" t="s">
        <v>1201</v>
      </c>
      <c r="E101" s="71" t="s">
        <v>1202</v>
      </c>
      <c r="F101" s="71" t="s">
        <v>224</v>
      </c>
      <c r="G101" s="71" t="s">
        <v>225</v>
      </c>
      <c r="H101" s="71" t="s">
        <v>226</v>
      </c>
      <c r="I101" s="71" t="s">
        <v>227</v>
      </c>
    </row>
    <row r="102" spans="1:9" ht="23.1" customHeight="1">
      <c r="A102" s="80"/>
      <c r="B102" s="80"/>
      <c r="C102" s="81"/>
      <c r="D102" s="82" t="s">
        <v>142</v>
      </c>
      <c r="E102" s="82" t="s">
        <v>142</v>
      </c>
      <c r="F102" s="82"/>
      <c r="G102" s="82" t="s">
        <v>142</v>
      </c>
      <c r="H102" s="82" t="s">
        <v>142</v>
      </c>
      <c r="I102" s="82" t="s">
        <v>142</v>
      </c>
    </row>
    <row r="103" spans="1:9" ht="18.95" customHeight="1">
      <c r="A103" s="70">
        <f>A90+1</f>
        <v>61</v>
      </c>
      <c r="C103" s="90" t="s">
        <v>32</v>
      </c>
    </row>
    <row r="104" spans="1:9" ht="18.95" customHeight="1">
      <c r="A104" s="70">
        <f t="shared" ref="A104:A114" si="27">A103+1</f>
        <v>62</v>
      </c>
      <c r="B104" s="71" t="s">
        <v>1697</v>
      </c>
      <c r="C104" s="78" t="s">
        <v>154</v>
      </c>
      <c r="D104" s="88">
        <f>'SCH B-2.1 B'!D101</f>
        <v>4114702.7727499995</v>
      </c>
      <c r="E104" s="88">
        <f>SUMIFS('PIS B'!$W$11:$W$338,'PIS B'!$C$11:$C$338,'SCH B-3 B'!$B104)</f>
        <v>-1.7105285652016262E-8</v>
      </c>
      <c r="F104" s="134">
        <f>$P$114</f>
        <v>0.90848118081575657</v>
      </c>
      <c r="G104" s="88">
        <f t="shared" ref="G104:G113" si="28">E104*F104</f>
        <v>-1.5539830107334554E-8</v>
      </c>
      <c r="H104" s="88">
        <f>SUMIFS('SCH B-3.1'!$F$12:$F$27,'SCH B-3.1'!$B$12:$B$27,'SCH B-3 B'!$B104)</f>
        <v>0</v>
      </c>
      <c r="I104" s="88">
        <f t="shared" ref="I104:I113" si="29">SUM(G104:H104)</f>
        <v>-1.5539830107334554E-8</v>
      </c>
    </row>
    <row r="105" spans="1:9" ht="18.95" customHeight="1">
      <c r="A105" s="70">
        <f t="shared" si="27"/>
        <v>63</v>
      </c>
      <c r="B105" s="71" t="s">
        <v>1698</v>
      </c>
      <c r="C105" s="78" t="s">
        <v>148</v>
      </c>
      <c r="D105" s="88">
        <f>'SCH B-2.1 B'!D102</f>
        <v>69509098.574726894</v>
      </c>
      <c r="E105" s="88">
        <f>SUMIFS('PIS B'!$W$11:$W$338,'PIS B'!$C$11:$C$338,'SCH B-3 B'!$B105)</f>
        <v>-14080790.197159041</v>
      </c>
      <c r="F105" s="134">
        <f t="shared" ref="F105:F113" si="30">$P$114</f>
        <v>0.90848118081575657</v>
      </c>
      <c r="G105" s="88">
        <f t="shared" si="28"/>
        <v>-12792132.905133976</v>
      </c>
      <c r="H105" s="88">
        <f>SUMIFS('SCH B-3.1'!$F$12:$F$27,'SCH B-3.1'!$B$12:$B$27,'SCH B-3 B'!$B105)</f>
        <v>0</v>
      </c>
      <c r="I105" s="88">
        <f t="shared" si="29"/>
        <v>-12792132.905133976</v>
      </c>
    </row>
    <row r="106" spans="1:9" ht="18.95" customHeight="1">
      <c r="A106" s="70">
        <f t="shared" si="27"/>
        <v>64</v>
      </c>
      <c r="B106" s="71" t="s">
        <v>1699</v>
      </c>
      <c r="C106" s="78" t="s">
        <v>156</v>
      </c>
      <c r="D106" s="88">
        <f>'SCH B-2.1 B'!D103</f>
        <v>46160026.234825499</v>
      </c>
      <c r="E106" s="88">
        <f>SUMIFS('PIS B'!$W$11:$W$338,'PIS B'!$C$11:$C$338,'SCH B-3 B'!$B106)</f>
        <v>-21641972.04000194</v>
      </c>
      <c r="F106" s="134">
        <f t="shared" si="30"/>
        <v>0.90848118081575657</v>
      </c>
      <c r="G106" s="88">
        <f t="shared" si="28"/>
        <v>-19661324.314082552</v>
      </c>
      <c r="H106" s="88">
        <f>SUMIFS('SCH B-3.1'!$F$12:$F$27,'SCH B-3.1'!$B$12:$B$27,'SCH B-3 B'!$B106)</f>
        <v>0</v>
      </c>
      <c r="I106" s="88">
        <f t="shared" si="29"/>
        <v>-19661324.314082552</v>
      </c>
    </row>
    <row r="107" spans="1:9" ht="18.95" customHeight="1">
      <c r="A107" s="70">
        <f t="shared" si="27"/>
        <v>65</v>
      </c>
      <c r="B107" s="71" t="s">
        <v>1700</v>
      </c>
      <c r="C107" s="78" t="s">
        <v>155</v>
      </c>
      <c r="D107" s="88">
        <f>'SCH B-2.1 B'!D104</f>
        <v>7538271.6999999993</v>
      </c>
      <c r="E107" s="88">
        <f>SUMIFS('PIS B'!$W$11:$W$338,'PIS B'!$C$11:$C$338,'SCH B-3 B'!$B107)</f>
        <v>-4209074.3368780762</v>
      </c>
      <c r="F107" s="134">
        <f t="shared" si="30"/>
        <v>0.90848118081575657</v>
      </c>
      <c r="G107" s="88">
        <f t="shared" si="28"/>
        <v>-3823864.8237082921</v>
      </c>
      <c r="H107" s="88">
        <f>SUMIFS('SCH B-3.1'!$F$12:$F$27,'SCH B-3.1'!$B$12:$B$27,'SCH B-3 B'!$B107)</f>
        <v>17801.641158199869</v>
      </c>
      <c r="I107" s="88">
        <f t="shared" si="29"/>
        <v>-3806063.1825500922</v>
      </c>
    </row>
    <row r="108" spans="1:9" ht="18.95" customHeight="1">
      <c r="A108" s="70">
        <f t="shared" si="27"/>
        <v>66</v>
      </c>
      <c r="B108" s="71" t="s">
        <v>1701</v>
      </c>
      <c r="C108" s="78" t="s">
        <v>1702</v>
      </c>
      <c r="D108" s="88">
        <f>'SCH B-2.1 B'!D105</f>
        <v>949508.38741999993</v>
      </c>
      <c r="E108" s="88">
        <f>SUMIFS('PIS B'!$W$11:$W$338,'PIS B'!$C$11:$C$338,'SCH B-3 B'!$B108)</f>
        <v>-453364.85000000661</v>
      </c>
      <c r="F108" s="134">
        <f t="shared" si="30"/>
        <v>0.90848118081575657</v>
      </c>
      <c r="G108" s="88">
        <f t="shared" si="28"/>
        <v>-411873.43426836439</v>
      </c>
      <c r="H108" s="88">
        <f>SUMIFS('SCH B-3.1'!$F$12:$F$27,'SCH B-3.1'!$B$12:$B$27,'SCH B-3 B'!$B108)</f>
        <v>0</v>
      </c>
      <c r="I108" s="88">
        <f t="shared" si="29"/>
        <v>-411873.43426836439</v>
      </c>
    </row>
    <row r="109" spans="1:9" ht="18.95" customHeight="1">
      <c r="A109" s="70">
        <f t="shared" si="27"/>
        <v>67</v>
      </c>
      <c r="B109" s="71" t="s">
        <v>1703</v>
      </c>
      <c r="C109" s="78" t="s">
        <v>1704</v>
      </c>
      <c r="D109" s="88">
        <f>'SCH B-2.1 B'!D106</f>
        <v>15349972.9951082</v>
      </c>
      <c r="E109" s="88">
        <f>SUMIFS('PIS B'!$W$11:$W$338,'PIS B'!$C$11:$C$338,'SCH B-3 B'!$B109)</f>
        <v>-4805035.1200002935</v>
      </c>
      <c r="F109" s="134">
        <f t="shared" si="30"/>
        <v>0.90848118081575657</v>
      </c>
      <c r="G109" s="88">
        <f t="shared" si="28"/>
        <v>-4365283.9796790471</v>
      </c>
      <c r="H109" s="88">
        <f>SUMIFS('SCH B-3.1'!$F$12:$F$27,'SCH B-3.1'!$B$12:$B$27,'SCH B-3 B'!$B109)</f>
        <v>0</v>
      </c>
      <c r="I109" s="88">
        <f t="shared" si="29"/>
        <v>-4365283.9796790471</v>
      </c>
    </row>
    <row r="110" spans="1:9" ht="18.95" customHeight="1">
      <c r="A110" s="70">
        <f t="shared" si="27"/>
        <v>68</v>
      </c>
      <c r="B110" s="71" t="s">
        <v>1705</v>
      </c>
      <c r="C110" s="78" t="s">
        <v>1706</v>
      </c>
      <c r="D110" s="88">
        <f>'SCH B-2.1 B'!D107</f>
        <v>0</v>
      </c>
      <c r="E110" s="88">
        <f>SUMIFS('PIS B'!$W$11:$W$338,'PIS B'!$C$11:$C$338,'SCH B-3 B'!$B110)</f>
        <v>0</v>
      </c>
      <c r="F110" s="134">
        <f t="shared" si="30"/>
        <v>0.90848118081575657</v>
      </c>
      <c r="G110" s="88">
        <f t="shared" si="28"/>
        <v>0</v>
      </c>
      <c r="H110" s="88">
        <f>SUMIFS('SCH B-3.1'!$F$12:$F$27,'SCH B-3.1'!$B$12:$B$27,'SCH B-3 B'!$B110)</f>
        <v>0</v>
      </c>
      <c r="I110" s="88">
        <f t="shared" si="29"/>
        <v>0</v>
      </c>
    </row>
    <row r="111" spans="1:9" ht="18.95" customHeight="1">
      <c r="A111" s="70">
        <f t="shared" si="27"/>
        <v>69</v>
      </c>
      <c r="B111" s="71" t="s">
        <v>1707</v>
      </c>
      <c r="C111" s="78" t="s">
        <v>1708</v>
      </c>
      <c r="D111" s="88">
        <f>'SCH B-2.1 B'!D108</f>
        <v>4137907.3999999994</v>
      </c>
      <c r="E111" s="88">
        <f>SUMIFS('PIS B'!$W$11:$W$338,'PIS B'!$C$11:$C$338,'SCH B-3 B'!$B111)</f>
        <v>-1354725.8300001055</v>
      </c>
      <c r="F111" s="134">
        <f t="shared" si="30"/>
        <v>0.90848118081575657</v>
      </c>
      <c r="G111" s="88">
        <f t="shared" si="28"/>
        <v>-1230742.9217201017</v>
      </c>
      <c r="H111" s="88">
        <f>SUMIFS('SCH B-3.1'!$F$12:$F$27,'SCH B-3.1'!$B$12:$B$27,'SCH B-3 B'!$B111)</f>
        <v>0</v>
      </c>
      <c r="I111" s="88">
        <f t="shared" si="29"/>
        <v>-1230742.9217201017</v>
      </c>
    </row>
    <row r="112" spans="1:9" ht="18.95" customHeight="1">
      <c r="A112" s="70">
        <f t="shared" si="27"/>
        <v>70</v>
      </c>
      <c r="B112" s="71" t="s">
        <v>1709</v>
      </c>
      <c r="C112" s="78" t="s">
        <v>157</v>
      </c>
      <c r="D112" s="88">
        <f>'SCH B-2.1 B'!D109</f>
        <v>65972448.378516383</v>
      </c>
      <c r="E112" s="88">
        <f>SUMIFS('PIS B'!$W$11:$W$338,'PIS B'!$C$11:$C$338,'SCH B-3 B'!$B112)</f>
        <v>-27110724.600005109</v>
      </c>
      <c r="F112" s="134">
        <f t="shared" si="30"/>
        <v>0.90848118081575657</v>
      </c>
      <c r="G112" s="88">
        <f t="shared" si="28"/>
        <v>-24629583.097383421</v>
      </c>
      <c r="H112" s="88">
        <f>SUMIFS('SCH B-3.1'!$F$12:$F$27,'SCH B-3.1'!$B$12:$B$27,'SCH B-3 B'!$B112)</f>
        <v>2660674.1801899998</v>
      </c>
      <c r="I112" s="88">
        <f t="shared" si="29"/>
        <v>-21968908.91719342</v>
      </c>
    </row>
    <row r="113" spans="1:16" ht="18.95" customHeight="1">
      <c r="A113" s="70">
        <f t="shared" si="27"/>
        <v>71</v>
      </c>
      <c r="B113" s="71" t="s">
        <v>1710</v>
      </c>
      <c r="C113" s="78" t="s">
        <v>1711</v>
      </c>
      <c r="D113" s="89">
        <f>'SCH B-2.1 B'!D110</f>
        <v>0</v>
      </c>
      <c r="E113" s="89">
        <f>SUMIFS('PIS B'!$W$11:$W$338,'PIS B'!$C$11:$C$338,'SCH B-3 B'!$B113)</f>
        <v>0</v>
      </c>
      <c r="F113" s="134">
        <f t="shared" si="30"/>
        <v>0.90848118081575657</v>
      </c>
      <c r="G113" s="89">
        <f t="shared" si="28"/>
        <v>0</v>
      </c>
      <c r="H113" s="89">
        <f>SUMIFS('SCH B-3.1'!$F$12:$F$27,'SCH B-3.1'!$B$12:$B$27,'SCH B-3 B'!$B113)</f>
        <v>0</v>
      </c>
      <c r="I113" s="89">
        <f t="shared" si="29"/>
        <v>0</v>
      </c>
    </row>
    <row r="114" spans="1:16" ht="18.95" customHeight="1">
      <c r="A114" s="70">
        <f t="shared" si="27"/>
        <v>72</v>
      </c>
      <c r="B114" s="71"/>
      <c r="C114" s="78" t="s">
        <v>158</v>
      </c>
      <c r="D114" s="86">
        <f>SUM(D104:D113)</f>
        <v>213731936.44334698</v>
      </c>
      <c r="E114" s="86">
        <f t="shared" ref="E114:I114" si="31">SUM(E104:E113)</f>
        <v>-73655686.974044591</v>
      </c>
      <c r="F114" s="86"/>
      <c r="G114" s="86">
        <f t="shared" si="31"/>
        <v>-66914805.475975767</v>
      </c>
      <c r="H114" s="86">
        <f t="shared" si="31"/>
        <v>2678475.8213481996</v>
      </c>
      <c r="I114" s="86">
        <f t="shared" si="31"/>
        <v>-64236329.654627569</v>
      </c>
      <c r="L114" s="136">
        <f>'JURISSEP B'!G273</f>
        <v>66914805.475975774</v>
      </c>
      <c r="M114" s="136"/>
      <c r="N114" s="136">
        <f>SUM(L114:M114)</f>
        <v>66914805.475975774</v>
      </c>
      <c r="O114" s="136">
        <f>-E114+M114</f>
        <v>73655686.974044591</v>
      </c>
      <c r="P114" s="137">
        <f>N114/O114</f>
        <v>0.90848118081575657</v>
      </c>
    </row>
    <row r="115" spans="1:16" ht="18.95" customHeight="1">
      <c r="A115" s="70"/>
      <c r="B115" s="71"/>
    </row>
    <row r="116" spans="1:16" ht="18.95" customHeight="1" thickBot="1">
      <c r="A116" s="70">
        <f>A114+1</f>
        <v>73</v>
      </c>
      <c r="B116" s="71"/>
      <c r="C116" s="68" t="s">
        <v>1211</v>
      </c>
      <c r="D116" s="94">
        <f>SUM(D17,D28,D39,D62,D74,D90,D114)</f>
        <v>9774385941.0813599</v>
      </c>
      <c r="E116" s="94">
        <f>SUM(E17,E28,E39,E62,E74,E90,E114)</f>
        <v>-3458722481.2983646</v>
      </c>
      <c r="F116" s="86"/>
      <c r="G116" s="94">
        <f>SUM(G17,G28,G39,G62,G74,G90,G114)</f>
        <v>-3055605875.6690841</v>
      </c>
      <c r="H116" s="94">
        <f>SUM(H17,H28,H39,H62,H74,H90,H114)</f>
        <v>221153047.12224102</v>
      </c>
      <c r="I116" s="94">
        <f>SUM(I17,I28,I39,I62,I74,I90,I114)</f>
        <v>-2834452828.5468431</v>
      </c>
    </row>
    <row r="117" spans="1:16" ht="18.95" customHeight="1" thickTop="1">
      <c r="B117" s="71"/>
    </row>
    <row r="118" spans="1:16" ht="18.95" customHeight="1">
      <c r="B118" s="71"/>
      <c r="D118" s="86"/>
    </row>
    <row r="119" spans="1:16" ht="18.95" customHeight="1">
      <c r="B119" s="71"/>
      <c r="C119" s="78"/>
      <c r="E119" s="93"/>
    </row>
    <row r="120" spans="1:16" ht="18.95" customHeight="1">
      <c r="B120" s="71"/>
    </row>
    <row r="121" spans="1:16" ht="18.95" customHeight="1">
      <c r="B121" s="71"/>
    </row>
    <row r="122" spans="1:16" ht="18.95" customHeight="1">
      <c r="D122" s="69" t="s">
        <v>160</v>
      </c>
    </row>
    <row r="123" spans="1:16" ht="18.95" customHeight="1"/>
    <row r="124" spans="1:16" ht="18.95" customHeight="1"/>
    <row r="125" spans="1:16" ht="18.95" customHeight="1"/>
    <row r="126" spans="1:16" ht="18.95" customHeight="1"/>
    <row r="127" spans="1:16" ht="18.95" customHeight="1"/>
    <row r="128" spans="1:16" ht="18.95" customHeight="1"/>
    <row r="129" ht="18.95" customHeight="1"/>
    <row r="130" ht="18.95" customHeight="1"/>
    <row r="131" ht="18.95" customHeight="1"/>
    <row r="132" ht="18.95" customHeight="1"/>
    <row r="133" ht="18.95" customHeight="1"/>
    <row r="134" ht="18.95" customHeight="1"/>
  </sheetData>
  <mergeCells count="15">
    <mergeCell ref="E100:I100"/>
    <mergeCell ref="A94:I94"/>
    <mergeCell ref="A1:I1"/>
    <mergeCell ref="A2:I2"/>
    <mergeCell ref="A3:I3"/>
    <mergeCell ref="A4:I4"/>
    <mergeCell ref="A46:I46"/>
    <mergeCell ref="A47:I47"/>
    <mergeCell ref="E10:I10"/>
    <mergeCell ref="E55:I55"/>
    <mergeCell ref="A48:I48"/>
    <mergeCell ref="A49:I49"/>
    <mergeCell ref="A91:I91"/>
    <mergeCell ref="A92:I92"/>
    <mergeCell ref="A93:I93"/>
  </mergeCells>
  <pageMargins left="0.95" right="0.5" top="0.75" bottom="0.75" header="0.3" footer="0.3"/>
  <pageSetup scale="63" fitToHeight="0" orientation="portrait" r:id="rId1"/>
  <rowBreaks count="2" manualBreakCount="2">
    <brk id="45" max="16383" man="1"/>
    <brk id="90"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134"/>
  <sheetViews>
    <sheetView zoomScaleNormal="100" workbookViewId="0">
      <selection activeCell="A2" sqref="A2:I2"/>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5.77734375" style="69" customWidth="1"/>
    <col min="6" max="6" width="13.6640625" style="69" customWidth="1"/>
    <col min="7" max="9" width="15.77734375" style="69" customWidth="1"/>
    <col min="10" max="10" width="1.6640625" style="69" customWidth="1"/>
    <col min="11" max="11" width="14" style="69" customWidth="1"/>
    <col min="12" max="12" width="13.44140625" style="69" customWidth="1"/>
    <col min="13" max="13" width="10.44140625" style="69" customWidth="1"/>
    <col min="14" max="14" width="12.77734375" style="69" customWidth="1"/>
    <col min="15" max="15" width="13.33203125" style="69" customWidth="1"/>
    <col min="16" max="16384" width="9" style="69"/>
  </cols>
  <sheetData>
    <row r="1" spans="1:16" s="68" customFormat="1" ht="20.100000000000001" customHeight="1">
      <c r="A1" s="769" t="str">
        <f>'Rate Case Constants'!C9</f>
        <v>KENTUCKY UTILITIES COMPANY</v>
      </c>
      <c r="B1" s="769"/>
      <c r="C1" s="769"/>
      <c r="D1" s="769"/>
      <c r="E1" s="769"/>
      <c r="F1" s="769"/>
      <c r="G1" s="769"/>
      <c r="H1" s="769"/>
      <c r="I1" s="769"/>
    </row>
    <row r="2" spans="1:16" s="68" customFormat="1" ht="20.100000000000001" customHeight="1">
      <c r="A2" s="769" t="str">
        <f>'Rate Case Constants'!C10</f>
        <v>CASE NO. 2018-00294 - RESPONSE TO PSC 2-65 (SLIPPAGE FACTOR 96.027%)</v>
      </c>
      <c r="B2" s="769"/>
      <c r="C2" s="769"/>
      <c r="D2" s="769"/>
      <c r="E2" s="769"/>
      <c r="F2" s="769"/>
      <c r="G2" s="769"/>
      <c r="H2" s="769"/>
      <c r="I2" s="769"/>
    </row>
    <row r="3" spans="1:16" s="68" customFormat="1" ht="20.100000000000001" customHeight="1">
      <c r="A3" s="769" t="s">
        <v>1200</v>
      </c>
      <c r="B3" s="769"/>
      <c r="C3" s="769"/>
      <c r="D3" s="769"/>
      <c r="E3" s="769"/>
      <c r="F3" s="769"/>
      <c r="G3" s="769"/>
      <c r="H3" s="769"/>
      <c r="I3" s="769"/>
      <c r="J3" s="577"/>
    </row>
    <row r="4" spans="1:16" s="68" customFormat="1" ht="20.100000000000001" customHeight="1">
      <c r="A4" s="768" t="str">
        <f>'Rate Case Constants'!C18</f>
        <v>AS OF APRIL 30, 2020</v>
      </c>
      <c r="B4" s="769"/>
      <c r="C4" s="769"/>
      <c r="D4" s="769"/>
      <c r="E4" s="769"/>
      <c r="F4" s="769"/>
      <c r="G4" s="769"/>
      <c r="H4" s="769"/>
      <c r="I4" s="769"/>
    </row>
    <row r="5" spans="1:16" s="68" customFormat="1" ht="20.100000000000001" customHeight="1">
      <c r="A5" s="92"/>
      <c r="B5" s="92"/>
      <c r="C5" s="92"/>
      <c r="D5" s="92"/>
      <c r="E5" s="92"/>
      <c r="F5" s="92"/>
      <c r="G5" s="92"/>
      <c r="H5" s="92"/>
      <c r="I5" s="92"/>
    </row>
    <row r="6" spans="1:16" s="68" customFormat="1" ht="20.100000000000001" customHeight="1">
      <c r="A6" s="67" t="s">
        <v>161</v>
      </c>
      <c r="B6" s="67"/>
      <c r="H6" s="74"/>
      <c r="I6" s="74" t="s">
        <v>1199</v>
      </c>
    </row>
    <row r="7" spans="1:16" s="68" customFormat="1" ht="20.100000000000001" customHeight="1">
      <c r="A7" s="68" t="str">
        <f>'Rate Case Constants'!C29</f>
        <v>TYPE OF FILING: __X__ ORIGINAL  _____ UPDATED  _____ REVISED</v>
      </c>
      <c r="H7" s="74"/>
      <c r="I7" s="74" t="s">
        <v>168</v>
      </c>
    </row>
    <row r="8" spans="1:16" s="68" customFormat="1" ht="20.100000000000001" customHeight="1">
      <c r="A8" s="67" t="s">
        <v>1198</v>
      </c>
      <c r="B8" s="67"/>
      <c r="E8" s="67"/>
      <c r="G8" s="67"/>
      <c r="H8" s="75"/>
      <c r="I8" s="75" t="str">
        <f>'Rate Case Constants'!C36</f>
        <v>WITNESS:   C. M. GARRETT</v>
      </c>
    </row>
    <row r="9" spans="1:16" s="68" customFormat="1" ht="20.100000000000001" customHeight="1"/>
    <row r="10" spans="1:16" s="68" customFormat="1" ht="20.100000000000001" customHeight="1">
      <c r="A10" s="96"/>
      <c r="B10" s="96"/>
      <c r="C10" s="96"/>
      <c r="D10" s="96"/>
      <c r="E10" s="771" t="s">
        <v>1210</v>
      </c>
      <c r="F10" s="771"/>
      <c r="G10" s="771"/>
      <c r="H10" s="771"/>
      <c r="I10" s="771"/>
      <c r="L10" s="399" t="s">
        <v>2181</v>
      </c>
      <c r="M10" s="399"/>
      <c r="N10" s="399"/>
      <c r="O10" s="399"/>
      <c r="P10" s="399"/>
    </row>
    <row r="11" spans="1:16" ht="95.1" customHeight="1">
      <c r="A11" s="71" t="s">
        <v>131</v>
      </c>
      <c r="B11" s="71" t="s">
        <v>134</v>
      </c>
      <c r="C11" s="78" t="s">
        <v>135</v>
      </c>
      <c r="D11" s="71" t="s">
        <v>3414</v>
      </c>
      <c r="E11" s="71" t="s">
        <v>1202</v>
      </c>
      <c r="F11" s="71" t="s">
        <v>224</v>
      </c>
      <c r="G11" s="71" t="s">
        <v>225</v>
      </c>
      <c r="H11" s="71" t="s">
        <v>226</v>
      </c>
      <c r="I11" s="71" t="s">
        <v>227</v>
      </c>
      <c r="L11" s="71" t="s">
        <v>225</v>
      </c>
      <c r="M11" s="71" t="s">
        <v>226</v>
      </c>
      <c r="N11" s="71" t="s">
        <v>227</v>
      </c>
      <c r="O11" s="71" t="s">
        <v>1202</v>
      </c>
      <c r="P11" s="71" t="s">
        <v>224</v>
      </c>
    </row>
    <row r="12" spans="1:16" ht="23.1" customHeight="1">
      <c r="A12" s="80"/>
      <c r="B12" s="80"/>
      <c r="C12" s="81"/>
      <c r="D12" s="82" t="s">
        <v>142</v>
      </c>
      <c r="E12" s="82" t="s">
        <v>142</v>
      </c>
      <c r="F12" s="82"/>
      <c r="G12" s="82" t="s">
        <v>142</v>
      </c>
      <c r="H12" s="82" t="s">
        <v>142</v>
      </c>
      <c r="I12" s="82" t="s">
        <v>142</v>
      </c>
      <c r="L12" s="82" t="s">
        <v>142</v>
      </c>
      <c r="M12" s="82" t="s">
        <v>142</v>
      </c>
      <c r="N12" s="82" t="s">
        <v>142</v>
      </c>
      <c r="O12" s="82" t="s">
        <v>142</v>
      </c>
      <c r="P12" s="82"/>
    </row>
    <row r="13" spans="1:16" ht="23.1" customHeight="1">
      <c r="A13" s="73">
        <v>1</v>
      </c>
      <c r="B13" s="73"/>
      <c r="C13" s="85" t="s">
        <v>56</v>
      </c>
      <c r="D13" s="77"/>
      <c r="E13" s="77"/>
      <c r="F13" s="77"/>
      <c r="G13" s="77"/>
      <c r="H13" s="77"/>
      <c r="I13" s="77"/>
    </row>
    <row r="14" spans="1:16" ht="18.95" customHeight="1">
      <c r="A14" s="70">
        <f>A13+1</f>
        <v>2</v>
      </c>
      <c r="B14" s="71" t="s">
        <v>1620</v>
      </c>
      <c r="C14" s="78" t="s">
        <v>1621</v>
      </c>
      <c r="D14" s="86">
        <f>'SCH B-2.1 F'!D13</f>
        <v>44455.580000000009</v>
      </c>
      <c r="E14" s="86">
        <f>SUMIFS('PIS F'!$Y$11:$Y$344,'PIS F'!$C$11:$C$344,'SCH B-3 F'!$B14)</f>
        <v>0</v>
      </c>
      <c r="F14" s="130">
        <f>$P$17</f>
        <v>0.9349739264413186</v>
      </c>
      <c r="G14" s="86">
        <f>E14*F14</f>
        <v>0</v>
      </c>
      <c r="H14" s="86">
        <f>SUMIFS('SCH B-3.1'!$F$42:$F$57,'SCH B-3.1'!$B$42:$B$57,'SCH B-3 F'!$B14)</f>
        <v>0</v>
      </c>
      <c r="I14" s="86">
        <f t="shared" ref="I14:I15" si="0">SUM(G14:H14)</f>
        <v>0</v>
      </c>
    </row>
    <row r="15" spans="1:16" ht="18.95" customHeight="1">
      <c r="A15" s="70">
        <f t="shared" ref="A15:A79" si="1">A14+1</f>
        <v>3</v>
      </c>
      <c r="B15" s="71" t="s">
        <v>1622</v>
      </c>
      <c r="C15" s="78" t="s">
        <v>1623</v>
      </c>
      <c r="D15" s="86">
        <f>'SCH B-2.1 F'!D14</f>
        <v>55918.829999999994</v>
      </c>
      <c r="E15" s="86">
        <f>SUMIFS('PIS F'!$Y$11:$Y$344,'PIS F'!$C$11:$C$344,'SCH B-3 F'!$B15)</f>
        <v>-73066.77</v>
      </c>
      <c r="F15" s="130">
        <f>'SCH B-2.1 F'!E14</f>
        <v>1</v>
      </c>
      <c r="G15" s="88">
        <f t="shared" ref="G15:G16" si="2">E15*F15</f>
        <v>-73066.77</v>
      </c>
      <c r="H15" s="87">
        <f>SUMIFS('SCH B-3.1'!$F$42:$F$57,'SCH B-3.1'!$B$42:$B$57,'SCH B-3 F'!$B15)</f>
        <v>0</v>
      </c>
      <c r="I15" s="88">
        <f t="shared" si="0"/>
        <v>-73066.77</v>
      </c>
    </row>
    <row r="16" spans="1:16" ht="18.95" customHeight="1">
      <c r="A16" s="70">
        <f t="shared" si="1"/>
        <v>4</v>
      </c>
      <c r="B16" s="71" t="s">
        <v>1624</v>
      </c>
      <c r="C16" s="78" t="s">
        <v>1625</v>
      </c>
      <c r="D16" s="89">
        <f>'SCH B-2.1 F'!D15</f>
        <v>97263001.68879573</v>
      </c>
      <c r="E16" s="89">
        <f>SUMIFS('PIS F'!$Y$11:$Y$344,'PIS F'!$C$11:$C$344,'SCH B-3 F'!$B16)</f>
        <v>-40303713.930116966</v>
      </c>
      <c r="F16" s="130">
        <f>$P$17</f>
        <v>0.9349739264413186</v>
      </c>
      <c r="G16" s="89">
        <f t="shared" si="2"/>
        <v>-37682921.663409129</v>
      </c>
      <c r="H16" s="89">
        <f>SUMIFS('SCH B-3.1'!$F$42:$F$57,'SCH B-3.1'!$B$42:$B$57,'SCH B-3 F'!$B16)</f>
        <v>0</v>
      </c>
      <c r="I16" s="89">
        <f>SUM(G16:H16)</f>
        <v>-37682921.663409129</v>
      </c>
    </row>
    <row r="17" spans="1:16" ht="18.95" customHeight="1">
      <c r="A17" s="70">
        <f t="shared" si="1"/>
        <v>5</v>
      </c>
      <c r="B17" s="70"/>
      <c r="C17" s="78" t="s">
        <v>143</v>
      </c>
      <c r="D17" s="86">
        <f>SUM(D14:D16)</f>
        <v>97363376.098795727</v>
      </c>
      <c r="E17" s="86">
        <f>SUM(E14:E16)</f>
        <v>-40376780.70011697</v>
      </c>
      <c r="F17" s="86"/>
      <c r="G17" s="86">
        <f>SUM(G14:G16)</f>
        <v>-37755988.433409132</v>
      </c>
      <c r="H17" s="86">
        <f>SUM(H14:H16)</f>
        <v>0</v>
      </c>
      <c r="I17" s="86">
        <f>SUM(I14:I16)</f>
        <v>-37755988.433409132</v>
      </c>
      <c r="L17" s="136">
        <f>'JURISSEP F'!G275+'JURISSEP F'!G276</f>
        <v>37755988.433409132</v>
      </c>
      <c r="M17" s="136">
        <f>G15</f>
        <v>-73066.77</v>
      </c>
      <c r="N17" s="136">
        <f>SUM(L17:M17)</f>
        <v>37682921.663409129</v>
      </c>
      <c r="O17" s="136">
        <f>-E17+M17</f>
        <v>40303713.930116966</v>
      </c>
      <c r="P17" s="137">
        <f>N17/O17</f>
        <v>0.9349739264413186</v>
      </c>
    </row>
    <row r="18" spans="1:16" ht="18.95" customHeight="1">
      <c r="A18" s="70"/>
      <c r="B18" s="70"/>
      <c r="D18" s="72"/>
      <c r="E18" s="72"/>
      <c r="F18" s="72"/>
      <c r="G18" s="72"/>
      <c r="H18" s="72"/>
      <c r="I18" s="72"/>
    </row>
    <row r="19" spans="1:16" ht="18.95" customHeight="1">
      <c r="A19" s="70">
        <f>A17+1</f>
        <v>6</v>
      </c>
      <c r="B19" s="70"/>
      <c r="C19" s="90" t="s">
        <v>72</v>
      </c>
      <c r="D19" s="72"/>
      <c r="E19" s="72"/>
      <c r="F19" s="72"/>
      <c r="G19" s="72"/>
      <c r="H19" s="72"/>
      <c r="I19" s="72"/>
    </row>
    <row r="20" spans="1:16" ht="18.95" customHeight="1">
      <c r="A20" s="70">
        <f t="shared" si="1"/>
        <v>7</v>
      </c>
      <c r="B20" s="71" t="s">
        <v>1626</v>
      </c>
      <c r="C20" s="78" t="s">
        <v>154</v>
      </c>
      <c r="D20" s="88">
        <f>'SCH B-2.1 F'!D19</f>
        <v>24446473.830399901</v>
      </c>
      <c r="E20" s="88">
        <f>SUMIFS('PIS F'!$Y$11:$Y$344,'PIS F'!$C$11:$C$344,'SCH B-3 F'!$B20)</f>
        <v>0</v>
      </c>
      <c r="F20" s="134">
        <f t="shared" ref="F20:F27" si="3">$P$28</f>
        <v>0.93287593565691607</v>
      </c>
      <c r="G20" s="88">
        <f t="shared" ref="G20:G27" si="4">E20*F20</f>
        <v>0</v>
      </c>
      <c r="H20" s="88">
        <f>SUMIFS('SCH B-3.1'!$F$42:$F$57,'SCH B-3.1'!$B$42:$B$57,'SCH B-3 F'!$B20)</f>
        <v>0</v>
      </c>
      <c r="I20" s="88">
        <f t="shared" ref="I20:I27" si="5">SUM(G20:H20)</f>
        <v>0</v>
      </c>
    </row>
    <row r="21" spans="1:16" ht="18" customHeight="1">
      <c r="A21" s="70">
        <f t="shared" si="1"/>
        <v>8</v>
      </c>
      <c r="B21" s="71" t="s">
        <v>1627</v>
      </c>
      <c r="C21" s="78" t="s">
        <v>148</v>
      </c>
      <c r="D21" s="88">
        <f>'SCH B-2.1 F'!D20</f>
        <v>356223563.15797478</v>
      </c>
      <c r="E21" s="88">
        <f>SUMIFS('PIS F'!$Y$11:$Y$344,'PIS F'!$C$11:$C$344,'SCH B-3 F'!$B21)</f>
        <v>-193644869.78230116</v>
      </c>
      <c r="F21" s="134">
        <f t="shared" si="3"/>
        <v>0.93287593565691607</v>
      </c>
      <c r="G21" s="88">
        <f t="shared" si="4"/>
        <v>-180646639.08332586</v>
      </c>
      <c r="H21" s="88">
        <f>SUMIFS('SCH B-3.1'!$F$42:$F$57,'SCH B-3.1'!$B$42:$B$57,'SCH B-3 F'!$B21)</f>
        <v>1545205.2555574195</v>
      </c>
      <c r="I21" s="88">
        <f t="shared" si="5"/>
        <v>-179101433.82776845</v>
      </c>
    </row>
    <row r="22" spans="1:16" ht="18.95" customHeight="1">
      <c r="A22" s="70">
        <f t="shared" si="1"/>
        <v>9</v>
      </c>
      <c r="B22" s="71" t="s">
        <v>1628</v>
      </c>
      <c r="C22" s="78" t="s">
        <v>1629</v>
      </c>
      <c r="D22" s="88">
        <f>'SCH B-2.1 F'!D21</f>
        <v>4268165562.5740767</v>
      </c>
      <c r="E22" s="88">
        <f>SUMIFS('PIS F'!$Y$11:$Y$344,'PIS F'!$C$11:$C$344,'SCH B-3 F'!$B22)</f>
        <v>-1290367319.9806859</v>
      </c>
      <c r="F22" s="134">
        <f t="shared" si="3"/>
        <v>0.93287593565691607</v>
      </c>
      <c r="G22" s="88">
        <f t="shared" si="4"/>
        <v>-1203752620.9680896</v>
      </c>
      <c r="H22" s="88">
        <f>SUMIFS('SCH B-3.1'!$F$42:$F$57,'SCH B-3.1'!$B$42:$B$57,'SCH B-3 F'!$B22)</f>
        <v>146738250.08790353</v>
      </c>
      <c r="I22" s="88">
        <f t="shared" si="5"/>
        <v>-1057014370.8801861</v>
      </c>
    </row>
    <row r="23" spans="1:16" ht="18.95" customHeight="1">
      <c r="A23" s="70">
        <f>A21+1</f>
        <v>9</v>
      </c>
      <c r="B23" s="71">
        <v>313</v>
      </c>
      <c r="C23" s="78" t="s">
        <v>144</v>
      </c>
      <c r="D23" s="88">
        <f>'SCH B-2.1 F'!D22</f>
        <v>0</v>
      </c>
      <c r="E23" s="88">
        <f>SUMIFS('PIS F'!$Y$11:$Y$344,'PIS F'!$C$11:$C$344,'SCH B-3 F'!$B23)</f>
        <v>0</v>
      </c>
      <c r="F23" s="134">
        <f t="shared" si="3"/>
        <v>0.93287593565691607</v>
      </c>
      <c r="G23" s="88">
        <f t="shared" si="4"/>
        <v>0</v>
      </c>
      <c r="H23" s="88">
        <f>SUMIFS('SCH B-3.1'!$F$42:$F$57,'SCH B-3.1'!$B$42:$B$57,'SCH B-3 F'!$B23)</f>
        <v>0</v>
      </c>
      <c r="I23" s="88">
        <f t="shared" si="5"/>
        <v>0</v>
      </c>
    </row>
    <row r="24" spans="1:16" ht="18.95" customHeight="1">
      <c r="A24" s="70">
        <f>A22+1</f>
        <v>10</v>
      </c>
      <c r="B24" s="71" t="s">
        <v>1630</v>
      </c>
      <c r="C24" s="78" t="s">
        <v>1631</v>
      </c>
      <c r="D24" s="88">
        <f>'SCH B-2.1 F'!D23</f>
        <v>334308154.74648631</v>
      </c>
      <c r="E24" s="88">
        <f>SUMIFS('PIS F'!$Y$11:$Y$344,'PIS F'!$C$11:$C$344,'SCH B-3 F'!$B24)</f>
        <v>-147014250.62316388</v>
      </c>
      <c r="F24" s="134">
        <f t="shared" si="3"/>
        <v>0.93287593565691607</v>
      </c>
      <c r="G24" s="88">
        <f t="shared" si="4"/>
        <v>-137146056.60498437</v>
      </c>
      <c r="H24" s="88">
        <f>SUMIFS('SCH B-3.1'!$F$42:$F$57,'SCH B-3.1'!$B$42:$B$57,'SCH B-3 F'!$B24)</f>
        <v>0</v>
      </c>
      <c r="I24" s="88">
        <f t="shared" si="5"/>
        <v>-137146056.60498437</v>
      </c>
    </row>
    <row r="25" spans="1:16" ht="18.95" customHeight="1">
      <c r="A25" s="70">
        <f t="shared" si="1"/>
        <v>11</v>
      </c>
      <c r="B25" s="71" t="s">
        <v>1632</v>
      </c>
      <c r="C25" s="78" t="s">
        <v>1633</v>
      </c>
      <c r="D25" s="88">
        <f>'SCH B-2.1 F'!D24</f>
        <v>253631737.58526215</v>
      </c>
      <c r="E25" s="88">
        <f>SUMIFS('PIS F'!$Y$11:$Y$344,'PIS F'!$C$11:$C$344,'SCH B-3 F'!$B25)</f>
        <v>-116634776.16948724</v>
      </c>
      <c r="F25" s="134">
        <f t="shared" si="3"/>
        <v>0.93287593565691607</v>
      </c>
      <c r="G25" s="88">
        <f t="shared" si="4"/>
        <v>-108805775.94924538</v>
      </c>
      <c r="H25" s="88">
        <f>SUMIFS('SCH B-3.1'!$F$42:$F$57,'SCH B-3.1'!$B$42:$B$57,'SCH B-3 F'!$B25)</f>
        <v>1660692.6897184027</v>
      </c>
      <c r="I25" s="88">
        <f t="shared" si="5"/>
        <v>-107145083.25952698</v>
      </c>
    </row>
    <row r="26" spans="1:16" ht="18.95" customHeight="1">
      <c r="A26" s="70">
        <f t="shared" si="1"/>
        <v>12</v>
      </c>
      <c r="B26" s="71" t="s">
        <v>1634</v>
      </c>
      <c r="C26" s="78" t="s">
        <v>1635</v>
      </c>
      <c r="D26" s="88">
        <f>'SCH B-2.1 F'!D25</f>
        <v>43360171.782118492</v>
      </c>
      <c r="E26" s="88">
        <f>SUMIFS('PIS F'!$Y$11:$Y$344,'PIS F'!$C$11:$C$344,'SCH B-3 F'!$B26)</f>
        <v>-16825526.962924019</v>
      </c>
      <c r="F26" s="134">
        <f t="shared" si="3"/>
        <v>0.93287593565691607</v>
      </c>
      <c r="G26" s="88">
        <f t="shared" si="4"/>
        <v>-15696129.208458412</v>
      </c>
      <c r="H26" s="88">
        <f>SUMIFS('SCH B-3.1'!$F$42:$F$57,'SCH B-3.1'!$B$42:$B$57,'SCH B-3 F'!$B26)</f>
        <v>44147.040609695046</v>
      </c>
      <c r="I26" s="88">
        <f t="shared" si="5"/>
        <v>-15651982.167848717</v>
      </c>
    </row>
    <row r="27" spans="1:16" ht="18.95" customHeight="1">
      <c r="A27" s="70">
        <f t="shared" si="1"/>
        <v>13</v>
      </c>
      <c r="B27" s="71" t="s">
        <v>1636</v>
      </c>
      <c r="C27" s="78" t="s">
        <v>1655</v>
      </c>
      <c r="D27" s="89">
        <f>'SCH B-2.1 F'!D26</f>
        <v>178310652.40384617</v>
      </c>
      <c r="E27" s="89">
        <f>SUMIFS('PIS F'!$Y$11:$Y$344,'PIS F'!$C$11:$C$344,'SCH B-3 F'!$B27)</f>
        <v>-129629568.28234208</v>
      </c>
      <c r="F27" s="134">
        <f t="shared" si="3"/>
        <v>0.93287593565691607</v>
      </c>
      <c r="G27" s="89">
        <f t="shared" si="4"/>
        <v>-120928304.80019195</v>
      </c>
      <c r="H27" s="89">
        <f>SUMIFS('SCH B-3.1'!$F$42:$F$57,'SCH B-3.1'!$B$42:$B$57,'SCH B-3 F'!$B27)</f>
        <v>120928304.80019195</v>
      </c>
      <c r="I27" s="89">
        <f t="shared" si="5"/>
        <v>0</v>
      </c>
    </row>
    <row r="28" spans="1:16" ht="18.95" customHeight="1">
      <c r="A28" s="70">
        <f t="shared" si="1"/>
        <v>14</v>
      </c>
      <c r="C28" s="78" t="s">
        <v>146</v>
      </c>
      <c r="D28" s="86">
        <f>SUM(D20:D27)</f>
        <v>5458446316.0801649</v>
      </c>
      <c r="E28" s="86">
        <f>SUM(E20:E27)</f>
        <v>-1894116311.8009043</v>
      </c>
      <c r="F28" s="130"/>
      <c r="G28" s="86">
        <f>SUM(G20:G27)</f>
        <v>-1766975526.6142955</v>
      </c>
      <c r="H28" s="86">
        <f>SUM(H20:H27)</f>
        <v>270916599.873981</v>
      </c>
      <c r="I28" s="86">
        <f>SUM(I20:I27)</f>
        <v>-1496058926.7403145</v>
      </c>
      <c r="L28" s="136">
        <f>'JURISSEP F'!G246</f>
        <v>1766975526.6142955</v>
      </c>
      <c r="M28" s="136"/>
      <c r="N28" s="136">
        <f>SUM(L28:M28)</f>
        <v>1766975526.6142955</v>
      </c>
      <c r="O28" s="136">
        <f>-E28+M28</f>
        <v>1894116311.8009043</v>
      </c>
      <c r="P28" s="137">
        <f>N28/O28</f>
        <v>0.93287593565691607</v>
      </c>
    </row>
    <row r="29" spans="1:16" ht="18.95" customHeight="1">
      <c r="A29" s="70"/>
      <c r="C29" s="78"/>
    </row>
    <row r="30" spans="1:16" ht="18.95" customHeight="1">
      <c r="A30" s="70">
        <f>A28+1</f>
        <v>15</v>
      </c>
      <c r="C30" s="90" t="s">
        <v>47</v>
      </c>
    </row>
    <row r="31" spans="1:16" ht="18.95" customHeight="1">
      <c r="A31" s="70">
        <f t="shared" si="1"/>
        <v>16</v>
      </c>
      <c r="B31" s="71" t="s">
        <v>1637</v>
      </c>
      <c r="C31" s="78" t="s">
        <v>154</v>
      </c>
      <c r="D31" s="88">
        <f>'SCH B-2.1 F'!D30</f>
        <v>855636.47000000009</v>
      </c>
      <c r="E31" s="88">
        <f>SUMIFS('PIS F'!$Y$11:$Y$344,'PIS F'!$C$11:$C$344,'SCH B-3 F'!$B31)</f>
        <v>-912332.59999999986</v>
      </c>
      <c r="F31" s="134">
        <f t="shared" ref="F31:F38" si="6">$P$39</f>
        <v>0.93710143663356305</v>
      </c>
      <c r="G31" s="88">
        <f t="shared" ref="G31:G38" si="7">E31*F31</f>
        <v>-854948.19014763366</v>
      </c>
      <c r="H31" s="88">
        <f>SUMIFS('SCH B-3.1'!$F$42:$F$57,'SCH B-3.1'!$B$42:$B$57,'SCH B-3 F'!$B31)</f>
        <v>0</v>
      </c>
      <c r="I31" s="88">
        <f t="shared" ref="I31:I38" si="8">SUM(G31:H31)</f>
        <v>-854948.19014763366</v>
      </c>
    </row>
    <row r="32" spans="1:16" ht="18.95" customHeight="1">
      <c r="A32" s="70">
        <f t="shared" si="1"/>
        <v>17</v>
      </c>
      <c r="B32" s="71" t="s">
        <v>1638</v>
      </c>
      <c r="C32" s="78" t="s">
        <v>148</v>
      </c>
      <c r="D32" s="88">
        <f>'SCH B-2.1 F'!D31</f>
        <v>4472311.3654446071</v>
      </c>
      <c r="E32" s="88">
        <f>SUMIFS('PIS F'!$Y$11:$Y$344,'PIS F'!$C$11:$C$344,'SCH B-3 F'!$B32)</f>
        <v>-416936.34097269177</v>
      </c>
      <c r="F32" s="134">
        <f t="shared" si="6"/>
        <v>0.93710143663356305</v>
      </c>
      <c r="G32" s="88">
        <f t="shared" si="7"/>
        <v>-390711.64411025058</v>
      </c>
      <c r="H32" s="88">
        <f>SUMIFS('SCH B-3.1'!$F$42:$F$57,'SCH B-3.1'!$B$42:$B$57,'SCH B-3 F'!$B32)</f>
        <v>0</v>
      </c>
      <c r="I32" s="88">
        <f t="shared" si="8"/>
        <v>-390711.64411025058</v>
      </c>
    </row>
    <row r="33" spans="1:16" ht="18.95" customHeight="1">
      <c r="A33" s="70">
        <f t="shared" si="1"/>
        <v>18</v>
      </c>
      <c r="B33" s="71" t="s">
        <v>1639</v>
      </c>
      <c r="C33" s="78" t="s">
        <v>1640</v>
      </c>
      <c r="D33" s="88">
        <f>'SCH B-2.1 F'!D32</f>
        <v>21885646.369999994</v>
      </c>
      <c r="E33" s="88">
        <f>SUMIFS('PIS F'!$Y$11:$Y$344,'PIS F'!$C$11:$C$344,'SCH B-3 F'!$B33)</f>
        <v>-10363602.209999898</v>
      </c>
      <c r="F33" s="134">
        <f t="shared" si="6"/>
        <v>0.93710143663356305</v>
      </c>
      <c r="G33" s="88">
        <f t="shared" si="7"/>
        <v>-9711746.5196896736</v>
      </c>
      <c r="H33" s="88">
        <f>SUMIFS('SCH B-3.1'!$F$42:$F$57,'SCH B-3.1'!$B$42:$B$57,'SCH B-3 F'!$B33)</f>
        <v>0</v>
      </c>
      <c r="I33" s="88">
        <f t="shared" si="8"/>
        <v>-9711746.5196896736</v>
      </c>
    </row>
    <row r="34" spans="1:16" ht="18.95" customHeight="1">
      <c r="A34" s="70">
        <f t="shared" si="1"/>
        <v>19</v>
      </c>
      <c r="B34" s="71" t="s">
        <v>1641</v>
      </c>
      <c r="C34" s="78" t="s">
        <v>1642</v>
      </c>
      <c r="D34" s="88">
        <f>'SCH B-2.1 F'!D33</f>
        <v>14046741.58</v>
      </c>
      <c r="E34" s="88">
        <f>SUMIFS('PIS F'!$Y$11:$Y$344,'PIS F'!$C$11:$C$344,'SCH B-3 F'!$B34)</f>
        <v>-2841249.3299999852</v>
      </c>
      <c r="F34" s="134">
        <f t="shared" si="6"/>
        <v>0.93710143663356305</v>
      </c>
      <c r="G34" s="88">
        <f t="shared" si="7"/>
        <v>-2662538.8289771345</v>
      </c>
      <c r="H34" s="88">
        <f>SUMIFS('SCH B-3.1'!$F$42:$F$57,'SCH B-3.1'!$B$42:$B$57,'SCH B-3 F'!$B34)</f>
        <v>0</v>
      </c>
      <c r="I34" s="88">
        <f t="shared" si="8"/>
        <v>-2662538.8289771345</v>
      </c>
    </row>
    <row r="35" spans="1:16" ht="18.95" customHeight="1">
      <c r="A35" s="70">
        <f t="shared" si="1"/>
        <v>20</v>
      </c>
      <c r="B35" s="71" t="s">
        <v>1643</v>
      </c>
      <c r="C35" s="78" t="s">
        <v>1633</v>
      </c>
      <c r="D35" s="88">
        <f>'SCH B-2.1 F'!D34</f>
        <v>1381870.67</v>
      </c>
      <c r="E35" s="88">
        <f>SUMIFS('PIS F'!$Y$11:$Y$344,'PIS F'!$C$11:$C$344,'SCH B-3 F'!$B35)</f>
        <v>-414833.00999999896</v>
      </c>
      <c r="F35" s="134">
        <f t="shared" si="6"/>
        <v>0.93710143663356305</v>
      </c>
      <c r="G35" s="88">
        <f t="shared" si="7"/>
        <v>-388740.60963402427</v>
      </c>
      <c r="H35" s="88">
        <f>SUMIFS('SCH B-3.1'!$F$42:$F$57,'SCH B-3.1'!$B$42:$B$57,'SCH B-3 F'!$B35)</f>
        <v>0</v>
      </c>
      <c r="I35" s="88">
        <f t="shared" si="8"/>
        <v>-388740.60963402427</v>
      </c>
    </row>
    <row r="36" spans="1:16" ht="18.95" customHeight="1">
      <c r="A36" s="70">
        <f t="shared" si="1"/>
        <v>21</v>
      </c>
      <c r="B36" s="71" t="s">
        <v>1644</v>
      </c>
      <c r="C36" s="78" t="s">
        <v>1645</v>
      </c>
      <c r="D36" s="88">
        <f>'SCH B-2.1 F'!D35</f>
        <v>329374.17999999993</v>
      </c>
      <c r="E36" s="88">
        <f>SUMIFS('PIS F'!$Y$11:$Y$344,'PIS F'!$C$11:$C$344,'SCH B-3 F'!$B36)</f>
        <v>-166258.68999999901</v>
      </c>
      <c r="F36" s="134">
        <f t="shared" si="6"/>
        <v>0.93710143663356305</v>
      </c>
      <c r="G36" s="88">
        <f t="shared" si="7"/>
        <v>-155801.25725181328</v>
      </c>
      <c r="H36" s="88">
        <f>SUMIFS('SCH B-3.1'!$F$42:$F$57,'SCH B-3.1'!$B$42:$B$57,'SCH B-3 F'!$B36)</f>
        <v>0</v>
      </c>
      <c r="I36" s="88">
        <f t="shared" si="8"/>
        <v>-155801.25725181328</v>
      </c>
    </row>
    <row r="37" spans="1:16" ht="18.95" customHeight="1">
      <c r="A37" s="70">
        <f t="shared" si="1"/>
        <v>22</v>
      </c>
      <c r="B37" s="71" t="s">
        <v>1646</v>
      </c>
      <c r="C37" s="78" t="s">
        <v>1647</v>
      </c>
      <c r="D37" s="88">
        <f>'SCH B-2.1 F'!D36</f>
        <v>234509.12999999995</v>
      </c>
      <c r="E37" s="88">
        <f>SUMIFS('PIS F'!$Y$11:$Y$344,'PIS F'!$C$11:$C$344,'SCH B-3 F'!$B37)</f>
        <v>-102331.51999999997</v>
      </c>
      <c r="F37" s="134">
        <f t="shared" si="6"/>
        <v>0.93710143663356305</v>
      </c>
      <c r="G37" s="88">
        <f t="shared" si="7"/>
        <v>-95895.014404896167</v>
      </c>
      <c r="H37" s="88">
        <f>SUMIFS('SCH B-3.1'!$F$42:$F$57,'SCH B-3.1'!$B$42:$B$57,'SCH B-3 F'!$B37)</f>
        <v>0</v>
      </c>
      <c r="I37" s="88">
        <f t="shared" si="8"/>
        <v>-95895.014404896167</v>
      </c>
    </row>
    <row r="38" spans="1:16" ht="18.95" customHeight="1">
      <c r="A38" s="70">
        <f t="shared" si="1"/>
        <v>23</v>
      </c>
      <c r="B38" s="71" t="s">
        <v>1648</v>
      </c>
      <c r="C38" s="78" t="s">
        <v>1656</v>
      </c>
      <c r="D38" s="89">
        <f>'SCH B-2.1 F'!D37</f>
        <v>645787.98999999987</v>
      </c>
      <c r="E38" s="89">
        <f>SUMIFS('PIS F'!$Y$11:$Y$344,'PIS F'!$C$11:$C$344,'SCH B-3 F'!$B38)</f>
        <v>-69392.557494326596</v>
      </c>
      <c r="F38" s="134">
        <f t="shared" si="6"/>
        <v>0.93710143663356305</v>
      </c>
      <c r="G38" s="89">
        <f t="shared" si="7"/>
        <v>-65027.865319610573</v>
      </c>
      <c r="H38" s="89">
        <f>SUMIFS('SCH B-3.1'!$F$42:$F$57,'SCH B-3.1'!$B$42:$B$57,'SCH B-3 F'!$B38)</f>
        <v>65027.865319610573</v>
      </c>
      <c r="I38" s="89">
        <f t="shared" si="8"/>
        <v>0</v>
      </c>
    </row>
    <row r="39" spans="1:16" ht="18.95" customHeight="1">
      <c r="A39" s="70">
        <f t="shared" si="1"/>
        <v>24</v>
      </c>
      <c r="B39" s="71" t="s">
        <v>251</v>
      </c>
      <c r="C39" s="78" t="s">
        <v>147</v>
      </c>
      <c r="D39" s="86">
        <f>SUM(D31:D38)</f>
        <v>43851877.755444609</v>
      </c>
      <c r="E39" s="86">
        <f t="shared" ref="E39" si="9">SUM(E31:E38)</f>
        <v>-15286936.258466901</v>
      </c>
      <c r="F39" s="86"/>
      <c r="G39" s="86">
        <f t="shared" ref="G39:I39" si="10">SUM(G31:G38)</f>
        <v>-14325409.929535039</v>
      </c>
      <c r="H39" s="86">
        <f t="shared" si="10"/>
        <v>65027.865319610573</v>
      </c>
      <c r="I39" s="86">
        <f t="shared" si="10"/>
        <v>-14260382.064215427</v>
      </c>
      <c r="L39" s="136">
        <f>'JURISSEP F'!G252</f>
        <v>14325409.929535039</v>
      </c>
      <c r="M39" s="136"/>
      <c r="N39" s="136">
        <f>SUM(L39:M39)</f>
        <v>14325409.929535039</v>
      </c>
      <c r="O39" s="136">
        <f>-E39+M39</f>
        <v>15286936.258466901</v>
      </c>
      <c r="P39" s="137">
        <f>N39/O39</f>
        <v>0.93710143663356305</v>
      </c>
    </row>
    <row r="40" spans="1:16" ht="18.95" customHeight="1">
      <c r="A40" s="70"/>
      <c r="B40" s="71"/>
      <c r="C40" s="78"/>
      <c r="D40" s="86"/>
      <c r="E40" s="86"/>
      <c r="F40" s="86"/>
      <c r="G40" s="86"/>
      <c r="H40" s="86"/>
      <c r="I40" s="86"/>
    </row>
    <row r="41" spans="1:16" ht="18.95" customHeight="1">
      <c r="A41" s="70">
        <f>A39+1</f>
        <v>25</v>
      </c>
      <c r="C41" s="90" t="s">
        <v>61</v>
      </c>
    </row>
    <row r="42" spans="1:16" ht="18.95" customHeight="1">
      <c r="A42" s="70">
        <f t="shared" si="1"/>
        <v>26</v>
      </c>
      <c r="B42" s="71" t="s">
        <v>1649</v>
      </c>
      <c r="C42" s="78" t="s">
        <v>154</v>
      </c>
      <c r="D42" s="88">
        <f>'SCH B-2.1 F'!D41</f>
        <v>902801.45799999998</v>
      </c>
      <c r="E42" s="88">
        <f>SUMIFS('PIS F'!$Y$11:$Y$344,'PIS F'!$C$11:$C$344,'SCH B-3 F'!$B42)</f>
        <v>-133180.79</v>
      </c>
      <c r="F42" s="134">
        <f t="shared" ref="F42:F45" si="11">$P$62</f>
        <v>0.93663848914958692</v>
      </c>
      <c r="G42" s="88">
        <f t="shared" ref="G42:G45" si="12">E42*F42</f>
        <v>-124742.25392934842</v>
      </c>
      <c r="H42" s="88">
        <f>SUMIFS('SCH B-3.1'!$F$42:$F$57,'SCH B-3.1'!$B$42:$B$57,'SCH B-3 F'!$B42)</f>
        <v>0</v>
      </c>
      <c r="I42" s="88">
        <f t="shared" ref="I42:I45" si="13">SUM(G42:H42)</f>
        <v>-124742.25392934842</v>
      </c>
    </row>
    <row r="43" spans="1:16" ht="18.95" customHeight="1">
      <c r="A43" s="70">
        <f t="shared" si="1"/>
        <v>27</v>
      </c>
      <c r="B43" s="71" t="s">
        <v>1650</v>
      </c>
      <c r="C43" s="78" t="s">
        <v>148</v>
      </c>
      <c r="D43" s="88">
        <f>'SCH B-2.1 F'!D42</f>
        <v>87144715.703681976</v>
      </c>
      <c r="E43" s="88">
        <f>SUMIFS('PIS F'!$Y$11:$Y$344,'PIS F'!$C$11:$C$344,'SCH B-3 F'!$B43)</f>
        <v>-29067243.541790001</v>
      </c>
      <c r="F43" s="134">
        <f t="shared" si="11"/>
        <v>0.93663848914958692</v>
      </c>
      <c r="G43" s="88">
        <f t="shared" si="12"/>
        <v>-27225499.074725274</v>
      </c>
      <c r="H43" s="88">
        <f>SUMIFS('SCH B-3.1'!$F$42:$F$57,'SCH B-3.1'!$B$42:$B$57,'SCH B-3 F'!$B43)</f>
        <v>0</v>
      </c>
      <c r="I43" s="88">
        <f t="shared" si="13"/>
        <v>-27225499.074725274</v>
      </c>
    </row>
    <row r="44" spans="1:16" ht="18.95" customHeight="1">
      <c r="A44" s="70">
        <f t="shared" si="1"/>
        <v>28</v>
      </c>
      <c r="B44" s="71" t="s">
        <v>1651</v>
      </c>
      <c r="C44" s="78" t="s">
        <v>1652</v>
      </c>
      <c r="D44" s="88">
        <f>'SCH B-2.1 F'!D43</f>
        <v>75258488.145738348</v>
      </c>
      <c r="E44" s="88">
        <f>SUMIFS('PIS F'!$Y$11:$Y$344,'PIS F'!$C$11:$C$344,'SCH B-3 F'!$B44)</f>
        <v>-23250531.708682843</v>
      </c>
      <c r="F44" s="134">
        <f t="shared" si="11"/>
        <v>0.93663848914958692</v>
      </c>
      <c r="G44" s="88">
        <f t="shared" si="12"/>
        <v>-21777342.891545262</v>
      </c>
      <c r="H44" s="88">
        <f>SUMIFS('SCH B-3.1'!$F$42:$F$57,'SCH B-3.1'!$B$42:$B$57,'SCH B-3 F'!$B44)</f>
        <v>0</v>
      </c>
      <c r="I44" s="88">
        <f t="shared" si="13"/>
        <v>-21777342.891545262</v>
      </c>
    </row>
    <row r="45" spans="1:16" ht="18.95" customHeight="1">
      <c r="A45" s="70">
        <f t="shared" si="1"/>
        <v>29</v>
      </c>
      <c r="B45" s="71" t="s">
        <v>1653</v>
      </c>
      <c r="C45" s="78" t="s">
        <v>1654</v>
      </c>
      <c r="D45" s="88">
        <f>'SCH B-2.1 F'!D44</f>
        <v>679583343.67366791</v>
      </c>
      <c r="E45" s="88">
        <f>SUMIFS('PIS F'!$Y$11:$Y$344,'PIS F'!$C$11:$C$344,'SCH B-3 F'!$B45)</f>
        <v>-244476244.11618254</v>
      </c>
      <c r="F45" s="134">
        <f t="shared" si="11"/>
        <v>0.93663848914958692</v>
      </c>
      <c r="G45" s="88">
        <f t="shared" si="12"/>
        <v>-228985859.92194679</v>
      </c>
      <c r="H45" s="88">
        <f>SUMIFS('SCH B-3.1'!$F$42:$F$57,'SCH B-3.1'!$B$42:$B$57,'SCH B-3 F'!$B45)</f>
        <v>0</v>
      </c>
      <c r="I45" s="88">
        <f t="shared" si="13"/>
        <v>-228985859.92194679</v>
      </c>
    </row>
    <row r="46" spans="1:16" s="68" customFormat="1" ht="20.100000000000001" customHeight="1">
      <c r="A46" s="769" t="str">
        <f>$A$1</f>
        <v>KENTUCKY UTILITIES COMPANY</v>
      </c>
      <c r="B46" s="769"/>
      <c r="C46" s="769"/>
      <c r="D46" s="769"/>
      <c r="E46" s="769"/>
      <c r="F46" s="769"/>
      <c r="G46" s="769"/>
      <c r="H46" s="769"/>
      <c r="I46" s="769"/>
    </row>
    <row r="47" spans="1:16" s="68" customFormat="1" ht="20.100000000000001" customHeight="1">
      <c r="A47" s="769" t="str">
        <f>$A$2</f>
        <v>CASE NO. 2018-00294 - RESPONSE TO PSC 2-65 (SLIPPAGE FACTOR 96.027%)</v>
      </c>
      <c r="B47" s="769"/>
      <c r="C47" s="769"/>
      <c r="D47" s="769"/>
      <c r="E47" s="769"/>
      <c r="F47" s="769"/>
      <c r="G47" s="769"/>
      <c r="H47" s="769"/>
      <c r="I47" s="769"/>
    </row>
    <row r="48" spans="1:16" s="68" customFormat="1" ht="20.100000000000001" customHeight="1">
      <c r="A48" s="769" t="str">
        <f>$A$3</f>
        <v>ACCUMULATED DEPRECIATION AND AMORTIZATION</v>
      </c>
      <c r="B48" s="769"/>
      <c r="C48" s="769"/>
      <c r="D48" s="769"/>
      <c r="E48" s="769"/>
      <c r="F48" s="769"/>
      <c r="G48" s="769"/>
      <c r="H48" s="769"/>
      <c r="I48" s="769"/>
    </row>
    <row r="49" spans="1:16" s="68" customFormat="1" ht="20.100000000000001" customHeight="1">
      <c r="A49" s="768" t="str">
        <f>$A$4</f>
        <v>AS OF APRIL 30, 2020</v>
      </c>
      <c r="B49" s="769"/>
      <c r="C49" s="769"/>
      <c r="D49" s="769"/>
      <c r="E49" s="769"/>
      <c r="F49" s="769"/>
      <c r="G49" s="769"/>
      <c r="H49" s="769"/>
      <c r="I49" s="769"/>
    </row>
    <row r="50" spans="1:16" s="68" customFormat="1" ht="20.100000000000001" customHeight="1">
      <c r="A50" s="92"/>
      <c r="B50" s="92"/>
      <c r="C50" s="92"/>
      <c r="D50" s="92"/>
      <c r="E50" s="92"/>
      <c r="F50" s="92"/>
      <c r="G50" s="92"/>
      <c r="H50" s="92"/>
      <c r="I50" s="92"/>
    </row>
    <row r="51" spans="1:16" s="68" customFormat="1" ht="20.100000000000001" customHeight="1">
      <c r="A51" s="67" t="str">
        <f>$A$6</f>
        <v>DATA:____BASE  PERIOD__X__FORECASTED  PERIOD</v>
      </c>
      <c r="B51" s="67"/>
      <c r="H51" s="74"/>
      <c r="I51" s="75" t="str">
        <f>$I$6</f>
        <v>SCHEDULE B-3</v>
      </c>
    </row>
    <row r="52" spans="1:16" s="68" customFormat="1" ht="20.100000000000001" customHeight="1">
      <c r="A52" s="67" t="str">
        <f>$A$7</f>
        <v>TYPE OF FILING: __X__ ORIGINAL  _____ UPDATED  _____ REVISED</v>
      </c>
      <c r="H52" s="74"/>
      <c r="I52" s="74" t="s">
        <v>169</v>
      </c>
    </row>
    <row r="53" spans="1:16" s="68" customFormat="1" ht="20.100000000000001" customHeight="1">
      <c r="A53" s="67" t="str">
        <f>$A$8</f>
        <v>WORKPAPER REFERENCE NO(S).:</v>
      </c>
      <c r="B53" s="67"/>
      <c r="E53" s="67"/>
      <c r="G53" s="67"/>
      <c r="H53" s="75"/>
      <c r="I53" s="75" t="str">
        <f>$I$8</f>
        <v>WITNESS:   C. M. GARRETT</v>
      </c>
    </row>
    <row r="54" spans="1:16" s="68" customFormat="1" ht="20.100000000000001" customHeight="1"/>
    <row r="55" spans="1:16" s="68" customFormat="1" ht="20.100000000000001" customHeight="1">
      <c r="A55" s="96"/>
      <c r="B55" s="96"/>
      <c r="C55" s="96"/>
      <c r="D55" s="96"/>
      <c r="E55" s="771" t="s">
        <v>1210</v>
      </c>
      <c r="F55" s="771"/>
      <c r="G55" s="771"/>
      <c r="H55" s="771"/>
      <c r="I55" s="771"/>
    </row>
    <row r="56" spans="1:16" ht="95.1" customHeight="1">
      <c r="A56" s="71" t="s">
        <v>131</v>
      </c>
      <c r="B56" s="71" t="s">
        <v>134</v>
      </c>
      <c r="C56" s="78" t="s">
        <v>135</v>
      </c>
      <c r="D56" s="71" t="s">
        <v>3414</v>
      </c>
      <c r="E56" s="71" t="s">
        <v>1202</v>
      </c>
      <c r="F56" s="71" t="s">
        <v>224</v>
      </c>
      <c r="G56" s="71" t="s">
        <v>225</v>
      </c>
      <c r="H56" s="71" t="s">
        <v>226</v>
      </c>
      <c r="I56" s="71" t="s">
        <v>227</v>
      </c>
    </row>
    <row r="57" spans="1:16" ht="23.1" customHeight="1">
      <c r="A57" s="80"/>
      <c r="B57" s="80"/>
      <c r="C57" s="81"/>
      <c r="D57" s="82" t="s">
        <v>142</v>
      </c>
      <c r="E57" s="82" t="s">
        <v>142</v>
      </c>
      <c r="F57" s="82"/>
      <c r="G57" s="82" t="s">
        <v>142</v>
      </c>
      <c r="H57" s="82" t="s">
        <v>142</v>
      </c>
      <c r="I57" s="82" t="s">
        <v>142</v>
      </c>
    </row>
    <row r="58" spans="1:16" ht="18.95" customHeight="1">
      <c r="A58" s="70">
        <f>A45+1</f>
        <v>30</v>
      </c>
      <c r="B58" s="71" t="s">
        <v>1657</v>
      </c>
      <c r="C58" s="78" t="s">
        <v>1658</v>
      </c>
      <c r="D58" s="88">
        <f>'SCH B-2.1 F'!D56</f>
        <v>132421909.69798836</v>
      </c>
      <c r="E58" s="88">
        <f>SUMIFS('PIS F'!$Y$11:$Y$344,'PIS F'!$C$11:$C$344,'SCH B-3 F'!$B58)</f>
        <v>-49777083.703756437</v>
      </c>
      <c r="F58" s="134">
        <f t="shared" ref="F58:F61" si="14">$P$62</f>
        <v>0.93663848914958692</v>
      </c>
      <c r="G58" s="88">
        <f t="shared" ref="G58:G61" si="15">E58*F58</f>
        <v>-46623132.474558949</v>
      </c>
      <c r="H58" s="88">
        <f>SUMIFS('SCH B-3.1'!$F$42:$F$57,'SCH B-3.1'!$B$42:$B$57,'SCH B-3 F'!$B58)</f>
        <v>0</v>
      </c>
      <c r="I58" s="88">
        <f t="shared" ref="I58:I61" si="16">SUM(G58:H58)</f>
        <v>-46623132.474558949</v>
      </c>
    </row>
    <row r="59" spans="1:16" ht="18.95" customHeight="1">
      <c r="A59" s="70">
        <f t="shared" si="1"/>
        <v>31</v>
      </c>
      <c r="B59" s="71" t="s">
        <v>1659</v>
      </c>
      <c r="C59" s="78" t="s">
        <v>1633</v>
      </c>
      <c r="D59" s="88">
        <f>'SCH B-2.1 F'!D57</f>
        <v>79346381.904942185</v>
      </c>
      <c r="E59" s="88">
        <f>SUMIFS('PIS F'!$Y$11:$Y$344,'PIS F'!$C$11:$C$344,'SCH B-3 F'!$B59)</f>
        <v>-31249415.272400863</v>
      </c>
      <c r="F59" s="134">
        <f t="shared" si="14"/>
        <v>0.93663848914958692</v>
      </c>
      <c r="G59" s="88">
        <f t="shared" si="15"/>
        <v>-29269405.107549571</v>
      </c>
      <c r="H59" s="88">
        <f>SUMIFS('SCH B-3.1'!$F$42:$F$57,'SCH B-3.1'!$B$42:$B$57,'SCH B-3 F'!$B59)</f>
        <v>0</v>
      </c>
      <c r="I59" s="88">
        <f t="shared" si="16"/>
        <v>-29269405.107549571</v>
      </c>
    </row>
    <row r="60" spans="1:16" ht="18.95" customHeight="1">
      <c r="A60" s="70">
        <f t="shared" si="1"/>
        <v>32</v>
      </c>
      <c r="B60" s="71" t="s">
        <v>1660</v>
      </c>
      <c r="C60" s="78" t="s">
        <v>1645</v>
      </c>
      <c r="D60" s="88">
        <f>'SCH B-2.1 F'!D58</f>
        <v>12592466.195764616</v>
      </c>
      <c r="E60" s="88">
        <f>SUMIFS('PIS F'!$Y$11:$Y$344,'PIS F'!$C$11:$C$344,'SCH B-3 F'!$B60)</f>
        <v>-4068055.0117856944</v>
      </c>
      <c r="F60" s="134">
        <f t="shared" si="14"/>
        <v>0.93663848914958692</v>
      </c>
      <c r="G60" s="88">
        <f t="shared" si="15"/>
        <v>-3810296.9000163577</v>
      </c>
      <c r="H60" s="88">
        <f>SUMIFS('SCH B-3.1'!$F$42:$F$57,'SCH B-3.1'!$B$42:$B$57,'SCH B-3 F'!$B60)</f>
        <v>0</v>
      </c>
      <c r="I60" s="88">
        <f t="shared" si="16"/>
        <v>-3810296.9000163577</v>
      </c>
    </row>
    <row r="61" spans="1:16" ht="18.95" customHeight="1">
      <c r="A61" s="70">
        <f t="shared" si="1"/>
        <v>33</v>
      </c>
      <c r="B61" s="71" t="s">
        <v>1661</v>
      </c>
      <c r="C61" s="78" t="s">
        <v>1696</v>
      </c>
      <c r="D61" s="89">
        <f>'SCH B-2.1 F'!D59</f>
        <v>406991.12</v>
      </c>
      <c r="E61" s="89">
        <f>SUMIFS('PIS F'!$Y$11:$Y$344,'PIS F'!$C$11:$C$344,'SCH B-3 F'!$B61)</f>
        <v>-89200.422122973207</v>
      </c>
      <c r="F61" s="134">
        <f t="shared" si="14"/>
        <v>0.93663848914958692</v>
      </c>
      <c r="G61" s="89">
        <f t="shared" si="15"/>
        <v>-83548.548608767014</v>
      </c>
      <c r="H61" s="89">
        <f>SUMIFS('SCH B-3.1'!$F$42:$F$57,'SCH B-3.1'!$B$42:$B$57,'SCH B-3 F'!$B61)</f>
        <v>83548.548608767014</v>
      </c>
      <c r="I61" s="89">
        <f t="shared" si="16"/>
        <v>0</v>
      </c>
    </row>
    <row r="62" spans="1:16" ht="18.95" customHeight="1">
      <c r="A62" s="70">
        <f t="shared" si="1"/>
        <v>34</v>
      </c>
      <c r="C62" s="78" t="s">
        <v>145</v>
      </c>
      <c r="D62" s="86">
        <f>SUM(D42:D45,D58:D61)</f>
        <v>1067657097.8997834</v>
      </c>
      <c r="E62" s="86">
        <f t="shared" ref="E62" si="17">SUM(E42:E45,E58:E61)</f>
        <v>-382110954.56672132</v>
      </c>
      <c r="F62" s="86"/>
      <c r="G62" s="86">
        <f t="shared" ref="G62:I62" si="18">SUM(G42:G45,G58:G61)</f>
        <v>-357899827.17288035</v>
      </c>
      <c r="H62" s="86">
        <f t="shared" si="18"/>
        <v>83548.548608767014</v>
      </c>
      <c r="I62" s="86">
        <f t="shared" si="18"/>
        <v>-357816278.62427157</v>
      </c>
      <c r="K62" s="136">
        <f>'JURISSEP F'!E257</f>
        <v>1868599.35</v>
      </c>
      <c r="L62" s="136">
        <f>'JURISSEP F'!G258</f>
        <v>357899827.17288029</v>
      </c>
      <c r="M62" s="136"/>
      <c r="N62" s="136">
        <f>SUM(L62:M62)</f>
        <v>357899827.17288029</v>
      </c>
      <c r="O62" s="136">
        <f>-E62+M62</f>
        <v>382110954.56672132</v>
      </c>
      <c r="P62" s="137">
        <f>N62/O62</f>
        <v>0.93663848914958692</v>
      </c>
    </row>
    <row r="63" spans="1:16" ht="18.95" customHeight="1">
      <c r="A63" s="70"/>
    </row>
    <row r="64" spans="1:16" ht="18.95" customHeight="1">
      <c r="A64" s="70">
        <f>A62+1</f>
        <v>35</v>
      </c>
      <c r="C64" s="90" t="s">
        <v>84</v>
      </c>
    </row>
    <row r="65" spans="1:16" ht="18.95" customHeight="1">
      <c r="A65" s="70">
        <f t="shared" si="1"/>
        <v>36</v>
      </c>
      <c r="B65" s="71" t="s">
        <v>1662</v>
      </c>
      <c r="C65" s="78" t="s">
        <v>154</v>
      </c>
      <c r="D65" s="88">
        <f>'SCH B-2.1 F'!D63</f>
        <v>32144314.683443282</v>
      </c>
      <c r="E65" s="88">
        <f>SUMIFS('PIS F'!$Y$11:$Y$344,'PIS F'!$C$11:$C$344,'SCH B-3 F'!$B65)</f>
        <v>-18042300.783524912</v>
      </c>
      <c r="F65" s="134">
        <f>$P$74</f>
        <v>0.87743243390818815</v>
      </c>
      <c r="G65" s="88">
        <f t="shared" ref="G65:G73" si="19">E65*F65</f>
        <v>-15830899.889791874</v>
      </c>
      <c r="H65" s="88">
        <f>SUMIFS('SCH B-3.1'!$F$42:$F$57,'SCH B-3.1'!$B$42:$B$57,'SCH B-3 F'!$B65)</f>
        <v>0</v>
      </c>
      <c r="I65" s="88">
        <f t="shared" ref="I65:I73" si="20">SUM(G65:H65)</f>
        <v>-15830899.889791874</v>
      </c>
    </row>
    <row r="66" spans="1:16" ht="18.95" customHeight="1">
      <c r="A66" s="70">
        <f t="shared" si="1"/>
        <v>37</v>
      </c>
      <c r="B66" s="71" t="s">
        <v>1663</v>
      </c>
      <c r="C66" s="78" t="s">
        <v>148</v>
      </c>
      <c r="D66" s="88">
        <f>'SCH B-2.1 F'!D64</f>
        <v>29667981.260567699</v>
      </c>
      <c r="E66" s="88">
        <f>SUMIFS('PIS F'!$Y$11:$Y$344,'PIS F'!$C$11:$C$344,'SCH B-3 F'!$B66)</f>
        <v>-8061908.1090695718</v>
      </c>
      <c r="F66" s="134">
        <f t="shared" ref="F66:F73" si="21">$P$74</f>
        <v>0.87743243390818815</v>
      </c>
      <c r="G66" s="88">
        <f t="shared" si="19"/>
        <v>-7073779.6540850736</v>
      </c>
      <c r="H66" s="88">
        <f>SUMIFS('SCH B-3.1'!$F$42:$F$57,'SCH B-3.1'!$B$42:$B$57,'SCH B-3 F'!$B66)</f>
        <v>0</v>
      </c>
      <c r="I66" s="88">
        <f t="shared" si="20"/>
        <v>-7073779.6540850736</v>
      </c>
    </row>
    <row r="67" spans="1:16" ht="18.95" customHeight="1">
      <c r="A67" s="70">
        <f t="shared" si="1"/>
        <v>38</v>
      </c>
      <c r="B67" s="71" t="s">
        <v>1664</v>
      </c>
      <c r="C67" s="78" t="s">
        <v>149</v>
      </c>
      <c r="D67" s="88">
        <f>'SCH B-2.1 F'!D65</f>
        <v>369153290.02259749</v>
      </c>
      <c r="E67" s="88">
        <f>SUMIFS('PIS F'!$Y$11:$Y$344,'PIS F'!$C$11:$C$344,'SCH B-3 F'!$B67)</f>
        <v>-85533785.754979029</v>
      </c>
      <c r="F67" s="134">
        <f t="shared" si="21"/>
        <v>0.87743243390818815</v>
      </c>
      <c r="G67" s="88">
        <f t="shared" si="19"/>
        <v>-75050117.816372767</v>
      </c>
      <c r="H67" s="88">
        <f>SUMIFS('SCH B-3.1'!$F$42:$F$57,'SCH B-3.1'!$B$42:$B$57,'SCH B-3 F'!$B67)</f>
        <v>0</v>
      </c>
      <c r="I67" s="88">
        <f t="shared" si="20"/>
        <v>-75050117.816372767</v>
      </c>
    </row>
    <row r="68" spans="1:16" ht="18.95" customHeight="1">
      <c r="A68" s="70">
        <f t="shared" si="1"/>
        <v>39</v>
      </c>
      <c r="B68" s="71" t="s">
        <v>1665</v>
      </c>
      <c r="C68" s="78" t="s">
        <v>1666</v>
      </c>
      <c r="D68" s="88">
        <f>'SCH B-2.1 F'!D66</f>
        <v>78033094.150000021</v>
      </c>
      <c r="E68" s="88">
        <f>SUMIFS('PIS F'!$Y$11:$Y$344,'PIS F'!$C$11:$C$344,'SCH B-3 F'!$B68)</f>
        <v>-53569269.770000011</v>
      </c>
      <c r="F68" s="134">
        <f t="shared" si="21"/>
        <v>0.87743243390818815</v>
      </c>
      <c r="G68" s="88">
        <f t="shared" si="19"/>
        <v>-47003414.756975435</v>
      </c>
      <c r="H68" s="88">
        <f>SUMIFS('SCH B-3.1'!$F$42:$F$57,'SCH B-3.1'!$B$42:$B$57,'SCH B-3 F'!$B68)</f>
        <v>0</v>
      </c>
      <c r="I68" s="88">
        <f t="shared" si="20"/>
        <v>-47003414.756975435</v>
      </c>
    </row>
    <row r="69" spans="1:16" ht="18.95" customHeight="1">
      <c r="A69" s="70">
        <f t="shared" si="1"/>
        <v>40</v>
      </c>
      <c r="B69" s="71" t="s">
        <v>1667</v>
      </c>
      <c r="C69" s="78" t="s">
        <v>1668</v>
      </c>
      <c r="D69" s="88">
        <f>'SCH B-2.1 F'!D67</f>
        <v>433359613.80944544</v>
      </c>
      <c r="E69" s="88">
        <f>SUMIFS('PIS F'!$Y$11:$Y$344,'PIS F'!$C$11:$C$344,'SCH B-3 F'!$B69)</f>
        <v>-80000857.174450129</v>
      </c>
      <c r="F69" s="134">
        <f t="shared" si="21"/>
        <v>0.87743243390818815</v>
      </c>
      <c r="G69" s="88">
        <f t="shared" si="19"/>
        <v>-70195346.825319111</v>
      </c>
      <c r="H69" s="88">
        <f>SUMIFS('SCH B-3.1'!$F$42:$F$57,'SCH B-3.1'!$B$42:$B$57,'SCH B-3 F'!$B69)</f>
        <v>0</v>
      </c>
      <c r="I69" s="88">
        <f t="shared" si="20"/>
        <v>-70195346.825319111</v>
      </c>
    </row>
    <row r="70" spans="1:16" ht="18.95" customHeight="1">
      <c r="A70" s="70">
        <f t="shared" si="1"/>
        <v>41</v>
      </c>
      <c r="B70" s="71" t="s">
        <v>1669</v>
      </c>
      <c r="C70" s="78" t="s">
        <v>1670</v>
      </c>
      <c r="D70" s="88">
        <f>'SCH B-2.1 F'!D68</f>
        <v>189686397.04838008</v>
      </c>
      <c r="E70" s="88">
        <f>SUMIFS('PIS F'!$Y$11:$Y$344,'PIS F'!$C$11:$C$344,'SCH B-3 F'!$B70)</f>
        <v>-118718704.83902283</v>
      </c>
      <c r="F70" s="134">
        <f t="shared" si="21"/>
        <v>0.87743243390818815</v>
      </c>
      <c r="G70" s="88">
        <f t="shared" si="19"/>
        <v>-104167642.13733159</v>
      </c>
      <c r="H70" s="88">
        <f>SUMIFS('SCH B-3.1'!$F$42:$F$57,'SCH B-3.1'!$B$42:$B$57,'SCH B-3 F'!$B70)</f>
        <v>0</v>
      </c>
      <c r="I70" s="88">
        <f t="shared" si="20"/>
        <v>-104167642.13733159</v>
      </c>
    </row>
    <row r="71" spans="1:16" ht="18.95" customHeight="1">
      <c r="A71" s="70">
        <f t="shared" si="1"/>
        <v>42</v>
      </c>
      <c r="B71" s="71" t="s">
        <v>1671</v>
      </c>
      <c r="C71" s="78" t="s">
        <v>1672</v>
      </c>
      <c r="D71" s="88">
        <f>'SCH B-2.1 F'!D69</f>
        <v>448760.26</v>
      </c>
      <c r="E71" s="88">
        <f>SUMIFS('PIS F'!$Y$11:$Y$344,'PIS F'!$C$11:$C$344,'SCH B-3 F'!$B71)</f>
        <v>-262726.70999999938</v>
      </c>
      <c r="F71" s="134">
        <f t="shared" si="21"/>
        <v>0.87743243390818815</v>
      </c>
      <c r="G71" s="88">
        <f t="shared" si="19"/>
        <v>-230524.93660799018</v>
      </c>
      <c r="H71" s="88">
        <f>SUMIFS('SCH B-3.1'!$F$42:$F$57,'SCH B-3.1'!$B$42:$B$57,'SCH B-3 F'!$B71)</f>
        <v>0</v>
      </c>
      <c r="I71" s="88">
        <f t="shared" si="20"/>
        <v>-230524.93660799018</v>
      </c>
    </row>
    <row r="72" spans="1:16" ht="18.95" customHeight="1">
      <c r="A72" s="70">
        <f t="shared" si="1"/>
        <v>43</v>
      </c>
      <c r="B72" s="71" t="s">
        <v>1673</v>
      </c>
      <c r="C72" s="78" t="s">
        <v>1674</v>
      </c>
      <c r="D72" s="88">
        <f>'SCH B-2.1 F'!D70</f>
        <v>4862479.0092461538</v>
      </c>
      <c r="E72" s="88">
        <f>SUMIFS('PIS F'!$Y$11:$Y$344,'PIS F'!$C$11:$C$344,'SCH B-3 F'!$B72)</f>
        <v>-755169.28464863054</v>
      </c>
      <c r="F72" s="134">
        <f t="shared" si="21"/>
        <v>0.87743243390818815</v>
      </c>
      <c r="G72" s="88">
        <f t="shared" si="19"/>
        <v>-662610.02344195324</v>
      </c>
      <c r="H72" s="88">
        <f>SUMIFS('SCH B-3.1'!$F$42:$F$57,'SCH B-3.1'!$B$42:$B$57,'SCH B-3 F'!$B72)</f>
        <v>0</v>
      </c>
      <c r="I72" s="88">
        <f t="shared" si="20"/>
        <v>-662610.02344195324</v>
      </c>
    </row>
    <row r="73" spans="1:16" ht="18.95" customHeight="1">
      <c r="A73" s="70">
        <f t="shared" si="1"/>
        <v>44</v>
      </c>
      <c r="B73" s="71" t="s">
        <v>1675</v>
      </c>
      <c r="C73" s="78" t="s">
        <v>152</v>
      </c>
      <c r="D73" s="89">
        <f>'SCH B-2.1 F'!D71</f>
        <v>551323.88</v>
      </c>
      <c r="E73" s="89">
        <f>SUMIFS('PIS F'!$Y$11:$Y$344,'PIS F'!$C$11:$C$344,'SCH B-3 F'!$B73)</f>
        <v>-106084.96225518781</v>
      </c>
      <c r="F73" s="134">
        <f t="shared" si="21"/>
        <v>0.87743243390818815</v>
      </c>
      <c r="G73" s="89">
        <f t="shared" si="19"/>
        <v>-93082.38663262772</v>
      </c>
      <c r="H73" s="89">
        <f>SUMIFS('SCH B-3.1'!$F$42:$F$57,'SCH B-3.1'!$B$42:$B$57,'SCH B-3 F'!$B73)</f>
        <v>93082.38663262772</v>
      </c>
      <c r="I73" s="89">
        <f t="shared" si="20"/>
        <v>0</v>
      </c>
    </row>
    <row r="74" spans="1:16" ht="18.95" customHeight="1">
      <c r="A74" s="70">
        <f t="shared" si="1"/>
        <v>45</v>
      </c>
      <c r="C74" s="78" t="s">
        <v>150</v>
      </c>
      <c r="D74" s="86">
        <f>SUM(D65:D73)</f>
        <v>1137907254.1236804</v>
      </c>
      <c r="E74" s="86">
        <f t="shared" ref="E74" si="22">SUM(E65:E73)</f>
        <v>-365050807.3879503</v>
      </c>
      <c r="F74" s="86"/>
      <c r="G74" s="86">
        <f t="shared" ref="G74:I74" si="23">SUM(G65:G73)</f>
        <v>-320307418.42655843</v>
      </c>
      <c r="H74" s="86">
        <f t="shared" si="23"/>
        <v>93082.38663262772</v>
      </c>
      <c r="I74" s="86">
        <f t="shared" si="23"/>
        <v>-320214336.03992581</v>
      </c>
      <c r="K74" s="136">
        <f>'JURISSEP F'!E266</f>
        <v>355111.563333333</v>
      </c>
      <c r="L74" s="136">
        <f>'JURISSEP F'!G267</f>
        <v>320307418.42655843</v>
      </c>
      <c r="M74" s="136"/>
      <c r="N74" s="136">
        <f>SUM(L74:M74)</f>
        <v>320307418.42655843</v>
      </c>
      <c r="O74" s="136">
        <f>-E74+M74</f>
        <v>365050807.3879503</v>
      </c>
      <c r="P74" s="137">
        <f>N74/O74</f>
        <v>0.87743243390818815</v>
      </c>
    </row>
    <row r="75" spans="1:16" ht="18.95" customHeight="1">
      <c r="A75" s="70"/>
      <c r="B75" s="71"/>
    </row>
    <row r="76" spans="1:16" ht="18.95" customHeight="1">
      <c r="A76" s="70">
        <f>A74+1</f>
        <v>46</v>
      </c>
      <c r="B76" s="71" t="s">
        <v>251</v>
      </c>
      <c r="C76" s="90" t="s">
        <v>16</v>
      </c>
    </row>
    <row r="77" spans="1:16" ht="18.95" customHeight="1">
      <c r="A77" s="70">
        <f t="shared" si="1"/>
        <v>47</v>
      </c>
      <c r="B77" s="71" t="s">
        <v>1676</v>
      </c>
      <c r="C77" s="78" t="s">
        <v>154</v>
      </c>
      <c r="D77" s="88">
        <f>'SCH B-2.1 F'!D75</f>
        <v>10023408.336283065</v>
      </c>
      <c r="E77" s="88">
        <f>SUMIFS('PIS F'!$Y$11:$Y$344,'PIS F'!$C$11:$C$344,'SCH B-3 F'!$B77)</f>
        <v>-1507825.4125998777</v>
      </c>
      <c r="F77" s="134">
        <f>$P$90</f>
        <v>0.9394207525098649</v>
      </c>
      <c r="G77" s="88">
        <f t="shared" ref="G77:G89" si="24">E77*F77</f>
        <v>-1416482.4837580747</v>
      </c>
      <c r="H77" s="88">
        <f>SUMIFS('SCH B-3.1'!$F$42:$F$57,'SCH B-3.1'!$B$42:$B$57,'SCH B-3 F'!$B77)</f>
        <v>0</v>
      </c>
      <c r="I77" s="88">
        <f t="shared" ref="I77:I89" si="25">SUM(G77:H77)</f>
        <v>-1416482.4837580747</v>
      </c>
    </row>
    <row r="78" spans="1:16" ht="18.95" customHeight="1">
      <c r="A78" s="70">
        <f t="shared" si="1"/>
        <v>48</v>
      </c>
      <c r="B78" s="71" t="s">
        <v>1677</v>
      </c>
      <c r="C78" s="78" t="s">
        <v>148</v>
      </c>
      <c r="D78" s="88">
        <f>'SCH B-2.1 F'!D76</f>
        <v>28545220.977428153</v>
      </c>
      <c r="E78" s="88">
        <f>SUMIFS('PIS F'!$Y$11:$Y$344,'PIS F'!$C$11:$C$344,'SCH B-3 F'!$B78)</f>
        <v>-2375150.5696519646</v>
      </c>
      <c r="F78" s="134">
        <f t="shared" ref="F78:F81" si="26">$P$90</f>
        <v>0.9394207525098649</v>
      </c>
      <c r="G78" s="88">
        <f t="shared" si="24"/>
        <v>-2231265.7354666828</v>
      </c>
      <c r="H78" s="88">
        <f>SUMIFS('SCH B-3.1'!$F$42:$F$57,'SCH B-3.1'!$B$42:$B$57,'SCH B-3 F'!$B78)</f>
        <v>0</v>
      </c>
      <c r="I78" s="88">
        <f t="shared" si="25"/>
        <v>-2231265.7354666828</v>
      </c>
    </row>
    <row r="79" spans="1:16" ht="18.95" customHeight="1">
      <c r="A79" s="70">
        <f t="shared" si="1"/>
        <v>49</v>
      </c>
      <c r="B79" s="71" t="s">
        <v>1678</v>
      </c>
      <c r="C79" s="78" t="s">
        <v>1679</v>
      </c>
      <c r="D79" s="88">
        <f>'SCH B-2.1 F'!D77</f>
        <v>253757355.6864517</v>
      </c>
      <c r="E79" s="88">
        <f>SUMIFS('PIS F'!$Y$11:$Y$344,'PIS F'!$C$11:$C$344,'SCH B-3 F'!$B79)</f>
        <v>-56052584.788404115</v>
      </c>
      <c r="F79" s="134">
        <f t="shared" si="26"/>
        <v>0.9394207525098649</v>
      </c>
      <c r="G79" s="88">
        <f t="shared" si="24"/>
        <v>-52656961.382045597</v>
      </c>
      <c r="H79" s="88">
        <f>SUMIFS('SCH B-3.1'!$F$42:$F$57,'SCH B-3.1'!$B$42:$B$57,'SCH B-3 F'!$B79)</f>
        <v>0</v>
      </c>
      <c r="I79" s="88">
        <f t="shared" si="25"/>
        <v>-52656961.382045597</v>
      </c>
    </row>
    <row r="80" spans="1:16" ht="18.95" customHeight="1">
      <c r="A80" s="70">
        <f t="shared" ref="A80:A90" si="27">A79+1</f>
        <v>50</v>
      </c>
      <c r="B80" s="71" t="s">
        <v>1680</v>
      </c>
      <c r="C80" s="78" t="s">
        <v>1681</v>
      </c>
      <c r="D80" s="88">
        <f>'SCH B-2.1 F'!D78</f>
        <v>428175903.41060489</v>
      </c>
      <c r="E80" s="88">
        <f>SUMIFS('PIS F'!$Y$11:$Y$344,'PIS F'!$C$11:$C$344,'SCH B-3 F'!$B80)</f>
        <v>-177330330.15018022</v>
      </c>
      <c r="F80" s="134">
        <f t="shared" si="26"/>
        <v>0.9394207525098649</v>
      </c>
      <c r="G80" s="88">
        <f t="shared" si="24"/>
        <v>-166587792.19250509</v>
      </c>
      <c r="H80" s="88">
        <f>SUMIFS('SCH B-3.1'!$F$42:$F$57,'SCH B-3.1'!$B$42:$B$57,'SCH B-3 F'!$B80)</f>
        <v>3174.1061207557386</v>
      </c>
      <c r="I80" s="88">
        <f t="shared" si="25"/>
        <v>-166584618.08638433</v>
      </c>
    </row>
    <row r="81" spans="1:16" ht="18.95" customHeight="1">
      <c r="A81" s="70">
        <f t="shared" si="27"/>
        <v>51</v>
      </c>
      <c r="B81" s="71" t="s">
        <v>1682</v>
      </c>
      <c r="C81" s="78" t="s">
        <v>1670</v>
      </c>
      <c r="D81" s="88">
        <f>'SCH B-2.1 F'!D79</f>
        <v>428091152.89970493</v>
      </c>
      <c r="E81" s="88">
        <f>SUMIFS('PIS F'!$Y$11:$Y$344,'PIS F'!$C$11:$C$344,'SCH B-3 F'!$B81)</f>
        <v>-119269936.85960075</v>
      </c>
      <c r="F81" s="134">
        <f t="shared" si="26"/>
        <v>0.9394207525098649</v>
      </c>
      <c r="G81" s="88">
        <f t="shared" si="24"/>
        <v>-112044653.8364502</v>
      </c>
      <c r="H81" s="88">
        <f>SUMIFS('SCH B-3.1'!$F$42:$F$57,'SCH B-3.1'!$B$42:$B$57,'SCH B-3 F'!$B81)</f>
        <v>3277.0915449115037</v>
      </c>
      <c r="I81" s="88">
        <f t="shared" si="25"/>
        <v>-112041376.74490529</v>
      </c>
    </row>
    <row r="82" spans="1:16" ht="18.95" customHeight="1">
      <c r="A82" s="70">
        <f t="shared" si="27"/>
        <v>52</v>
      </c>
      <c r="B82" s="71" t="s">
        <v>1683</v>
      </c>
      <c r="C82" s="78" t="s">
        <v>1672</v>
      </c>
      <c r="D82" s="88">
        <f>'SCH B-2.1 F'!D80</f>
        <v>2390106.04</v>
      </c>
      <c r="E82" s="88">
        <f>SUMIFS('PIS F'!$Y$11:$Y$344,'PIS F'!$C$11:$C$344,'SCH B-3 F'!$B82)</f>
        <v>-1052769.8279519898</v>
      </c>
      <c r="F82" s="134">
        <f>'SCH B-2.1 F'!E80</f>
        <v>1</v>
      </c>
      <c r="G82" s="88">
        <f t="shared" si="24"/>
        <v>-1052769.8279519898</v>
      </c>
      <c r="H82" s="88">
        <f>SUMIFS('SCH B-3.1'!$F$42:$F$57,'SCH B-3.1'!$B$42:$B$57,'SCH B-3 F'!$B82)</f>
        <v>22146.3379519999</v>
      </c>
      <c r="I82" s="88">
        <f t="shared" si="25"/>
        <v>-1030623.48999999</v>
      </c>
    </row>
    <row r="83" spans="1:16" ht="18.95" customHeight="1">
      <c r="A83" s="70">
        <f t="shared" si="27"/>
        <v>53</v>
      </c>
      <c r="B83" s="71" t="s">
        <v>1684</v>
      </c>
      <c r="C83" s="78" t="s">
        <v>1674</v>
      </c>
      <c r="D83" s="88">
        <f>'SCH B-2.1 F'!D81</f>
        <v>221649904.61752218</v>
      </c>
      <c r="E83" s="88">
        <f>SUMIFS('PIS F'!$Y$11:$Y$344,'PIS F'!$C$11:$C$344,'SCH B-3 F'!$B83)</f>
        <v>-55462758.084255196</v>
      </c>
      <c r="F83" s="134">
        <f t="shared" ref="F83:F88" si="28">$P$90</f>
        <v>0.9394207525098649</v>
      </c>
      <c r="G83" s="88">
        <f t="shared" si="24"/>
        <v>-52102865.93578361</v>
      </c>
      <c r="H83" s="88">
        <f>SUMIFS('SCH B-3.1'!$F$42:$F$57,'SCH B-3.1'!$B$42:$B$57,'SCH B-3 F'!$B83)</f>
        <v>153059.70858357282</v>
      </c>
      <c r="I83" s="88">
        <f t="shared" si="25"/>
        <v>-51949806.227200039</v>
      </c>
    </row>
    <row r="84" spans="1:16" ht="18.95" customHeight="1">
      <c r="A84" s="70">
        <f t="shared" si="27"/>
        <v>54</v>
      </c>
      <c r="B84" s="71" t="s">
        <v>1685</v>
      </c>
      <c r="C84" s="78" t="s">
        <v>1686</v>
      </c>
      <c r="D84" s="88">
        <f>'SCH B-2.1 F'!D82</f>
        <v>326614785.13967967</v>
      </c>
      <c r="E84" s="88">
        <f>SUMIFS('PIS F'!$Y$11:$Y$344,'PIS F'!$C$11:$C$344,'SCH B-3 F'!$B84)</f>
        <v>-151263017.90623891</v>
      </c>
      <c r="F84" s="134">
        <f t="shared" si="28"/>
        <v>0.9394207525098649</v>
      </c>
      <c r="G84" s="88">
        <f t="shared" si="24"/>
        <v>-142099618.10839212</v>
      </c>
      <c r="H84" s="88">
        <f>SUMIFS('SCH B-3.1'!$F$42:$F$57,'SCH B-3.1'!$B$42:$B$57,'SCH B-3 F'!$B84)</f>
        <v>0</v>
      </c>
      <c r="I84" s="88">
        <f t="shared" si="25"/>
        <v>-142099618.10839212</v>
      </c>
    </row>
    <row r="85" spans="1:16" ht="18.95" customHeight="1">
      <c r="A85" s="70">
        <f t="shared" si="27"/>
        <v>55</v>
      </c>
      <c r="B85" s="71" t="s">
        <v>1687</v>
      </c>
      <c r="C85" s="78" t="s">
        <v>1688</v>
      </c>
      <c r="D85" s="88">
        <f>'SCH B-2.1 F'!D83</f>
        <v>114524434.58846155</v>
      </c>
      <c r="E85" s="88">
        <f>SUMIFS('PIS F'!$Y$11:$Y$344,'PIS F'!$C$11:$C$344,'SCH B-3 F'!$B85)</f>
        <v>-67446799.299776942</v>
      </c>
      <c r="F85" s="134">
        <f t="shared" si="28"/>
        <v>0.9394207525098649</v>
      </c>
      <c r="G85" s="88">
        <f t="shared" si="24"/>
        <v>-63360922.952578284</v>
      </c>
      <c r="H85" s="88">
        <f>SUMIFS('SCH B-3.1'!$F$42:$F$57,'SCH B-3.1'!$B$42:$B$57,'SCH B-3 F'!$B85)</f>
        <v>0</v>
      </c>
      <c r="I85" s="88">
        <f t="shared" si="25"/>
        <v>-63360922.952578284</v>
      </c>
    </row>
    <row r="86" spans="1:16" ht="18.95" customHeight="1">
      <c r="A86" s="70">
        <f>A85+1</f>
        <v>56</v>
      </c>
      <c r="B86" s="71" t="s">
        <v>1689</v>
      </c>
      <c r="C86" s="78" t="s">
        <v>1690</v>
      </c>
      <c r="D86" s="88">
        <f>'SCH B-2.1 F'!D84</f>
        <v>82578598.694320768</v>
      </c>
      <c r="E86" s="88">
        <f>SUMIFS('PIS F'!$Y$11:$Y$344,'PIS F'!$C$11:$C$344,'SCH B-3 F'!$B86)</f>
        <v>-44537768.49648232</v>
      </c>
      <c r="F86" s="134">
        <f t="shared" si="28"/>
        <v>0.9394207525098649</v>
      </c>
      <c r="G86" s="88">
        <f t="shared" si="24"/>
        <v>-41839703.996075578</v>
      </c>
      <c r="H86" s="88">
        <f>SUMIFS('SCH B-3.1'!$F$42:$F$57,'SCH B-3.1'!$B$42:$B$57,'SCH B-3 F'!$B86)</f>
        <v>237826.72547200002</v>
      </c>
      <c r="I86" s="88">
        <f t="shared" si="25"/>
        <v>-41601877.270603575</v>
      </c>
    </row>
    <row r="87" spans="1:16" ht="18.95" customHeight="1">
      <c r="A87" s="70">
        <f t="shared" si="27"/>
        <v>57</v>
      </c>
      <c r="B87" s="71" t="s">
        <v>1691</v>
      </c>
      <c r="C87" s="78" t="s">
        <v>1692</v>
      </c>
      <c r="D87" s="88">
        <f>'SCH B-2.1 F'!D85</f>
        <v>145659.9681</v>
      </c>
      <c r="E87" s="88">
        <f>SUMIFS('PIS F'!$Y$11:$Y$344,'PIS F'!$C$11:$C$344,'SCH B-3 F'!$B87)</f>
        <v>-15640.279999999917</v>
      </c>
      <c r="F87" s="134">
        <f t="shared" si="28"/>
        <v>0.9394207525098649</v>
      </c>
      <c r="G87" s="88">
        <f t="shared" si="24"/>
        <v>-14692.803607064912</v>
      </c>
      <c r="H87" s="88">
        <f>SUMIFS('SCH B-3.1'!$F$42:$F$57,'SCH B-3.1'!$B$42:$B$57,'SCH B-3 F'!$B87)</f>
        <v>0</v>
      </c>
      <c r="I87" s="88">
        <f t="shared" si="25"/>
        <v>-14692.803607064912</v>
      </c>
    </row>
    <row r="88" spans="1:16" ht="18.95" customHeight="1">
      <c r="A88" s="70">
        <f t="shared" si="27"/>
        <v>58</v>
      </c>
      <c r="B88" s="71" t="s">
        <v>1693</v>
      </c>
      <c r="C88" s="78" t="s">
        <v>1694</v>
      </c>
      <c r="D88" s="88">
        <f>'SCH B-2.1 F'!D86</f>
        <v>130848709.48707603</v>
      </c>
      <c r="E88" s="88">
        <f>SUMIFS('PIS F'!$Y$11:$Y$344,'PIS F'!$C$11:$C$344,'SCH B-3 F'!$B88)</f>
        <v>-46498322.114249796</v>
      </c>
      <c r="F88" s="134">
        <f t="shared" si="28"/>
        <v>0.9394207525098649</v>
      </c>
      <c r="G88" s="88">
        <f t="shared" si="24"/>
        <v>-43681488.751014635</v>
      </c>
      <c r="H88" s="88">
        <f>SUMIFS('SCH B-3.1'!$F$42:$F$57,'SCH B-3.1'!$B$42:$B$57,'SCH B-3 F'!$B88)</f>
        <v>0</v>
      </c>
      <c r="I88" s="88">
        <f t="shared" si="25"/>
        <v>-43681488.751014635</v>
      </c>
    </row>
    <row r="89" spans="1:16" ht="18.95" customHeight="1">
      <c r="A89" s="70">
        <f t="shared" si="27"/>
        <v>59</v>
      </c>
      <c r="B89" s="71" t="s">
        <v>1695</v>
      </c>
      <c r="C89" s="78" t="s">
        <v>151</v>
      </c>
      <c r="D89" s="89">
        <f>'SCH B-2.1 F'!D87</f>
        <v>658287.18999999994</v>
      </c>
      <c r="E89" s="89">
        <f>SUMIFS('PIS F'!$Y$11:$Y$344,'PIS F'!$C$11:$C$344,'SCH B-3 F'!$B89)</f>
        <v>-131322.43193931569</v>
      </c>
      <c r="F89" s="134">
        <f>'SCH B-2.1 F'!E87</f>
        <v>1</v>
      </c>
      <c r="G89" s="89">
        <f t="shared" si="24"/>
        <v>-131322.43193931569</v>
      </c>
      <c r="H89" s="89">
        <f>SUMIFS('SCH B-3.1'!$F$42:$F$57,'SCH B-3.1'!$B$42:$B$57,'SCH B-3 F'!$B89)</f>
        <v>131322.43193931569</v>
      </c>
      <c r="I89" s="89">
        <f t="shared" si="25"/>
        <v>0</v>
      </c>
    </row>
    <row r="90" spans="1:16" ht="18.95" customHeight="1">
      <c r="A90" s="70">
        <f t="shared" si="27"/>
        <v>60</v>
      </c>
      <c r="B90" s="71"/>
      <c r="C90" s="78" t="s">
        <v>153</v>
      </c>
      <c r="D90" s="86">
        <f>SUM(D77:D89)</f>
        <v>2028003527.0356331</v>
      </c>
      <c r="E90" s="86">
        <f t="shared" ref="E90" si="29">SUM(E77:E89)</f>
        <v>-722944226.22133148</v>
      </c>
      <c r="F90" s="86"/>
      <c r="G90" s="86">
        <f t="shared" ref="G90:I90" si="30">SUM(G77:G89)</f>
        <v>-679220540.43756831</v>
      </c>
      <c r="H90" s="86">
        <f t="shared" si="30"/>
        <v>550806.40161255561</v>
      </c>
      <c r="I90" s="86">
        <f t="shared" si="30"/>
        <v>-678669734.03595567</v>
      </c>
      <c r="K90" s="136">
        <f>'JURISSEP F'!E270</f>
        <v>680514241.95573843</v>
      </c>
      <c r="L90" s="136">
        <f>'JURISSEP F'!G271</f>
        <v>679220540.43756831</v>
      </c>
      <c r="M90" s="136">
        <f>G82+G89</f>
        <v>-1184092.2598913056</v>
      </c>
      <c r="N90" s="136">
        <f>SUM(L90:M90)</f>
        <v>678036448.17767704</v>
      </c>
      <c r="O90" s="136">
        <f>-E90+M90</f>
        <v>721760133.96144021</v>
      </c>
      <c r="P90" s="137">
        <f>N90/O90</f>
        <v>0.9394207525098649</v>
      </c>
    </row>
    <row r="91" spans="1:16" s="68" customFormat="1" ht="20.100000000000001" customHeight="1">
      <c r="A91" s="769" t="str">
        <f>$A$1</f>
        <v>KENTUCKY UTILITIES COMPANY</v>
      </c>
      <c r="B91" s="769"/>
      <c r="C91" s="769"/>
      <c r="D91" s="769"/>
      <c r="E91" s="769"/>
      <c r="F91" s="769"/>
      <c r="G91" s="769"/>
      <c r="H91" s="769"/>
      <c r="I91" s="769"/>
    </row>
    <row r="92" spans="1:16" s="68" customFormat="1" ht="20.100000000000001" customHeight="1">
      <c r="A92" s="769" t="str">
        <f>$A$2</f>
        <v>CASE NO. 2018-00294 - RESPONSE TO PSC 2-65 (SLIPPAGE FACTOR 96.027%)</v>
      </c>
      <c r="B92" s="769"/>
      <c r="C92" s="769"/>
      <c r="D92" s="769"/>
      <c r="E92" s="769"/>
      <c r="F92" s="769"/>
      <c r="G92" s="769"/>
      <c r="H92" s="769"/>
      <c r="I92" s="769"/>
    </row>
    <row r="93" spans="1:16" s="68" customFormat="1" ht="20.100000000000001" customHeight="1">
      <c r="A93" s="769" t="str">
        <f>$A$3</f>
        <v>ACCUMULATED DEPRECIATION AND AMORTIZATION</v>
      </c>
      <c r="B93" s="769"/>
      <c r="C93" s="769"/>
      <c r="D93" s="769"/>
      <c r="E93" s="769"/>
      <c r="F93" s="769"/>
      <c r="G93" s="769"/>
      <c r="H93" s="769"/>
      <c r="I93" s="769"/>
    </row>
    <row r="94" spans="1:16" s="68" customFormat="1" ht="20.100000000000001" customHeight="1">
      <c r="A94" s="768" t="str">
        <f>$A$4</f>
        <v>AS OF APRIL 30, 2020</v>
      </c>
      <c r="B94" s="769"/>
      <c r="C94" s="769"/>
      <c r="D94" s="769"/>
      <c r="E94" s="769"/>
      <c r="F94" s="769"/>
      <c r="G94" s="769"/>
      <c r="H94" s="769"/>
      <c r="I94" s="769"/>
    </row>
    <row r="95" spans="1:16" s="68" customFormat="1" ht="20.100000000000001" customHeight="1">
      <c r="A95" s="92"/>
      <c r="B95" s="92"/>
      <c r="C95" s="92"/>
      <c r="D95" s="92"/>
      <c r="E95" s="92"/>
      <c r="F95" s="92"/>
      <c r="G95" s="92"/>
      <c r="H95" s="92"/>
      <c r="I95" s="92"/>
    </row>
    <row r="96" spans="1:16" s="68" customFormat="1" ht="20.100000000000001" customHeight="1">
      <c r="A96" s="67" t="str">
        <f>$A$6</f>
        <v>DATA:____BASE  PERIOD__X__FORECASTED  PERIOD</v>
      </c>
      <c r="B96" s="67"/>
      <c r="H96" s="74"/>
      <c r="I96" s="75" t="str">
        <f>$I$6</f>
        <v>SCHEDULE B-3</v>
      </c>
    </row>
    <row r="97" spans="1:9" s="68" customFormat="1" ht="20.100000000000001" customHeight="1">
      <c r="A97" s="67" t="str">
        <f>$A$7</f>
        <v>TYPE OF FILING: __X__ ORIGINAL  _____ UPDATED  _____ REVISED</v>
      </c>
      <c r="H97" s="74"/>
      <c r="I97" s="74" t="s">
        <v>170</v>
      </c>
    </row>
    <row r="98" spans="1:9" s="68" customFormat="1" ht="20.100000000000001" customHeight="1">
      <c r="A98" s="67" t="str">
        <f>$A$8</f>
        <v>WORKPAPER REFERENCE NO(S).:</v>
      </c>
      <c r="B98" s="67"/>
      <c r="E98" s="67"/>
      <c r="G98" s="67"/>
      <c r="H98" s="75"/>
      <c r="I98" s="75" t="str">
        <f>$I$8</f>
        <v>WITNESS:   C. M. GARRETT</v>
      </c>
    </row>
    <row r="99" spans="1:9" s="68" customFormat="1" ht="20.100000000000001" customHeight="1"/>
    <row r="100" spans="1:9" s="68" customFormat="1" ht="20.100000000000001" customHeight="1">
      <c r="A100" s="96"/>
      <c r="B100" s="96"/>
      <c r="C100" s="96"/>
      <c r="D100" s="96"/>
      <c r="E100" s="771" t="s">
        <v>1210</v>
      </c>
      <c r="F100" s="771"/>
      <c r="G100" s="771"/>
      <c r="H100" s="771"/>
      <c r="I100" s="771"/>
    </row>
    <row r="101" spans="1:9" ht="95.1" customHeight="1">
      <c r="A101" s="71" t="s">
        <v>131</v>
      </c>
      <c r="B101" s="71" t="s">
        <v>134</v>
      </c>
      <c r="C101" s="78" t="s">
        <v>135</v>
      </c>
      <c r="D101" s="71" t="s">
        <v>3414</v>
      </c>
      <c r="E101" s="71" t="s">
        <v>1202</v>
      </c>
      <c r="F101" s="71" t="s">
        <v>224</v>
      </c>
      <c r="G101" s="71" t="s">
        <v>225</v>
      </c>
      <c r="H101" s="71" t="s">
        <v>226</v>
      </c>
      <c r="I101" s="71" t="s">
        <v>227</v>
      </c>
    </row>
    <row r="102" spans="1:9" ht="23.1" customHeight="1">
      <c r="A102" s="80"/>
      <c r="B102" s="80"/>
      <c r="C102" s="81"/>
      <c r="D102" s="82" t="s">
        <v>142</v>
      </c>
      <c r="E102" s="82" t="s">
        <v>142</v>
      </c>
      <c r="F102" s="82"/>
      <c r="G102" s="82" t="s">
        <v>142</v>
      </c>
      <c r="H102" s="82" t="s">
        <v>142</v>
      </c>
      <c r="I102" s="82" t="s">
        <v>142</v>
      </c>
    </row>
    <row r="103" spans="1:9" ht="18.95" customHeight="1">
      <c r="A103" s="70">
        <f>A90+1</f>
        <v>61</v>
      </c>
      <c r="C103" s="90" t="s">
        <v>32</v>
      </c>
    </row>
    <row r="104" spans="1:9" ht="18.95" customHeight="1">
      <c r="A104" s="70">
        <f t="shared" ref="A104:A114" si="31">A103+1</f>
        <v>62</v>
      </c>
      <c r="B104" s="71" t="s">
        <v>1697</v>
      </c>
      <c r="C104" s="78" t="s">
        <v>154</v>
      </c>
      <c r="D104" s="88">
        <f>'SCH B-2.1 F'!D101</f>
        <v>4407139.5781769175</v>
      </c>
      <c r="E104" s="88">
        <f>SUMIFS('PIS F'!$Y$11:$Y$344,'PIS F'!$C$11:$C$344,'SCH B-3 F'!$B104)</f>
        <v>-2.2712138837225292E-7</v>
      </c>
      <c r="F104" s="134">
        <f t="shared" ref="F104:F113" si="32">$P$114</f>
        <v>0.9427566048965903</v>
      </c>
      <c r="G104" s="88">
        <f t="shared" ref="G104:G113" si="33">E104*F104</f>
        <v>-2.1412018900122509E-7</v>
      </c>
      <c r="H104" s="88">
        <f>SUMIFS('SCH B-3.1'!$F$42:$F$57,'SCH B-3.1'!$B$42:$B$57,'SCH B-3 F'!$B104)</f>
        <v>0</v>
      </c>
      <c r="I104" s="88">
        <f t="shared" ref="I104:I113" si="34">SUM(G104:H104)</f>
        <v>-2.1412018900122509E-7</v>
      </c>
    </row>
    <row r="105" spans="1:9" ht="18.95" customHeight="1">
      <c r="A105" s="70">
        <f t="shared" si="31"/>
        <v>63</v>
      </c>
      <c r="B105" s="71" t="s">
        <v>1698</v>
      </c>
      <c r="C105" s="78" t="s">
        <v>148</v>
      </c>
      <c r="D105" s="88">
        <f>'SCH B-2.1 F'!D102</f>
        <v>82444608.51143311</v>
      </c>
      <c r="E105" s="88">
        <f>SUMIFS('PIS F'!$Y$11:$Y$344,'PIS F'!$C$11:$C$344,'SCH B-3 F'!$B105)</f>
        <v>-15572741.98496698</v>
      </c>
      <c r="F105" s="134">
        <f t="shared" si="32"/>
        <v>0.9427566048965903</v>
      </c>
      <c r="G105" s="88">
        <f t="shared" si="33"/>
        <v>-14681305.362678058</v>
      </c>
      <c r="H105" s="88">
        <f>SUMIFS('SCH B-3.1'!$F$42:$F$57,'SCH B-3.1'!$B$42:$B$57,'SCH B-3 F'!$B105)</f>
        <v>0</v>
      </c>
      <c r="I105" s="88">
        <f t="shared" si="34"/>
        <v>-14681305.362678058</v>
      </c>
    </row>
    <row r="106" spans="1:9" ht="18.95" customHeight="1">
      <c r="A106" s="70">
        <f t="shared" si="31"/>
        <v>64</v>
      </c>
      <c r="B106" s="71" t="s">
        <v>1699</v>
      </c>
      <c r="C106" s="78" t="s">
        <v>156</v>
      </c>
      <c r="D106" s="88">
        <f>'SCH B-2.1 F'!D103</f>
        <v>43470434.51483319</v>
      </c>
      <c r="E106" s="88">
        <f>SUMIFS('PIS F'!$Y$11:$Y$344,'PIS F'!$C$11:$C$344,'SCH B-3 F'!$B106)</f>
        <v>-20395477.715386424</v>
      </c>
      <c r="F106" s="134">
        <f t="shared" si="32"/>
        <v>0.9427566048965903</v>
      </c>
      <c r="G106" s="88">
        <f t="shared" si="33"/>
        <v>-19227971.32620177</v>
      </c>
      <c r="H106" s="88">
        <f>SUMIFS('SCH B-3.1'!$F$42:$F$57,'SCH B-3.1'!$B$42:$B$57,'SCH B-3 F'!$B106)</f>
        <v>0</v>
      </c>
      <c r="I106" s="88">
        <f t="shared" si="34"/>
        <v>-19227971.32620177</v>
      </c>
    </row>
    <row r="107" spans="1:9" ht="18.95" customHeight="1">
      <c r="A107" s="70">
        <f t="shared" si="31"/>
        <v>65</v>
      </c>
      <c r="B107" s="71" t="s">
        <v>1700</v>
      </c>
      <c r="C107" s="78" t="s">
        <v>155</v>
      </c>
      <c r="D107" s="88">
        <f>'SCH B-2.1 F'!D104</f>
        <v>7538271.700000002</v>
      </c>
      <c r="E107" s="88">
        <f>SUMIFS('PIS F'!$Y$11:$Y$344,'PIS F'!$C$11:$C$344,'SCH B-3 F'!$B107)</f>
        <v>-4392572.8829229902</v>
      </c>
      <c r="F107" s="134">
        <f t="shared" si="32"/>
        <v>0.9427566048965903</v>
      </c>
      <c r="G107" s="88">
        <f t="shared" si="33"/>
        <v>-4141127.0978653063</v>
      </c>
      <c r="H107" s="88">
        <f>SUMIFS('SCH B-3.1'!$F$42:$F$57,'SCH B-3.1'!$B$42:$B$57,'SCH B-3 F'!$B107)</f>
        <v>18773.577685844455</v>
      </c>
      <c r="I107" s="88">
        <f t="shared" si="34"/>
        <v>-4122353.5201794617</v>
      </c>
    </row>
    <row r="108" spans="1:9" ht="18.95" customHeight="1">
      <c r="A108" s="70">
        <f t="shared" si="31"/>
        <v>66</v>
      </c>
      <c r="B108" s="71" t="s">
        <v>1701</v>
      </c>
      <c r="C108" s="78" t="s">
        <v>1702</v>
      </c>
      <c r="D108" s="88">
        <f>'SCH B-2.1 F'!D105</f>
        <v>908062.33049692307</v>
      </c>
      <c r="E108" s="88">
        <f>SUMIFS('PIS F'!$Y$11:$Y$344,'PIS F'!$C$11:$C$344,'SCH B-3 F'!$B108)</f>
        <v>-445828.16076922964</v>
      </c>
      <c r="F108" s="134">
        <f t="shared" si="32"/>
        <v>0.9427566048965903</v>
      </c>
      <c r="G108" s="88">
        <f t="shared" si="33"/>
        <v>-420307.44321409019</v>
      </c>
      <c r="H108" s="88">
        <f>SUMIFS('SCH B-3.1'!$F$42:$F$57,'SCH B-3.1'!$B$42:$B$57,'SCH B-3 F'!$B108)</f>
        <v>0</v>
      </c>
      <c r="I108" s="88">
        <f t="shared" si="34"/>
        <v>-420307.44321409019</v>
      </c>
    </row>
    <row r="109" spans="1:9" ht="18.95" customHeight="1">
      <c r="A109" s="70">
        <f t="shared" si="31"/>
        <v>67</v>
      </c>
      <c r="B109" s="71" t="s">
        <v>1703</v>
      </c>
      <c r="C109" s="78" t="s">
        <v>1704</v>
      </c>
      <c r="D109" s="88">
        <f>'SCH B-2.1 F'!D106</f>
        <v>16911378.19559266</v>
      </c>
      <c r="E109" s="88">
        <f>SUMIFS('PIS F'!$Y$11:$Y$344,'PIS F'!$C$11:$C$344,'SCH B-3 F'!$B109)</f>
        <v>-5214312.3407700583</v>
      </c>
      <c r="F109" s="134">
        <f t="shared" si="32"/>
        <v>0.9427566048965903</v>
      </c>
      <c r="G109" s="88">
        <f t="shared" si="33"/>
        <v>-4915827.3992547728</v>
      </c>
      <c r="H109" s="88">
        <f>SUMIFS('SCH B-3.1'!$F$42:$F$57,'SCH B-3.1'!$B$42:$B$57,'SCH B-3 F'!$B109)</f>
        <v>0</v>
      </c>
      <c r="I109" s="88">
        <f t="shared" si="34"/>
        <v>-4915827.3992547728</v>
      </c>
    </row>
    <row r="110" spans="1:9" ht="18.95" customHeight="1">
      <c r="A110" s="70">
        <f t="shared" si="31"/>
        <v>68</v>
      </c>
      <c r="B110" s="71" t="s">
        <v>1705</v>
      </c>
      <c r="C110" s="78" t="s">
        <v>1706</v>
      </c>
      <c r="D110" s="88">
        <f>'SCH B-2.1 F'!D107</f>
        <v>0</v>
      </c>
      <c r="E110" s="88">
        <f>SUMIFS('PIS F'!$Y$11:$Y$344,'PIS F'!$C$11:$C$344,'SCH B-3 F'!$B110)</f>
        <v>0</v>
      </c>
      <c r="F110" s="134">
        <f t="shared" si="32"/>
        <v>0.9427566048965903</v>
      </c>
      <c r="G110" s="88">
        <f t="shared" si="33"/>
        <v>0</v>
      </c>
      <c r="H110" s="88">
        <f>SUMIFS('SCH B-3.1'!$F$42:$F$57,'SCH B-3.1'!$B$42:$B$57,'SCH B-3 F'!$B110)</f>
        <v>0</v>
      </c>
      <c r="I110" s="88">
        <f t="shared" si="34"/>
        <v>0</v>
      </c>
    </row>
    <row r="111" spans="1:9" ht="18.95" customHeight="1">
      <c r="A111" s="70">
        <f t="shared" si="31"/>
        <v>69</v>
      </c>
      <c r="B111" s="71" t="s">
        <v>1707</v>
      </c>
      <c r="C111" s="78" t="s">
        <v>1708</v>
      </c>
      <c r="D111" s="88">
        <f>'SCH B-2.1 F'!D108</f>
        <v>4137907.4</v>
      </c>
      <c r="E111" s="88">
        <f>SUMIFS('PIS F'!$Y$11:$Y$344,'PIS F'!$C$11:$C$344,'SCH B-3 F'!$B111)</f>
        <v>-1549552.3299999998</v>
      </c>
      <c r="F111" s="134">
        <f t="shared" si="32"/>
        <v>0.9427566048965903</v>
      </c>
      <c r="G111" s="88">
        <f t="shared" si="33"/>
        <v>-1460850.6937404007</v>
      </c>
      <c r="H111" s="88">
        <f>SUMIFS('SCH B-3.1'!$F$42:$F$57,'SCH B-3.1'!$B$42:$B$57,'SCH B-3 F'!$B111)</f>
        <v>0</v>
      </c>
      <c r="I111" s="88">
        <f t="shared" si="34"/>
        <v>-1460850.6937404007</v>
      </c>
    </row>
    <row r="112" spans="1:9" ht="18.95" customHeight="1">
      <c r="A112" s="70">
        <f t="shared" si="31"/>
        <v>70</v>
      </c>
      <c r="B112" s="71" t="s">
        <v>1709</v>
      </c>
      <c r="C112" s="78" t="s">
        <v>157</v>
      </c>
      <c r="D112" s="88">
        <f>'SCH B-2.1 F'!D109</f>
        <v>67434523.196247071</v>
      </c>
      <c r="E112" s="88">
        <f>SUMIFS('PIS F'!$Y$11:$Y$344,'PIS F'!$C$11:$C$344,'SCH B-3 F'!$B112)</f>
        <v>-31572586.409773923</v>
      </c>
      <c r="F112" s="134">
        <f t="shared" si="32"/>
        <v>0.9427566048965903</v>
      </c>
      <c r="G112" s="88">
        <f t="shared" si="33"/>
        <v>-29765264.371482693</v>
      </c>
      <c r="H112" s="88">
        <f>SUMIFS('SCH B-3.1'!$F$42:$F$57,'SCH B-3.1'!$B$42:$B$57,'SCH B-3 F'!$B112)</f>
        <v>3586883.5391899915</v>
      </c>
      <c r="I112" s="88">
        <f t="shared" si="34"/>
        <v>-26178380.832292702</v>
      </c>
    </row>
    <row r="113" spans="1:16" ht="18.95" customHeight="1">
      <c r="A113" s="70">
        <f t="shared" si="31"/>
        <v>71</v>
      </c>
      <c r="B113" s="71" t="s">
        <v>1710</v>
      </c>
      <c r="C113" s="78" t="s">
        <v>1711</v>
      </c>
      <c r="D113" s="89">
        <f>'SCH B-2.1 F'!D110</f>
        <v>0</v>
      </c>
      <c r="E113" s="89">
        <f>SUMIFS('PIS F'!$Y$11:$Y$344,'PIS F'!$C$11:$C$344,'SCH B-3 F'!$B113)</f>
        <v>0</v>
      </c>
      <c r="F113" s="134">
        <f t="shared" si="32"/>
        <v>0.9427566048965903</v>
      </c>
      <c r="G113" s="89">
        <f t="shared" si="33"/>
        <v>0</v>
      </c>
      <c r="H113" s="89">
        <f>SUMIFS('SCH B-3.1'!$F$42:$F$57,'SCH B-3.1'!$B$42:$B$57,'SCH B-3 F'!$B113)</f>
        <v>0</v>
      </c>
      <c r="I113" s="89">
        <f t="shared" si="34"/>
        <v>0</v>
      </c>
    </row>
    <row r="114" spans="1:16" ht="18.95" customHeight="1">
      <c r="A114" s="70">
        <f t="shared" si="31"/>
        <v>72</v>
      </c>
      <c r="B114" s="71"/>
      <c r="C114" s="78" t="s">
        <v>158</v>
      </c>
      <c r="D114" s="86">
        <f>SUM(D104:D113)</f>
        <v>227252325.4267799</v>
      </c>
      <c r="E114" s="86">
        <f t="shared" ref="E114" si="35">SUM(E104:E113)</f>
        <v>-79143071.824589834</v>
      </c>
      <c r="F114" s="86"/>
      <c r="G114" s="86">
        <f t="shared" ref="G114:I114" si="36">SUM(G104:G113)</f>
        <v>-74612653.694437295</v>
      </c>
      <c r="H114" s="86">
        <f t="shared" si="36"/>
        <v>3605657.1168758362</v>
      </c>
      <c r="I114" s="86">
        <f t="shared" si="36"/>
        <v>-71006996.577561468</v>
      </c>
      <c r="K114" s="136" t="str">
        <f>'JURISSEP F'!E272</f>
        <v/>
      </c>
      <c r="L114" s="136">
        <f>'JURISSEP F'!G273</f>
        <v>74612653.69443731</v>
      </c>
      <c r="M114" s="136"/>
      <c r="N114" s="136">
        <f>SUM(L114:M114)</f>
        <v>74612653.69443731</v>
      </c>
      <c r="O114" s="136">
        <f>-E114+M114</f>
        <v>79143071.824589834</v>
      </c>
      <c r="P114" s="137">
        <f>N114/O114</f>
        <v>0.9427566048965903</v>
      </c>
    </row>
    <row r="115" spans="1:16" ht="18.95" customHeight="1">
      <c r="A115" s="70"/>
      <c r="B115" s="71"/>
    </row>
    <row r="116" spans="1:16" ht="18.95" customHeight="1" thickBot="1">
      <c r="A116" s="70">
        <f>A114+1</f>
        <v>73</v>
      </c>
      <c r="B116" s="71"/>
      <c r="C116" s="68" t="s">
        <v>439</v>
      </c>
      <c r="D116" s="94">
        <f>SUM(D17,D28,D39,D62,D74,D90,D114)</f>
        <v>10060481774.420282</v>
      </c>
      <c r="E116" s="94">
        <f>SUM(E17,E28,E39,E62,E74,E90,E114)</f>
        <v>-3499029088.7600813</v>
      </c>
      <c r="F116" s="86"/>
      <c r="G116" s="94">
        <f>SUM(G17,G28,G39,G62,G74,G90,G114)</f>
        <v>-3251097364.7086844</v>
      </c>
      <c r="H116" s="94">
        <f>SUM(H17,H28,H39,H62,H74,H90,H114)</f>
        <v>275314722.19303042</v>
      </c>
      <c r="I116" s="94">
        <f>SUM(I17,I28,I39,I62,I74,I90,I114)</f>
        <v>-2975782642.5156536</v>
      </c>
    </row>
    <row r="117" spans="1:16" ht="18.95" customHeight="1" thickTop="1">
      <c r="B117" s="71"/>
    </row>
    <row r="118" spans="1:16" ht="18.95" customHeight="1">
      <c r="B118" s="71"/>
      <c r="D118" s="86"/>
      <c r="E118" s="93"/>
    </row>
    <row r="119" spans="1:16" ht="18.95" customHeight="1">
      <c r="B119" s="71"/>
      <c r="C119" s="78"/>
    </row>
    <row r="120" spans="1:16" ht="18.95" customHeight="1">
      <c r="B120" s="71"/>
    </row>
    <row r="121" spans="1:16" ht="18.95" customHeight="1">
      <c r="B121" s="71"/>
    </row>
    <row r="122" spans="1:16" ht="18.95" customHeight="1">
      <c r="D122" s="69" t="s">
        <v>160</v>
      </c>
    </row>
    <row r="123" spans="1:16" ht="18.95" customHeight="1"/>
    <row r="124" spans="1:16" ht="18.95" customHeight="1"/>
    <row r="125" spans="1:16" ht="18.95" customHeight="1"/>
    <row r="126" spans="1:16" ht="18.95" customHeight="1"/>
    <row r="127" spans="1:16" ht="18.95" customHeight="1"/>
    <row r="128" spans="1:16" ht="18.95" customHeight="1"/>
    <row r="129" ht="18.95" customHeight="1"/>
    <row r="130" ht="18.95" customHeight="1"/>
    <row r="131" ht="18.95" customHeight="1"/>
    <row r="132" ht="18.95" customHeight="1"/>
    <row r="133" ht="18.95" customHeight="1"/>
    <row r="134" ht="18.95" customHeight="1"/>
  </sheetData>
  <mergeCells count="15">
    <mergeCell ref="E100:I100"/>
    <mergeCell ref="A48:I48"/>
    <mergeCell ref="A49:I49"/>
    <mergeCell ref="A91:I91"/>
    <mergeCell ref="A92:I92"/>
    <mergeCell ref="A93:I93"/>
    <mergeCell ref="A94:I94"/>
    <mergeCell ref="E55:I55"/>
    <mergeCell ref="A1:I1"/>
    <mergeCell ref="A2:I2"/>
    <mergeCell ref="A4:I4"/>
    <mergeCell ref="A46:I46"/>
    <mergeCell ref="A47:I47"/>
    <mergeCell ref="E10:I10"/>
    <mergeCell ref="A3:I3"/>
  </mergeCells>
  <pageMargins left="0.95" right="0.5" top="0.75" bottom="0.75" header="0.3" footer="0.3"/>
  <pageSetup scale="62" fitToHeight="0" orientation="portrait" r:id="rId1"/>
  <rowBreaks count="2" manualBreakCount="2">
    <brk id="45" max="16383" man="1"/>
    <brk id="90"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1"/>
  <sheetViews>
    <sheetView zoomScaleNormal="100" workbookViewId="0">
      <selection activeCell="E57" sqref="E57"/>
    </sheetView>
  </sheetViews>
  <sheetFormatPr defaultColWidth="9" defaultRowHeight="12.75"/>
  <cols>
    <col min="1" max="1" width="6" style="69" customWidth="1"/>
    <col min="2" max="2" width="7.6640625" style="69" customWidth="1"/>
    <col min="3" max="3" width="29.77734375" style="69" customWidth="1"/>
    <col min="4" max="4" width="14.77734375" style="69" customWidth="1"/>
    <col min="5" max="6" width="15.77734375" style="69" customWidth="1"/>
    <col min="7" max="7" width="15.33203125" style="69" customWidth="1"/>
    <col min="8" max="8" width="32.77734375" style="69" customWidth="1"/>
    <col min="9" max="9" width="1.6640625" style="69" customWidth="1"/>
    <col min="10" max="10" width="9" style="69"/>
    <col min="11" max="11" width="17.109375" style="69" customWidth="1"/>
    <col min="12" max="12" width="9" style="69"/>
    <col min="13" max="13" width="9.88671875" style="69" bestFit="1" customWidth="1"/>
    <col min="14" max="14" width="11.21875" style="69" customWidth="1"/>
    <col min="15" max="16384" width="9" style="69"/>
  </cols>
  <sheetData>
    <row r="1" spans="1:14" s="68" customFormat="1" ht="20.100000000000001" customHeight="1">
      <c r="A1" s="769" t="str">
        <f>'Rate Case Constants'!C9</f>
        <v>KENTUCKY UTILITIES COMPANY</v>
      </c>
      <c r="B1" s="769"/>
      <c r="C1" s="769"/>
      <c r="D1" s="769"/>
      <c r="E1" s="769"/>
      <c r="F1" s="769"/>
      <c r="G1" s="769"/>
      <c r="H1" s="769"/>
    </row>
    <row r="2" spans="1:14" s="68" customFormat="1" ht="20.100000000000001" customHeight="1">
      <c r="A2" s="769" t="str">
        <f>'Rate Case Constants'!C10</f>
        <v>CASE NO. 2018-00294 - RESPONSE TO PSC 2-65 (SLIPPAGE FACTOR 96.027%)</v>
      </c>
      <c r="B2" s="769"/>
      <c r="C2" s="769"/>
      <c r="D2" s="769"/>
      <c r="E2" s="769"/>
      <c r="F2" s="769"/>
      <c r="G2" s="769"/>
      <c r="H2" s="769"/>
    </row>
    <row r="3" spans="1:14" s="68" customFormat="1" ht="20.100000000000001" customHeight="1">
      <c r="A3" s="769" t="s">
        <v>1207</v>
      </c>
      <c r="B3" s="769"/>
      <c r="C3" s="769"/>
      <c r="D3" s="769"/>
      <c r="E3" s="769"/>
      <c r="F3" s="769"/>
      <c r="G3" s="769"/>
      <c r="H3" s="769"/>
      <c r="I3" s="769"/>
    </row>
    <row r="4" spans="1:14" s="68" customFormat="1" ht="20.100000000000001" customHeight="1">
      <c r="A4" s="769" t="str">
        <f>'Rate Case Constants'!C12</f>
        <v>AS OF DECEMBER 31, 2018</v>
      </c>
      <c r="B4" s="769"/>
      <c r="C4" s="769"/>
      <c r="D4" s="769"/>
      <c r="E4" s="769"/>
      <c r="F4" s="769"/>
      <c r="G4" s="769"/>
      <c r="H4" s="769"/>
    </row>
    <row r="5" spans="1:14" s="68" customFormat="1" ht="20.100000000000001" customHeight="1">
      <c r="A5" s="84"/>
      <c r="B5" s="84"/>
      <c r="C5" s="84"/>
      <c r="D5" s="84"/>
      <c r="E5" s="84"/>
      <c r="F5" s="84"/>
      <c r="G5" s="84"/>
      <c r="H5" s="84"/>
    </row>
    <row r="6" spans="1:14" s="68" customFormat="1" ht="20.100000000000001" customHeight="1">
      <c r="A6" s="67" t="s">
        <v>133</v>
      </c>
      <c r="B6" s="67"/>
      <c r="G6" s="74"/>
      <c r="H6" s="74" t="s">
        <v>1206</v>
      </c>
    </row>
    <row r="7" spans="1:14" s="68" customFormat="1" ht="20.100000000000001" customHeight="1">
      <c r="A7" s="68" t="str">
        <f>'Rate Case Constants'!C29</f>
        <v>TYPE OF FILING: __X__ ORIGINAL  _____ UPDATED  _____ REVISED</v>
      </c>
      <c r="G7" s="74"/>
      <c r="H7" s="74" t="s">
        <v>177</v>
      </c>
    </row>
    <row r="8" spans="1:14" s="68" customFormat="1" ht="20.100000000000001" customHeight="1">
      <c r="A8" s="67" t="s">
        <v>1198</v>
      </c>
      <c r="B8" s="67"/>
      <c r="F8" s="67"/>
      <c r="G8" s="75"/>
      <c r="H8" s="75" t="str">
        <f>'Rate Case Constants'!C36</f>
        <v>WITNESS:   C. M. GARRETT</v>
      </c>
    </row>
    <row r="9" spans="1:14" s="68" customFormat="1" ht="20.100000000000001" customHeight="1"/>
    <row r="10" spans="1:14" ht="58.5" customHeight="1">
      <c r="A10" s="76" t="s">
        <v>131</v>
      </c>
      <c r="B10" s="76" t="s">
        <v>134</v>
      </c>
      <c r="C10" s="79" t="s">
        <v>135</v>
      </c>
      <c r="D10" s="76" t="s">
        <v>216</v>
      </c>
      <c r="E10" s="76" t="s">
        <v>217</v>
      </c>
      <c r="F10" s="76" t="s">
        <v>218</v>
      </c>
      <c r="G10" s="76" t="s">
        <v>219</v>
      </c>
      <c r="H10" s="76" t="s">
        <v>220</v>
      </c>
      <c r="K10" s="497" t="s">
        <v>2186</v>
      </c>
    </row>
    <row r="11" spans="1:14" ht="23.1" customHeight="1">
      <c r="A11" s="80"/>
      <c r="B11" s="80"/>
      <c r="C11" s="81"/>
      <c r="D11" s="82" t="s">
        <v>142</v>
      </c>
      <c r="E11" s="82"/>
      <c r="F11" s="82" t="s">
        <v>142</v>
      </c>
      <c r="G11" s="82"/>
      <c r="H11" s="82"/>
    </row>
    <row r="12" spans="1:14" ht="18.95" customHeight="1">
      <c r="A12" s="283">
        <v>1</v>
      </c>
      <c r="B12" s="421" t="str">
        <f>'SCH B-3 B'!B$21</f>
        <v>311</v>
      </c>
      <c r="C12" s="67" t="s">
        <v>148</v>
      </c>
      <c r="D12" s="396">
        <f>SUMIFS('FCPIS B'!$T$6:$T$901,'FCPIS B'!$G$6:$G$901,$J12,'FCPIS B'!$B$6:$B$901,"KY",'FCPIS B'!$D$6:$D$901,"AD",'FCPIS B'!$E$6:$E$901,$B12)*1000</f>
        <v>1136447.038363819</v>
      </c>
      <c r="E12" s="395">
        <f>'SCH B-3 B'!F$21</f>
        <v>0.86542387378229513</v>
      </c>
      <c r="F12" s="396">
        <f t="shared" ref="F12:F14" si="0">D12*E12</f>
        <v>983508.39828923286</v>
      </c>
      <c r="H12" s="68" t="s">
        <v>2002</v>
      </c>
      <c r="J12" s="68" t="s">
        <v>2183</v>
      </c>
      <c r="K12" s="419" t="s">
        <v>2183</v>
      </c>
    </row>
    <row r="13" spans="1:14" ht="18.95" customHeight="1">
      <c r="A13" s="283">
        <f t="shared" ref="A13:A27" si="1">A12+1</f>
        <v>2</v>
      </c>
      <c r="B13" s="421" t="str">
        <f>'SCH B-3 B'!B$22</f>
        <v>312</v>
      </c>
      <c r="C13" s="67" t="s">
        <v>1629</v>
      </c>
      <c r="D13" s="396">
        <f>SUMIFS('FCPIS B'!$T$6:$T$901,'FCPIS B'!$G$6:$G$901,$J13,'FCPIS B'!$B$6:$B$901,"KY",'FCPIS B'!$D$6:$D$901,"AD",'FCPIS B'!$E$6:$E$901,$B13)*1000-'ECR Exclusion'!$W$18</f>
        <v>115376373.04505895</v>
      </c>
      <c r="E13" s="395">
        <f>'SCH B-3 B'!F$22</f>
        <v>0.86542387378229513</v>
      </c>
      <c r="F13" s="396">
        <f t="shared" si="0"/>
        <v>99849467.703606099</v>
      </c>
      <c r="H13" s="68" t="s">
        <v>2002</v>
      </c>
      <c r="J13" s="68" t="s">
        <v>2183</v>
      </c>
      <c r="K13" s="396">
        <f>SUMIFS('FCPIS B'!$T$6:$T$901,'FCPIS B'!$G$6:$G$901,$K12,'FCPIS B'!$B$6:$B$901,"KY",'FCPIS B'!$D$6:$D$901,"AD")*1000</f>
        <v>118944351.17902273</v>
      </c>
      <c r="L13" s="88">
        <f>-'ECR Exclusion'!$W$18</f>
        <v>-1222596.5340635013</v>
      </c>
      <c r="M13" s="88"/>
      <c r="N13" s="492">
        <f>SUM(K13:M13)</f>
        <v>117721754.64495923</v>
      </c>
    </row>
    <row r="14" spans="1:14" ht="18.95" customHeight="1">
      <c r="A14" s="283">
        <f t="shared" si="1"/>
        <v>3</v>
      </c>
      <c r="B14" s="421" t="str">
        <f>'SCH B-3 B'!B$25</f>
        <v>315</v>
      </c>
      <c r="C14" s="67" t="s">
        <v>1633</v>
      </c>
      <c r="D14" s="396">
        <f>SUMIFS('FCPIS B'!$T$6:$T$901,'FCPIS B'!$G$6:$G$901,$J14,'FCPIS B'!$B$6:$B$901,"KY",'FCPIS B'!$D$6:$D$901,"AD",'FCPIS B'!$E$6:$E$901,$B14)*1000</f>
        <v>993558.66841937997</v>
      </c>
      <c r="E14" s="395">
        <f>'SCH B-3 B'!F$25</f>
        <v>0.86542387378229513</v>
      </c>
      <c r="F14" s="396">
        <f t="shared" si="0"/>
        <v>859849.39165347873</v>
      </c>
      <c r="H14" s="68" t="s">
        <v>2002</v>
      </c>
      <c r="J14" s="68" t="s">
        <v>2183</v>
      </c>
      <c r="K14" s="88">
        <f>SUM(D12:D15,D20:D23,D26)+'ECR Exclusion'!$W$18</f>
        <v>118944351.17902274</v>
      </c>
      <c r="N14" s="492">
        <f>SUM(D12:D15,D20:D23,D26)</f>
        <v>117721754.64495924</v>
      </c>
    </row>
    <row r="15" spans="1:14" ht="18.95" customHeight="1">
      <c r="A15" s="422">
        <f t="shared" si="1"/>
        <v>4</v>
      </c>
      <c r="B15" s="421" t="str">
        <f>'SCH B-3 B'!B$26</f>
        <v>316</v>
      </c>
      <c r="C15" s="67" t="s">
        <v>1633</v>
      </c>
      <c r="D15" s="396">
        <f>SUMIFS('FCPIS B'!$T$6:$T$901,'FCPIS B'!$G$6:$G$901,$J15,'FCPIS B'!$B$6:$B$901,"KY",'FCPIS B'!$D$6:$D$901,"AD",'FCPIS B'!$E$6:$E$901,$B15)*1000</f>
        <v>35073.480279999996</v>
      </c>
      <c r="E15" s="395">
        <f>'SCH B-3 B'!F$26</f>
        <v>0.86542387378229513</v>
      </c>
      <c r="F15" s="396">
        <f t="shared" ref="F15" si="2">D15*E15</f>
        <v>30353.427170944535</v>
      </c>
      <c r="H15" s="68" t="s">
        <v>2002</v>
      </c>
      <c r="J15" s="68" t="s">
        <v>2183</v>
      </c>
      <c r="K15" s="88">
        <f>K13-K14</f>
        <v>0</v>
      </c>
    </row>
    <row r="16" spans="1:14" ht="18.95" customHeight="1">
      <c r="A16" s="422">
        <f t="shared" si="1"/>
        <v>5</v>
      </c>
      <c r="B16" s="389" t="str">
        <f>'SCH B-3 B'!B$27</f>
        <v>317</v>
      </c>
      <c r="C16" s="68" t="str">
        <f>'SCH B-3 B'!C$27</f>
        <v>ARO Cost Steam Production</v>
      </c>
      <c r="D16" s="396">
        <f>SUMIFS('FCPIS B'!$T$6:$T$901,'FCPIS B'!$G$6:$G$901,$J16,'FCPIS B'!$B$6:$B$901,"KY",'FCPIS B'!$D$6:$D$901,"AD",'FCPIS B'!$E$6:$E$901,$B16)*1000</f>
        <v>134179168.45999999</v>
      </c>
      <c r="E16" s="397">
        <f>'SCH B-3 B'!F$27</f>
        <v>0.86542387378229513</v>
      </c>
      <c r="F16" s="396">
        <f>D16*E16</f>
        <v>116121855.74954034</v>
      </c>
      <c r="H16" s="68" t="s">
        <v>1417</v>
      </c>
      <c r="J16" s="68" t="s">
        <v>2184</v>
      </c>
    </row>
    <row r="17" spans="1:11" ht="18.95" customHeight="1">
      <c r="A17" s="422">
        <f t="shared" si="1"/>
        <v>6</v>
      </c>
      <c r="B17" s="389" t="str">
        <f>'SCH B-3 B'!B$38</f>
        <v>337</v>
      </c>
      <c r="C17" s="68" t="str">
        <f>'SCH B-3 B'!C$38</f>
        <v>ARO Cost Hydro Production</v>
      </c>
      <c r="D17" s="396">
        <f>SUMIFS('FCPIS B'!$T$6:$T$901,'FCPIS B'!$G$6:$G$901,$J17,'FCPIS B'!$B$6:$B$901,"KY",'FCPIS B'!$D$6:$D$901,"AD",'FCPIS B'!$E$6:$E$901,$B17)*1000</f>
        <v>55478.109999999899</v>
      </c>
      <c r="E17" s="397">
        <f>'SCH B-3 B'!F$38</f>
        <v>0.87536633127792185</v>
      </c>
      <c r="F17" s="396">
        <f>D17*E17</f>
        <v>48563.669616932901</v>
      </c>
      <c r="H17" s="68" t="s">
        <v>1417</v>
      </c>
      <c r="J17" s="68" t="s">
        <v>2184</v>
      </c>
      <c r="K17" s="419" t="s">
        <v>2184</v>
      </c>
    </row>
    <row r="18" spans="1:11" ht="18.95" customHeight="1">
      <c r="A18" s="422">
        <f t="shared" si="1"/>
        <v>7</v>
      </c>
      <c r="B18" s="421" t="str">
        <f>'SCH B-3 B'!B$61</f>
        <v>347</v>
      </c>
      <c r="C18" s="68" t="str">
        <f>'SCH B-3 B'!C$61</f>
        <v>ARO Cost Other Production</v>
      </c>
      <c r="D18" s="396">
        <f>SUMIFS('FCPIS B'!$T$6:$T$901,'FCPIS B'!$G$6:$G$901,$J18,'FCPIS B'!$B$6:$B$901,"KY",'FCPIS B'!$D$6:$D$901,"AD",'FCPIS B'!$E$6:$E$901,$B18)*1000</f>
        <v>73527.01999999999</v>
      </c>
      <c r="E18" s="397">
        <f>'SCH B-3 B'!F$61</f>
        <v>0.87240631046921291</v>
      </c>
      <c r="F18" s="396">
        <f>D18*E18</f>
        <v>64145.436237996015</v>
      </c>
      <c r="H18" s="68" t="s">
        <v>1417</v>
      </c>
      <c r="J18" s="68" t="s">
        <v>2184</v>
      </c>
      <c r="K18" s="396">
        <f>SUMIFS('FCPIS B'!$T$6:$T$901,'FCPIS B'!$G$6:$G$901,$K17,'FCPIS B'!$B$6:$B$901,"KY",'FCPIS B'!$D$6:$D$901,"AD")*1000</f>
        <v>134522610.87</v>
      </c>
    </row>
    <row r="19" spans="1:11" ht="18.95" customHeight="1">
      <c r="A19" s="422">
        <f t="shared" si="1"/>
        <v>8</v>
      </c>
      <c r="B19" s="389" t="str">
        <f>'SCH B-3 B'!B$73</f>
        <v>359</v>
      </c>
      <c r="C19" s="68" t="str">
        <f>'SCH B-3 B'!C$73</f>
        <v>ARO Cost Elec Transmission</v>
      </c>
      <c r="D19" s="396">
        <f>SUMIFS('FCPIS B'!$T$6:$T$901,'FCPIS B'!$G$6:$G$901,$J19,'FCPIS B'!$B$6:$B$901,"KY",'FCPIS B'!$D$6:$D$901,"AD",'FCPIS B'!$E$6:$E$901,$B19)*1000</f>
        <v>91218.789999999892</v>
      </c>
      <c r="E19" s="397">
        <f>'SCH B-3 B'!F$73</f>
        <v>0.87243283191649268</v>
      </c>
      <c r="F19" s="396">
        <f>D19*E19</f>
        <v>79582.26728369575</v>
      </c>
      <c r="H19" s="68" t="s">
        <v>1417</v>
      </c>
      <c r="J19" s="68" t="s">
        <v>2184</v>
      </c>
      <c r="K19" s="88">
        <f>SUM(D16:D19,D25)</f>
        <v>134522610.87</v>
      </c>
    </row>
    <row r="20" spans="1:11" ht="18.95" customHeight="1">
      <c r="A20" s="422">
        <f t="shared" si="1"/>
        <v>9</v>
      </c>
      <c r="B20" s="421" t="str">
        <f>'SCH B-3 B'!B$80</f>
        <v>364</v>
      </c>
      <c r="C20" s="78" t="s">
        <v>1681</v>
      </c>
      <c r="D20" s="396">
        <f>SUMIFS('FCPIS B'!$T$6:$T$901,'FCPIS B'!$G$6:$G$901,$J20,'FCPIS B'!$B$6:$B$901,"KY",'FCPIS B'!$D$6:$D$901,"AD",'FCPIS B'!$E$6:$E$901,$B20)*1000</f>
        <v>2788.4715199999901</v>
      </c>
      <c r="E20" s="397">
        <f>'SCH B-3 B'!F$80</f>
        <v>0.94001104582975414</v>
      </c>
      <c r="F20" s="396">
        <f>D20*E20</f>
        <v>2621.194029781675</v>
      </c>
      <c r="H20" s="68" t="s">
        <v>2002</v>
      </c>
      <c r="J20" s="68" t="s">
        <v>2183</v>
      </c>
      <c r="K20" s="88">
        <f>K18-K19</f>
        <v>0</v>
      </c>
    </row>
    <row r="21" spans="1:11" ht="18.95" customHeight="1">
      <c r="A21" s="422">
        <f t="shared" si="1"/>
        <v>10</v>
      </c>
      <c r="B21" s="421" t="str">
        <f>'SCH B-3 B'!B$81</f>
        <v>365</v>
      </c>
      <c r="C21" s="78" t="s">
        <v>1670</v>
      </c>
      <c r="D21" s="396">
        <f>SUMIFS('FCPIS B'!$T$6:$T$901,'FCPIS B'!$G$6:$G$901,$J21,'FCPIS B'!$B$6:$B$901,"KY",'FCPIS B'!$D$6:$D$901,"AD",'FCPIS B'!$E$6:$E$901,$B21)*1000</f>
        <v>3002.6627134999999</v>
      </c>
      <c r="E21" s="397">
        <f>'SCH B-3 B'!F$81</f>
        <v>0.94001104582975414</v>
      </c>
      <c r="F21" s="396">
        <f t="shared" ref="F21:F24" si="3">D21*E21</f>
        <v>2822.5361175911421</v>
      </c>
      <c r="H21" s="68" t="s">
        <v>2002</v>
      </c>
      <c r="J21" s="68" t="s">
        <v>2183</v>
      </c>
      <c r="K21" s="88"/>
    </row>
    <row r="22" spans="1:11" ht="18.95" customHeight="1">
      <c r="A22" s="422">
        <f t="shared" si="1"/>
        <v>11</v>
      </c>
      <c r="B22" s="421" t="str">
        <f>'SCH B-3 B'!B$82</f>
        <v>366</v>
      </c>
      <c r="C22" s="78" t="s">
        <v>1672</v>
      </c>
      <c r="D22" s="396">
        <f>SUMIFS('FCPIS B'!$T$6:$T$901,'FCPIS B'!$G$6:$G$901,$J22,'FCPIS B'!$B$6:$B$901,"KY",'FCPIS B'!$D$6:$D$901,"AD",'FCPIS B'!$E$6:$E$901,$B22)*1000</f>
        <v>18840.289231999901</v>
      </c>
      <c r="E22" s="397">
        <f>'SCH B-3 B'!F$82</f>
        <v>1</v>
      </c>
      <c r="F22" s="396">
        <f t="shared" si="3"/>
        <v>18840.289231999901</v>
      </c>
      <c r="H22" s="68" t="s">
        <v>2002</v>
      </c>
      <c r="J22" s="68" t="s">
        <v>2183</v>
      </c>
    </row>
    <row r="23" spans="1:11" ht="18.95" customHeight="1">
      <c r="A23" s="497">
        <f t="shared" si="1"/>
        <v>12</v>
      </c>
      <c r="B23" s="421" t="str">
        <f>'SCH B-3 B'!B$83</f>
        <v>367</v>
      </c>
      <c r="C23" s="78" t="s">
        <v>1674</v>
      </c>
      <c r="D23" s="396">
        <f>SUMIFS('FCPIS B'!$T$6:$T$901,'FCPIS B'!$G$6:$G$901,$J23,'FCPIS B'!$B$6:$B$901,"KY",'FCPIS B'!$D$6:$D$901,"AD",'FCPIS B'!$E$6:$E$901,$B23)*1000</f>
        <v>136076.04174459999</v>
      </c>
      <c r="E23" s="397">
        <f>'SCH B-3 B'!F$83</f>
        <v>0.94001104582975414</v>
      </c>
      <c r="F23" s="396">
        <f t="shared" si="3"/>
        <v>127912.98231271472</v>
      </c>
      <c r="H23" s="68" t="s">
        <v>2002</v>
      </c>
      <c r="J23" s="68" t="s">
        <v>2183</v>
      </c>
      <c r="K23" s="419"/>
    </row>
    <row r="24" spans="1:11" ht="18.95" customHeight="1">
      <c r="A24" s="497">
        <f t="shared" si="1"/>
        <v>13</v>
      </c>
      <c r="B24" s="496">
        <v>370</v>
      </c>
      <c r="C24" s="67" t="s">
        <v>1690</v>
      </c>
      <c r="D24" s="396">
        <f>SUMIFS('FCPIS B'!$T$6:$T$901,'FCPIS B'!$G$6:$G$901,$J24,'FCPIS B'!$B$6:$B$901,"KY",'FCPIS B'!$D$6:$D$901,"AD",'FCPIS B'!$E$6:$E$901,$B24)*1000</f>
        <v>161829.76580200001</v>
      </c>
      <c r="E24" s="395">
        <v>1</v>
      </c>
      <c r="F24" s="396">
        <f t="shared" si="3"/>
        <v>161829.76580200001</v>
      </c>
      <c r="H24" s="68" t="s">
        <v>2003</v>
      </c>
      <c r="J24" s="68" t="s">
        <v>2185</v>
      </c>
      <c r="K24" s="419" t="s">
        <v>2185</v>
      </c>
    </row>
    <row r="25" spans="1:11" ht="18.95" customHeight="1">
      <c r="A25" s="497">
        <f t="shared" si="1"/>
        <v>14</v>
      </c>
      <c r="B25" s="389" t="str">
        <f>'SCH B-3 B'!B$89</f>
        <v>374</v>
      </c>
      <c r="C25" s="68" t="str">
        <f>'SCH B-3 B'!C$89</f>
        <v>ARO Cost Elec Distribution</v>
      </c>
      <c r="D25" s="396">
        <f>SUMIFS('FCPIS B'!$T$6:$T$901,'FCPIS B'!$G$6:$G$901,$J25,'FCPIS B'!$B$6:$B$901,"KY",'FCPIS B'!$D$6:$D$901,"AD",'FCPIS B'!$E$6:$E$901,$B25)*1000</f>
        <v>123218.49</v>
      </c>
      <c r="E25" s="397">
        <f>'SCH B-3 B'!F$89</f>
        <v>1</v>
      </c>
      <c r="F25" s="396">
        <f>D25*E25</f>
        <v>123218.49</v>
      </c>
      <c r="H25" s="68" t="s">
        <v>1417</v>
      </c>
      <c r="J25" s="68" t="s">
        <v>2184</v>
      </c>
      <c r="K25" s="396">
        <f>SUMIFS('FCPIS B'!$T$6:$T$901,'FCPIS B'!$G$6:$G$901,$K24,'FCPIS B'!$B$6:$B$901,"KY",'FCPIS B'!$D$6:$D$901,"AD")*1000</f>
        <v>2822503.9459919999</v>
      </c>
    </row>
    <row r="26" spans="1:11" ht="18.95" customHeight="1">
      <c r="A26" s="497">
        <f t="shared" si="1"/>
        <v>15</v>
      </c>
      <c r="B26" s="421" t="str">
        <f>'SCH B-3 B'!B$107</f>
        <v>392</v>
      </c>
      <c r="C26" s="67" t="s">
        <v>155</v>
      </c>
      <c r="D26" s="396">
        <f>SUMIFS('FCPIS B'!$T$6:$T$901,'FCPIS B'!$G$6:$G$901,$J26,'FCPIS B'!$B$6:$B$901,"KY",'FCPIS B'!$D$6:$D$901,"AD",'FCPIS B'!$E$6:$E$901,$B26)*1000</f>
        <v>19594.947627000001</v>
      </c>
      <c r="E26" s="395">
        <f>'SCH B-3 B'!F$107</f>
        <v>0.90848118081575657</v>
      </c>
      <c r="F26" s="396">
        <f t="shared" ref="F26" si="4">D26*E26</f>
        <v>17801.641158199869</v>
      </c>
      <c r="H26" s="68" t="s">
        <v>2002</v>
      </c>
      <c r="J26" s="68" t="s">
        <v>2183</v>
      </c>
      <c r="K26" s="88">
        <f>SUM(D27,D24)</f>
        <v>2822503.9459919999</v>
      </c>
    </row>
    <row r="27" spans="1:11" ht="18.95" customHeight="1">
      <c r="A27" s="497">
        <f t="shared" si="1"/>
        <v>16</v>
      </c>
      <c r="B27" s="421" t="str">
        <f>'SCH B-3 B'!B$112</f>
        <v>397</v>
      </c>
      <c r="C27" s="67" t="s">
        <v>157</v>
      </c>
      <c r="D27" s="396">
        <f>SUMIFS('FCPIS B'!$T$6:$T$901,'FCPIS B'!$G$6:$G$901,$J27,'FCPIS B'!$B$6:$B$901,"KY",'FCPIS B'!$D$6:$D$901,"AD",'FCPIS B'!$E$6:$E$901,$B27)*1000</f>
        <v>2660674.1801899998</v>
      </c>
      <c r="E27" s="395">
        <v>1</v>
      </c>
      <c r="F27" s="396">
        <f t="shared" ref="F27" si="5">D27*E27</f>
        <v>2660674.1801899998</v>
      </c>
      <c r="H27" s="68" t="s">
        <v>2003</v>
      </c>
      <c r="J27" s="68" t="s">
        <v>2185</v>
      </c>
      <c r="K27" s="88">
        <f>K25-K26</f>
        <v>0</v>
      </c>
    </row>
    <row r="28" spans="1:11" ht="18.95" customHeight="1">
      <c r="A28" s="291"/>
      <c r="B28" s="71"/>
      <c r="C28" s="67"/>
      <c r="D28" s="396"/>
      <c r="E28" s="395"/>
      <c r="F28" s="396"/>
      <c r="H28" s="147"/>
    </row>
    <row r="29" spans="1:11" ht="18.95" customHeight="1" thickBot="1">
      <c r="A29" s="291">
        <f>A27+1</f>
        <v>17</v>
      </c>
      <c r="B29" s="71"/>
      <c r="C29" s="67" t="s">
        <v>2022</v>
      </c>
      <c r="D29" s="394">
        <f>SUM(D12:D28)</f>
        <v>255066869.46095124</v>
      </c>
      <c r="E29" s="395"/>
      <c r="F29" s="394">
        <f>SUM(F12:F28)</f>
        <v>221153047.12224099</v>
      </c>
      <c r="H29" s="147"/>
    </row>
    <row r="30" spans="1:11" ht="18.95" customHeight="1" thickTop="1">
      <c r="A30" s="141"/>
      <c r="B30" s="71"/>
      <c r="C30" s="68"/>
      <c r="D30" s="88"/>
      <c r="E30" s="134"/>
      <c r="F30" s="88"/>
      <c r="H30" s="147"/>
    </row>
    <row r="31" spans="1:11" s="68" customFormat="1" ht="20.100000000000001" customHeight="1">
      <c r="A31" s="769" t="str">
        <f>$A$1</f>
        <v>KENTUCKY UTILITIES COMPANY</v>
      </c>
      <c r="B31" s="769"/>
      <c r="C31" s="769"/>
      <c r="D31" s="769"/>
      <c r="E31" s="769"/>
      <c r="F31" s="769"/>
      <c r="G31" s="769"/>
      <c r="H31" s="769"/>
    </row>
    <row r="32" spans="1:11" s="68" customFormat="1" ht="20.100000000000001" customHeight="1">
      <c r="A32" s="769" t="str">
        <f>$A$2</f>
        <v>CASE NO. 2018-00294 - RESPONSE TO PSC 2-65 (SLIPPAGE FACTOR 96.027%)</v>
      </c>
      <c r="B32" s="769"/>
      <c r="C32" s="769"/>
      <c r="D32" s="769"/>
      <c r="E32" s="769"/>
      <c r="F32" s="769"/>
      <c r="G32" s="769"/>
      <c r="H32" s="769"/>
    </row>
    <row r="33" spans="1:14" s="68" customFormat="1" ht="20.100000000000001" customHeight="1">
      <c r="A33" s="769" t="str">
        <f>$A$3</f>
        <v>ADJUSTMENTS TO ACCUMULATED DEPRECIATION AND AMORTIZATION</v>
      </c>
      <c r="B33" s="769"/>
      <c r="C33" s="769"/>
      <c r="D33" s="769"/>
      <c r="E33" s="769"/>
      <c r="F33" s="769"/>
      <c r="G33" s="769"/>
      <c r="H33" s="769"/>
    </row>
    <row r="34" spans="1:14" s="68" customFormat="1" ht="20.100000000000001" customHeight="1">
      <c r="A34" s="769" t="str">
        <f>'Rate Case Constants'!C18</f>
        <v>AS OF APRIL 30, 2020</v>
      </c>
      <c r="B34" s="769"/>
      <c r="C34" s="769"/>
      <c r="D34" s="769"/>
      <c r="E34" s="769"/>
      <c r="F34" s="769"/>
      <c r="G34" s="769"/>
      <c r="H34" s="769"/>
    </row>
    <row r="35" spans="1:14" s="68" customFormat="1" ht="20.100000000000001" customHeight="1">
      <c r="A35" s="84"/>
      <c r="B35" s="84"/>
      <c r="C35" s="84"/>
      <c r="D35" s="84"/>
      <c r="E35" s="84"/>
      <c r="F35" s="84"/>
      <c r="G35" s="84"/>
      <c r="H35" s="84"/>
    </row>
    <row r="36" spans="1:14" s="68" customFormat="1" ht="20.100000000000001" customHeight="1">
      <c r="A36" s="67" t="s">
        <v>161</v>
      </c>
      <c r="B36" s="67"/>
      <c r="G36" s="74"/>
      <c r="H36" s="74" t="s">
        <v>1206</v>
      </c>
    </row>
    <row r="37" spans="1:14" s="68" customFormat="1" ht="20.100000000000001" customHeight="1">
      <c r="A37" s="67" t="str">
        <f>$A$7</f>
        <v>TYPE OF FILING: __X__ ORIGINAL  _____ UPDATED  _____ REVISED</v>
      </c>
      <c r="G37" s="74"/>
      <c r="H37" s="74" t="s">
        <v>185</v>
      </c>
    </row>
    <row r="38" spans="1:14" s="68" customFormat="1" ht="20.100000000000001" customHeight="1">
      <c r="A38" s="67" t="str">
        <f>$A$8</f>
        <v>WORKPAPER REFERENCE NO(S).:</v>
      </c>
      <c r="B38" s="67"/>
      <c r="F38" s="67"/>
      <c r="G38" s="75"/>
      <c r="H38" s="75" t="str">
        <f>$H$8</f>
        <v>WITNESS:   C. M. GARRETT</v>
      </c>
    </row>
    <row r="39" spans="1:14" s="68" customFormat="1" ht="20.100000000000001" customHeight="1"/>
    <row r="40" spans="1:14" ht="58.5" customHeight="1">
      <c r="A40" s="76" t="s">
        <v>131</v>
      </c>
      <c r="B40" s="76" t="s">
        <v>134</v>
      </c>
      <c r="C40" s="79" t="s">
        <v>135</v>
      </c>
      <c r="D40" s="76" t="s">
        <v>216</v>
      </c>
      <c r="E40" s="76" t="s">
        <v>217</v>
      </c>
      <c r="F40" s="76" t="s">
        <v>218</v>
      </c>
      <c r="G40" s="76" t="s">
        <v>219</v>
      </c>
      <c r="H40" s="76" t="s">
        <v>220</v>
      </c>
      <c r="K40" s="418" t="s">
        <v>2186</v>
      </c>
    </row>
    <row r="41" spans="1:14" ht="23.1" customHeight="1">
      <c r="A41" s="80"/>
      <c r="B41" s="80"/>
      <c r="C41" s="81"/>
      <c r="D41" s="82" t="s">
        <v>142</v>
      </c>
      <c r="E41" s="82"/>
      <c r="F41" s="82" t="s">
        <v>142</v>
      </c>
      <c r="G41" s="82"/>
      <c r="H41" s="82"/>
    </row>
    <row r="42" spans="1:14" ht="18.95" customHeight="1">
      <c r="A42" s="283">
        <v>1</v>
      </c>
      <c r="B42" s="389" t="str">
        <f t="shared" ref="B42:B47" si="6">B12</f>
        <v>311</v>
      </c>
      <c r="C42" s="67" t="s">
        <v>148</v>
      </c>
      <c r="D42" s="396">
        <f>SUMIFS('FCPIS F'!$V$6:$V$901,'FCPIS F'!$G$6:$G$901,$J42,'FCPIS F'!$B$6:$B$901,"KY",'FCPIS F'!$D$6:$D$901,"AD",'FCPIS F'!$E$6:$E$901,$B42)*1000</f>
        <v>1656388.8042296977</v>
      </c>
      <c r="E42" s="395">
        <f>'SCH B-3 F'!F$21</f>
        <v>0.93287593565691607</v>
      </c>
      <c r="F42" s="396">
        <f t="shared" ref="F42:F44" si="7">D42*E42</f>
        <v>1545205.2555574195</v>
      </c>
      <c r="H42" s="68" t="s">
        <v>2002</v>
      </c>
      <c r="J42" s="68" t="s">
        <v>2183</v>
      </c>
      <c r="K42" s="419" t="s">
        <v>2183</v>
      </c>
    </row>
    <row r="43" spans="1:14" ht="18.95" customHeight="1">
      <c r="A43" s="283">
        <f t="shared" ref="A43:A57" si="8">A42+1</f>
        <v>2</v>
      </c>
      <c r="B43" s="421" t="str">
        <f t="shared" si="6"/>
        <v>312</v>
      </c>
      <c r="C43" s="67" t="s">
        <v>1629</v>
      </c>
      <c r="D43" s="396">
        <f>SUMIFS('FCPIS F'!$V$6:$V$901,'FCPIS F'!$G$6:$G$901,$J43,'FCPIS F'!$B$6:$B$901,"KY",'FCPIS F'!$D$6:$D$901,"AD",'FCPIS F'!$E$6:$E$901,$B43)*1000-'ECR Exclusion'!$AN$18</f>
        <v>157296639.86301976</v>
      </c>
      <c r="E43" s="395">
        <f>'SCH B-3 F'!F$22</f>
        <v>0.93287593565691607</v>
      </c>
      <c r="F43" s="396">
        <f t="shared" si="7"/>
        <v>146738250.08790353</v>
      </c>
      <c r="H43" s="68" t="s">
        <v>2002</v>
      </c>
      <c r="J43" s="68" t="s">
        <v>2183</v>
      </c>
      <c r="K43" s="396">
        <f>SUMIFS('FCPIS F'!$V$6:$V$901,'FCPIS F'!$G$6:$G$901,$K42,'FCPIS F'!$B$6:$B$901,"KY",'FCPIS F'!$D$6:$D$901,"AD")*1000</f>
        <v>162441582.24020422</v>
      </c>
      <c r="L43" s="88">
        <f>-'ECR Exclusion'!$AN$18</f>
        <v>-1449187.0529171675</v>
      </c>
      <c r="M43" s="88"/>
      <c r="N43" s="492">
        <f>SUM(K43:M43)</f>
        <v>160992395.18728703</v>
      </c>
    </row>
    <row r="44" spans="1:14" ht="18.95" customHeight="1">
      <c r="A44" s="283">
        <f t="shared" si="8"/>
        <v>3</v>
      </c>
      <c r="B44" s="421" t="str">
        <f t="shared" si="6"/>
        <v>315</v>
      </c>
      <c r="C44" s="67" t="s">
        <v>1633</v>
      </c>
      <c r="D44" s="396">
        <f>SUMIFS('FCPIS F'!$V$6:$V$901,'FCPIS F'!$G$6:$G$901,$J44,'FCPIS F'!$B$6:$B$901,"KY",'FCPIS F'!$D$6:$D$901,"AD",'FCPIS F'!$E$6:$E$901,$B44)*1000</f>
        <v>1780186.0099960344</v>
      </c>
      <c r="E44" s="395">
        <f>'SCH B-3 F'!F$25</f>
        <v>0.93287593565691607</v>
      </c>
      <c r="F44" s="396">
        <f t="shared" si="7"/>
        <v>1660692.6897184027</v>
      </c>
      <c r="H44" s="68" t="s">
        <v>2002</v>
      </c>
      <c r="J44" s="68" t="s">
        <v>2183</v>
      </c>
      <c r="K44" s="88">
        <f>SUM(D42:D45,D50:D53,D56)+'ECR Exclusion'!$AN$18</f>
        <v>162441582.24020427</v>
      </c>
      <c r="N44" s="492">
        <f>SUM(D42:D45,D50:D53,D56)</f>
        <v>160992395.18728709</v>
      </c>
    </row>
    <row r="45" spans="1:14" ht="18.95" customHeight="1">
      <c r="A45" s="422">
        <f t="shared" si="8"/>
        <v>4</v>
      </c>
      <c r="B45" s="421" t="str">
        <f t="shared" si="6"/>
        <v>316</v>
      </c>
      <c r="C45" s="67" t="s">
        <v>1633</v>
      </c>
      <c r="D45" s="396">
        <f>SUMIFS('FCPIS F'!$V$6:$V$901,'FCPIS F'!$G$6:$G$901,$J45,'FCPIS F'!$B$6:$B$901,"KY",'FCPIS F'!$D$6:$D$901,"AD",'FCPIS F'!$E$6:$E$901,$B45)*1000</f>
        <v>47323.592475999947</v>
      </c>
      <c r="E45" s="395">
        <f>'SCH B-3 F'!F$26</f>
        <v>0.93287593565691607</v>
      </c>
      <c r="F45" s="396">
        <f t="shared" ref="F45" si="9">D45*E45</f>
        <v>44147.040609695046</v>
      </c>
      <c r="H45" s="68" t="s">
        <v>2002</v>
      </c>
      <c r="J45" s="68" t="s">
        <v>2183</v>
      </c>
      <c r="K45" s="88">
        <f>K43-K44</f>
        <v>0</v>
      </c>
    </row>
    <row r="46" spans="1:14" ht="18.95" customHeight="1">
      <c r="A46" s="422">
        <f t="shared" si="8"/>
        <v>5</v>
      </c>
      <c r="B46" s="421" t="str">
        <f t="shared" si="6"/>
        <v>317</v>
      </c>
      <c r="C46" s="68" t="str">
        <f>'SCH B-3 F'!C$27</f>
        <v>ARO Cost Steam Production</v>
      </c>
      <c r="D46" s="396">
        <f>SUMIFS('FCPIS F'!$V$6:$V$901,'FCPIS F'!$G$6:$G$901,$J46,'FCPIS F'!$B$6:$B$901,"KY",'FCPIS F'!$D$6:$D$901,"AD",'FCPIS F'!$E$6:$E$901,$B46)*1000</f>
        <v>129629568.28234208</v>
      </c>
      <c r="E46" s="397">
        <f>'SCH B-3 F'!F$27</f>
        <v>0.93287593565691607</v>
      </c>
      <c r="F46" s="396">
        <f>D46*E46</f>
        <v>120928304.80019195</v>
      </c>
      <c r="H46" s="68" t="s">
        <v>1417</v>
      </c>
      <c r="J46" s="68" t="s">
        <v>2184</v>
      </c>
    </row>
    <row r="47" spans="1:14" ht="18.95" customHeight="1">
      <c r="A47" s="422">
        <f t="shared" si="8"/>
        <v>6</v>
      </c>
      <c r="B47" s="421" t="str">
        <f t="shared" si="6"/>
        <v>337</v>
      </c>
      <c r="C47" s="68" t="str">
        <f>'SCH B-3 F'!C$38</f>
        <v>ARO Cost Hydro Production</v>
      </c>
      <c r="D47" s="396">
        <f>SUMIFS('FCPIS F'!$V$6:$V$901,'FCPIS F'!$G$6:$G$901,$J47,'FCPIS F'!$B$6:$B$901,"KY",'FCPIS F'!$D$6:$D$901,"AD",'FCPIS F'!$E$6:$E$901,$B47)*1000</f>
        <v>69392.557494326596</v>
      </c>
      <c r="E47" s="397">
        <f>'SCH B-3 F'!F$38</f>
        <v>0.93710143663356305</v>
      </c>
      <c r="F47" s="396">
        <f>D47*E47</f>
        <v>65027.865319610573</v>
      </c>
      <c r="H47" s="68" t="s">
        <v>1417</v>
      </c>
      <c r="J47" s="68" t="s">
        <v>2184</v>
      </c>
      <c r="K47" s="419" t="s">
        <v>2184</v>
      </c>
    </row>
    <row r="48" spans="1:14" ht="18.95" customHeight="1">
      <c r="A48" s="422">
        <f t="shared" si="8"/>
        <v>7</v>
      </c>
      <c r="B48" s="421" t="str">
        <f>'SCH B-3 F'!B$61</f>
        <v>347</v>
      </c>
      <c r="C48" s="68" t="str">
        <f>'SCH B-3 F'!C$61</f>
        <v>ARO Cost Other Production</v>
      </c>
      <c r="D48" s="396">
        <f>SUMIFS('FCPIS F'!$V$6:$V$901,'FCPIS F'!$G$6:$G$901,$J48,'FCPIS F'!$B$6:$B$901,"KY",'FCPIS F'!$D$6:$D$901,"AD",'FCPIS F'!$E$6:$E$901,$B48)*1000</f>
        <v>89200.422122973207</v>
      </c>
      <c r="E48" s="397">
        <f>'SCH B-3 F'!F$61</f>
        <v>0.93663848914958692</v>
      </c>
      <c r="F48" s="396">
        <f>D48*E48</f>
        <v>83548.548608767014</v>
      </c>
      <c r="H48" s="68" t="s">
        <v>1417</v>
      </c>
      <c r="J48" s="68" t="s">
        <v>2184</v>
      </c>
      <c r="K48" s="396">
        <f>SUMIFS('FCPIS F'!$V$6:$V$901,'FCPIS F'!$G$6:$G$901,$K47,'FCPIS F'!$B$6:$B$901,"KY",'FCPIS F'!$D$6:$D$901,"AD")*1000</f>
        <v>130025568.65615389</v>
      </c>
    </row>
    <row r="49" spans="1:11" ht="18.95" customHeight="1">
      <c r="A49" s="422">
        <f t="shared" si="8"/>
        <v>8</v>
      </c>
      <c r="B49" s="421" t="str">
        <f>B19</f>
        <v>359</v>
      </c>
      <c r="C49" s="68" t="str">
        <f>'SCH B-3 F'!C$73</f>
        <v>ARO Cost Elec Transmission</v>
      </c>
      <c r="D49" s="396">
        <f>SUMIFS('FCPIS F'!$V$6:$V$901,'FCPIS F'!$G$6:$G$901,$J49,'FCPIS F'!$B$6:$B$901,"KY",'FCPIS F'!$D$6:$D$901,"AD",'FCPIS F'!$E$6:$E$901,$B49)*1000</f>
        <v>106084.96225518781</v>
      </c>
      <c r="E49" s="397">
        <f>'SCH B-3 F'!F$73</f>
        <v>0.87743243390818815</v>
      </c>
      <c r="F49" s="396">
        <f>D49*E49</f>
        <v>93082.38663262772</v>
      </c>
      <c r="H49" s="68" t="s">
        <v>1417</v>
      </c>
      <c r="J49" s="68" t="s">
        <v>2184</v>
      </c>
      <c r="K49" s="88">
        <f>SUM(D46:D49,D55)</f>
        <v>130025568.65615389</v>
      </c>
    </row>
    <row r="50" spans="1:11" ht="18.95" customHeight="1">
      <c r="A50" s="422">
        <f t="shared" si="8"/>
        <v>9</v>
      </c>
      <c r="B50" s="421" t="str">
        <f>B20</f>
        <v>364</v>
      </c>
      <c r="C50" s="78" t="s">
        <v>1681</v>
      </c>
      <c r="D50" s="396">
        <f>SUMIFS('FCPIS F'!$V$6:$V$901,'FCPIS F'!$G$6:$G$901,$J50,'FCPIS F'!$B$6:$B$901,"KY",'FCPIS F'!$D$6:$D$901,"AD",'FCPIS F'!$E$6:$E$901,$B50)*1000</f>
        <v>3378.79071999999</v>
      </c>
      <c r="E50" s="397">
        <f>'SCH B-3 F'!F$80</f>
        <v>0.9394207525098649</v>
      </c>
      <c r="F50" s="396">
        <f t="shared" ref="F50:F54" si="10">D50*E50</f>
        <v>3174.1061207557386</v>
      </c>
      <c r="H50" s="68" t="s">
        <v>2002</v>
      </c>
      <c r="J50" s="68" t="s">
        <v>2183</v>
      </c>
      <c r="K50" s="88">
        <f>K48-K49</f>
        <v>0</v>
      </c>
    </row>
    <row r="51" spans="1:11" ht="18.95" customHeight="1">
      <c r="A51" s="422">
        <f t="shared" si="8"/>
        <v>10</v>
      </c>
      <c r="B51" s="421" t="str">
        <f>B21</f>
        <v>365</v>
      </c>
      <c r="C51" s="78" t="s">
        <v>1670</v>
      </c>
      <c r="D51" s="396">
        <f>SUMIFS('FCPIS F'!$V$6:$V$901,'FCPIS F'!$G$6:$G$901,$J51,'FCPIS F'!$B$6:$B$901,"KY",'FCPIS F'!$D$6:$D$901,"AD",'FCPIS F'!$E$6:$E$901,$B51)*1000</f>
        <v>3488.4172360000007</v>
      </c>
      <c r="E51" s="397">
        <f>'SCH B-3 F'!F$81</f>
        <v>0.9394207525098649</v>
      </c>
      <c r="F51" s="396">
        <f t="shared" si="10"/>
        <v>3277.0915449115037</v>
      </c>
      <c r="H51" s="68" t="s">
        <v>2002</v>
      </c>
      <c r="J51" s="68" t="s">
        <v>2183</v>
      </c>
      <c r="K51" s="88"/>
    </row>
    <row r="52" spans="1:11" ht="18.95" customHeight="1">
      <c r="A52" s="422">
        <f t="shared" si="8"/>
        <v>11</v>
      </c>
      <c r="B52" s="421" t="str">
        <f>B22</f>
        <v>366</v>
      </c>
      <c r="C52" s="78" t="s">
        <v>1672</v>
      </c>
      <c r="D52" s="396">
        <f>SUMIFS('FCPIS F'!$V$6:$V$901,'FCPIS F'!$G$6:$G$901,$J52,'FCPIS F'!$B$6:$B$901,"KY",'FCPIS F'!$D$6:$D$901,"AD",'FCPIS F'!$E$6:$E$901,$B52)*1000</f>
        <v>22146.3379519999</v>
      </c>
      <c r="E52" s="397">
        <f>'SCH B-3 F'!F$82</f>
        <v>1</v>
      </c>
      <c r="F52" s="396">
        <f t="shared" si="10"/>
        <v>22146.3379519999</v>
      </c>
      <c r="H52" s="68" t="s">
        <v>2002</v>
      </c>
      <c r="J52" s="68" t="s">
        <v>2183</v>
      </c>
    </row>
    <row r="53" spans="1:11" ht="18.95" customHeight="1">
      <c r="A53" s="638">
        <f t="shared" si="8"/>
        <v>12</v>
      </c>
      <c r="B53" s="421" t="str">
        <f>B23</f>
        <v>367</v>
      </c>
      <c r="C53" s="78" t="s">
        <v>1674</v>
      </c>
      <c r="D53" s="396">
        <f>SUMIFS('FCPIS F'!$V$6:$V$901,'FCPIS F'!$G$6:$G$901,$J53,'FCPIS F'!$B$6:$B$901,"KY",'FCPIS F'!$D$6:$D$901,"AD",'FCPIS F'!$E$6:$E$901,$B53)*1000</f>
        <v>162929.8779856</v>
      </c>
      <c r="E53" s="397">
        <f>'SCH B-3 F'!F$83</f>
        <v>0.9394207525098649</v>
      </c>
      <c r="F53" s="396">
        <f t="shared" si="10"/>
        <v>153059.70858357282</v>
      </c>
      <c r="H53" s="68" t="s">
        <v>2002</v>
      </c>
      <c r="J53" s="68" t="s">
        <v>2183</v>
      </c>
      <c r="K53" s="419"/>
    </row>
    <row r="54" spans="1:11" ht="18.95" customHeight="1">
      <c r="A54" s="638">
        <f t="shared" si="8"/>
        <v>13</v>
      </c>
      <c r="B54" s="637">
        <v>370</v>
      </c>
      <c r="C54" s="67" t="s">
        <v>1690</v>
      </c>
      <c r="D54" s="396">
        <f>SUMIFS('FCPIS F'!$V$6:$V$901,'FCPIS F'!$G$6:$G$901,$J54,'FCPIS F'!$B$6:$B$901,"KY",'FCPIS F'!$D$6:$D$901,"AD",'FCPIS F'!$E$6:$E$901,$B54)*1000</f>
        <v>237826.72547200002</v>
      </c>
      <c r="E54" s="395">
        <v>1</v>
      </c>
      <c r="F54" s="396">
        <f t="shared" si="10"/>
        <v>237826.72547200002</v>
      </c>
      <c r="H54" s="68" t="s">
        <v>2003</v>
      </c>
      <c r="J54" s="68" t="s">
        <v>2185</v>
      </c>
      <c r="K54" s="419" t="s">
        <v>2185</v>
      </c>
    </row>
    <row r="55" spans="1:11" ht="18.95" customHeight="1">
      <c r="A55" s="638">
        <f t="shared" si="8"/>
        <v>14</v>
      </c>
      <c r="B55" s="421" t="str">
        <f>B25</f>
        <v>374</v>
      </c>
      <c r="C55" s="68" t="str">
        <f>'SCH B-3 F'!C$89</f>
        <v>ARO Cost Elec Distribution</v>
      </c>
      <c r="D55" s="396">
        <f>SUMIFS('FCPIS F'!$V$6:$V$901,'FCPIS F'!$G$6:$G$901,$J55,'FCPIS F'!$B$6:$B$901,"KY",'FCPIS F'!$D$6:$D$901,"AD",'FCPIS F'!$E$6:$E$901,$B55)*1000</f>
        <v>131322.43193931569</v>
      </c>
      <c r="E55" s="397">
        <f>'SCH B-3 F'!F$89</f>
        <v>1</v>
      </c>
      <c r="F55" s="396">
        <f>D55*E55</f>
        <v>131322.43193931569</v>
      </c>
      <c r="H55" s="68" t="s">
        <v>1417</v>
      </c>
      <c r="J55" s="68" t="s">
        <v>2184</v>
      </c>
      <c r="K55" s="396">
        <f>SUMIFS('FCPIS F'!$V$6:$V$901,'FCPIS F'!$G$6:$G$901,$K54,'FCPIS F'!$B$6:$B$901,"KY",'FCPIS F'!$D$6:$D$901,"AD")*1000</f>
        <v>3824710.2646619915</v>
      </c>
    </row>
    <row r="56" spans="1:11" ht="18.95" customHeight="1">
      <c r="A56" s="638">
        <f t="shared" si="8"/>
        <v>15</v>
      </c>
      <c r="B56" s="421" t="str">
        <f>B26</f>
        <v>392</v>
      </c>
      <c r="C56" s="67" t="s">
        <v>155</v>
      </c>
      <c r="D56" s="396">
        <f>SUMIFS('FCPIS F'!$V$6:$V$901,'FCPIS F'!$G$6:$G$901,$J56,'FCPIS F'!$B$6:$B$901,"KY",'FCPIS F'!$D$6:$D$901,"AD",'FCPIS F'!$E$6:$E$901,$B56)*1000</f>
        <v>19913.493672000001</v>
      </c>
      <c r="E56" s="395">
        <f>'SCH B-3 F'!F$107</f>
        <v>0.9427566048965903</v>
      </c>
      <c r="F56" s="396">
        <f t="shared" ref="F56:F57" si="11">D56*E56</f>
        <v>18773.577685844455</v>
      </c>
      <c r="H56" s="68" t="s">
        <v>2002</v>
      </c>
      <c r="J56" s="68" t="s">
        <v>2183</v>
      </c>
      <c r="K56" s="88">
        <f>SUM(D57,D54)</f>
        <v>3824710.2646619915</v>
      </c>
    </row>
    <row r="57" spans="1:11" ht="18.95" customHeight="1">
      <c r="A57" s="638">
        <f t="shared" si="8"/>
        <v>16</v>
      </c>
      <c r="B57" s="421" t="str">
        <f>B27</f>
        <v>397</v>
      </c>
      <c r="C57" s="67" t="s">
        <v>157</v>
      </c>
      <c r="D57" s="396">
        <f>SUMIFS('FCPIS F'!$V$6:$V$901,'FCPIS F'!$G$6:$G$901,$J57,'FCPIS F'!$B$6:$B$901,"KY",'FCPIS F'!$D$6:$D$901,"AD",'FCPIS F'!$E$6:$E$901,$B57)*1000</f>
        <v>3586883.5391899915</v>
      </c>
      <c r="E57" s="395">
        <v>1</v>
      </c>
      <c r="F57" s="396">
        <f t="shared" si="11"/>
        <v>3586883.5391899915</v>
      </c>
      <c r="H57" s="68" t="s">
        <v>2003</v>
      </c>
      <c r="J57" s="68" t="s">
        <v>2185</v>
      </c>
      <c r="K57" s="88">
        <f>K55-K56</f>
        <v>0</v>
      </c>
    </row>
    <row r="58" spans="1:11" ht="18.95" customHeight="1">
      <c r="A58" s="291"/>
      <c r="B58" s="71"/>
      <c r="C58" s="67"/>
      <c r="D58" s="396"/>
      <c r="E58" s="395"/>
      <c r="F58" s="396"/>
      <c r="H58" s="147"/>
    </row>
    <row r="59" spans="1:11" ht="18.95" customHeight="1" thickBot="1">
      <c r="A59" s="291">
        <f>A57+1</f>
        <v>17</v>
      </c>
      <c r="B59" s="71"/>
      <c r="C59" s="67" t="s">
        <v>2022</v>
      </c>
      <c r="D59" s="394">
        <f>SUM(D42:D58)</f>
        <v>294842674.10810292</v>
      </c>
      <c r="E59" s="395"/>
      <c r="F59" s="394">
        <f>SUM(F42:F58)</f>
        <v>275314722.19303042</v>
      </c>
      <c r="H59" s="147"/>
    </row>
    <row r="60" spans="1:11" ht="18.95" customHeight="1" thickTop="1"/>
    <row r="61" spans="1:11" ht="18.95" customHeight="1"/>
    <row r="62" spans="1:11" ht="18.95" customHeight="1"/>
    <row r="63" spans="1:11" ht="18.95" customHeight="1"/>
    <row r="64" spans="1:11" ht="18.95" customHeight="1"/>
    <row r="65" ht="18.95" customHeight="1"/>
    <row r="66" ht="18.95" customHeight="1"/>
    <row r="67" ht="18.95" customHeight="1"/>
    <row r="68" ht="18.95" customHeight="1"/>
    <row r="69" ht="18.95" customHeight="1"/>
    <row r="70" ht="18.95" customHeight="1"/>
    <row r="71" ht="18.95" customHeight="1"/>
  </sheetData>
  <mergeCells count="8">
    <mergeCell ref="A33:H33"/>
    <mergeCell ref="A34:H34"/>
    <mergeCell ref="A3:I3"/>
    <mergeCell ref="A1:H1"/>
    <mergeCell ref="A2:H2"/>
    <mergeCell ref="A4:H4"/>
    <mergeCell ref="A31:H31"/>
    <mergeCell ref="A32:H32"/>
  </mergeCells>
  <pageMargins left="0.95" right="0.5" top="0.75" bottom="0.75" header="0.3" footer="0.3"/>
  <pageSetup scale="65" fitToHeight="0" orientation="portrait"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V53"/>
  <sheetViews>
    <sheetView showGridLines="0" zoomScale="55" zoomScaleNormal="55" zoomScaleSheetLayoutView="75" workbookViewId="0">
      <selection activeCell="L28" sqref="L28"/>
    </sheetView>
  </sheetViews>
  <sheetFormatPr defaultColWidth="9" defaultRowHeight="15.75"/>
  <cols>
    <col min="1" max="1" width="4.21875" style="301" bestFit="1" customWidth="1"/>
    <col min="2" max="2" width="53" style="302" customWidth="1"/>
    <col min="3" max="3" width="1.6640625" style="303" customWidth="1"/>
    <col min="4" max="4" width="18.6640625" style="302" customWidth="1"/>
    <col min="5" max="5" width="1.6640625" style="303" customWidth="1"/>
    <col min="6" max="6" width="18.6640625" style="302" customWidth="1"/>
    <col min="7" max="7" width="1.6640625" style="303" customWidth="1"/>
    <col min="8" max="8" width="16.6640625" style="302" customWidth="1"/>
    <col min="9" max="9" width="1.6640625" style="303" customWidth="1"/>
    <col min="10" max="10" width="16.6640625" style="302" customWidth="1"/>
    <col min="11" max="11" width="1.6640625" style="303" customWidth="1"/>
    <col min="12" max="12" width="16.6640625" style="302" customWidth="1"/>
    <col min="13" max="13" width="1.6640625" style="303" customWidth="1"/>
    <col min="14" max="14" width="18.6640625" style="302" customWidth="1"/>
    <col min="15" max="15" width="1.6640625" style="303" customWidth="1"/>
    <col min="16" max="16" width="18.6640625" style="302" customWidth="1"/>
    <col min="17" max="17" width="1.6640625" style="303" customWidth="1"/>
    <col min="18" max="18" width="18.6640625" style="302" customWidth="1"/>
    <col min="19" max="19" width="9.44140625" style="305" bestFit="1" customWidth="1"/>
    <col min="20" max="20" width="18.109375" style="302" customWidth="1"/>
    <col min="21" max="21" width="10.6640625" style="302" bestFit="1" customWidth="1"/>
    <col min="22" max="22" width="15.33203125" style="302" bestFit="1" customWidth="1"/>
    <col min="23" max="16384" width="9" style="302"/>
  </cols>
  <sheetData>
    <row r="1" spans="1:22">
      <c r="B1" s="370" t="s">
        <v>161</v>
      </c>
      <c r="R1" s="367" t="s">
        <v>2061</v>
      </c>
    </row>
    <row r="2" spans="1:22">
      <c r="B2" s="371" t="str">
        <f>'Rate Case Constants'!C29</f>
        <v>TYPE OF FILING: __X__ ORIGINAL  _____ UPDATED  _____ REVISED</v>
      </c>
      <c r="R2" s="368" t="str">
        <f>'Rate Case Constants'!C38</f>
        <v>WITNESS:   C. M. GARRETT</v>
      </c>
      <c r="T2" s="304"/>
    </row>
    <row r="3" spans="1:22">
      <c r="R3" s="369" t="s">
        <v>185</v>
      </c>
    </row>
    <row r="5" spans="1:22">
      <c r="A5" s="762" t="str">
        <f>'Rate Case Constants'!C9</f>
        <v>KENTUCKY UTILITIES COMPANY</v>
      </c>
      <c r="B5" s="762"/>
      <c r="C5" s="762"/>
      <c r="D5" s="762"/>
      <c r="E5" s="762"/>
      <c r="F5" s="762"/>
      <c r="G5" s="762"/>
      <c r="H5" s="762"/>
      <c r="I5" s="762"/>
      <c r="J5" s="762"/>
      <c r="K5" s="762"/>
      <c r="L5" s="762"/>
      <c r="M5" s="762"/>
      <c r="N5" s="762"/>
      <c r="O5" s="762"/>
      <c r="P5" s="762"/>
      <c r="Q5" s="762"/>
      <c r="R5" s="762"/>
    </row>
    <row r="7" spans="1:22">
      <c r="A7" s="762" t="s">
        <v>2469</v>
      </c>
      <c r="B7" s="762"/>
      <c r="C7" s="762"/>
      <c r="D7" s="762"/>
      <c r="E7" s="762"/>
      <c r="F7" s="762"/>
      <c r="G7" s="762"/>
      <c r="H7" s="762"/>
      <c r="I7" s="762"/>
      <c r="J7" s="762"/>
      <c r="K7" s="762"/>
      <c r="L7" s="762"/>
      <c r="M7" s="762"/>
      <c r="N7" s="762"/>
      <c r="O7" s="762"/>
      <c r="P7" s="762"/>
      <c r="Q7" s="762"/>
      <c r="R7" s="762"/>
    </row>
    <row r="8" spans="1:22">
      <c r="A8" s="764"/>
      <c r="B8" s="764"/>
      <c r="C8" s="764"/>
      <c r="D8" s="764"/>
      <c r="E8" s="764"/>
      <c r="F8" s="764"/>
      <c r="G8" s="764"/>
      <c r="H8" s="764"/>
      <c r="I8" s="764"/>
      <c r="J8" s="764"/>
      <c r="K8" s="764"/>
      <c r="L8" s="764"/>
      <c r="M8" s="764"/>
      <c r="N8" s="764"/>
      <c r="O8" s="764"/>
      <c r="P8" s="764"/>
      <c r="Q8" s="764"/>
      <c r="R8" s="764"/>
    </row>
    <row r="9" spans="1:22">
      <c r="A9" s="765" t="s">
        <v>2091</v>
      </c>
      <c r="B9" s="765"/>
      <c r="C9" s="765"/>
      <c r="D9" s="765"/>
      <c r="E9" s="765"/>
      <c r="F9" s="765"/>
      <c r="G9" s="765"/>
      <c r="H9" s="765"/>
      <c r="I9" s="765"/>
      <c r="J9" s="765"/>
      <c r="K9" s="765"/>
      <c r="L9" s="765"/>
      <c r="M9" s="765"/>
      <c r="N9" s="765"/>
      <c r="O9" s="765"/>
      <c r="P9" s="765"/>
      <c r="Q9" s="765"/>
      <c r="R9" s="765"/>
    </row>
    <row r="10" spans="1:22">
      <c r="A10" s="306"/>
    </row>
    <row r="11" spans="1:22">
      <c r="A11" s="306"/>
      <c r="B11" s="307"/>
      <c r="C11" s="308"/>
      <c r="D11" s="309"/>
      <c r="E11" s="308"/>
      <c r="F11" s="307"/>
      <c r="G11" s="308"/>
      <c r="H11" s="307"/>
      <c r="I11" s="308"/>
      <c r="J11" s="307"/>
      <c r="K11" s="308"/>
      <c r="L11" s="307"/>
      <c r="M11" s="308"/>
      <c r="N11" s="307"/>
      <c r="O11" s="308"/>
      <c r="P11" s="307"/>
      <c r="Q11" s="308"/>
      <c r="R11" s="307"/>
    </row>
    <row r="12" spans="1:22">
      <c r="A12" s="306"/>
      <c r="B12" s="310"/>
      <c r="L12" s="312" t="s">
        <v>2023</v>
      </c>
      <c r="N12" s="312" t="s">
        <v>2023</v>
      </c>
    </row>
    <row r="13" spans="1:22">
      <c r="A13" s="306"/>
      <c r="B13" s="307"/>
      <c r="C13" s="308"/>
      <c r="D13" s="311" t="s">
        <v>2023</v>
      </c>
      <c r="E13" s="308"/>
      <c r="F13" s="311" t="s">
        <v>2023</v>
      </c>
      <c r="G13" s="308"/>
      <c r="H13" s="312" t="s">
        <v>2023</v>
      </c>
      <c r="I13" s="308"/>
      <c r="J13" s="312" t="s">
        <v>2023</v>
      </c>
      <c r="K13" s="308"/>
      <c r="L13" s="312" t="s">
        <v>2026</v>
      </c>
      <c r="M13" s="308"/>
      <c r="N13" s="312" t="s">
        <v>2026</v>
      </c>
      <c r="O13" s="308"/>
      <c r="P13" s="311" t="s">
        <v>2024</v>
      </c>
      <c r="Q13" s="308"/>
      <c r="R13" s="311" t="s">
        <v>2025</v>
      </c>
    </row>
    <row r="14" spans="1:22">
      <c r="A14" s="306"/>
      <c r="B14" s="307"/>
      <c r="C14" s="308"/>
      <c r="D14" s="311" t="s">
        <v>2026</v>
      </c>
      <c r="E14" s="308"/>
      <c r="F14" s="311" t="s">
        <v>2026</v>
      </c>
      <c r="G14" s="308"/>
      <c r="H14" s="312" t="s">
        <v>2026</v>
      </c>
      <c r="I14" s="308"/>
      <c r="J14" s="312" t="s">
        <v>2026</v>
      </c>
      <c r="K14" s="308"/>
      <c r="L14" s="313" t="s">
        <v>2056</v>
      </c>
      <c r="M14" s="308"/>
      <c r="N14" s="313" t="s">
        <v>2056</v>
      </c>
      <c r="O14" s="308"/>
      <c r="P14" s="311" t="s">
        <v>2026</v>
      </c>
      <c r="Q14" s="308"/>
      <c r="R14" s="311" t="s">
        <v>2027</v>
      </c>
    </row>
    <row r="15" spans="1:22">
      <c r="A15" s="306"/>
      <c r="B15" s="307" t="s">
        <v>2028</v>
      </c>
      <c r="C15" s="308"/>
      <c r="D15" s="313" t="s">
        <v>2029</v>
      </c>
      <c r="E15" s="308"/>
      <c r="F15" s="313" t="s">
        <v>2030</v>
      </c>
      <c r="G15" s="308"/>
      <c r="H15" s="313" t="s">
        <v>2054</v>
      </c>
      <c r="I15" s="308"/>
      <c r="J15" s="313" t="s">
        <v>2055</v>
      </c>
      <c r="K15" s="308"/>
      <c r="L15" s="313" t="s">
        <v>9</v>
      </c>
      <c r="M15" s="308"/>
      <c r="N15" s="313" t="s">
        <v>2031</v>
      </c>
      <c r="O15" s="308"/>
      <c r="P15" s="313" t="s">
        <v>2032</v>
      </c>
      <c r="Q15" s="308"/>
      <c r="R15" s="313" t="s">
        <v>2032</v>
      </c>
    </row>
    <row r="16" spans="1:22">
      <c r="A16" s="306"/>
      <c r="B16" s="314">
        <v>-1</v>
      </c>
      <c r="C16" s="308"/>
      <c r="D16" s="315">
        <v>-2</v>
      </c>
      <c r="E16" s="308"/>
      <c r="F16" s="314">
        <v>-3</v>
      </c>
      <c r="G16" s="308"/>
      <c r="H16" s="314">
        <v>-4</v>
      </c>
      <c r="I16" s="308"/>
      <c r="J16" s="314">
        <v>-5</v>
      </c>
      <c r="K16" s="308"/>
      <c r="L16" s="314">
        <v>-6</v>
      </c>
      <c r="M16" s="308"/>
      <c r="N16" s="314">
        <v>-7</v>
      </c>
      <c r="O16" s="308"/>
      <c r="P16" s="314">
        <v>-8</v>
      </c>
      <c r="Q16" s="308"/>
      <c r="R16" s="314">
        <v>-9</v>
      </c>
      <c r="T16" s="316"/>
      <c r="U16" s="303"/>
      <c r="V16" s="303"/>
    </row>
    <row r="17" spans="1:22">
      <c r="A17" s="306"/>
      <c r="B17" s="307"/>
      <c r="C17" s="308"/>
      <c r="D17" s="307"/>
      <c r="E17" s="308"/>
      <c r="F17" s="311"/>
      <c r="G17" s="308"/>
      <c r="H17" s="307"/>
      <c r="I17" s="308"/>
      <c r="J17" s="307"/>
      <c r="K17" s="308"/>
      <c r="L17" s="307"/>
      <c r="M17" s="308"/>
      <c r="N17" s="313" t="s">
        <v>2058</v>
      </c>
      <c r="O17" s="308"/>
      <c r="P17" s="307"/>
      <c r="Q17" s="308"/>
      <c r="R17" s="307" t="s">
        <v>2057</v>
      </c>
      <c r="T17" s="303"/>
      <c r="U17" s="303"/>
      <c r="V17" s="303"/>
    </row>
    <row r="18" spans="1:22" ht="21" customHeight="1">
      <c r="A18" s="317">
        <f>1</f>
        <v>1</v>
      </c>
      <c r="B18" s="318" t="s">
        <v>2033</v>
      </c>
      <c r="C18" s="319"/>
      <c r="D18" s="321">
        <f>'SCH B-2'!E55+SUM('SCH B-2.6'!G34:G39)+'SCH B-4'!H47</f>
        <v>9625864261.7628422</v>
      </c>
      <c r="E18" s="320"/>
      <c r="F18" s="321">
        <f>SUM('SCH B-2.2'!F43:F47,'SCH B-2.2'!F52:F55,'SCH B-2.2'!F58,'SCH B-4.1'!E30)*-1</f>
        <v>1614464135.4984448</v>
      </c>
      <c r="G18" s="320"/>
      <c r="H18" s="321">
        <f>SUM('SCH B-2.2'!F59+'SCH B-2.2'!F56)*-1</f>
        <v>9302786.7492307685</v>
      </c>
      <c r="I18" s="320"/>
      <c r="J18" s="321">
        <f>SUM('SCH B-2.2'!F48:F51,'SCH B-2.2'!F57)*-1</f>
        <v>169323625.11020941</v>
      </c>
      <c r="K18" s="320"/>
      <c r="L18" s="321">
        <v>0</v>
      </c>
      <c r="M18" s="320"/>
      <c r="N18" s="321">
        <f>D18-SUM(F18:L18)</f>
        <v>7832773714.4049568</v>
      </c>
      <c r="O18" s="320"/>
      <c r="P18" s="321">
        <f>R18-D18</f>
        <v>669779934.16156578</v>
      </c>
      <c r="Q18" s="320"/>
      <c r="R18" s="321">
        <f>SUM('SCH B-2.1 F'!D113+SUM('SCH B-2.6'!D34:D39)+'SCH B-4'!F47)</f>
        <v>10295644195.924408</v>
      </c>
      <c r="T18" s="303"/>
      <c r="U18" s="303"/>
      <c r="V18" s="322"/>
    </row>
    <row r="19" spans="1:22" ht="13.5" customHeight="1">
      <c r="A19" s="306"/>
      <c r="B19" s="318"/>
      <c r="C19" s="319"/>
      <c r="D19" s="323"/>
      <c r="E19" s="320"/>
      <c r="F19" s="323"/>
      <c r="G19" s="320"/>
      <c r="H19" s="323"/>
      <c r="I19" s="320"/>
      <c r="J19" s="323"/>
      <c r="K19" s="320"/>
      <c r="L19" s="323"/>
      <c r="M19" s="320"/>
      <c r="N19" s="323"/>
      <c r="O19" s="320"/>
      <c r="P19" s="323"/>
      <c r="Q19" s="320"/>
      <c r="R19" s="323"/>
      <c r="T19" s="303"/>
      <c r="U19" s="303"/>
      <c r="V19" s="303"/>
    </row>
    <row r="20" spans="1:22" ht="21" customHeight="1">
      <c r="A20" s="317">
        <f>1+A18</f>
        <v>2</v>
      </c>
      <c r="B20" s="318" t="s">
        <v>2034</v>
      </c>
      <c r="C20" s="319"/>
      <c r="D20" s="323"/>
      <c r="E20" s="320"/>
      <c r="F20" s="323"/>
      <c r="G20" s="320"/>
      <c r="H20" s="323"/>
      <c r="I20" s="320"/>
      <c r="J20" s="323"/>
      <c r="K20" s="320"/>
      <c r="L20" s="323"/>
      <c r="M20" s="320"/>
      <c r="N20" s="323"/>
      <c r="O20" s="320"/>
      <c r="P20" s="323"/>
      <c r="Q20" s="320"/>
      <c r="R20" s="323"/>
      <c r="T20" s="303"/>
      <c r="U20" s="303"/>
      <c r="V20" s="303"/>
    </row>
    <row r="21" spans="1:22" ht="21" customHeight="1">
      <c r="A21" s="317">
        <f>1+A20</f>
        <v>3</v>
      </c>
      <c r="B21" s="318" t="s">
        <v>2035</v>
      </c>
      <c r="C21" s="319"/>
      <c r="D21" s="323">
        <f>-'SCH B-3 F'!G116</f>
        <v>3251097364.7086844</v>
      </c>
      <c r="E21" s="320"/>
      <c r="F21" s="323">
        <f>SUM('SCH B-3.1'!F42:F45,'SCH B-3.1'!F50:F53,'SCH B-3.1'!F56)</f>
        <v>150188725.89567611</v>
      </c>
      <c r="G21" s="320"/>
      <c r="H21" s="323">
        <f>SUM('SCH B-3.1'!F57+'SCH B-3.1'!F54)</f>
        <v>3824710.2646619915</v>
      </c>
      <c r="I21" s="320"/>
      <c r="J21" s="323">
        <f>SUM('SCH B-3.1'!F46:F49,'SCH B-3.1'!F55)</f>
        <v>121301286.03269227</v>
      </c>
      <c r="K21" s="320"/>
      <c r="L21" s="323">
        <v>0</v>
      </c>
      <c r="M21" s="320"/>
      <c r="N21" s="323">
        <f>D21-SUM(F21:L21)</f>
        <v>2975782642.5156541</v>
      </c>
      <c r="O21" s="320"/>
      <c r="P21" s="323">
        <f>R21-D21</f>
        <v>247931724.05139685</v>
      </c>
      <c r="Q21" s="320"/>
      <c r="R21" s="323">
        <f>-'SCH B-3 F'!E116</f>
        <v>3499029088.7600813</v>
      </c>
      <c r="T21" s="303"/>
      <c r="U21" s="303"/>
      <c r="V21" s="322"/>
    </row>
    <row r="22" spans="1:22" ht="13.5" customHeight="1">
      <c r="A22" s="317"/>
      <c r="B22" s="318"/>
      <c r="C22" s="319"/>
      <c r="D22" s="323"/>
      <c r="E22" s="320"/>
      <c r="F22" s="323"/>
      <c r="G22" s="320"/>
      <c r="H22" s="323"/>
      <c r="I22" s="320"/>
      <c r="J22" s="323"/>
      <c r="K22" s="320"/>
      <c r="L22" s="323"/>
      <c r="M22" s="320"/>
      <c r="N22" s="323"/>
      <c r="O22" s="320"/>
      <c r="P22" s="323"/>
      <c r="Q22" s="320"/>
      <c r="R22" s="323"/>
      <c r="T22" s="303"/>
      <c r="U22" s="303"/>
      <c r="V22" s="303"/>
    </row>
    <row r="23" spans="1:22" ht="21" customHeight="1">
      <c r="A23" s="317">
        <f>1+A21</f>
        <v>4</v>
      </c>
      <c r="B23" s="318" t="s">
        <v>1502</v>
      </c>
      <c r="C23" s="319"/>
      <c r="D23" s="324">
        <f>D18-D21</f>
        <v>6374766897.0541573</v>
      </c>
      <c r="E23" s="320"/>
      <c r="F23" s="324">
        <f>+F18-F21</f>
        <v>1464275409.6027687</v>
      </c>
      <c r="G23" s="320"/>
      <c r="H23" s="324">
        <f>+H18-H21</f>
        <v>5478076.4845687766</v>
      </c>
      <c r="I23" s="320"/>
      <c r="J23" s="324">
        <f>+J18-J21</f>
        <v>48022339.077517137</v>
      </c>
      <c r="K23" s="320"/>
      <c r="L23" s="324">
        <f>+L18-L21</f>
        <v>0</v>
      </c>
      <c r="M23" s="320"/>
      <c r="N23" s="324">
        <f>+N18-N21</f>
        <v>4856991071.8893032</v>
      </c>
      <c r="O23" s="320"/>
      <c r="P23" s="324">
        <f>P18-P21</f>
        <v>421848210.11016893</v>
      </c>
      <c r="Q23" s="320"/>
      <c r="R23" s="324">
        <f>+R18-R21</f>
        <v>6796615107.1643267</v>
      </c>
      <c r="T23" s="303"/>
      <c r="U23" s="303"/>
      <c r="V23" s="320"/>
    </row>
    <row r="24" spans="1:22" ht="13.5" customHeight="1">
      <c r="A24" s="317"/>
      <c r="B24" s="318"/>
      <c r="C24" s="319"/>
      <c r="D24" s="323"/>
      <c r="E24" s="320"/>
      <c r="F24" s="323"/>
      <c r="G24" s="320"/>
      <c r="H24" s="323"/>
      <c r="I24" s="320"/>
      <c r="J24" s="323"/>
      <c r="K24" s="320"/>
      <c r="L24" s="323"/>
      <c r="M24" s="320"/>
      <c r="N24" s="323"/>
      <c r="O24" s="320"/>
      <c r="P24" s="323"/>
      <c r="Q24" s="320"/>
      <c r="R24" s="323"/>
    </row>
    <row r="25" spans="1:22" ht="21" customHeight="1">
      <c r="A25" s="317">
        <f>1+A23</f>
        <v>5</v>
      </c>
      <c r="B25" s="318" t="s">
        <v>2034</v>
      </c>
      <c r="C25" s="319"/>
      <c r="D25" s="323"/>
      <c r="E25" s="320"/>
      <c r="F25" s="323"/>
      <c r="G25" s="320"/>
      <c r="H25" s="323"/>
      <c r="I25" s="320"/>
      <c r="J25" s="323"/>
      <c r="K25" s="320"/>
      <c r="L25" s="323"/>
      <c r="M25" s="320"/>
      <c r="N25" s="323"/>
      <c r="O25" s="320"/>
      <c r="P25" s="323"/>
      <c r="Q25" s="320"/>
      <c r="R25" s="323"/>
      <c r="S25" s="325"/>
    </row>
    <row r="26" spans="1:22" ht="21" customHeight="1">
      <c r="A26" s="317">
        <f>1+A25</f>
        <v>6</v>
      </c>
      <c r="B26" s="318" t="s">
        <v>2036</v>
      </c>
      <c r="C26" s="319"/>
      <c r="D26" s="323">
        <f>'SCH B-6'!F34</f>
        <v>951646.55364259344</v>
      </c>
      <c r="E26" s="320"/>
      <c r="F26" s="323">
        <v>0</v>
      </c>
      <c r="G26" s="320"/>
      <c r="H26" s="323">
        <v>0</v>
      </c>
      <c r="I26" s="320"/>
      <c r="J26" s="323">
        <v>0</v>
      </c>
      <c r="K26" s="320"/>
      <c r="L26" s="323">
        <v>0</v>
      </c>
      <c r="M26" s="320"/>
      <c r="N26" s="323">
        <f t="shared" ref="N26:N28" si="0">D26-SUM(F26:L26)</f>
        <v>951646.55364259344</v>
      </c>
      <c r="O26" s="320"/>
      <c r="P26" s="323">
        <f t="shared" ref="P26:P28" si="1">R26-D26</f>
        <v>29334.816357406205</v>
      </c>
      <c r="Q26" s="320"/>
      <c r="R26" s="323">
        <f>'SCH B-6'!D34</f>
        <v>980981.36999999965</v>
      </c>
      <c r="T26" s="326"/>
    </row>
    <row r="27" spans="1:22" ht="21" customHeight="1">
      <c r="A27" s="317">
        <f>1+A26</f>
        <v>7</v>
      </c>
      <c r="B27" s="318" t="s">
        <v>2037</v>
      </c>
      <c r="C27" s="319"/>
      <c r="D27" s="323">
        <f>'SCH B-6'!F38</f>
        <v>1317539216.4786587</v>
      </c>
      <c r="E27" s="327"/>
      <c r="F27" s="328">
        <f>-'ECR DEFTAX'!AD4</f>
        <v>340185418.51737422</v>
      </c>
      <c r="G27" s="327"/>
      <c r="H27" s="328">
        <f>-'DSM DEFTAX'!AD2</f>
        <v>1629532.0145812586</v>
      </c>
      <c r="I27" s="327"/>
      <c r="J27" s="328">
        <v>0</v>
      </c>
      <c r="K27" s="327"/>
      <c r="L27" s="328">
        <v>0</v>
      </c>
      <c r="M27" s="327"/>
      <c r="N27" s="328">
        <f t="shared" si="0"/>
        <v>975724265.9467032</v>
      </c>
      <c r="O27" s="327"/>
      <c r="P27" s="323">
        <f t="shared" si="1"/>
        <v>86900459.521341324</v>
      </c>
      <c r="Q27" s="327"/>
      <c r="R27" s="323">
        <f>'SCH B-6'!D38</f>
        <v>1404439676</v>
      </c>
    </row>
    <row r="28" spans="1:22" ht="21" customHeight="1">
      <c r="A28" s="317">
        <f>A27+1</f>
        <v>8</v>
      </c>
      <c r="B28" s="331" t="s">
        <v>2038</v>
      </c>
      <c r="C28" s="319"/>
      <c r="D28" s="323">
        <f>'SCH B-6'!F36</f>
        <v>84144180.918382138</v>
      </c>
      <c r="E28" s="320"/>
      <c r="F28" s="320">
        <v>0</v>
      </c>
      <c r="G28" s="320"/>
      <c r="H28" s="320">
        <v>0</v>
      </c>
      <c r="I28" s="320"/>
      <c r="J28" s="320">
        <v>0</v>
      </c>
      <c r="K28" s="320"/>
      <c r="L28" s="320">
        <v>0</v>
      </c>
      <c r="M28" s="320"/>
      <c r="N28" s="320">
        <f t="shared" si="0"/>
        <v>84144180.918382138</v>
      </c>
      <c r="O28" s="320"/>
      <c r="P28" s="323">
        <f t="shared" si="1"/>
        <v>5787395.081617862</v>
      </c>
      <c r="Q28" s="320"/>
      <c r="R28" s="323">
        <f>'SCH B-6'!D36</f>
        <v>89931576</v>
      </c>
    </row>
    <row r="29" spans="1:22" ht="12" customHeight="1">
      <c r="A29" s="317"/>
      <c r="B29" s="318"/>
      <c r="C29" s="319"/>
      <c r="D29" s="320"/>
      <c r="E29" s="320"/>
      <c r="F29" s="320"/>
      <c r="G29" s="320"/>
      <c r="H29" s="320"/>
      <c r="I29" s="320"/>
      <c r="J29" s="320"/>
      <c r="K29" s="320"/>
      <c r="L29" s="320"/>
      <c r="M29" s="320"/>
      <c r="N29" s="320"/>
      <c r="O29" s="320"/>
      <c r="P29" s="320"/>
      <c r="Q29" s="320"/>
      <c r="R29" s="320"/>
    </row>
    <row r="30" spans="1:22" ht="21" customHeight="1">
      <c r="A30" s="317">
        <f>1+A28</f>
        <v>9</v>
      </c>
      <c r="B30" s="318" t="s">
        <v>2039</v>
      </c>
      <c r="C30" s="319"/>
      <c r="D30" s="324">
        <f>SUM(D26:D29)</f>
        <v>1402635043.9506834</v>
      </c>
      <c r="E30" s="320"/>
      <c r="F30" s="324">
        <f>SUM(F26:F29)</f>
        <v>340185418.51737422</v>
      </c>
      <c r="G30" s="320"/>
      <c r="H30" s="324">
        <f>SUM(H26:H29)</f>
        <v>1629532.0145812586</v>
      </c>
      <c r="I30" s="320"/>
      <c r="J30" s="324">
        <f>SUM(J26:J29)</f>
        <v>0</v>
      </c>
      <c r="K30" s="320"/>
      <c r="L30" s="324">
        <f>SUM(L26:L29)</f>
        <v>0</v>
      </c>
      <c r="M30" s="320"/>
      <c r="N30" s="324">
        <f>SUM(N26:N29)</f>
        <v>1060820093.418728</v>
      </c>
      <c r="O30" s="320"/>
      <c r="P30" s="324">
        <f>SUM(P26:P29)</f>
        <v>92717189.41931659</v>
      </c>
      <c r="Q30" s="320"/>
      <c r="R30" s="324">
        <f>SUM(R26:R29)</f>
        <v>1495352233.3699999</v>
      </c>
    </row>
    <row r="31" spans="1:22" ht="13.5" customHeight="1">
      <c r="A31" s="306"/>
      <c r="B31" s="318"/>
      <c r="C31" s="319"/>
      <c r="D31" s="323"/>
      <c r="E31" s="320"/>
      <c r="F31" s="323"/>
      <c r="G31" s="320"/>
      <c r="H31" s="323"/>
      <c r="I31" s="320"/>
      <c r="J31" s="323"/>
      <c r="K31" s="320"/>
      <c r="L31" s="323"/>
      <c r="M31" s="320"/>
      <c r="N31" s="323"/>
      <c r="O31" s="320"/>
      <c r="P31" s="323"/>
      <c r="Q31" s="320"/>
      <c r="R31" s="323"/>
    </row>
    <row r="32" spans="1:22" ht="21" customHeight="1">
      <c r="A32" s="306">
        <f>1+A30</f>
        <v>10</v>
      </c>
      <c r="B32" s="318" t="s">
        <v>2040</v>
      </c>
      <c r="C32" s="319"/>
      <c r="D32" s="324">
        <f>D23-D30</f>
        <v>4972131853.1034737</v>
      </c>
      <c r="E32" s="320"/>
      <c r="F32" s="324">
        <f>+F23-F30</f>
        <v>1124089991.0853944</v>
      </c>
      <c r="G32" s="320"/>
      <c r="H32" s="324">
        <f>+H23-H30</f>
        <v>3848544.4699875182</v>
      </c>
      <c r="I32" s="320"/>
      <c r="J32" s="324">
        <f>+J23-J30</f>
        <v>48022339.077517137</v>
      </c>
      <c r="K32" s="320"/>
      <c r="L32" s="324">
        <f>+L23-L30</f>
        <v>0</v>
      </c>
      <c r="M32" s="320"/>
      <c r="N32" s="324">
        <f>+N23-N30</f>
        <v>3796170978.4705753</v>
      </c>
      <c r="O32" s="320"/>
      <c r="P32" s="324">
        <f>P23-P30</f>
        <v>329131020.69085234</v>
      </c>
      <c r="Q32" s="320"/>
      <c r="R32" s="324">
        <f>+R23-R30</f>
        <v>5301262873.7943268</v>
      </c>
    </row>
    <row r="33" spans="1:19" ht="15" customHeight="1">
      <c r="A33" s="306"/>
      <c r="B33" s="318"/>
      <c r="C33" s="319"/>
      <c r="D33" s="323"/>
      <c r="E33" s="320"/>
      <c r="F33" s="323"/>
      <c r="G33" s="320"/>
      <c r="H33" s="323"/>
      <c r="I33" s="320"/>
      <c r="J33" s="323"/>
      <c r="K33" s="320"/>
      <c r="L33" s="323"/>
      <c r="M33" s="320"/>
      <c r="N33" s="323"/>
      <c r="O33" s="320"/>
      <c r="P33" s="323"/>
      <c r="Q33" s="320"/>
      <c r="R33" s="323"/>
    </row>
    <row r="34" spans="1:19" ht="21" customHeight="1">
      <c r="A34" s="306">
        <f>1+A32</f>
        <v>11</v>
      </c>
      <c r="B34" s="318" t="s">
        <v>2041</v>
      </c>
      <c r="C34" s="319"/>
      <c r="D34" s="323"/>
      <c r="E34" s="320"/>
      <c r="F34" s="323"/>
      <c r="G34" s="320"/>
      <c r="H34" s="323"/>
      <c r="I34" s="320"/>
      <c r="J34" s="323"/>
      <c r="K34" s="320"/>
      <c r="L34" s="323"/>
      <c r="M34" s="320"/>
      <c r="N34" s="323"/>
      <c r="O34" s="320"/>
      <c r="P34" s="323"/>
      <c r="Q34" s="320"/>
      <c r="R34" s="323"/>
    </row>
    <row r="35" spans="1:19" ht="21" customHeight="1">
      <c r="A35" s="317">
        <f>1+A34</f>
        <v>12</v>
      </c>
      <c r="B35" s="331" t="s">
        <v>2042</v>
      </c>
      <c r="C35" s="319"/>
      <c r="D35" s="328">
        <f>'SCH B-5'!G39+'SCH B-5'!G41</f>
        <v>115324298.44739348</v>
      </c>
      <c r="E35" s="320"/>
      <c r="F35" s="323">
        <v>0</v>
      </c>
      <c r="G35" s="320"/>
      <c r="H35" s="323">
        <v>0</v>
      </c>
      <c r="I35" s="320"/>
      <c r="J35" s="323">
        <v>0</v>
      </c>
      <c r="K35" s="320"/>
      <c r="L35" s="323">
        <v>0</v>
      </c>
      <c r="M35" s="320"/>
      <c r="N35" s="323">
        <f t="shared" ref="N35:N37" si="2">D35-SUM(F35:L35)</f>
        <v>115324298.44739348</v>
      </c>
      <c r="O35" s="320"/>
      <c r="P35" s="328">
        <f t="shared" ref="P35:P39" si="3">R35-D35</f>
        <v>7836106.552606523</v>
      </c>
      <c r="Q35" s="320"/>
      <c r="R35" s="328">
        <f>'SCH B-5'!E39+'SCH B-5'!E41</f>
        <v>123160405</v>
      </c>
    </row>
    <row r="36" spans="1:19" ht="21" customHeight="1">
      <c r="A36" s="317">
        <f>1+A35</f>
        <v>13</v>
      </c>
      <c r="B36" s="332" t="s">
        <v>2043</v>
      </c>
      <c r="C36" s="319"/>
      <c r="D36" s="328">
        <f>'SCH B-5'!G43</f>
        <v>15604608.223481942</v>
      </c>
      <c r="E36" s="320"/>
      <c r="F36" s="323">
        <v>0</v>
      </c>
      <c r="G36" s="320"/>
      <c r="H36" s="323">
        <v>0</v>
      </c>
      <c r="I36" s="320"/>
      <c r="J36" s="323">
        <v>0</v>
      </c>
      <c r="K36" s="320"/>
      <c r="L36" s="323">
        <v>0</v>
      </c>
      <c r="M36" s="320"/>
      <c r="N36" s="323">
        <f t="shared" si="2"/>
        <v>15604608.223481942</v>
      </c>
      <c r="O36" s="320"/>
      <c r="P36" s="328">
        <f t="shared" si="3"/>
        <v>223032.14040160179</v>
      </c>
      <c r="Q36" s="320"/>
      <c r="R36" s="328">
        <f>'SCH B-5'!E43</f>
        <v>15827640.363883544</v>
      </c>
    </row>
    <row r="37" spans="1:19" ht="21" customHeight="1">
      <c r="A37" s="317">
        <f>1+A36</f>
        <v>14</v>
      </c>
      <c r="B37" s="318" t="s">
        <v>2044</v>
      </c>
      <c r="C37" s="319"/>
      <c r="D37" s="328">
        <f>'SCH B-5'!G45+F37</f>
        <v>121416.07413391923</v>
      </c>
      <c r="E37" s="320"/>
      <c r="F37" s="328">
        <f>'ECR ALLOW'!AF7*1000</f>
        <v>121416.07413391923</v>
      </c>
      <c r="G37" s="320"/>
      <c r="H37" s="323">
        <v>0</v>
      </c>
      <c r="I37" s="320"/>
      <c r="J37" s="323">
        <v>0</v>
      </c>
      <c r="K37" s="320"/>
      <c r="L37" s="323">
        <v>0</v>
      </c>
      <c r="M37" s="320"/>
      <c r="N37" s="323">
        <f t="shared" si="2"/>
        <v>0</v>
      </c>
      <c r="O37" s="320"/>
      <c r="P37" s="328">
        <f t="shared" si="3"/>
        <v>8105.9258660807682</v>
      </c>
      <c r="Q37" s="320"/>
      <c r="R37" s="328">
        <f>'JURISSEP F'!$E$30</f>
        <v>129522</v>
      </c>
      <c r="S37" s="330"/>
    </row>
    <row r="38" spans="1:19" ht="21" customHeight="1">
      <c r="A38" s="317">
        <f>1+A37</f>
        <v>15</v>
      </c>
      <c r="B38" s="318" t="s">
        <v>2664</v>
      </c>
      <c r="C38" s="319"/>
      <c r="D38" s="320">
        <f>'SCH B-5.2 F (1)'!$Q78</f>
        <v>98296696.272287518</v>
      </c>
      <c r="E38" s="320"/>
      <c r="F38" s="320">
        <f>'SCH B-5.2 F (1)'!$Q80</f>
        <v>2498510.75</v>
      </c>
      <c r="G38" s="320"/>
      <c r="H38" s="320">
        <v>0</v>
      </c>
      <c r="I38" s="320"/>
      <c r="J38" s="320">
        <v>0</v>
      </c>
      <c r="K38" s="320"/>
      <c r="L38" s="320">
        <v>0</v>
      </c>
      <c r="M38" s="320"/>
      <c r="N38" s="320">
        <f>D38-SUM(F38:L38)</f>
        <v>95798185.522287518</v>
      </c>
      <c r="O38" s="320"/>
      <c r="P38" s="320">
        <f t="shared" si="3"/>
        <v>9017343.2723093778</v>
      </c>
      <c r="Q38" s="320"/>
      <c r="R38" s="320">
        <f>'JURISSEP F'!$E$29</f>
        <v>107314039.5445969</v>
      </c>
    </row>
    <row r="39" spans="1:19" ht="21" customHeight="1">
      <c r="A39" s="317">
        <f t="shared" ref="A39" si="4">A38+1</f>
        <v>16</v>
      </c>
      <c r="B39" s="467" t="s">
        <v>2266</v>
      </c>
      <c r="C39" s="345"/>
      <c r="D39" s="345">
        <f>-'SCH B-6'!F40</f>
        <v>96343596</v>
      </c>
      <c r="E39" s="345"/>
      <c r="F39" s="345">
        <f>'SCH B-6'!G40</f>
        <v>96343596</v>
      </c>
      <c r="G39" s="345"/>
      <c r="H39" s="323">
        <v>0</v>
      </c>
      <c r="I39" s="320"/>
      <c r="J39" s="323">
        <v>0</v>
      </c>
      <c r="K39" s="320"/>
      <c r="L39" s="323">
        <v>0</v>
      </c>
      <c r="M39" s="320"/>
      <c r="N39" s="323">
        <f t="shared" ref="N39" si="5">D39-SUM(F39:L39)</f>
        <v>0</v>
      </c>
      <c r="O39" s="320"/>
      <c r="P39" s="328">
        <f t="shared" si="3"/>
        <v>5594096.8288678676</v>
      </c>
      <c r="Q39" s="320"/>
      <c r="R39" s="323">
        <f>-'SCH B-6'!D40</f>
        <v>101937692.82886787</v>
      </c>
      <c r="S39" s="330"/>
    </row>
    <row r="40" spans="1:19" ht="13.5" customHeight="1">
      <c r="A40" s="317"/>
      <c r="B40" s="318"/>
      <c r="C40" s="319"/>
      <c r="D40" s="320"/>
      <c r="E40" s="320"/>
      <c r="F40" s="320"/>
      <c r="G40" s="320"/>
      <c r="H40" s="320"/>
      <c r="I40" s="320"/>
      <c r="J40" s="320"/>
      <c r="K40" s="320"/>
      <c r="L40" s="320"/>
      <c r="M40" s="320"/>
      <c r="N40" s="320"/>
      <c r="O40" s="320"/>
      <c r="P40" s="320"/>
      <c r="Q40" s="320"/>
      <c r="R40" s="320"/>
    </row>
    <row r="41" spans="1:19" ht="21" customHeight="1">
      <c r="A41" s="317">
        <f>A39+1</f>
        <v>17</v>
      </c>
      <c r="B41" s="329" t="s">
        <v>2045</v>
      </c>
      <c r="C41" s="319"/>
      <c r="D41" s="324">
        <f>SUM(D35:D39)</f>
        <v>325690615.01729685</v>
      </c>
      <c r="E41" s="320"/>
      <c r="F41" s="324">
        <f>SUM(F35:F39)</f>
        <v>98963522.824133918</v>
      </c>
      <c r="G41" s="320"/>
      <c r="H41" s="324">
        <f>SUM(H35:H39)</f>
        <v>0</v>
      </c>
      <c r="I41" s="320"/>
      <c r="J41" s="324">
        <f>SUM(J35:J39)</f>
        <v>0</v>
      </c>
      <c r="K41" s="320"/>
      <c r="L41" s="324">
        <f>SUM(L35:L39)</f>
        <v>0</v>
      </c>
      <c r="M41" s="320"/>
      <c r="N41" s="324">
        <f>SUM(N35:N39)</f>
        <v>226727092.19316292</v>
      </c>
      <c r="O41" s="320"/>
      <c r="P41" s="324">
        <f>SUM(P35:P39)</f>
        <v>22678684.720051453</v>
      </c>
      <c r="Q41" s="320"/>
      <c r="R41" s="324">
        <f>SUM(R35:R39)</f>
        <v>348369299.73734832</v>
      </c>
    </row>
    <row r="42" spans="1:19" ht="13.5" customHeight="1">
      <c r="A42" s="317"/>
      <c r="B42" s="318"/>
      <c r="C42" s="319"/>
      <c r="D42" s="323"/>
      <c r="E42" s="320"/>
      <c r="F42" s="323"/>
      <c r="G42" s="320"/>
      <c r="H42" s="323"/>
      <c r="I42" s="320"/>
      <c r="J42" s="323"/>
      <c r="K42" s="320"/>
      <c r="L42" s="323"/>
      <c r="M42" s="320"/>
      <c r="N42" s="323"/>
      <c r="O42" s="320"/>
      <c r="P42" s="323"/>
      <c r="Q42" s="320"/>
      <c r="R42" s="323"/>
    </row>
    <row r="43" spans="1:19" ht="21" customHeight="1" thickBot="1">
      <c r="A43" s="317">
        <f>1+A41</f>
        <v>18</v>
      </c>
      <c r="B43" s="331" t="s">
        <v>2046</v>
      </c>
      <c r="C43" s="319"/>
      <c r="D43" s="333">
        <f>+D32+D41</f>
        <v>5297822468.1207705</v>
      </c>
      <c r="E43" s="334"/>
      <c r="F43" s="333">
        <f>+F32+F41</f>
        <v>1223053513.9095283</v>
      </c>
      <c r="G43" s="334"/>
      <c r="H43" s="333">
        <f>+H32+H41</f>
        <v>3848544.4699875182</v>
      </c>
      <c r="I43" s="334"/>
      <c r="J43" s="333">
        <f>+J32+J41</f>
        <v>48022339.077517137</v>
      </c>
      <c r="K43" s="334"/>
      <c r="L43" s="333">
        <f>+L32+L41</f>
        <v>0</v>
      </c>
      <c r="M43" s="334"/>
      <c r="N43" s="333">
        <f>+N32+N41</f>
        <v>4022898070.6637383</v>
      </c>
      <c r="O43" s="334"/>
      <c r="P43" s="333">
        <f>+P32+P41</f>
        <v>351809705.41090381</v>
      </c>
      <c r="Q43" s="334"/>
      <c r="R43" s="333">
        <f>+R32+R41</f>
        <v>5649632173.5316753</v>
      </c>
    </row>
    <row r="44" spans="1:19" ht="13.5" customHeight="1" thickTop="1">
      <c r="A44" s="317"/>
      <c r="B44" s="318"/>
      <c r="C44" s="319"/>
      <c r="D44" s="323"/>
      <c r="E44" s="320"/>
      <c r="F44" s="323"/>
      <c r="G44" s="320"/>
      <c r="H44" s="323"/>
      <c r="I44" s="320"/>
      <c r="J44" s="323"/>
      <c r="K44" s="320"/>
      <c r="L44" s="323"/>
      <c r="M44" s="320"/>
      <c r="N44" s="323"/>
      <c r="O44" s="320"/>
      <c r="P44" s="323"/>
      <c r="Q44" s="320"/>
      <c r="R44" s="323"/>
    </row>
    <row r="45" spans="1:19" ht="21" customHeight="1">
      <c r="A45" s="317">
        <f>1+A43</f>
        <v>19</v>
      </c>
      <c r="B45" s="332" t="s">
        <v>2059</v>
      </c>
      <c r="C45" s="319"/>
      <c r="D45" s="328"/>
      <c r="E45" s="320"/>
      <c r="F45" s="323"/>
      <c r="G45" s="320"/>
      <c r="H45" s="323"/>
      <c r="I45" s="320"/>
      <c r="J45" s="323">
        <f>-J43</f>
        <v>-48022339.077517137</v>
      </c>
      <c r="K45" s="320"/>
      <c r="L45" s="323"/>
      <c r="M45" s="320"/>
      <c r="N45" s="323">
        <f t="shared" ref="N45" si="6">D45-SUM(F45:L45)</f>
        <v>48022339.077517137</v>
      </c>
      <c r="O45" s="320"/>
      <c r="P45" s="328"/>
      <c r="Q45" s="320"/>
      <c r="R45" s="328">
        <f>SUM(D45,P45)</f>
        <v>0</v>
      </c>
    </row>
    <row r="46" spans="1:19" ht="15.75" customHeight="1">
      <c r="A46" s="317"/>
      <c r="C46" s="319"/>
      <c r="D46" s="323"/>
      <c r="E46" s="320"/>
      <c r="F46" s="323"/>
      <c r="G46" s="320"/>
      <c r="H46" s="323"/>
      <c r="I46" s="320"/>
      <c r="J46" s="323"/>
      <c r="K46" s="320"/>
      <c r="L46" s="323"/>
      <c r="M46" s="320"/>
      <c r="N46" s="323"/>
      <c r="O46" s="320"/>
      <c r="P46" s="323"/>
      <c r="Q46" s="320"/>
      <c r="R46" s="323"/>
    </row>
    <row r="47" spans="1:19" ht="21" customHeight="1" thickBot="1">
      <c r="A47" s="317">
        <f>1+A45</f>
        <v>20</v>
      </c>
      <c r="B47" s="345" t="s">
        <v>2060</v>
      </c>
      <c r="C47" s="319"/>
      <c r="D47" s="333">
        <f>D43+D45</f>
        <v>5297822468.1207705</v>
      </c>
      <c r="E47" s="334"/>
      <c r="F47" s="333">
        <f>F43+F45</f>
        <v>1223053513.9095283</v>
      </c>
      <c r="G47" s="334"/>
      <c r="H47" s="333">
        <f>H43+H45</f>
        <v>3848544.4699875182</v>
      </c>
      <c r="I47" s="334"/>
      <c r="J47" s="333">
        <f>J43+J45</f>
        <v>0</v>
      </c>
      <c r="K47" s="334"/>
      <c r="L47" s="333">
        <f>L43+L45</f>
        <v>0</v>
      </c>
      <c r="M47" s="334"/>
      <c r="N47" s="333">
        <f>N43+N45</f>
        <v>4070920409.7412553</v>
      </c>
      <c r="O47" s="334"/>
      <c r="P47" s="333">
        <f>P43+P45</f>
        <v>351809705.41090381</v>
      </c>
      <c r="Q47" s="334"/>
      <c r="R47" s="333">
        <f>R43+R45</f>
        <v>5649632173.5316753</v>
      </c>
    </row>
    <row r="48" spans="1:19" ht="13.5" customHeight="1" thickTop="1">
      <c r="A48" s="317"/>
      <c r="B48" s="318"/>
      <c r="C48" s="319"/>
      <c r="D48" s="323"/>
      <c r="E48" s="320"/>
      <c r="F48" s="323"/>
      <c r="G48" s="320"/>
      <c r="H48" s="323"/>
      <c r="I48" s="320"/>
      <c r="J48" s="323"/>
      <c r="K48" s="320"/>
      <c r="L48" s="323"/>
      <c r="M48" s="320"/>
      <c r="N48" s="323"/>
      <c r="O48" s="320"/>
      <c r="P48" s="323"/>
      <c r="Q48" s="320"/>
      <c r="R48" s="323"/>
    </row>
    <row r="49" spans="1:21" ht="21" customHeight="1" thickBot="1">
      <c r="A49" s="335">
        <f>1+A47</f>
        <v>21</v>
      </c>
      <c r="B49" s="331" t="s">
        <v>2047</v>
      </c>
      <c r="C49" s="302"/>
      <c r="D49" s="336">
        <f>ROUND(D47/$R47,4)</f>
        <v>0.93769999999999998</v>
      </c>
      <c r="E49" s="302"/>
      <c r="F49" s="336">
        <f>ROUND(F47/$R47,4)</f>
        <v>0.2165</v>
      </c>
      <c r="G49" s="302"/>
      <c r="H49" s="336">
        <f>ROUND(H47/$R47,4)</f>
        <v>6.9999999999999999E-4</v>
      </c>
      <c r="I49" s="302"/>
      <c r="J49" s="336">
        <f>ROUND(J47/$R47,4)</f>
        <v>0</v>
      </c>
      <c r="K49" s="302"/>
      <c r="L49" s="336">
        <f>ROUND(L47/$R47,4)</f>
        <v>0</v>
      </c>
      <c r="M49" s="302"/>
      <c r="N49" s="336">
        <f>ROUND(N47/$R47,4)</f>
        <v>0.72060000000000002</v>
      </c>
      <c r="O49" s="302"/>
      <c r="P49" s="336">
        <f>ROUND(P47/$R47,4)</f>
        <v>6.2300000000000001E-2</v>
      </c>
      <c r="Q49" s="302"/>
      <c r="R49" s="336">
        <f>ROUND(R47/$R47,4)</f>
        <v>1</v>
      </c>
    </row>
    <row r="50" spans="1:21" ht="15.75" customHeight="1" thickTop="1">
      <c r="A50" s="317"/>
      <c r="C50" s="319"/>
      <c r="D50" s="323"/>
      <c r="E50" s="320"/>
      <c r="F50" s="323"/>
      <c r="G50" s="320"/>
      <c r="H50" s="323"/>
      <c r="I50" s="320"/>
      <c r="J50" s="323"/>
      <c r="K50" s="320"/>
      <c r="L50" s="323"/>
      <c r="M50" s="320"/>
      <c r="N50" s="323"/>
      <c r="O50" s="320"/>
      <c r="P50" s="323"/>
      <c r="Q50" s="320"/>
      <c r="R50" s="323"/>
    </row>
    <row r="51" spans="1:21" ht="18.95" customHeight="1">
      <c r="A51" s="340" t="s">
        <v>2048</v>
      </c>
      <c r="B51" s="331" t="s">
        <v>2049</v>
      </c>
      <c r="C51" s="302"/>
      <c r="E51" s="302"/>
      <c r="F51" s="337"/>
      <c r="G51" s="302"/>
      <c r="I51" s="302"/>
      <c r="K51" s="302"/>
      <c r="M51" s="302"/>
      <c r="N51" s="344"/>
      <c r="O51" s="302"/>
      <c r="Q51" s="302"/>
    </row>
    <row r="52" spans="1:21" ht="18.95" customHeight="1">
      <c r="A52" s="340" t="s">
        <v>2050</v>
      </c>
      <c r="B52" s="341" t="s">
        <v>2051</v>
      </c>
      <c r="C52" s="302"/>
      <c r="E52" s="302"/>
      <c r="F52" s="342"/>
      <c r="G52" s="302"/>
      <c r="I52" s="302"/>
      <c r="K52" s="302"/>
      <c r="M52" s="302"/>
      <c r="O52" s="302"/>
      <c r="Q52" s="302"/>
    </row>
    <row r="53" spans="1:21" ht="18.95" customHeight="1">
      <c r="A53" s="340" t="s">
        <v>2052</v>
      </c>
      <c r="B53" s="302" t="s">
        <v>2053</v>
      </c>
      <c r="C53" s="302"/>
      <c r="E53" s="302"/>
      <c r="G53" s="302"/>
      <c r="I53" s="302"/>
      <c r="K53" s="302"/>
      <c r="M53" s="302"/>
      <c r="O53" s="302"/>
      <c r="Q53" s="302"/>
      <c r="T53" s="343"/>
      <c r="U53" s="343"/>
    </row>
  </sheetData>
  <mergeCells count="4">
    <mergeCell ref="A8:R8"/>
    <mergeCell ref="A5:R5"/>
    <mergeCell ref="A7:R7"/>
    <mergeCell ref="A9:R9"/>
  </mergeCells>
  <printOptions horizontalCentered="1"/>
  <pageMargins left="0" right="0" top="0.75" bottom="0" header="0.75" footer="0.5"/>
  <pageSetup scale="51"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124"/>
  <sheetViews>
    <sheetView zoomScaleNormal="100" workbookViewId="0">
      <selection sqref="A1:J1"/>
    </sheetView>
  </sheetViews>
  <sheetFormatPr defaultColWidth="9" defaultRowHeight="12.75"/>
  <cols>
    <col min="1" max="1" width="6" style="69" customWidth="1"/>
    <col min="2" max="2" width="7.6640625" style="69" customWidth="1"/>
    <col min="3" max="3" width="38.33203125" style="69" customWidth="1"/>
    <col min="4" max="4" width="13.6640625" style="69" customWidth="1"/>
    <col min="5" max="5" width="14.77734375" style="69" customWidth="1"/>
    <col min="6" max="6" width="10.109375" style="69" customWidth="1"/>
    <col min="7" max="7" width="14.77734375" style="69" customWidth="1"/>
    <col min="8" max="8" width="22.6640625" style="69" customWidth="1"/>
    <col min="9" max="9" width="11.77734375" style="69" customWidth="1"/>
    <col min="10" max="10" width="18" style="69" customWidth="1"/>
    <col min="11" max="11" width="1.6640625" style="69" customWidth="1"/>
    <col min="12" max="16384" width="9" style="69"/>
  </cols>
  <sheetData>
    <row r="1" spans="1:10" s="68" customFormat="1" ht="20.100000000000001" customHeight="1">
      <c r="A1" s="769" t="str">
        <f>'Rate Case Constants'!C9</f>
        <v>KENTUCKY UTILITIES COMPANY</v>
      </c>
      <c r="B1" s="769"/>
      <c r="C1" s="769"/>
      <c r="D1" s="769"/>
      <c r="E1" s="769"/>
      <c r="F1" s="769"/>
      <c r="G1" s="769"/>
      <c r="H1" s="769"/>
      <c r="I1" s="769"/>
      <c r="J1" s="769"/>
    </row>
    <row r="2" spans="1:10" s="68" customFormat="1" ht="20.100000000000001" customHeight="1">
      <c r="A2" s="769" t="str">
        <f>'Rate Case Constants'!C10</f>
        <v>CASE NO. 2018-00294 - RESPONSE TO PSC 2-65 (SLIPPAGE FACTOR 96.027%)</v>
      </c>
      <c r="B2" s="769"/>
      <c r="C2" s="769"/>
      <c r="D2" s="769"/>
      <c r="E2" s="769"/>
      <c r="F2" s="769"/>
      <c r="G2" s="769"/>
      <c r="H2" s="769"/>
      <c r="I2" s="769"/>
      <c r="J2" s="769"/>
    </row>
    <row r="3" spans="1:10" s="68" customFormat="1" ht="20.100000000000001" customHeight="1">
      <c r="A3" s="769" t="s">
        <v>1243</v>
      </c>
      <c r="B3" s="769"/>
      <c r="C3" s="769"/>
      <c r="D3" s="769"/>
      <c r="E3" s="769"/>
      <c r="F3" s="769"/>
      <c r="G3" s="769"/>
      <c r="H3" s="769"/>
      <c r="I3" s="769"/>
      <c r="J3" s="769"/>
    </row>
    <row r="4" spans="1:10" s="68" customFormat="1" ht="20.100000000000001" customHeight="1">
      <c r="A4" s="769" t="str">
        <f>'Rate Case Constants'!C12</f>
        <v>AS OF DECEMBER 31, 2018</v>
      </c>
      <c r="B4" s="769"/>
      <c r="C4" s="769"/>
      <c r="D4" s="769"/>
      <c r="E4" s="769"/>
      <c r="F4" s="769"/>
      <c r="G4" s="769"/>
      <c r="H4" s="769"/>
      <c r="I4" s="769"/>
      <c r="J4" s="769"/>
    </row>
    <row r="5" spans="1:10" s="68" customFormat="1" ht="20.100000000000001" customHeight="1">
      <c r="A5" s="92"/>
      <c r="B5" s="92"/>
      <c r="C5" s="92"/>
      <c r="D5" s="92"/>
      <c r="E5" s="92"/>
      <c r="F5" s="92"/>
      <c r="G5" s="92"/>
      <c r="H5" s="92"/>
      <c r="I5" s="208"/>
      <c r="J5" s="92"/>
    </row>
    <row r="6" spans="1:10" s="68" customFormat="1" ht="20.100000000000001" customHeight="1">
      <c r="A6" s="67" t="s">
        <v>133</v>
      </c>
      <c r="B6" s="67"/>
      <c r="I6" s="74"/>
      <c r="J6" s="74" t="s">
        <v>1242</v>
      </c>
    </row>
    <row r="7" spans="1:10" s="68" customFormat="1" ht="20.100000000000001" customHeight="1">
      <c r="A7" s="68" t="str">
        <f>'Rate Case Constants'!C29</f>
        <v>TYPE OF FILING: __X__ ORIGINAL  _____ UPDATED  _____ REVISED</v>
      </c>
      <c r="I7" s="74"/>
      <c r="J7" s="74" t="s">
        <v>2062</v>
      </c>
    </row>
    <row r="8" spans="1:10" s="68" customFormat="1" ht="20.100000000000001" customHeight="1">
      <c r="A8" s="67" t="s">
        <v>1198</v>
      </c>
      <c r="B8" s="67"/>
      <c r="G8" s="67"/>
      <c r="I8" s="75"/>
      <c r="J8" s="75" t="str">
        <f>'Rate Case Constants'!C36</f>
        <v>WITNESS:   C. M. GARRETT</v>
      </c>
    </row>
    <row r="9" spans="1:10" s="68" customFormat="1" ht="20.100000000000001" customHeight="1"/>
    <row r="10" spans="1:10" s="68" customFormat="1" ht="20.100000000000001" customHeight="1">
      <c r="A10" s="96"/>
      <c r="B10" s="96"/>
      <c r="C10" s="96"/>
      <c r="D10" s="771" t="s">
        <v>227</v>
      </c>
      <c r="E10" s="771"/>
      <c r="F10" s="96"/>
      <c r="G10" s="96"/>
      <c r="H10" s="96"/>
      <c r="I10" s="96"/>
      <c r="J10" s="96"/>
    </row>
    <row r="11" spans="1:10" ht="48" customHeight="1">
      <c r="A11" s="71" t="s">
        <v>131</v>
      </c>
      <c r="B11" s="71" t="s">
        <v>134</v>
      </c>
      <c r="C11" s="78" t="s">
        <v>1244</v>
      </c>
      <c r="D11" s="71" t="s">
        <v>1245</v>
      </c>
      <c r="E11" s="71" t="s">
        <v>1246</v>
      </c>
      <c r="F11" s="71" t="s">
        <v>3412</v>
      </c>
      <c r="G11" s="71" t="s">
        <v>1247</v>
      </c>
      <c r="H11" s="71" t="s">
        <v>1249</v>
      </c>
      <c r="I11" s="71" t="s">
        <v>1838</v>
      </c>
      <c r="J11" s="71" t="s">
        <v>1250</v>
      </c>
    </row>
    <row r="12" spans="1:10" ht="18.95" customHeight="1">
      <c r="A12" s="98" t="s">
        <v>1220</v>
      </c>
      <c r="B12" s="98" t="s">
        <v>1221</v>
      </c>
      <c r="C12" s="98" t="s">
        <v>1224</v>
      </c>
      <c r="D12" s="98" t="s">
        <v>1232</v>
      </c>
      <c r="E12" s="98" t="s">
        <v>1233</v>
      </c>
      <c r="F12" s="98" t="s">
        <v>1234</v>
      </c>
      <c r="G12" s="98" t="s">
        <v>1248</v>
      </c>
      <c r="H12" s="98" t="s">
        <v>1236</v>
      </c>
      <c r="I12" s="98" t="s">
        <v>1237</v>
      </c>
      <c r="J12" s="98" t="s">
        <v>1251</v>
      </c>
    </row>
    <row r="13" spans="1:10" ht="23.1" customHeight="1">
      <c r="A13" s="73"/>
      <c r="B13" s="73"/>
      <c r="C13" s="132"/>
      <c r="D13" s="95" t="s">
        <v>142</v>
      </c>
      <c r="E13" s="95" t="s">
        <v>142</v>
      </c>
      <c r="F13" s="95"/>
      <c r="G13" s="95" t="s">
        <v>142</v>
      </c>
      <c r="H13" s="95"/>
      <c r="I13" s="95"/>
      <c r="J13" s="95"/>
    </row>
    <row r="14" spans="1:10" ht="23.1" customHeight="1">
      <c r="A14" s="73">
        <v>1</v>
      </c>
      <c r="B14" s="73"/>
      <c r="C14" s="85" t="s">
        <v>56</v>
      </c>
      <c r="D14" s="77"/>
      <c r="E14" s="77"/>
      <c r="F14" s="77"/>
      <c r="G14" s="77"/>
      <c r="H14" s="77"/>
      <c r="I14" s="77"/>
      <c r="J14" s="77"/>
    </row>
    <row r="15" spans="1:10" ht="18.95" customHeight="1">
      <c r="A15" s="70">
        <f>A14+1</f>
        <v>2</v>
      </c>
      <c r="B15" s="271">
        <v>301</v>
      </c>
      <c r="C15" s="78" t="s">
        <v>1621</v>
      </c>
      <c r="D15" s="86">
        <f>'SCH B-2.1 B'!H13</f>
        <v>39573.719428460558</v>
      </c>
      <c r="E15" s="86">
        <f>-'SCH B-3 B'!I14</f>
        <v>0</v>
      </c>
      <c r="F15" s="151">
        <v>0</v>
      </c>
      <c r="G15" s="86">
        <f>D15*F15</f>
        <v>0</v>
      </c>
      <c r="H15" s="152">
        <v>0</v>
      </c>
      <c r="I15" s="86"/>
      <c r="J15" s="155"/>
    </row>
    <row r="16" spans="1:10" ht="18.95" customHeight="1">
      <c r="A16" s="70">
        <f t="shared" ref="A16:A80" si="0">A15+1</f>
        <v>3</v>
      </c>
      <c r="B16" s="271">
        <v>302</v>
      </c>
      <c r="C16" s="78" t="s">
        <v>1623</v>
      </c>
      <c r="D16" s="86">
        <f>'SCH B-2.1 B'!H14</f>
        <v>55918.83</v>
      </c>
      <c r="E16" s="86">
        <f>-'SCH B-3 B'!I15</f>
        <v>71375.27</v>
      </c>
      <c r="F16" s="151">
        <f>VLOOKUP($B16,'KU Depr Rates'!$A$16:$R$500,8,)/100</f>
        <v>3.6299999999999999E-2</v>
      </c>
      <c r="G16" s="88">
        <f t="shared" ref="G16" si="1">D16*F16</f>
        <v>2029.853529</v>
      </c>
      <c r="H16" s="152">
        <f>VLOOKUP($B16,'KU Depr Rates'!$A$16:$R$500,6,)/100</f>
        <v>0</v>
      </c>
      <c r="I16" s="279">
        <f>VLOOKUP($B16,'KU Depr Rates'!$A$16:$R$500,18,)</f>
        <v>3.3</v>
      </c>
      <c r="J16" s="280" t="str">
        <f>VLOOKUP($B16,'KU Depr Rates'!$A$16:$R$500,16,)</f>
        <v>20-SQ</v>
      </c>
    </row>
    <row r="17" spans="1:10" ht="18.95" customHeight="1">
      <c r="A17" s="70">
        <f t="shared" si="0"/>
        <v>4</v>
      </c>
      <c r="B17" s="271">
        <v>303</v>
      </c>
      <c r="C17" s="78" t="s">
        <v>1625</v>
      </c>
      <c r="D17" s="89">
        <f>'SCH B-2.1 B'!H15</f>
        <v>117056432.92761205</v>
      </c>
      <c r="E17" s="89">
        <f>-'SCH B-3 B'!I16</f>
        <v>62845264.455769382</v>
      </c>
      <c r="F17" s="151">
        <f>VLOOKUP($B17,'KU Depr Rates'!$A$16:$R$500,8,)/100</f>
        <v>0.16109999999999999</v>
      </c>
      <c r="G17" s="89">
        <f t="shared" ref="G17" si="2">D17*F17</f>
        <v>18857791.344638299</v>
      </c>
      <c r="H17" s="88">
        <f>VLOOKUP($B17,'KU Depr Rates'!$A$16:$R$500,6,)/100</f>
        <v>0</v>
      </c>
      <c r="I17" s="88" t="str">
        <f>VLOOKUP($B17,'KU Depr Rates'!$A$16:$R$500,18,)</f>
        <v>3.9-7.5</v>
      </c>
      <c r="J17" s="91" t="str">
        <f>VLOOKUP($B17,'KU Depr Rates'!$A$16:$R$500,16,)</f>
        <v>5-SQ, SQUARE</v>
      </c>
    </row>
    <row r="18" spans="1:10" ht="18.95" customHeight="1">
      <c r="A18" s="70">
        <f t="shared" si="0"/>
        <v>5</v>
      </c>
      <c r="B18" s="271"/>
      <c r="C18" s="78" t="s">
        <v>143</v>
      </c>
      <c r="D18" s="86">
        <f>SUM(D15:D17)</f>
        <v>117151925.47704051</v>
      </c>
      <c r="E18" s="86">
        <f>SUM(E15:E17)</f>
        <v>62916639.725769386</v>
      </c>
      <c r="F18" s="86"/>
      <c r="G18" s="86">
        <f>SUM(G15:G17)</f>
        <v>18859821.198167298</v>
      </c>
      <c r="H18" s="153"/>
      <c r="I18" s="86"/>
      <c r="J18" s="155"/>
    </row>
    <row r="19" spans="1:10" ht="18.95" customHeight="1">
      <c r="A19" s="70"/>
      <c r="B19" s="271"/>
      <c r="D19" s="72"/>
      <c r="E19" s="72"/>
      <c r="F19" s="72"/>
      <c r="G19" s="72"/>
      <c r="H19" s="154"/>
      <c r="I19" s="72"/>
      <c r="J19" s="157"/>
    </row>
    <row r="20" spans="1:10" ht="18.95" customHeight="1">
      <c r="A20" s="70">
        <f>A18+1</f>
        <v>6</v>
      </c>
      <c r="B20" s="271"/>
      <c r="C20" s="90" t="s">
        <v>72</v>
      </c>
      <c r="D20" s="72"/>
      <c r="E20" s="72"/>
      <c r="F20" s="72"/>
      <c r="G20" s="72"/>
      <c r="H20" s="154"/>
      <c r="I20" s="72"/>
      <c r="J20" s="157"/>
    </row>
    <row r="21" spans="1:10" ht="18.95" customHeight="1">
      <c r="A21" s="70">
        <f t="shared" si="0"/>
        <v>7</v>
      </c>
      <c r="B21" s="271">
        <v>310</v>
      </c>
      <c r="C21" s="78" t="s">
        <v>154</v>
      </c>
      <c r="D21" s="88">
        <f>'SCH B-2.1 B'!H19</f>
        <v>9999576.2814344987</v>
      </c>
      <c r="E21" s="88">
        <f>-'SCH B-3 B'!I20</f>
        <v>0</v>
      </c>
      <c r="F21" s="151">
        <v>0</v>
      </c>
      <c r="G21" s="88">
        <f t="shared" ref="G21:G22" si="3">D21*F21</f>
        <v>0</v>
      </c>
      <c r="H21" s="152">
        <v>0</v>
      </c>
      <c r="I21" s="209"/>
      <c r="J21" s="91"/>
    </row>
    <row r="22" spans="1:10" ht="18" customHeight="1">
      <c r="A22" s="70">
        <f t="shared" si="0"/>
        <v>8</v>
      </c>
      <c r="B22" s="271">
        <v>311</v>
      </c>
      <c r="C22" s="78" t="s">
        <v>148</v>
      </c>
      <c r="D22" s="88">
        <f>'SCH B-2.1 B'!H20</f>
        <v>288690799.13784587</v>
      </c>
      <c r="E22" s="88">
        <f>-'SCH B-3 B'!I21</f>
        <v>165146589.37111369</v>
      </c>
      <c r="F22" s="151">
        <f>VLOOKUP($B22,'KU Depr Rates'!$A$16:$R$450,8,)/100</f>
        <v>0.02</v>
      </c>
      <c r="G22" s="88">
        <f t="shared" si="3"/>
        <v>5773815.9827569174</v>
      </c>
      <c r="H22" s="152" t="str">
        <f>VLOOKUP($B22,'KU Depr Rates'!$A$16:$R$500,6,)</f>
        <v>-1%,-6%,-7%,-10%,-13%</v>
      </c>
      <c r="I22" s="279">
        <f>VLOOKUP($B22,'KU Depr Rates'!$A$16:$R$500,18,)</f>
        <v>27.5</v>
      </c>
      <c r="J22" s="280" t="str">
        <f>VLOOKUP($B22,'KU Depr Rates'!$A$16:$R$500,16,)</f>
        <v>100-R2.5</v>
      </c>
    </row>
    <row r="23" spans="1:10" ht="18.95" customHeight="1">
      <c r="A23" s="70">
        <f t="shared" si="0"/>
        <v>9</v>
      </c>
      <c r="B23" s="271">
        <v>312</v>
      </c>
      <c r="C23" s="78" t="s">
        <v>1629</v>
      </c>
      <c r="D23" s="88">
        <f>'SCH B-2.1 B'!H21</f>
        <v>2401346702.4302602</v>
      </c>
      <c r="E23" s="88">
        <f>-'SCH B-3 B'!I22</f>
        <v>1006299317.6441963</v>
      </c>
      <c r="F23" s="151">
        <f>VLOOKUP($B23,'KU Depr Rates'!$A$16:$R$450,8,)/100</f>
        <v>2.8300000000000002E-2</v>
      </c>
      <c r="G23" s="88">
        <f t="shared" ref="G23" si="4">D23*F23</f>
        <v>67958111.678776368</v>
      </c>
      <c r="H23" s="152" t="str">
        <f>VLOOKUP($B23,'KU Depr Rates'!$A$16:$R$500,6,)</f>
        <v>-6%,-7%,-10%,-13%</v>
      </c>
      <c r="I23" s="279">
        <f>VLOOKUP($B23,'KU Depr Rates'!$A$16:$R$500,18,)</f>
        <v>21.8</v>
      </c>
      <c r="J23" s="280" t="str">
        <f>VLOOKUP($B23,'KU Depr Rates'!$A$16:$R$500,16,)</f>
        <v>65-R2, 100-S4</v>
      </c>
    </row>
    <row r="24" spans="1:10" ht="18.95" customHeight="1">
      <c r="A24" s="70">
        <f>A22+1</f>
        <v>9</v>
      </c>
      <c r="B24" s="271">
        <v>313</v>
      </c>
      <c r="C24" s="78" t="s">
        <v>144</v>
      </c>
      <c r="D24" s="88">
        <f>'SCH B-2.1 B'!H22</f>
        <v>0</v>
      </c>
      <c r="E24" s="88">
        <f>-'SCH B-3 B'!I23</f>
        <v>0</v>
      </c>
      <c r="F24" s="151"/>
      <c r="G24" s="88"/>
      <c r="H24" s="88"/>
      <c r="I24" s="88"/>
      <c r="J24" s="156"/>
    </row>
    <row r="25" spans="1:10" ht="18.95" customHeight="1">
      <c r="A25" s="70">
        <f>A23+1</f>
        <v>10</v>
      </c>
      <c r="B25" s="271">
        <v>314</v>
      </c>
      <c r="C25" s="78" t="s">
        <v>1631</v>
      </c>
      <c r="D25" s="88">
        <f>'SCH B-2.1 B'!H23</f>
        <v>306906537.85934842</v>
      </c>
      <c r="E25" s="88">
        <f>-'SCH B-3 B'!I24</f>
        <v>142452891.87712073</v>
      </c>
      <c r="F25" s="151">
        <f>VLOOKUP($B25,'KU Depr Rates'!$A$16:$R$450,8,)/100</f>
        <v>2.2200000000000001E-2</v>
      </c>
      <c r="G25" s="88">
        <f t="shared" ref="G25:G27" si="5">D25*F25</f>
        <v>6813325.1404775353</v>
      </c>
      <c r="H25" s="152" t="str">
        <f>VLOOKUP($B25,'KU Depr Rates'!$A$16:$R$500,6,)</f>
        <v>-6%,-7%,-13%</v>
      </c>
      <c r="I25" s="279">
        <f>VLOOKUP($B25,'KU Depr Rates'!$A$16:$R$500,18,)</f>
        <v>23</v>
      </c>
      <c r="J25" s="280" t="str">
        <f>VLOOKUP($B25,'KU Depr Rates'!$A$16:$R$500,16,)</f>
        <v>60-R-2</v>
      </c>
    </row>
    <row r="26" spans="1:10" ht="18.95" customHeight="1">
      <c r="A26" s="70">
        <f t="shared" si="0"/>
        <v>11</v>
      </c>
      <c r="B26" s="271">
        <v>315</v>
      </c>
      <c r="C26" s="78" t="s">
        <v>1633</v>
      </c>
      <c r="D26" s="88">
        <f>'SCH B-2.1 B'!H24</f>
        <v>188266106.47125074</v>
      </c>
      <c r="E26" s="88">
        <f>-'SCH B-3 B'!I25</f>
        <v>98461913.774841189</v>
      </c>
      <c r="F26" s="151">
        <f>VLOOKUP($B26,'KU Depr Rates'!$A$16:$R$450,8,)/100</f>
        <v>2.5000000000000001E-2</v>
      </c>
      <c r="G26" s="88">
        <f t="shared" si="5"/>
        <v>4706652.6617812691</v>
      </c>
      <c r="H26" s="152" t="str">
        <f>VLOOKUP($B26,'KU Depr Rates'!$A$16:$R$500,6,)</f>
        <v>-6%,-7%,-10%,-13%</v>
      </c>
      <c r="I26" s="279">
        <f>VLOOKUP($B26,'KU Depr Rates'!$A$16:$R$500,18,)</f>
        <v>24.1</v>
      </c>
      <c r="J26" s="280" t="str">
        <f>VLOOKUP($B26,'KU Depr Rates'!$A$16:$R$500,16,)</f>
        <v>70-S3</v>
      </c>
    </row>
    <row r="27" spans="1:10" ht="18.95" customHeight="1">
      <c r="A27" s="70">
        <f t="shared" si="0"/>
        <v>12</v>
      </c>
      <c r="B27" s="271">
        <v>316</v>
      </c>
      <c r="C27" s="78" t="s">
        <v>1635</v>
      </c>
      <c r="D27" s="88">
        <f>'SCH B-2.1 B'!H25</f>
        <v>32568485.928212307</v>
      </c>
      <c r="E27" s="88">
        <f>-'SCH B-3 B'!I26</f>
        <v>14660943.310594965</v>
      </c>
      <c r="F27" s="151">
        <f>VLOOKUP($B27,'KU Depr Rates'!$A$16:$R$450,8,)/100</f>
        <v>2.29E-2</v>
      </c>
      <c r="G27" s="88">
        <f t="shared" si="5"/>
        <v>745818.3277560618</v>
      </c>
      <c r="H27" s="152" t="str">
        <f>VLOOKUP($B27,'KU Depr Rates'!$A$16:$R$500,6,)</f>
        <v>-1%,-2%,-3%,-4%,-5%,-11%</v>
      </c>
      <c r="I27" s="279">
        <f>VLOOKUP($B27,'KU Depr Rates'!$A$16:$R$500,18,)</f>
        <v>25.8</v>
      </c>
      <c r="J27" s="280" t="str">
        <f>VLOOKUP($B27,'KU Depr Rates'!$A$16:$R$500,16,)</f>
        <v>75-R1.5</v>
      </c>
    </row>
    <row r="28" spans="1:10" ht="18.95" customHeight="1">
      <c r="A28" s="70">
        <f t="shared" si="0"/>
        <v>13</v>
      </c>
      <c r="B28" s="271">
        <v>317</v>
      </c>
      <c r="C28" s="78" t="s">
        <v>1655</v>
      </c>
      <c r="D28" s="89">
        <f>'SCH B-2.1 B'!H26</f>
        <v>-5.2604198455810547E-2</v>
      </c>
      <c r="E28" s="89">
        <f>-'SCH B-3 B'!I27</f>
        <v>0</v>
      </c>
      <c r="F28" s="151"/>
      <c r="G28" s="89"/>
      <c r="H28" s="152"/>
      <c r="I28" s="209"/>
      <c r="J28" s="91"/>
    </row>
    <row r="29" spans="1:10" ht="18.95" customHeight="1">
      <c r="A29" s="70">
        <f t="shared" si="0"/>
        <v>14</v>
      </c>
      <c r="B29" s="271"/>
      <c r="C29" s="78" t="s">
        <v>146</v>
      </c>
      <c r="D29" s="86">
        <f>SUM(D21:D28)</f>
        <v>3227778208.0557475</v>
      </c>
      <c r="E29" s="86">
        <f>SUM(E21:E28)</f>
        <v>1427021655.9778671</v>
      </c>
      <c r="F29" s="130"/>
      <c r="G29" s="86">
        <f>SUM(G21:G28)</f>
        <v>85997723.791548148</v>
      </c>
      <c r="H29" s="152"/>
      <c r="I29" s="86"/>
      <c r="J29" s="155"/>
    </row>
    <row r="30" spans="1:10" ht="18.95" customHeight="1">
      <c r="A30" s="70"/>
      <c r="B30" s="271"/>
      <c r="C30" s="78"/>
      <c r="H30" s="148"/>
      <c r="J30" s="143"/>
    </row>
    <row r="31" spans="1:10" ht="18.95" customHeight="1">
      <c r="A31" s="70">
        <f>A29+1</f>
        <v>15</v>
      </c>
      <c r="B31" s="271"/>
      <c r="C31" s="90" t="s">
        <v>47</v>
      </c>
      <c r="H31" s="148"/>
      <c r="J31" s="143"/>
    </row>
    <row r="32" spans="1:10" ht="18.95" customHeight="1">
      <c r="A32" s="70">
        <f t="shared" si="0"/>
        <v>16</v>
      </c>
      <c r="B32" s="271">
        <v>330</v>
      </c>
      <c r="C32" s="78" t="s">
        <v>154</v>
      </c>
      <c r="D32" s="88">
        <f>'SCH B-2.1 B'!H30</f>
        <v>750166.70146085031</v>
      </c>
      <c r="E32" s="88">
        <f>-'SCH B-3 B'!I31</f>
        <v>798625.24096724775</v>
      </c>
      <c r="F32" s="151">
        <f>VLOOKUP($B32,'KU Depr Rates'!$A$16:$R$500,8,)/100</f>
        <v>0</v>
      </c>
      <c r="G32" s="88">
        <f t="shared" ref="G32:G38" si="6">D32*F32</f>
        <v>0</v>
      </c>
      <c r="H32" s="152">
        <f>VLOOKUP($B32,'KU Depr Rates'!$A$16:$R$500,6,)/100</f>
        <v>0</v>
      </c>
      <c r="I32" s="279">
        <f>VLOOKUP($B32,'KU Depr Rates'!$A$16:$R$500,18,)</f>
        <v>0</v>
      </c>
      <c r="J32" s="280" t="str">
        <f>VLOOKUP($B32,'KU Depr Rates'!$A$16:$R$500,16,)</f>
        <v>100-R4</v>
      </c>
    </row>
    <row r="33" spans="1:10" ht="18.95" customHeight="1">
      <c r="A33" s="70">
        <f t="shared" si="0"/>
        <v>17</v>
      </c>
      <c r="B33" s="271">
        <v>331</v>
      </c>
      <c r="C33" s="78" t="s">
        <v>148</v>
      </c>
      <c r="D33" s="88">
        <f>'SCH B-2.1 B'!H31</f>
        <v>3851666.0632007006</v>
      </c>
      <c r="E33" s="88">
        <f>-'SCH B-3 B'!I32</f>
        <v>286537.04013124004</v>
      </c>
      <c r="F33" s="151">
        <f>VLOOKUP($B33,'KU Depr Rates'!$A$16:$R$500,8,)/100</f>
        <v>2.4799999999999999E-2</v>
      </c>
      <c r="G33" s="88">
        <f t="shared" si="6"/>
        <v>95521.318367377375</v>
      </c>
      <c r="H33" s="152">
        <f>VLOOKUP($B33,'KU Depr Rates'!$A$16:$R$500,6,)/100</f>
        <v>-0.03</v>
      </c>
      <c r="I33" s="279">
        <f>VLOOKUP($B33,'KU Depr Rates'!$A$16:$R$500,18,)</f>
        <v>24.7</v>
      </c>
      <c r="J33" s="280" t="str">
        <f>VLOOKUP($B33,'KU Depr Rates'!$A$16:$R$500,16,)</f>
        <v>90-S2.5</v>
      </c>
    </row>
    <row r="34" spans="1:10" ht="18.95" customHeight="1">
      <c r="A34" s="70">
        <f t="shared" si="0"/>
        <v>18</v>
      </c>
      <c r="B34" s="271">
        <v>332</v>
      </c>
      <c r="C34" s="78" t="s">
        <v>1640</v>
      </c>
      <c r="D34" s="88">
        <f>'SCH B-2.1 B'!H32</f>
        <v>19150261.029087551</v>
      </c>
      <c r="E34" s="88">
        <f>-'SCH B-3 B'!I33</f>
        <v>8655262.8670141213</v>
      </c>
      <c r="F34" s="151">
        <f>VLOOKUP($B34,'KU Depr Rates'!$A$16:$R$500,8,)/100</f>
        <v>2.6099999999999998E-2</v>
      </c>
      <c r="G34" s="88">
        <f t="shared" si="6"/>
        <v>499821.81285918504</v>
      </c>
      <c r="H34" s="152">
        <f>VLOOKUP($B34,'KU Depr Rates'!$A$16:$R$500,6,)/100</f>
        <v>-0.03</v>
      </c>
      <c r="I34" s="279">
        <f>VLOOKUP($B34,'KU Depr Rates'!$A$16:$R$500,18,)</f>
        <v>25.1</v>
      </c>
      <c r="J34" s="280" t="str">
        <f>VLOOKUP($B34,'KU Depr Rates'!$A$16:$R$500,16,)</f>
        <v>105-S2.5</v>
      </c>
    </row>
    <row r="35" spans="1:10" ht="18.95" customHeight="1">
      <c r="A35" s="70">
        <f t="shared" si="0"/>
        <v>19</v>
      </c>
      <c r="B35" s="271">
        <v>333</v>
      </c>
      <c r="C35" s="78" t="s">
        <v>1642</v>
      </c>
      <c r="D35" s="88">
        <f>'SCH B-2.1 B'!H33</f>
        <v>12263985.247503666</v>
      </c>
      <c r="E35" s="88">
        <f>-'SCH B-3 B'!I34</f>
        <v>2091611.1927589555</v>
      </c>
      <c r="F35" s="151">
        <f>VLOOKUP($B35,'KU Depr Rates'!$A$16:$R$500,8,)/100</f>
        <v>3.8600000000000002E-2</v>
      </c>
      <c r="G35" s="88">
        <f t="shared" si="6"/>
        <v>473389.83055364154</v>
      </c>
      <c r="H35" s="152">
        <f>VLOOKUP($B35,'KU Depr Rates'!$A$16:$R$500,6,)/100</f>
        <v>-0.03</v>
      </c>
      <c r="I35" s="279">
        <f>VLOOKUP($B35,'KU Depr Rates'!$A$16:$R$500,18,)</f>
        <v>25.2</v>
      </c>
      <c r="J35" s="280" t="str">
        <f>VLOOKUP($B35,'KU Depr Rates'!$A$16:$R$500,16,)</f>
        <v>75-R3</v>
      </c>
    </row>
    <row r="36" spans="1:10" ht="18.95" customHeight="1">
      <c r="A36" s="70">
        <f t="shared" si="0"/>
        <v>20</v>
      </c>
      <c r="B36" s="271">
        <v>334</v>
      </c>
      <c r="C36" s="78" t="s">
        <v>1633</v>
      </c>
      <c r="D36" s="88">
        <f>'SCH B-2.1 B'!H34</f>
        <v>1208129.1775905397</v>
      </c>
      <c r="E36" s="88">
        <f>-'SCH B-3 B'!I35</f>
        <v>324724.67749165656</v>
      </c>
      <c r="F36" s="151">
        <f>VLOOKUP($B36,'KU Depr Rates'!$A$16:$R$500,8,)/100</f>
        <v>3.8099999999999995E-2</v>
      </c>
      <c r="G36" s="88">
        <f t="shared" si="6"/>
        <v>46029.721666199555</v>
      </c>
      <c r="H36" s="152">
        <f>VLOOKUP($B36,'KU Depr Rates'!$A$16:$R$500,6,)/100</f>
        <v>-0.03</v>
      </c>
      <c r="I36" s="279">
        <f>VLOOKUP($B36,'KU Depr Rates'!$A$16:$R$500,18,)</f>
        <v>22.7</v>
      </c>
      <c r="J36" s="280" t="str">
        <f>VLOOKUP($B36,'KU Depr Rates'!$A$16:$R$500,16,)</f>
        <v>40-L2.5</v>
      </c>
    </row>
    <row r="37" spans="1:10" ht="18.95" customHeight="1">
      <c r="A37" s="70">
        <f t="shared" si="0"/>
        <v>21</v>
      </c>
      <c r="B37" s="271">
        <v>335</v>
      </c>
      <c r="C37" s="78" t="s">
        <v>1645</v>
      </c>
      <c r="D37" s="88">
        <f>'SCH B-2.1 B'!H35</f>
        <v>288055.04919837567</v>
      </c>
      <c r="E37" s="88">
        <f>-'SCH B-3 B'!I36</f>
        <v>136503.12882305175</v>
      </c>
      <c r="F37" s="151">
        <f>VLOOKUP($B37,'KU Depr Rates'!$A$16:$R$500,8,)/100</f>
        <v>3.7599999999999995E-2</v>
      </c>
      <c r="G37" s="88">
        <f t="shared" si="6"/>
        <v>10830.869849858924</v>
      </c>
      <c r="H37" s="152">
        <f>VLOOKUP($B37,'KU Depr Rates'!$A$16:$R$500,6,)/100</f>
        <v>-0.03</v>
      </c>
      <c r="I37" s="279">
        <f>VLOOKUP($B37,'KU Depr Rates'!$A$16:$R$500,18,)</f>
        <v>17.600000000000001</v>
      </c>
      <c r="J37" s="280" t="str">
        <f>VLOOKUP($B37,'KU Depr Rates'!$A$16:$R$500,16,)</f>
        <v>40-S0</v>
      </c>
    </row>
    <row r="38" spans="1:10" ht="18.95" customHeight="1">
      <c r="A38" s="70">
        <f t="shared" si="0"/>
        <v>22</v>
      </c>
      <c r="B38" s="271">
        <v>336</v>
      </c>
      <c r="C38" s="78" t="s">
        <v>1647</v>
      </c>
      <c r="D38" s="88">
        <f>'SCH B-2.1 B'!H36</f>
        <v>205602.43360659198</v>
      </c>
      <c r="E38" s="88">
        <f>-'SCH B-3 B'!I37</f>
        <v>83881.03329906908</v>
      </c>
      <c r="F38" s="151">
        <f>VLOOKUP($B38,'KU Depr Rates'!$A$16:$R$500,8,)/100</f>
        <v>3.3300000000000003E-2</v>
      </c>
      <c r="G38" s="88">
        <f t="shared" si="6"/>
        <v>6846.5610390995134</v>
      </c>
      <c r="H38" s="152">
        <f>VLOOKUP($B38,'KU Depr Rates'!$A$16:$R$500,6,)/100</f>
        <v>-0.03</v>
      </c>
      <c r="I38" s="279">
        <f>VLOOKUP($B38,'KU Depr Rates'!$A$16:$R$500,18,)</f>
        <v>21.9</v>
      </c>
      <c r="J38" s="280" t="str">
        <f>VLOOKUP($B38,'KU Depr Rates'!$A$16:$R$500,16,)</f>
        <v>60-R4</v>
      </c>
    </row>
    <row r="39" spans="1:10" ht="18.95" customHeight="1">
      <c r="A39" s="70">
        <f t="shared" si="0"/>
        <v>23</v>
      </c>
      <c r="B39" s="271">
        <v>337</v>
      </c>
      <c r="C39" s="78" t="s">
        <v>1656</v>
      </c>
      <c r="D39" s="89">
        <f>'SCH B-2.1 B'!H37</f>
        <v>0</v>
      </c>
      <c r="E39" s="89">
        <f>-'SCH B-3 B'!I38</f>
        <v>0</v>
      </c>
      <c r="F39" s="130"/>
      <c r="G39" s="89"/>
      <c r="H39" s="152"/>
      <c r="I39" s="88"/>
      <c r="J39" s="156"/>
    </row>
    <row r="40" spans="1:10" ht="18.95" customHeight="1">
      <c r="A40" s="70">
        <f t="shared" si="0"/>
        <v>24</v>
      </c>
      <c r="B40" s="271" t="s">
        <v>251</v>
      </c>
      <c r="C40" s="78" t="s">
        <v>147</v>
      </c>
      <c r="D40" s="86">
        <f>SUM(D32:D39)</f>
        <v>37717865.70164828</v>
      </c>
      <c r="E40" s="86">
        <f>SUM(E32:E39)</f>
        <v>12377145.180485344</v>
      </c>
      <c r="F40" s="86"/>
      <c r="G40" s="86">
        <f t="shared" ref="G40" si="7">SUM(G32:G39)</f>
        <v>1132440.1143353621</v>
      </c>
      <c r="H40" s="153"/>
      <c r="I40" s="86"/>
      <c r="J40" s="155"/>
    </row>
    <row r="41" spans="1:10" ht="18.95" customHeight="1">
      <c r="A41" s="70"/>
      <c r="B41" s="271"/>
      <c r="C41" s="78"/>
      <c r="D41" s="86"/>
      <c r="E41" s="86"/>
      <c r="F41" s="86"/>
      <c r="G41" s="86"/>
      <c r="H41" s="153"/>
      <c r="I41" s="86"/>
      <c r="J41" s="155"/>
    </row>
    <row r="42" spans="1:10" ht="18.95" customHeight="1">
      <c r="A42" s="70">
        <f>A40+1</f>
        <v>25</v>
      </c>
      <c r="B42" s="271"/>
      <c r="C42" s="90" t="s">
        <v>61</v>
      </c>
      <c r="H42" s="148"/>
      <c r="J42" s="143"/>
    </row>
    <row r="43" spans="1:10" ht="18.95" customHeight="1">
      <c r="A43" s="70">
        <f t="shared" si="0"/>
        <v>26</v>
      </c>
      <c r="B43" s="271">
        <v>340</v>
      </c>
      <c r="C43" s="78" t="s">
        <v>154</v>
      </c>
      <c r="D43" s="88">
        <f>'SCH B-2.1 B'!H41</f>
        <v>791517.91159849276</v>
      </c>
      <c r="E43" s="88">
        <f>-'SCH B-3 B'!I42</f>
        <v>112418.61740547568</v>
      </c>
      <c r="F43" s="151">
        <f>VLOOKUP($B43,'KU Depr Rates'!$A$16:$R$500,8,)/100</f>
        <v>2.1899999999999999E-2</v>
      </c>
      <c r="G43" s="88">
        <f t="shared" ref="G43:G46" si="8">D43*F43</f>
        <v>17334.242264006993</v>
      </c>
      <c r="H43" s="281">
        <f>VLOOKUP($B43,'KU Depr Rates'!$A$16:$R$500,6,)/100</f>
        <v>0</v>
      </c>
      <c r="I43" s="209">
        <f>VLOOKUP($B43,'KU Depr Rates'!$A$16:$R$500,18,)</f>
        <v>178.7</v>
      </c>
      <c r="J43" s="230" t="str">
        <f>VLOOKUP($B43,'KU Depr Rates'!$A$16:$R$500,16,)</f>
        <v>SQUARE</v>
      </c>
    </row>
    <row r="44" spans="1:10" ht="18.95" customHeight="1">
      <c r="A44" s="70">
        <f t="shared" si="0"/>
        <v>27</v>
      </c>
      <c r="B44" s="271">
        <v>341</v>
      </c>
      <c r="C44" s="78" t="s">
        <v>148</v>
      </c>
      <c r="D44" s="88">
        <f>'SCH B-2.1 B'!H42</f>
        <v>75914068.553590178</v>
      </c>
      <c r="E44" s="88">
        <f>-'SCH B-3 B'!I43</f>
        <v>23214876.079565942</v>
      </c>
      <c r="F44" s="151">
        <f>VLOOKUP($B44,'KU Depr Rates'!$A$16:$R$500,8,)/100</f>
        <v>3.3799999999999997E-2</v>
      </c>
      <c r="G44" s="88">
        <f t="shared" si="8"/>
        <v>2565895.517111348</v>
      </c>
      <c r="H44" s="88" t="str">
        <f>VLOOKUP($B44,'KU Depr Rates'!$A$16:$R$500,6,)</f>
        <v>-5%,-6%,-7%,-10%,-12%</v>
      </c>
      <c r="I44" s="209">
        <f>VLOOKUP($B44,'KU Depr Rates'!$A$16:$R$500,18,)</f>
        <v>25.9</v>
      </c>
      <c r="J44" s="230" t="str">
        <f>VLOOKUP($B44,'KU Depr Rates'!$A$16:$R$500,16,)</f>
        <v>50-R2.5</v>
      </c>
    </row>
    <row r="45" spans="1:10" ht="18.95" customHeight="1">
      <c r="A45" s="70">
        <f t="shared" si="0"/>
        <v>28</v>
      </c>
      <c r="B45" s="271">
        <v>342</v>
      </c>
      <c r="C45" s="78" t="s">
        <v>1652</v>
      </c>
      <c r="D45" s="88">
        <f>'SCH B-2.1 B'!H43</f>
        <v>55212639.308186963</v>
      </c>
      <c r="E45" s="88">
        <f>-'SCH B-3 B'!I44</f>
        <v>18664851.652729552</v>
      </c>
      <c r="F45" s="151">
        <f>VLOOKUP($B45,'KU Depr Rates'!$A$16:$R$500,8,)/100</f>
        <v>3.27E-2</v>
      </c>
      <c r="G45" s="88">
        <f t="shared" si="8"/>
        <v>1805453.3053777136</v>
      </c>
      <c r="H45" s="88" t="str">
        <f>VLOOKUP($B45,'KU Depr Rates'!$A$16:$R$500,6,)</f>
        <v>-6%,-7%,-10%,-12%</v>
      </c>
      <c r="I45" s="209">
        <f>VLOOKUP($B45,'KU Depr Rates'!$A$16:$R$500,18,)</f>
        <v>31.3</v>
      </c>
      <c r="J45" s="230" t="str">
        <f>VLOOKUP($B45,'KU Depr Rates'!$A$16:$R$500,16,)</f>
        <v>45-R2.5</v>
      </c>
    </row>
    <row r="46" spans="1:10" ht="18.95" customHeight="1">
      <c r="A46" s="70">
        <f t="shared" si="0"/>
        <v>29</v>
      </c>
      <c r="B46" s="271">
        <v>343</v>
      </c>
      <c r="C46" s="78" t="s">
        <v>1654</v>
      </c>
      <c r="D46" s="88">
        <f>'SCH B-2.1 B'!H44</f>
        <v>580221890.9895519</v>
      </c>
      <c r="E46" s="88">
        <f>-'SCH B-3 B'!I45</f>
        <v>192989314.60843033</v>
      </c>
      <c r="F46" s="151">
        <f>VLOOKUP($B46,'KU Depr Rates'!$A$16:$R$500,8,)/100</f>
        <v>4.6300000000000001E-2</v>
      </c>
      <c r="G46" s="88">
        <f t="shared" si="8"/>
        <v>26864273.552816253</v>
      </c>
      <c r="H46" s="88" t="str">
        <f>VLOOKUP($B46,'KU Depr Rates'!$A$16:$R$500,6,)</f>
        <v>-6%,-7%,-12%</v>
      </c>
      <c r="I46" s="209">
        <f>VLOOKUP($B46,'KU Depr Rates'!$A$16:$R$500,18,)</f>
        <v>16</v>
      </c>
      <c r="J46" s="230" t="str">
        <f>VLOOKUP($B46,'KU Depr Rates'!$A$16:$R$500,16,)</f>
        <v>35-R1.5</v>
      </c>
    </row>
    <row r="47" spans="1:10" ht="18.95" customHeight="1">
      <c r="A47" s="70">
        <f>A46+1</f>
        <v>30</v>
      </c>
      <c r="B47" s="271">
        <v>344</v>
      </c>
      <c r="C47" s="78" t="s">
        <v>1658</v>
      </c>
      <c r="D47" s="88">
        <f>'SCH B-2.1 B'!H56</f>
        <v>115417960.88964367</v>
      </c>
      <c r="E47" s="88">
        <f>-'SCH B-3 B'!I58</f>
        <v>40023873.787277006</v>
      </c>
      <c r="F47" s="151">
        <f>VLOOKUP($B47,'KU Depr Rates'!$A$16:$R$500,8,)/100</f>
        <v>3.2599999999999997E-2</v>
      </c>
      <c r="G47" s="88">
        <f t="shared" ref="G47:G49" si="9">D47*F47</f>
        <v>3762625.5250023832</v>
      </c>
      <c r="H47" s="88" t="str">
        <f>VLOOKUP($B47,'KU Depr Rates'!$A$16:$R$500,6,)</f>
        <v>-5%,-6%,-7%,-10%,-12%</v>
      </c>
      <c r="I47" s="209">
        <f>VLOOKUP($B47,'KU Depr Rates'!$A$16:$R$500,18,)</f>
        <v>28</v>
      </c>
      <c r="J47" s="230" t="str">
        <f>VLOOKUP($B47,'KU Depr Rates'!$A$16:$R$500,16,)</f>
        <v>55-S2.5</v>
      </c>
    </row>
    <row r="48" spans="1:10" ht="18.95" customHeight="1">
      <c r="A48" s="70">
        <f t="shared" si="0"/>
        <v>31</v>
      </c>
      <c r="B48" s="271">
        <v>345</v>
      </c>
      <c r="C48" s="78" t="s">
        <v>1633</v>
      </c>
      <c r="D48" s="88">
        <f>'SCH B-2.1 B'!H57</f>
        <v>68815974.647554457</v>
      </c>
      <c r="E48" s="88">
        <f>-'SCH B-3 B'!I59</f>
        <v>24991307.312129084</v>
      </c>
      <c r="F48" s="151">
        <f>VLOOKUP($B48,'KU Depr Rates'!$A$16:$R$500,8,)/100</f>
        <v>3.9599999999999996E-2</v>
      </c>
      <c r="G48" s="88">
        <f t="shared" si="9"/>
        <v>2725112.5960431565</v>
      </c>
      <c r="H48" s="88" t="str">
        <f>VLOOKUP($B48,'KU Depr Rates'!$A$16:$R$500,6,)</f>
        <v>-5%,-6%,-7%,-10%,-12%</v>
      </c>
      <c r="I48" s="209">
        <f>VLOOKUP($B48,'KU Depr Rates'!$A$16:$R$500,18,)</f>
        <v>20.399999999999999</v>
      </c>
      <c r="J48" s="230" t="str">
        <f>VLOOKUP($B48,'KU Depr Rates'!$A$16:$R$500,16,)</f>
        <v>50-R3</v>
      </c>
    </row>
    <row r="49" spans="1:10" ht="18.95" customHeight="1">
      <c r="A49" s="70">
        <f t="shared" si="0"/>
        <v>32</v>
      </c>
      <c r="B49" s="271">
        <v>346</v>
      </c>
      <c r="C49" s="78" t="s">
        <v>1645</v>
      </c>
      <c r="D49" s="88">
        <f>'SCH B-2.1 B'!H58</f>
        <v>8508722.9099740274</v>
      </c>
      <c r="E49" s="88">
        <f>-'SCH B-3 B'!I60</f>
        <v>3273869.5037598838</v>
      </c>
      <c r="F49" s="151">
        <f>VLOOKUP($B49,'KU Depr Rates'!$A$16:$R$500,8,)/100</f>
        <v>4.36E-2</v>
      </c>
      <c r="G49" s="88">
        <f t="shared" si="9"/>
        <v>370980.31887486757</v>
      </c>
      <c r="H49" s="88" t="str">
        <f>VLOOKUP($B49,'KU Depr Rates'!$A$16:$R$500,6,)</f>
        <v>-6%,-7%,-10%,-12%</v>
      </c>
      <c r="I49" s="209">
        <f>VLOOKUP($B49,'KU Depr Rates'!$A$16:$R$500,18,)</f>
        <v>12.6</v>
      </c>
      <c r="J49" s="230" t="str">
        <f>VLOOKUP($B49,'KU Depr Rates'!$A$16:$R$500,16,)</f>
        <v>40-R2</v>
      </c>
    </row>
    <row r="50" spans="1:10" ht="18.95" customHeight="1">
      <c r="A50" s="70">
        <f t="shared" si="0"/>
        <v>33</v>
      </c>
      <c r="B50" s="271">
        <v>347</v>
      </c>
      <c r="C50" s="78" t="s">
        <v>1696</v>
      </c>
      <c r="D50" s="89">
        <f>'SCH B-2.1 B'!H59</f>
        <v>0</v>
      </c>
      <c r="E50" s="89">
        <f>-'SCH B-3 B'!I61</f>
        <v>0</v>
      </c>
      <c r="F50" s="130"/>
      <c r="G50" s="89"/>
      <c r="H50" s="130"/>
      <c r="I50" s="88"/>
      <c r="J50" s="88"/>
    </row>
    <row r="51" spans="1:10" ht="18.95" customHeight="1">
      <c r="A51" s="70">
        <f t="shared" si="0"/>
        <v>34</v>
      </c>
      <c r="B51" s="271"/>
      <c r="C51" s="78" t="s">
        <v>145</v>
      </c>
      <c r="D51" s="86">
        <f>SUM(D43:D46,D47:D50)</f>
        <v>904882775.21009958</v>
      </c>
      <c r="E51" s="86">
        <f>SUM(E43:E46,E47:E50)</f>
        <v>303270511.56129724</v>
      </c>
      <c r="F51" s="86"/>
      <c r="G51" s="86">
        <f>SUM(G43:G46,G47:G50)</f>
        <v>38111675.057489723</v>
      </c>
      <c r="H51" s="86"/>
      <c r="I51" s="86"/>
      <c r="J51" s="86"/>
    </row>
    <row r="52" spans="1:10" ht="18.95" customHeight="1">
      <c r="A52" s="70"/>
      <c r="B52" s="271"/>
    </row>
    <row r="53" spans="1:10" ht="18.95" customHeight="1">
      <c r="A53" s="70">
        <f>A51+1</f>
        <v>35</v>
      </c>
      <c r="B53" s="271"/>
      <c r="C53" s="90" t="s">
        <v>84</v>
      </c>
    </row>
    <row r="54" spans="1:10" ht="18.95" customHeight="1">
      <c r="A54" s="70">
        <f t="shared" si="0"/>
        <v>36</v>
      </c>
      <c r="B54" s="271">
        <v>350</v>
      </c>
      <c r="C54" s="78" t="s">
        <v>154</v>
      </c>
      <c r="D54" s="88">
        <f>'SCH B-2.1 B'!H63</f>
        <v>28660253.599992216</v>
      </c>
      <c r="E54" s="88">
        <f>-'SCH B-3 B'!I65</f>
        <v>15572518.59153006</v>
      </c>
      <c r="F54" s="151">
        <f>VLOOKUP($B54,'KU Depr Rates'!$A$16:$R$500,8,)/100</f>
        <v>8.6E-3</v>
      </c>
      <c r="G54" s="88">
        <f t="shared" ref="G54" si="10">D54*F54</f>
        <v>246478.18095993306</v>
      </c>
      <c r="H54" s="152">
        <f>VLOOKUP($B54,'KU Depr Rates'!$A$16:$R$500,6,)/100</f>
        <v>0</v>
      </c>
      <c r="I54" s="209">
        <f>VLOOKUP($B54,'KU Depr Rates'!$A$16:$R$500,18,)</f>
        <v>48.9</v>
      </c>
      <c r="J54" s="230" t="str">
        <f>VLOOKUP($B54,'KU Depr Rates'!$A$16:$R$500,16,)</f>
        <v>70-R3</v>
      </c>
    </row>
    <row r="55" spans="1:10" ht="18.95" customHeight="1">
      <c r="A55" s="70">
        <f t="shared" si="0"/>
        <v>37</v>
      </c>
      <c r="B55" s="271">
        <v>352</v>
      </c>
      <c r="C55" s="78" t="s">
        <v>148</v>
      </c>
      <c r="D55" s="88">
        <f>'SCH B-2.1 B'!H64</f>
        <v>26555599.450458981</v>
      </c>
      <c r="E55" s="88">
        <f>-'SCH B-3 B'!I66</f>
        <v>6676468.0804403313</v>
      </c>
      <c r="F55" s="151">
        <f>VLOOKUP($B55,'KU Depr Rates'!$A$16:$R$500,8,)/100</f>
        <v>1.66E-2</v>
      </c>
      <c r="G55" s="88">
        <f t="shared" ref="G55:G61" si="11">D55*F55</f>
        <v>440822.95087761909</v>
      </c>
      <c r="H55" s="281">
        <f>VLOOKUP($B55,'KU Depr Rates'!$A$16:$R$500,6,)/100</f>
        <v>-2.5000000000000001E-3</v>
      </c>
      <c r="I55" s="209" t="str">
        <f>VLOOKUP($B55,'KU Depr Rates'!$A$16:$R$500,18,)</f>
        <v>47.9-59.5</v>
      </c>
      <c r="J55" s="230" t="str">
        <f>VLOOKUP($B55,'KU Depr Rates'!$A$16:$R$500,16,)</f>
        <v>65-R3,70-R3</v>
      </c>
    </row>
    <row r="56" spans="1:10" ht="18.95" customHeight="1">
      <c r="A56" s="70">
        <f t="shared" si="0"/>
        <v>38</v>
      </c>
      <c r="B56" s="271">
        <v>353</v>
      </c>
      <c r="C56" s="78" t="s">
        <v>149</v>
      </c>
      <c r="D56" s="88">
        <f>'SCH B-2.1 B'!H65</f>
        <v>312836657.630041</v>
      </c>
      <c r="E56" s="88">
        <f>-'SCH B-3 B'!I67</f>
        <v>71275717.441850141</v>
      </c>
      <c r="F56" s="151">
        <f>VLOOKUP($B56,'KU Depr Rates'!$A$16:$R$500,8,)/100</f>
        <v>1.67E-2</v>
      </c>
      <c r="G56" s="88">
        <f t="shared" si="11"/>
        <v>5224372.1824216843</v>
      </c>
      <c r="H56" s="281">
        <f>VLOOKUP($B56,'KU Depr Rates'!$A$16:$R$500,6,)/100</f>
        <v>-1E-3</v>
      </c>
      <c r="I56" s="209">
        <f>VLOOKUP($B56,'KU Depr Rates'!$A$16:$R$500,18,)</f>
        <v>46</v>
      </c>
      <c r="J56" s="230" t="str">
        <f>VLOOKUP($B56,'KU Depr Rates'!$A$16:$R$500,16,)</f>
        <v>45-R2,60-R2</v>
      </c>
    </row>
    <row r="57" spans="1:10" ht="18.95" customHeight="1">
      <c r="A57" s="70">
        <f t="shared" si="0"/>
        <v>39</v>
      </c>
      <c r="B57" s="271">
        <v>354</v>
      </c>
      <c r="C57" s="78" t="s">
        <v>1666</v>
      </c>
      <c r="D57" s="88">
        <f>'SCH B-2.1 B'!H66</f>
        <v>71598563.30399175</v>
      </c>
      <c r="E57" s="88">
        <f>-'SCH B-3 B'!I68</f>
        <v>45776815.535093158</v>
      </c>
      <c r="F57" s="151">
        <f>VLOOKUP($B57,'KU Depr Rates'!$A$16:$R$500,8,)/100</f>
        <v>1.6900000000000002E-2</v>
      </c>
      <c r="G57" s="88">
        <f t="shared" si="11"/>
        <v>1210015.7198374607</v>
      </c>
      <c r="H57" s="281">
        <f>VLOOKUP($B57,'KU Depr Rates'!$A$16:$R$500,6,)/100</f>
        <v>-0.25</v>
      </c>
      <c r="I57" s="209">
        <f>VLOOKUP($B57,'KU Depr Rates'!$A$16:$R$500,18,)</f>
        <v>44.8</v>
      </c>
      <c r="J57" s="230" t="str">
        <f>VLOOKUP($B57,'KU Depr Rates'!$A$16:$R$500,16,)</f>
        <v>70-R4</v>
      </c>
    </row>
    <row r="58" spans="1:10" ht="18.95" customHeight="1">
      <c r="A58" s="70">
        <f t="shared" si="0"/>
        <v>40</v>
      </c>
      <c r="B58" s="271">
        <v>355</v>
      </c>
      <c r="C58" s="78" t="s">
        <v>1668</v>
      </c>
      <c r="D58" s="88">
        <f>'SCH B-2.1 B'!H67</f>
        <v>361879130.64449811</v>
      </c>
      <c r="E58" s="88">
        <f>-'SCH B-3 B'!I69</f>
        <v>64080060.552757554</v>
      </c>
      <c r="F58" s="151">
        <f>VLOOKUP($B58,'KU Depr Rates'!$A$16:$R$500,8,)/100</f>
        <v>2.9300000000000003E-2</v>
      </c>
      <c r="G58" s="88">
        <f t="shared" si="11"/>
        <v>10603058.527883796</v>
      </c>
      <c r="H58" s="281">
        <f>VLOOKUP($B58,'KU Depr Rates'!$A$16:$R$500,6,)/100</f>
        <v>-0.55000000000000004</v>
      </c>
      <c r="I58" s="209">
        <f>VLOOKUP($B58,'KU Depr Rates'!$A$16:$R$500,18,)</f>
        <v>48.8</v>
      </c>
      <c r="J58" s="230" t="str">
        <f>VLOOKUP($B58,'KU Depr Rates'!$A$16:$R$500,16,)</f>
        <v>58-R2</v>
      </c>
    </row>
    <row r="59" spans="1:10" ht="18.95" customHeight="1">
      <c r="A59" s="70">
        <f t="shared" si="0"/>
        <v>41</v>
      </c>
      <c r="B59" s="271">
        <v>356</v>
      </c>
      <c r="C59" s="78" t="s">
        <v>1670</v>
      </c>
      <c r="D59" s="88">
        <f>'SCH B-2.1 B'!H68</f>
        <v>165440103.47962424</v>
      </c>
      <c r="E59" s="88">
        <f>-'SCH B-3 B'!I70</f>
        <v>101133966.85109283</v>
      </c>
      <c r="F59" s="151">
        <f>VLOOKUP($B59,'KU Depr Rates'!$A$16:$R$500,8,)/100</f>
        <v>2.5399999999999999E-2</v>
      </c>
      <c r="G59" s="88">
        <f t="shared" si="11"/>
        <v>4202178.6283824556</v>
      </c>
      <c r="H59" s="281">
        <f>VLOOKUP($B59,'KU Depr Rates'!$A$16:$R$500,6,)/100</f>
        <v>-0.5</v>
      </c>
      <c r="I59" s="209">
        <f>VLOOKUP($B59,'KU Depr Rates'!$A$16:$R$500,18,)</f>
        <v>43.8</v>
      </c>
      <c r="J59" s="230" t="str">
        <f>VLOOKUP($B59,'KU Depr Rates'!$A$16:$R$500,16,)</f>
        <v>65-R3</v>
      </c>
    </row>
    <row r="60" spans="1:10" ht="18.95" customHeight="1">
      <c r="A60" s="70">
        <f t="shared" si="0"/>
        <v>42</v>
      </c>
      <c r="B60" s="271">
        <v>357</v>
      </c>
      <c r="C60" s="78" t="s">
        <v>1672</v>
      </c>
      <c r="D60" s="88">
        <f>'SCH B-2.1 B'!H69</f>
        <v>427773.60699776676</v>
      </c>
      <c r="E60" s="88">
        <f>-'SCH B-3 B'!I71</f>
        <v>223665.0031397772</v>
      </c>
      <c r="F60" s="151">
        <f>VLOOKUP($B60,'KU Depr Rates'!$A$16:$R$500,8,)/100</f>
        <v>1.7000000000000001E-2</v>
      </c>
      <c r="G60" s="88">
        <f t="shared" si="11"/>
        <v>7272.1513189620355</v>
      </c>
      <c r="H60" s="281">
        <f>VLOOKUP($B60,'KU Depr Rates'!$A$16:$R$500,6,)/100</f>
        <v>0</v>
      </c>
      <c r="I60" s="209">
        <f>VLOOKUP($B60,'KU Depr Rates'!$A$16:$R$500,18,)</f>
        <v>28.7</v>
      </c>
      <c r="J60" s="230" t="str">
        <f>VLOOKUP($B60,'KU Depr Rates'!$A$16:$R$500,16,)</f>
        <v>50-R4</v>
      </c>
    </row>
    <row r="61" spans="1:10" ht="18.95" customHeight="1">
      <c r="A61" s="70">
        <f t="shared" si="0"/>
        <v>43</v>
      </c>
      <c r="B61" s="271">
        <v>358</v>
      </c>
      <c r="C61" s="78" t="s">
        <v>1674</v>
      </c>
      <c r="D61" s="88">
        <f>'SCH B-2.1 B'!H70</f>
        <v>1239491.7201451901</v>
      </c>
      <c r="E61" s="88">
        <f>-'SCH B-3 B'!I72</f>
        <v>836112.22163944494</v>
      </c>
      <c r="F61" s="151">
        <f>VLOOKUP($B61,'KU Depr Rates'!$A$16:$R$500,8,)/100</f>
        <v>7.4000000000000003E-3</v>
      </c>
      <c r="G61" s="88">
        <f t="shared" si="11"/>
        <v>9172.2387290744082</v>
      </c>
      <c r="H61" s="281">
        <f>VLOOKUP($B61,'KU Depr Rates'!$A$16:$R$500,6,)/100</f>
        <v>0</v>
      </c>
      <c r="I61" s="209">
        <f>VLOOKUP($B61,'KU Depr Rates'!$A$16:$R$500,18,)</f>
        <v>23.6</v>
      </c>
      <c r="J61" s="230" t="str">
        <f>VLOOKUP($B61,'KU Depr Rates'!$A$16:$R$500,16,)</f>
        <v>40-R3</v>
      </c>
    </row>
    <row r="62" spans="1:10" ht="18.95" customHeight="1">
      <c r="A62" s="70">
        <f t="shared" si="0"/>
        <v>44</v>
      </c>
      <c r="B62" s="271">
        <v>359</v>
      </c>
      <c r="C62" s="78" t="s">
        <v>152</v>
      </c>
      <c r="D62" s="89">
        <f>'SCH B-2.1 B'!H71</f>
        <v>0</v>
      </c>
      <c r="E62" s="89">
        <f>-'SCH B-3 B'!I73</f>
        <v>0</v>
      </c>
      <c r="F62" s="130"/>
      <c r="G62" s="89">
        <f t="shared" ref="G62" si="12">D62*F62</f>
        <v>0</v>
      </c>
      <c r="H62" s="152"/>
      <c r="I62" s="88"/>
      <c r="J62" s="88"/>
    </row>
    <row r="63" spans="1:10" ht="18.95" customHeight="1">
      <c r="A63" s="70">
        <f t="shared" si="0"/>
        <v>45</v>
      </c>
      <c r="B63" s="271"/>
      <c r="C63" s="78" t="s">
        <v>150</v>
      </c>
      <c r="D63" s="86">
        <f>SUM(D54:D62)</f>
        <v>968637573.43574929</v>
      </c>
      <c r="E63" s="86">
        <f>SUM(E54:E62)</f>
        <v>305575324.27754331</v>
      </c>
      <c r="F63" s="86"/>
      <c r="G63" s="86">
        <f t="shared" ref="G63" si="13">SUM(G54:G62)</f>
        <v>21943370.580410987</v>
      </c>
      <c r="H63" s="153"/>
      <c r="I63" s="86"/>
      <c r="J63" s="86"/>
    </row>
    <row r="64" spans="1:10" s="68" customFormat="1" ht="20.100000000000001" customHeight="1">
      <c r="A64" s="769" t="str">
        <f>$A$1</f>
        <v>KENTUCKY UTILITIES COMPANY</v>
      </c>
      <c r="B64" s="769"/>
      <c r="C64" s="769"/>
      <c r="D64" s="769"/>
      <c r="E64" s="769"/>
      <c r="F64" s="769"/>
      <c r="G64" s="769"/>
      <c r="H64" s="769"/>
      <c r="I64" s="769"/>
      <c r="J64" s="769"/>
    </row>
    <row r="65" spans="1:10" s="68" customFormat="1" ht="20.100000000000001" customHeight="1">
      <c r="A65" s="769" t="str">
        <f>$A$2</f>
        <v>CASE NO. 2018-00294 - RESPONSE TO PSC 2-65 (SLIPPAGE FACTOR 96.027%)</v>
      </c>
      <c r="B65" s="769"/>
      <c r="C65" s="769"/>
      <c r="D65" s="769"/>
      <c r="E65" s="769"/>
      <c r="F65" s="769"/>
      <c r="G65" s="769"/>
      <c r="H65" s="769"/>
      <c r="I65" s="769"/>
      <c r="J65" s="769"/>
    </row>
    <row r="66" spans="1:10" s="68" customFormat="1" ht="20.100000000000001" customHeight="1">
      <c r="A66" s="769" t="str">
        <f>$A$3</f>
        <v>DEPRECIATION ACCRUAL RATES AND ACCUMULATED BALANCES BY ACCOUNT</v>
      </c>
      <c r="B66" s="769"/>
      <c r="C66" s="769"/>
      <c r="D66" s="769"/>
      <c r="E66" s="769"/>
      <c r="F66" s="769"/>
      <c r="G66" s="769"/>
      <c r="H66" s="769"/>
      <c r="I66" s="769"/>
      <c r="J66" s="769"/>
    </row>
    <row r="67" spans="1:10" s="68" customFormat="1" ht="20.100000000000001" customHeight="1">
      <c r="A67" s="768" t="str">
        <f>$A$4</f>
        <v>AS OF DECEMBER 31, 2018</v>
      </c>
      <c r="B67" s="769"/>
      <c r="C67" s="769"/>
      <c r="D67" s="769"/>
      <c r="E67" s="769"/>
      <c r="F67" s="769"/>
      <c r="G67" s="769"/>
      <c r="H67" s="769"/>
      <c r="I67" s="769"/>
      <c r="J67" s="769"/>
    </row>
    <row r="68" spans="1:10" s="68" customFormat="1" ht="20.100000000000001" customHeight="1">
      <c r="A68" s="92"/>
      <c r="B68" s="92"/>
      <c r="C68" s="92"/>
      <c r="D68" s="92"/>
      <c r="E68" s="92"/>
      <c r="F68" s="92"/>
      <c r="G68" s="92"/>
      <c r="H68" s="92"/>
      <c r="I68" s="208"/>
      <c r="J68" s="92"/>
    </row>
    <row r="69" spans="1:10" s="68" customFormat="1" ht="20.100000000000001" customHeight="1">
      <c r="A69" s="67" t="str">
        <f>$A$6</f>
        <v>DATA:__X__BASE  PERIOD____FORECASTED  PERIOD</v>
      </c>
      <c r="B69" s="67"/>
      <c r="I69" s="74"/>
      <c r="J69" s="74" t="s">
        <v>1242</v>
      </c>
    </row>
    <row r="70" spans="1:10" s="68" customFormat="1" ht="20.100000000000001" customHeight="1">
      <c r="A70" s="67" t="str">
        <f>$A$7</f>
        <v>TYPE OF FILING: __X__ ORIGINAL  _____ UPDATED  _____ REVISED</v>
      </c>
      <c r="I70" s="74"/>
      <c r="J70" s="74" t="s">
        <v>2063</v>
      </c>
    </row>
    <row r="71" spans="1:10" s="68" customFormat="1" ht="20.100000000000001" customHeight="1">
      <c r="A71" s="67" t="str">
        <f>$A$8</f>
        <v>WORKPAPER REFERENCE NO(S).:</v>
      </c>
      <c r="B71" s="67"/>
      <c r="G71" s="67"/>
      <c r="I71" s="75"/>
      <c r="J71" s="75" t="str">
        <f>$J$8</f>
        <v>WITNESS:   C. M. GARRETT</v>
      </c>
    </row>
    <row r="72" spans="1:10" s="68" customFormat="1" ht="20.100000000000001" customHeight="1"/>
    <row r="73" spans="1:10" s="68" customFormat="1" ht="20.100000000000001" customHeight="1">
      <c r="A73" s="96"/>
      <c r="B73" s="96"/>
      <c r="C73" s="96"/>
      <c r="D73" s="771" t="s">
        <v>227</v>
      </c>
      <c r="E73" s="771"/>
      <c r="F73" s="96"/>
      <c r="G73" s="96"/>
      <c r="H73" s="96"/>
      <c r="I73" s="96"/>
      <c r="J73" s="96"/>
    </row>
    <row r="74" spans="1:10" ht="48" customHeight="1">
      <c r="A74" s="71" t="s">
        <v>131</v>
      </c>
      <c r="B74" s="71" t="s">
        <v>134</v>
      </c>
      <c r="C74" s="78" t="s">
        <v>1244</v>
      </c>
      <c r="D74" s="71" t="s">
        <v>1245</v>
      </c>
      <c r="E74" s="71" t="s">
        <v>1246</v>
      </c>
      <c r="F74" s="71" t="s">
        <v>3412</v>
      </c>
      <c r="G74" s="71" t="s">
        <v>1247</v>
      </c>
      <c r="H74" s="71" t="s">
        <v>1249</v>
      </c>
      <c r="I74" s="71" t="s">
        <v>1838</v>
      </c>
      <c r="J74" s="71" t="s">
        <v>1250</v>
      </c>
    </row>
    <row r="75" spans="1:10" ht="18.95" customHeight="1">
      <c r="A75" s="98" t="s">
        <v>1220</v>
      </c>
      <c r="B75" s="98" t="s">
        <v>1221</v>
      </c>
      <c r="C75" s="98" t="s">
        <v>1224</v>
      </c>
      <c r="D75" s="98" t="s">
        <v>1232</v>
      </c>
      <c r="E75" s="98" t="s">
        <v>1233</v>
      </c>
      <c r="F75" s="98" t="s">
        <v>1234</v>
      </c>
      <c r="G75" s="98" t="s">
        <v>1248</v>
      </c>
      <c r="H75" s="98" t="s">
        <v>1236</v>
      </c>
      <c r="I75" s="98" t="s">
        <v>1237</v>
      </c>
      <c r="J75" s="98" t="s">
        <v>1251</v>
      </c>
    </row>
    <row r="76" spans="1:10" ht="23.1" customHeight="1">
      <c r="A76" s="80"/>
      <c r="B76" s="80"/>
      <c r="C76" s="81"/>
      <c r="D76" s="82" t="s">
        <v>142</v>
      </c>
      <c r="E76" s="82" t="s">
        <v>142</v>
      </c>
      <c r="F76" s="82"/>
      <c r="G76" s="82" t="s">
        <v>142</v>
      </c>
      <c r="H76" s="82"/>
      <c r="I76" s="82"/>
      <c r="J76" s="82"/>
    </row>
    <row r="77" spans="1:10" ht="18.95" customHeight="1">
      <c r="A77" s="70">
        <f>A63+1</f>
        <v>46</v>
      </c>
      <c r="B77" s="271" t="s">
        <v>251</v>
      </c>
      <c r="C77" s="90" t="s">
        <v>16</v>
      </c>
      <c r="H77" s="148"/>
    </row>
    <row r="78" spans="1:10" ht="18.95" customHeight="1">
      <c r="A78" s="70">
        <f t="shared" si="0"/>
        <v>47</v>
      </c>
      <c r="B78" s="271">
        <v>360</v>
      </c>
      <c r="C78" s="78" t="s">
        <v>154</v>
      </c>
      <c r="D78" s="88">
        <f>'SCH B-2.1 B'!H75</f>
        <v>9114594.0063599907</v>
      </c>
      <c r="E78" s="88">
        <f>-'SCH B-3 B'!I77</f>
        <v>1406442.4477166685</v>
      </c>
      <c r="F78" s="151">
        <f>VLOOKUP($B78,'KU Depr Rates'!$A$16:$R$500,8,)/100</f>
        <v>6.4000000000000003E-3</v>
      </c>
      <c r="G78" s="88">
        <f t="shared" ref="G78" si="14">D78*F78</f>
        <v>58333.401640703945</v>
      </c>
      <c r="H78" s="281">
        <f>VLOOKUP($B78,'KU Depr Rates'!$A$16:$R$500,6,)/100</f>
        <v>0</v>
      </c>
      <c r="I78" s="209">
        <f>VLOOKUP($B78,'KU Depr Rates'!$A$16:$R$500,18,)</f>
        <v>51.4</v>
      </c>
      <c r="J78" s="641" t="str">
        <f>VLOOKUP($B78,'KU Depr Rates'!$A$16:$R$500,16,)</f>
        <v>70-R4</v>
      </c>
    </row>
    <row r="79" spans="1:10" ht="18.95" customHeight="1">
      <c r="A79" s="70">
        <f t="shared" si="0"/>
        <v>48</v>
      </c>
      <c r="B79" s="271">
        <v>361</v>
      </c>
      <c r="C79" s="78" t="s">
        <v>148</v>
      </c>
      <c r="D79" s="88">
        <f>'SCH B-2.1 B'!H76</f>
        <v>19597540.210811999</v>
      </c>
      <c r="E79" s="88">
        <f>-'SCH B-3 B'!I78</f>
        <v>2525989.5119524929</v>
      </c>
      <c r="F79" s="151">
        <f>VLOOKUP($B79,'KU Depr Rates'!$A$16:$R$500,8,)/100</f>
        <v>2.1499999999999998E-2</v>
      </c>
      <c r="G79" s="88">
        <f t="shared" ref="G79:G89" si="15">D79*F79</f>
        <v>421347.11453245796</v>
      </c>
      <c r="H79" s="281">
        <f>VLOOKUP($B79,'KU Depr Rates'!$A$16:$R$500,6,)/100</f>
        <v>-0.25</v>
      </c>
      <c r="I79" s="209">
        <f>VLOOKUP($B79,'KU Depr Rates'!$A$16:$R$500,18,)</f>
        <v>48.4</v>
      </c>
      <c r="J79" s="230" t="str">
        <f>VLOOKUP($B79,'KU Depr Rates'!$A$16:$R$500,16,)</f>
        <v>60-R2.5</v>
      </c>
    </row>
    <row r="80" spans="1:10" ht="18.95" customHeight="1">
      <c r="A80" s="70">
        <f t="shared" si="0"/>
        <v>49</v>
      </c>
      <c r="B80" s="271">
        <v>362</v>
      </c>
      <c r="C80" s="78" t="s">
        <v>1679</v>
      </c>
      <c r="D80" s="88">
        <f>'SCH B-2.1 B'!H77</f>
        <v>228021184.22590452</v>
      </c>
      <c r="E80" s="88">
        <f>-'SCH B-3 B'!I79</f>
        <v>50059487.016126283</v>
      </c>
      <c r="F80" s="151">
        <f>VLOOKUP($B80,'KU Depr Rates'!$A$16:$R$500,8,)/100</f>
        <v>2.29E-2</v>
      </c>
      <c r="G80" s="88">
        <f t="shared" si="15"/>
        <v>5221685.1187732136</v>
      </c>
      <c r="H80" s="281">
        <f>VLOOKUP($B80,'KU Depr Rates'!$A$16:$R$500,6,)/100</f>
        <v>-0.2</v>
      </c>
      <c r="I80" s="209">
        <f>VLOOKUP($B80,'KU Depr Rates'!$A$16:$R$500,18,)</f>
        <v>40.299999999999997</v>
      </c>
      <c r="J80" s="230" t="str">
        <f>VLOOKUP($B80,'KU Depr Rates'!$A$16:$R$500,16,)</f>
        <v>54-R2</v>
      </c>
    </row>
    <row r="81" spans="1:10" ht="18.95" customHeight="1">
      <c r="A81" s="70">
        <f t="shared" ref="A81:A91" si="16">A80+1</f>
        <v>50</v>
      </c>
      <c r="B81" s="271">
        <v>364</v>
      </c>
      <c r="C81" s="78" t="s">
        <v>1681</v>
      </c>
      <c r="D81" s="88">
        <f>'SCH B-2.1 B'!H78</f>
        <v>382223620.77744532</v>
      </c>
      <c r="E81" s="88">
        <f>-'SCH B-3 B'!I80</f>
        <v>161009585.67112884</v>
      </c>
      <c r="F81" s="151">
        <f>VLOOKUP($B81,'KU Depr Rates'!$A$16:$R$500,8,)/100</f>
        <v>2.6699999999999998E-2</v>
      </c>
      <c r="G81" s="88">
        <f t="shared" si="15"/>
        <v>10205370.67475779</v>
      </c>
      <c r="H81" s="281">
        <f>VLOOKUP($B81,'KU Depr Rates'!$A$16:$R$500,6,)/100</f>
        <v>-0.5</v>
      </c>
      <c r="I81" s="209">
        <f>VLOOKUP($B81,'KU Depr Rates'!$A$16:$R$500,18,)</f>
        <v>40.1</v>
      </c>
      <c r="J81" s="230" t="str">
        <f>VLOOKUP($B81,'KU Depr Rates'!$A$16:$R$500,16,)</f>
        <v>50-R1.5</v>
      </c>
    </row>
    <row r="82" spans="1:10" ht="18.95" customHeight="1">
      <c r="A82" s="70">
        <f t="shared" si="16"/>
        <v>51</v>
      </c>
      <c r="B82" s="271">
        <v>365</v>
      </c>
      <c r="C82" s="78" t="s">
        <v>1670</v>
      </c>
      <c r="D82" s="88">
        <f>'SCH B-2.1 B'!H79</f>
        <v>380497572.25310105</v>
      </c>
      <c r="E82" s="88">
        <f>-'SCH B-3 B'!I81</f>
        <v>110454598.91280001</v>
      </c>
      <c r="F82" s="151">
        <f>VLOOKUP($B82,'KU Depr Rates'!$A$16:$R$500,8,)/100</f>
        <v>2.4699999999999996E-2</v>
      </c>
      <c r="G82" s="88">
        <f t="shared" si="15"/>
        <v>9398290.0346515942</v>
      </c>
      <c r="H82" s="281">
        <f>VLOOKUP($B82,'KU Depr Rates'!$A$16:$R$500,6,)/100</f>
        <v>-0.3</v>
      </c>
      <c r="I82" s="209">
        <f>VLOOKUP($B82,'KU Depr Rates'!$A$16:$R$500,18,)</f>
        <v>38.299999999999997</v>
      </c>
      <c r="J82" s="230" t="str">
        <f>VLOOKUP($B82,'KU Depr Rates'!$A$16:$R$500,16,)</f>
        <v>47-R1</v>
      </c>
    </row>
    <row r="83" spans="1:10" ht="18.95" customHeight="1">
      <c r="A83" s="70">
        <f t="shared" si="16"/>
        <v>52</v>
      </c>
      <c r="B83" s="271">
        <v>366</v>
      </c>
      <c r="C83" s="78" t="s">
        <v>1672</v>
      </c>
      <c r="D83" s="88">
        <f>'SCH B-2.1 B'!H80</f>
        <v>2219103.52</v>
      </c>
      <c r="E83" s="88">
        <f>-'SCH B-3 B'!I82</f>
        <v>987720.85503651027</v>
      </c>
      <c r="F83" s="151">
        <f>VLOOKUP($B83,'KU Depr Rates'!$A$16:$R$500,8,)/100</f>
        <v>2.3199999999999998E-2</v>
      </c>
      <c r="G83" s="88">
        <f t="shared" si="15"/>
        <v>51483.201664</v>
      </c>
      <c r="H83" s="281">
        <f>VLOOKUP($B83,'KU Depr Rates'!$A$16:$R$500,6,)/100</f>
        <v>0</v>
      </c>
      <c r="I83" s="209">
        <f>VLOOKUP($B83,'KU Depr Rates'!$A$16:$R$500,18,)</f>
        <v>25.6</v>
      </c>
      <c r="J83" s="230" t="str">
        <f>VLOOKUP($B83,'KU Depr Rates'!$A$16:$R$500,16,)</f>
        <v>50-R4</v>
      </c>
    </row>
    <row r="84" spans="1:10" ht="18.95" customHeight="1">
      <c r="A84" s="70">
        <f t="shared" si="16"/>
        <v>53</v>
      </c>
      <c r="B84" s="271">
        <v>367</v>
      </c>
      <c r="C84" s="78" t="s">
        <v>1674</v>
      </c>
      <c r="D84" s="88">
        <f>'SCH B-2.1 B'!H81</f>
        <v>201838267.31582916</v>
      </c>
      <c r="E84" s="88">
        <f>-'SCH B-3 B'!I83</f>
        <v>48335765.275149703</v>
      </c>
      <c r="F84" s="151">
        <f>VLOOKUP($B84,'KU Depr Rates'!$A$16:$R$500,8,)/100</f>
        <v>2.4299999999999999E-2</v>
      </c>
      <c r="G84" s="88">
        <f t="shared" si="15"/>
        <v>4904669.8957746485</v>
      </c>
      <c r="H84" s="281">
        <f>VLOOKUP($B84,'KU Depr Rates'!$A$16:$R$500,6,)/100</f>
        <v>-0.2</v>
      </c>
      <c r="I84" s="209">
        <f>VLOOKUP($B84,'KU Depr Rates'!$A$16:$R$500,18,)</f>
        <v>40.200000000000003</v>
      </c>
      <c r="J84" s="230" t="str">
        <f>VLOOKUP($B84,'KU Depr Rates'!$A$16:$R$500,16,)</f>
        <v>48-R2</v>
      </c>
    </row>
    <row r="85" spans="1:10" ht="18.95" customHeight="1">
      <c r="A85" s="70">
        <f t="shared" si="16"/>
        <v>54</v>
      </c>
      <c r="B85" s="271">
        <v>368</v>
      </c>
      <c r="C85" s="78" t="s">
        <v>1686</v>
      </c>
      <c r="D85" s="88">
        <f>'SCH B-2.1 B'!H82</f>
        <v>310271248.432989</v>
      </c>
      <c r="E85" s="88">
        <f>-'SCH B-3 B'!I84</f>
        <v>140337926.92222241</v>
      </c>
      <c r="F85" s="151">
        <f>VLOOKUP($B85,'KU Depr Rates'!$A$16:$R$500,8,)/100</f>
        <v>1.7899999999999999E-2</v>
      </c>
      <c r="G85" s="88">
        <f t="shared" si="15"/>
        <v>5553855.3469505031</v>
      </c>
      <c r="H85" s="281">
        <f>VLOOKUP($B85,'KU Depr Rates'!$A$16:$R$500,6,)/100</f>
        <v>-0.05</v>
      </c>
      <c r="I85" s="209">
        <f>VLOOKUP($B85,'KU Depr Rates'!$A$16:$R$500,18,)</f>
        <v>33</v>
      </c>
      <c r="J85" s="230" t="str">
        <f>VLOOKUP($B85,'KU Depr Rates'!$A$16:$R$500,16,)</f>
        <v>46-R2</v>
      </c>
    </row>
    <row r="86" spans="1:10" ht="18.95" customHeight="1">
      <c r="A86" s="70">
        <f t="shared" si="16"/>
        <v>55</v>
      </c>
      <c r="B86" s="271">
        <v>369</v>
      </c>
      <c r="C86" s="78" t="s">
        <v>1688</v>
      </c>
      <c r="D86" s="88">
        <f>'SCH B-2.1 B'!H83</f>
        <v>108650549.77</v>
      </c>
      <c r="E86" s="88">
        <f>-'SCH B-3 B'!I85</f>
        <v>61938773.640733138</v>
      </c>
      <c r="F86" s="151">
        <f>VLOOKUP($B86,'KU Depr Rates'!$A$16:$R$500,8,)/100</f>
        <v>1.6299999999999999E-2</v>
      </c>
      <c r="G86" s="88">
        <f t="shared" si="15"/>
        <v>1771003.9612509997</v>
      </c>
      <c r="H86" s="281">
        <f>VLOOKUP($B86,'KU Depr Rates'!$A$16:$R$500,6,)/100</f>
        <v>-0.25</v>
      </c>
      <c r="I86" s="209">
        <f>VLOOKUP($B86,'KU Depr Rates'!$A$16:$R$500,18,)</f>
        <v>36.6</v>
      </c>
      <c r="J86" s="230" t="str">
        <f>VLOOKUP($B86,'KU Depr Rates'!$A$16:$R$500,16,)</f>
        <v>48-R1</v>
      </c>
    </row>
    <row r="87" spans="1:10" ht="18.95" customHeight="1">
      <c r="A87" s="70">
        <f>A86+1</f>
        <v>56</v>
      </c>
      <c r="B87" s="271">
        <v>370</v>
      </c>
      <c r="C87" s="78" t="s">
        <v>1690</v>
      </c>
      <c r="D87" s="88">
        <f>'SCH B-2.1 B'!H84</f>
        <v>75547582.607870013</v>
      </c>
      <c r="E87" s="88">
        <f>-'SCH B-3 B'!I86</f>
        <v>39337602.404026166</v>
      </c>
      <c r="F87" s="151">
        <f>VLOOKUP($B87,'KU Depr Rates'!$A$16:$R$500,8,)/100</f>
        <v>3.6499999999999998E-2</v>
      </c>
      <c r="G87" s="88">
        <f t="shared" si="15"/>
        <v>2757486.7651872551</v>
      </c>
      <c r="H87" s="281">
        <f>VLOOKUP($B87,'KU Depr Rates'!$A$16:$R$500,6,)/100</f>
        <v>0</v>
      </c>
      <c r="I87" s="209" t="str">
        <f>VLOOKUP($B87,'KU Depr Rates'!$A$16:$R$500,18,)</f>
        <v>4.3-14.7</v>
      </c>
      <c r="J87" s="230" t="str">
        <f>VLOOKUP($B87,'KU Depr Rates'!$A$16:$R$500,16,)</f>
        <v>15-S2.5, 28-L1</v>
      </c>
    </row>
    <row r="88" spans="1:10" ht="18.95" customHeight="1">
      <c r="A88" s="70">
        <f t="shared" si="16"/>
        <v>57</v>
      </c>
      <c r="B88" s="271">
        <v>371</v>
      </c>
      <c r="C88" s="78" t="s">
        <v>1692</v>
      </c>
      <c r="D88" s="88">
        <f>'SCH B-2.1 B'!H85</f>
        <v>145659.96809999997</v>
      </c>
      <c r="E88" s="88">
        <f>-'SCH B-3 B'!I87</f>
        <v>3779.1722034399463</v>
      </c>
      <c r="F88" s="151">
        <f>VLOOKUP($B88,'KU Depr Rates'!$A$16:$R$500,8,)/100</f>
        <v>5.2999999999999992E-3</v>
      </c>
      <c r="G88" s="88">
        <f t="shared" si="15"/>
        <v>771.99783092999974</v>
      </c>
      <c r="H88" s="281">
        <f>VLOOKUP($B88,'KU Depr Rates'!$A$16:$R$500,6,)/100</f>
        <v>-0.1</v>
      </c>
      <c r="I88" s="209">
        <f>VLOOKUP($B88,'KU Depr Rates'!$A$16:$R$500,18,)</f>
        <v>19.3</v>
      </c>
      <c r="J88" s="230" t="str">
        <f>VLOOKUP($B88,'KU Depr Rates'!$A$16:$R$500,16,)</f>
        <v>28-O1</v>
      </c>
    </row>
    <row r="89" spans="1:10" ht="18.95" customHeight="1">
      <c r="A89" s="70">
        <f t="shared" si="16"/>
        <v>58</v>
      </c>
      <c r="B89" s="271">
        <v>373</v>
      </c>
      <c r="C89" s="78" t="s">
        <v>1694</v>
      </c>
      <c r="D89" s="88">
        <f>'SCH B-2.1 B'!H86</f>
        <v>123797976.91996899</v>
      </c>
      <c r="E89" s="88">
        <f>-'SCH B-3 B'!I88</f>
        <v>42657550.340157486</v>
      </c>
      <c r="F89" s="151">
        <f>VLOOKUP($B89,'KU Depr Rates'!$A$16:$R$500,8,)/100</f>
        <v>4.0000000000000008E-2</v>
      </c>
      <c r="G89" s="88">
        <f t="shared" si="15"/>
        <v>4951919.0767987603</v>
      </c>
      <c r="H89" s="281">
        <f>VLOOKUP($B89,'KU Depr Rates'!$A$16:$R$500,6,)/100</f>
        <v>-0.1</v>
      </c>
      <c r="I89" s="209">
        <f>VLOOKUP($B89,'KU Depr Rates'!$A$16:$R$500,18,)</f>
        <v>22.1</v>
      </c>
      <c r="J89" s="230" t="str">
        <f>VLOOKUP($B89,'KU Depr Rates'!$A$16:$R$500,16,)</f>
        <v>28-L0.5</v>
      </c>
    </row>
    <row r="90" spans="1:10" ht="18.95" customHeight="1">
      <c r="A90" s="70">
        <f t="shared" si="16"/>
        <v>59</v>
      </c>
      <c r="B90" s="271">
        <v>374</v>
      </c>
      <c r="C90" s="78" t="s">
        <v>151</v>
      </c>
      <c r="D90" s="89">
        <f>'SCH B-2.1 B'!H87</f>
        <v>-1.0477378964424133E-9</v>
      </c>
      <c r="E90" s="89">
        <f>-'SCH B-3 B'!I89</f>
        <v>0</v>
      </c>
      <c r="F90" s="130"/>
      <c r="G90" s="89">
        <f t="shared" ref="G90" si="17">D90*F90</f>
        <v>0</v>
      </c>
      <c r="H90" s="152"/>
      <c r="I90" s="88"/>
      <c r="J90" s="88"/>
    </row>
    <row r="91" spans="1:10" ht="18.95" customHeight="1">
      <c r="A91" s="70">
        <f t="shared" si="16"/>
        <v>60</v>
      </c>
      <c r="B91" s="71"/>
      <c r="C91" s="78" t="s">
        <v>153</v>
      </c>
      <c r="D91" s="86">
        <f>SUM(D78:D90)</f>
        <v>1841924900.0083804</v>
      </c>
      <c r="E91" s="86">
        <f>SUM(E78:E90)</f>
        <v>659055222.16925311</v>
      </c>
      <c r="F91" s="86"/>
      <c r="G91" s="86">
        <f t="shared" ref="G91" si="18">SUM(G78:G90)</f>
        <v>45296216.589812852</v>
      </c>
      <c r="H91" s="86"/>
      <c r="I91" s="86"/>
      <c r="J91" s="155"/>
    </row>
    <row r="92" spans="1:10" ht="23.1" customHeight="1">
      <c r="A92" s="73"/>
      <c r="B92" s="73"/>
      <c r="C92" s="132"/>
      <c r="D92" s="95"/>
      <c r="E92" s="95"/>
      <c r="F92" s="95"/>
      <c r="G92" s="95"/>
      <c r="H92" s="95"/>
      <c r="I92" s="95"/>
      <c r="J92" s="95"/>
    </row>
    <row r="93" spans="1:10" ht="18.95" customHeight="1">
      <c r="A93" s="70">
        <f>A91+1</f>
        <v>61</v>
      </c>
      <c r="C93" s="90" t="s">
        <v>32</v>
      </c>
    </row>
    <row r="94" spans="1:10" ht="18.95" customHeight="1">
      <c r="A94" s="70">
        <f t="shared" ref="A94:A104" si="19">A93+1</f>
        <v>62</v>
      </c>
      <c r="B94" s="271">
        <v>389</v>
      </c>
      <c r="C94" s="78" t="s">
        <v>154</v>
      </c>
      <c r="D94" s="88">
        <f>'SCH B-2.1 B'!H101</f>
        <v>3723910.0269606514</v>
      </c>
      <c r="E94" s="88">
        <f>-'SCH B-3 B'!I104</f>
        <v>1.5539830107334554E-8</v>
      </c>
      <c r="F94" s="151">
        <v>0</v>
      </c>
      <c r="G94" s="88">
        <f t="shared" ref="G94:G103" si="20">D94*F94</f>
        <v>0</v>
      </c>
      <c r="H94" s="281">
        <v>0</v>
      </c>
      <c r="I94" s="209"/>
      <c r="J94" s="230"/>
    </row>
    <row r="95" spans="1:10" ht="18.95" customHeight="1">
      <c r="A95" s="70">
        <f t="shared" si="19"/>
        <v>63</v>
      </c>
      <c r="B95" s="271">
        <v>390</v>
      </c>
      <c r="C95" s="78" t="s">
        <v>148</v>
      </c>
      <c r="D95" s="88">
        <f>'SCH B-2.1 B'!H102</f>
        <v>62907491.365269683</v>
      </c>
      <c r="E95" s="88">
        <f>-'SCH B-3 B'!I105</f>
        <v>12792132.905133976</v>
      </c>
      <c r="F95" s="151">
        <f>VLOOKUP($B95,'KU Depr Rates'!$A$16:$R$500,8,)/100</f>
        <v>2.4199999999999999E-2</v>
      </c>
      <c r="G95" s="88">
        <f t="shared" si="20"/>
        <v>1522361.2910395262</v>
      </c>
      <c r="H95" s="281">
        <f>VLOOKUP($B95,'KU Depr Rates'!$A$16:$R$500,6,)/100</f>
        <v>-1E-3</v>
      </c>
      <c r="I95" s="209" t="str">
        <f>VLOOKUP($B95,'KU Depr Rates'!$A$16:$R$500,18,)</f>
        <v>18.00-39.20</v>
      </c>
      <c r="J95" s="230" t="str">
        <f>VLOOKUP($B95,'KU Depr Rates'!$A$16:$R$500,16,)</f>
        <v>55-S0, 33-R1.5</v>
      </c>
    </row>
    <row r="96" spans="1:10" ht="18.95" customHeight="1">
      <c r="A96" s="70">
        <f t="shared" si="19"/>
        <v>64</v>
      </c>
      <c r="B96" s="271">
        <v>391</v>
      </c>
      <c r="C96" s="78" t="s">
        <v>156</v>
      </c>
      <c r="D96" s="88">
        <f>'SCH B-2.1 B'!H103</f>
        <v>41775990.644823529</v>
      </c>
      <c r="E96" s="88">
        <f>-'SCH B-3 B'!I106</f>
        <v>19661324.314082552</v>
      </c>
      <c r="F96" s="151">
        <f>VLOOKUP($B96,'KU Depr Rates'!$A$16:$R$500,8,)/100</f>
        <v>0.1229</v>
      </c>
      <c r="G96" s="88">
        <f t="shared" si="20"/>
        <v>5134269.2502488112</v>
      </c>
      <c r="H96" s="281">
        <f>VLOOKUP($B96,'KU Depr Rates'!$A$16:$R$500,6,)/100</f>
        <v>0</v>
      </c>
      <c r="I96" s="209" t="str">
        <f>VLOOKUP($B96,'KU Depr Rates'!$A$16:$R$500,18,)</f>
        <v>2.2-9.9</v>
      </c>
      <c r="J96" s="230" t="str">
        <f>VLOOKUP($B96,'KU Depr Rates'!$A$16:$R$500,16,)</f>
        <v>4-SQ, 5-SQ, 20-SQ</v>
      </c>
    </row>
    <row r="97" spans="1:10" ht="18.95" customHeight="1">
      <c r="A97" s="70">
        <f t="shared" si="19"/>
        <v>65</v>
      </c>
      <c r="B97" s="271">
        <v>392</v>
      </c>
      <c r="C97" s="78" t="s">
        <v>155</v>
      </c>
      <c r="D97" s="88">
        <f>'SCH B-2.1 B'!H104</f>
        <v>6804765.5046080705</v>
      </c>
      <c r="E97" s="88">
        <f>-'SCH B-3 B'!I107</f>
        <v>3806063.1825500922</v>
      </c>
      <c r="F97" s="151">
        <f>VLOOKUP($B97,'KU Depr Rates'!$A$16:$R$500,8,)/100</f>
        <v>2.9500000000000002E-2</v>
      </c>
      <c r="G97" s="88">
        <f t="shared" si="20"/>
        <v>200740.58238593809</v>
      </c>
      <c r="H97" s="281">
        <f>VLOOKUP($B97,'KU Depr Rates'!$A$16:$R$500,6,)/100</f>
        <v>0</v>
      </c>
      <c r="I97" s="209" t="str">
        <f>VLOOKUP($B97,'KU Depr Rates'!$A$16:$R$500,18,)</f>
        <v>10.8-13.9</v>
      </c>
      <c r="J97" s="230" t="str">
        <f>VLOOKUP($B97,'KU Depr Rates'!$A$16:$R$500,16,)</f>
        <v>16-L2.5, 14-S2</v>
      </c>
    </row>
    <row r="98" spans="1:10" ht="18.95" customHeight="1">
      <c r="A98" s="70">
        <f t="shared" si="19"/>
        <v>66</v>
      </c>
      <c r="B98" s="271">
        <v>393</v>
      </c>
      <c r="C98" s="78" t="s">
        <v>1702</v>
      </c>
      <c r="D98" s="88">
        <f>'SCH B-2.1 B'!H105</f>
        <v>859329.09371080098</v>
      </c>
      <c r="E98" s="88">
        <f>-'SCH B-3 B'!I108</f>
        <v>411873.43426836439</v>
      </c>
      <c r="F98" s="151">
        <f>VLOOKUP($B98,'KU Depr Rates'!$A$16:$R$500,8,)/100</f>
        <v>4.3999999999999997E-2</v>
      </c>
      <c r="G98" s="88">
        <f t="shared" si="20"/>
        <v>37810.480123275243</v>
      </c>
      <c r="H98" s="281">
        <f>VLOOKUP($B98,'KU Depr Rates'!$A$16:$R$500,6,)/100</f>
        <v>0</v>
      </c>
      <c r="I98" s="209">
        <f>VLOOKUP($B98,'KU Depr Rates'!$A$16:$R$500,18,)</f>
        <v>18</v>
      </c>
      <c r="J98" s="230" t="str">
        <f>VLOOKUP($B98,'KU Depr Rates'!$A$16:$R$500,16,)</f>
        <v>25-SQ</v>
      </c>
    </row>
    <row r="99" spans="1:10" ht="18.95" customHeight="1">
      <c r="A99" s="70">
        <f t="shared" si="19"/>
        <v>67</v>
      </c>
      <c r="B99" s="271">
        <v>394</v>
      </c>
      <c r="C99" s="78" t="s">
        <v>1704</v>
      </c>
      <c r="D99" s="88">
        <f>'SCH B-2.1 B'!H106</f>
        <v>13892113.600189727</v>
      </c>
      <c r="E99" s="88">
        <f>-'SCH B-3 B'!I109</f>
        <v>4365283.9796790471</v>
      </c>
      <c r="F99" s="151">
        <f>VLOOKUP($B99,'KU Depr Rates'!$A$16:$R$500,8,)/100</f>
        <v>4.0199999999999993E-2</v>
      </c>
      <c r="G99" s="88">
        <f t="shared" si="20"/>
        <v>558462.96672762686</v>
      </c>
      <c r="H99" s="281">
        <f>VLOOKUP($B99,'KU Depr Rates'!$A$16:$R$500,6,)/100</f>
        <v>0</v>
      </c>
      <c r="I99" s="209">
        <f>VLOOKUP($B99,'KU Depr Rates'!$A$16:$R$500,18,)</f>
        <v>17.5</v>
      </c>
      <c r="J99" s="230" t="str">
        <f>VLOOKUP($B99,'KU Depr Rates'!$A$16:$R$500,16,)</f>
        <v>25-SQ</v>
      </c>
    </row>
    <row r="100" spans="1:10" ht="18.95" customHeight="1">
      <c r="A100" s="70">
        <f t="shared" si="19"/>
        <v>68</v>
      </c>
      <c r="B100" s="271">
        <v>395</v>
      </c>
      <c r="C100" s="78" t="s">
        <v>1706</v>
      </c>
      <c r="D100" s="88">
        <f>'SCH B-2.1 B'!H107</f>
        <v>0</v>
      </c>
      <c r="E100" s="88">
        <f>-'SCH B-3 B'!I110</f>
        <v>0</v>
      </c>
      <c r="F100" s="151"/>
      <c r="G100" s="88"/>
      <c r="H100" s="281"/>
      <c r="I100" s="209"/>
      <c r="J100" s="230"/>
    </row>
    <row r="101" spans="1:10" ht="18.95" customHeight="1">
      <c r="A101" s="70">
        <f t="shared" si="19"/>
        <v>69</v>
      </c>
      <c r="B101" s="271">
        <v>396</v>
      </c>
      <c r="C101" s="78" t="s">
        <v>1708</v>
      </c>
      <c r="D101" s="88">
        <f>'SCH B-2.1 B'!H108</f>
        <v>3744910.8012232375</v>
      </c>
      <c r="E101" s="88">
        <f>-'SCH B-3 B'!I111</f>
        <v>1230742.9217201017</v>
      </c>
      <c r="F101" s="151">
        <f>VLOOKUP($B101,'KU Depr Rates'!$A$16:$R$500,8,)/100</f>
        <v>5.6500000000000002E-2</v>
      </c>
      <c r="G101" s="88">
        <f t="shared" si="20"/>
        <v>211587.46026911293</v>
      </c>
      <c r="H101" s="281">
        <f>VLOOKUP($B101,'KU Depr Rates'!$A$16:$R$500,6,)/100</f>
        <v>0</v>
      </c>
      <c r="I101" s="209">
        <f>VLOOKUP($B101,'KU Depr Rates'!$A$16:$R$500,18,)</f>
        <v>12</v>
      </c>
      <c r="J101" s="230" t="str">
        <f>VLOOKUP($B101,'KU Depr Rates'!$A$16:$R$500,16,)</f>
        <v>16-L5</v>
      </c>
    </row>
    <row r="102" spans="1:10" ht="18.95" customHeight="1">
      <c r="A102" s="70">
        <f t="shared" si="19"/>
        <v>70</v>
      </c>
      <c r="B102" s="271">
        <v>397</v>
      </c>
      <c r="C102" s="78" t="s">
        <v>157</v>
      </c>
      <c r="D102" s="88">
        <f>'SCH B-2.1 B'!H109</f>
        <v>52668179.653685644</v>
      </c>
      <c r="E102" s="88">
        <f>-'SCH B-3 B'!I112</f>
        <v>21968908.91719342</v>
      </c>
      <c r="F102" s="151">
        <f>VLOOKUP($B102,'KU Depr Rates'!$A$16:$R$500,8,)/100</f>
        <v>8.2400000000000001E-2</v>
      </c>
      <c r="G102" s="88">
        <f t="shared" si="20"/>
        <v>4339858.0034636967</v>
      </c>
      <c r="H102" s="281">
        <f>VLOOKUP($B102,'KU Depr Rates'!$A$16:$R$500,6,)/100</f>
        <v>0</v>
      </c>
      <c r="I102" s="209" t="str">
        <f>VLOOKUP($B102,'KU Depr Rates'!$A$16:$R$500,18,)</f>
        <v>5.6-13.4</v>
      </c>
      <c r="J102" s="230" t="str">
        <f>VLOOKUP($B102,'KU Depr Rates'!$A$16:$R$500,16,)</f>
        <v>10-SQ, 18-L3</v>
      </c>
    </row>
    <row r="103" spans="1:10" ht="18.95" customHeight="1">
      <c r="A103" s="70">
        <f t="shared" si="19"/>
        <v>71</v>
      </c>
      <c r="B103" s="271">
        <v>398</v>
      </c>
      <c r="C103" s="78" t="s">
        <v>1711</v>
      </c>
      <c r="D103" s="89">
        <f>'SCH B-2.1 B'!H110</f>
        <v>0</v>
      </c>
      <c r="E103" s="89">
        <f>-'SCH B-3 B'!I113</f>
        <v>0</v>
      </c>
      <c r="F103" s="151"/>
      <c r="G103" s="89">
        <f t="shared" si="20"/>
        <v>0</v>
      </c>
      <c r="H103" s="281"/>
      <c r="I103" s="209"/>
      <c r="J103" s="230"/>
    </row>
    <row r="104" spans="1:10" ht="18.95" customHeight="1">
      <c r="A104" s="70">
        <f t="shared" si="19"/>
        <v>72</v>
      </c>
      <c r="B104" s="71"/>
      <c r="C104" s="78" t="s">
        <v>158</v>
      </c>
      <c r="D104" s="86">
        <f>SUM(D94:D103)</f>
        <v>186376690.69047132</v>
      </c>
      <c r="E104" s="86">
        <f>SUM(E94:E103)</f>
        <v>64236329.654627569</v>
      </c>
      <c r="F104" s="86"/>
      <c r="G104" s="86">
        <f>SUM(G95:G103)</f>
        <v>12005090.034257986</v>
      </c>
      <c r="H104" s="86"/>
      <c r="I104" s="86"/>
      <c r="J104" s="155"/>
    </row>
    <row r="105" spans="1:10" ht="18.95" customHeight="1">
      <c r="A105" s="70"/>
      <c r="B105" s="71"/>
      <c r="J105" s="143"/>
    </row>
    <row r="106" spans="1:10" ht="18.95" customHeight="1" thickBot="1">
      <c r="A106" s="70">
        <f>A104+1</f>
        <v>73</v>
      </c>
      <c r="B106" s="71"/>
      <c r="C106" s="68" t="s">
        <v>439</v>
      </c>
      <c r="D106" s="94">
        <f>SUM(D18,D29,D40,D51,D63,D91,D104)</f>
        <v>7284469938.5791378</v>
      </c>
      <c r="E106" s="94">
        <f>SUM(E18,E29,E40,E51,E63,E91,E104)</f>
        <v>2834452828.5468431</v>
      </c>
      <c r="F106" s="86"/>
      <c r="G106" s="94">
        <f>SUM(G18,G29,G40,G51,G63,G91,G104)</f>
        <v>223346337.36602232</v>
      </c>
      <c r="H106" s="86"/>
      <c r="I106" s="86"/>
      <c r="J106" s="155"/>
    </row>
    <row r="107" spans="1:10" ht="18.95" customHeight="1" thickTop="1">
      <c r="B107" s="71"/>
      <c r="J107" s="143"/>
    </row>
    <row r="108" spans="1:10" ht="18.95" customHeight="1">
      <c r="B108" s="68"/>
      <c r="C108" s="71"/>
      <c r="D108" s="86"/>
      <c r="E108" s="86"/>
    </row>
    <row r="109" spans="1:10" ht="18.95" customHeight="1">
      <c r="B109" s="211"/>
      <c r="C109" s="67"/>
    </row>
    <row r="110" spans="1:10" ht="18.95" customHeight="1">
      <c r="B110" s="211"/>
      <c r="C110" s="67"/>
    </row>
    <row r="111" spans="1:10" ht="18.95" customHeight="1">
      <c r="B111" s="71"/>
    </row>
    <row r="112" spans="1:10" ht="18.95" customHeight="1">
      <c r="D112" s="69" t="s">
        <v>160</v>
      </c>
      <c r="E112" s="69" t="s">
        <v>160</v>
      </c>
    </row>
    <row r="113" ht="18.95" customHeight="1"/>
    <row r="114" ht="18.95" customHeight="1"/>
    <row r="115" ht="18.95" customHeight="1"/>
    <row r="116" ht="18.95" customHeight="1"/>
    <row r="117" ht="18.95" customHeight="1"/>
    <row r="118" ht="18.95" customHeight="1"/>
    <row r="119" ht="18.95" customHeight="1"/>
    <row r="120" ht="18.95" customHeight="1"/>
    <row r="121" ht="18.95" customHeight="1"/>
    <row r="122" ht="18.95" customHeight="1"/>
    <row r="123" ht="18.95" customHeight="1"/>
    <row r="124" ht="18.95" customHeight="1"/>
  </sheetData>
  <mergeCells count="10">
    <mergeCell ref="A66:J66"/>
    <mergeCell ref="A67:J67"/>
    <mergeCell ref="D73:E73"/>
    <mergeCell ref="A65:J65"/>
    <mergeCell ref="D10:E10"/>
    <mergeCell ref="A1:J1"/>
    <mergeCell ref="A2:J2"/>
    <mergeCell ref="A3:J3"/>
    <mergeCell ref="A4:J4"/>
    <mergeCell ref="A64:J64"/>
  </mergeCells>
  <printOptions horizontalCentered="1"/>
  <pageMargins left="1" right="0.75" top="1" bottom="0.5" header="0.3" footer="0.3"/>
  <pageSetup scale="52" fitToHeight="0" orientation="portrait" r:id="rId1"/>
  <rowBreaks count="1" manualBreakCount="1">
    <brk id="6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J124"/>
  <sheetViews>
    <sheetView zoomScaleNormal="100" workbookViewId="0">
      <selection sqref="A1:J1"/>
    </sheetView>
  </sheetViews>
  <sheetFormatPr defaultColWidth="9" defaultRowHeight="12.75"/>
  <cols>
    <col min="1" max="1" width="6" style="69" customWidth="1"/>
    <col min="2" max="2" width="7.6640625" style="69" customWidth="1"/>
    <col min="3" max="3" width="38.33203125" style="69" customWidth="1"/>
    <col min="4" max="4" width="13.6640625" style="69" customWidth="1"/>
    <col min="5" max="5" width="14.77734375" style="69" customWidth="1"/>
    <col min="6" max="6" width="10.109375" style="69" customWidth="1"/>
    <col min="7" max="7" width="14.77734375" style="69" customWidth="1"/>
    <col min="8" max="8" width="22.6640625" style="69" customWidth="1"/>
    <col min="9" max="9" width="11.77734375" style="69" customWidth="1"/>
    <col min="10" max="10" width="18" style="69" customWidth="1"/>
    <col min="11" max="11" width="1.6640625" style="69" customWidth="1"/>
    <col min="12" max="16384" width="9" style="69"/>
  </cols>
  <sheetData>
    <row r="1" spans="1:10" s="68" customFormat="1" ht="20.100000000000001" customHeight="1">
      <c r="A1" s="769" t="str">
        <f>'Rate Case Constants'!C9</f>
        <v>KENTUCKY UTILITIES COMPANY</v>
      </c>
      <c r="B1" s="769"/>
      <c r="C1" s="769"/>
      <c r="D1" s="769"/>
      <c r="E1" s="769"/>
      <c r="F1" s="769"/>
      <c r="G1" s="769"/>
      <c r="H1" s="769"/>
      <c r="I1" s="769"/>
      <c r="J1" s="769"/>
    </row>
    <row r="2" spans="1:10" s="68" customFormat="1" ht="20.100000000000001" customHeight="1">
      <c r="A2" s="769" t="str">
        <f>'Rate Case Constants'!C10</f>
        <v>CASE NO. 2018-00294 - RESPONSE TO PSC 2-65 (SLIPPAGE FACTOR 96.027%)</v>
      </c>
      <c r="B2" s="769"/>
      <c r="C2" s="769"/>
      <c r="D2" s="769"/>
      <c r="E2" s="769"/>
      <c r="F2" s="769"/>
      <c r="G2" s="769"/>
      <c r="H2" s="769"/>
      <c r="I2" s="769"/>
      <c r="J2" s="769"/>
    </row>
    <row r="3" spans="1:10" s="68" customFormat="1" ht="20.100000000000001" customHeight="1">
      <c r="A3" s="769" t="s">
        <v>1243</v>
      </c>
      <c r="B3" s="769"/>
      <c r="C3" s="769"/>
      <c r="D3" s="769"/>
      <c r="E3" s="769"/>
      <c r="F3" s="769"/>
      <c r="G3" s="769"/>
      <c r="H3" s="769"/>
      <c r="I3" s="769"/>
      <c r="J3" s="769"/>
    </row>
    <row r="4" spans="1:10" s="68" customFormat="1" ht="20.100000000000001" customHeight="1">
      <c r="A4" s="769" t="str">
        <f>'Rate Case Constants'!C18</f>
        <v>AS OF APRIL 30, 2020</v>
      </c>
      <c r="B4" s="769"/>
      <c r="C4" s="769"/>
      <c r="D4" s="769"/>
      <c r="E4" s="769"/>
      <c r="F4" s="769"/>
      <c r="G4" s="769"/>
      <c r="H4" s="769"/>
      <c r="I4" s="769"/>
      <c r="J4" s="769"/>
    </row>
    <row r="5" spans="1:10" s="68" customFormat="1" ht="20.100000000000001" customHeight="1">
      <c r="A5" s="229"/>
      <c r="B5" s="229"/>
      <c r="C5" s="229"/>
      <c r="D5" s="229"/>
      <c r="E5" s="229"/>
      <c r="F5" s="229"/>
      <c r="G5" s="229"/>
      <c r="H5" s="229"/>
      <c r="I5" s="229"/>
      <c r="J5" s="229"/>
    </row>
    <row r="6" spans="1:10" s="68" customFormat="1" ht="20.100000000000001" customHeight="1">
      <c r="A6" s="67" t="s">
        <v>161</v>
      </c>
      <c r="B6" s="67"/>
      <c r="I6" s="74"/>
      <c r="J6" s="74" t="s">
        <v>1242</v>
      </c>
    </row>
    <row r="7" spans="1:10" s="68" customFormat="1" ht="20.100000000000001" customHeight="1">
      <c r="A7" s="68" t="str">
        <f>'Rate Case Constants'!C29</f>
        <v>TYPE OF FILING: __X__ ORIGINAL  _____ UPDATED  _____ REVISED</v>
      </c>
      <c r="I7" s="74"/>
      <c r="J7" s="74" t="s">
        <v>2064</v>
      </c>
    </row>
    <row r="8" spans="1:10" s="68" customFormat="1" ht="20.100000000000001" customHeight="1">
      <c r="A8" s="67" t="s">
        <v>1198</v>
      </c>
      <c r="B8" s="67"/>
      <c r="G8" s="67"/>
      <c r="I8" s="75"/>
      <c r="J8" s="75" t="str">
        <f>'Rate Case Constants'!C36</f>
        <v>WITNESS:   C. M. GARRETT</v>
      </c>
    </row>
    <row r="9" spans="1:10" s="68" customFormat="1" ht="20.100000000000001" customHeight="1"/>
    <row r="10" spans="1:10" s="68" customFormat="1" ht="20.100000000000001" customHeight="1">
      <c r="A10" s="96"/>
      <c r="B10" s="96"/>
      <c r="C10" s="96"/>
      <c r="D10" s="771" t="s">
        <v>227</v>
      </c>
      <c r="E10" s="771"/>
      <c r="F10" s="96"/>
      <c r="G10" s="96"/>
      <c r="H10" s="96"/>
      <c r="I10" s="96"/>
      <c r="J10" s="96"/>
    </row>
    <row r="11" spans="1:10" ht="48" customHeight="1">
      <c r="A11" s="71" t="s">
        <v>131</v>
      </c>
      <c r="B11" s="71" t="s">
        <v>134</v>
      </c>
      <c r="C11" s="78" t="s">
        <v>1244</v>
      </c>
      <c r="D11" s="71" t="s">
        <v>1578</v>
      </c>
      <c r="E11" s="71" t="s">
        <v>1579</v>
      </c>
      <c r="F11" s="71" t="s">
        <v>3412</v>
      </c>
      <c r="G11" s="71" t="s">
        <v>1247</v>
      </c>
      <c r="H11" s="71" t="s">
        <v>1249</v>
      </c>
      <c r="I11" s="71" t="s">
        <v>1838</v>
      </c>
      <c r="J11" s="71" t="s">
        <v>1250</v>
      </c>
    </row>
    <row r="12" spans="1:10" ht="18.95" customHeight="1">
      <c r="A12" s="98" t="s">
        <v>1220</v>
      </c>
      <c r="B12" s="98" t="s">
        <v>1221</v>
      </c>
      <c r="C12" s="98" t="s">
        <v>1224</v>
      </c>
      <c r="D12" s="98" t="s">
        <v>1232</v>
      </c>
      <c r="E12" s="98" t="s">
        <v>1233</v>
      </c>
      <c r="F12" s="98" t="s">
        <v>1234</v>
      </c>
      <c r="G12" s="98" t="s">
        <v>1248</v>
      </c>
      <c r="H12" s="98" t="s">
        <v>1236</v>
      </c>
      <c r="I12" s="98" t="s">
        <v>1237</v>
      </c>
      <c r="J12" s="98" t="s">
        <v>1251</v>
      </c>
    </row>
    <row r="13" spans="1:10" ht="23.1" customHeight="1">
      <c r="A13" s="73"/>
      <c r="B13" s="73"/>
      <c r="C13" s="132"/>
      <c r="D13" s="95" t="s">
        <v>142</v>
      </c>
      <c r="E13" s="95" t="s">
        <v>142</v>
      </c>
      <c r="F13" s="95"/>
      <c r="G13" s="95" t="s">
        <v>142</v>
      </c>
      <c r="H13" s="95"/>
      <c r="I13" s="95"/>
      <c r="J13" s="95"/>
    </row>
    <row r="14" spans="1:10" ht="23.1" customHeight="1">
      <c r="A14" s="73">
        <v>1</v>
      </c>
      <c r="B14" s="73"/>
      <c r="C14" s="85" t="s">
        <v>56</v>
      </c>
      <c r="D14" s="77"/>
      <c r="E14" s="77"/>
      <c r="F14" s="77"/>
      <c r="G14" s="77"/>
      <c r="H14" s="77"/>
      <c r="I14" s="77"/>
      <c r="J14" s="77"/>
    </row>
    <row r="15" spans="1:10" ht="18.95" customHeight="1">
      <c r="A15" s="70">
        <f>A14+1</f>
        <v>2</v>
      </c>
      <c r="B15" s="271">
        <v>301</v>
      </c>
      <c r="C15" s="78" t="s">
        <v>1621</v>
      </c>
      <c r="D15" s="86">
        <f>'SCH B-2.1 F'!H13</f>
        <v>41564.808184826179</v>
      </c>
      <c r="E15" s="86">
        <f>-'SCH B-3 F'!I14</f>
        <v>0</v>
      </c>
      <c r="F15" s="151">
        <v>0</v>
      </c>
      <c r="G15" s="86">
        <f>D15*F15</f>
        <v>0</v>
      </c>
      <c r="H15" s="152">
        <v>0</v>
      </c>
      <c r="I15" s="86"/>
      <c r="J15" s="155"/>
    </row>
    <row r="16" spans="1:10" ht="18.95" customHeight="1">
      <c r="A16" s="70">
        <f t="shared" ref="A16:A78" si="0">A15+1</f>
        <v>3</v>
      </c>
      <c r="B16" s="271">
        <v>302</v>
      </c>
      <c r="C16" s="78" t="s">
        <v>1623</v>
      </c>
      <c r="D16" s="86">
        <f>'SCH B-2.1 F'!H14</f>
        <v>55918.829999999994</v>
      </c>
      <c r="E16" s="86">
        <f>-'SCH B-3 F'!I15</f>
        <v>73066.77</v>
      </c>
      <c r="F16" s="151">
        <f>VLOOKUP($B16,'KU Proposed Depr Rates'!$A$16:$R$500,8,)/100</f>
        <v>3.6299999999999999E-2</v>
      </c>
      <c r="G16" s="88">
        <f t="shared" ref="G16" si="1">D16*F16</f>
        <v>2029.8535289999998</v>
      </c>
      <c r="H16" s="152">
        <f>VLOOKUP($B16,'KU Proposed Depr Rates'!$A$16:$R$500,6,)</f>
        <v>0</v>
      </c>
      <c r="I16" s="279">
        <f>VLOOKUP($B16,'KU Proposed Depr Rates'!$A$16:$R$500,18,)</f>
        <v>3.3</v>
      </c>
      <c r="J16" s="280" t="str">
        <f>VLOOKUP($B16,'KU Proposed Depr Rates'!$A$16:$R$500,16,)</f>
        <v>20-SQ</v>
      </c>
    </row>
    <row r="17" spans="1:10" ht="18.95" customHeight="1">
      <c r="A17" s="70">
        <f t="shared" si="0"/>
        <v>4</v>
      </c>
      <c r="B17" s="271">
        <v>303</v>
      </c>
      <c r="C17" s="78" t="s">
        <v>1625</v>
      </c>
      <c r="D17" s="89">
        <f>'SCH B-2.1 F'!H15</f>
        <v>90938370.586441979</v>
      </c>
      <c r="E17" s="89">
        <f>-'SCH B-3 F'!I16</f>
        <v>37682921.663409129</v>
      </c>
      <c r="F17" s="151">
        <f>VLOOKUP($B17,'KU Proposed Depr Rates'!$A$16:$R$500,8,)/100</f>
        <v>0.16109999999999999</v>
      </c>
      <c r="G17" s="89">
        <f t="shared" ref="G17" si="2">D17*F17</f>
        <v>14650171.501475802</v>
      </c>
      <c r="H17" s="88">
        <f>VLOOKUP($B17,'KU Proposed Depr Rates'!$A$16:$R$500,6,)</f>
        <v>0</v>
      </c>
      <c r="I17" s="88" t="str">
        <f>VLOOKUP($B17,'KU Proposed Depr Rates'!$A$16:$R$500,18,)</f>
        <v>3.9-7.5</v>
      </c>
      <c r="J17" s="230" t="str">
        <f>VLOOKUP($B17,'KU Proposed Depr Rates'!$A$16:$R$500,16,)</f>
        <v>5-SQ, SQUARE</v>
      </c>
    </row>
    <row r="18" spans="1:10" ht="18.95" customHeight="1">
      <c r="A18" s="70">
        <f t="shared" si="0"/>
        <v>5</v>
      </c>
      <c r="B18" s="271"/>
      <c r="C18" s="78" t="s">
        <v>143</v>
      </c>
      <c r="D18" s="86">
        <f>SUM(D15:D17)</f>
        <v>91035854.224626809</v>
      </c>
      <c r="E18" s="86">
        <f>SUM(E15:E17)</f>
        <v>37755988.433409132</v>
      </c>
      <c r="F18" s="86"/>
      <c r="G18" s="86">
        <f>SUM(G15:G17)</f>
        <v>14652201.355004802</v>
      </c>
      <c r="H18" s="153"/>
      <c r="I18" s="86"/>
      <c r="J18" s="155"/>
    </row>
    <row r="19" spans="1:10" ht="18.95" customHeight="1">
      <c r="A19" s="70"/>
      <c r="B19" s="271"/>
      <c r="D19" s="72"/>
      <c r="E19" s="72"/>
      <c r="F19" s="72"/>
      <c r="G19" s="72"/>
      <c r="H19" s="154"/>
      <c r="I19" s="72"/>
      <c r="J19" s="157"/>
    </row>
    <row r="20" spans="1:10" ht="18.95" customHeight="1">
      <c r="A20" s="70">
        <f>A18+1</f>
        <v>6</v>
      </c>
      <c r="B20" s="271"/>
      <c r="C20" s="90" t="s">
        <v>72</v>
      </c>
      <c r="D20" s="72"/>
      <c r="E20" s="72"/>
      <c r="F20" s="72"/>
      <c r="G20" s="72"/>
      <c r="H20" s="154"/>
      <c r="I20" s="72"/>
      <c r="J20" s="157"/>
    </row>
    <row r="21" spans="1:10" ht="18.95" customHeight="1">
      <c r="A21" s="70">
        <f t="shared" si="0"/>
        <v>7</v>
      </c>
      <c r="B21" s="271">
        <v>310</v>
      </c>
      <c r="C21" s="78" t="s">
        <v>154</v>
      </c>
      <c r="D21" s="88">
        <f>'SCH B-2.1 F'!H19</f>
        <v>10691668.345437584</v>
      </c>
      <c r="E21" s="88">
        <f>-'SCH B-3 F'!I20</f>
        <v>0</v>
      </c>
      <c r="F21" s="151">
        <v>0</v>
      </c>
      <c r="G21" s="88">
        <f t="shared" ref="G21:G23" si="3">D21*F21</f>
        <v>0</v>
      </c>
      <c r="H21" s="152">
        <v>0</v>
      </c>
      <c r="I21" s="209"/>
      <c r="J21" s="230"/>
    </row>
    <row r="22" spans="1:10" ht="18" customHeight="1">
      <c r="A22" s="70">
        <f t="shared" si="0"/>
        <v>8</v>
      </c>
      <c r="B22" s="271">
        <v>311</v>
      </c>
      <c r="C22" s="78" t="s">
        <v>148</v>
      </c>
      <c r="D22" s="88">
        <f>'SCH B-2.1 F'!H20</f>
        <v>309704691.68050182</v>
      </c>
      <c r="E22" s="88">
        <f>-'SCH B-3 F'!I21</f>
        <v>179101433.82776845</v>
      </c>
      <c r="F22" s="151">
        <f>VLOOKUP($B22,'KU Proposed Depr Rates'!$A$16:$R$500,8,)/100</f>
        <v>0.02</v>
      </c>
      <c r="G22" s="88">
        <f t="shared" si="3"/>
        <v>6194093.8336100364</v>
      </c>
      <c r="H22" s="88" t="str">
        <f>VLOOKUP($B22,'KU Proposed Depr Rates'!$A$16:$R$500,6,)</f>
        <v>-10%</v>
      </c>
      <c r="I22" s="210" t="str">
        <f>VLOOKUP($B22,'KU Proposed Depr Rates'!$A$16:$R$500,18,)</f>
        <v>24.35, 49.10</v>
      </c>
      <c r="J22" s="230" t="str">
        <f>VLOOKUP($B22,'KU Proposed Depr Rates'!$A$16:$R$500,16,)</f>
        <v>100-R2.5</v>
      </c>
    </row>
    <row r="23" spans="1:10" ht="18.95" customHeight="1">
      <c r="A23" s="70">
        <f t="shared" si="0"/>
        <v>9</v>
      </c>
      <c r="B23" s="271">
        <v>312</v>
      </c>
      <c r="C23" s="78" t="s">
        <v>1629</v>
      </c>
      <c r="D23" s="88">
        <f>'SCH B-2.1 F'!H21</f>
        <v>2539094101.1696835</v>
      </c>
      <c r="E23" s="88">
        <f>-'SCH B-3 F'!I22</f>
        <v>1057014370.8801861</v>
      </c>
      <c r="F23" s="151">
        <f>VLOOKUP($B23,'KU Proposed Depr Rates'!$A$16:$R$500,8,)/100</f>
        <v>2.8300000000000002E-2</v>
      </c>
      <c r="G23" s="88">
        <f t="shared" si="3"/>
        <v>71856363.063102052</v>
      </c>
      <c r="H23" s="88" t="str">
        <f>VLOOKUP($B23,'KU Proposed Depr Rates'!$A$16:$R$500,6,)</f>
        <v>-10%</v>
      </c>
      <c r="I23" s="210" t="str">
        <f>VLOOKUP($B23,'KU Proposed Depr Rates'!$A$16:$R$500,18,)</f>
        <v>3.63, 19.65</v>
      </c>
      <c r="J23" s="230" t="str">
        <f>VLOOKUP($B23,'KU Proposed Depr Rates'!$A$16:$R$500,16,)</f>
        <v>65-R2, 100-S4</v>
      </c>
    </row>
    <row r="24" spans="1:10" ht="18.95" customHeight="1">
      <c r="A24" s="70">
        <f>A22+1</f>
        <v>9</v>
      </c>
      <c r="B24" s="271">
        <v>313</v>
      </c>
      <c r="C24" s="78" t="s">
        <v>144</v>
      </c>
      <c r="D24" s="88">
        <f>'SCH B-2.1 F'!H22</f>
        <v>0</v>
      </c>
      <c r="E24" s="88">
        <f>-'SCH B-3 F'!I23</f>
        <v>0</v>
      </c>
      <c r="F24" s="151"/>
      <c r="G24" s="88"/>
      <c r="H24" s="88"/>
      <c r="I24" s="88"/>
      <c r="J24" s="156"/>
    </row>
    <row r="25" spans="1:10" ht="18.95" customHeight="1">
      <c r="A25" s="70">
        <f>A23+1</f>
        <v>10</v>
      </c>
      <c r="B25" s="271">
        <v>314</v>
      </c>
      <c r="C25" s="78" t="s">
        <v>1631</v>
      </c>
      <c r="D25" s="88">
        <f>'SCH B-2.1 F'!H23</f>
        <v>312031622.50885141</v>
      </c>
      <c r="E25" s="88">
        <f>-'SCH B-3 F'!I24</f>
        <v>137146056.60498437</v>
      </c>
      <c r="F25" s="151">
        <f>VLOOKUP($B25,'KU Proposed Depr Rates'!$A$16:$R$500,8,)/100</f>
        <v>2.834999663674095E-2</v>
      </c>
      <c r="G25" s="88">
        <f t="shared" ref="G25:G27" si="4">D25*F25</f>
        <v>8846095.448682759</v>
      </c>
      <c r="H25" s="88" t="str">
        <f>VLOOKUP($B25,'KU Proposed Depr Rates'!$A$16:$R$500,6,)</f>
        <v>-6%, -8%, -13%</v>
      </c>
      <c r="I25" s="209">
        <f>VLOOKUP($B25,'KU Proposed Depr Rates'!$A$16:$R$500,18,)</f>
        <v>21.04</v>
      </c>
      <c r="J25" s="230">
        <f>VLOOKUP($B25,'KU Proposed Depr Rates'!$A$16:$R$500,16,)</f>
        <v>0</v>
      </c>
    </row>
    <row r="26" spans="1:10" ht="18.95" customHeight="1">
      <c r="A26" s="70">
        <f t="shared" si="0"/>
        <v>11</v>
      </c>
      <c r="B26" s="271">
        <v>315</v>
      </c>
      <c r="C26" s="78" t="s">
        <v>1633</v>
      </c>
      <c r="D26" s="88">
        <f>'SCH B-2.1 F'!H24</f>
        <v>202919695.19150162</v>
      </c>
      <c r="E26" s="88">
        <f>-'SCH B-3 F'!I25</f>
        <v>107145083.25952698</v>
      </c>
      <c r="F26" s="151">
        <f>VLOOKUP($B26,'KU Proposed Depr Rates'!$A$16:$R$500,8,)/100</f>
        <v>2.998988710100535E-2</v>
      </c>
      <c r="G26" s="88">
        <f t="shared" si="4"/>
        <v>6085538.7493635518</v>
      </c>
      <c r="H26" s="88" t="str">
        <f>VLOOKUP($B26,'KU Proposed Depr Rates'!$A$16:$R$500,6,)</f>
        <v>-6%, -8%, -13%</v>
      </c>
      <c r="I26" s="209">
        <f>VLOOKUP($B26,'KU Proposed Depr Rates'!$A$16:$R$500,18,)</f>
        <v>21.73</v>
      </c>
      <c r="J26" s="230" t="str">
        <f>VLOOKUP($B26,'KU Proposed Depr Rates'!$A$16:$R$500,16,)</f>
        <v>70-R4</v>
      </c>
    </row>
    <row r="27" spans="1:10" ht="18.95" customHeight="1">
      <c r="A27" s="70">
        <f t="shared" si="0"/>
        <v>12</v>
      </c>
      <c r="B27" s="271">
        <v>316</v>
      </c>
      <c r="C27" s="78" t="s">
        <v>1635</v>
      </c>
      <c r="D27" s="88">
        <f>'SCH B-2.1 F'!H25</f>
        <v>39790138.195866823</v>
      </c>
      <c r="E27" s="88">
        <f>-'SCH B-3 F'!I26</f>
        <v>15651982.167848717</v>
      </c>
      <c r="F27" s="151">
        <f>VLOOKUP($B27,'KU Proposed Depr Rates'!$A$16:$R$500,8,)/100</f>
        <v>2.7505053270926762E-2</v>
      </c>
      <c r="G27" s="88">
        <f t="shared" si="4"/>
        <v>1094429.8707348546</v>
      </c>
      <c r="H27" s="88" t="str">
        <f>VLOOKUP($B27,'KU Proposed Depr Rates'!$A$16:$R$500,6,)</f>
        <v>-6%, -8%, -13%</v>
      </c>
      <c r="I27" s="209">
        <f>VLOOKUP($B27,'KU Proposed Depr Rates'!$A$16:$R$500,18,)</f>
        <v>22.74</v>
      </c>
      <c r="J27" s="230" t="str">
        <f>VLOOKUP($B27,'KU Proposed Depr Rates'!$A$16:$R$500,16,)</f>
        <v>75-R1.5</v>
      </c>
    </row>
    <row r="28" spans="1:10" ht="18.95" customHeight="1">
      <c r="A28" s="70">
        <f t="shared" si="0"/>
        <v>13</v>
      </c>
      <c r="B28" s="271">
        <v>317</v>
      </c>
      <c r="C28" s="78" t="s">
        <v>1655</v>
      </c>
      <c r="D28" s="89">
        <f>'SCH B-2.1 F'!H26</f>
        <v>0</v>
      </c>
      <c r="E28" s="89">
        <f>-'SCH B-3 F'!I27</f>
        <v>0</v>
      </c>
      <c r="F28" s="151"/>
      <c r="G28" s="89"/>
      <c r="H28" s="152"/>
      <c r="I28" s="209"/>
      <c r="J28" s="230"/>
    </row>
    <row r="29" spans="1:10" ht="18.95" customHeight="1">
      <c r="A29" s="70">
        <f t="shared" si="0"/>
        <v>14</v>
      </c>
      <c r="B29" s="271"/>
      <c r="C29" s="78" t="s">
        <v>146</v>
      </c>
      <c r="D29" s="86">
        <f>SUM(D21:D28)</f>
        <v>3414231917.0918427</v>
      </c>
      <c r="E29" s="86">
        <f>SUM(E21:E28)</f>
        <v>1496058926.7403145</v>
      </c>
      <c r="F29" s="130"/>
      <c r="G29" s="86">
        <f>SUM(G21:G28)</f>
        <v>94076520.965493262</v>
      </c>
      <c r="H29" s="152"/>
      <c r="I29" s="86"/>
      <c r="J29" s="155"/>
    </row>
    <row r="30" spans="1:10" ht="18.95" customHeight="1">
      <c r="A30" s="70"/>
      <c r="B30" s="271"/>
      <c r="C30" s="78"/>
      <c r="H30" s="148"/>
      <c r="J30" s="143"/>
    </row>
    <row r="31" spans="1:10" ht="18.95" customHeight="1">
      <c r="A31" s="70">
        <f>A29+1</f>
        <v>15</v>
      </c>
      <c r="B31" s="271"/>
      <c r="C31" s="90" t="s">
        <v>47</v>
      </c>
      <c r="H31" s="148"/>
      <c r="J31" s="143"/>
    </row>
    <row r="32" spans="1:10" ht="18.95" customHeight="1">
      <c r="A32" s="70">
        <f t="shared" si="0"/>
        <v>16</v>
      </c>
      <c r="B32" s="271">
        <v>330</v>
      </c>
      <c r="C32" s="78" t="s">
        <v>154</v>
      </c>
      <c r="D32" s="88">
        <f>'SCH B-2.1 F'!H30</f>
        <v>802087.34351089003</v>
      </c>
      <c r="E32" s="88">
        <f>-'SCH B-3 F'!I31</f>
        <v>854948.19014763366</v>
      </c>
      <c r="F32" s="151">
        <f>VLOOKUP($B32,'KU Proposed Depr Rates'!$A$16:$R$500,8,)/100</f>
        <v>0</v>
      </c>
      <c r="G32" s="88">
        <f t="shared" ref="G32:G38" si="5">D32*F32</f>
        <v>0</v>
      </c>
      <c r="H32" s="281">
        <f>VLOOKUP($B32,'KU Proposed Depr Rates'!$A$16:$R$500,6,)</f>
        <v>0</v>
      </c>
      <c r="I32" s="209">
        <f>VLOOKUP($B32,'KU Proposed Depr Rates'!$A$16:$R$500,18,)</f>
        <v>0</v>
      </c>
      <c r="J32" s="230" t="str">
        <f>VLOOKUP($B32,'KU Proposed Depr Rates'!$A$16:$R$500,16,)</f>
        <v>100-R4</v>
      </c>
    </row>
    <row r="33" spans="1:10" ht="18.95" customHeight="1">
      <c r="A33" s="70">
        <f t="shared" si="0"/>
        <v>17</v>
      </c>
      <c r="B33" s="271">
        <v>331</v>
      </c>
      <c r="C33" s="78" t="s">
        <v>148</v>
      </c>
      <c r="D33" s="88">
        <f>'SCH B-2.1 F'!H31</f>
        <v>4192416.3686746848</v>
      </c>
      <c r="E33" s="88">
        <f>-'SCH B-3 F'!I32</f>
        <v>390711.64411025058</v>
      </c>
      <c r="F33" s="151">
        <f>VLOOKUP($B33,'KU Proposed Depr Rates'!$A$16:$R$500,8,)/100</f>
        <v>2.4799999999999999E-2</v>
      </c>
      <c r="G33" s="88">
        <f t="shared" si="5"/>
        <v>103971.92594313218</v>
      </c>
      <c r="H33" s="281">
        <f>VLOOKUP($B33,'KU Proposed Depr Rates'!$A$16:$R$500,6,)/100</f>
        <v>-0.03</v>
      </c>
      <c r="I33" s="209">
        <f>VLOOKUP($B33,'KU Proposed Depr Rates'!$A$16:$R$500,18,)</f>
        <v>24.7</v>
      </c>
      <c r="J33" s="230" t="str">
        <f>VLOOKUP($B33,'KU Proposed Depr Rates'!$A$16:$R$500,16,)</f>
        <v>90-S2.5</v>
      </c>
    </row>
    <row r="34" spans="1:10" ht="18.95" customHeight="1">
      <c r="A34" s="70">
        <f t="shared" si="0"/>
        <v>18</v>
      </c>
      <c r="B34" s="271">
        <v>332</v>
      </c>
      <c r="C34" s="78" t="s">
        <v>1640</v>
      </c>
      <c r="D34" s="88">
        <f>'SCH B-2.1 F'!H32</f>
        <v>20509143.792221878</v>
      </c>
      <c r="E34" s="88">
        <f>-'SCH B-3 F'!I33</f>
        <v>9711746.5196896736</v>
      </c>
      <c r="F34" s="151">
        <f>VLOOKUP($B34,'KU Proposed Depr Rates'!$A$16:$R$500,8,)/100</f>
        <v>2.6099999999999998E-2</v>
      </c>
      <c r="G34" s="88">
        <f t="shared" si="5"/>
        <v>535288.65297699103</v>
      </c>
      <c r="H34" s="281">
        <f>VLOOKUP($B34,'KU Proposed Depr Rates'!$A$16:$R$500,6,)/100</f>
        <v>-0.03</v>
      </c>
      <c r="I34" s="209">
        <f>VLOOKUP($B34,'KU Proposed Depr Rates'!$A$16:$R$500,18,)</f>
        <v>25.1</v>
      </c>
      <c r="J34" s="230" t="str">
        <f>VLOOKUP($B34,'KU Proposed Depr Rates'!$A$16:$R$500,16,)</f>
        <v>105-S2.5</v>
      </c>
    </row>
    <row r="35" spans="1:10" ht="18.95" customHeight="1">
      <c r="A35" s="70">
        <f t="shared" si="0"/>
        <v>19</v>
      </c>
      <c r="B35" s="271">
        <v>333</v>
      </c>
      <c r="C35" s="78" t="s">
        <v>1642</v>
      </c>
      <c r="D35" s="88">
        <f>'SCH B-2.1 F'!H33</f>
        <v>13158363.017006895</v>
      </c>
      <c r="E35" s="88">
        <f>-'SCH B-3 F'!I34</f>
        <v>2662538.8289771345</v>
      </c>
      <c r="F35" s="151">
        <f>VLOOKUP($B35,'KU Proposed Depr Rates'!$A$16:$R$500,8,)/100</f>
        <v>3.8600000000000002E-2</v>
      </c>
      <c r="G35" s="88">
        <f t="shared" si="5"/>
        <v>507912.81245646614</v>
      </c>
      <c r="H35" s="281">
        <f>VLOOKUP($B35,'KU Proposed Depr Rates'!$A$16:$R$500,6,)/100</f>
        <v>-0.03</v>
      </c>
      <c r="I35" s="209">
        <f>VLOOKUP($B35,'KU Proposed Depr Rates'!$A$16:$R$500,18,)</f>
        <v>25.2</v>
      </c>
      <c r="J35" s="230" t="str">
        <f>VLOOKUP($B35,'KU Proposed Depr Rates'!$A$16:$R$500,16,)</f>
        <v>75-R3</v>
      </c>
    </row>
    <row r="36" spans="1:10" ht="18.95" customHeight="1">
      <c r="A36" s="70">
        <f t="shared" si="0"/>
        <v>20</v>
      </c>
      <c r="B36" s="271">
        <v>334</v>
      </c>
      <c r="C36" s="78" t="s">
        <v>1633</v>
      </c>
      <c r="D36" s="88">
        <f>'SCH B-2.1 F'!H34</f>
        <v>1294771.6715571962</v>
      </c>
      <c r="E36" s="88">
        <f>-'SCH B-3 F'!I35</f>
        <v>388740.60963402427</v>
      </c>
      <c r="F36" s="151">
        <f>VLOOKUP($B36,'KU Proposed Depr Rates'!$A$16:$R$500,8,)/100</f>
        <v>3.8099999999999995E-2</v>
      </c>
      <c r="G36" s="88">
        <f t="shared" si="5"/>
        <v>49330.800686329167</v>
      </c>
      <c r="H36" s="281">
        <f>VLOOKUP($B36,'KU Proposed Depr Rates'!$A$16:$R$500,6,)/100</f>
        <v>-0.03</v>
      </c>
      <c r="I36" s="209">
        <f>VLOOKUP($B36,'KU Proposed Depr Rates'!$A$16:$R$500,18,)</f>
        <v>22.7</v>
      </c>
      <c r="J36" s="230" t="str">
        <f>VLOOKUP($B36,'KU Proposed Depr Rates'!$A$16:$R$500,16,)</f>
        <v>40-L2.5</v>
      </c>
    </row>
    <row r="37" spans="1:10" ht="18.95" customHeight="1">
      <c r="A37" s="70">
        <f t="shared" si="0"/>
        <v>21</v>
      </c>
      <c r="B37" s="271">
        <v>335</v>
      </c>
      <c r="C37" s="78" t="s">
        <v>1645</v>
      </c>
      <c r="D37" s="88">
        <f>'SCH B-2.1 F'!H35</f>
        <v>308422.58449480531</v>
      </c>
      <c r="E37" s="88">
        <f>-'SCH B-3 F'!I36</f>
        <v>155801.25725181328</v>
      </c>
      <c r="F37" s="151">
        <f>VLOOKUP($B37,'KU Proposed Depr Rates'!$A$16:$R$500,8,)/100</f>
        <v>3.7599999999999995E-2</v>
      </c>
      <c r="G37" s="88">
        <f t="shared" si="5"/>
        <v>11596.689177004679</v>
      </c>
      <c r="H37" s="281">
        <f>VLOOKUP($B37,'KU Proposed Depr Rates'!$A$16:$R$500,6,)/100</f>
        <v>-0.03</v>
      </c>
      <c r="I37" s="209">
        <f>VLOOKUP($B37,'KU Proposed Depr Rates'!$A$16:$R$500,18,)</f>
        <v>17.600000000000001</v>
      </c>
      <c r="J37" s="230" t="str">
        <f>VLOOKUP($B37,'KU Proposed Depr Rates'!$A$16:$R$500,16,)</f>
        <v>40-S0</v>
      </c>
    </row>
    <row r="38" spans="1:10" ht="18.95" customHeight="1">
      <c r="A38" s="70">
        <f t="shared" si="0"/>
        <v>22</v>
      </c>
      <c r="B38" s="271">
        <v>336</v>
      </c>
      <c r="C38" s="78" t="s">
        <v>1647</v>
      </c>
      <c r="D38" s="88">
        <f>'SCH B-2.1 F'!H36</f>
        <v>219832.6178298009</v>
      </c>
      <c r="E38" s="88">
        <f>-'SCH B-3 F'!I37</f>
        <v>95895.014404896167</v>
      </c>
      <c r="F38" s="151">
        <f>VLOOKUP($B38,'KU Proposed Depr Rates'!$A$16:$R$500,8,)/100</f>
        <v>3.3300000000000003E-2</v>
      </c>
      <c r="G38" s="88">
        <f t="shared" si="5"/>
        <v>7320.4261737323704</v>
      </c>
      <c r="H38" s="281">
        <f>VLOOKUP($B38,'KU Proposed Depr Rates'!$A$16:$R$500,6,)/100</f>
        <v>-0.03</v>
      </c>
      <c r="I38" s="209">
        <f>VLOOKUP($B38,'KU Proposed Depr Rates'!$A$16:$R$500,18,)</f>
        <v>21.9</v>
      </c>
      <c r="J38" s="230" t="str">
        <f>VLOOKUP($B38,'KU Proposed Depr Rates'!$A$16:$R$500,16,)</f>
        <v>60-R4</v>
      </c>
    </row>
    <row r="39" spans="1:10" ht="18.95" customHeight="1">
      <c r="A39" s="70">
        <f t="shared" si="0"/>
        <v>23</v>
      </c>
      <c r="B39" s="271">
        <v>337</v>
      </c>
      <c r="C39" s="78" t="s">
        <v>1656</v>
      </c>
      <c r="D39" s="89">
        <f>'SCH B-2.1 F'!H37</f>
        <v>0</v>
      </c>
      <c r="E39" s="89">
        <f>-'SCH B-3 F'!I38</f>
        <v>0</v>
      </c>
      <c r="F39" s="130"/>
      <c r="G39" s="89"/>
      <c r="H39" s="152"/>
      <c r="I39" s="88"/>
      <c r="J39" s="156"/>
    </row>
    <row r="40" spans="1:10" ht="18.95" customHeight="1">
      <c r="A40" s="70">
        <f t="shared" si="0"/>
        <v>24</v>
      </c>
      <c r="B40" s="271" t="s">
        <v>251</v>
      </c>
      <c r="C40" s="78" t="s">
        <v>147</v>
      </c>
      <c r="D40" s="86">
        <f>SUM(D32:D39)</f>
        <v>40485037.395296149</v>
      </c>
      <c r="E40" s="86">
        <f>SUM(E32:E39)</f>
        <v>14260382.064215427</v>
      </c>
      <c r="F40" s="86"/>
      <c r="G40" s="86">
        <f t="shared" ref="G40" si="6">SUM(G32:G39)</f>
        <v>1215421.3074136556</v>
      </c>
      <c r="H40" s="153"/>
      <c r="I40" s="86"/>
      <c r="J40" s="155"/>
    </row>
    <row r="41" spans="1:10" ht="18.95" customHeight="1">
      <c r="A41" s="70"/>
      <c r="B41" s="271"/>
      <c r="C41" s="78"/>
      <c r="D41" s="86"/>
      <c r="E41" s="86"/>
      <c r="F41" s="86"/>
      <c r="G41" s="86"/>
      <c r="H41" s="153"/>
      <c r="I41" s="86"/>
      <c r="J41" s="155"/>
    </row>
    <row r="42" spans="1:10" ht="18.95" customHeight="1">
      <c r="A42" s="70">
        <f>A40+1</f>
        <v>25</v>
      </c>
      <c r="B42" s="271"/>
      <c r="C42" s="90" t="s">
        <v>61</v>
      </c>
      <c r="H42" s="148"/>
      <c r="J42" s="143"/>
    </row>
    <row r="43" spans="1:10" ht="18.95" customHeight="1">
      <c r="A43" s="70">
        <f t="shared" si="0"/>
        <v>26</v>
      </c>
      <c r="B43" s="271">
        <v>340</v>
      </c>
      <c r="C43" s="78" t="s">
        <v>154</v>
      </c>
      <c r="D43" s="88">
        <f>'SCH B-2.1 F'!H41</f>
        <v>846300.55935434625</v>
      </c>
      <c r="E43" s="88">
        <f>-'SCH B-3 F'!I42</f>
        <v>124742.25392934842</v>
      </c>
      <c r="F43" s="151">
        <f>VLOOKUP($B43,'KU Proposed Depr Rates'!$A$16:$R$500,8,)/100</f>
        <v>2.1899999999999999E-2</v>
      </c>
      <c r="G43" s="88">
        <f t="shared" ref="G43:G46" si="7">D43*F43</f>
        <v>18533.982249860182</v>
      </c>
      <c r="H43" s="281">
        <f>VLOOKUP($B43,'KU Proposed Depr Rates'!$A$16:$R$500,6,)</f>
        <v>0</v>
      </c>
      <c r="I43" s="209">
        <f>VLOOKUP($B43,'KU Proposed Depr Rates'!$A$16:$R$500,18,)</f>
        <v>178.7</v>
      </c>
      <c r="J43" s="230" t="str">
        <f>VLOOKUP($B43,'KU Proposed Depr Rates'!$A$16:$R$500,16,)</f>
        <v>SQUARE</v>
      </c>
    </row>
    <row r="44" spans="1:10" ht="18.95" customHeight="1">
      <c r="A44" s="70">
        <f t="shared" si="0"/>
        <v>27</v>
      </c>
      <c r="B44" s="271">
        <v>341</v>
      </c>
      <c r="C44" s="78" t="s">
        <v>148</v>
      </c>
      <c r="D44" s="88">
        <f>'SCH B-2.1 F'!H42</f>
        <v>81602389.87285313</v>
      </c>
      <c r="E44" s="88">
        <f>-'SCH B-3 F'!I43</f>
        <v>27225499.074725274</v>
      </c>
      <c r="F44" s="151">
        <f>VLOOKUP($B44,'KU Proposed Depr Rates'!$A$16:$R$500,8,)/100</f>
        <v>3.3799999999999997E-2</v>
      </c>
      <c r="G44" s="88">
        <f t="shared" si="7"/>
        <v>2758160.7777024354</v>
      </c>
      <c r="H44" s="88" t="str">
        <f>VLOOKUP($B44,'KU Proposed Depr Rates'!$A$16:$R$500,6,)</f>
        <v>-5%,-6%,-7%,-10%,-12%</v>
      </c>
      <c r="I44" s="209">
        <f>VLOOKUP($B44,'KU Proposed Depr Rates'!$A$16:$R$500,18,)</f>
        <v>25.9</v>
      </c>
      <c r="J44" s="230" t="str">
        <f>VLOOKUP($B44,'KU Proposed Depr Rates'!$A$16:$R$500,16,)</f>
        <v>50-R2.5</v>
      </c>
    </row>
    <row r="45" spans="1:10" ht="18.95" customHeight="1">
      <c r="A45" s="70">
        <f t="shared" si="0"/>
        <v>28</v>
      </c>
      <c r="B45" s="271">
        <v>342</v>
      </c>
      <c r="C45" s="78" t="s">
        <v>1652</v>
      </c>
      <c r="D45" s="88">
        <f>'SCH B-2.1 F'!H43</f>
        <v>70529294.813843951</v>
      </c>
      <c r="E45" s="88">
        <f>-'SCH B-3 F'!I44</f>
        <v>21777342.891545262</v>
      </c>
      <c r="F45" s="151">
        <f>VLOOKUP($B45,'KU Proposed Depr Rates'!$A$16:$R$500,8,)/100</f>
        <v>3.27E-2</v>
      </c>
      <c r="G45" s="88">
        <f t="shared" si="7"/>
        <v>2306307.9404126974</v>
      </c>
      <c r="H45" s="88" t="str">
        <f>VLOOKUP($B45,'KU Proposed Depr Rates'!$A$16:$R$500,6,)</f>
        <v>-6%,-7%,-10%,-12%</v>
      </c>
      <c r="I45" s="209">
        <f>VLOOKUP($B45,'KU Proposed Depr Rates'!$A$16:$R$500,18,)</f>
        <v>31.3</v>
      </c>
      <c r="J45" s="230" t="str">
        <f>VLOOKUP($B45,'KU Proposed Depr Rates'!$A$16:$R$500,16,)</f>
        <v>45-R2.5</v>
      </c>
    </row>
    <row r="46" spans="1:10" ht="18.95" customHeight="1">
      <c r="A46" s="70">
        <f t="shared" si="0"/>
        <v>29</v>
      </c>
      <c r="B46" s="271">
        <v>343</v>
      </c>
      <c r="C46" s="78" t="s">
        <v>1654</v>
      </c>
      <c r="D46" s="88">
        <f>'SCH B-2.1 F'!H44</f>
        <v>636544917.26563871</v>
      </c>
      <c r="E46" s="88">
        <f>-'SCH B-3 F'!I45</f>
        <v>228985859.92194679</v>
      </c>
      <c r="F46" s="151">
        <f>VLOOKUP($B46,'KU Proposed Depr Rates'!$A$16:$R$500,8,)/100</f>
        <v>4.6300000000000001E-2</v>
      </c>
      <c r="G46" s="88">
        <f t="shared" si="7"/>
        <v>29472029.669399071</v>
      </c>
      <c r="H46" s="88" t="str">
        <f>VLOOKUP($B46,'KU Proposed Depr Rates'!$A$16:$R$500,6,)</f>
        <v>-6%,-7%,-12%</v>
      </c>
      <c r="I46" s="209">
        <f>VLOOKUP($B46,'KU Proposed Depr Rates'!$A$16:$R$500,18,)</f>
        <v>16</v>
      </c>
      <c r="J46" s="230" t="str">
        <f>VLOOKUP($B46,'KU Proposed Depr Rates'!$A$16:$R$500,16,)</f>
        <v>35-R1.5</v>
      </c>
    </row>
    <row r="47" spans="1:10" ht="18.95" customHeight="1">
      <c r="A47" s="70">
        <f>A46+1</f>
        <v>30</v>
      </c>
      <c r="B47" s="271">
        <v>344</v>
      </c>
      <c r="C47" s="78" t="s">
        <v>1658</v>
      </c>
      <c r="D47" s="88">
        <f>'SCH B-2.1 F'!H56</f>
        <v>124020863.29579239</v>
      </c>
      <c r="E47" s="88">
        <f>-'SCH B-3 F'!I58</f>
        <v>46623132.474558949</v>
      </c>
      <c r="F47" s="151">
        <f>VLOOKUP($B47,'KU Proposed Depr Rates'!$A$16:$R$500,8,)/100</f>
        <v>3.2599999999999997E-2</v>
      </c>
      <c r="G47" s="88">
        <f t="shared" ref="G47:G49" si="8">D47*F47</f>
        <v>4043080.1434428315</v>
      </c>
      <c r="H47" s="88" t="str">
        <f>VLOOKUP($B47,'KU Proposed Depr Rates'!$A$16:$R$500,6,)</f>
        <v>-5%,-6%,-7%,-10%,-12%</v>
      </c>
      <c r="I47" s="209">
        <f>VLOOKUP($B47,'KU Proposed Depr Rates'!$A$16:$R$500,18,)</f>
        <v>28</v>
      </c>
      <c r="J47" s="230" t="str">
        <f>VLOOKUP($B47,'KU Proposed Depr Rates'!$A$16:$R$500,16,)</f>
        <v>55-S2.5</v>
      </c>
    </row>
    <row r="48" spans="1:10" ht="18.95" customHeight="1">
      <c r="A48" s="70">
        <f t="shared" si="0"/>
        <v>31</v>
      </c>
      <c r="B48" s="271">
        <v>345</v>
      </c>
      <c r="C48" s="78" t="s">
        <v>1633</v>
      </c>
      <c r="D48" s="88">
        <f>'SCH B-2.1 F'!H57</f>
        <v>74323682.567074731</v>
      </c>
      <c r="E48" s="88">
        <f>-'SCH B-3 F'!I59</f>
        <v>29269405.107549571</v>
      </c>
      <c r="F48" s="151">
        <f>VLOOKUP($B48,'KU Proposed Depr Rates'!$A$16:$R$500,8,)/100</f>
        <v>3.9599999999999996E-2</v>
      </c>
      <c r="G48" s="88">
        <f t="shared" si="8"/>
        <v>2943217.829656159</v>
      </c>
      <c r="H48" s="88" t="str">
        <f>VLOOKUP($B48,'KU Proposed Depr Rates'!$A$16:$R$500,6,)</f>
        <v>-5%,-6%,-7%,-10%,-12%</v>
      </c>
      <c r="I48" s="209">
        <f>VLOOKUP($B48,'KU Proposed Depr Rates'!$A$16:$R$500,18,)</f>
        <v>20.399999999999999</v>
      </c>
      <c r="J48" s="230" t="str">
        <f>VLOOKUP($B48,'KU Proposed Depr Rates'!$A$16:$R$500,16,)</f>
        <v>50-R3</v>
      </c>
    </row>
    <row r="49" spans="1:10" ht="18.95" customHeight="1">
      <c r="A49" s="70">
        <f t="shared" si="0"/>
        <v>32</v>
      </c>
      <c r="B49" s="271">
        <v>346</v>
      </c>
      <c r="C49" s="78" t="s">
        <v>1645</v>
      </c>
      <c r="D49" s="88">
        <f>'SCH B-2.1 F'!H58</f>
        <v>11798956.902790224</v>
      </c>
      <c r="E49" s="88">
        <f>-'SCH B-3 F'!I60</f>
        <v>3810296.9000163577</v>
      </c>
      <c r="F49" s="151">
        <f>VLOOKUP($B49,'KU Proposed Depr Rates'!$A$16:$R$500,8,)/100</f>
        <v>4.36E-2</v>
      </c>
      <c r="G49" s="88">
        <f t="shared" si="8"/>
        <v>514434.52096165379</v>
      </c>
      <c r="H49" s="88" t="str">
        <f>VLOOKUP($B49,'KU Proposed Depr Rates'!$A$16:$R$500,6,)</f>
        <v>-6%,-7%,-10%,-12%</v>
      </c>
      <c r="I49" s="209">
        <f>VLOOKUP($B49,'KU Proposed Depr Rates'!$A$16:$R$500,18,)</f>
        <v>12.6</v>
      </c>
      <c r="J49" s="230" t="str">
        <f>VLOOKUP($B49,'KU Proposed Depr Rates'!$A$16:$R$500,16,)</f>
        <v>40-R2</v>
      </c>
    </row>
    <row r="50" spans="1:10" ht="18.95" customHeight="1">
      <c r="A50" s="70">
        <f t="shared" si="0"/>
        <v>33</v>
      </c>
      <c r="B50" s="271">
        <v>347</v>
      </c>
      <c r="C50" s="78" t="s">
        <v>1696</v>
      </c>
      <c r="D50" s="89">
        <f>'SCH B-2.1 F'!H59</f>
        <v>0</v>
      </c>
      <c r="E50" s="89">
        <f>-'SCH B-3 F'!I61</f>
        <v>0</v>
      </c>
      <c r="F50" s="130"/>
      <c r="G50" s="89"/>
      <c r="H50" s="130"/>
      <c r="I50" s="88"/>
      <c r="J50" s="88"/>
    </row>
    <row r="51" spans="1:10" ht="18.95" customHeight="1">
      <c r="A51" s="70">
        <f t="shared" si="0"/>
        <v>34</v>
      </c>
      <c r="B51" s="271"/>
      <c r="C51" s="78" t="s">
        <v>145</v>
      </c>
      <c r="D51" s="86">
        <f>SUM(D43:D46,D47:D50)</f>
        <v>999666405.27734745</v>
      </c>
      <c r="E51" s="86">
        <f>SUM(E43:E46,E47:E50)</f>
        <v>357816278.62427157</v>
      </c>
      <c r="F51" s="86"/>
      <c r="G51" s="86">
        <f>SUM(G43:G46,G47:G50)</f>
        <v>42055764.863824718</v>
      </c>
      <c r="H51" s="86"/>
      <c r="I51" s="86"/>
      <c r="J51" s="86"/>
    </row>
    <row r="52" spans="1:10" ht="18.95" customHeight="1">
      <c r="A52" s="70"/>
      <c r="B52" s="271"/>
    </row>
    <row r="53" spans="1:10" ht="18.95" customHeight="1">
      <c r="A53" s="70">
        <f>A51+1</f>
        <v>35</v>
      </c>
      <c r="B53" s="271"/>
      <c r="C53" s="90" t="s">
        <v>84</v>
      </c>
    </row>
    <row r="54" spans="1:10" ht="18.95" customHeight="1">
      <c r="A54" s="70">
        <f t="shared" si="0"/>
        <v>36</v>
      </c>
      <c r="B54" s="271">
        <v>350</v>
      </c>
      <c r="C54" s="78" t="s">
        <v>154</v>
      </c>
      <c r="D54" s="88">
        <f>'SCH B-2.1 F'!H63</f>
        <v>28705071.873190809</v>
      </c>
      <c r="E54" s="88">
        <f>-'SCH B-3 F'!I65</f>
        <v>15830899.889791874</v>
      </c>
      <c r="F54" s="151">
        <f>VLOOKUP($B54,'KU Proposed Depr Rates'!$A$16:$R$500,8,)/100</f>
        <v>8.6E-3</v>
      </c>
      <c r="G54" s="88">
        <f t="shared" ref="G54" si="9">D54*F54</f>
        <v>246863.61810944095</v>
      </c>
      <c r="H54" s="281">
        <f>VLOOKUP($B54,'KU Proposed Depr Rates'!$A$16:$R$500,6,)</f>
        <v>0</v>
      </c>
      <c r="I54" s="209">
        <f>VLOOKUP($B54,'KU Proposed Depr Rates'!$A$16:$R$500,18,)</f>
        <v>48.9</v>
      </c>
      <c r="J54" s="641" t="str">
        <f>VLOOKUP($B54,'KU Proposed Depr Rates'!$A$16:$R$500,16,)</f>
        <v>70-R3</v>
      </c>
    </row>
    <row r="55" spans="1:10" ht="18.95" customHeight="1">
      <c r="A55" s="70">
        <f t="shared" si="0"/>
        <v>37</v>
      </c>
      <c r="B55" s="271">
        <v>352</v>
      </c>
      <c r="C55" s="78" t="s">
        <v>148</v>
      </c>
      <c r="D55" s="88">
        <f>'SCH B-2.1 F'!H64</f>
        <v>26663762.451830916</v>
      </c>
      <c r="E55" s="88">
        <f>-'SCH B-3 F'!I66</f>
        <v>7073779.6540850736</v>
      </c>
      <c r="F55" s="151">
        <f>VLOOKUP($B55,'KU Proposed Depr Rates'!$A$16:$R$500,8,)/100</f>
        <v>1.66E-2</v>
      </c>
      <c r="G55" s="88">
        <f t="shared" ref="G55:G62" si="10">D55*F55</f>
        <v>442618.45670039323</v>
      </c>
      <c r="H55" s="281">
        <f>VLOOKUP($B55,'KU Proposed Depr Rates'!$A$16:$R$500,6,)</f>
        <v>-0.25</v>
      </c>
      <c r="I55" s="209" t="str">
        <f>VLOOKUP($B55,'KU Proposed Depr Rates'!$A$16:$R$500,18,)</f>
        <v>47.9-59.5</v>
      </c>
      <c r="J55" s="230" t="str">
        <f>VLOOKUP($B55,'KU Proposed Depr Rates'!$A$16:$R$500,16,)</f>
        <v>65-R3,70-R3</v>
      </c>
    </row>
    <row r="56" spans="1:10" ht="18.95" customHeight="1">
      <c r="A56" s="70">
        <f t="shared" si="0"/>
        <v>38</v>
      </c>
      <c r="B56" s="271">
        <v>353</v>
      </c>
      <c r="C56" s="78" t="s">
        <v>149</v>
      </c>
      <c r="D56" s="88">
        <f>'SCH B-2.1 F'!H65</f>
        <v>330722978.8823626</v>
      </c>
      <c r="E56" s="88">
        <f>-'SCH B-3 F'!I67</f>
        <v>75050117.816372767</v>
      </c>
      <c r="F56" s="151">
        <f>VLOOKUP($B56,'KU Proposed Depr Rates'!$A$16:$R$500,8,)/100</f>
        <v>1.67E-2</v>
      </c>
      <c r="G56" s="88">
        <f t="shared" si="10"/>
        <v>5523073.7473354554</v>
      </c>
      <c r="H56" s="281">
        <f>VLOOKUP($B56,'KU Proposed Depr Rates'!$A$16:$R$500,6,)</f>
        <v>-0.1</v>
      </c>
      <c r="I56" s="209">
        <f>VLOOKUP($B56,'KU Proposed Depr Rates'!$A$16:$R$500,18,)</f>
        <v>46</v>
      </c>
      <c r="J56" s="230" t="str">
        <f>VLOOKUP($B56,'KU Proposed Depr Rates'!$A$16:$R$500,16,)</f>
        <v>45-R2,60-R2</v>
      </c>
    </row>
    <row r="57" spans="1:10" ht="18.95" customHeight="1">
      <c r="A57" s="70">
        <f t="shared" si="0"/>
        <v>39</v>
      </c>
      <c r="B57" s="271">
        <v>354</v>
      </c>
      <c r="C57" s="78" t="s">
        <v>1666</v>
      </c>
      <c r="D57" s="88">
        <f>'SCH B-2.1 F'!H66</f>
        <v>72134466.439493895</v>
      </c>
      <c r="E57" s="88">
        <f>-'SCH B-3 F'!I68</f>
        <v>47003414.756975435</v>
      </c>
      <c r="F57" s="151">
        <f>VLOOKUP($B57,'KU Proposed Depr Rates'!$A$16:$R$500,8,)/100</f>
        <v>1.6900000000000002E-2</v>
      </c>
      <c r="G57" s="88">
        <f t="shared" si="10"/>
        <v>1219072.4828274469</v>
      </c>
      <c r="H57" s="281">
        <f>VLOOKUP($B57,'KU Proposed Depr Rates'!$A$16:$R$500,6,)/100</f>
        <v>-0.25</v>
      </c>
      <c r="I57" s="209">
        <f>VLOOKUP($B57,'KU Proposed Depr Rates'!$A$16:$R$500,18,)</f>
        <v>44.8</v>
      </c>
      <c r="J57" s="230" t="str">
        <f>VLOOKUP($B57,'KU Proposed Depr Rates'!$A$16:$R$500,16,)</f>
        <v>70-R4</v>
      </c>
    </row>
    <row r="58" spans="1:10" ht="18.95" customHeight="1">
      <c r="A58" s="70">
        <f t="shared" si="0"/>
        <v>40</v>
      </c>
      <c r="B58" s="271">
        <v>355</v>
      </c>
      <c r="C58" s="78" t="s">
        <v>1668</v>
      </c>
      <c r="D58" s="88">
        <f>'SCH B-2.1 F'!H67</f>
        <v>399924535.52201563</v>
      </c>
      <c r="E58" s="88">
        <f>-'SCH B-3 F'!I69</f>
        <v>70195346.825319111</v>
      </c>
      <c r="F58" s="151">
        <f>VLOOKUP($B58,'KU Proposed Depr Rates'!$A$16:$R$500,8,)/100</f>
        <v>2.9300000000000003E-2</v>
      </c>
      <c r="G58" s="88">
        <f t="shared" si="10"/>
        <v>11717788.89079506</v>
      </c>
      <c r="H58" s="281">
        <f>VLOOKUP($B58,'KU Proposed Depr Rates'!$A$16:$R$500,6,)/100</f>
        <v>-0.55000000000000004</v>
      </c>
      <c r="I58" s="209">
        <f>VLOOKUP($B58,'KU Proposed Depr Rates'!$A$16:$R$500,18,)</f>
        <v>48.8</v>
      </c>
      <c r="J58" s="230" t="str">
        <f>VLOOKUP($B58,'KU Proposed Depr Rates'!$A$16:$R$500,16,)</f>
        <v>58-R2</v>
      </c>
    </row>
    <row r="59" spans="1:10" ht="18.95" customHeight="1">
      <c r="A59" s="70">
        <f t="shared" si="0"/>
        <v>41</v>
      </c>
      <c r="B59" s="271">
        <v>356</v>
      </c>
      <c r="C59" s="78" t="s">
        <v>1670</v>
      </c>
      <c r="D59" s="88">
        <f>'SCH B-2.1 F'!H68</f>
        <v>166146488.39838547</v>
      </c>
      <c r="E59" s="88">
        <f>-'SCH B-3 F'!I70</f>
        <v>104167642.13733159</v>
      </c>
      <c r="F59" s="151">
        <f>VLOOKUP($B59,'KU Proposed Depr Rates'!$A$16:$R$500,8,)/100</f>
        <v>2.5399999999999999E-2</v>
      </c>
      <c r="G59" s="88">
        <f t="shared" si="10"/>
        <v>4220120.8053189907</v>
      </c>
      <c r="H59" s="281">
        <f>VLOOKUP($B59,'KU Proposed Depr Rates'!$A$16:$R$500,6,)/100</f>
        <v>-0.5</v>
      </c>
      <c r="I59" s="209">
        <f>VLOOKUP($B59,'KU Proposed Depr Rates'!$A$16:$R$500,18,)</f>
        <v>43.8</v>
      </c>
      <c r="J59" s="230" t="str">
        <f>VLOOKUP($B59,'KU Proposed Depr Rates'!$A$16:$R$500,16,)</f>
        <v>65-R3</v>
      </c>
    </row>
    <row r="60" spans="1:10" ht="18.95" customHeight="1">
      <c r="A60" s="70">
        <f t="shared" si="0"/>
        <v>42</v>
      </c>
      <c r="B60" s="271">
        <v>357</v>
      </c>
      <c r="C60" s="78" t="s">
        <v>1672</v>
      </c>
      <c r="D60" s="88">
        <f>'SCH B-2.1 F'!H69</f>
        <v>428791.86418445827</v>
      </c>
      <c r="E60" s="88">
        <f>-'SCH B-3 F'!I71</f>
        <v>230524.93660799018</v>
      </c>
      <c r="F60" s="151">
        <f>VLOOKUP($B60,'KU Proposed Depr Rates'!$A$16:$R$500,8,)/100</f>
        <v>1.7000000000000001E-2</v>
      </c>
      <c r="G60" s="88">
        <f t="shared" si="10"/>
        <v>7289.4616911357916</v>
      </c>
      <c r="H60" s="281">
        <f>VLOOKUP($B60,'KU Proposed Depr Rates'!$A$16:$R$500,6,)</f>
        <v>0</v>
      </c>
      <c r="I60" s="209">
        <f>VLOOKUP($B60,'KU Proposed Depr Rates'!$A$16:$R$500,18,)</f>
        <v>28.7</v>
      </c>
      <c r="J60" s="230" t="str">
        <f>VLOOKUP($B60,'KU Proposed Depr Rates'!$A$16:$R$500,16,)</f>
        <v>50-R4</v>
      </c>
    </row>
    <row r="61" spans="1:10" ht="18.95" customHeight="1">
      <c r="A61" s="70">
        <f t="shared" si="0"/>
        <v>43</v>
      </c>
      <c r="B61" s="271">
        <v>358</v>
      </c>
      <c r="C61" s="78" t="s">
        <v>1674</v>
      </c>
      <c r="D61" s="88">
        <f>'SCH B-2.1 F'!H70</f>
        <v>4648402.0759182554</v>
      </c>
      <c r="E61" s="88">
        <f>-'SCH B-3 F'!I72</f>
        <v>662610.02344195324</v>
      </c>
      <c r="F61" s="151">
        <f>VLOOKUP($B61,'KU Proposed Depr Rates'!$A$16:$R$500,8,)/100</f>
        <v>7.4000000000000003E-3</v>
      </c>
      <c r="G61" s="88">
        <f t="shared" si="10"/>
        <v>34398.175361795089</v>
      </c>
      <c r="H61" s="281">
        <f>VLOOKUP($B61,'KU Proposed Depr Rates'!$A$16:$R$500,6,)</f>
        <v>0</v>
      </c>
      <c r="I61" s="209">
        <f>VLOOKUP($B61,'KU Proposed Depr Rates'!$A$16:$R$500,18,)</f>
        <v>23.6</v>
      </c>
      <c r="J61" s="230" t="str">
        <f>VLOOKUP($B61,'KU Proposed Depr Rates'!$A$16:$R$500,16,)</f>
        <v>40-R3</v>
      </c>
    </row>
    <row r="62" spans="1:10" ht="18.95" customHeight="1">
      <c r="A62" s="70">
        <f t="shared" si="0"/>
        <v>44</v>
      </c>
      <c r="B62" s="271">
        <v>359</v>
      </c>
      <c r="C62" s="78" t="s">
        <v>152</v>
      </c>
      <c r="D62" s="89">
        <f>'SCH B-2.1 F'!H71</f>
        <v>0</v>
      </c>
      <c r="E62" s="89">
        <f>-'SCH B-3 F'!I73</f>
        <v>0</v>
      </c>
      <c r="F62" s="130"/>
      <c r="G62" s="89">
        <f t="shared" si="10"/>
        <v>0</v>
      </c>
      <c r="H62" s="152"/>
      <c r="I62" s="88"/>
      <c r="J62" s="88"/>
    </row>
    <row r="63" spans="1:10" ht="18.95" customHeight="1">
      <c r="A63" s="70">
        <f t="shared" si="0"/>
        <v>45</v>
      </c>
      <c r="B63" s="271"/>
      <c r="C63" s="78" t="s">
        <v>150</v>
      </c>
      <c r="D63" s="86">
        <f>SUM(D54:D62)</f>
        <v>1029374497.507382</v>
      </c>
      <c r="E63" s="86">
        <f>SUM(E54:E62)</f>
        <v>320214336.03992581</v>
      </c>
      <c r="F63" s="86"/>
      <c r="G63" s="86">
        <f t="shared" ref="G63" si="11">SUM(G54:G62)</f>
        <v>23411225.638139717</v>
      </c>
      <c r="H63" s="153"/>
      <c r="I63" s="86"/>
      <c r="J63" s="86"/>
    </row>
    <row r="64" spans="1:10" s="68" customFormat="1" ht="20.100000000000001" customHeight="1">
      <c r="A64" s="769" t="str">
        <f>$A$1</f>
        <v>KENTUCKY UTILITIES COMPANY</v>
      </c>
      <c r="B64" s="769"/>
      <c r="C64" s="769"/>
      <c r="D64" s="769"/>
      <c r="E64" s="769"/>
      <c r="F64" s="769"/>
      <c r="G64" s="769"/>
      <c r="H64" s="769"/>
      <c r="I64" s="769"/>
      <c r="J64" s="769"/>
    </row>
    <row r="65" spans="1:10" s="68" customFormat="1" ht="20.100000000000001" customHeight="1">
      <c r="A65" s="769" t="str">
        <f>$A$2</f>
        <v>CASE NO. 2018-00294 - RESPONSE TO PSC 2-65 (SLIPPAGE FACTOR 96.027%)</v>
      </c>
      <c r="B65" s="769"/>
      <c r="C65" s="769"/>
      <c r="D65" s="769"/>
      <c r="E65" s="769"/>
      <c r="F65" s="769"/>
      <c r="G65" s="769"/>
      <c r="H65" s="769"/>
      <c r="I65" s="769"/>
      <c r="J65" s="769"/>
    </row>
    <row r="66" spans="1:10" s="68" customFormat="1" ht="20.100000000000001" customHeight="1">
      <c r="A66" s="769" t="str">
        <f>$A$3</f>
        <v>DEPRECIATION ACCRUAL RATES AND ACCUMULATED BALANCES BY ACCOUNT</v>
      </c>
      <c r="B66" s="769"/>
      <c r="C66" s="769"/>
      <c r="D66" s="769"/>
      <c r="E66" s="769"/>
      <c r="F66" s="769"/>
      <c r="G66" s="769"/>
      <c r="H66" s="769"/>
      <c r="I66" s="769"/>
      <c r="J66" s="769"/>
    </row>
    <row r="67" spans="1:10" s="68" customFormat="1" ht="20.100000000000001" customHeight="1">
      <c r="A67" s="768" t="str">
        <f>$A$4</f>
        <v>AS OF APRIL 30, 2020</v>
      </c>
      <c r="B67" s="769"/>
      <c r="C67" s="769"/>
      <c r="D67" s="769"/>
      <c r="E67" s="769"/>
      <c r="F67" s="769"/>
      <c r="G67" s="769"/>
      <c r="H67" s="769"/>
      <c r="I67" s="769"/>
      <c r="J67" s="769"/>
    </row>
    <row r="68" spans="1:10" s="68" customFormat="1" ht="20.100000000000001" customHeight="1">
      <c r="A68" s="229"/>
      <c r="B68" s="229"/>
      <c r="C68" s="229"/>
      <c r="D68" s="229"/>
      <c r="E68" s="229"/>
      <c r="F68" s="229"/>
      <c r="G68" s="229"/>
      <c r="H68" s="229"/>
      <c r="I68" s="229"/>
      <c r="J68" s="229"/>
    </row>
    <row r="69" spans="1:10" s="68" customFormat="1" ht="20.100000000000001" customHeight="1">
      <c r="A69" s="67" t="str">
        <f>$A$6</f>
        <v>DATA:____BASE  PERIOD__X__FORECASTED  PERIOD</v>
      </c>
      <c r="B69" s="67"/>
      <c r="I69" s="74"/>
      <c r="J69" s="74" t="s">
        <v>1242</v>
      </c>
    </row>
    <row r="70" spans="1:10" s="68" customFormat="1" ht="20.100000000000001" customHeight="1">
      <c r="A70" s="67" t="str">
        <f>$A$7</f>
        <v>TYPE OF FILING: __X__ ORIGINAL  _____ UPDATED  _____ REVISED</v>
      </c>
      <c r="I70" s="74"/>
      <c r="J70" s="74" t="s">
        <v>2065</v>
      </c>
    </row>
    <row r="71" spans="1:10" s="68" customFormat="1" ht="20.100000000000001" customHeight="1">
      <c r="A71" s="67" t="str">
        <f>$A$8</f>
        <v>WORKPAPER REFERENCE NO(S).:</v>
      </c>
      <c r="B71" s="67"/>
      <c r="G71" s="67"/>
      <c r="I71" s="75"/>
      <c r="J71" s="75" t="str">
        <f>$J$8</f>
        <v>WITNESS:   C. M. GARRETT</v>
      </c>
    </row>
    <row r="72" spans="1:10" s="68" customFormat="1" ht="20.100000000000001" customHeight="1"/>
    <row r="73" spans="1:10" s="68" customFormat="1" ht="20.100000000000001" customHeight="1">
      <c r="A73" s="96"/>
      <c r="B73" s="96"/>
      <c r="C73" s="96"/>
      <c r="D73" s="771" t="s">
        <v>227</v>
      </c>
      <c r="E73" s="771"/>
      <c r="F73" s="96"/>
      <c r="G73" s="96"/>
      <c r="H73" s="96"/>
      <c r="I73" s="96"/>
      <c r="J73" s="96"/>
    </row>
    <row r="74" spans="1:10" ht="48" customHeight="1">
      <c r="A74" s="71" t="s">
        <v>131</v>
      </c>
      <c r="B74" s="71" t="s">
        <v>134</v>
      </c>
      <c r="C74" s="78" t="s">
        <v>1244</v>
      </c>
      <c r="D74" s="71" t="s">
        <v>1578</v>
      </c>
      <c r="E74" s="71" t="s">
        <v>1579</v>
      </c>
      <c r="F74" s="71" t="s">
        <v>3412</v>
      </c>
      <c r="G74" s="71" t="s">
        <v>1247</v>
      </c>
      <c r="H74" s="71" t="s">
        <v>1249</v>
      </c>
      <c r="I74" s="71" t="s">
        <v>1838</v>
      </c>
      <c r="J74" s="71" t="s">
        <v>1250</v>
      </c>
    </row>
    <row r="75" spans="1:10" ht="18.95" customHeight="1">
      <c r="A75" s="98" t="s">
        <v>1220</v>
      </c>
      <c r="B75" s="98" t="s">
        <v>1221</v>
      </c>
      <c r="C75" s="98" t="s">
        <v>1224</v>
      </c>
      <c r="D75" s="98" t="s">
        <v>1232</v>
      </c>
      <c r="E75" s="98" t="s">
        <v>1233</v>
      </c>
      <c r="F75" s="98" t="s">
        <v>1234</v>
      </c>
      <c r="G75" s="98" t="s">
        <v>1248</v>
      </c>
      <c r="H75" s="98" t="s">
        <v>1236</v>
      </c>
      <c r="I75" s="98" t="s">
        <v>1237</v>
      </c>
      <c r="J75" s="98" t="s">
        <v>1251</v>
      </c>
    </row>
    <row r="76" spans="1:10" ht="23.1" customHeight="1">
      <c r="A76" s="80"/>
      <c r="B76" s="80"/>
      <c r="C76" s="81"/>
      <c r="D76" s="82" t="s">
        <v>142</v>
      </c>
      <c r="E76" s="82" t="s">
        <v>142</v>
      </c>
      <c r="F76" s="82"/>
      <c r="G76" s="82" t="s">
        <v>142</v>
      </c>
      <c r="H76" s="82"/>
      <c r="I76" s="82"/>
      <c r="J76" s="82"/>
    </row>
    <row r="77" spans="1:10" ht="18.95" customHeight="1">
      <c r="A77" s="70">
        <f>A63+1</f>
        <v>46</v>
      </c>
      <c r="B77" s="271" t="s">
        <v>251</v>
      </c>
      <c r="C77" s="90" t="s">
        <v>16</v>
      </c>
      <c r="H77" s="148"/>
    </row>
    <row r="78" spans="1:10" ht="18.95" customHeight="1">
      <c r="A78" s="70">
        <f t="shared" si="0"/>
        <v>47</v>
      </c>
      <c r="B78" s="271">
        <v>360</v>
      </c>
      <c r="C78" s="78" t="s">
        <v>154</v>
      </c>
      <c r="D78" s="88">
        <f>'SCH B-2.1 F'!H75</f>
        <v>9225394.6162830666</v>
      </c>
      <c r="E78" s="88">
        <f>-'SCH B-3 F'!I77</f>
        <v>1416482.4837580747</v>
      </c>
      <c r="F78" s="151">
        <f>VLOOKUP($B78,'KU Proposed Depr Rates'!$A$16:$R$500,8,)/100</f>
        <v>6.4000000000000003E-3</v>
      </c>
      <c r="G78" s="88">
        <f t="shared" ref="G78" si="12">D78*F78</f>
        <v>59042.525544211632</v>
      </c>
      <c r="H78" s="281">
        <f>VLOOKUP($B78,'KU Proposed Depr Rates'!$A$16:$R$500,6,)/100</f>
        <v>0</v>
      </c>
      <c r="I78" s="209">
        <f>VLOOKUP($B78,'KU Proposed Depr Rates'!$A$16:$R$500,18,)</f>
        <v>51.4</v>
      </c>
      <c r="J78" s="641" t="str">
        <f>VLOOKUP($B78,'KU Proposed Depr Rates'!$A$16:$R$500,16,)</f>
        <v>70-R4</v>
      </c>
    </row>
    <row r="79" spans="1:10" ht="18.95" customHeight="1">
      <c r="A79" s="70">
        <f t="shared" ref="A79:A91" si="13">A78+1</f>
        <v>48</v>
      </c>
      <c r="B79" s="271">
        <v>361</v>
      </c>
      <c r="C79" s="78" t="s">
        <v>148</v>
      </c>
      <c r="D79" s="88">
        <f>'SCH B-2.1 F'!H76</f>
        <v>27419669.824258152</v>
      </c>
      <c r="E79" s="88">
        <f>-'SCH B-3 F'!I78</f>
        <v>2231265.7354666828</v>
      </c>
      <c r="F79" s="151">
        <f>VLOOKUP($B79,'KU Proposed Depr Rates'!$A$16:$R$500,8,)/100</f>
        <v>2.1499999999999998E-2</v>
      </c>
      <c r="G79" s="88">
        <f t="shared" ref="G79:G90" si="14">D79*F79</f>
        <v>589522.90122155019</v>
      </c>
      <c r="H79" s="281">
        <f>VLOOKUP($B79,'KU Proposed Depr Rates'!$A$16:$R$500,6,)/100</f>
        <v>-0.25</v>
      </c>
      <c r="I79" s="209">
        <f>VLOOKUP($B79,'KU Proposed Depr Rates'!$A$16:$R$500,18,)</f>
        <v>48.4</v>
      </c>
      <c r="J79" s="230" t="str">
        <f>VLOOKUP($B79,'KU Proposed Depr Rates'!$A$16:$R$500,16,)</f>
        <v>60-R2.5</v>
      </c>
    </row>
    <row r="80" spans="1:10" ht="18.95" customHeight="1">
      <c r="A80" s="70">
        <f t="shared" si="13"/>
        <v>49</v>
      </c>
      <c r="B80" s="271">
        <v>362</v>
      </c>
      <c r="C80" s="78" t="s">
        <v>1679</v>
      </c>
      <c r="D80" s="88">
        <f>'SCH B-2.1 F'!H77</f>
        <v>241924160.60645169</v>
      </c>
      <c r="E80" s="88">
        <f>-'SCH B-3 F'!I79</f>
        <v>52656961.382045597</v>
      </c>
      <c r="F80" s="151">
        <f>VLOOKUP($B80,'KU Proposed Depr Rates'!$A$16:$R$500,8,)/100</f>
        <v>2.29E-2</v>
      </c>
      <c r="G80" s="88">
        <f t="shared" si="14"/>
        <v>5540063.2778877439</v>
      </c>
      <c r="H80" s="281">
        <f>VLOOKUP($B80,'KU Proposed Depr Rates'!$A$16:$R$500,6,)/100</f>
        <v>-0.2</v>
      </c>
      <c r="I80" s="209">
        <f>VLOOKUP($B80,'KU Proposed Depr Rates'!$A$16:$R$500,18,)</f>
        <v>40.299999999999997</v>
      </c>
      <c r="J80" s="230" t="str">
        <f>VLOOKUP($B80,'KU Proposed Depr Rates'!$A$16:$R$500,16,)</f>
        <v>54-R2</v>
      </c>
    </row>
    <row r="81" spans="1:10" ht="18.95" customHeight="1">
      <c r="A81" s="70">
        <f t="shared" si="13"/>
        <v>50</v>
      </c>
      <c r="B81" s="271">
        <v>364</v>
      </c>
      <c r="C81" s="78" t="s">
        <v>1681</v>
      </c>
      <c r="D81" s="88">
        <f>'SCH B-2.1 F'!H78</f>
        <v>397397295.13062155</v>
      </c>
      <c r="E81" s="88">
        <f>-'SCH B-3 F'!I80</f>
        <v>166584618.08638433</v>
      </c>
      <c r="F81" s="151">
        <f>VLOOKUP($B81,'KU Proposed Depr Rates'!$A$16:$R$500,8,)/100</f>
        <v>2.6699999999999998E-2</v>
      </c>
      <c r="G81" s="88">
        <f t="shared" si="14"/>
        <v>10610507.779987594</v>
      </c>
      <c r="H81" s="281">
        <f>VLOOKUP($B81,'KU Proposed Depr Rates'!$A$16:$R$500,6,)/100</f>
        <v>-0.5</v>
      </c>
      <c r="I81" s="209">
        <f>VLOOKUP($B81,'KU Proposed Depr Rates'!$A$16:$R$500,18,)</f>
        <v>40.1</v>
      </c>
      <c r="J81" s="230" t="str">
        <f>VLOOKUP($B81,'KU Proposed Depr Rates'!$A$16:$R$500,16,)</f>
        <v>50-R1.5</v>
      </c>
    </row>
    <row r="82" spans="1:10" ht="18.95" customHeight="1">
      <c r="A82" s="70">
        <f t="shared" si="13"/>
        <v>51</v>
      </c>
      <c r="B82" s="271">
        <v>365</v>
      </c>
      <c r="C82" s="78" t="s">
        <v>1670</v>
      </c>
      <c r="D82" s="88">
        <f>'SCH B-2.1 F'!H79</f>
        <v>398736280.60129321</v>
      </c>
      <c r="E82" s="88">
        <f>-'SCH B-3 F'!I81</f>
        <v>112041376.74490529</v>
      </c>
      <c r="F82" s="151">
        <f>VLOOKUP($B82,'KU Proposed Depr Rates'!$A$16:$R$500,8,)/100</f>
        <v>2.4699999999999996E-2</v>
      </c>
      <c r="G82" s="88">
        <f t="shared" si="14"/>
        <v>9848786.1308519412</v>
      </c>
      <c r="H82" s="281">
        <f>VLOOKUP($B82,'KU Proposed Depr Rates'!$A$16:$R$500,6,)/100</f>
        <v>-0.3</v>
      </c>
      <c r="I82" s="209">
        <f>VLOOKUP($B82,'KU Proposed Depr Rates'!$A$16:$R$500,18,)</f>
        <v>38.299999999999997</v>
      </c>
      <c r="J82" s="230" t="str">
        <f>VLOOKUP($B82,'KU Proposed Depr Rates'!$A$16:$R$500,16,)</f>
        <v>47-R1</v>
      </c>
    </row>
    <row r="83" spans="1:10" ht="18.95" customHeight="1">
      <c r="A83" s="70">
        <f t="shared" si="13"/>
        <v>52</v>
      </c>
      <c r="B83" s="271">
        <v>366</v>
      </c>
      <c r="C83" s="78" t="s">
        <v>1672</v>
      </c>
      <c r="D83" s="88">
        <f>'SCH B-2.1 F'!H80</f>
        <v>2219103.52</v>
      </c>
      <c r="E83" s="88">
        <f>-'SCH B-3 F'!I82</f>
        <v>1030623.48999999</v>
      </c>
      <c r="F83" s="151">
        <f>VLOOKUP($B83,'KU Proposed Depr Rates'!$A$16:$R$500,8,)/100</f>
        <v>2.3199999999999998E-2</v>
      </c>
      <c r="G83" s="88">
        <f t="shared" si="14"/>
        <v>51483.201664</v>
      </c>
      <c r="H83" s="281">
        <f>VLOOKUP($B83,'KU Proposed Depr Rates'!$A$16:$R$500,6,)/100</f>
        <v>0</v>
      </c>
      <c r="I83" s="209">
        <f>VLOOKUP($B83,'KU Proposed Depr Rates'!$A$16:$R$500,18,)</f>
        <v>25.6</v>
      </c>
      <c r="J83" s="230" t="str">
        <f>VLOOKUP($B83,'KU Proposed Depr Rates'!$A$16:$R$500,16,)</f>
        <v>50-R4</v>
      </c>
    </row>
    <row r="84" spans="1:10" ht="18.95" customHeight="1">
      <c r="A84" s="70">
        <f t="shared" si="13"/>
        <v>53</v>
      </c>
      <c r="B84" s="271">
        <v>367</v>
      </c>
      <c r="C84" s="78" t="s">
        <v>1674</v>
      </c>
      <c r="D84" s="88">
        <f>'SCH B-2.1 F'!H81</f>
        <v>215233449.4559209</v>
      </c>
      <c r="E84" s="88">
        <f>-'SCH B-3 F'!I83</f>
        <v>51949806.227200039</v>
      </c>
      <c r="F84" s="151">
        <f>VLOOKUP($B84,'KU Proposed Depr Rates'!$A$16:$R$500,8,)/100</f>
        <v>2.4299999999999999E-2</v>
      </c>
      <c r="G84" s="88">
        <f t="shared" si="14"/>
        <v>5230172.8217788776</v>
      </c>
      <c r="H84" s="281">
        <f>VLOOKUP($B84,'KU Proposed Depr Rates'!$A$16:$R$500,6,)/100</f>
        <v>-0.2</v>
      </c>
      <c r="I84" s="209">
        <f>VLOOKUP($B84,'KU Proposed Depr Rates'!$A$16:$R$500,18,)</f>
        <v>40.200000000000003</v>
      </c>
      <c r="J84" s="230" t="str">
        <f>VLOOKUP($B84,'KU Proposed Depr Rates'!$A$16:$R$500,16,)</f>
        <v>48-R2</v>
      </c>
    </row>
    <row r="85" spans="1:10" ht="18.95" customHeight="1">
      <c r="A85" s="70">
        <f t="shared" si="13"/>
        <v>54</v>
      </c>
      <c r="B85" s="271">
        <v>368</v>
      </c>
      <c r="C85" s="78" t="s">
        <v>1686</v>
      </c>
      <c r="D85" s="88">
        <f>'SCH B-2.1 F'!H82</f>
        <v>315437142.80543238</v>
      </c>
      <c r="E85" s="88">
        <f>-'SCH B-3 F'!I84</f>
        <v>142099618.10839212</v>
      </c>
      <c r="F85" s="151">
        <f>VLOOKUP($B85,'KU Proposed Depr Rates'!$A$16:$R$500,8,)/100</f>
        <v>1.7899999999999999E-2</v>
      </c>
      <c r="G85" s="88">
        <f t="shared" si="14"/>
        <v>5646324.8562172391</v>
      </c>
      <c r="H85" s="281">
        <f>VLOOKUP($B85,'KU Proposed Depr Rates'!$A$16:$R$500,6,)/100</f>
        <v>-0.05</v>
      </c>
      <c r="I85" s="209">
        <f>VLOOKUP($B85,'KU Proposed Depr Rates'!$A$16:$R$500,18,)</f>
        <v>33</v>
      </c>
      <c r="J85" s="230" t="str">
        <f>VLOOKUP($B85,'KU Proposed Depr Rates'!$A$16:$R$500,16,)</f>
        <v>46-R2</v>
      </c>
    </row>
    <row r="86" spans="1:10" ht="18.95" customHeight="1">
      <c r="A86" s="70">
        <f t="shared" si="13"/>
        <v>55</v>
      </c>
      <c r="B86" s="271">
        <v>369</v>
      </c>
      <c r="C86" s="78" t="s">
        <v>1688</v>
      </c>
      <c r="D86" s="88">
        <f>'SCH B-2.1 F'!H83</f>
        <v>108671232.43846154</v>
      </c>
      <c r="E86" s="88">
        <f>-'SCH B-3 F'!I85</f>
        <v>63360922.952578284</v>
      </c>
      <c r="F86" s="151">
        <f>VLOOKUP($B86,'KU Proposed Depr Rates'!$A$16:$R$500,8,)/100</f>
        <v>1.6299999999999999E-2</v>
      </c>
      <c r="G86" s="88">
        <f t="shared" si="14"/>
        <v>1771341.088746923</v>
      </c>
      <c r="H86" s="281">
        <f>VLOOKUP($B86,'KU Proposed Depr Rates'!$A$16:$R$500,6,)/100</f>
        <v>-0.25</v>
      </c>
      <c r="I86" s="209">
        <f>VLOOKUP($B86,'KU Proposed Depr Rates'!$A$16:$R$500,18,)</f>
        <v>36.6</v>
      </c>
      <c r="J86" s="230" t="str">
        <f>VLOOKUP($B86,'KU Proposed Depr Rates'!$A$16:$R$500,16,)</f>
        <v>48-R1</v>
      </c>
    </row>
    <row r="87" spans="1:10" ht="18.95" customHeight="1">
      <c r="A87" s="70">
        <f>A86+1</f>
        <v>56</v>
      </c>
      <c r="B87" s="271">
        <v>370</v>
      </c>
      <c r="C87" s="78" t="s">
        <v>1690</v>
      </c>
      <c r="D87" s="88">
        <f>'SCH B-2.1 F'!H84</f>
        <v>77412212.684320778</v>
      </c>
      <c r="E87" s="88">
        <f>-'SCH B-3 F'!I86</f>
        <v>41601877.270603575</v>
      </c>
      <c r="F87" s="151">
        <f>VLOOKUP($B87,'KU Proposed Depr Rates'!$A$16:$R$500,8,)/100</f>
        <v>3.6499999999999998E-2</v>
      </c>
      <c r="G87" s="88">
        <f t="shared" si="14"/>
        <v>2825545.7629777081</v>
      </c>
      <c r="H87" s="281">
        <f>VLOOKUP($B87,'KU Proposed Depr Rates'!$A$16:$R$500,6,)/100</f>
        <v>0</v>
      </c>
      <c r="I87" s="209" t="str">
        <f>VLOOKUP($B87,'KU Proposed Depr Rates'!$A$16:$R$500,18,)</f>
        <v>4.3-14.7</v>
      </c>
      <c r="J87" s="230" t="str">
        <f>VLOOKUP($B87,'KU Proposed Depr Rates'!$A$16:$R$500,16,)</f>
        <v>15-S2.5, 28-L1</v>
      </c>
    </row>
    <row r="88" spans="1:10" ht="18.95" customHeight="1">
      <c r="A88" s="70">
        <f t="shared" si="13"/>
        <v>57</v>
      </c>
      <c r="B88" s="271">
        <v>371</v>
      </c>
      <c r="C88" s="78" t="s">
        <v>1692</v>
      </c>
      <c r="D88" s="88">
        <f>'SCH B-2.1 F'!H85</f>
        <v>145659.9681</v>
      </c>
      <c r="E88" s="88">
        <f>-'SCH B-3 F'!I87</f>
        <v>14692.803607064912</v>
      </c>
      <c r="F88" s="151">
        <f>VLOOKUP($B88,'KU Proposed Depr Rates'!$A$16:$R$500,8,)/100</f>
        <v>5.2999999999999992E-3</v>
      </c>
      <c r="G88" s="88">
        <f t="shared" si="14"/>
        <v>771.99783092999985</v>
      </c>
      <c r="H88" s="281">
        <f>VLOOKUP($B88,'KU Proposed Depr Rates'!$A$16:$R$500,6,)/100</f>
        <v>-0.1</v>
      </c>
      <c r="I88" s="209">
        <f>VLOOKUP($B88,'KU Proposed Depr Rates'!$A$16:$R$500,18,)</f>
        <v>19.3</v>
      </c>
      <c r="J88" s="230" t="str">
        <f>VLOOKUP($B88,'KU Proposed Depr Rates'!$A$16:$R$500,16,)</f>
        <v>28-O1</v>
      </c>
    </row>
    <row r="89" spans="1:10" ht="18.95" customHeight="1">
      <c r="A89" s="70">
        <f t="shared" si="13"/>
        <v>58</v>
      </c>
      <c r="B89" s="271">
        <v>373</v>
      </c>
      <c r="C89" s="78" t="s">
        <v>1694</v>
      </c>
      <c r="D89" s="88">
        <f>'SCH B-2.1 F'!H86</f>
        <v>126856868.67395324</v>
      </c>
      <c r="E89" s="88">
        <f>-'SCH B-3 F'!I88</f>
        <v>43681488.751014635</v>
      </c>
      <c r="F89" s="151">
        <f>VLOOKUP($B89,'KU Proposed Depr Rates'!$A$16:$R$500,8,)/100</f>
        <v>4.0000000000000008E-2</v>
      </c>
      <c r="G89" s="88">
        <f t="shared" si="14"/>
        <v>5074274.74695813</v>
      </c>
      <c r="H89" s="281">
        <f>VLOOKUP($B89,'KU Proposed Depr Rates'!$A$16:$R$500,6,)/100</f>
        <v>-0.1</v>
      </c>
      <c r="I89" s="209">
        <f>VLOOKUP($B89,'KU Proposed Depr Rates'!$A$16:$R$500,18,)</f>
        <v>22.1</v>
      </c>
      <c r="J89" s="230" t="str">
        <f>VLOOKUP($B89,'KU Proposed Depr Rates'!$A$16:$R$500,16,)</f>
        <v>28-L0.5</v>
      </c>
    </row>
    <row r="90" spans="1:10" ht="18.95" customHeight="1">
      <c r="A90" s="70">
        <f t="shared" si="13"/>
        <v>59</v>
      </c>
      <c r="B90" s="271">
        <v>374</v>
      </c>
      <c r="C90" s="78" t="s">
        <v>151</v>
      </c>
      <c r="D90" s="89">
        <f>'SCH B-2.1 F'!H87</f>
        <v>0</v>
      </c>
      <c r="E90" s="89">
        <f>-'SCH B-3 F'!I89</f>
        <v>0</v>
      </c>
      <c r="F90" s="130"/>
      <c r="G90" s="89">
        <f t="shared" si="14"/>
        <v>0</v>
      </c>
      <c r="H90" s="152"/>
      <c r="I90" s="88"/>
      <c r="J90" s="88"/>
    </row>
    <row r="91" spans="1:10" ht="18.95" customHeight="1">
      <c r="A91" s="70">
        <f t="shared" si="13"/>
        <v>60</v>
      </c>
      <c r="B91" s="71"/>
      <c r="C91" s="78" t="s">
        <v>153</v>
      </c>
      <c r="D91" s="86">
        <f>SUM(D78:D90)</f>
        <v>1920678470.3250966</v>
      </c>
      <c r="E91" s="86">
        <f>SUM(E78:E90)</f>
        <v>678669734.03595567</v>
      </c>
      <c r="F91" s="86"/>
      <c r="G91" s="86">
        <f>SUM(G78:G90)</f>
        <v>47247837.09166684</v>
      </c>
      <c r="H91" s="86"/>
      <c r="I91" s="86"/>
      <c r="J91" s="86"/>
    </row>
    <row r="92" spans="1:10" ht="18.95" customHeight="1">
      <c r="A92" s="70"/>
      <c r="B92" s="271"/>
      <c r="H92" s="148"/>
    </row>
    <row r="93" spans="1:10" ht="18.95" customHeight="1">
      <c r="A93" s="70">
        <f>A91+1</f>
        <v>61</v>
      </c>
      <c r="C93" s="90" t="s">
        <v>32</v>
      </c>
    </row>
    <row r="94" spans="1:10" ht="18.95" customHeight="1">
      <c r="A94" s="70">
        <f t="shared" ref="A94:A104" si="15">A93+1</f>
        <v>62</v>
      </c>
      <c r="B94" s="271">
        <v>389</v>
      </c>
      <c r="C94" s="78" t="s">
        <v>154</v>
      </c>
      <c r="D94" s="88">
        <f>'SCH B-2.1 F'!H101</f>
        <v>4145688.8986520241</v>
      </c>
      <c r="E94" s="88">
        <f>-'SCH B-3 F'!I104</f>
        <v>2.1412018900122509E-7</v>
      </c>
      <c r="F94" s="151">
        <v>0</v>
      </c>
      <c r="G94" s="88">
        <f t="shared" ref="G94:G99" si="16">D94*F94</f>
        <v>0</v>
      </c>
      <c r="H94" s="281">
        <v>0</v>
      </c>
      <c r="I94" s="209"/>
      <c r="J94" s="230"/>
    </row>
    <row r="95" spans="1:10" ht="18.95" customHeight="1">
      <c r="A95" s="70">
        <f t="shared" si="15"/>
        <v>63</v>
      </c>
      <c r="B95" s="271">
        <v>390</v>
      </c>
      <c r="C95" s="78" t="s">
        <v>148</v>
      </c>
      <c r="D95" s="88">
        <f>'SCH B-2.1 F'!H102</f>
        <v>77553635.91205956</v>
      </c>
      <c r="E95" s="88">
        <f>-'SCH B-3 F'!I105</f>
        <v>14681305.362678058</v>
      </c>
      <c r="F95" s="151">
        <f>VLOOKUP($B95,'KU Proposed Depr Rates'!$A$16:$R$500,8,)/100</f>
        <v>2.4199999999999999E-2</v>
      </c>
      <c r="G95" s="88">
        <f t="shared" si="16"/>
        <v>1876797.9890718414</v>
      </c>
      <c r="H95" s="281">
        <f>VLOOKUP($B95,'KU Proposed Depr Rates'!$A$16:$R$500,6,)</f>
        <v>-0.1</v>
      </c>
      <c r="I95" s="209" t="str">
        <f>VLOOKUP($B95,'KU Proposed Depr Rates'!$A$16:$R$500,18,)</f>
        <v>18.00-39.20</v>
      </c>
      <c r="J95" s="230" t="str">
        <f>VLOOKUP($B95,'KU Proposed Depr Rates'!$A$16:$R$500,16,)</f>
        <v>55-S0, 33-R1.5</v>
      </c>
    </row>
    <row r="96" spans="1:10" ht="18.95" customHeight="1">
      <c r="A96" s="70">
        <f t="shared" si="15"/>
        <v>64</v>
      </c>
      <c r="B96" s="271">
        <v>391</v>
      </c>
      <c r="C96" s="78" t="s">
        <v>156</v>
      </c>
      <c r="D96" s="88">
        <f>'SCH B-2.1 F'!H103</f>
        <v>40891579.354578204</v>
      </c>
      <c r="E96" s="88">
        <f>-'SCH B-3 F'!I106</f>
        <v>19227971.32620177</v>
      </c>
      <c r="F96" s="151">
        <f>VLOOKUP($B96,'KU Proposed Depr Rates'!$A$16:$R$500,8,)/100</f>
        <v>0.1229</v>
      </c>
      <c r="G96" s="88">
        <f t="shared" si="16"/>
        <v>5025575.102677661</v>
      </c>
      <c r="H96" s="281">
        <f>VLOOKUP($B96,'KU Proposed Depr Rates'!$A$16:$R$500,6,)</f>
        <v>0</v>
      </c>
      <c r="I96" s="209" t="str">
        <f>VLOOKUP($B96,'KU Proposed Depr Rates'!$A$16:$R$500,18,)</f>
        <v>2.2-9.9</v>
      </c>
      <c r="J96" s="230" t="str">
        <f>VLOOKUP($B96,'KU Proposed Depr Rates'!$A$16:$R$500,16,)</f>
        <v>4-SQ, 5-SQ, 20-SQ</v>
      </c>
    </row>
    <row r="97" spans="1:10" ht="18.95" customHeight="1">
      <c r="A97" s="70">
        <f t="shared" si="15"/>
        <v>65</v>
      </c>
      <c r="B97" s="271">
        <v>392</v>
      </c>
      <c r="C97" s="78" t="s">
        <v>155</v>
      </c>
      <c r="D97" s="88">
        <f>'SCH B-2.1 F'!H104</f>
        <v>7072815.9495782554</v>
      </c>
      <c r="E97" s="88">
        <f>-'SCH B-3 F'!I107</f>
        <v>4122353.5201794617</v>
      </c>
      <c r="F97" s="151">
        <f>VLOOKUP($B97,'KU Proposed Depr Rates'!$A$16:$R$500,8,)/100</f>
        <v>2.9500000000000002E-2</v>
      </c>
      <c r="G97" s="88">
        <f t="shared" si="16"/>
        <v>208648.07051255854</v>
      </c>
      <c r="H97" s="281">
        <f>VLOOKUP($B97,'KU Proposed Depr Rates'!$A$16:$R$500,6,)</f>
        <v>0</v>
      </c>
      <c r="I97" s="209" t="str">
        <f>VLOOKUP($B97,'KU Proposed Depr Rates'!$A$16:$R$500,18,)</f>
        <v>10.8-13.9</v>
      </c>
      <c r="J97" s="230" t="str">
        <f>VLOOKUP($B97,'KU Proposed Depr Rates'!$A$16:$R$500,16,)</f>
        <v>16-L2.5, 14-S2</v>
      </c>
    </row>
    <row r="98" spans="1:10" ht="18.95" customHeight="1">
      <c r="A98" s="70">
        <f t="shared" si="15"/>
        <v>66</v>
      </c>
      <c r="B98" s="271">
        <v>393</v>
      </c>
      <c r="C98" s="78" t="s">
        <v>1702</v>
      </c>
      <c r="D98" s="88">
        <f>'SCH B-2.1 F'!H105</f>
        <v>854192.12531100318</v>
      </c>
      <c r="E98" s="88">
        <f>-'SCH B-3 F'!I108</f>
        <v>420307.44321409019</v>
      </c>
      <c r="F98" s="151">
        <f>VLOOKUP($B98,'KU Proposed Depr Rates'!$A$16:$R$500,8,)/100</f>
        <v>4.3999999999999997E-2</v>
      </c>
      <c r="G98" s="88">
        <f t="shared" si="16"/>
        <v>37584.453513684137</v>
      </c>
      <c r="H98" s="281">
        <f>VLOOKUP($B98,'KU Proposed Depr Rates'!$A$16:$R$500,6,)</f>
        <v>0</v>
      </c>
      <c r="I98" s="209">
        <f>VLOOKUP($B98,'KU Proposed Depr Rates'!$A$16:$R$500,18,)</f>
        <v>18</v>
      </c>
      <c r="J98" s="230" t="str">
        <f>VLOOKUP($B98,'KU Proposed Depr Rates'!$A$16:$R$500,16,)</f>
        <v>25-SQ</v>
      </c>
    </row>
    <row r="99" spans="1:10" ht="18.95" customHeight="1">
      <c r="A99" s="70">
        <f t="shared" si="15"/>
        <v>67</v>
      </c>
      <c r="B99" s="271">
        <v>394</v>
      </c>
      <c r="C99" s="78" t="s">
        <v>1704</v>
      </c>
      <c r="D99" s="88">
        <f>'SCH B-2.1 F'!H106</f>
        <v>15908121.719933411</v>
      </c>
      <c r="E99" s="88">
        <f>-'SCH B-3 F'!I109</f>
        <v>4915827.3992547728</v>
      </c>
      <c r="F99" s="151">
        <f>VLOOKUP($B99,'KU Proposed Depr Rates'!$A$16:$R$500,8,)/100</f>
        <v>4.0199999999999993E-2</v>
      </c>
      <c r="G99" s="88">
        <f t="shared" si="16"/>
        <v>639506.49314132298</v>
      </c>
      <c r="H99" s="281">
        <f>VLOOKUP($B99,'KU Proposed Depr Rates'!$A$16:$R$500,6,)</f>
        <v>0</v>
      </c>
      <c r="I99" s="209">
        <f>VLOOKUP($B99,'KU Proposed Depr Rates'!$A$16:$R$500,18,)</f>
        <v>17.5</v>
      </c>
      <c r="J99" s="230" t="str">
        <f>VLOOKUP($B99,'KU Proposed Depr Rates'!$A$16:$R$500,16,)</f>
        <v>25-SQ</v>
      </c>
    </row>
    <row r="100" spans="1:10" ht="18.95" customHeight="1">
      <c r="A100" s="70">
        <f t="shared" si="15"/>
        <v>68</v>
      </c>
      <c r="B100" s="271">
        <v>395</v>
      </c>
      <c r="C100" s="78" t="s">
        <v>1706</v>
      </c>
      <c r="D100" s="88">
        <f>'SCH B-2.1 F'!H107</f>
        <v>0</v>
      </c>
      <c r="E100" s="88">
        <f>-'SCH B-3 F'!I110</f>
        <v>0</v>
      </c>
      <c r="F100" s="151"/>
      <c r="G100" s="88"/>
      <c r="H100" s="281"/>
      <c r="I100" s="209"/>
      <c r="J100" s="230"/>
    </row>
    <row r="101" spans="1:10" ht="18.95" customHeight="1">
      <c r="A101" s="70">
        <f t="shared" si="15"/>
        <v>69</v>
      </c>
      <c r="B101" s="271">
        <v>396</v>
      </c>
      <c r="C101" s="78" t="s">
        <v>1708</v>
      </c>
      <c r="D101" s="88">
        <f>'SCH B-2.1 F'!H108</f>
        <v>3892428.7437536251</v>
      </c>
      <c r="E101" s="88">
        <f>-'SCH B-3 F'!I111</f>
        <v>1460850.6937404007</v>
      </c>
      <c r="F101" s="151">
        <f>VLOOKUP($B101,'KU Proposed Depr Rates'!$A$16:$R$500,8,)/100</f>
        <v>5.6500000000000002E-2</v>
      </c>
      <c r="G101" s="88">
        <f t="shared" ref="G101:G103" si="17">D101*F101</f>
        <v>219922.22402207981</v>
      </c>
      <c r="H101" s="281">
        <f>VLOOKUP($B101,'KU Proposed Depr Rates'!$A$16:$R$500,6,)</f>
        <v>0</v>
      </c>
      <c r="I101" s="209">
        <f>VLOOKUP($B101,'KU Proposed Depr Rates'!$A$16:$R$500,18,)</f>
        <v>12</v>
      </c>
      <c r="J101" s="230" t="str">
        <f>VLOOKUP($B101,'KU Proposed Depr Rates'!$A$16:$R$500,16,)</f>
        <v>16-L5</v>
      </c>
    </row>
    <row r="102" spans="1:10" ht="18.95" customHeight="1">
      <c r="A102" s="70">
        <f t="shared" si="15"/>
        <v>70</v>
      </c>
      <c r="B102" s="271">
        <v>397</v>
      </c>
      <c r="C102" s="78" t="s">
        <v>157</v>
      </c>
      <c r="D102" s="88">
        <f>'SCH B-2.1 F'!H109</f>
        <v>55935462.220068403</v>
      </c>
      <c r="E102" s="88">
        <f>-'SCH B-3 F'!I112</f>
        <v>26178380.832292702</v>
      </c>
      <c r="F102" s="151">
        <f>VLOOKUP($B102,'KU Proposed Depr Rates'!$A$16:$R$500,8,)/100</f>
        <v>8.2400000000000001E-2</v>
      </c>
      <c r="G102" s="88">
        <f t="shared" si="17"/>
        <v>4609082.0869336361</v>
      </c>
      <c r="H102" s="281">
        <f>VLOOKUP($B102,'KU Proposed Depr Rates'!$A$16:$R$500,6,)</f>
        <v>0</v>
      </c>
      <c r="I102" s="209" t="str">
        <f>VLOOKUP($B102,'KU Proposed Depr Rates'!$A$16:$R$500,18,)</f>
        <v>5.6-13.4</v>
      </c>
      <c r="J102" s="230" t="str">
        <f>VLOOKUP($B102,'KU Proposed Depr Rates'!$A$16:$R$500,16,)</f>
        <v>10-SQ, 18-L3</v>
      </c>
    </row>
    <row r="103" spans="1:10" ht="18.95" customHeight="1">
      <c r="A103" s="70">
        <f t="shared" si="15"/>
        <v>71</v>
      </c>
      <c r="B103" s="271">
        <v>398</v>
      </c>
      <c r="C103" s="78" t="s">
        <v>1711</v>
      </c>
      <c r="D103" s="89">
        <f>'SCH B-2.1 F'!H110</f>
        <v>0</v>
      </c>
      <c r="E103" s="89">
        <f>-'SCH B-3 F'!I113</f>
        <v>0</v>
      </c>
      <c r="F103" s="151"/>
      <c r="G103" s="89">
        <f t="shared" si="17"/>
        <v>0</v>
      </c>
      <c r="H103" s="281"/>
      <c r="I103" s="209"/>
      <c r="J103" s="230"/>
    </row>
    <row r="104" spans="1:10" ht="18.95" customHeight="1">
      <c r="A104" s="70">
        <f t="shared" si="15"/>
        <v>72</v>
      </c>
      <c r="B104" s="71"/>
      <c r="C104" s="78" t="s">
        <v>158</v>
      </c>
      <c r="D104" s="86">
        <f>SUM(D94:D103)</f>
        <v>206253924.92393446</v>
      </c>
      <c r="E104" s="86">
        <f>SUM(E94:E103)</f>
        <v>71006996.577561468</v>
      </c>
      <c r="F104" s="86"/>
      <c r="G104" s="86">
        <f>SUM(G95:G103)</f>
        <v>12617116.419872783</v>
      </c>
      <c r="H104" s="86"/>
      <c r="I104" s="86"/>
      <c r="J104" s="155"/>
    </row>
    <row r="105" spans="1:10" ht="18.95" customHeight="1">
      <c r="A105" s="70"/>
      <c r="B105" s="71"/>
      <c r="J105" s="143"/>
    </row>
    <row r="106" spans="1:10" ht="18.95" customHeight="1" thickBot="1">
      <c r="A106" s="70">
        <f>A104+1</f>
        <v>73</v>
      </c>
      <c r="B106" s="71"/>
      <c r="C106" s="68" t="s">
        <v>439</v>
      </c>
      <c r="D106" s="94">
        <f>SUM(D18,D29,D40,D51,D63,D91,D104)</f>
        <v>7701726106.7455273</v>
      </c>
      <c r="E106" s="94">
        <f>SUM(E18,E29,E40,E51,E63,E91,E104)</f>
        <v>2975782642.5156536</v>
      </c>
      <c r="F106" s="86"/>
      <c r="G106" s="94">
        <f>SUM(G18,G29,G40,G51,G63,G91,G104)</f>
        <v>235276087.6414158</v>
      </c>
      <c r="H106" s="86"/>
      <c r="I106" s="86"/>
      <c r="J106" s="155"/>
    </row>
    <row r="107" spans="1:10" ht="18.95" customHeight="1" thickTop="1">
      <c r="B107" s="71"/>
      <c r="J107" s="143"/>
    </row>
    <row r="108" spans="1:10" ht="18.95" customHeight="1">
      <c r="B108" s="68"/>
      <c r="C108" s="71"/>
      <c r="D108" s="86"/>
      <c r="E108" s="86"/>
    </row>
    <row r="109" spans="1:10" ht="18.95" customHeight="1">
      <c r="B109" s="211"/>
      <c r="C109" s="67"/>
    </row>
    <row r="110" spans="1:10" ht="18.95" customHeight="1">
      <c r="B110" s="211"/>
      <c r="C110" s="67"/>
    </row>
    <row r="111" spans="1:10" ht="18.95" customHeight="1">
      <c r="B111" s="71"/>
    </row>
    <row r="112" spans="1:10" ht="18.95" customHeight="1">
      <c r="D112" s="69" t="s">
        <v>160</v>
      </c>
      <c r="E112" s="69" t="s">
        <v>160</v>
      </c>
    </row>
    <row r="113" ht="18.95" customHeight="1"/>
    <row r="114" ht="18.95" customHeight="1"/>
    <row r="115" ht="18.95" customHeight="1"/>
    <row r="116" ht="18.95" customHeight="1"/>
    <row r="117" ht="18.95" customHeight="1"/>
    <row r="118" ht="18.95" customHeight="1"/>
    <row r="119" ht="18.95" customHeight="1"/>
    <row r="120" ht="18.95" customHeight="1"/>
    <row r="121" ht="18.95" customHeight="1"/>
    <row r="122" ht="18.95" customHeight="1"/>
    <row r="123" ht="18.95" customHeight="1"/>
    <row r="124" ht="18.95" customHeight="1"/>
  </sheetData>
  <mergeCells count="10">
    <mergeCell ref="A1:J1"/>
    <mergeCell ref="A2:J2"/>
    <mergeCell ref="A3:J3"/>
    <mergeCell ref="A4:J4"/>
    <mergeCell ref="D10:E10"/>
    <mergeCell ref="A66:J66"/>
    <mergeCell ref="A67:J67"/>
    <mergeCell ref="D73:E73"/>
    <mergeCell ref="A64:J64"/>
    <mergeCell ref="A65:J65"/>
  </mergeCells>
  <printOptions horizontalCentered="1"/>
  <pageMargins left="1" right="0.75" top="1" bottom="0.5" header="0.3" footer="0.3"/>
  <pageSetup scale="52" fitToHeight="0" orientation="portrait" r:id="rId1"/>
  <rowBreaks count="1" manualBreakCount="1">
    <brk id="63" max="1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49"/>
  <sheetViews>
    <sheetView zoomScaleNormal="100" workbookViewId="0">
      <selection activeCell="H18" sqref="H18"/>
    </sheetView>
  </sheetViews>
  <sheetFormatPr defaultColWidth="9" defaultRowHeight="12.75"/>
  <cols>
    <col min="1" max="1" width="6" style="69" customWidth="1"/>
    <col min="2" max="2" width="38.33203125" style="69" customWidth="1"/>
    <col min="3" max="3" width="15.77734375" style="69" customWidth="1"/>
    <col min="4" max="5" width="13.6640625" style="69" customWidth="1"/>
    <col min="6" max="6" width="14.21875" style="69" customWidth="1"/>
    <col min="7" max="7" width="13.6640625" style="69" customWidth="1"/>
    <col min="8" max="8" width="15.77734375" style="69" customWidth="1"/>
    <col min="9" max="10" width="15" style="69" customWidth="1"/>
    <col min="11" max="11" width="1.6640625" style="69" customWidth="1"/>
    <col min="12" max="16384" width="9" style="69"/>
  </cols>
  <sheetData>
    <row r="1" spans="1:10" s="68" customFormat="1" ht="20.100000000000001" customHeight="1">
      <c r="A1" s="769" t="str">
        <f>'Rate Case Constants'!C9</f>
        <v>KENTUCKY UTILITIES COMPANY</v>
      </c>
      <c r="B1" s="769"/>
      <c r="C1" s="769"/>
      <c r="D1" s="769"/>
      <c r="E1" s="769"/>
      <c r="F1" s="769"/>
      <c r="G1" s="769"/>
      <c r="H1" s="769"/>
      <c r="I1" s="769"/>
      <c r="J1" s="769"/>
    </row>
    <row r="2" spans="1:10" s="68" customFormat="1" ht="20.100000000000001" customHeight="1">
      <c r="A2" s="769" t="str">
        <f>'Rate Case Constants'!C10</f>
        <v>CASE NO. 2018-00294 - RESPONSE TO PSC 2-65 (SLIPPAGE FACTOR 96.027%)</v>
      </c>
      <c r="B2" s="769"/>
      <c r="C2" s="769"/>
      <c r="D2" s="769"/>
      <c r="E2" s="769"/>
      <c r="F2" s="769"/>
      <c r="G2" s="769"/>
      <c r="H2" s="769"/>
      <c r="I2" s="769"/>
      <c r="J2" s="769"/>
    </row>
    <row r="3" spans="1:10" s="68" customFormat="1" ht="20.100000000000001" customHeight="1">
      <c r="A3" s="769" t="s">
        <v>476</v>
      </c>
      <c r="B3" s="769"/>
      <c r="C3" s="769"/>
      <c r="D3" s="769"/>
      <c r="E3" s="769"/>
      <c r="F3" s="769"/>
      <c r="G3" s="769"/>
      <c r="H3" s="769"/>
      <c r="I3" s="769"/>
      <c r="J3" s="769"/>
    </row>
    <row r="4" spans="1:10" s="68" customFormat="1" ht="20.100000000000001" customHeight="1">
      <c r="A4" s="769" t="str">
        <f>'Rate Case Constants'!C12</f>
        <v>AS OF DECEMBER 31, 2018</v>
      </c>
      <c r="B4" s="769"/>
      <c r="C4" s="769"/>
      <c r="D4" s="769"/>
      <c r="E4" s="769"/>
      <c r="F4" s="769"/>
      <c r="G4" s="769"/>
      <c r="H4" s="769"/>
      <c r="I4" s="769"/>
      <c r="J4" s="769"/>
    </row>
    <row r="5" spans="1:10" s="68" customFormat="1" ht="20.100000000000001" customHeight="1">
      <c r="A5" s="92"/>
      <c r="B5" s="92"/>
      <c r="C5" s="92"/>
      <c r="D5" s="92"/>
      <c r="E5" s="92"/>
      <c r="F5" s="92"/>
      <c r="G5" s="92"/>
      <c r="H5" s="223"/>
      <c r="I5" s="223"/>
      <c r="J5" s="92"/>
    </row>
    <row r="6" spans="1:10" s="68" customFormat="1" ht="20.100000000000001" customHeight="1">
      <c r="A6" s="67" t="s">
        <v>133</v>
      </c>
      <c r="D6" s="74"/>
      <c r="E6" s="74"/>
      <c r="F6" s="74"/>
      <c r="H6" s="74"/>
      <c r="I6" s="74"/>
      <c r="J6" s="74" t="s">
        <v>1212</v>
      </c>
    </row>
    <row r="7" spans="1:10" s="68" customFormat="1" ht="20.100000000000001" customHeight="1">
      <c r="A7" s="68" t="str">
        <f>'Rate Case Constants'!C29</f>
        <v>TYPE OF FILING: __X__ ORIGINAL  _____ UPDATED  _____ REVISED</v>
      </c>
      <c r="D7" s="74"/>
      <c r="E7" s="74"/>
      <c r="F7" s="74"/>
      <c r="H7" s="74"/>
      <c r="I7" s="74"/>
      <c r="J7" s="74" t="s">
        <v>177</v>
      </c>
    </row>
    <row r="8" spans="1:10" s="68" customFormat="1" ht="20.100000000000001" customHeight="1">
      <c r="A8" s="67" t="s">
        <v>1198</v>
      </c>
      <c r="D8" s="75"/>
      <c r="E8" s="75"/>
      <c r="F8" s="75"/>
      <c r="H8" s="75"/>
      <c r="I8" s="75"/>
      <c r="J8" s="75" t="str">
        <f>'Rate Case Constants'!C36</f>
        <v>WITNESS:   C. M. GARRETT</v>
      </c>
    </row>
    <row r="9" spans="1:10" s="68" customFormat="1" ht="20.100000000000001" customHeight="1"/>
    <row r="10" spans="1:10" s="68" customFormat="1" ht="20.100000000000001" customHeight="1">
      <c r="A10" s="96"/>
      <c r="B10" s="96"/>
      <c r="C10" s="96"/>
      <c r="D10" s="771" t="s">
        <v>1217</v>
      </c>
      <c r="E10" s="771"/>
      <c r="F10" s="96"/>
      <c r="G10" s="96"/>
      <c r="H10" s="96"/>
      <c r="I10" s="96"/>
      <c r="J10" s="96"/>
    </row>
    <row r="11" spans="1:10" ht="39" customHeight="1">
      <c r="A11" s="71" t="s">
        <v>131</v>
      </c>
      <c r="B11" s="78" t="s">
        <v>1165</v>
      </c>
      <c r="C11" s="71" t="s">
        <v>1213</v>
      </c>
      <c r="D11" s="71" t="s">
        <v>1214</v>
      </c>
      <c r="E11" s="71" t="s">
        <v>1215</v>
      </c>
      <c r="F11" s="71" t="s">
        <v>1216</v>
      </c>
      <c r="G11" s="71" t="s">
        <v>224</v>
      </c>
      <c r="H11" s="71" t="s">
        <v>225</v>
      </c>
      <c r="I11" s="71" t="s">
        <v>226</v>
      </c>
      <c r="J11" s="71" t="s">
        <v>227</v>
      </c>
    </row>
    <row r="12" spans="1:10" ht="23.1" customHeight="1">
      <c r="A12" s="80"/>
      <c r="B12" s="81"/>
      <c r="C12" s="82" t="s">
        <v>142</v>
      </c>
      <c r="D12" s="82" t="s">
        <v>142</v>
      </c>
      <c r="E12" s="82" t="s">
        <v>142</v>
      </c>
      <c r="F12" s="82" t="s">
        <v>142</v>
      </c>
      <c r="G12" s="82"/>
      <c r="H12" s="82" t="s">
        <v>142</v>
      </c>
      <c r="I12" s="82" t="s">
        <v>142</v>
      </c>
      <c r="J12" s="82" t="s">
        <v>142</v>
      </c>
    </row>
    <row r="13" spans="1:10" ht="23.1" customHeight="1">
      <c r="A13" s="73"/>
      <c r="B13" s="78" t="s">
        <v>1172</v>
      </c>
      <c r="C13" s="95"/>
      <c r="D13" s="95"/>
      <c r="E13" s="95"/>
      <c r="F13" s="95"/>
      <c r="G13" s="95"/>
      <c r="H13" s="95"/>
      <c r="I13" s="95"/>
      <c r="J13" s="95"/>
    </row>
    <row r="14" spans="1:10" ht="18.95" customHeight="1">
      <c r="A14" s="70">
        <v>1</v>
      </c>
      <c r="B14" s="78" t="s">
        <v>1712</v>
      </c>
      <c r="C14" s="86">
        <f>'JURISSEP B'!$E$288</f>
        <v>268040219.31219149</v>
      </c>
      <c r="D14" s="86">
        <f>'JURISSEP B'!$E$290</f>
        <v>938978.68124335003</v>
      </c>
      <c r="E14" s="86">
        <v>0</v>
      </c>
      <c r="F14" s="86">
        <f>SUM(C14:E14)</f>
        <v>268979197.99343485</v>
      </c>
      <c r="G14" s="130">
        <f>H14/F14</f>
        <v>0.87367471229545668</v>
      </c>
      <c r="H14" s="86">
        <f>'JURISSEP B'!G$291</f>
        <v>235000323.42037687</v>
      </c>
      <c r="I14" s="86">
        <f>'SCH B-4.1'!E12</f>
        <v>-218708898.34961984</v>
      </c>
      <c r="J14" s="86">
        <f>SUM(H14:I14)</f>
        <v>16291425.070757031</v>
      </c>
    </row>
    <row r="15" spans="1:10" ht="18.95" customHeight="1">
      <c r="A15" s="70"/>
      <c r="B15" s="78"/>
      <c r="C15" s="86"/>
      <c r="D15" s="86"/>
      <c r="E15" s="86"/>
      <c r="F15" s="86"/>
      <c r="G15" s="130"/>
      <c r="H15" s="86"/>
      <c r="I15" s="86"/>
      <c r="J15" s="86"/>
    </row>
    <row r="16" spans="1:10" ht="18.95" customHeight="1">
      <c r="A16" s="70">
        <v>2</v>
      </c>
      <c r="B16" s="78" t="s">
        <v>245</v>
      </c>
      <c r="C16" s="86">
        <f>'JURISSEP B'!E$299</f>
        <v>24150433.824980799</v>
      </c>
      <c r="D16" s="86">
        <v>0</v>
      </c>
      <c r="E16" s="86">
        <v>0</v>
      </c>
      <c r="F16" s="86">
        <f>SUM(C16:E16)</f>
        <v>24150433.824980799</v>
      </c>
      <c r="G16" s="130">
        <f>H16/F16</f>
        <v>0.93323535022302673</v>
      </c>
      <c r="H16" s="86">
        <f>'JURISSEP B'!G$299</f>
        <v>22538038.568693988</v>
      </c>
      <c r="I16" s="86"/>
      <c r="J16" s="86">
        <f>SUM(H16:I16)</f>
        <v>22538038.568693988</v>
      </c>
    </row>
    <row r="17" spans="1:10" ht="18.95" customHeight="1">
      <c r="A17" s="70"/>
      <c r="B17" s="78"/>
      <c r="C17" s="86"/>
      <c r="D17" s="86"/>
      <c r="E17" s="86"/>
      <c r="F17" s="86"/>
      <c r="G17" s="86"/>
      <c r="H17" s="86"/>
      <c r="I17" s="86"/>
      <c r="J17" s="86"/>
    </row>
    <row r="18" spans="1:10" ht="18.95" customHeight="1">
      <c r="A18" s="70">
        <v>3</v>
      </c>
      <c r="B18" s="78" t="s">
        <v>1170</v>
      </c>
      <c r="C18" s="86">
        <f>'JURISSEP B'!E$303</f>
        <v>6818834.9314678097</v>
      </c>
      <c r="D18" s="86">
        <v>0</v>
      </c>
      <c r="E18" s="86">
        <v>0</v>
      </c>
      <c r="F18" s="86">
        <f>SUM(C18:E18)</f>
        <v>6818834.9314678097</v>
      </c>
      <c r="G18" s="130">
        <f>H18/F18</f>
        <v>0.99999999999579114</v>
      </c>
      <c r="H18" s="86">
        <f>'JURISSEP B'!G$303</f>
        <v>6818834.9314391101</v>
      </c>
      <c r="I18" s="86"/>
      <c r="J18" s="86">
        <f>SUM(H18:I18)</f>
        <v>6818834.9314391101</v>
      </c>
    </row>
    <row r="19" spans="1:10" ht="18.95" customHeight="1">
      <c r="A19" s="70"/>
      <c r="B19" s="78"/>
      <c r="C19" s="86"/>
      <c r="D19" s="86"/>
      <c r="E19" s="86"/>
      <c r="F19" s="86"/>
      <c r="G19" s="86"/>
      <c r="H19" s="86"/>
      <c r="I19" s="86"/>
      <c r="J19" s="86"/>
    </row>
    <row r="20" spans="1:10" ht="18.95" customHeight="1">
      <c r="A20" s="70">
        <v>4</v>
      </c>
      <c r="B20" s="78" t="s">
        <v>1171</v>
      </c>
      <c r="C20" s="131">
        <f>'JURISSEP B'!E$305</f>
        <v>19313873.2895118</v>
      </c>
      <c r="D20" s="131">
        <v>0</v>
      </c>
      <c r="E20" s="131">
        <v>0</v>
      </c>
      <c r="F20" s="131">
        <f>SUM(C20:E20)</f>
        <v>19313873.2895118</v>
      </c>
      <c r="G20" s="130">
        <f>H20/F20</f>
        <v>0.90848118081575691</v>
      </c>
      <c r="H20" s="131">
        <f>'JURISSEP B'!G$305</f>
        <v>17546290.412181586</v>
      </c>
      <c r="I20" s="131"/>
      <c r="J20" s="131">
        <f>SUM(H20:I20)</f>
        <v>17546290.412181586</v>
      </c>
    </row>
    <row r="21" spans="1:10" ht="18.95" customHeight="1">
      <c r="A21" s="70"/>
      <c r="B21" s="78"/>
      <c r="C21" s="86"/>
      <c r="D21" s="86"/>
      <c r="E21" s="86"/>
      <c r="F21" s="86"/>
      <c r="G21" s="86"/>
      <c r="H21" s="86"/>
      <c r="I21" s="86"/>
      <c r="J21" s="86"/>
    </row>
    <row r="22" spans="1:10" ht="18.95" customHeight="1" thickBot="1">
      <c r="A22" s="70">
        <v>5</v>
      </c>
      <c r="B22" s="78" t="s">
        <v>1174</v>
      </c>
      <c r="C22" s="94">
        <f>SUM(C14:C20)</f>
        <v>318323361.35815191</v>
      </c>
      <c r="D22" s="94">
        <f>SUM(D14:D20)</f>
        <v>938978.68124335003</v>
      </c>
      <c r="E22" s="94">
        <f>SUM(E14:E20)</f>
        <v>0</v>
      </c>
      <c r="F22" s="94">
        <f>SUM(F14:F20)</f>
        <v>319262340.03939527</v>
      </c>
      <c r="G22" s="86"/>
      <c r="H22" s="94">
        <f>SUM(H14:H20)</f>
        <v>281903487.33269155</v>
      </c>
      <c r="I22" s="94">
        <f>SUM(I14:I20)</f>
        <v>-218708898.34961984</v>
      </c>
      <c r="J22" s="94">
        <f>SUM(J14:J20)</f>
        <v>63194588.983071715</v>
      </c>
    </row>
    <row r="23" spans="1:10" ht="18.95" customHeight="1" thickTop="1">
      <c r="A23" s="70"/>
      <c r="B23" s="78"/>
      <c r="C23" s="86"/>
      <c r="D23" s="86"/>
      <c r="E23" s="86"/>
      <c r="F23" s="86"/>
      <c r="G23" s="86"/>
      <c r="H23" s="86"/>
      <c r="I23" s="86"/>
      <c r="J23" s="86"/>
    </row>
    <row r="24" spans="1:10" ht="18.95" customHeight="1">
      <c r="A24" s="70"/>
      <c r="B24" s="67"/>
      <c r="C24" s="86"/>
      <c r="D24" s="86"/>
      <c r="E24" s="86"/>
      <c r="F24" s="86"/>
      <c r="G24" s="86"/>
      <c r="H24" s="86"/>
      <c r="I24" s="86"/>
      <c r="J24" s="86"/>
    </row>
    <row r="25" spans="1:10" ht="18.95" customHeight="1">
      <c r="A25" s="70"/>
      <c r="B25" s="78"/>
      <c r="C25" s="86"/>
      <c r="D25" s="86"/>
      <c r="E25" s="86"/>
      <c r="F25" s="86"/>
      <c r="G25" s="86"/>
      <c r="H25" s="86"/>
      <c r="I25" s="86"/>
      <c r="J25" s="86"/>
    </row>
    <row r="26" spans="1:10" s="68" customFormat="1" ht="20.100000000000001" customHeight="1">
      <c r="A26" s="769" t="str">
        <f>$A$1</f>
        <v>KENTUCKY UTILITIES COMPANY</v>
      </c>
      <c r="B26" s="769"/>
      <c r="C26" s="769"/>
      <c r="D26" s="769"/>
      <c r="E26" s="769"/>
      <c r="F26" s="769"/>
      <c r="G26" s="769"/>
      <c r="H26" s="769"/>
      <c r="I26" s="769"/>
      <c r="J26" s="769"/>
    </row>
    <row r="27" spans="1:10" s="68" customFormat="1" ht="20.100000000000001" customHeight="1">
      <c r="A27" s="769" t="str">
        <f>$A$2</f>
        <v>CASE NO. 2018-00294 - RESPONSE TO PSC 2-65 (SLIPPAGE FACTOR 96.027%)</v>
      </c>
      <c r="B27" s="769"/>
      <c r="C27" s="769"/>
      <c r="D27" s="769"/>
      <c r="E27" s="769"/>
      <c r="F27" s="769"/>
      <c r="G27" s="769"/>
      <c r="H27" s="769"/>
      <c r="I27" s="769"/>
      <c r="J27" s="769"/>
    </row>
    <row r="28" spans="1:10" s="68" customFormat="1" ht="20.100000000000001" customHeight="1">
      <c r="A28" s="769" t="str">
        <f>$A$3</f>
        <v>CONSTRUCTION WORK IN PROGRESS</v>
      </c>
      <c r="B28" s="769"/>
      <c r="C28" s="769"/>
      <c r="D28" s="769"/>
      <c r="E28" s="769"/>
      <c r="F28" s="769"/>
      <c r="G28" s="769"/>
      <c r="H28" s="769"/>
      <c r="I28" s="769"/>
      <c r="J28" s="769"/>
    </row>
    <row r="29" spans="1:10" s="68" customFormat="1" ht="20.100000000000001" customHeight="1">
      <c r="A29" s="768" t="str">
        <f>'Rate Case Constants'!C18</f>
        <v>AS OF APRIL 30, 2020</v>
      </c>
      <c r="B29" s="772"/>
      <c r="C29" s="772"/>
      <c r="D29" s="772"/>
      <c r="E29" s="772"/>
      <c r="F29" s="772"/>
      <c r="G29" s="772"/>
      <c r="H29" s="772"/>
      <c r="I29" s="772"/>
      <c r="J29" s="772"/>
    </row>
    <row r="30" spans="1:10" s="68" customFormat="1" ht="20.100000000000001" customHeight="1">
      <c r="A30" s="92"/>
      <c r="B30" s="92"/>
      <c r="C30" s="92"/>
      <c r="D30" s="92"/>
      <c r="E30" s="92"/>
      <c r="F30" s="92"/>
      <c r="G30" s="92"/>
      <c r="H30" s="223"/>
      <c r="I30" s="223"/>
      <c r="J30" s="92"/>
    </row>
    <row r="31" spans="1:10" s="68" customFormat="1" ht="20.100000000000001" customHeight="1">
      <c r="A31" s="67" t="s">
        <v>161</v>
      </c>
      <c r="D31" s="74"/>
      <c r="E31" s="74"/>
      <c r="F31" s="74"/>
      <c r="H31" s="74"/>
      <c r="I31" s="74"/>
      <c r="J31" s="74" t="s">
        <v>1212</v>
      </c>
    </row>
    <row r="32" spans="1:10" s="68" customFormat="1" ht="20.100000000000001" customHeight="1">
      <c r="A32" s="67" t="str">
        <f>$A$7</f>
        <v>TYPE OF FILING: __X__ ORIGINAL  _____ UPDATED  _____ REVISED</v>
      </c>
      <c r="D32" s="74"/>
      <c r="E32" s="74"/>
      <c r="F32" s="74"/>
      <c r="H32" s="74"/>
      <c r="I32" s="74"/>
      <c r="J32" s="74" t="s">
        <v>185</v>
      </c>
    </row>
    <row r="33" spans="1:10" s="68" customFormat="1" ht="20.100000000000001" customHeight="1">
      <c r="A33" s="67" t="str">
        <f>$A$8</f>
        <v>WORKPAPER REFERENCE NO(S).:</v>
      </c>
      <c r="D33" s="75"/>
      <c r="E33" s="75"/>
      <c r="F33" s="75"/>
      <c r="H33" s="75"/>
      <c r="I33" s="75"/>
      <c r="J33" s="75" t="str">
        <f>$J$8</f>
        <v>WITNESS:   C. M. GARRETT</v>
      </c>
    </row>
    <row r="34" spans="1:10" s="68" customFormat="1" ht="20.100000000000001" customHeight="1"/>
    <row r="35" spans="1:10" s="68" customFormat="1" ht="20.100000000000001" customHeight="1">
      <c r="A35" s="96"/>
      <c r="B35" s="96"/>
      <c r="C35" s="96"/>
      <c r="D35" s="771" t="s">
        <v>1217</v>
      </c>
      <c r="E35" s="771"/>
      <c r="F35" s="96"/>
      <c r="G35" s="96"/>
      <c r="H35" s="96"/>
      <c r="I35" s="96"/>
      <c r="J35" s="96"/>
    </row>
    <row r="36" spans="1:10" ht="51" customHeight="1">
      <c r="A36" s="71" t="s">
        <v>131</v>
      </c>
      <c r="B36" s="78" t="s">
        <v>1165</v>
      </c>
      <c r="C36" s="71" t="s">
        <v>2262</v>
      </c>
      <c r="D36" s="71" t="s">
        <v>1214</v>
      </c>
      <c r="E36" s="71" t="s">
        <v>1215</v>
      </c>
      <c r="F36" s="71" t="s">
        <v>1216</v>
      </c>
      <c r="G36" s="71" t="s">
        <v>224</v>
      </c>
      <c r="H36" s="71" t="s">
        <v>225</v>
      </c>
      <c r="I36" s="71" t="s">
        <v>226</v>
      </c>
      <c r="J36" s="71" t="s">
        <v>227</v>
      </c>
    </row>
    <row r="37" spans="1:10" ht="23.1" customHeight="1">
      <c r="A37" s="80"/>
      <c r="B37" s="81"/>
      <c r="C37" s="82" t="s">
        <v>142</v>
      </c>
      <c r="D37" s="82" t="s">
        <v>142</v>
      </c>
      <c r="E37" s="82" t="s">
        <v>142</v>
      </c>
      <c r="F37" s="82" t="s">
        <v>142</v>
      </c>
      <c r="G37" s="82"/>
      <c r="H37" s="82" t="s">
        <v>142</v>
      </c>
      <c r="I37" s="82" t="s">
        <v>142</v>
      </c>
      <c r="J37" s="82" t="s">
        <v>142</v>
      </c>
    </row>
    <row r="38" spans="1:10" ht="23.1" customHeight="1">
      <c r="A38" s="73"/>
      <c r="B38" s="132" t="s">
        <v>1172</v>
      </c>
      <c r="C38" s="95"/>
      <c r="D38" s="95"/>
      <c r="E38" s="95"/>
      <c r="F38" s="95"/>
      <c r="G38" s="95"/>
      <c r="H38" s="95"/>
      <c r="I38" s="95"/>
      <c r="J38" s="95"/>
    </row>
    <row r="39" spans="1:10" ht="18.95" customHeight="1">
      <c r="A39" s="70">
        <v>1</v>
      </c>
      <c r="B39" s="78" t="s">
        <v>1712</v>
      </c>
      <c r="C39" s="86">
        <f>'JURISSEP F'!$E$288</f>
        <v>126475092.12703142</v>
      </c>
      <c r="D39" s="86">
        <f>'JURISSEP F'!$E$290</f>
        <v>961676.92</v>
      </c>
      <c r="E39" s="86">
        <v>0</v>
      </c>
      <c r="F39" s="86">
        <f>SUM(C39:E39)</f>
        <v>127436769.04703142</v>
      </c>
      <c r="G39" s="130">
        <f>H39/F39</f>
        <v>0.9362192355340051</v>
      </c>
      <c r="H39" s="86">
        <f>'JURISSEP F'!G$291</f>
        <v>119308754.49613532</v>
      </c>
      <c r="I39" s="86">
        <f>'SCH B-4.1'!E30</f>
        <v>-88297972.70377332</v>
      </c>
      <c r="J39" s="86">
        <f>SUM(H39:I39)</f>
        <v>31010781.792362005</v>
      </c>
    </row>
    <row r="40" spans="1:10" ht="18.95" customHeight="1">
      <c r="A40" s="70"/>
      <c r="B40" s="78"/>
      <c r="C40" s="86"/>
      <c r="D40" s="86"/>
      <c r="E40" s="86"/>
      <c r="F40" s="86"/>
      <c r="G40" s="130"/>
      <c r="H40" s="86"/>
      <c r="I40" s="86"/>
      <c r="J40" s="86"/>
    </row>
    <row r="41" spans="1:10" ht="18.95" customHeight="1">
      <c r="A41" s="70">
        <v>2</v>
      </c>
      <c r="B41" s="78" t="s">
        <v>245</v>
      </c>
      <c r="C41" s="86">
        <f>'JURISSEP F'!E$299</f>
        <v>62469362.049922302</v>
      </c>
      <c r="D41" s="86">
        <v>0</v>
      </c>
      <c r="E41" s="86">
        <v>0</v>
      </c>
      <c r="F41" s="86">
        <f>SUM(C41:E41)</f>
        <v>62469362.049922302</v>
      </c>
      <c r="G41" s="130">
        <f>H41/F41</f>
        <v>0.90381167831258713</v>
      </c>
      <c r="H41" s="86">
        <f>'JURISSEP F'!G$299</f>
        <v>56460538.957456917</v>
      </c>
      <c r="I41" s="86"/>
      <c r="J41" s="86">
        <f>SUM(H41:I41)</f>
        <v>56460538.957456917</v>
      </c>
    </row>
    <row r="42" spans="1:10" ht="18.95" customHeight="1">
      <c r="A42" s="70"/>
      <c r="B42" s="78"/>
      <c r="C42" s="86"/>
      <c r="D42" s="86"/>
      <c r="E42" s="86"/>
      <c r="F42" s="86"/>
      <c r="G42" s="86"/>
      <c r="H42" s="86"/>
      <c r="I42" s="86"/>
      <c r="J42" s="86"/>
    </row>
    <row r="43" spans="1:10" ht="18.95" customHeight="1">
      <c r="A43" s="70">
        <v>3</v>
      </c>
      <c r="B43" s="78" t="s">
        <v>1170</v>
      </c>
      <c r="C43" s="86">
        <f>'JURISSEP F'!E$303</f>
        <v>20284734.381508198</v>
      </c>
      <c r="D43" s="86">
        <v>0</v>
      </c>
      <c r="E43" s="86">
        <v>0</v>
      </c>
      <c r="F43" s="86">
        <f>SUM(C43:E43)</f>
        <v>20284734.381508198</v>
      </c>
      <c r="G43" s="130">
        <f>H43/F43</f>
        <v>0.99956812282982832</v>
      </c>
      <c r="H43" s="86">
        <f>'JURISSEP F'!G$303</f>
        <v>20275973.867825828</v>
      </c>
      <c r="I43" s="86"/>
      <c r="J43" s="86">
        <f>SUM(H43:I43)</f>
        <v>20275973.867825828</v>
      </c>
    </row>
    <row r="44" spans="1:10" ht="18.95" customHeight="1">
      <c r="A44" s="70"/>
      <c r="B44" s="78"/>
      <c r="C44" s="86"/>
      <c r="D44" s="86"/>
      <c r="E44" s="86"/>
      <c r="F44" s="86"/>
      <c r="G44" s="86"/>
      <c r="H44" s="86"/>
      <c r="I44" s="86"/>
      <c r="J44" s="86"/>
    </row>
    <row r="45" spans="1:10" ht="18.95" customHeight="1">
      <c r="A45" s="70">
        <v>4</v>
      </c>
      <c r="B45" s="78" t="s">
        <v>1171</v>
      </c>
      <c r="C45" s="131">
        <f>'JURISSEP F'!E$305</f>
        <v>23058636.275663778</v>
      </c>
      <c r="D45" s="131">
        <v>0</v>
      </c>
      <c r="E45" s="131">
        <v>0</v>
      </c>
      <c r="F45" s="131">
        <f>SUM(C45:E45)</f>
        <v>23058636.275663778</v>
      </c>
      <c r="G45" s="130">
        <f>H45/F45</f>
        <v>0.94275660489659008</v>
      </c>
      <c r="H45" s="131">
        <f>'JURISSEP F'!G$305</f>
        <v>21738681.648790136</v>
      </c>
      <c r="I45" s="131"/>
      <c r="J45" s="131">
        <f>SUM(H45:I45)</f>
        <v>21738681.648790136</v>
      </c>
    </row>
    <row r="46" spans="1:10" ht="18.95" customHeight="1">
      <c r="A46" s="70"/>
      <c r="B46" s="78"/>
      <c r="C46" s="86"/>
      <c r="D46" s="86"/>
      <c r="E46" s="86"/>
      <c r="F46" s="86"/>
      <c r="G46" s="86"/>
      <c r="H46" s="86"/>
      <c r="I46" s="86"/>
      <c r="J46" s="86"/>
    </row>
    <row r="47" spans="1:10" ht="18.95" customHeight="1" thickBot="1">
      <c r="A47" s="70">
        <v>5</v>
      </c>
      <c r="B47" s="78" t="s">
        <v>1174</v>
      </c>
      <c r="C47" s="94">
        <f>SUM(C39:C45)</f>
        <v>232287824.8341257</v>
      </c>
      <c r="D47" s="94">
        <f>SUM(D39:D45)</f>
        <v>961676.92</v>
      </c>
      <c r="E47" s="94">
        <f>SUM(E39:E45)</f>
        <v>0</v>
      </c>
      <c r="F47" s="94">
        <f>SUM(F39:F45)</f>
        <v>233249501.75412571</v>
      </c>
      <c r="G47" s="86"/>
      <c r="H47" s="94">
        <f>SUM(H39:H45)</f>
        <v>217783948.97020823</v>
      </c>
      <c r="I47" s="94">
        <f>SUM(I39:I45)</f>
        <v>-88297972.70377332</v>
      </c>
      <c r="J47" s="94">
        <f>SUM(J39:J45)</f>
        <v>129485976.26643489</v>
      </c>
    </row>
    <row r="48" spans="1:10" ht="18.95" customHeight="1" thickTop="1">
      <c r="B48" s="78"/>
    </row>
    <row r="49" spans="2:2">
      <c r="B49" s="188"/>
    </row>
  </sheetData>
  <mergeCells count="10">
    <mergeCell ref="A28:J28"/>
    <mergeCell ref="A29:J29"/>
    <mergeCell ref="D10:E10"/>
    <mergeCell ref="D35:E35"/>
    <mergeCell ref="A1:J1"/>
    <mergeCell ref="A2:J2"/>
    <mergeCell ref="A3:J3"/>
    <mergeCell ref="A4:J4"/>
    <mergeCell ref="A26:J26"/>
    <mergeCell ref="A27:J27"/>
  </mergeCells>
  <pageMargins left="0.95" right="0.5" top="0.75" bottom="0.75" header="0.3" footer="0.3"/>
  <pageSetup scale="56" fitToHeight="0" orientation="portrait" r:id="rId1"/>
  <rowBreaks count="1" manualBreakCount="1">
    <brk id="2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I46"/>
  <sheetViews>
    <sheetView zoomScaleNormal="100" workbookViewId="0">
      <selection sqref="A1:G1"/>
    </sheetView>
  </sheetViews>
  <sheetFormatPr defaultColWidth="9" defaultRowHeight="12.75"/>
  <cols>
    <col min="1" max="1" width="6" style="69" customWidth="1"/>
    <col min="2" max="2" width="29.77734375" style="69" customWidth="1"/>
    <col min="3" max="3" width="14.77734375" style="69" customWidth="1"/>
    <col min="4" max="5" width="15.77734375" style="69" customWidth="1"/>
    <col min="6" max="6" width="15.33203125" style="69" customWidth="1"/>
    <col min="7" max="7" width="23.21875" style="69" customWidth="1"/>
    <col min="8" max="8" width="1.6640625" style="69" customWidth="1"/>
    <col min="9" max="16384" width="9" style="69"/>
  </cols>
  <sheetData>
    <row r="1" spans="1:9" s="68" customFormat="1" ht="20.100000000000001" customHeight="1">
      <c r="A1" s="768" t="str">
        <f>'Rate Case Constants'!C9</f>
        <v>KENTUCKY UTILITIES COMPANY</v>
      </c>
      <c r="B1" s="769"/>
      <c r="C1" s="769"/>
      <c r="D1" s="769"/>
      <c r="E1" s="769"/>
      <c r="F1" s="769"/>
      <c r="G1" s="769"/>
    </row>
    <row r="2" spans="1:9" s="68" customFormat="1" ht="20.100000000000001" customHeight="1">
      <c r="A2" s="768" t="str">
        <f>'Rate Case Constants'!C10</f>
        <v>CASE NO. 2018-00294 - RESPONSE TO PSC 2-65 (SLIPPAGE FACTOR 96.027%)</v>
      </c>
      <c r="B2" s="769"/>
      <c r="C2" s="769"/>
      <c r="D2" s="769"/>
      <c r="E2" s="769"/>
      <c r="F2" s="769"/>
      <c r="G2" s="769"/>
    </row>
    <row r="3" spans="1:9" s="68" customFormat="1" ht="20.100000000000001" customHeight="1">
      <c r="A3" s="769" t="s">
        <v>1713</v>
      </c>
      <c r="B3" s="769"/>
      <c r="C3" s="769"/>
      <c r="D3" s="769"/>
      <c r="E3" s="769"/>
      <c r="F3" s="769"/>
      <c r="G3" s="769"/>
      <c r="H3" s="769"/>
    </row>
    <row r="4" spans="1:9" s="68" customFormat="1" ht="20.100000000000001" customHeight="1">
      <c r="A4" s="768" t="str">
        <f>'Rate Case Constants'!C12</f>
        <v>AS OF DECEMBER 31, 2018</v>
      </c>
      <c r="B4" s="769"/>
      <c r="C4" s="769"/>
      <c r="D4" s="769"/>
      <c r="E4" s="769"/>
      <c r="F4" s="769"/>
      <c r="G4" s="769"/>
    </row>
    <row r="5" spans="1:9" s="68" customFormat="1" ht="20.100000000000001" customHeight="1">
      <c r="A5" s="223"/>
      <c r="B5" s="223"/>
      <c r="C5" s="223"/>
      <c r="D5" s="223"/>
      <c r="E5" s="223"/>
      <c r="F5" s="223"/>
      <c r="G5" s="223"/>
    </row>
    <row r="6" spans="1:9" s="68" customFormat="1" ht="20.100000000000001" customHeight="1">
      <c r="A6" s="67" t="s">
        <v>133</v>
      </c>
      <c r="F6" s="74"/>
      <c r="G6" s="74" t="s">
        <v>1218</v>
      </c>
    </row>
    <row r="7" spans="1:9" s="68" customFormat="1" ht="20.100000000000001" customHeight="1">
      <c r="A7" s="68" t="str">
        <f>'Rate Case Constants'!C29</f>
        <v>TYPE OF FILING: __X__ ORIGINAL  _____ UPDATED  _____ REVISED</v>
      </c>
      <c r="F7" s="74"/>
      <c r="G7" s="74" t="s">
        <v>177</v>
      </c>
    </row>
    <row r="8" spans="1:9" s="68" customFormat="1" ht="20.100000000000001" customHeight="1">
      <c r="A8" s="67" t="s">
        <v>1198</v>
      </c>
      <c r="E8" s="67"/>
      <c r="F8" s="75"/>
      <c r="G8" s="75" t="str">
        <f>'Rate Case Constants'!C36</f>
        <v>WITNESS:   C. M. GARRETT</v>
      </c>
    </row>
    <row r="9" spans="1:9" s="68" customFormat="1" ht="20.100000000000001" customHeight="1"/>
    <row r="10" spans="1:9" ht="58.5" customHeight="1">
      <c r="A10" s="76" t="s">
        <v>131</v>
      </c>
      <c r="B10" s="76" t="s">
        <v>1165</v>
      </c>
      <c r="C10" s="76" t="s">
        <v>216</v>
      </c>
      <c r="D10" s="76" t="s">
        <v>217</v>
      </c>
      <c r="E10" s="76" t="s">
        <v>218</v>
      </c>
      <c r="F10" s="76" t="s">
        <v>219</v>
      </c>
      <c r="G10" s="76" t="s">
        <v>220</v>
      </c>
    </row>
    <row r="11" spans="1:9" ht="23.1" customHeight="1">
      <c r="A11" s="80"/>
      <c r="B11" s="81"/>
      <c r="C11" s="82" t="s">
        <v>142</v>
      </c>
      <c r="D11" s="82"/>
      <c r="E11" s="82" t="s">
        <v>142</v>
      </c>
      <c r="F11" s="82"/>
      <c r="G11" s="82"/>
    </row>
    <row r="12" spans="1:9" ht="18.95" customHeight="1">
      <c r="A12" s="224">
        <v>1</v>
      </c>
      <c r="B12" s="68" t="s">
        <v>1712</v>
      </c>
      <c r="C12" s="396">
        <f>SUMIFS('FC CWIP &amp; RWIP B'!$Q$6:$Q$22,'FC CWIP &amp; RWIP B'!$D$6:$D$22,I12,'FC CWIP &amp; RWIP B'!$B$6:$B$22,B12)*-1000</f>
        <v>-250332183.44501829</v>
      </c>
      <c r="D12" s="398">
        <f>'SCH B-4'!G14</f>
        <v>0.87367471229545668</v>
      </c>
      <c r="E12" s="396">
        <f>C12*D12</f>
        <v>-218708898.34961984</v>
      </c>
      <c r="G12" s="68" t="s">
        <v>1715</v>
      </c>
      <c r="I12" s="68" t="s">
        <v>2183</v>
      </c>
    </row>
    <row r="13" spans="1:9" ht="18.95" customHeight="1">
      <c r="A13" s="224">
        <f>A12+1</f>
        <v>2</v>
      </c>
      <c r="B13" s="68" t="s">
        <v>245</v>
      </c>
      <c r="C13" s="396"/>
      <c r="D13" s="398"/>
      <c r="E13" s="396">
        <f>C13*D13</f>
        <v>0</v>
      </c>
      <c r="G13" s="68"/>
    </row>
    <row r="14" spans="1:9" ht="18.95" customHeight="1">
      <c r="A14" s="224">
        <f t="shared" ref="A14:A15" si="0">A13+1</f>
        <v>3</v>
      </c>
      <c r="B14" s="68" t="s">
        <v>1170</v>
      </c>
      <c r="C14" s="396"/>
      <c r="D14" s="398"/>
      <c r="E14" s="396">
        <f>C14*D14</f>
        <v>0</v>
      </c>
      <c r="G14" s="68"/>
    </row>
    <row r="15" spans="1:9" ht="18.95" customHeight="1">
      <c r="A15" s="224">
        <f t="shared" si="0"/>
        <v>4</v>
      </c>
      <c r="B15" s="68" t="s">
        <v>1171</v>
      </c>
      <c r="C15" s="396"/>
      <c r="D15" s="398"/>
      <c r="E15" s="396">
        <f>C15*D15</f>
        <v>0</v>
      </c>
      <c r="G15" s="68"/>
    </row>
    <row r="16" spans="1:9" ht="18.95" customHeight="1">
      <c r="A16" s="291"/>
      <c r="B16" s="68"/>
      <c r="C16" s="396"/>
      <c r="D16" s="398"/>
      <c r="E16" s="396"/>
      <c r="G16" s="68"/>
    </row>
    <row r="17" spans="1:9" ht="18.95" customHeight="1" thickBot="1">
      <c r="A17" s="224"/>
      <c r="B17" s="68" t="s">
        <v>2022</v>
      </c>
      <c r="C17" s="394">
        <f>SUM(C12:C16)</f>
        <v>-250332183.44501829</v>
      </c>
      <c r="D17" s="398"/>
      <c r="E17" s="394">
        <f>SUM(E12:E16)</f>
        <v>-218708898.34961984</v>
      </c>
      <c r="G17" s="68"/>
    </row>
    <row r="18" spans="1:9" ht="18.95" customHeight="1" thickTop="1">
      <c r="A18" s="224"/>
      <c r="B18" s="68"/>
      <c r="C18" s="88"/>
      <c r="D18" s="228"/>
      <c r="E18" s="88"/>
      <c r="G18" s="147"/>
    </row>
    <row r="19" spans="1:9" s="68" customFormat="1" ht="20.100000000000001" customHeight="1">
      <c r="A19" s="769" t="str">
        <f>$A$1</f>
        <v>KENTUCKY UTILITIES COMPANY</v>
      </c>
      <c r="B19" s="769"/>
      <c r="C19" s="769"/>
      <c r="D19" s="769"/>
      <c r="E19" s="769"/>
      <c r="F19" s="769"/>
      <c r="G19" s="769"/>
    </row>
    <row r="20" spans="1:9" s="68" customFormat="1" ht="20.100000000000001" customHeight="1">
      <c r="A20" s="769" t="str">
        <f>$A$2</f>
        <v>CASE NO. 2018-00294 - RESPONSE TO PSC 2-65 (SLIPPAGE FACTOR 96.027%)</v>
      </c>
      <c r="B20" s="769"/>
      <c r="C20" s="769"/>
      <c r="D20" s="769"/>
      <c r="E20" s="769"/>
      <c r="F20" s="769"/>
      <c r="G20" s="769"/>
    </row>
    <row r="21" spans="1:9" s="68" customFormat="1" ht="20.100000000000001" customHeight="1">
      <c r="A21" s="769" t="str">
        <f>$A$3</f>
        <v>ADJUSTMENTS TO CONSTRUCTION WORK IN PROGRESS</v>
      </c>
      <c r="B21" s="769"/>
      <c r="C21" s="769"/>
      <c r="D21" s="769"/>
      <c r="E21" s="769"/>
      <c r="F21" s="769"/>
      <c r="G21" s="769"/>
    </row>
    <row r="22" spans="1:9" s="68" customFormat="1" ht="20.100000000000001" customHeight="1">
      <c r="A22" s="768" t="str">
        <f>'Rate Case Constants'!C18</f>
        <v>AS OF APRIL 30, 2020</v>
      </c>
      <c r="B22" s="772"/>
      <c r="C22" s="772"/>
      <c r="D22" s="772"/>
      <c r="E22" s="772"/>
      <c r="F22" s="772"/>
      <c r="G22" s="772"/>
    </row>
    <row r="23" spans="1:9" s="68" customFormat="1" ht="20.100000000000001" customHeight="1">
      <c r="A23" s="223"/>
      <c r="B23" s="223"/>
      <c r="C23" s="223"/>
      <c r="D23" s="223"/>
      <c r="E23" s="223"/>
      <c r="F23" s="223"/>
      <c r="G23" s="223"/>
    </row>
    <row r="24" spans="1:9" s="68" customFormat="1" ht="20.100000000000001" customHeight="1">
      <c r="A24" s="67" t="s">
        <v>161</v>
      </c>
      <c r="F24" s="74"/>
      <c r="G24" s="74" t="s">
        <v>1218</v>
      </c>
    </row>
    <row r="25" spans="1:9" s="68" customFormat="1" ht="20.100000000000001" customHeight="1">
      <c r="A25" s="67" t="str">
        <f>$A$7</f>
        <v>TYPE OF FILING: __X__ ORIGINAL  _____ UPDATED  _____ REVISED</v>
      </c>
      <c r="F25" s="74"/>
      <c r="G25" s="74" t="s">
        <v>185</v>
      </c>
    </row>
    <row r="26" spans="1:9" s="68" customFormat="1" ht="20.100000000000001" customHeight="1">
      <c r="A26" s="67" t="str">
        <f>$A$8</f>
        <v>WORKPAPER REFERENCE NO(S).:</v>
      </c>
      <c r="E26" s="67"/>
      <c r="F26" s="75"/>
      <c r="G26" s="75" t="str">
        <f>$G$8</f>
        <v>WITNESS:   C. M. GARRETT</v>
      </c>
    </row>
    <row r="27" spans="1:9" s="68" customFormat="1" ht="20.100000000000001" customHeight="1"/>
    <row r="28" spans="1:9" ht="58.5" customHeight="1">
      <c r="A28" s="76" t="s">
        <v>131</v>
      </c>
      <c r="B28" s="76" t="s">
        <v>1165</v>
      </c>
      <c r="C28" s="76" t="s">
        <v>216</v>
      </c>
      <c r="D28" s="76" t="s">
        <v>217</v>
      </c>
      <c r="E28" s="76" t="s">
        <v>218</v>
      </c>
      <c r="F28" s="76" t="s">
        <v>219</v>
      </c>
      <c r="G28" s="76" t="s">
        <v>220</v>
      </c>
    </row>
    <row r="29" spans="1:9" ht="23.1" customHeight="1">
      <c r="A29" s="80"/>
      <c r="B29" s="81"/>
      <c r="C29" s="82" t="s">
        <v>142</v>
      </c>
      <c r="D29" s="82"/>
      <c r="E29" s="82" t="s">
        <v>142</v>
      </c>
      <c r="F29" s="82"/>
      <c r="G29" s="82"/>
    </row>
    <row r="30" spans="1:9" ht="18.95" customHeight="1">
      <c r="A30" s="224">
        <v>1</v>
      </c>
      <c r="B30" s="68" t="s">
        <v>1712</v>
      </c>
      <c r="C30" s="396">
        <f>SUMIFS('FC CWIP &amp; RWIP F'!$R$6:$R$22,'FC CWIP &amp; RWIP F'!$D$6:$D$22,I30,'FC CWIP &amp; RWIP F'!$B$6:$B$22,B30)*-1000</f>
        <v>-94313350.284252077</v>
      </c>
      <c r="D30" s="398">
        <f>'SCH B-4'!G39</f>
        <v>0.9362192355340051</v>
      </c>
      <c r="E30" s="396">
        <f>C30*D30</f>
        <v>-88297972.70377332</v>
      </c>
      <c r="G30" s="68" t="s">
        <v>1715</v>
      </c>
      <c r="I30" s="68" t="s">
        <v>2183</v>
      </c>
    </row>
    <row r="31" spans="1:9" ht="18.95" customHeight="1">
      <c r="A31" s="224">
        <f>A30+1</f>
        <v>2</v>
      </c>
      <c r="B31" s="68" t="s">
        <v>245</v>
      </c>
      <c r="C31" s="396"/>
      <c r="D31" s="398"/>
      <c r="E31" s="396">
        <f>C31*D31</f>
        <v>0</v>
      </c>
      <c r="G31" s="68"/>
    </row>
    <row r="32" spans="1:9" ht="18.95" customHeight="1">
      <c r="A32" s="224">
        <f t="shared" ref="A32:A33" si="1">A31+1</f>
        <v>3</v>
      </c>
      <c r="B32" s="68" t="s">
        <v>1170</v>
      </c>
      <c r="C32" s="396"/>
      <c r="D32" s="398"/>
      <c r="E32" s="396">
        <f>C32*D32</f>
        <v>0</v>
      </c>
      <c r="G32" s="68"/>
    </row>
    <row r="33" spans="1:7" ht="18.95" customHeight="1">
      <c r="A33" s="224">
        <f t="shared" si="1"/>
        <v>4</v>
      </c>
      <c r="B33" s="68" t="s">
        <v>1171</v>
      </c>
      <c r="C33" s="396"/>
      <c r="D33" s="398"/>
      <c r="E33" s="396">
        <f>C33*D33</f>
        <v>0</v>
      </c>
      <c r="G33" s="68"/>
    </row>
    <row r="34" spans="1:7" ht="18.95" customHeight="1">
      <c r="A34" s="291"/>
      <c r="B34" s="68"/>
      <c r="C34" s="396"/>
      <c r="D34" s="398"/>
      <c r="E34" s="396"/>
      <c r="G34" s="68"/>
    </row>
    <row r="35" spans="1:7" ht="18.95" customHeight="1" thickBot="1">
      <c r="A35" s="291"/>
      <c r="B35" s="68" t="s">
        <v>2022</v>
      </c>
      <c r="C35" s="394">
        <f>SUM(C30:C34)</f>
        <v>-94313350.284252077</v>
      </c>
      <c r="D35" s="398"/>
      <c r="E35" s="394">
        <f>SUM(E30:E34)</f>
        <v>-88297972.70377332</v>
      </c>
      <c r="G35" s="68"/>
    </row>
    <row r="36" spans="1:7" ht="18.95" customHeight="1" thickTop="1">
      <c r="A36" s="224"/>
      <c r="B36" s="68"/>
      <c r="C36" s="88"/>
      <c r="D36" s="228"/>
      <c r="E36" s="88"/>
      <c r="G36" s="147"/>
    </row>
    <row r="37" spans="1:7" ht="18.95" customHeight="1"/>
    <row r="38" spans="1:7" ht="18.95" customHeight="1"/>
    <row r="39" spans="1:7" ht="18.95" customHeight="1"/>
    <row r="40" spans="1:7" ht="18.95" customHeight="1"/>
    <row r="41" spans="1:7" ht="18.95" customHeight="1"/>
    <row r="42" spans="1:7" ht="18.95" customHeight="1"/>
    <row r="43" spans="1:7" ht="18.95" customHeight="1"/>
    <row r="44" spans="1:7" ht="18.95" customHeight="1"/>
    <row r="45" spans="1:7" ht="18.95" customHeight="1"/>
    <row r="46" spans="1:7" ht="18.95" customHeight="1"/>
  </sheetData>
  <mergeCells count="8">
    <mergeCell ref="A21:G21"/>
    <mergeCell ref="A22:G22"/>
    <mergeCell ref="A1:G1"/>
    <mergeCell ref="A2:G2"/>
    <mergeCell ref="A3:H3"/>
    <mergeCell ref="A4:G4"/>
    <mergeCell ref="A19:G19"/>
    <mergeCell ref="A20:G20"/>
  </mergeCells>
  <pageMargins left="0.95" right="0.5" top="0.75" bottom="0.75" header="0.3" footer="0.3"/>
  <pageSetup scale="74" fitToHeight="0" orientation="portrait" r:id="rId1"/>
  <rowBreaks count="1" manualBreakCount="1">
    <brk id="18"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2"/>
  <sheetViews>
    <sheetView zoomScaleNormal="100" workbookViewId="0">
      <selection activeCell="H13" sqref="H13"/>
    </sheetView>
  </sheetViews>
  <sheetFormatPr defaultColWidth="9" defaultRowHeight="12.75"/>
  <cols>
    <col min="1" max="1" width="6" style="68" customWidth="1"/>
    <col min="2" max="2" width="13.6640625" style="349" customWidth="1"/>
    <col min="3" max="3" width="34.33203125" style="68" customWidth="1"/>
    <col min="4" max="4" width="15.77734375" style="144" customWidth="1"/>
    <col min="5" max="5" width="14.44140625" style="144" customWidth="1"/>
    <col min="6" max="6" width="12.77734375" style="68" customWidth="1"/>
    <col min="7" max="10" width="15.77734375" style="68" customWidth="1"/>
    <col min="11" max="11" width="1.6640625" style="68" customWidth="1"/>
    <col min="12" max="14" width="9" style="68"/>
    <col min="15" max="15" width="11.109375" style="68" customWidth="1"/>
    <col min="16" max="16384" width="9" style="68"/>
  </cols>
  <sheetData>
    <row r="1" spans="1:16" ht="20.100000000000001" customHeight="1">
      <c r="A1" s="769" t="str">
        <f>'Rate Case Constants'!C9</f>
        <v>KENTUCKY UTILITIES COMPANY</v>
      </c>
      <c r="B1" s="769"/>
      <c r="C1" s="769"/>
      <c r="D1" s="769"/>
      <c r="E1" s="769"/>
      <c r="F1" s="769"/>
      <c r="G1" s="769"/>
      <c r="H1" s="769"/>
      <c r="I1" s="769"/>
      <c r="J1" s="769"/>
    </row>
    <row r="2" spans="1:16" ht="20.100000000000001" customHeight="1">
      <c r="A2" s="769" t="str">
        <f>'Rate Case Constants'!C10</f>
        <v>CASE NO. 2018-00294 - RESPONSE TO PSC 2-65 (SLIPPAGE FACTOR 96.027%)</v>
      </c>
      <c r="B2" s="769"/>
      <c r="C2" s="769"/>
      <c r="D2" s="769"/>
      <c r="E2" s="769"/>
      <c r="F2" s="769"/>
      <c r="G2" s="769"/>
      <c r="H2" s="769"/>
      <c r="I2" s="769"/>
      <c r="J2" s="769"/>
    </row>
    <row r="3" spans="1:16" ht="20.100000000000001" customHeight="1">
      <c r="A3" s="769" t="s">
        <v>1219</v>
      </c>
      <c r="B3" s="769"/>
      <c r="C3" s="769"/>
      <c r="D3" s="769"/>
      <c r="E3" s="769"/>
      <c r="F3" s="769"/>
      <c r="G3" s="769"/>
      <c r="H3" s="769"/>
      <c r="I3" s="769"/>
      <c r="J3" s="769"/>
    </row>
    <row r="4" spans="1:16" ht="20.100000000000001" customHeight="1">
      <c r="A4" s="769" t="str">
        <f>'Rate Case Constants'!C12</f>
        <v>AS OF DECEMBER 31, 2018</v>
      </c>
      <c r="B4" s="769"/>
      <c r="C4" s="769"/>
      <c r="D4" s="769"/>
      <c r="E4" s="769"/>
      <c r="F4" s="769"/>
      <c r="G4" s="769"/>
      <c r="H4" s="769"/>
      <c r="I4" s="769"/>
      <c r="J4" s="769"/>
    </row>
    <row r="5" spans="1:16" ht="20.100000000000001" customHeight="1">
      <c r="A5" s="347"/>
      <c r="B5" s="347"/>
      <c r="C5" s="347"/>
      <c r="D5" s="347"/>
      <c r="E5" s="347"/>
      <c r="F5" s="347"/>
      <c r="G5" s="347"/>
      <c r="H5" s="347"/>
      <c r="I5" s="347"/>
      <c r="J5" s="347"/>
    </row>
    <row r="6" spans="1:16" ht="20.100000000000001" customHeight="1">
      <c r="A6" s="67" t="s">
        <v>133</v>
      </c>
      <c r="B6" s="348"/>
      <c r="G6" s="74"/>
      <c r="H6" s="74"/>
      <c r="I6" s="74"/>
      <c r="J6" s="74" t="s">
        <v>1714</v>
      </c>
    </row>
    <row r="7" spans="1:16" ht="20.100000000000001" customHeight="1">
      <c r="A7" s="68" t="str">
        <f>'Rate Case Constants'!C29</f>
        <v>TYPE OF FILING: __X__ ORIGINAL  _____ UPDATED  _____ REVISED</v>
      </c>
      <c r="G7" s="74"/>
      <c r="H7" s="74"/>
      <c r="I7" s="74"/>
      <c r="J7" s="74" t="s">
        <v>3400</v>
      </c>
    </row>
    <row r="8" spans="1:16" ht="20.100000000000001" customHeight="1">
      <c r="A8" s="67" t="s">
        <v>1198</v>
      </c>
      <c r="B8" s="348"/>
      <c r="F8" s="67"/>
      <c r="G8" s="75"/>
      <c r="H8" s="75"/>
      <c r="I8" s="75"/>
      <c r="J8" s="75" t="str">
        <f>'Rate Case Constants'!C36</f>
        <v>WITNESS:   C. M. GARRETT</v>
      </c>
    </row>
    <row r="9" spans="1:16" ht="20.100000000000001" customHeight="1">
      <c r="G9" s="355"/>
    </row>
    <row r="10" spans="1:16" ht="65.099999999999994" customHeight="1">
      <c r="A10" s="76" t="s">
        <v>131</v>
      </c>
      <c r="B10" s="76" t="s">
        <v>1222</v>
      </c>
      <c r="C10" s="76" t="s">
        <v>1223</v>
      </c>
      <c r="D10" s="142" t="s">
        <v>1225</v>
      </c>
      <c r="E10" s="142" t="s">
        <v>1226</v>
      </c>
      <c r="F10" s="76" t="s">
        <v>1227</v>
      </c>
      <c r="G10" s="76" t="s">
        <v>1228</v>
      </c>
      <c r="H10" s="76" t="s">
        <v>1229</v>
      </c>
      <c r="I10" s="76" t="s">
        <v>1230</v>
      </c>
      <c r="J10" s="76" t="s">
        <v>1231</v>
      </c>
      <c r="M10" s="150" t="s">
        <v>1239</v>
      </c>
      <c r="N10" s="150" t="s">
        <v>1240</v>
      </c>
      <c r="O10" s="150" t="s">
        <v>1241</v>
      </c>
      <c r="P10" s="150" t="s">
        <v>1227</v>
      </c>
    </row>
    <row r="11" spans="1:16" ht="23.1" customHeight="1">
      <c r="A11" s="80" t="s">
        <v>1220</v>
      </c>
      <c r="B11" s="80" t="s">
        <v>1221</v>
      </c>
      <c r="C11" s="80" t="s">
        <v>1224</v>
      </c>
      <c r="D11" s="356" t="s">
        <v>1232</v>
      </c>
      <c r="E11" s="356" t="s">
        <v>1233</v>
      </c>
      <c r="F11" s="357" t="s">
        <v>1234</v>
      </c>
      <c r="G11" s="357" t="s">
        <v>1235</v>
      </c>
      <c r="H11" s="357" t="s">
        <v>1236</v>
      </c>
      <c r="I11" s="357" t="s">
        <v>1237</v>
      </c>
      <c r="J11" s="357" t="s">
        <v>1238</v>
      </c>
    </row>
    <row r="12" spans="1:16" ht="18.95" customHeight="1">
      <c r="A12" s="139"/>
      <c r="B12" s="140"/>
      <c r="E12" s="146"/>
    </row>
    <row r="13" spans="1:16" ht="18.95" customHeight="1">
      <c r="A13" s="349">
        <v>1</v>
      </c>
      <c r="B13" s="358" t="s">
        <v>2711</v>
      </c>
      <c r="C13" s="355" t="s">
        <v>2712</v>
      </c>
      <c r="D13" s="145">
        <v>38504</v>
      </c>
      <c r="E13" s="146">
        <v>44166</v>
      </c>
      <c r="F13" s="149">
        <v>0.87619215824796892</v>
      </c>
      <c r="G13" s="355">
        <v>16452.849999999999</v>
      </c>
      <c r="H13" s="355">
        <v>0</v>
      </c>
      <c r="I13" s="359">
        <v>63692.34</v>
      </c>
      <c r="J13" s="353">
        <f t="shared" ref="J13:J56" si="0">IFERROR(I13/H13,0)</f>
        <v>0</v>
      </c>
      <c r="M13" s="74">
        <f t="shared" ref="M13:M88" si="1">E13-D13</f>
        <v>5662</v>
      </c>
      <c r="N13" s="146">
        <v>43465</v>
      </c>
      <c r="O13" s="74">
        <f t="shared" ref="O13:O88" si="2">E13-N13</f>
        <v>701</v>
      </c>
      <c r="P13" s="354">
        <f>(M13-O13)/M13</f>
        <v>0.87619215824796892</v>
      </c>
    </row>
    <row r="14" spans="1:16" ht="18.95" customHeight="1">
      <c r="A14" s="349">
        <f>A13+1</f>
        <v>2</v>
      </c>
      <c r="B14" s="358" t="s">
        <v>2356</v>
      </c>
      <c r="C14" s="355" t="s">
        <v>2357</v>
      </c>
      <c r="D14" s="145">
        <v>42795</v>
      </c>
      <c r="E14" s="146">
        <v>43830</v>
      </c>
      <c r="F14" s="149">
        <v>0.64734299516908211</v>
      </c>
      <c r="G14" s="355">
        <v>4530854.8899999997</v>
      </c>
      <c r="H14" s="355">
        <v>4696175.4399999995</v>
      </c>
      <c r="I14" s="359">
        <v>2081464.33</v>
      </c>
      <c r="J14" s="353">
        <f t="shared" si="0"/>
        <v>0.44322541961933182</v>
      </c>
      <c r="M14" s="74">
        <f t="shared" si="1"/>
        <v>1035</v>
      </c>
      <c r="N14" s="146">
        <v>43465</v>
      </c>
      <c r="O14" s="74">
        <f t="shared" si="2"/>
        <v>365</v>
      </c>
      <c r="P14" s="354">
        <f t="shared" ref="P14:P89" si="3">(M14-O14)/M14</f>
        <v>0.64734299516908211</v>
      </c>
    </row>
    <row r="15" spans="1:16" ht="18.95" customHeight="1">
      <c r="A15" s="349">
        <f t="shared" ref="A15:A90" si="4">A14+1</f>
        <v>3</v>
      </c>
      <c r="B15" s="358" t="s">
        <v>2358</v>
      </c>
      <c r="C15" s="355" t="s">
        <v>2713</v>
      </c>
      <c r="D15" s="145">
        <v>42736</v>
      </c>
      <c r="E15" s="146">
        <v>43465</v>
      </c>
      <c r="F15" s="149">
        <v>1</v>
      </c>
      <c r="G15" s="355">
        <v>2466361.12</v>
      </c>
      <c r="H15" s="355">
        <v>2160993.35</v>
      </c>
      <c r="I15" s="359">
        <v>-9.3132257461547852E-10</v>
      </c>
      <c r="J15" s="353">
        <f t="shared" si="0"/>
        <v>-4.3096966245429605E-16</v>
      </c>
      <c r="M15" s="74">
        <f t="shared" si="1"/>
        <v>729</v>
      </c>
      <c r="N15" s="146">
        <v>43465</v>
      </c>
      <c r="O15" s="74">
        <f t="shared" si="2"/>
        <v>0</v>
      </c>
      <c r="P15" s="354">
        <f t="shared" si="3"/>
        <v>1</v>
      </c>
    </row>
    <row r="16" spans="1:16" ht="18.95" customHeight="1">
      <c r="A16" s="349">
        <f t="shared" si="4"/>
        <v>4</v>
      </c>
      <c r="B16" s="358" t="s">
        <v>2395</v>
      </c>
      <c r="C16" s="355" t="s">
        <v>2396</v>
      </c>
      <c r="D16" s="145">
        <v>42314</v>
      </c>
      <c r="E16" s="146">
        <v>43646</v>
      </c>
      <c r="F16" s="149">
        <v>0.8641141141141141</v>
      </c>
      <c r="G16" s="355">
        <v>-533.56999999999994</v>
      </c>
      <c r="H16" s="355">
        <v>594.33000000000004</v>
      </c>
      <c r="I16" s="359">
        <v>594.32999999999993</v>
      </c>
      <c r="J16" s="353">
        <f t="shared" si="0"/>
        <v>0.99999999999999978</v>
      </c>
      <c r="M16" s="74">
        <f t="shared" si="1"/>
        <v>1332</v>
      </c>
      <c r="N16" s="146">
        <v>43465</v>
      </c>
      <c r="O16" s="74">
        <f t="shared" si="2"/>
        <v>181</v>
      </c>
      <c r="P16" s="354">
        <f t="shared" si="3"/>
        <v>0.8641141141141141</v>
      </c>
    </row>
    <row r="17" spans="1:16" ht="18.95" customHeight="1">
      <c r="A17" s="349">
        <f t="shared" si="4"/>
        <v>5</v>
      </c>
      <c r="B17" s="358" t="s">
        <v>2368</v>
      </c>
      <c r="C17" s="355" t="s">
        <v>2369</v>
      </c>
      <c r="D17" s="145">
        <v>42826</v>
      </c>
      <c r="E17" s="146">
        <v>43465</v>
      </c>
      <c r="F17" s="149">
        <v>1</v>
      </c>
      <c r="G17" s="355">
        <v>942091.2</v>
      </c>
      <c r="H17" s="355">
        <v>646806</v>
      </c>
      <c r="I17" s="359">
        <v>-1.1641532182693481E-10</v>
      </c>
      <c r="J17" s="353">
        <f t="shared" si="0"/>
        <v>-1.7998491329229291E-16</v>
      </c>
      <c r="M17" s="74">
        <f t="shared" si="1"/>
        <v>639</v>
      </c>
      <c r="N17" s="146">
        <v>43465</v>
      </c>
      <c r="O17" s="74">
        <f t="shared" si="2"/>
        <v>0</v>
      </c>
      <c r="P17" s="354">
        <f t="shared" si="3"/>
        <v>1</v>
      </c>
    </row>
    <row r="18" spans="1:16" ht="18.95" customHeight="1">
      <c r="A18" s="349">
        <f t="shared" si="4"/>
        <v>6</v>
      </c>
      <c r="B18" s="358" t="s">
        <v>2714</v>
      </c>
      <c r="C18" s="355" t="s">
        <v>2715</v>
      </c>
      <c r="D18" s="145">
        <v>42736</v>
      </c>
      <c r="E18" s="146">
        <v>43738</v>
      </c>
      <c r="F18" s="149">
        <v>0.72754491017964074</v>
      </c>
      <c r="G18" s="355">
        <v>1165120</v>
      </c>
      <c r="H18" s="355">
        <v>1572980.46</v>
      </c>
      <c r="I18" s="359">
        <v>955474.15</v>
      </c>
      <c r="J18" s="353">
        <f t="shared" si="0"/>
        <v>0.60742912852204156</v>
      </c>
      <c r="M18" s="74">
        <f t="shared" si="1"/>
        <v>1002</v>
      </c>
      <c r="N18" s="146">
        <v>43465</v>
      </c>
      <c r="O18" s="74">
        <f t="shared" si="2"/>
        <v>273</v>
      </c>
      <c r="P18" s="354">
        <f t="shared" si="3"/>
        <v>0.72754491017964074</v>
      </c>
    </row>
    <row r="19" spans="1:16" ht="18.95" customHeight="1">
      <c r="A19" s="349">
        <f t="shared" si="4"/>
        <v>7</v>
      </c>
      <c r="B19" s="358" t="s">
        <v>2716</v>
      </c>
      <c r="C19" s="355" t="s">
        <v>2717</v>
      </c>
      <c r="D19" s="145">
        <v>42887</v>
      </c>
      <c r="E19" s="146">
        <v>43830</v>
      </c>
      <c r="F19" s="149">
        <v>0.61293743372216336</v>
      </c>
      <c r="G19" s="355">
        <v>2100760</v>
      </c>
      <c r="H19" s="355">
        <v>3485332.68</v>
      </c>
      <c r="I19" s="359">
        <v>3651333.2199999997</v>
      </c>
      <c r="J19" s="353">
        <f t="shared" si="0"/>
        <v>1.0476283199456298</v>
      </c>
      <c r="M19" s="74">
        <f t="shared" si="1"/>
        <v>943</v>
      </c>
      <c r="N19" s="146">
        <v>43465</v>
      </c>
      <c r="O19" s="74">
        <f t="shared" si="2"/>
        <v>365</v>
      </c>
      <c r="P19" s="354">
        <f t="shared" si="3"/>
        <v>0.61293743372216336</v>
      </c>
    </row>
    <row r="20" spans="1:16" ht="18.95" customHeight="1">
      <c r="A20" s="349">
        <f t="shared" si="4"/>
        <v>8</v>
      </c>
      <c r="B20" s="358" t="s">
        <v>2718</v>
      </c>
      <c r="C20" s="355" t="s">
        <v>2719</v>
      </c>
      <c r="D20" s="145">
        <v>42825</v>
      </c>
      <c r="E20" s="146">
        <v>43830</v>
      </c>
      <c r="F20" s="149">
        <v>0.63681592039800994</v>
      </c>
      <c r="G20" s="355">
        <v>2371007.4700000002</v>
      </c>
      <c r="H20" s="355">
        <v>1458198.71</v>
      </c>
      <c r="I20" s="359">
        <v>2315842.62</v>
      </c>
      <c r="J20" s="353">
        <f t="shared" si="0"/>
        <v>1.5881529753924966</v>
      </c>
      <c r="M20" s="74">
        <f t="shared" si="1"/>
        <v>1005</v>
      </c>
      <c r="N20" s="146">
        <v>43465</v>
      </c>
      <c r="O20" s="74">
        <f t="shared" si="2"/>
        <v>365</v>
      </c>
      <c r="P20" s="354">
        <f t="shared" si="3"/>
        <v>0.63681592039800994</v>
      </c>
    </row>
    <row r="21" spans="1:16" ht="18.95" customHeight="1">
      <c r="A21" s="349">
        <f t="shared" si="4"/>
        <v>9</v>
      </c>
      <c r="B21" s="358" t="s">
        <v>2720</v>
      </c>
      <c r="C21" s="355" t="s">
        <v>2721</v>
      </c>
      <c r="D21" s="145">
        <v>43101</v>
      </c>
      <c r="E21" s="146">
        <v>43465</v>
      </c>
      <c r="F21" s="149">
        <v>1</v>
      </c>
      <c r="G21" s="355">
        <v>252919.08</v>
      </c>
      <c r="H21" s="355">
        <v>252919.08</v>
      </c>
      <c r="I21" s="359">
        <v>-2.9103830456733704E-11</v>
      </c>
      <c r="J21" s="353">
        <f t="shared" si="0"/>
        <v>-1.1507170774436512E-16</v>
      </c>
      <c r="M21" s="74">
        <f t="shared" si="1"/>
        <v>364</v>
      </c>
      <c r="N21" s="146">
        <v>43465</v>
      </c>
      <c r="O21" s="74">
        <f t="shared" si="2"/>
        <v>0</v>
      </c>
      <c r="P21" s="354">
        <f t="shared" si="3"/>
        <v>1</v>
      </c>
    </row>
    <row r="22" spans="1:16" ht="18.95" customHeight="1">
      <c r="A22" s="349">
        <f t="shared" si="4"/>
        <v>10</v>
      </c>
      <c r="B22" s="358" t="s">
        <v>2722</v>
      </c>
      <c r="C22" s="355" t="s">
        <v>2723</v>
      </c>
      <c r="D22" s="145">
        <v>43221</v>
      </c>
      <c r="E22" s="146">
        <v>43769</v>
      </c>
      <c r="F22" s="149">
        <v>0.44525547445255476</v>
      </c>
      <c r="G22" s="355">
        <v>1285318.94</v>
      </c>
      <c r="H22" s="355">
        <v>1285318.94</v>
      </c>
      <c r="I22" s="359">
        <v>570278.14</v>
      </c>
      <c r="J22" s="353">
        <f t="shared" si="0"/>
        <v>0.44368609397446523</v>
      </c>
      <c r="M22" s="74">
        <f t="shared" si="1"/>
        <v>548</v>
      </c>
      <c r="N22" s="146">
        <v>43465</v>
      </c>
      <c r="O22" s="74">
        <f t="shared" si="2"/>
        <v>304</v>
      </c>
      <c r="P22" s="354">
        <f t="shared" si="3"/>
        <v>0.44525547445255476</v>
      </c>
    </row>
    <row r="23" spans="1:16" ht="18.95" customHeight="1">
      <c r="A23" s="349">
        <f t="shared" si="4"/>
        <v>11</v>
      </c>
      <c r="B23" s="358" t="s">
        <v>2724</v>
      </c>
      <c r="C23" s="355" t="s">
        <v>2725</v>
      </c>
      <c r="D23" s="145">
        <v>42933</v>
      </c>
      <c r="E23" s="146">
        <v>44196</v>
      </c>
      <c r="F23" s="149">
        <v>0.42121931908155186</v>
      </c>
      <c r="G23" s="355">
        <v>194908</v>
      </c>
      <c r="H23" s="355">
        <v>194908</v>
      </c>
      <c r="I23" s="359">
        <v>198444.65</v>
      </c>
      <c r="J23" s="353">
        <f t="shared" si="0"/>
        <v>1.0181452274919449</v>
      </c>
      <c r="M23" s="74">
        <f t="shared" si="1"/>
        <v>1263</v>
      </c>
      <c r="N23" s="146">
        <v>43465</v>
      </c>
      <c r="O23" s="74">
        <f t="shared" si="2"/>
        <v>731</v>
      </c>
      <c r="P23" s="354">
        <f t="shared" si="3"/>
        <v>0.42121931908155186</v>
      </c>
    </row>
    <row r="24" spans="1:16" ht="18.95" customHeight="1">
      <c r="A24" s="349">
        <f t="shared" si="4"/>
        <v>12</v>
      </c>
      <c r="B24" s="358" t="s">
        <v>2726</v>
      </c>
      <c r="C24" s="355" t="s">
        <v>2727</v>
      </c>
      <c r="D24" s="145">
        <v>43101</v>
      </c>
      <c r="E24" s="146">
        <v>44135</v>
      </c>
      <c r="F24" s="149">
        <v>0.3520309477756286</v>
      </c>
      <c r="G24" s="355">
        <v>2000000.01</v>
      </c>
      <c r="H24" s="355">
        <v>2000000.01</v>
      </c>
      <c r="I24" s="359">
        <v>796000.01</v>
      </c>
      <c r="J24" s="353">
        <f t="shared" si="0"/>
        <v>0.39800000300999999</v>
      </c>
      <c r="M24" s="74">
        <f t="shared" si="1"/>
        <v>1034</v>
      </c>
      <c r="N24" s="146">
        <v>43465</v>
      </c>
      <c r="O24" s="74">
        <f t="shared" si="2"/>
        <v>670</v>
      </c>
      <c r="P24" s="354">
        <f t="shared" si="3"/>
        <v>0.3520309477756286</v>
      </c>
    </row>
    <row r="25" spans="1:16" ht="18.95" customHeight="1">
      <c r="A25" s="349">
        <f t="shared" si="4"/>
        <v>13</v>
      </c>
      <c r="B25" s="358" t="s">
        <v>2728</v>
      </c>
      <c r="C25" s="355" t="s">
        <v>2729</v>
      </c>
      <c r="D25" s="145">
        <v>43292</v>
      </c>
      <c r="E25" s="146">
        <v>43646</v>
      </c>
      <c r="F25" s="149">
        <v>0.48870056497175141</v>
      </c>
      <c r="G25" s="355">
        <v>230000</v>
      </c>
      <c r="H25" s="355">
        <v>230000</v>
      </c>
      <c r="I25" s="359">
        <v>230000</v>
      </c>
      <c r="J25" s="353">
        <f t="shared" si="0"/>
        <v>1</v>
      </c>
      <c r="M25" s="74">
        <f t="shared" si="1"/>
        <v>354</v>
      </c>
      <c r="N25" s="146">
        <v>43465</v>
      </c>
      <c r="O25" s="74">
        <f t="shared" si="2"/>
        <v>181</v>
      </c>
      <c r="P25" s="354">
        <f t="shared" si="3"/>
        <v>0.48870056497175141</v>
      </c>
    </row>
    <row r="26" spans="1:16" ht="18.95" customHeight="1">
      <c r="A26" s="349">
        <f t="shared" si="4"/>
        <v>14</v>
      </c>
      <c r="B26" s="358" t="s">
        <v>2730</v>
      </c>
      <c r="C26" s="355" t="s">
        <v>2731</v>
      </c>
      <c r="D26" s="145">
        <v>43292</v>
      </c>
      <c r="E26" s="146">
        <v>43646</v>
      </c>
      <c r="F26" s="149">
        <v>0.48870056497175141</v>
      </c>
      <c r="G26" s="355">
        <v>210000</v>
      </c>
      <c r="H26" s="355">
        <v>210000</v>
      </c>
      <c r="I26" s="359">
        <v>210000</v>
      </c>
      <c r="J26" s="353">
        <f t="shared" si="0"/>
        <v>1</v>
      </c>
      <c r="M26" s="74">
        <f t="shared" si="1"/>
        <v>354</v>
      </c>
      <c r="N26" s="146">
        <v>43465</v>
      </c>
      <c r="O26" s="74">
        <f t="shared" si="2"/>
        <v>181</v>
      </c>
      <c r="P26" s="354">
        <f t="shared" si="3"/>
        <v>0.48870056497175141</v>
      </c>
    </row>
    <row r="27" spans="1:16" ht="18.95" customHeight="1">
      <c r="A27" s="349">
        <f t="shared" si="4"/>
        <v>15</v>
      </c>
      <c r="B27" s="358" t="s">
        <v>2732</v>
      </c>
      <c r="C27" s="355" t="s">
        <v>2733</v>
      </c>
      <c r="D27" s="145">
        <v>42887</v>
      </c>
      <c r="E27" s="146">
        <v>47848</v>
      </c>
      <c r="F27" s="149">
        <v>0.11650876839346906</v>
      </c>
      <c r="G27" s="355">
        <v>79355.34</v>
      </c>
      <c r="H27" s="355">
        <v>779979.21999999986</v>
      </c>
      <c r="I27" s="359">
        <v>88584</v>
      </c>
      <c r="J27" s="353">
        <f t="shared" si="0"/>
        <v>0.113572256450627</v>
      </c>
      <c r="M27" s="74">
        <f t="shared" si="1"/>
        <v>4961</v>
      </c>
      <c r="N27" s="146">
        <v>43465</v>
      </c>
      <c r="O27" s="74">
        <f t="shared" si="2"/>
        <v>4383</v>
      </c>
      <c r="P27" s="354">
        <f t="shared" si="3"/>
        <v>0.11650876839346906</v>
      </c>
    </row>
    <row r="28" spans="1:16" ht="18.95" customHeight="1">
      <c r="A28" s="349">
        <f t="shared" si="4"/>
        <v>16</v>
      </c>
      <c r="B28" s="358" t="s">
        <v>2086</v>
      </c>
      <c r="C28" s="355" t="s">
        <v>2087</v>
      </c>
      <c r="D28" s="145">
        <v>43132</v>
      </c>
      <c r="E28" s="146">
        <v>47087</v>
      </c>
      <c r="F28" s="149">
        <v>8.4197218710493044E-2</v>
      </c>
      <c r="G28" s="355">
        <v>1220000</v>
      </c>
      <c r="H28" s="355">
        <v>755105.45</v>
      </c>
      <c r="I28" s="359">
        <v>70271.37</v>
      </c>
      <c r="J28" s="353">
        <f t="shared" si="0"/>
        <v>9.3061664433755575E-2</v>
      </c>
      <c r="M28" s="74">
        <f t="shared" si="1"/>
        <v>3955</v>
      </c>
      <c r="N28" s="146">
        <v>43465</v>
      </c>
      <c r="O28" s="74">
        <f t="shared" si="2"/>
        <v>3622</v>
      </c>
      <c r="P28" s="354">
        <f t="shared" si="3"/>
        <v>8.4197218710493044E-2</v>
      </c>
    </row>
    <row r="29" spans="1:16" ht="18.95" customHeight="1">
      <c r="A29" s="349">
        <f t="shared" si="4"/>
        <v>17</v>
      </c>
      <c r="B29" s="358" t="s">
        <v>2734</v>
      </c>
      <c r="C29" s="355" t="s">
        <v>2735</v>
      </c>
      <c r="D29" s="145">
        <v>43282</v>
      </c>
      <c r="E29" s="146">
        <v>43738</v>
      </c>
      <c r="F29" s="149">
        <v>0.40131578947368424</v>
      </c>
      <c r="G29" s="355">
        <v>700000</v>
      </c>
      <c r="H29" s="355">
        <v>1273089.44</v>
      </c>
      <c r="I29" s="359">
        <v>206000</v>
      </c>
      <c r="J29" s="353">
        <f t="shared" si="0"/>
        <v>0.16181109789112696</v>
      </c>
      <c r="M29" s="74">
        <f t="shared" si="1"/>
        <v>456</v>
      </c>
      <c r="N29" s="146">
        <v>43465</v>
      </c>
      <c r="O29" s="74">
        <f t="shared" si="2"/>
        <v>273</v>
      </c>
      <c r="P29" s="354">
        <f t="shared" si="3"/>
        <v>0.40131578947368424</v>
      </c>
    </row>
    <row r="30" spans="1:16" ht="18.95" customHeight="1">
      <c r="A30" s="349">
        <f t="shared" si="4"/>
        <v>18</v>
      </c>
      <c r="B30" s="358" t="s">
        <v>2736</v>
      </c>
      <c r="C30" s="355" t="s">
        <v>2737</v>
      </c>
      <c r="D30" s="145">
        <v>43282</v>
      </c>
      <c r="E30" s="146">
        <v>43585</v>
      </c>
      <c r="F30" s="149">
        <v>0.60396039603960394</v>
      </c>
      <c r="G30" s="355">
        <v>700000</v>
      </c>
      <c r="H30" s="355">
        <v>929474.98</v>
      </c>
      <c r="I30" s="359">
        <v>216000.01</v>
      </c>
      <c r="J30" s="353">
        <f t="shared" si="0"/>
        <v>0.23238926775629831</v>
      </c>
      <c r="M30" s="74">
        <f t="shared" si="1"/>
        <v>303</v>
      </c>
      <c r="N30" s="146">
        <v>43465</v>
      </c>
      <c r="O30" s="74">
        <f t="shared" si="2"/>
        <v>120</v>
      </c>
      <c r="P30" s="354">
        <f t="shared" si="3"/>
        <v>0.60396039603960394</v>
      </c>
    </row>
    <row r="31" spans="1:16" ht="18.95" customHeight="1">
      <c r="A31" s="349">
        <f t="shared" si="4"/>
        <v>19</v>
      </c>
      <c r="B31" s="358" t="s">
        <v>2738</v>
      </c>
      <c r="C31" s="355" t="s">
        <v>2739</v>
      </c>
      <c r="D31" s="145">
        <v>42736</v>
      </c>
      <c r="E31" s="146">
        <v>43830</v>
      </c>
      <c r="F31" s="149">
        <v>0.6663619744058501</v>
      </c>
      <c r="G31" s="355">
        <v>91125</v>
      </c>
      <c r="H31" s="355">
        <v>163055.40000000002</v>
      </c>
      <c r="I31" s="359">
        <v>110721.74</v>
      </c>
      <c r="J31" s="353">
        <f t="shared" si="0"/>
        <v>0.67904368699227369</v>
      </c>
      <c r="M31" s="74">
        <f t="shared" si="1"/>
        <v>1094</v>
      </c>
      <c r="N31" s="146">
        <v>43465</v>
      </c>
      <c r="O31" s="74">
        <f t="shared" si="2"/>
        <v>365</v>
      </c>
      <c r="P31" s="354">
        <f t="shared" si="3"/>
        <v>0.6663619744058501</v>
      </c>
    </row>
    <row r="32" spans="1:16" ht="18.95" customHeight="1">
      <c r="A32" s="349">
        <f t="shared" si="4"/>
        <v>20</v>
      </c>
      <c r="B32" s="358" t="s">
        <v>2740</v>
      </c>
      <c r="C32" s="355" t="s">
        <v>2741</v>
      </c>
      <c r="D32" s="145">
        <v>43101</v>
      </c>
      <c r="E32" s="146">
        <v>43677</v>
      </c>
      <c r="F32" s="149">
        <v>0.63194444444444442</v>
      </c>
      <c r="G32" s="355">
        <v>2572100</v>
      </c>
      <c r="H32" s="355">
        <v>7878209.5</v>
      </c>
      <c r="I32" s="359">
        <v>3461973.2600000002</v>
      </c>
      <c r="J32" s="353">
        <f t="shared" si="0"/>
        <v>0.4394365572532693</v>
      </c>
      <c r="M32" s="74">
        <f t="shared" si="1"/>
        <v>576</v>
      </c>
      <c r="N32" s="146">
        <v>43465</v>
      </c>
      <c r="O32" s="74">
        <f t="shared" si="2"/>
        <v>212</v>
      </c>
      <c r="P32" s="354">
        <f t="shared" si="3"/>
        <v>0.63194444444444442</v>
      </c>
    </row>
    <row r="33" spans="1:16" ht="18.95" customHeight="1">
      <c r="A33" s="349">
        <f t="shared" si="4"/>
        <v>21</v>
      </c>
      <c r="B33" s="358" t="s">
        <v>2361</v>
      </c>
      <c r="C33" s="355" t="s">
        <v>2362</v>
      </c>
      <c r="D33" s="145">
        <v>42736</v>
      </c>
      <c r="E33" s="146">
        <v>43799</v>
      </c>
      <c r="F33" s="149">
        <v>0.68579492003762932</v>
      </c>
      <c r="G33" s="355">
        <v>8572984.370000001</v>
      </c>
      <c r="H33" s="355">
        <v>5529611.5099999998</v>
      </c>
      <c r="I33" s="359">
        <v>3863359.3099999996</v>
      </c>
      <c r="J33" s="353">
        <f t="shared" si="0"/>
        <v>0.69866740240491143</v>
      </c>
      <c r="M33" s="74">
        <f t="shared" si="1"/>
        <v>1063</v>
      </c>
      <c r="N33" s="146">
        <v>43465</v>
      </c>
      <c r="O33" s="74">
        <f t="shared" si="2"/>
        <v>334</v>
      </c>
      <c r="P33" s="354">
        <f t="shared" si="3"/>
        <v>0.68579492003762932</v>
      </c>
    </row>
    <row r="34" spans="1:16" ht="18.95" customHeight="1">
      <c r="A34" s="349">
        <f t="shared" si="4"/>
        <v>22</v>
      </c>
      <c r="B34" s="358" t="s">
        <v>2742</v>
      </c>
      <c r="C34" s="355" t="s">
        <v>2743</v>
      </c>
      <c r="D34" s="145">
        <v>43252</v>
      </c>
      <c r="E34" s="146">
        <v>43830</v>
      </c>
      <c r="F34" s="149">
        <v>0.36851211072664358</v>
      </c>
      <c r="G34" s="355">
        <v>3350000</v>
      </c>
      <c r="H34" s="355">
        <v>3608796.5799999996</v>
      </c>
      <c r="I34" s="359">
        <v>20025.800000000003</v>
      </c>
      <c r="J34" s="353">
        <f t="shared" si="0"/>
        <v>5.54916287356934E-3</v>
      </c>
      <c r="M34" s="74">
        <f t="shared" si="1"/>
        <v>578</v>
      </c>
      <c r="N34" s="146">
        <v>43465</v>
      </c>
      <c r="O34" s="74">
        <f t="shared" si="2"/>
        <v>365</v>
      </c>
      <c r="P34" s="354">
        <f t="shared" si="3"/>
        <v>0.36851211072664358</v>
      </c>
    </row>
    <row r="35" spans="1:16" ht="18.95" customHeight="1">
      <c r="A35" s="349">
        <f t="shared" si="4"/>
        <v>23</v>
      </c>
      <c r="B35" s="358" t="s">
        <v>2359</v>
      </c>
      <c r="C35" s="355" t="s">
        <v>2360</v>
      </c>
      <c r="D35" s="145">
        <v>42856</v>
      </c>
      <c r="E35" s="146">
        <v>43769</v>
      </c>
      <c r="F35" s="149">
        <v>0.66703176341730563</v>
      </c>
      <c r="G35" s="355">
        <v>11000000</v>
      </c>
      <c r="H35" s="355">
        <v>20466998.399999999</v>
      </c>
      <c r="I35" s="359">
        <v>4883356.78</v>
      </c>
      <c r="J35" s="353">
        <f t="shared" si="0"/>
        <v>0.23859662685076483</v>
      </c>
      <c r="M35" s="74">
        <f t="shared" si="1"/>
        <v>913</v>
      </c>
      <c r="N35" s="146">
        <v>43465</v>
      </c>
      <c r="O35" s="74">
        <f t="shared" si="2"/>
        <v>304</v>
      </c>
      <c r="P35" s="354">
        <f t="shared" si="3"/>
        <v>0.66703176341730563</v>
      </c>
    </row>
    <row r="36" spans="1:16" ht="18.95" customHeight="1">
      <c r="A36" s="349">
        <f t="shared" si="4"/>
        <v>24</v>
      </c>
      <c r="B36" s="358" t="s">
        <v>2346</v>
      </c>
      <c r="C36" s="355" t="s">
        <v>2347</v>
      </c>
      <c r="D36" s="145">
        <v>41947</v>
      </c>
      <c r="E36" s="146">
        <v>44561</v>
      </c>
      <c r="F36" s="149">
        <v>0.58071920428462132</v>
      </c>
      <c r="G36" s="355">
        <v>5400393.2599999998</v>
      </c>
      <c r="H36" s="355">
        <v>5606040.8600000003</v>
      </c>
      <c r="I36" s="359">
        <v>216545.86</v>
      </c>
      <c r="J36" s="353">
        <f t="shared" si="0"/>
        <v>3.8627235406914241E-2</v>
      </c>
      <c r="M36" s="74">
        <f t="shared" si="1"/>
        <v>2614</v>
      </c>
      <c r="N36" s="146">
        <v>43465</v>
      </c>
      <c r="O36" s="74">
        <f t="shared" si="2"/>
        <v>1096</v>
      </c>
      <c r="P36" s="354">
        <f t="shared" si="3"/>
        <v>0.58071920428462132</v>
      </c>
    </row>
    <row r="37" spans="1:16" ht="18.95" customHeight="1">
      <c r="A37" s="349">
        <f t="shared" si="4"/>
        <v>25</v>
      </c>
      <c r="B37" s="358" t="s">
        <v>2744</v>
      </c>
      <c r="C37" s="355" t="s">
        <v>2745</v>
      </c>
      <c r="D37" s="145">
        <v>42750</v>
      </c>
      <c r="E37" s="146">
        <v>43646</v>
      </c>
      <c r="F37" s="149">
        <v>0.7979910714285714</v>
      </c>
      <c r="G37" s="355">
        <v>194492.76</v>
      </c>
      <c r="H37" s="355">
        <v>74906.97</v>
      </c>
      <c r="I37" s="359">
        <v>64335.13</v>
      </c>
      <c r="J37" s="353">
        <f t="shared" si="0"/>
        <v>0.85886707204950352</v>
      </c>
      <c r="M37" s="74">
        <f t="shared" si="1"/>
        <v>896</v>
      </c>
      <c r="N37" s="146">
        <v>43465</v>
      </c>
      <c r="O37" s="74">
        <f t="shared" si="2"/>
        <v>181</v>
      </c>
      <c r="P37" s="354">
        <f t="shared" si="3"/>
        <v>0.7979910714285714</v>
      </c>
    </row>
    <row r="38" spans="1:16" ht="18.95" customHeight="1">
      <c r="A38" s="349">
        <f t="shared" si="4"/>
        <v>26</v>
      </c>
      <c r="B38" s="358" t="s">
        <v>2746</v>
      </c>
      <c r="C38" s="355" t="s">
        <v>2747</v>
      </c>
      <c r="D38" s="145">
        <v>42750</v>
      </c>
      <c r="E38" s="146">
        <v>43646</v>
      </c>
      <c r="F38" s="149">
        <v>0.7979910714285714</v>
      </c>
      <c r="G38" s="355">
        <v>194492.76</v>
      </c>
      <c r="H38" s="355">
        <v>75795.25</v>
      </c>
      <c r="I38" s="359">
        <v>64088.59</v>
      </c>
      <c r="J38" s="353">
        <f t="shared" si="0"/>
        <v>0.84554889653375376</v>
      </c>
      <c r="M38" s="74">
        <f t="shared" si="1"/>
        <v>896</v>
      </c>
      <c r="N38" s="146">
        <v>43465</v>
      </c>
      <c r="O38" s="74">
        <f t="shared" si="2"/>
        <v>181</v>
      </c>
      <c r="P38" s="354">
        <f t="shared" si="3"/>
        <v>0.7979910714285714</v>
      </c>
    </row>
    <row r="39" spans="1:16" ht="18.95" customHeight="1">
      <c r="A39" s="349">
        <f t="shared" si="4"/>
        <v>27</v>
      </c>
      <c r="B39" s="358" t="s">
        <v>2748</v>
      </c>
      <c r="C39" s="355" t="s">
        <v>2749</v>
      </c>
      <c r="D39" s="145">
        <v>42750</v>
      </c>
      <c r="E39" s="146">
        <v>43646</v>
      </c>
      <c r="F39" s="149">
        <v>0.7979910714285714</v>
      </c>
      <c r="G39" s="355">
        <v>194492.76</v>
      </c>
      <c r="H39" s="355">
        <v>75791.510000000009</v>
      </c>
      <c r="I39" s="359">
        <v>62560.42</v>
      </c>
      <c r="J39" s="353">
        <f t="shared" si="0"/>
        <v>0.82542780847089592</v>
      </c>
      <c r="M39" s="74">
        <f t="shared" si="1"/>
        <v>896</v>
      </c>
      <c r="N39" s="146">
        <v>43465</v>
      </c>
      <c r="O39" s="74">
        <f t="shared" si="2"/>
        <v>181</v>
      </c>
      <c r="P39" s="354">
        <f t="shared" si="3"/>
        <v>0.7979910714285714</v>
      </c>
    </row>
    <row r="40" spans="1:16" ht="18.95" customHeight="1">
      <c r="A40" s="349">
        <f t="shared" si="4"/>
        <v>28</v>
      </c>
      <c r="B40" s="358" t="s">
        <v>2750</v>
      </c>
      <c r="C40" s="355" t="s">
        <v>2751</v>
      </c>
      <c r="D40" s="145">
        <v>42750</v>
      </c>
      <c r="E40" s="146">
        <v>43646</v>
      </c>
      <c r="F40" s="149">
        <v>0.7979910714285714</v>
      </c>
      <c r="G40" s="355">
        <v>201812.38</v>
      </c>
      <c r="H40" s="355">
        <v>75790.61</v>
      </c>
      <c r="I40" s="359">
        <v>62186.239999999998</v>
      </c>
      <c r="J40" s="353">
        <f t="shared" si="0"/>
        <v>0.82050058707800344</v>
      </c>
      <c r="M40" s="74">
        <f t="shared" si="1"/>
        <v>896</v>
      </c>
      <c r="N40" s="146">
        <v>43465</v>
      </c>
      <c r="O40" s="74">
        <f t="shared" si="2"/>
        <v>181</v>
      </c>
      <c r="P40" s="354">
        <f t="shared" si="3"/>
        <v>0.7979910714285714</v>
      </c>
    </row>
    <row r="41" spans="1:16" ht="18.95" customHeight="1">
      <c r="A41" s="349">
        <f t="shared" si="4"/>
        <v>29</v>
      </c>
      <c r="B41" s="358" t="s">
        <v>2752</v>
      </c>
      <c r="C41" s="355" t="s">
        <v>2753</v>
      </c>
      <c r="D41" s="145">
        <v>42750</v>
      </c>
      <c r="E41" s="146">
        <v>43646</v>
      </c>
      <c r="F41" s="149">
        <v>0.7979910714285714</v>
      </c>
      <c r="G41" s="355">
        <v>201812.38</v>
      </c>
      <c r="H41" s="355">
        <v>76848.47</v>
      </c>
      <c r="I41" s="359">
        <v>67270.38</v>
      </c>
      <c r="J41" s="353">
        <f t="shared" si="0"/>
        <v>0.87536394673830209</v>
      </c>
      <c r="M41" s="74">
        <f t="shared" si="1"/>
        <v>896</v>
      </c>
      <c r="N41" s="146">
        <v>43465</v>
      </c>
      <c r="O41" s="74">
        <f t="shared" si="2"/>
        <v>181</v>
      </c>
      <c r="P41" s="354">
        <f t="shared" si="3"/>
        <v>0.7979910714285714</v>
      </c>
    </row>
    <row r="42" spans="1:16" ht="18.95" customHeight="1">
      <c r="A42" s="349">
        <f t="shared" si="4"/>
        <v>30</v>
      </c>
      <c r="B42" s="358" t="s">
        <v>2350</v>
      </c>
      <c r="C42" s="355" t="s">
        <v>2754</v>
      </c>
      <c r="D42" s="145">
        <v>42736</v>
      </c>
      <c r="E42" s="146">
        <v>43616</v>
      </c>
      <c r="F42" s="149">
        <v>0.82840909090909087</v>
      </c>
      <c r="G42" s="355">
        <v>122320</v>
      </c>
      <c r="H42" s="355">
        <v>110659.97</v>
      </c>
      <c r="I42" s="359">
        <v>46800.01</v>
      </c>
      <c r="J42" s="353">
        <f t="shared" si="0"/>
        <v>0.4229172482154116</v>
      </c>
      <c r="M42" s="74">
        <f t="shared" si="1"/>
        <v>880</v>
      </c>
      <c r="N42" s="146">
        <v>43465</v>
      </c>
      <c r="O42" s="74">
        <f t="shared" si="2"/>
        <v>151</v>
      </c>
      <c r="P42" s="354">
        <f t="shared" si="3"/>
        <v>0.82840909090909087</v>
      </c>
    </row>
    <row r="43" spans="1:16" ht="18.95" customHeight="1">
      <c r="A43" s="349">
        <f t="shared" si="4"/>
        <v>31</v>
      </c>
      <c r="B43" s="358" t="s">
        <v>2755</v>
      </c>
      <c r="C43" s="355" t="s">
        <v>2756</v>
      </c>
      <c r="D43" s="145">
        <v>43282</v>
      </c>
      <c r="E43" s="146">
        <v>43799</v>
      </c>
      <c r="F43" s="149">
        <v>0.35396518375241781</v>
      </c>
      <c r="G43" s="355">
        <v>1883856</v>
      </c>
      <c r="H43" s="355">
        <v>1875184.96</v>
      </c>
      <c r="I43" s="359">
        <v>200000</v>
      </c>
      <c r="J43" s="353">
        <f t="shared" si="0"/>
        <v>0.10665614553563826</v>
      </c>
      <c r="M43" s="74">
        <f t="shared" si="1"/>
        <v>517</v>
      </c>
      <c r="N43" s="146">
        <v>43465</v>
      </c>
      <c r="O43" s="74">
        <f t="shared" si="2"/>
        <v>334</v>
      </c>
      <c r="P43" s="354">
        <f t="shared" si="3"/>
        <v>0.35396518375241781</v>
      </c>
    </row>
    <row r="44" spans="1:16" ht="18.95" customHeight="1">
      <c r="A44" s="349">
        <f t="shared" si="4"/>
        <v>32</v>
      </c>
      <c r="B44" s="358" t="s">
        <v>2757</v>
      </c>
      <c r="C44" s="355" t="s">
        <v>2758</v>
      </c>
      <c r="D44" s="145">
        <v>43313</v>
      </c>
      <c r="E44" s="146">
        <v>43830</v>
      </c>
      <c r="F44" s="149">
        <v>0.29400386847195359</v>
      </c>
      <c r="G44" s="355">
        <v>397852.02</v>
      </c>
      <c r="H44" s="355">
        <v>415376.9</v>
      </c>
      <c r="I44" s="359">
        <v>109752.94</v>
      </c>
      <c r="J44" s="353">
        <f t="shared" si="0"/>
        <v>0.26422494847450589</v>
      </c>
      <c r="M44" s="74">
        <f t="shared" si="1"/>
        <v>517</v>
      </c>
      <c r="N44" s="146">
        <v>43465</v>
      </c>
      <c r="O44" s="74">
        <f t="shared" si="2"/>
        <v>365</v>
      </c>
      <c r="P44" s="354">
        <f t="shared" si="3"/>
        <v>0.29400386847195359</v>
      </c>
    </row>
    <row r="45" spans="1:16" ht="18.95" customHeight="1">
      <c r="A45" s="349">
        <f t="shared" si="4"/>
        <v>33</v>
      </c>
      <c r="B45" s="358" t="s">
        <v>2759</v>
      </c>
      <c r="C45" s="355" t="s">
        <v>2760</v>
      </c>
      <c r="D45" s="145">
        <v>42736</v>
      </c>
      <c r="E45" s="146">
        <v>43373</v>
      </c>
      <c r="F45" s="149">
        <v>1.1444270015698588</v>
      </c>
      <c r="G45" s="355">
        <v>775000</v>
      </c>
      <c r="H45" s="355">
        <v>159139.21</v>
      </c>
      <c r="I45" s="359">
        <v>204.37052742269998</v>
      </c>
      <c r="J45" s="353">
        <f t="shared" si="0"/>
        <v>1.2842248457982164E-3</v>
      </c>
      <c r="M45" s="74">
        <f t="shared" si="1"/>
        <v>637</v>
      </c>
      <c r="N45" s="146">
        <v>43465</v>
      </c>
      <c r="O45" s="74">
        <f t="shared" si="2"/>
        <v>-92</v>
      </c>
      <c r="P45" s="354">
        <f t="shared" si="3"/>
        <v>1.1444270015698588</v>
      </c>
    </row>
    <row r="46" spans="1:16" ht="18.95" customHeight="1">
      <c r="A46" s="349">
        <f t="shared" si="4"/>
        <v>34</v>
      </c>
      <c r="B46" s="358" t="s">
        <v>2377</v>
      </c>
      <c r="C46" s="355" t="s">
        <v>2761</v>
      </c>
      <c r="D46" s="145">
        <v>43466</v>
      </c>
      <c r="E46" s="146">
        <v>43799</v>
      </c>
      <c r="F46" s="149">
        <v>-3.003003003003003E-3</v>
      </c>
      <c r="G46" s="355">
        <v>312614.67</v>
      </c>
      <c r="H46" s="355">
        <v>221152.7</v>
      </c>
      <c r="I46" s="359">
        <v>112866.49</v>
      </c>
      <c r="J46" s="353">
        <f t="shared" si="0"/>
        <v>0.51035546932051923</v>
      </c>
      <c r="M46" s="74">
        <f t="shared" si="1"/>
        <v>333</v>
      </c>
      <c r="N46" s="146">
        <v>43465</v>
      </c>
      <c r="O46" s="74">
        <f t="shared" si="2"/>
        <v>334</v>
      </c>
      <c r="P46" s="354">
        <f t="shared" si="3"/>
        <v>-3.003003003003003E-3</v>
      </c>
    </row>
    <row r="47" spans="1:16" ht="18.95" customHeight="1">
      <c r="A47" s="349">
        <f t="shared" si="4"/>
        <v>35</v>
      </c>
      <c r="B47" s="358" t="s">
        <v>2380</v>
      </c>
      <c r="C47" s="355" t="s">
        <v>2381</v>
      </c>
      <c r="D47" s="145">
        <v>42736</v>
      </c>
      <c r="E47" s="146">
        <v>46752</v>
      </c>
      <c r="F47" s="149">
        <v>0.18152390438247012</v>
      </c>
      <c r="G47" s="355">
        <v>430731.88000000006</v>
      </c>
      <c r="H47" s="355">
        <v>454803.88999999996</v>
      </c>
      <c r="I47" s="359">
        <v>71867.520000000004</v>
      </c>
      <c r="J47" s="353">
        <f t="shared" si="0"/>
        <v>0.15801870120328129</v>
      </c>
      <c r="M47" s="74">
        <f t="shared" si="1"/>
        <v>4016</v>
      </c>
      <c r="N47" s="146">
        <v>43465</v>
      </c>
      <c r="O47" s="74">
        <f t="shared" si="2"/>
        <v>3287</v>
      </c>
      <c r="P47" s="354">
        <f t="shared" si="3"/>
        <v>0.18152390438247012</v>
      </c>
    </row>
    <row r="48" spans="1:16" ht="18.95" customHeight="1">
      <c r="A48" s="349">
        <f t="shared" si="4"/>
        <v>36</v>
      </c>
      <c r="B48" s="358" t="s">
        <v>2762</v>
      </c>
      <c r="C48" s="355" t="s">
        <v>2763</v>
      </c>
      <c r="D48" s="145">
        <v>43101</v>
      </c>
      <c r="E48" s="146">
        <v>44561</v>
      </c>
      <c r="F48" s="149">
        <v>0.24931506849315069</v>
      </c>
      <c r="G48" s="355">
        <v>129288.45</v>
      </c>
      <c r="H48" s="355">
        <v>128441.32</v>
      </c>
      <c r="I48" s="359">
        <v>43133.72</v>
      </c>
      <c r="J48" s="353">
        <f t="shared" si="0"/>
        <v>0.33582432818348484</v>
      </c>
      <c r="M48" s="74">
        <f t="shared" si="1"/>
        <v>1460</v>
      </c>
      <c r="N48" s="146">
        <v>43465</v>
      </c>
      <c r="O48" s="74">
        <f t="shared" si="2"/>
        <v>1096</v>
      </c>
      <c r="P48" s="354">
        <f t="shared" si="3"/>
        <v>0.24931506849315069</v>
      </c>
    </row>
    <row r="49" spans="1:16" ht="18.95" customHeight="1">
      <c r="A49" s="349">
        <f t="shared" si="4"/>
        <v>37</v>
      </c>
      <c r="B49" s="358" t="s">
        <v>2764</v>
      </c>
      <c r="C49" s="355" t="s">
        <v>2765</v>
      </c>
      <c r="D49" s="145">
        <v>43101</v>
      </c>
      <c r="E49" s="146">
        <v>43861</v>
      </c>
      <c r="F49" s="149">
        <v>0.47894736842105262</v>
      </c>
      <c r="G49" s="355">
        <v>659880.80000000005</v>
      </c>
      <c r="H49" s="355">
        <v>634874.74</v>
      </c>
      <c r="I49" s="359">
        <v>248000</v>
      </c>
      <c r="J49" s="353">
        <f t="shared" si="0"/>
        <v>0.39062823636675165</v>
      </c>
      <c r="M49" s="74">
        <f t="shared" si="1"/>
        <v>760</v>
      </c>
      <c r="N49" s="146">
        <v>43465</v>
      </c>
      <c r="O49" s="74">
        <f t="shared" si="2"/>
        <v>396</v>
      </c>
      <c r="P49" s="354">
        <f t="shared" si="3"/>
        <v>0.47894736842105262</v>
      </c>
    </row>
    <row r="50" spans="1:16" ht="18.95" customHeight="1">
      <c r="A50" s="349">
        <f t="shared" si="4"/>
        <v>38</v>
      </c>
      <c r="B50" s="358" t="s">
        <v>2766</v>
      </c>
      <c r="C50" s="355" t="s">
        <v>2767</v>
      </c>
      <c r="D50" s="145">
        <v>43101</v>
      </c>
      <c r="E50" s="146">
        <v>47118</v>
      </c>
      <c r="F50" s="149">
        <v>9.0614886731391592E-2</v>
      </c>
      <c r="G50" s="355">
        <v>102166.25</v>
      </c>
      <c r="H50" s="355">
        <v>213479.72999999998</v>
      </c>
      <c r="I50" s="359">
        <v>101961.69</v>
      </c>
      <c r="J50" s="353">
        <f t="shared" si="0"/>
        <v>0.477617664215708</v>
      </c>
      <c r="M50" s="74">
        <f t="shared" si="1"/>
        <v>4017</v>
      </c>
      <c r="N50" s="146">
        <v>43465</v>
      </c>
      <c r="O50" s="74">
        <f t="shared" si="2"/>
        <v>3653</v>
      </c>
      <c r="P50" s="354">
        <f t="shared" si="3"/>
        <v>9.0614886731391592E-2</v>
      </c>
    </row>
    <row r="51" spans="1:16" ht="18.95" customHeight="1">
      <c r="A51" s="349">
        <f t="shared" si="4"/>
        <v>39</v>
      </c>
      <c r="B51" s="358" t="s">
        <v>2768</v>
      </c>
      <c r="C51" s="355" t="s">
        <v>2769</v>
      </c>
      <c r="D51" s="145">
        <v>43374</v>
      </c>
      <c r="E51" s="146">
        <v>43616</v>
      </c>
      <c r="F51" s="149">
        <v>0.37603305785123969</v>
      </c>
      <c r="G51" s="355">
        <v>566613.6</v>
      </c>
      <c r="H51" s="355">
        <v>443709.7</v>
      </c>
      <c r="I51" s="359">
        <v>93000</v>
      </c>
      <c r="J51" s="353">
        <f t="shared" si="0"/>
        <v>0.20959649969338059</v>
      </c>
      <c r="M51" s="74">
        <f t="shared" si="1"/>
        <v>242</v>
      </c>
      <c r="N51" s="146">
        <v>43465</v>
      </c>
      <c r="O51" s="74">
        <f t="shared" si="2"/>
        <v>151</v>
      </c>
      <c r="P51" s="354">
        <f t="shared" si="3"/>
        <v>0.37603305785123969</v>
      </c>
    </row>
    <row r="52" spans="1:16" ht="18.95" customHeight="1">
      <c r="A52" s="349">
        <f t="shared" si="4"/>
        <v>40</v>
      </c>
      <c r="B52" s="358" t="s">
        <v>2770</v>
      </c>
      <c r="C52" s="355" t="s">
        <v>2771</v>
      </c>
      <c r="D52" s="145">
        <v>43178</v>
      </c>
      <c r="E52" s="146">
        <v>43830</v>
      </c>
      <c r="F52" s="149">
        <v>0.44018404907975461</v>
      </c>
      <c r="G52" s="355">
        <v>256525.13</v>
      </c>
      <c r="H52" s="355">
        <v>256525.13</v>
      </c>
      <c r="I52" s="359">
        <v>118910</v>
      </c>
      <c r="J52" s="353">
        <f t="shared" si="0"/>
        <v>0.46354133023926347</v>
      </c>
      <c r="M52" s="74">
        <f t="shared" si="1"/>
        <v>652</v>
      </c>
      <c r="N52" s="146">
        <v>43465</v>
      </c>
      <c r="O52" s="74">
        <f t="shared" si="2"/>
        <v>365</v>
      </c>
      <c r="P52" s="354">
        <f t="shared" si="3"/>
        <v>0.44018404907975461</v>
      </c>
    </row>
    <row r="53" spans="1:16" ht="18.95" customHeight="1">
      <c r="A53" s="349">
        <f t="shared" si="4"/>
        <v>41</v>
      </c>
      <c r="B53" s="358" t="s">
        <v>2772</v>
      </c>
      <c r="C53" s="355" t="s">
        <v>2773</v>
      </c>
      <c r="D53" s="145">
        <v>43281</v>
      </c>
      <c r="E53" s="146">
        <v>43646</v>
      </c>
      <c r="F53" s="149">
        <v>0.50410958904109593</v>
      </c>
      <c r="G53" s="355">
        <v>708717.19000000006</v>
      </c>
      <c r="H53" s="355">
        <v>708717.19000000006</v>
      </c>
      <c r="I53" s="359">
        <v>139526.79</v>
      </c>
      <c r="J53" s="353">
        <f t="shared" si="0"/>
        <v>0.19687230953153542</v>
      </c>
      <c r="M53" s="74">
        <f t="shared" si="1"/>
        <v>365</v>
      </c>
      <c r="N53" s="146">
        <v>43465</v>
      </c>
      <c r="O53" s="74">
        <f t="shared" si="2"/>
        <v>181</v>
      </c>
      <c r="P53" s="354">
        <f t="shared" si="3"/>
        <v>0.50410958904109593</v>
      </c>
    </row>
    <row r="54" spans="1:16" ht="18.95" customHeight="1">
      <c r="A54" s="349">
        <f t="shared" si="4"/>
        <v>42</v>
      </c>
      <c r="B54" s="358" t="s">
        <v>2774</v>
      </c>
      <c r="C54" s="355" t="s">
        <v>2775</v>
      </c>
      <c r="D54" s="145">
        <v>43221</v>
      </c>
      <c r="E54" s="146">
        <v>43555</v>
      </c>
      <c r="F54" s="149">
        <v>0.73053892215568861</v>
      </c>
      <c r="G54" s="355">
        <v>421394.58999999997</v>
      </c>
      <c r="H54" s="355">
        <v>447581.06</v>
      </c>
      <c r="I54" s="359">
        <v>580.59</v>
      </c>
      <c r="J54" s="353">
        <f t="shared" si="0"/>
        <v>1.2971728517734867E-3</v>
      </c>
      <c r="M54" s="74">
        <f t="shared" si="1"/>
        <v>334</v>
      </c>
      <c r="N54" s="146">
        <v>43465</v>
      </c>
      <c r="O54" s="74">
        <f t="shared" si="2"/>
        <v>90</v>
      </c>
      <c r="P54" s="354">
        <f t="shared" si="3"/>
        <v>0.73053892215568861</v>
      </c>
    </row>
    <row r="55" spans="1:16" ht="18.95" customHeight="1">
      <c r="A55" s="349">
        <f t="shared" si="4"/>
        <v>43</v>
      </c>
      <c r="B55" s="358" t="s">
        <v>2366</v>
      </c>
      <c r="C55" s="355" t="s">
        <v>2367</v>
      </c>
      <c r="D55" s="145">
        <v>42675</v>
      </c>
      <c r="E55" s="146">
        <v>47118</v>
      </c>
      <c r="F55" s="149">
        <v>0.17780778753094756</v>
      </c>
      <c r="G55" s="355">
        <v>5000000</v>
      </c>
      <c r="H55" s="355">
        <v>2615874.4900000002</v>
      </c>
      <c r="I55" s="359">
        <v>115874.49</v>
      </c>
      <c r="J55" s="353">
        <f t="shared" si="0"/>
        <v>4.4296655073844921E-2</v>
      </c>
      <c r="M55" s="74">
        <f t="shared" si="1"/>
        <v>4443</v>
      </c>
      <c r="N55" s="146">
        <v>43465</v>
      </c>
      <c r="O55" s="74">
        <f t="shared" si="2"/>
        <v>3653</v>
      </c>
      <c r="P55" s="354">
        <f t="shared" si="3"/>
        <v>0.17780778753094756</v>
      </c>
    </row>
    <row r="56" spans="1:16" ht="18.95" customHeight="1">
      <c r="A56" s="349">
        <f t="shared" si="4"/>
        <v>44</v>
      </c>
      <c r="B56" s="358" t="s">
        <v>2776</v>
      </c>
      <c r="C56" s="355" t="s">
        <v>2777</v>
      </c>
      <c r="D56" s="145">
        <v>42186</v>
      </c>
      <c r="E56" s="146">
        <v>45412</v>
      </c>
      <c r="F56" s="149">
        <v>0.39646621202727839</v>
      </c>
      <c r="G56" s="355">
        <v>60000000</v>
      </c>
      <c r="H56" s="355">
        <v>-36380.070000000007</v>
      </c>
      <c r="I56" s="359">
        <v>36380.07</v>
      </c>
      <c r="J56" s="353">
        <f t="shared" si="0"/>
        <v>-0.99999999999999978</v>
      </c>
      <c r="M56" s="74">
        <f t="shared" si="1"/>
        <v>3226</v>
      </c>
      <c r="N56" s="146">
        <v>43465</v>
      </c>
      <c r="O56" s="74">
        <f t="shared" si="2"/>
        <v>1947</v>
      </c>
      <c r="P56" s="354">
        <f t="shared" si="3"/>
        <v>0.39646621202727839</v>
      </c>
    </row>
    <row r="57" spans="1:16" s="360" customFormat="1" ht="20.100000000000001" customHeight="1">
      <c r="A57" s="769" t="str">
        <f>$A$1</f>
        <v>KENTUCKY UTILITIES COMPANY</v>
      </c>
      <c r="B57" s="769"/>
      <c r="C57" s="769"/>
      <c r="D57" s="769"/>
      <c r="E57" s="769"/>
      <c r="F57" s="769"/>
      <c r="G57" s="769"/>
      <c r="H57" s="769"/>
      <c r="I57" s="769"/>
      <c r="J57" s="769"/>
    </row>
    <row r="58" spans="1:16" s="360" customFormat="1" ht="20.100000000000001" customHeight="1">
      <c r="A58" s="769" t="str">
        <f>$A$2</f>
        <v>CASE NO. 2018-00294 - RESPONSE TO PSC 2-65 (SLIPPAGE FACTOR 96.027%)</v>
      </c>
      <c r="B58" s="769"/>
      <c r="C58" s="769"/>
      <c r="D58" s="769"/>
      <c r="E58" s="769"/>
      <c r="F58" s="769"/>
      <c r="G58" s="769"/>
      <c r="H58" s="769"/>
      <c r="I58" s="769"/>
      <c r="J58" s="769"/>
    </row>
    <row r="59" spans="1:16" s="360" customFormat="1" ht="20.100000000000001" customHeight="1">
      <c r="A59" s="769" t="s">
        <v>1219</v>
      </c>
      <c r="B59" s="769"/>
      <c r="C59" s="769"/>
      <c r="D59" s="769"/>
      <c r="E59" s="769"/>
      <c r="F59" s="769"/>
      <c r="G59" s="769"/>
      <c r="H59" s="769"/>
      <c r="I59" s="769"/>
      <c r="J59" s="769"/>
    </row>
    <row r="60" spans="1:16" s="360" customFormat="1" ht="20.100000000000001" customHeight="1">
      <c r="A60" s="769" t="str">
        <f>$A$4</f>
        <v>AS OF DECEMBER 31, 2018</v>
      </c>
      <c r="B60" s="769"/>
      <c r="C60" s="769"/>
      <c r="D60" s="769"/>
      <c r="E60" s="769"/>
      <c r="F60" s="769"/>
      <c r="G60" s="769"/>
      <c r="H60" s="769"/>
      <c r="I60" s="769"/>
      <c r="J60" s="769"/>
    </row>
    <row r="61" spans="1:16" s="360" customFormat="1" ht="20.100000000000001" customHeight="1">
      <c r="A61" s="347"/>
      <c r="B61" s="347"/>
      <c r="C61" s="347"/>
      <c r="D61" s="347"/>
      <c r="E61" s="347"/>
      <c r="F61" s="347"/>
      <c r="G61" s="347"/>
      <c r="H61" s="347"/>
      <c r="I61" s="347"/>
      <c r="J61" s="347"/>
    </row>
    <row r="62" spans="1:16" s="360" customFormat="1" ht="20.100000000000001" customHeight="1">
      <c r="A62" s="67" t="str">
        <f>$A$6</f>
        <v>DATA:__X__BASE  PERIOD____FORECASTED  PERIOD</v>
      </c>
      <c r="B62" s="348"/>
      <c r="C62" s="68"/>
      <c r="D62" s="144"/>
      <c r="E62" s="144"/>
      <c r="F62" s="68"/>
      <c r="G62" s="74"/>
      <c r="H62" s="74"/>
      <c r="I62" s="74"/>
      <c r="J62" s="74" t="s">
        <v>1714</v>
      </c>
    </row>
    <row r="63" spans="1:16" s="360" customFormat="1" ht="20.100000000000001" customHeight="1">
      <c r="A63" s="67" t="str">
        <f>$A$7</f>
        <v>TYPE OF FILING: __X__ ORIGINAL  _____ UPDATED  _____ REVISED</v>
      </c>
      <c r="B63" s="349"/>
      <c r="C63" s="68"/>
      <c r="D63" s="144"/>
      <c r="E63" s="144"/>
      <c r="F63" s="68"/>
      <c r="G63" s="74"/>
      <c r="H63" s="74"/>
      <c r="I63" s="74"/>
      <c r="J63" s="74" t="s">
        <v>3401</v>
      </c>
    </row>
    <row r="64" spans="1:16" s="360" customFormat="1" ht="20.100000000000001" customHeight="1">
      <c r="A64" s="67" t="str">
        <f>$A$8</f>
        <v>WORKPAPER REFERENCE NO(S).:</v>
      </c>
      <c r="B64" s="348"/>
      <c r="C64" s="68"/>
      <c r="D64" s="144"/>
      <c r="E64" s="144"/>
      <c r="F64" s="67"/>
      <c r="G64" s="75"/>
      <c r="H64" s="75"/>
      <c r="I64" s="75"/>
      <c r="J64" s="75" t="str">
        <f>$J$8</f>
        <v>WITNESS:   C. M. GARRETT</v>
      </c>
    </row>
    <row r="65" spans="1:16" s="360" customFormat="1" ht="20.100000000000001" customHeight="1">
      <c r="A65" s="68"/>
      <c r="B65" s="349"/>
      <c r="C65" s="68"/>
      <c r="D65" s="144"/>
      <c r="E65" s="144"/>
      <c r="F65" s="68"/>
      <c r="G65" s="68"/>
      <c r="H65" s="68"/>
      <c r="I65" s="68"/>
      <c r="J65" s="68"/>
    </row>
    <row r="66" spans="1:16" s="360" customFormat="1" ht="65.099999999999994" customHeight="1">
      <c r="A66" s="76" t="s">
        <v>131</v>
      </c>
      <c r="B66" s="76" t="s">
        <v>1222</v>
      </c>
      <c r="C66" s="76" t="s">
        <v>1223</v>
      </c>
      <c r="D66" s="142" t="s">
        <v>1225</v>
      </c>
      <c r="E66" s="142" t="s">
        <v>1226</v>
      </c>
      <c r="F66" s="76" t="s">
        <v>1227</v>
      </c>
      <c r="G66" s="76" t="s">
        <v>1228</v>
      </c>
      <c r="H66" s="76" t="s">
        <v>1229</v>
      </c>
      <c r="I66" s="76" t="s">
        <v>1230</v>
      </c>
      <c r="J66" s="76" t="s">
        <v>1231</v>
      </c>
      <c r="M66" s="361" t="s">
        <v>1239</v>
      </c>
      <c r="N66" s="361" t="s">
        <v>1240</v>
      </c>
      <c r="O66" s="361" t="s">
        <v>1241</v>
      </c>
      <c r="P66" s="361" t="s">
        <v>1227</v>
      </c>
    </row>
    <row r="67" spans="1:16" s="360" customFormat="1" ht="23.1" customHeight="1">
      <c r="A67" s="80" t="s">
        <v>1220</v>
      </c>
      <c r="B67" s="80" t="s">
        <v>1221</v>
      </c>
      <c r="C67" s="80" t="s">
        <v>1224</v>
      </c>
      <c r="D67" s="356" t="s">
        <v>1232</v>
      </c>
      <c r="E67" s="356" t="s">
        <v>1233</v>
      </c>
      <c r="F67" s="357" t="s">
        <v>1234</v>
      </c>
      <c r="G67" s="357" t="s">
        <v>1235</v>
      </c>
      <c r="H67" s="357" t="s">
        <v>1236</v>
      </c>
      <c r="I67" s="357" t="s">
        <v>1237</v>
      </c>
      <c r="J67" s="357" t="s">
        <v>1238</v>
      </c>
    </row>
    <row r="68" spans="1:16" s="360" customFormat="1" ht="18.95" customHeight="1">
      <c r="A68" s="73"/>
      <c r="B68" s="73"/>
      <c r="C68" s="73"/>
      <c r="D68" s="362"/>
      <c r="E68" s="362"/>
      <c r="F68" s="363"/>
      <c r="G68" s="363"/>
      <c r="H68" s="363"/>
      <c r="I68" s="363"/>
      <c r="J68" s="363"/>
    </row>
    <row r="69" spans="1:16" ht="18.95" customHeight="1">
      <c r="A69" s="349">
        <f>A56+1</f>
        <v>45</v>
      </c>
      <c r="B69" s="358" t="s">
        <v>2778</v>
      </c>
      <c r="C69" s="355" t="s">
        <v>2779</v>
      </c>
      <c r="D69" s="145">
        <v>42186</v>
      </c>
      <c r="E69" s="146">
        <v>46022</v>
      </c>
      <c r="F69" s="149">
        <v>0.33342022940563087</v>
      </c>
      <c r="G69" s="355">
        <v>7200000</v>
      </c>
      <c r="H69" s="355">
        <v>-1346080.2599999998</v>
      </c>
      <c r="I69" s="359">
        <v>1636245.17</v>
      </c>
      <c r="J69" s="353">
        <f t="shared" ref="J69:J89" si="5">I69/H69</f>
        <v>-1.2155628595281533</v>
      </c>
      <c r="M69" s="74">
        <f t="shared" si="1"/>
        <v>3836</v>
      </c>
      <c r="N69" s="146">
        <v>43465</v>
      </c>
      <c r="O69" s="74">
        <f t="shared" si="2"/>
        <v>2557</v>
      </c>
      <c r="P69" s="354">
        <f t="shared" si="3"/>
        <v>0.33342022940563087</v>
      </c>
    </row>
    <row r="70" spans="1:16" ht="18.95" customHeight="1">
      <c r="A70" s="349">
        <f t="shared" si="4"/>
        <v>46</v>
      </c>
      <c r="B70" s="358" t="s">
        <v>2780</v>
      </c>
      <c r="C70" s="355" t="s">
        <v>2781</v>
      </c>
      <c r="D70" s="145">
        <v>42458</v>
      </c>
      <c r="E70" s="146">
        <v>43830</v>
      </c>
      <c r="F70" s="149">
        <v>0.73396501457725949</v>
      </c>
      <c r="G70" s="355">
        <v>28466808.599999998</v>
      </c>
      <c r="H70" s="355">
        <v>7514764.0099999998</v>
      </c>
      <c r="I70" s="359">
        <v>17350.363576643398</v>
      </c>
      <c r="J70" s="353">
        <f t="shared" si="5"/>
        <v>2.3088367849682348E-3</v>
      </c>
      <c r="M70" s="74">
        <f t="shared" si="1"/>
        <v>1372</v>
      </c>
      <c r="N70" s="146">
        <v>43465</v>
      </c>
      <c r="O70" s="74">
        <f t="shared" si="2"/>
        <v>365</v>
      </c>
      <c r="P70" s="354">
        <f t="shared" si="3"/>
        <v>0.73396501457725949</v>
      </c>
    </row>
    <row r="71" spans="1:16" ht="18.95" customHeight="1">
      <c r="A71" s="349">
        <f t="shared" si="4"/>
        <v>47</v>
      </c>
      <c r="B71" s="358" t="s">
        <v>2782</v>
      </c>
      <c r="C71" s="355" t="s">
        <v>2783</v>
      </c>
      <c r="D71" s="145">
        <v>42458</v>
      </c>
      <c r="E71" s="146">
        <v>44012</v>
      </c>
      <c r="F71" s="149">
        <v>0.64800514800514797</v>
      </c>
      <c r="G71" s="355">
        <v>19864569.939999998</v>
      </c>
      <c r="H71" s="355">
        <v>20377040.710000001</v>
      </c>
      <c r="I71" s="359">
        <v>13219770.906385113</v>
      </c>
      <c r="J71" s="353">
        <f t="shared" si="5"/>
        <v>0.64875813394716975</v>
      </c>
      <c r="M71" s="74">
        <f t="shared" si="1"/>
        <v>1554</v>
      </c>
      <c r="N71" s="146">
        <v>43465</v>
      </c>
      <c r="O71" s="74">
        <f t="shared" si="2"/>
        <v>547</v>
      </c>
      <c r="P71" s="354">
        <f t="shared" si="3"/>
        <v>0.64800514800514797</v>
      </c>
    </row>
    <row r="72" spans="1:16" ht="18.95" customHeight="1">
      <c r="A72" s="349">
        <f t="shared" si="4"/>
        <v>48</v>
      </c>
      <c r="B72" s="358" t="s">
        <v>2784</v>
      </c>
      <c r="C72" s="355" t="s">
        <v>2785</v>
      </c>
      <c r="D72" s="145">
        <v>42458</v>
      </c>
      <c r="E72" s="146">
        <v>46022</v>
      </c>
      <c r="F72" s="149">
        <v>0.2825476992143659</v>
      </c>
      <c r="G72" s="355">
        <v>35870036.200000003</v>
      </c>
      <c r="H72" s="355">
        <v>16366188.84</v>
      </c>
      <c r="I72" s="359">
        <v>32055471.984838523</v>
      </c>
      <c r="J72" s="353">
        <f t="shared" si="5"/>
        <v>1.9586399923782454</v>
      </c>
      <c r="M72" s="74">
        <f t="shared" si="1"/>
        <v>3564</v>
      </c>
      <c r="N72" s="146">
        <v>43465</v>
      </c>
      <c r="O72" s="74">
        <f t="shared" si="2"/>
        <v>2557</v>
      </c>
      <c r="P72" s="354">
        <f t="shared" si="3"/>
        <v>0.2825476992143659</v>
      </c>
    </row>
    <row r="73" spans="1:16" ht="18.95" customHeight="1">
      <c r="A73" s="349">
        <f t="shared" si="4"/>
        <v>49</v>
      </c>
      <c r="B73" s="358" t="s">
        <v>2786</v>
      </c>
      <c r="C73" s="355" t="s">
        <v>2787</v>
      </c>
      <c r="D73" s="145">
        <v>42543</v>
      </c>
      <c r="E73" s="146">
        <v>43982</v>
      </c>
      <c r="F73" s="149">
        <v>0.64072272411396802</v>
      </c>
      <c r="G73" s="355">
        <v>69569801.929999992</v>
      </c>
      <c r="H73" s="355">
        <v>22850505.010000002</v>
      </c>
      <c r="I73" s="359">
        <v>4915943.7329727467</v>
      </c>
      <c r="J73" s="353">
        <f t="shared" si="5"/>
        <v>0.21513501477632097</v>
      </c>
      <c r="M73" s="74">
        <f t="shared" si="1"/>
        <v>1439</v>
      </c>
      <c r="N73" s="146">
        <v>43465</v>
      </c>
      <c r="O73" s="74">
        <f t="shared" si="2"/>
        <v>517</v>
      </c>
      <c r="P73" s="354">
        <f t="shared" si="3"/>
        <v>0.64072272411396802</v>
      </c>
    </row>
    <row r="74" spans="1:16" ht="18.95" customHeight="1">
      <c r="A74" s="349">
        <f t="shared" si="4"/>
        <v>50</v>
      </c>
      <c r="B74" s="358" t="s">
        <v>2788</v>
      </c>
      <c r="C74" s="355" t="s">
        <v>2789</v>
      </c>
      <c r="D74" s="145">
        <v>42543</v>
      </c>
      <c r="E74" s="146">
        <v>43830</v>
      </c>
      <c r="F74" s="149">
        <v>0.71639471639471641</v>
      </c>
      <c r="G74" s="355">
        <v>114666966.84</v>
      </c>
      <c r="H74" s="355">
        <v>97554185.799999997</v>
      </c>
      <c r="I74" s="359">
        <v>127613705.3562693</v>
      </c>
      <c r="J74" s="353">
        <f t="shared" si="5"/>
        <v>1.3081315200343695</v>
      </c>
      <c r="M74" s="74">
        <f t="shared" si="1"/>
        <v>1287</v>
      </c>
      <c r="N74" s="146">
        <v>43465</v>
      </c>
      <c r="O74" s="74">
        <f t="shared" si="2"/>
        <v>365</v>
      </c>
      <c r="P74" s="354">
        <f t="shared" si="3"/>
        <v>0.71639471639471641</v>
      </c>
    </row>
    <row r="75" spans="1:16" ht="18.95" customHeight="1">
      <c r="A75" s="349">
        <f t="shared" si="4"/>
        <v>51</v>
      </c>
      <c r="B75" s="358" t="s">
        <v>2790</v>
      </c>
      <c r="C75" s="355" t="s">
        <v>2791</v>
      </c>
      <c r="D75" s="145">
        <v>42543</v>
      </c>
      <c r="E75" s="146">
        <v>43830</v>
      </c>
      <c r="F75" s="149">
        <v>0.71639471639471641</v>
      </c>
      <c r="G75" s="355">
        <v>39271680.980000004</v>
      </c>
      <c r="H75" s="355">
        <v>24795138.43</v>
      </c>
      <c r="I75" s="359">
        <v>33426505.813691333</v>
      </c>
      <c r="J75" s="353">
        <f t="shared" si="5"/>
        <v>1.3481072472355353</v>
      </c>
      <c r="M75" s="74">
        <f t="shared" si="1"/>
        <v>1287</v>
      </c>
      <c r="N75" s="146">
        <v>43465</v>
      </c>
      <c r="O75" s="74">
        <f t="shared" si="2"/>
        <v>365</v>
      </c>
      <c r="P75" s="354">
        <f t="shared" si="3"/>
        <v>0.71639471639471641</v>
      </c>
    </row>
    <row r="76" spans="1:16" ht="18.95" customHeight="1">
      <c r="A76" s="349">
        <f t="shared" si="4"/>
        <v>52</v>
      </c>
      <c r="B76" s="358" t="s">
        <v>2792</v>
      </c>
      <c r="C76" s="355" t="s">
        <v>2793</v>
      </c>
      <c r="D76" s="145">
        <v>42558</v>
      </c>
      <c r="E76" s="146">
        <v>43830</v>
      </c>
      <c r="F76" s="149">
        <v>0.71305031446540879</v>
      </c>
      <c r="G76" s="355">
        <v>752000.02</v>
      </c>
      <c r="H76" s="355">
        <v>7840929.4500000002</v>
      </c>
      <c r="I76" s="359">
        <v>5742447.7599999998</v>
      </c>
      <c r="J76" s="353">
        <f t="shared" si="5"/>
        <v>0.73236824749137353</v>
      </c>
      <c r="M76" s="74">
        <f t="shared" si="1"/>
        <v>1272</v>
      </c>
      <c r="N76" s="146">
        <v>43465</v>
      </c>
      <c r="O76" s="74">
        <f t="shared" si="2"/>
        <v>365</v>
      </c>
      <c r="P76" s="354">
        <f t="shared" si="3"/>
        <v>0.71305031446540879</v>
      </c>
    </row>
    <row r="77" spans="1:16" ht="18.95" customHeight="1">
      <c r="A77" s="349">
        <f t="shared" si="4"/>
        <v>53</v>
      </c>
      <c r="B77" s="358" t="s">
        <v>2794</v>
      </c>
      <c r="C77" s="355" t="s">
        <v>2795</v>
      </c>
      <c r="D77" s="145">
        <v>42558</v>
      </c>
      <c r="E77" s="146">
        <v>44377</v>
      </c>
      <c r="F77" s="149">
        <v>0.49862561847168774</v>
      </c>
      <c r="G77" s="355">
        <v>1133000</v>
      </c>
      <c r="H77" s="355">
        <v>36354569.850000001</v>
      </c>
      <c r="I77" s="359">
        <v>25118092.397285584</v>
      </c>
      <c r="J77" s="353">
        <f t="shared" si="5"/>
        <v>0.69091980735636682</v>
      </c>
      <c r="M77" s="74">
        <f t="shared" si="1"/>
        <v>1819</v>
      </c>
      <c r="N77" s="146">
        <v>43465</v>
      </c>
      <c r="O77" s="74">
        <f t="shared" si="2"/>
        <v>912</v>
      </c>
      <c r="P77" s="354">
        <f t="shared" si="3"/>
        <v>0.49862561847168774</v>
      </c>
    </row>
    <row r="78" spans="1:16" ht="18.95" customHeight="1">
      <c r="A78" s="349">
        <f t="shared" si="4"/>
        <v>54</v>
      </c>
      <c r="B78" s="358" t="s">
        <v>2796</v>
      </c>
      <c r="C78" s="355" t="s">
        <v>2797</v>
      </c>
      <c r="D78" s="145">
        <v>42916</v>
      </c>
      <c r="E78" s="146">
        <v>43830</v>
      </c>
      <c r="F78" s="149">
        <v>0.60065645514223198</v>
      </c>
      <c r="G78" s="355">
        <v>3600000</v>
      </c>
      <c r="H78" s="355">
        <v>3732959.5700000003</v>
      </c>
      <c r="I78" s="359">
        <v>2212924.36</v>
      </c>
      <c r="J78" s="353">
        <f t="shared" si="5"/>
        <v>0.59280694540176859</v>
      </c>
      <c r="M78" s="74">
        <f t="shared" si="1"/>
        <v>914</v>
      </c>
      <c r="N78" s="146">
        <v>43465</v>
      </c>
      <c r="O78" s="74">
        <f t="shared" si="2"/>
        <v>365</v>
      </c>
      <c r="P78" s="354">
        <f t="shared" si="3"/>
        <v>0.60065645514223198</v>
      </c>
    </row>
    <row r="79" spans="1:16" ht="18.95" customHeight="1">
      <c r="A79" s="349">
        <f t="shared" si="4"/>
        <v>55</v>
      </c>
      <c r="B79" s="358" t="s">
        <v>2798</v>
      </c>
      <c r="C79" s="355" t="s">
        <v>2799</v>
      </c>
      <c r="D79" s="145">
        <v>43207</v>
      </c>
      <c r="E79" s="146">
        <v>43646</v>
      </c>
      <c r="F79" s="149">
        <v>0.58769931662870156</v>
      </c>
      <c r="G79" s="355">
        <v>5875000</v>
      </c>
      <c r="H79" s="355">
        <v>5875000</v>
      </c>
      <c r="I79" s="359">
        <v>2125000</v>
      </c>
      <c r="J79" s="353">
        <f t="shared" si="5"/>
        <v>0.36170212765957449</v>
      </c>
      <c r="M79" s="74">
        <f t="shared" si="1"/>
        <v>439</v>
      </c>
      <c r="N79" s="146">
        <v>43465</v>
      </c>
      <c r="O79" s="74">
        <f t="shared" si="2"/>
        <v>181</v>
      </c>
      <c r="P79" s="354">
        <f t="shared" si="3"/>
        <v>0.58769931662870156</v>
      </c>
    </row>
    <row r="80" spans="1:16" ht="18.95" customHeight="1">
      <c r="A80" s="349">
        <f t="shared" si="4"/>
        <v>56</v>
      </c>
      <c r="B80" s="358" t="s">
        <v>2800</v>
      </c>
      <c r="C80" s="355" t="s">
        <v>2801</v>
      </c>
      <c r="D80" s="145">
        <v>43220</v>
      </c>
      <c r="E80" s="146">
        <v>43343</v>
      </c>
      <c r="F80" s="149">
        <v>1.9918699186991871</v>
      </c>
      <c r="G80" s="355">
        <v>367148.65</v>
      </c>
      <c r="H80" s="355">
        <v>367148.65</v>
      </c>
      <c r="I80" s="359">
        <v>69.925696671300003</v>
      </c>
      <c r="J80" s="353">
        <f t="shared" si="5"/>
        <v>1.9045609093564691E-4</v>
      </c>
      <c r="M80" s="74">
        <f t="shared" si="1"/>
        <v>123</v>
      </c>
      <c r="N80" s="146">
        <v>43465</v>
      </c>
      <c r="O80" s="74">
        <f t="shared" si="2"/>
        <v>-122</v>
      </c>
      <c r="P80" s="354">
        <f t="shared" si="3"/>
        <v>1.9918699186991871</v>
      </c>
    </row>
    <row r="81" spans="1:16" ht="18.95" customHeight="1">
      <c r="A81" s="349">
        <f t="shared" si="4"/>
        <v>57</v>
      </c>
      <c r="B81" s="358" t="s">
        <v>2802</v>
      </c>
      <c r="C81" s="355" t="s">
        <v>2803</v>
      </c>
      <c r="D81" s="145">
        <v>42940</v>
      </c>
      <c r="E81" s="146">
        <v>43830</v>
      </c>
      <c r="F81" s="149">
        <v>0.5898876404494382</v>
      </c>
      <c r="G81" s="355">
        <v>17358000</v>
      </c>
      <c r="H81" s="355">
        <v>17358000</v>
      </c>
      <c r="I81" s="359">
        <v>6009970.7700000005</v>
      </c>
      <c r="J81" s="353">
        <f t="shared" si="5"/>
        <v>0.34623636190805396</v>
      </c>
      <c r="M81" s="74">
        <f t="shared" si="1"/>
        <v>890</v>
      </c>
      <c r="N81" s="146">
        <v>43465</v>
      </c>
      <c r="O81" s="74">
        <f t="shared" si="2"/>
        <v>365</v>
      </c>
      <c r="P81" s="354">
        <f t="shared" si="3"/>
        <v>0.5898876404494382</v>
      </c>
    </row>
    <row r="82" spans="1:16" ht="18.95" customHeight="1">
      <c r="A82" s="349">
        <f t="shared" si="4"/>
        <v>58</v>
      </c>
      <c r="B82" s="358" t="s">
        <v>2383</v>
      </c>
      <c r="C82" s="355" t="s">
        <v>2384</v>
      </c>
      <c r="D82" s="145">
        <v>43282</v>
      </c>
      <c r="E82" s="146">
        <v>43646</v>
      </c>
      <c r="F82" s="149">
        <v>0.50274725274725274</v>
      </c>
      <c r="G82" s="355">
        <v>526092.56000000006</v>
      </c>
      <c r="H82" s="355">
        <v>854607.87</v>
      </c>
      <c r="I82" s="359">
        <v>213236.02999999997</v>
      </c>
      <c r="J82" s="353">
        <f t="shared" si="5"/>
        <v>0.24951330017590403</v>
      </c>
      <c r="M82" s="74">
        <f t="shared" si="1"/>
        <v>364</v>
      </c>
      <c r="N82" s="146">
        <v>43465</v>
      </c>
      <c r="O82" s="74">
        <f t="shared" si="2"/>
        <v>181</v>
      </c>
      <c r="P82" s="354">
        <f t="shared" si="3"/>
        <v>0.50274725274725274</v>
      </c>
    </row>
    <row r="83" spans="1:16" ht="18.95" customHeight="1">
      <c r="A83" s="349">
        <f t="shared" si="4"/>
        <v>59</v>
      </c>
      <c r="B83" s="358" t="s">
        <v>2354</v>
      </c>
      <c r="C83" s="355" t="s">
        <v>2355</v>
      </c>
      <c r="D83" s="145">
        <v>42767</v>
      </c>
      <c r="E83" s="146">
        <v>43921</v>
      </c>
      <c r="F83" s="149">
        <v>0.6048526863084922</v>
      </c>
      <c r="G83" s="355">
        <v>11388000</v>
      </c>
      <c r="H83" s="355">
        <v>9368878.0199999996</v>
      </c>
      <c r="I83" s="359">
        <v>4629059.0299999993</v>
      </c>
      <c r="J83" s="353">
        <f t="shared" si="5"/>
        <v>0.49408894214635102</v>
      </c>
      <c r="M83" s="74">
        <f t="shared" si="1"/>
        <v>1154</v>
      </c>
      <c r="N83" s="146">
        <v>43465</v>
      </c>
      <c r="O83" s="74">
        <f t="shared" si="2"/>
        <v>456</v>
      </c>
      <c r="P83" s="354">
        <f t="shared" si="3"/>
        <v>0.6048526863084922</v>
      </c>
    </row>
    <row r="84" spans="1:16" ht="18.95" customHeight="1">
      <c r="A84" s="349">
        <f t="shared" si="4"/>
        <v>60</v>
      </c>
      <c r="B84" s="358" t="s">
        <v>2804</v>
      </c>
      <c r="C84" s="355" t="s">
        <v>2805</v>
      </c>
      <c r="D84" s="145">
        <v>43101</v>
      </c>
      <c r="E84" s="146">
        <v>43404</v>
      </c>
      <c r="F84" s="149">
        <v>1.2013201320132014</v>
      </c>
      <c r="G84" s="355">
        <v>608238.64</v>
      </c>
      <c r="H84" s="355">
        <v>432477.03</v>
      </c>
      <c r="I84" s="359">
        <v>-5.8207660913467407E-11</v>
      </c>
      <c r="J84" s="353">
        <f t="shared" si="5"/>
        <v>-1.3459133520563485E-16</v>
      </c>
      <c r="M84" s="74">
        <f t="shared" si="1"/>
        <v>303</v>
      </c>
      <c r="N84" s="146">
        <v>43465</v>
      </c>
      <c r="O84" s="74">
        <f t="shared" si="2"/>
        <v>-61</v>
      </c>
      <c r="P84" s="354">
        <f t="shared" si="3"/>
        <v>1.2013201320132014</v>
      </c>
    </row>
    <row r="85" spans="1:16" ht="18.95" customHeight="1">
      <c r="A85" s="349">
        <f t="shared" si="4"/>
        <v>61</v>
      </c>
      <c r="B85" s="358" t="s">
        <v>2806</v>
      </c>
      <c r="C85" s="355" t="s">
        <v>2807</v>
      </c>
      <c r="D85" s="145">
        <v>43374</v>
      </c>
      <c r="E85" s="146">
        <v>43677</v>
      </c>
      <c r="F85" s="149">
        <v>0.30033003300330036</v>
      </c>
      <c r="G85" s="355">
        <v>5162572.63</v>
      </c>
      <c r="H85" s="355">
        <v>3762247.34</v>
      </c>
      <c r="I85" s="359">
        <v>156311.9</v>
      </c>
      <c r="J85" s="353">
        <f t="shared" si="5"/>
        <v>4.1547481032972171E-2</v>
      </c>
      <c r="M85" s="74">
        <f t="shared" si="1"/>
        <v>303</v>
      </c>
      <c r="N85" s="146">
        <v>43465</v>
      </c>
      <c r="O85" s="74">
        <f t="shared" si="2"/>
        <v>212</v>
      </c>
      <c r="P85" s="354">
        <f t="shared" si="3"/>
        <v>0.30033003300330036</v>
      </c>
    </row>
    <row r="86" spans="1:16" ht="18.95" customHeight="1">
      <c r="A86" s="349">
        <f t="shared" si="4"/>
        <v>62</v>
      </c>
      <c r="B86" s="358" t="s">
        <v>2808</v>
      </c>
      <c r="C86" s="355" t="s">
        <v>2809</v>
      </c>
      <c r="D86" s="145">
        <v>43040</v>
      </c>
      <c r="E86" s="146">
        <v>43830</v>
      </c>
      <c r="F86" s="149">
        <v>0.53797468354430378</v>
      </c>
      <c r="G86" s="355">
        <v>300000</v>
      </c>
      <c r="H86" s="355">
        <v>883375.55</v>
      </c>
      <c r="I86" s="359">
        <v>130561.55</v>
      </c>
      <c r="J86" s="353">
        <f t="shared" si="5"/>
        <v>0.14779846465073659</v>
      </c>
      <c r="M86" s="74">
        <f t="shared" si="1"/>
        <v>790</v>
      </c>
      <c r="N86" s="146">
        <v>43465</v>
      </c>
      <c r="O86" s="74">
        <f t="shared" si="2"/>
        <v>365</v>
      </c>
      <c r="P86" s="354">
        <f t="shared" si="3"/>
        <v>0.53797468354430378</v>
      </c>
    </row>
    <row r="87" spans="1:16" ht="18.95" customHeight="1">
      <c r="A87" s="349">
        <f t="shared" si="4"/>
        <v>63</v>
      </c>
      <c r="B87" s="358" t="s">
        <v>2810</v>
      </c>
      <c r="C87" s="355" t="s">
        <v>2811</v>
      </c>
      <c r="D87" s="145">
        <v>42736</v>
      </c>
      <c r="E87" s="146">
        <v>44012</v>
      </c>
      <c r="F87" s="149">
        <v>0.57131661442006265</v>
      </c>
      <c r="G87" s="355">
        <v>1499925.46</v>
      </c>
      <c r="H87" s="355">
        <v>5185367.03</v>
      </c>
      <c r="I87" s="359">
        <v>684074.14</v>
      </c>
      <c r="J87" s="353">
        <f t="shared" si="5"/>
        <v>0.13192395756024236</v>
      </c>
      <c r="M87" s="74">
        <f t="shared" si="1"/>
        <v>1276</v>
      </c>
      <c r="N87" s="146">
        <v>43465</v>
      </c>
      <c r="O87" s="74">
        <f t="shared" si="2"/>
        <v>547</v>
      </c>
      <c r="P87" s="354">
        <f t="shared" si="3"/>
        <v>0.57131661442006265</v>
      </c>
    </row>
    <row r="88" spans="1:16" ht="18.95" customHeight="1">
      <c r="A88" s="349">
        <f t="shared" si="4"/>
        <v>64</v>
      </c>
      <c r="B88" s="358" t="s">
        <v>2812</v>
      </c>
      <c r="C88" s="355" t="s">
        <v>2813</v>
      </c>
      <c r="D88" s="145">
        <v>43191</v>
      </c>
      <c r="E88" s="146">
        <v>43434</v>
      </c>
      <c r="F88" s="149">
        <v>1.1275720164609053</v>
      </c>
      <c r="G88" s="355">
        <v>351461.39</v>
      </c>
      <c r="H88" s="355">
        <v>503888.78</v>
      </c>
      <c r="I88" s="359">
        <v>-5.8207660913467407E-11</v>
      </c>
      <c r="J88" s="353">
        <f t="shared" si="5"/>
        <v>-1.1551688234349534E-16</v>
      </c>
      <c r="M88" s="74">
        <f t="shared" si="1"/>
        <v>243</v>
      </c>
      <c r="N88" s="146">
        <v>43465</v>
      </c>
      <c r="O88" s="74">
        <f t="shared" si="2"/>
        <v>-31</v>
      </c>
      <c r="P88" s="354">
        <f t="shared" si="3"/>
        <v>1.1275720164609053</v>
      </c>
    </row>
    <row r="89" spans="1:16" ht="18.95" customHeight="1">
      <c r="A89" s="349">
        <f t="shared" si="4"/>
        <v>65</v>
      </c>
      <c r="B89" s="358" t="s">
        <v>2814</v>
      </c>
      <c r="C89" s="355" t="s">
        <v>2815</v>
      </c>
      <c r="D89" s="145">
        <v>43191</v>
      </c>
      <c r="E89" s="146">
        <v>44196</v>
      </c>
      <c r="F89" s="149">
        <v>0.27263681592039801</v>
      </c>
      <c r="G89" s="355">
        <v>39330847.25</v>
      </c>
      <c r="H89" s="355">
        <v>21583429.91</v>
      </c>
      <c r="I89" s="359">
        <v>2980947.77</v>
      </c>
      <c r="J89" s="353">
        <f t="shared" si="5"/>
        <v>0.13811279219429679</v>
      </c>
      <c r="M89" s="74">
        <f t="shared" ref="M89:M164" si="6">E89-D89</f>
        <v>1005</v>
      </c>
      <c r="N89" s="146">
        <v>43465</v>
      </c>
      <c r="O89" s="74">
        <f t="shared" ref="O89:O164" si="7">E89-N89</f>
        <v>731</v>
      </c>
      <c r="P89" s="354">
        <f t="shared" si="3"/>
        <v>0.27263681592039801</v>
      </c>
    </row>
    <row r="90" spans="1:16" ht="18.95" customHeight="1">
      <c r="A90" s="349">
        <f t="shared" si="4"/>
        <v>66</v>
      </c>
      <c r="B90" s="358" t="s">
        <v>2816</v>
      </c>
      <c r="C90" s="355" t="s">
        <v>2817</v>
      </c>
      <c r="D90" s="145">
        <v>43252</v>
      </c>
      <c r="E90" s="146">
        <v>44926</v>
      </c>
      <c r="F90" s="149">
        <v>0.12724014336917563</v>
      </c>
      <c r="G90" s="355">
        <v>33225000</v>
      </c>
      <c r="H90" s="355">
        <v>32007465.530000001</v>
      </c>
      <c r="I90" s="359">
        <v>29899.8</v>
      </c>
      <c r="J90" s="353">
        <f t="shared" ref="J90:J165" si="8">I90/H90</f>
        <v>9.3415081465839502E-4</v>
      </c>
      <c r="M90" s="74">
        <f t="shared" si="6"/>
        <v>1674</v>
      </c>
      <c r="N90" s="146">
        <v>43465</v>
      </c>
      <c r="O90" s="74">
        <f t="shared" si="7"/>
        <v>1461</v>
      </c>
      <c r="P90" s="354">
        <f t="shared" ref="P90:P165" si="9">(M90-O90)/M90</f>
        <v>0.12724014336917563</v>
      </c>
    </row>
    <row r="91" spans="1:16" ht="18.95" customHeight="1">
      <c r="A91" s="349">
        <f t="shared" ref="A91:A166" si="10">A90+1</f>
        <v>67</v>
      </c>
      <c r="B91" s="358" t="s">
        <v>2818</v>
      </c>
      <c r="C91" s="355" t="s">
        <v>2819</v>
      </c>
      <c r="D91" s="145">
        <v>43009</v>
      </c>
      <c r="E91" s="146">
        <v>43951</v>
      </c>
      <c r="F91" s="149">
        <v>0.48407643312101911</v>
      </c>
      <c r="G91" s="355">
        <v>3260000</v>
      </c>
      <c r="H91" s="355">
        <v>4732898.07</v>
      </c>
      <c r="I91" s="359">
        <v>2856194.7199999997</v>
      </c>
      <c r="J91" s="353">
        <f t="shared" si="8"/>
        <v>0.60347691367035916</v>
      </c>
      <c r="M91" s="74">
        <f t="shared" si="6"/>
        <v>942</v>
      </c>
      <c r="N91" s="146">
        <v>43465</v>
      </c>
      <c r="O91" s="74">
        <f t="shared" si="7"/>
        <v>486</v>
      </c>
      <c r="P91" s="354">
        <f t="shared" si="9"/>
        <v>0.48407643312101911</v>
      </c>
    </row>
    <row r="92" spans="1:16" ht="18.95" customHeight="1">
      <c r="A92" s="349">
        <f t="shared" si="10"/>
        <v>68</v>
      </c>
      <c r="B92" s="358" t="s">
        <v>2452</v>
      </c>
      <c r="C92" s="355" t="s">
        <v>2453</v>
      </c>
      <c r="D92" s="145">
        <v>42948</v>
      </c>
      <c r="E92" s="146">
        <v>43830</v>
      </c>
      <c r="F92" s="149">
        <v>0.58616780045351469</v>
      </c>
      <c r="G92" s="355">
        <v>3959725.31</v>
      </c>
      <c r="H92" s="355">
        <v>-1014.78</v>
      </c>
      <c r="I92" s="359">
        <v>179.9800000000032</v>
      </c>
      <c r="J92" s="353">
        <f t="shared" si="8"/>
        <v>-0.17735863931098683</v>
      </c>
      <c r="M92" s="74">
        <f t="shared" si="6"/>
        <v>882</v>
      </c>
      <c r="N92" s="146">
        <v>43465</v>
      </c>
      <c r="O92" s="74">
        <f t="shared" si="7"/>
        <v>365</v>
      </c>
      <c r="P92" s="354">
        <f t="shared" si="9"/>
        <v>0.58616780045351469</v>
      </c>
    </row>
    <row r="93" spans="1:16" ht="18.95" customHeight="1">
      <c r="A93" s="349">
        <f t="shared" si="10"/>
        <v>69</v>
      </c>
      <c r="B93" s="358" t="s">
        <v>2373</v>
      </c>
      <c r="C93" s="355" t="s">
        <v>2374</v>
      </c>
      <c r="D93" s="145">
        <v>43040</v>
      </c>
      <c r="E93" s="146">
        <v>43465</v>
      </c>
      <c r="F93" s="149">
        <v>1</v>
      </c>
      <c r="G93" s="355">
        <v>246563</v>
      </c>
      <c r="H93" s="355">
        <v>216227.9</v>
      </c>
      <c r="I93" s="359">
        <v>-2.9103830456733704E-11</v>
      </c>
      <c r="J93" s="353">
        <f t="shared" si="8"/>
        <v>-1.3459794252607413E-16</v>
      </c>
      <c r="M93" s="74">
        <f t="shared" si="6"/>
        <v>425</v>
      </c>
      <c r="N93" s="146">
        <v>43465</v>
      </c>
      <c r="O93" s="74">
        <f t="shared" si="7"/>
        <v>0</v>
      </c>
      <c r="P93" s="354">
        <f t="shared" si="9"/>
        <v>1</v>
      </c>
    </row>
    <row r="94" spans="1:16" ht="18.95" customHeight="1">
      <c r="A94" s="349">
        <f t="shared" si="10"/>
        <v>70</v>
      </c>
      <c r="B94" s="358" t="s">
        <v>2391</v>
      </c>
      <c r="C94" s="355" t="s">
        <v>2392</v>
      </c>
      <c r="D94" s="145">
        <v>43101</v>
      </c>
      <c r="E94" s="146">
        <v>44196</v>
      </c>
      <c r="F94" s="149">
        <v>0.33242009132420092</v>
      </c>
      <c r="G94" s="355">
        <v>1708181.81</v>
      </c>
      <c r="H94" s="355">
        <v>2973687.1</v>
      </c>
      <c r="I94" s="359">
        <v>351650.86</v>
      </c>
      <c r="J94" s="353">
        <f t="shared" si="8"/>
        <v>0.11825415659905844</v>
      </c>
      <c r="M94" s="74">
        <f t="shared" si="6"/>
        <v>1095</v>
      </c>
      <c r="N94" s="146">
        <v>43465</v>
      </c>
      <c r="O94" s="74">
        <f t="shared" si="7"/>
        <v>731</v>
      </c>
      <c r="P94" s="354">
        <f t="shared" si="9"/>
        <v>0.33242009132420092</v>
      </c>
    </row>
    <row r="95" spans="1:16" ht="18.95" customHeight="1">
      <c r="A95" s="349">
        <f t="shared" si="10"/>
        <v>71</v>
      </c>
      <c r="B95" s="358" t="s">
        <v>2820</v>
      </c>
      <c r="C95" s="355" t="s">
        <v>2821</v>
      </c>
      <c r="D95" s="145">
        <v>43132</v>
      </c>
      <c r="E95" s="146">
        <v>43465</v>
      </c>
      <c r="F95" s="149">
        <v>1</v>
      </c>
      <c r="G95" s="355">
        <v>247298.15</v>
      </c>
      <c r="H95" s="355">
        <v>430955.54</v>
      </c>
      <c r="I95" s="359">
        <v>-5.8207660913467407E-11</v>
      </c>
      <c r="J95" s="353">
        <f t="shared" si="8"/>
        <v>-1.3506651037243287E-16</v>
      </c>
      <c r="M95" s="74">
        <f t="shared" si="6"/>
        <v>333</v>
      </c>
      <c r="N95" s="146">
        <v>43465</v>
      </c>
      <c r="O95" s="74">
        <f t="shared" si="7"/>
        <v>0</v>
      </c>
      <c r="P95" s="354">
        <f t="shared" si="9"/>
        <v>1</v>
      </c>
    </row>
    <row r="96" spans="1:16" ht="18.95" customHeight="1">
      <c r="A96" s="349">
        <f t="shared" si="10"/>
        <v>72</v>
      </c>
      <c r="B96" s="358" t="s">
        <v>2822</v>
      </c>
      <c r="C96" s="355" t="s">
        <v>2823</v>
      </c>
      <c r="D96" s="145">
        <v>43282</v>
      </c>
      <c r="E96" s="146">
        <v>44926</v>
      </c>
      <c r="F96" s="149">
        <v>0.11131386861313869</v>
      </c>
      <c r="G96" s="355">
        <v>9093001.4700000007</v>
      </c>
      <c r="H96" s="355">
        <v>11992518.560000001</v>
      </c>
      <c r="I96" s="359">
        <v>33248.699999999997</v>
      </c>
      <c r="J96" s="353">
        <f t="shared" si="8"/>
        <v>2.7724534953732019E-3</v>
      </c>
      <c r="M96" s="74">
        <f t="shared" si="6"/>
        <v>1644</v>
      </c>
      <c r="N96" s="146">
        <v>43465</v>
      </c>
      <c r="O96" s="74">
        <f t="shared" si="7"/>
        <v>1461</v>
      </c>
      <c r="P96" s="354">
        <f t="shared" si="9"/>
        <v>0.11131386861313869</v>
      </c>
    </row>
    <row r="97" spans="1:16" ht="18.95" customHeight="1">
      <c r="A97" s="349">
        <f t="shared" si="10"/>
        <v>73</v>
      </c>
      <c r="B97" s="358" t="s">
        <v>2824</v>
      </c>
      <c r="C97" s="355" t="s">
        <v>2825</v>
      </c>
      <c r="D97" s="145">
        <v>42767</v>
      </c>
      <c r="E97" s="146">
        <v>43830</v>
      </c>
      <c r="F97" s="149">
        <v>0.65663217309501409</v>
      </c>
      <c r="G97" s="355">
        <v>2173814.1399999997</v>
      </c>
      <c r="H97" s="355">
        <v>2564368.5099999998</v>
      </c>
      <c r="I97" s="359">
        <v>1593962.29</v>
      </c>
      <c r="J97" s="353">
        <f t="shared" si="8"/>
        <v>0.62158082342073373</v>
      </c>
      <c r="M97" s="74">
        <f t="shared" si="6"/>
        <v>1063</v>
      </c>
      <c r="N97" s="146">
        <v>43465</v>
      </c>
      <c r="O97" s="74">
        <f t="shared" si="7"/>
        <v>365</v>
      </c>
      <c r="P97" s="354">
        <f t="shared" si="9"/>
        <v>0.65663217309501409</v>
      </c>
    </row>
    <row r="98" spans="1:16" ht="18.95" customHeight="1">
      <c r="A98" s="349">
        <f t="shared" si="10"/>
        <v>74</v>
      </c>
      <c r="B98" s="358" t="s">
        <v>2826</v>
      </c>
      <c r="C98" s="355" t="s">
        <v>2827</v>
      </c>
      <c r="D98" s="145">
        <v>42767</v>
      </c>
      <c r="E98" s="146">
        <v>43646</v>
      </c>
      <c r="F98" s="149">
        <v>0.79408418657565416</v>
      </c>
      <c r="G98" s="355">
        <v>132639.13</v>
      </c>
      <c r="H98" s="355">
        <v>132639.13</v>
      </c>
      <c r="I98" s="359">
        <v>157658.72</v>
      </c>
      <c r="J98" s="353">
        <f t="shared" si="8"/>
        <v>1.1886290267434656</v>
      </c>
      <c r="M98" s="74">
        <f t="shared" si="6"/>
        <v>879</v>
      </c>
      <c r="N98" s="146">
        <v>43465</v>
      </c>
      <c r="O98" s="74">
        <f t="shared" si="7"/>
        <v>181</v>
      </c>
      <c r="P98" s="354">
        <f t="shared" si="9"/>
        <v>0.79408418657565416</v>
      </c>
    </row>
    <row r="99" spans="1:16" ht="18.95" customHeight="1">
      <c r="A99" s="349">
        <f t="shared" si="10"/>
        <v>75</v>
      </c>
      <c r="B99" s="358" t="s">
        <v>2828</v>
      </c>
      <c r="C99" s="355" t="s">
        <v>2829</v>
      </c>
      <c r="D99" s="145">
        <v>42767</v>
      </c>
      <c r="E99" s="146">
        <v>43677</v>
      </c>
      <c r="F99" s="149">
        <v>0.76703296703296708</v>
      </c>
      <c r="G99" s="355">
        <v>404666.23</v>
      </c>
      <c r="H99" s="355">
        <v>404666.23</v>
      </c>
      <c r="I99" s="359">
        <v>159702.68</v>
      </c>
      <c r="J99" s="353">
        <f t="shared" si="8"/>
        <v>0.39465284760727376</v>
      </c>
      <c r="M99" s="74">
        <f t="shared" si="6"/>
        <v>910</v>
      </c>
      <c r="N99" s="146">
        <v>43465</v>
      </c>
      <c r="O99" s="74">
        <f t="shared" si="7"/>
        <v>212</v>
      </c>
      <c r="P99" s="354">
        <f t="shared" si="9"/>
        <v>0.76703296703296708</v>
      </c>
    </row>
    <row r="100" spans="1:16" ht="18.95" customHeight="1">
      <c r="A100" s="349">
        <f t="shared" si="10"/>
        <v>76</v>
      </c>
      <c r="B100" s="358" t="s">
        <v>2830</v>
      </c>
      <c r="C100" s="355" t="s">
        <v>2831</v>
      </c>
      <c r="D100" s="145">
        <v>42826</v>
      </c>
      <c r="E100" s="146">
        <v>43830</v>
      </c>
      <c r="F100" s="149">
        <v>0.63645418326693226</v>
      </c>
      <c r="G100" s="355">
        <v>298768.87</v>
      </c>
      <c r="H100" s="355">
        <v>290523.48</v>
      </c>
      <c r="I100" s="359">
        <v>117461.78</v>
      </c>
      <c r="J100" s="353">
        <f t="shared" si="8"/>
        <v>0.40431079787423724</v>
      </c>
      <c r="M100" s="74">
        <f t="shared" si="6"/>
        <v>1004</v>
      </c>
      <c r="N100" s="146">
        <v>43465</v>
      </c>
      <c r="O100" s="74">
        <f t="shared" si="7"/>
        <v>365</v>
      </c>
      <c r="P100" s="354">
        <f t="shared" si="9"/>
        <v>0.63645418326693226</v>
      </c>
    </row>
    <row r="101" spans="1:16" ht="18.95" customHeight="1">
      <c r="A101" s="349">
        <f t="shared" si="10"/>
        <v>77</v>
      </c>
      <c r="B101" s="358" t="s">
        <v>2832</v>
      </c>
      <c r="C101" s="355" t="s">
        <v>2833</v>
      </c>
      <c r="D101" s="145">
        <v>42887</v>
      </c>
      <c r="E101" s="146">
        <v>43555</v>
      </c>
      <c r="F101" s="149">
        <v>0.8652694610778443</v>
      </c>
      <c r="G101" s="355">
        <v>503610.03</v>
      </c>
      <c r="H101" s="355">
        <v>477283.87</v>
      </c>
      <c r="I101" s="359">
        <v>3696.4399999999996</v>
      </c>
      <c r="J101" s="353">
        <f t="shared" si="8"/>
        <v>7.7447410908732355E-3</v>
      </c>
      <c r="M101" s="74">
        <f t="shared" si="6"/>
        <v>668</v>
      </c>
      <c r="N101" s="146">
        <v>43465</v>
      </c>
      <c r="O101" s="74">
        <f t="shared" si="7"/>
        <v>90</v>
      </c>
      <c r="P101" s="354">
        <f t="shared" si="9"/>
        <v>0.8652694610778443</v>
      </c>
    </row>
    <row r="102" spans="1:16" ht="18.95" customHeight="1">
      <c r="A102" s="349">
        <f t="shared" si="10"/>
        <v>78</v>
      </c>
      <c r="B102" s="358" t="s">
        <v>2834</v>
      </c>
      <c r="C102" s="355" t="s">
        <v>2835</v>
      </c>
      <c r="D102" s="145">
        <v>43101</v>
      </c>
      <c r="E102" s="146">
        <v>44196</v>
      </c>
      <c r="F102" s="149">
        <v>0.33242009132420092</v>
      </c>
      <c r="G102" s="355">
        <v>10000295.18</v>
      </c>
      <c r="H102" s="355">
        <v>9428163.5499999989</v>
      </c>
      <c r="I102" s="359">
        <v>98820.28</v>
      </c>
      <c r="J102" s="353">
        <f t="shared" si="8"/>
        <v>1.0481392211317761E-2</v>
      </c>
      <c r="M102" s="74">
        <f t="shared" si="6"/>
        <v>1095</v>
      </c>
      <c r="N102" s="146">
        <v>43465</v>
      </c>
      <c r="O102" s="74">
        <f t="shared" si="7"/>
        <v>731</v>
      </c>
      <c r="P102" s="354">
        <f t="shared" si="9"/>
        <v>0.33242009132420092</v>
      </c>
    </row>
    <row r="103" spans="1:16" ht="18.95" customHeight="1">
      <c r="A103" s="349">
        <f t="shared" si="10"/>
        <v>79</v>
      </c>
      <c r="B103" s="358" t="s">
        <v>2836</v>
      </c>
      <c r="C103" s="355" t="s">
        <v>2837</v>
      </c>
      <c r="D103" s="145">
        <v>42856</v>
      </c>
      <c r="E103" s="146">
        <v>43465</v>
      </c>
      <c r="F103" s="149">
        <v>1</v>
      </c>
      <c r="G103" s="355">
        <v>195928.06</v>
      </c>
      <c r="H103" s="355">
        <v>195928.06</v>
      </c>
      <c r="I103" s="359">
        <v>-2.9103830456733704E-11</v>
      </c>
      <c r="J103" s="353">
        <f t="shared" si="8"/>
        <v>-1.4854345241173575E-16</v>
      </c>
      <c r="M103" s="74">
        <f t="shared" si="6"/>
        <v>609</v>
      </c>
      <c r="N103" s="146">
        <v>43465</v>
      </c>
      <c r="O103" s="74">
        <f t="shared" si="7"/>
        <v>0</v>
      </c>
      <c r="P103" s="354">
        <f t="shared" si="9"/>
        <v>1</v>
      </c>
    </row>
    <row r="104" spans="1:16" ht="18.95" customHeight="1">
      <c r="A104" s="349">
        <f t="shared" si="10"/>
        <v>80</v>
      </c>
      <c r="B104" s="358" t="s">
        <v>2838</v>
      </c>
      <c r="C104" s="355" t="s">
        <v>2839</v>
      </c>
      <c r="D104" s="145">
        <v>42948</v>
      </c>
      <c r="E104" s="146">
        <v>43830</v>
      </c>
      <c r="F104" s="149">
        <v>0.58616780045351469</v>
      </c>
      <c r="G104" s="355">
        <v>295251.44</v>
      </c>
      <c r="H104" s="355">
        <v>295251.44</v>
      </c>
      <c r="I104" s="359">
        <v>161815.06</v>
      </c>
      <c r="J104" s="353">
        <f t="shared" si="8"/>
        <v>0.54805849549793895</v>
      </c>
      <c r="M104" s="74">
        <f t="shared" si="6"/>
        <v>882</v>
      </c>
      <c r="N104" s="146">
        <v>43465</v>
      </c>
      <c r="O104" s="74">
        <f t="shared" si="7"/>
        <v>365</v>
      </c>
      <c r="P104" s="354">
        <f t="shared" si="9"/>
        <v>0.58616780045351469</v>
      </c>
    </row>
    <row r="105" spans="1:16" ht="18.95" customHeight="1">
      <c r="A105" s="349">
        <f t="shared" si="10"/>
        <v>81</v>
      </c>
      <c r="B105" s="358" t="s">
        <v>2840</v>
      </c>
      <c r="C105" s="355" t="s">
        <v>2841</v>
      </c>
      <c r="D105" s="145">
        <v>43252</v>
      </c>
      <c r="E105" s="146">
        <v>43889</v>
      </c>
      <c r="F105" s="149">
        <v>0.33437990580847726</v>
      </c>
      <c r="G105" s="355">
        <v>4713336.78</v>
      </c>
      <c r="H105" s="355">
        <v>4713336.78</v>
      </c>
      <c r="I105" s="359">
        <v>447129.89</v>
      </c>
      <c r="J105" s="353">
        <f t="shared" si="8"/>
        <v>9.4864829497713077E-2</v>
      </c>
      <c r="M105" s="74">
        <f t="shared" si="6"/>
        <v>637</v>
      </c>
      <c r="N105" s="146">
        <v>43465</v>
      </c>
      <c r="O105" s="74">
        <f t="shared" si="7"/>
        <v>424</v>
      </c>
      <c r="P105" s="354">
        <f t="shared" si="9"/>
        <v>0.33437990580847726</v>
      </c>
    </row>
    <row r="106" spans="1:16" ht="18.95" customHeight="1">
      <c r="A106" s="349">
        <f t="shared" si="10"/>
        <v>82</v>
      </c>
      <c r="B106" s="358" t="s">
        <v>2842</v>
      </c>
      <c r="C106" s="355" t="s">
        <v>2843</v>
      </c>
      <c r="D106" s="145">
        <v>43191</v>
      </c>
      <c r="E106" s="146">
        <v>43555</v>
      </c>
      <c r="F106" s="149">
        <v>0.75274725274725274</v>
      </c>
      <c r="G106" s="355">
        <v>2279624.62</v>
      </c>
      <c r="H106" s="355">
        <v>2279624.62</v>
      </c>
      <c r="I106" s="359">
        <v>317912.78000000003</v>
      </c>
      <c r="J106" s="353">
        <f t="shared" si="8"/>
        <v>0.13945839030287363</v>
      </c>
      <c r="M106" s="74">
        <f t="shared" si="6"/>
        <v>364</v>
      </c>
      <c r="N106" s="146">
        <v>43465</v>
      </c>
      <c r="O106" s="74">
        <f t="shared" si="7"/>
        <v>90</v>
      </c>
      <c r="P106" s="354">
        <f t="shared" si="9"/>
        <v>0.75274725274725274</v>
      </c>
    </row>
    <row r="107" spans="1:16" ht="18.95" customHeight="1">
      <c r="A107" s="349">
        <f t="shared" si="10"/>
        <v>83</v>
      </c>
      <c r="B107" s="358" t="s">
        <v>2844</v>
      </c>
      <c r="C107" s="355" t="s">
        <v>2845</v>
      </c>
      <c r="D107" s="145">
        <v>43374</v>
      </c>
      <c r="E107" s="146">
        <v>43555</v>
      </c>
      <c r="F107" s="149">
        <v>0.50276243093922657</v>
      </c>
      <c r="G107" s="355">
        <v>335760.69999999995</v>
      </c>
      <c r="H107" s="355">
        <v>335760.69999999995</v>
      </c>
      <c r="I107" s="359">
        <v>12829.099999999999</v>
      </c>
      <c r="J107" s="353">
        <f t="shared" si="8"/>
        <v>3.8209057820048624E-2</v>
      </c>
      <c r="M107" s="74">
        <f t="shared" si="6"/>
        <v>181</v>
      </c>
      <c r="N107" s="146">
        <v>43465</v>
      </c>
      <c r="O107" s="74">
        <f t="shared" si="7"/>
        <v>90</v>
      </c>
      <c r="P107" s="354">
        <f t="shared" si="9"/>
        <v>0.50276243093922657</v>
      </c>
    </row>
    <row r="108" spans="1:16" ht="18.95" customHeight="1">
      <c r="A108" s="349">
        <f t="shared" si="10"/>
        <v>84</v>
      </c>
      <c r="B108" s="358" t="s">
        <v>2846</v>
      </c>
      <c r="C108" s="355" t="s">
        <v>2847</v>
      </c>
      <c r="D108" s="145">
        <v>43221</v>
      </c>
      <c r="E108" s="146">
        <v>44196</v>
      </c>
      <c r="F108" s="149">
        <v>0.25025641025641027</v>
      </c>
      <c r="G108" s="355">
        <v>1672535.26</v>
      </c>
      <c r="H108" s="355">
        <v>1672535.26</v>
      </c>
      <c r="I108" s="359">
        <v>230650.92</v>
      </c>
      <c r="J108" s="353">
        <f t="shared" si="8"/>
        <v>0.13790496709767422</v>
      </c>
      <c r="M108" s="74">
        <f t="shared" si="6"/>
        <v>975</v>
      </c>
      <c r="N108" s="146">
        <v>43465</v>
      </c>
      <c r="O108" s="74">
        <f t="shared" si="7"/>
        <v>731</v>
      </c>
      <c r="P108" s="354">
        <f t="shared" si="9"/>
        <v>0.25025641025641027</v>
      </c>
    </row>
    <row r="109" spans="1:16" ht="18.95" customHeight="1">
      <c r="A109" s="349">
        <f t="shared" si="10"/>
        <v>85</v>
      </c>
      <c r="B109" s="358" t="s">
        <v>2848</v>
      </c>
      <c r="C109" s="355" t="s">
        <v>2849</v>
      </c>
      <c r="D109" s="145">
        <v>43252</v>
      </c>
      <c r="E109" s="146">
        <v>43830</v>
      </c>
      <c r="F109" s="149">
        <v>0.36851211072664358</v>
      </c>
      <c r="G109" s="355">
        <v>14944.439999999999</v>
      </c>
      <c r="H109" s="355">
        <v>14944.439999999999</v>
      </c>
      <c r="I109" s="359">
        <v>9787.74</v>
      </c>
      <c r="J109" s="353">
        <f t="shared" si="8"/>
        <v>0.65494190481543646</v>
      </c>
      <c r="M109" s="74">
        <f t="shared" si="6"/>
        <v>578</v>
      </c>
      <c r="N109" s="146">
        <v>43465</v>
      </c>
      <c r="O109" s="74">
        <f t="shared" si="7"/>
        <v>365</v>
      </c>
      <c r="P109" s="354">
        <f t="shared" si="9"/>
        <v>0.36851211072664358</v>
      </c>
    </row>
    <row r="110" spans="1:16" ht="18.95" customHeight="1">
      <c r="A110" s="349">
        <f t="shared" si="10"/>
        <v>86</v>
      </c>
      <c r="B110" s="358" t="s">
        <v>2850</v>
      </c>
      <c r="C110" s="355" t="s">
        <v>2851</v>
      </c>
      <c r="D110" s="145">
        <v>43191</v>
      </c>
      <c r="E110" s="146">
        <v>43465</v>
      </c>
      <c r="F110" s="149">
        <v>1</v>
      </c>
      <c r="G110" s="355">
        <v>1800000.0000000002</v>
      </c>
      <c r="H110" s="355">
        <v>818029.42</v>
      </c>
      <c r="I110" s="359">
        <v>-1.1641532182693481E-10</v>
      </c>
      <c r="J110" s="353">
        <f t="shared" si="8"/>
        <v>-1.4231190099120739E-16</v>
      </c>
      <c r="M110" s="74">
        <f t="shared" si="6"/>
        <v>274</v>
      </c>
      <c r="N110" s="146">
        <v>43465</v>
      </c>
      <c r="O110" s="74">
        <f t="shared" si="7"/>
        <v>0</v>
      </c>
      <c r="P110" s="354">
        <f t="shared" si="9"/>
        <v>1</v>
      </c>
    </row>
    <row r="111" spans="1:16" ht="18.95" customHeight="1">
      <c r="A111" s="349">
        <f t="shared" si="10"/>
        <v>87</v>
      </c>
      <c r="B111" s="358" t="s">
        <v>2852</v>
      </c>
      <c r="C111" s="355" t="s">
        <v>2853</v>
      </c>
      <c r="D111" s="145">
        <v>43191</v>
      </c>
      <c r="E111" s="146">
        <v>43830</v>
      </c>
      <c r="F111" s="149">
        <v>0.42879499217527389</v>
      </c>
      <c r="G111" s="355">
        <v>1549999.8800000001</v>
      </c>
      <c r="H111" s="355">
        <v>8045726.2400000002</v>
      </c>
      <c r="I111" s="359">
        <v>4479462.3</v>
      </c>
      <c r="J111" s="353">
        <f t="shared" si="8"/>
        <v>0.55675052398998848</v>
      </c>
      <c r="M111" s="74">
        <f t="shared" si="6"/>
        <v>639</v>
      </c>
      <c r="N111" s="146">
        <v>43465</v>
      </c>
      <c r="O111" s="74">
        <f t="shared" si="7"/>
        <v>365</v>
      </c>
      <c r="P111" s="354">
        <f t="shared" si="9"/>
        <v>0.42879499217527389</v>
      </c>
    </row>
    <row r="112" spans="1:16" ht="18.95" customHeight="1">
      <c r="A112" s="349">
        <f t="shared" si="10"/>
        <v>88</v>
      </c>
      <c r="B112" s="358" t="s">
        <v>2854</v>
      </c>
      <c r="C112" s="355" t="s">
        <v>2855</v>
      </c>
      <c r="D112" s="145">
        <v>43374</v>
      </c>
      <c r="E112" s="146">
        <v>43769</v>
      </c>
      <c r="F112" s="149">
        <v>0.23037974683544304</v>
      </c>
      <c r="G112" s="355">
        <v>2499999.64</v>
      </c>
      <c r="H112" s="355">
        <v>1429262.93</v>
      </c>
      <c r="I112" s="359">
        <v>62787.509999999995</v>
      </c>
      <c r="J112" s="353">
        <f t="shared" si="8"/>
        <v>4.3929992643131098E-2</v>
      </c>
      <c r="M112" s="74">
        <f t="shared" si="6"/>
        <v>395</v>
      </c>
      <c r="N112" s="146">
        <v>43465</v>
      </c>
      <c r="O112" s="74">
        <f t="shared" si="7"/>
        <v>304</v>
      </c>
      <c r="P112" s="354">
        <f t="shared" si="9"/>
        <v>0.23037974683544304</v>
      </c>
    </row>
    <row r="113" spans="1:16" s="360" customFormat="1" ht="20.100000000000001" customHeight="1">
      <c r="A113" s="769" t="str">
        <f>$A$1</f>
        <v>KENTUCKY UTILITIES COMPANY</v>
      </c>
      <c r="B113" s="769"/>
      <c r="C113" s="769"/>
      <c r="D113" s="769"/>
      <c r="E113" s="769"/>
      <c r="F113" s="769"/>
      <c r="G113" s="769"/>
      <c r="H113" s="769"/>
      <c r="I113" s="769"/>
      <c r="J113" s="769"/>
    </row>
    <row r="114" spans="1:16" s="360" customFormat="1" ht="20.100000000000001" customHeight="1">
      <c r="A114" s="769" t="str">
        <f>$A$2</f>
        <v>CASE NO. 2018-00294 - RESPONSE TO PSC 2-65 (SLIPPAGE FACTOR 96.027%)</v>
      </c>
      <c r="B114" s="769"/>
      <c r="C114" s="769"/>
      <c r="D114" s="769"/>
      <c r="E114" s="769"/>
      <c r="F114" s="769"/>
      <c r="G114" s="769"/>
      <c r="H114" s="769"/>
      <c r="I114" s="769"/>
      <c r="J114" s="769"/>
    </row>
    <row r="115" spans="1:16" s="360" customFormat="1" ht="20.100000000000001" customHeight="1">
      <c r="A115" s="769" t="s">
        <v>1219</v>
      </c>
      <c r="B115" s="769"/>
      <c r="C115" s="769"/>
      <c r="D115" s="769"/>
      <c r="E115" s="769"/>
      <c r="F115" s="769"/>
      <c r="G115" s="769"/>
      <c r="H115" s="769"/>
      <c r="I115" s="769"/>
      <c r="J115" s="769"/>
    </row>
    <row r="116" spans="1:16" s="360" customFormat="1" ht="20.100000000000001" customHeight="1">
      <c r="A116" s="769" t="str">
        <f>$A$4</f>
        <v>AS OF DECEMBER 31, 2018</v>
      </c>
      <c r="B116" s="769"/>
      <c r="C116" s="769"/>
      <c r="D116" s="769"/>
      <c r="E116" s="769"/>
      <c r="F116" s="769"/>
      <c r="G116" s="769"/>
      <c r="H116" s="769"/>
      <c r="I116" s="769"/>
      <c r="J116" s="769"/>
    </row>
    <row r="117" spans="1:16" s="360" customFormat="1" ht="20.100000000000001" customHeight="1">
      <c r="A117" s="347"/>
      <c r="B117" s="347"/>
      <c r="C117" s="347"/>
      <c r="D117" s="347"/>
      <c r="E117" s="347"/>
      <c r="F117" s="347"/>
      <c r="G117" s="347"/>
      <c r="H117" s="347"/>
      <c r="I117" s="347"/>
      <c r="J117" s="347"/>
    </row>
    <row r="118" spans="1:16" s="360" customFormat="1" ht="20.100000000000001" customHeight="1">
      <c r="A118" s="67" t="str">
        <f>$A$6</f>
        <v>DATA:__X__BASE  PERIOD____FORECASTED  PERIOD</v>
      </c>
      <c r="B118" s="348"/>
      <c r="C118" s="68"/>
      <c r="D118" s="144"/>
      <c r="E118" s="144"/>
      <c r="F118" s="68"/>
      <c r="G118" s="74"/>
      <c r="H118" s="74"/>
      <c r="I118" s="74"/>
      <c r="J118" s="74" t="s">
        <v>1714</v>
      </c>
    </row>
    <row r="119" spans="1:16" s="360" customFormat="1" ht="20.100000000000001" customHeight="1">
      <c r="A119" s="67" t="str">
        <f>$A$7</f>
        <v>TYPE OF FILING: __X__ ORIGINAL  _____ UPDATED  _____ REVISED</v>
      </c>
      <c r="B119" s="349"/>
      <c r="C119" s="68"/>
      <c r="D119" s="144"/>
      <c r="E119" s="144"/>
      <c r="F119" s="68"/>
      <c r="G119" s="74"/>
      <c r="H119" s="74"/>
      <c r="I119" s="74"/>
      <c r="J119" s="74" t="s">
        <v>3402</v>
      </c>
    </row>
    <row r="120" spans="1:16" s="360" customFormat="1" ht="20.100000000000001" customHeight="1">
      <c r="A120" s="67" t="str">
        <f>$A$8</f>
        <v>WORKPAPER REFERENCE NO(S).:</v>
      </c>
      <c r="B120" s="348"/>
      <c r="C120" s="68"/>
      <c r="D120" s="144"/>
      <c r="E120" s="144"/>
      <c r="F120" s="67"/>
      <c r="G120" s="75"/>
      <c r="H120" s="75"/>
      <c r="I120" s="75"/>
      <c r="J120" s="75" t="str">
        <f>$J$8</f>
        <v>WITNESS:   C. M. GARRETT</v>
      </c>
    </row>
    <row r="121" spans="1:16" s="360" customFormat="1" ht="20.100000000000001" customHeight="1">
      <c r="A121" s="68"/>
      <c r="B121" s="349"/>
      <c r="C121" s="68"/>
      <c r="D121" s="144"/>
      <c r="E121" s="144"/>
      <c r="F121" s="68"/>
      <c r="G121" s="68"/>
      <c r="H121" s="68"/>
      <c r="I121" s="68"/>
      <c r="J121" s="68"/>
    </row>
    <row r="122" spans="1:16" s="360" customFormat="1" ht="65.099999999999994" customHeight="1">
      <c r="A122" s="76" t="s">
        <v>131</v>
      </c>
      <c r="B122" s="76" t="s">
        <v>1222</v>
      </c>
      <c r="C122" s="76" t="s">
        <v>1223</v>
      </c>
      <c r="D122" s="142" t="s">
        <v>1225</v>
      </c>
      <c r="E122" s="142" t="s">
        <v>1226</v>
      </c>
      <c r="F122" s="76" t="s">
        <v>1227</v>
      </c>
      <c r="G122" s="76" t="s">
        <v>1228</v>
      </c>
      <c r="H122" s="76" t="s">
        <v>1229</v>
      </c>
      <c r="I122" s="76" t="s">
        <v>1230</v>
      </c>
      <c r="J122" s="76" t="s">
        <v>1231</v>
      </c>
      <c r="M122" s="361" t="s">
        <v>1239</v>
      </c>
      <c r="N122" s="361" t="s">
        <v>1240</v>
      </c>
      <c r="O122" s="361" t="s">
        <v>1241</v>
      </c>
      <c r="P122" s="361" t="s">
        <v>1227</v>
      </c>
    </row>
    <row r="123" spans="1:16" s="360" customFormat="1" ht="23.1" customHeight="1">
      <c r="A123" s="80" t="s">
        <v>1220</v>
      </c>
      <c r="B123" s="80" t="s">
        <v>1221</v>
      </c>
      <c r="C123" s="80" t="s">
        <v>1224</v>
      </c>
      <c r="D123" s="356" t="s">
        <v>1232</v>
      </c>
      <c r="E123" s="356" t="s">
        <v>1233</v>
      </c>
      <c r="F123" s="357" t="s">
        <v>1234</v>
      </c>
      <c r="G123" s="357" t="s">
        <v>1235</v>
      </c>
      <c r="H123" s="357" t="s">
        <v>1236</v>
      </c>
      <c r="I123" s="357" t="s">
        <v>1237</v>
      </c>
      <c r="J123" s="357" t="s">
        <v>1238</v>
      </c>
    </row>
    <row r="124" spans="1:16" s="360" customFormat="1" ht="18.95" customHeight="1">
      <c r="A124" s="73"/>
      <c r="B124" s="73"/>
      <c r="C124" s="73"/>
      <c r="D124" s="362"/>
      <c r="E124" s="362"/>
      <c r="F124" s="363"/>
      <c r="G124" s="363"/>
      <c r="H124" s="363"/>
      <c r="I124" s="363"/>
      <c r="J124" s="363"/>
    </row>
    <row r="125" spans="1:16" ht="18.95" customHeight="1">
      <c r="A125" s="349">
        <f>A112+1</f>
        <v>89</v>
      </c>
      <c r="B125" s="358" t="s">
        <v>2856</v>
      </c>
      <c r="C125" s="355" t="s">
        <v>2857</v>
      </c>
      <c r="D125" s="145">
        <v>43374</v>
      </c>
      <c r="E125" s="146">
        <v>43830</v>
      </c>
      <c r="F125" s="149">
        <v>0.19956140350877194</v>
      </c>
      <c r="G125" s="355">
        <v>3499999.7600000002</v>
      </c>
      <c r="H125" s="355">
        <v>1132760.3400000001</v>
      </c>
      <c r="I125" s="359">
        <v>87703.18</v>
      </c>
      <c r="J125" s="353">
        <f t="shared" si="8"/>
        <v>7.7424303184908463E-2</v>
      </c>
      <c r="M125" s="74">
        <f t="shared" si="6"/>
        <v>456</v>
      </c>
      <c r="N125" s="146">
        <v>43465</v>
      </c>
      <c r="O125" s="74">
        <f t="shared" si="7"/>
        <v>365</v>
      </c>
      <c r="P125" s="354">
        <f t="shared" si="9"/>
        <v>0.19956140350877194</v>
      </c>
    </row>
    <row r="126" spans="1:16" ht="18.95" customHeight="1">
      <c r="A126" s="349">
        <f t="shared" si="10"/>
        <v>90</v>
      </c>
      <c r="B126" s="358" t="s">
        <v>2858</v>
      </c>
      <c r="C126" s="355" t="s">
        <v>2859</v>
      </c>
      <c r="D126" s="145">
        <v>43374</v>
      </c>
      <c r="E126" s="146">
        <v>43708</v>
      </c>
      <c r="F126" s="149">
        <v>0.27245508982035926</v>
      </c>
      <c r="G126" s="355">
        <v>1999999.9100000001</v>
      </c>
      <c r="H126" s="355">
        <v>1394999.4500000002</v>
      </c>
      <c r="I126" s="359">
        <v>49831.37</v>
      </c>
      <c r="J126" s="353">
        <f t="shared" si="8"/>
        <v>3.5721426270096376E-2</v>
      </c>
      <c r="M126" s="74">
        <f t="shared" si="6"/>
        <v>334</v>
      </c>
      <c r="N126" s="146">
        <v>43465</v>
      </c>
      <c r="O126" s="74">
        <f t="shared" si="7"/>
        <v>243</v>
      </c>
      <c r="P126" s="354">
        <f t="shared" si="9"/>
        <v>0.27245508982035926</v>
      </c>
    </row>
    <row r="127" spans="1:16" ht="18.95" customHeight="1">
      <c r="A127" s="349">
        <f t="shared" si="10"/>
        <v>91</v>
      </c>
      <c r="B127" s="358" t="s">
        <v>2860</v>
      </c>
      <c r="C127" s="355" t="s">
        <v>2861</v>
      </c>
      <c r="D127" s="145">
        <v>43374</v>
      </c>
      <c r="E127" s="146">
        <v>43555</v>
      </c>
      <c r="F127" s="149">
        <v>0.50276243093922657</v>
      </c>
      <c r="G127" s="355">
        <v>750000.00000000012</v>
      </c>
      <c r="H127" s="355">
        <v>255243.07</v>
      </c>
      <c r="I127" s="359">
        <v>18935.89</v>
      </c>
      <c r="J127" s="353">
        <f t="shared" si="8"/>
        <v>7.4187675301037551E-2</v>
      </c>
      <c r="M127" s="74">
        <f t="shared" si="6"/>
        <v>181</v>
      </c>
      <c r="N127" s="146">
        <v>43465</v>
      </c>
      <c r="O127" s="74">
        <f t="shared" si="7"/>
        <v>90</v>
      </c>
      <c r="P127" s="354">
        <f t="shared" si="9"/>
        <v>0.50276243093922657</v>
      </c>
    </row>
    <row r="128" spans="1:16" ht="18.95" customHeight="1">
      <c r="A128" s="349">
        <f t="shared" si="10"/>
        <v>92</v>
      </c>
      <c r="B128" s="358" t="s">
        <v>2862</v>
      </c>
      <c r="C128" s="355" t="s">
        <v>2863</v>
      </c>
      <c r="D128" s="145">
        <v>43374</v>
      </c>
      <c r="E128" s="146">
        <v>43799</v>
      </c>
      <c r="F128" s="149">
        <v>0.21411764705882352</v>
      </c>
      <c r="G128" s="355">
        <v>999999.93999999983</v>
      </c>
      <c r="H128" s="355">
        <v>2162962.39</v>
      </c>
      <c r="I128" s="359">
        <v>24915.699999999997</v>
      </c>
      <c r="J128" s="353">
        <f t="shared" si="8"/>
        <v>1.1519247914430909E-2</v>
      </c>
      <c r="M128" s="74">
        <f t="shared" si="6"/>
        <v>425</v>
      </c>
      <c r="N128" s="146">
        <v>43465</v>
      </c>
      <c r="O128" s="74">
        <f t="shared" si="7"/>
        <v>334</v>
      </c>
      <c r="P128" s="354">
        <f t="shared" si="9"/>
        <v>0.21411764705882352</v>
      </c>
    </row>
    <row r="129" spans="1:16" ht="18.95" customHeight="1">
      <c r="A129" s="349">
        <f t="shared" si="10"/>
        <v>93</v>
      </c>
      <c r="B129" s="358" t="s">
        <v>2864</v>
      </c>
      <c r="C129" s="355" t="s">
        <v>2865</v>
      </c>
      <c r="D129" s="145">
        <v>43374</v>
      </c>
      <c r="E129" s="146">
        <v>43585</v>
      </c>
      <c r="F129" s="149">
        <v>0.43127962085308058</v>
      </c>
      <c r="G129" s="355">
        <v>999999.94</v>
      </c>
      <c r="H129" s="355">
        <v>234809.19</v>
      </c>
      <c r="I129" s="359">
        <v>24915.699999999997</v>
      </c>
      <c r="J129" s="353">
        <f t="shared" si="8"/>
        <v>0.10611041245872871</v>
      </c>
      <c r="M129" s="74">
        <f t="shared" si="6"/>
        <v>211</v>
      </c>
      <c r="N129" s="146">
        <v>43465</v>
      </c>
      <c r="O129" s="74">
        <f t="shared" si="7"/>
        <v>120</v>
      </c>
      <c r="P129" s="354">
        <f t="shared" si="9"/>
        <v>0.43127962085308058</v>
      </c>
    </row>
    <row r="130" spans="1:16" ht="18.95" customHeight="1">
      <c r="A130" s="349">
        <f t="shared" si="10"/>
        <v>94</v>
      </c>
      <c r="B130" s="358" t="s">
        <v>2866</v>
      </c>
      <c r="C130" s="355" t="s">
        <v>2867</v>
      </c>
      <c r="D130" s="145">
        <v>43374</v>
      </c>
      <c r="E130" s="146">
        <v>43585</v>
      </c>
      <c r="F130" s="149">
        <v>0.43127962085308058</v>
      </c>
      <c r="G130" s="355">
        <v>999999.94000000006</v>
      </c>
      <c r="H130" s="355">
        <v>325358.38</v>
      </c>
      <c r="I130" s="359">
        <v>24915.699999999997</v>
      </c>
      <c r="J130" s="353">
        <f t="shared" si="8"/>
        <v>7.6579247782091853E-2</v>
      </c>
      <c r="M130" s="74">
        <f t="shared" si="6"/>
        <v>211</v>
      </c>
      <c r="N130" s="146">
        <v>43465</v>
      </c>
      <c r="O130" s="74">
        <f t="shared" si="7"/>
        <v>120</v>
      </c>
      <c r="P130" s="354">
        <f t="shared" si="9"/>
        <v>0.43127962085308058</v>
      </c>
    </row>
    <row r="131" spans="1:16" ht="18.95" customHeight="1">
      <c r="A131" s="349">
        <f t="shared" si="10"/>
        <v>95</v>
      </c>
      <c r="B131" s="358" t="s">
        <v>2868</v>
      </c>
      <c r="C131" s="355" t="s">
        <v>2869</v>
      </c>
      <c r="D131" s="145">
        <v>43101</v>
      </c>
      <c r="E131" s="146">
        <v>43830</v>
      </c>
      <c r="F131" s="149">
        <v>0.4993141289437586</v>
      </c>
      <c r="G131" s="355">
        <v>1268000.04</v>
      </c>
      <c r="H131" s="355">
        <v>1916553.27</v>
      </c>
      <c r="I131" s="359">
        <v>514843.46</v>
      </c>
      <c r="J131" s="353">
        <f t="shared" si="8"/>
        <v>0.26862987220803941</v>
      </c>
      <c r="M131" s="74">
        <f t="shared" si="6"/>
        <v>729</v>
      </c>
      <c r="N131" s="146">
        <v>43465</v>
      </c>
      <c r="O131" s="74">
        <f t="shared" si="7"/>
        <v>365</v>
      </c>
      <c r="P131" s="354">
        <f t="shared" si="9"/>
        <v>0.4993141289437586</v>
      </c>
    </row>
    <row r="132" spans="1:16" ht="18.95" customHeight="1">
      <c r="A132" s="349">
        <f t="shared" si="10"/>
        <v>96</v>
      </c>
      <c r="B132" s="358" t="s">
        <v>2870</v>
      </c>
      <c r="C132" s="355" t="s">
        <v>2871</v>
      </c>
      <c r="D132" s="145">
        <v>43039</v>
      </c>
      <c r="E132" s="146">
        <v>44196</v>
      </c>
      <c r="F132" s="149">
        <v>0.36819360414866031</v>
      </c>
      <c r="G132" s="355">
        <v>150000</v>
      </c>
      <c r="H132" s="355">
        <v>285090.21000000002</v>
      </c>
      <c r="I132" s="359">
        <v>11305.21</v>
      </c>
      <c r="J132" s="353">
        <f t="shared" si="8"/>
        <v>3.965485170465867E-2</v>
      </c>
      <c r="M132" s="74">
        <f t="shared" si="6"/>
        <v>1157</v>
      </c>
      <c r="N132" s="146">
        <v>43465</v>
      </c>
      <c r="O132" s="74">
        <f t="shared" si="7"/>
        <v>731</v>
      </c>
      <c r="P132" s="354">
        <f t="shared" si="9"/>
        <v>0.36819360414866031</v>
      </c>
    </row>
    <row r="133" spans="1:16" ht="18.95" customHeight="1">
      <c r="A133" s="349">
        <f t="shared" si="10"/>
        <v>97</v>
      </c>
      <c r="B133" s="358" t="s">
        <v>2872</v>
      </c>
      <c r="C133" s="355" t="s">
        <v>2873</v>
      </c>
      <c r="D133" s="145">
        <v>43101</v>
      </c>
      <c r="E133" s="146">
        <v>43830</v>
      </c>
      <c r="F133" s="149">
        <v>0.4993141289437586</v>
      </c>
      <c r="G133" s="355">
        <v>600000</v>
      </c>
      <c r="H133" s="355">
        <v>669304.76</v>
      </c>
      <c r="I133" s="359">
        <v>372886.46</v>
      </c>
      <c r="J133" s="353">
        <f t="shared" si="8"/>
        <v>0.55712506810798723</v>
      </c>
      <c r="M133" s="74">
        <f t="shared" si="6"/>
        <v>729</v>
      </c>
      <c r="N133" s="146">
        <v>43465</v>
      </c>
      <c r="O133" s="74">
        <f t="shared" si="7"/>
        <v>365</v>
      </c>
      <c r="P133" s="354">
        <f t="shared" si="9"/>
        <v>0.4993141289437586</v>
      </c>
    </row>
    <row r="134" spans="1:16" ht="18.95" customHeight="1">
      <c r="A134" s="349">
        <f t="shared" si="10"/>
        <v>98</v>
      </c>
      <c r="B134" s="358" t="s">
        <v>2874</v>
      </c>
      <c r="C134" s="355" t="s">
        <v>2875</v>
      </c>
      <c r="D134" s="145">
        <v>43101</v>
      </c>
      <c r="E134" s="146">
        <v>43830</v>
      </c>
      <c r="F134" s="149">
        <v>0.4993141289437586</v>
      </c>
      <c r="G134" s="355">
        <v>250000.08000000002</v>
      </c>
      <c r="H134" s="355">
        <v>277580.34000000003</v>
      </c>
      <c r="I134" s="359">
        <v>77580.299999999988</v>
      </c>
      <c r="J134" s="353">
        <f t="shared" si="8"/>
        <v>0.27948773317303371</v>
      </c>
      <c r="M134" s="74">
        <f t="shared" si="6"/>
        <v>729</v>
      </c>
      <c r="N134" s="146">
        <v>43465</v>
      </c>
      <c r="O134" s="74">
        <f t="shared" si="7"/>
        <v>365</v>
      </c>
      <c r="P134" s="354">
        <f t="shared" si="9"/>
        <v>0.4993141289437586</v>
      </c>
    </row>
    <row r="135" spans="1:16" ht="18.95" customHeight="1">
      <c r="A135" s="349">
        <f t="shared" si="10"/>
        <v>99</v>
      </c>
      <c r="B135" s="358" t="s">
        <v>2876</v>
      </c>
      <c r="C135" s="355" t="s">
        <v>2877</v>
      </c>
      <c r="D135" s="145">
        <v>42948</v>
      </c>
      <c r="E135" s="146">
        <v>43830</v>
      </c>
      <c r="F135" s="149">
        <v>0.58616780045351469</v>
      </c>
      <c r="G135" s="355">
        <v>3202777.2</v>
      </c>
      <c r="H135" s="355">
        <v>2212286.9500000002</v>
      </c>
      <c r="I135" s="359">
        <v>924057.13000000012</v>
      </c>
      <c r="J135" s="353">
        <f t="shared" si="8"/>
        <v>0.41769316136860096</v>
      </c>
      <c r="M135" s="74">
        <f t="shared" si="6"/>
        <v>882</v>
      </c>
      <c r="N135" s="146">
        <v>43465</v>
      </c>
      <c r="O135" s="74">
        <f t="shared" si="7"/>
        <v>365</v>
      </c>
      <c r="P135" s="354">
        <f t="shared" si="9"/>
        <v>0.58616780045351469</v>
      </c>
    </row>
    <row r="136" spans="1:16" ht="18.95" customHeight="1">
      <c r="A136" s="349">
        <f t="shared" si="10"/>
        <v>100</v>
      </c>
      <c r="B136" s="358" t="s">
        <v>2878</v>
      </c>
      <c r="C136" s="355" t="s">
        <v>2879</v>
      </c>
      <c r="D136" s="145">
        <v>43040</v>
      </c>
      <c r="E136" s="146">
        <v>44561</v>
      </c>
      <c r="F136" s="149">
        <v>0.27942143326758712</v>
      </c>
      <c r="G136" s="355">
        <v>2322000</v>
      </c>
      <c r="H136" s="355">
        <v>2011.77</v>
      </c>
      <c r="I136" s="359">
        <v>5176.3700000000008</v>
      </c>
      <c r="J136" s="353">
        <f t="shared" si="8"/>
        <v>2.573042644039826</v>
      </c>
      <c r="M136" s="74">
        <f t="shared" si="6"/>
        <v>1521</v>
      </c>
      <c r="N136" s="146">
        <v>43465</v>
      </c>
      <c r="O136" s="74">
        <f t="shared" si="7"/>
        <v>1096</v>
      </c>
      <c r="P136" s="354">
        <f t="shared" si="9"/>
        <v>0.27942143326758712</v>
      </c>
    </row>
    <row r="137" spans="1:16" ht="18.95" customHeight="1">
      <c r="A137" s="349">
        <f t="shared" si="10"/>
        <v>101</v>
      </c>
      <c r="B137" s="358" t="s">
        <v>2880</v>
      </c>
      <c r="C137" s="355" t="s">
        <v>2881</v>
      </c>
      <c r="D137" s="145">
        <v>43101</v>
      </c>
      <c r="E137" s="146">
        <v>43830</v>
      </c>
      <c r="F137" s="149">
        <v>0.4993141289437586</v>
      </c>
      <c r="G137" s="355">
        <v>120000</v>
      </c>
      <c r="H137" s="355">
        <v>372995.54000000004</v>
      </c>
      <c r="I137" s="359">
        <v>362175.83999999997</v>
      </c>
      <c r="J137" s="353">
        <f t="shared" si="8"/>
        <v>0.97099241454736951</v>
      </c>
      <c r="M137" s="74">
        <f t="shared" si="6"/>
        <v>729</v>
      </c>
      <c r="N137" s="146">
        <v>43465</v>
      </c>
      <c r="O137" s="74">
        <f t="shared" si="7"/>
        <v>365</v>
      </c>
      <c r="P137" s="354">
        <f t="shared" si="9"/>
        <v>0.4993141289437586</v>
      </c>
    </row>
    <row r="138" spans="1:16" ht="18.95" customHeight="1">
      <c r="A138" s="349">
        <f t="shared" si="10"/>
        <v>102</v>
      </c>
      <c r="B138" s="358" t="s">
        <v>2882</v>
      </c>
      <c r="C138" s="355" t="s">
        <v>2883</v>
      </c>
      <c r="D138" s="145">
        <v>43101</v>
      </c>
      <c r="E138" s="146">
        <v>44196</v>
      </c>
      <c r="F138" s="149">
        <v>0.33242009132420092</v>
      </c>
      <c r="G138" s="355">
        <v>2639999.7000000002</v>
      </c>
      <c r="H138" s="355">
        <v>3219557.1799999997</v>
      </c>
      <c r="I138" s="359">
        <v>250000.00000000003</v>
      </c>
      <c r="J138" s="353">
        <f t="shared" si="8"/>
        <v>7.765043017499694E-2</v>
      </c>
      <c r="M138" s="74">
        <f t="shared" si="6"/>
        <v>1095</v>
      </c>
      <c r="N138" s="146">
        <v>43465</v>
      </c>
      <c r="O138" s="74">
        <f t="shared" si="7"/>
        <v>731</v>
      </c>
      <c r="P138" s="354">
        <f t="shared" si="9"/>
        <v>0.33242009132420092</v>
      </c>
    </row>
    <row r="139" spans="1:16" ht="18.95" customHeight="1">
      <c r="A139" s="349">
        <f t="shared" si="10"/>
        <v>103</v>
      </c>
      <c r="B139" s="358" t="s">
        <v>2884</v>
      </c>
      <c r="C139" s="355" t="s">
        <v>2885</v>
      </c>
      <c r="D139" s="145">
        <v>43101</v>
      </c>
      <c r="E139" s="146">
        <v>43830</v>
      </c>
      <c r="F139" s="149">
        <v>0.4993141289437586</v>
      </c>
      <c r="G139" s="355">
        <v>210000</v>
      </c>
      <c r="H139" s="355">
        <v>202878.23</v>
      </c>
      <c r="I139" s="359">
        <v>198934.13</v>
      </c>
      <c r="J139" s="353">
        <f t="shared" si="8"/>
        <v>0.98055927439824364</v>
      </c>
      <c r="M139" s="74">
        <f t="shared" si="6"/>
        <v>729</v>
      </c>
      <c r="N139" s="146">
        <v>43465</v>
      </c>
      <c r="O139" s="74">
        <f t="shared" si="7"/>
        <v>365</v>
      </c>
      <c r="P139" s="354">
        <f t="shared" si="9"/>
        <v>0.4993141289437586</v>
      </c>
    </row>
    <row r="140" spans="1:16" ht="18.95" customHeight="1">
      <c r="A140" s="349">
        <f t="shared" si="10"/>
        <v>104</v>
      </c>
      <c r="B140" s="358" t="s">
        <v>2886</v>
      </c>
      <c r="C140" s="355" t="s">
        <v>2887</v>
      </c>
      <c r="D140" s="145">
        <v>42736</v>
      </c>
      <c r="E140" s="146">
        <v>43830</v>
      </c>
      <c r="F140" s="149">
        <v>0.6663619744058501</v>
      </c>
      <c r="G140" s="355">
        <v>837500.00000000012</v>
      </c>
      <c r="H140" s="355">
        <v>767371.04</v>
      </c>
      <c r="I140" s="359">
        <v>464225.34000000008</v>
      </c>
      <c r="J140" s="353">
        <f t="shared" si="8"/>
        <v>0.60495551148242455</v>
      </c>
      <c r="M140" s="74">
        <f t="shared" si="6"/>
        <v>1094</v>
      </c>
      <c r="N140" s="146">
        <v>43465</v>
      </c>
      <c r="O140" s="74">
        <f t="shared" si="7"/>
        <v>365</v>
      </c>
      <c r="P140" s="354">
        <f t="shared" si="9"/>
        <v>0.6663619744058501</v>
      </c>
    </row>
    <row r="141" spans="1:16" ht="18.95" customHeight="1">
      <c r="A141" s="349">
        <f t="shared" si="10"/>
        <v>105</v>
      </c>
      <c r="B141" s="358" t="s">
        <v>2888</v>
      </c>
      <c r="C141" s="355" t="s">
        <v>2889</v>
      </c>
      <c r="D141" s="145">
        <v>42736</v>
      </c>
      <c r="E141" s="146">
        <v>43830</v>
      </c>
      <c r="F141" s="149">
        <v>0.6663619744058501</v>
      </c>
      <c r="G141" s="355">
        <v>537500</v>
      </c>
      <c r="H141" s="355">
        <v>585478.73</v>
      </c>
      <c r="I141" s="359">
        <v>335309.53000000003</v>
      </c>
      <c r="J141" s="353">
        <f t="shared" si="8"/>
        <v>0.57271001117324971</v>
      </c>
      <c r="M141" s="74">
        <f t="shared" si="6"/>
        <v>1094</v>
      </c>
      <c r="N141" s="146">
        <v>43465</v>
      </c>
      <c r="O141" s="74">
        <f t="shared" si="7"/>
        <v>365</v>
      </c>
      <c r="P141" s="354">
        <f t="shared" si="9"/>
        <v>0.6663619744058501</v>
      </c>
    </row>
    <row r="142" spans="1:16" ht="18.95" customHeight="1">
      <c r="A142" s="349">
        <f t="shared" si="10"/>
        <v>106</v>
      </c>
      <c r="B142" s="358" t="s">
        <v>2890</v>
      </c>
      <c r="C142" s="355" t="s">
        <v>2891</v>
      </c>
      <c r="D142" s="145">
        <v>43101</v>
      </c>
      <c r="E142" s="146">
        <v>43830</v>
      </c>
      <c r="F142" s="149">
        <v>0.4993141289437586</v>
      </c>
      <c r="G142" s="355">
        <v>49999.999999999985</v>
      </c>
      <c r="H142" s="355">
        <v>261703.21</v>
      </c>
      <c r="I142" s="359">
        <v>-2.9103830456733704E-11</v>
      </c>
      <c r="J142" s="353">
        <f t="shared" si="8"/>
        <v>-1.1120929871946814E-16</v>
      </c>
      <c r="M142" s="74">
        <f t="shared" si="6"/>
        <v>729</v>
      </c>
      <c r="N142" s="146">
        <v>43465</v>
      </c>
      <c r="O142" s="74">
        <f t="shared" si="7"/>
        <v>365</v>
      </c>
      <c r="P142" s="354">
        <f t="shared" si="9"/>
        <v>0.4993141289437586</v>
      </c>
    </row>
    <row r="143" spans="1:16" ht="18.95" customHeight="1">
      <c r="A143" s="349">
        <f t="shared" si="10"/>
        <v>107</v>
      </c>
      <c r="B143" s="358" t="s">
        <v>2892</v>
      </c>
      <c r="C143" s="355" t="s">
        <v>2893</v>
      </c>
      <c r="D143" s="145">
        <v>43101</v>
      </c>
      <c r="E143" s="146">
        <v>43769</v>
      </c>
      <c r="F143" s="149">
        <v>0.54491017964071853</v>
      </c>
      <c r="G143" s="355">
        <v>240000</v>
      </c>
      <c r="H143" s="355">
        <v>90939.57</v>
      </c>
      <c r="I143" s="359">
        <v>90939.570000000022</v>
      </c>
      <c r="J143" s="353">
        <f t="shared" si="8"/>
        <v>1.0000000000000002</v>
      </c>
      <c r="M143" s="74">
        <f t="shared" si="6"/>
        <v>668</v>
      </c>
      <c r="N143" s="146">
        <v>43465</v>
      </c>
      <c r="O143" s="74">
        <f t="shared" si="7"/>
        <v>304</v>
      </c>
      <c r="P143" s="354">
        <f t="shared" si="9"/>
        <v>0.54491017964071853</v>
      </c>
    </row>
    <row r="144" spans="1:16" ht="18.95" customHeight="1">
      <c r="A144" s="349">
        <f t="shared" si="10"/>
        <v>108</v>
      </c>
      <c r="B144" s="358" t="s">
        <v>2894</v>
      </c>
      <c r="C144" s="355" t="s">
        <v>2895</v>
      </c>
      <c r="D144" s="145">
        <v>43101</v>
      </c>
      <c r="E144" s="146">
        <v>43830</v>
      </c>
      <c r="F144" s="149">
        <v>0.4993141289437586</v>
      </c>
      <c r="G144" s="355">
        <v>1875000</v>
      </c>
      <c r="H144" s="355">
        <v>470046.17</v>
      </c>
      <c r="I144" s="359">
        <v>-5.8207660913467407E-11</v>
      </c>
      <c r="J144" s="353">
        <f t="shared" si="8"/>
        <v>-1.2383392234313367E-16</v>
      </c>
      <c r="M144" s="74">
        <f t="shared" si="6"/>
        <v>729</v>
      </c>
      <c r="N144" s="146">
        <v>43465</v>
      </c>
      <c r="O144" s="74">
        <f t="shared" si="7"/>
        <v>365</v>
      </c>
      <c r="P144" s="354">
        <f t="shared" si="9"/>
        <v>0.4993141289437586</v>
      </c>
    </row>
    <row r="145" spans="1:16" ht="18.95" customHeight="1">
      <c r="A145" s="349">
        <f t="shared" si="10"/>
        <v>109</v>
      </c>
      <c r="B145" s="358" t="s">
        <v>2896</v>
      </c>
      <c r="C145" s="355" t="s">
        <v>2897</v>
      </c>
      <c r="D145" s="145">
        <v>43009</v>
      </c>
      <c r="E145" s="146">
        <v>43830</v>
      </c>
      <c r="F145" s="149">
        <v>0.55542021924482343</v>
      </c>
      <c r="G145" s="355">
        <v>1175040</v>
      </c>
      <c r="H145" s="355">
        <v>1393059.08</v>
      </c>
      <c r="I145" s="359">
        <v>1002162.4299999999</v>
      </c>
      <c r="J145" s="353">
        <f t="shared" si="8"/>
        <v>0.71939693325856635</v>
      </c>
      <c r="M145" s="74">
        <f t="shared" si="6"/>
        <v>821</v>
      </c>
      <c r="N145" s="146">
        <v>43465</v>
      </c>
      <c r="O145" s="74">
        <f t="shared" si="7"/>
        <v>365</v>
      </c>
      <c r="P145" s="354">
        <f t="shared" si="9"/>
        <v>0.55542021924482343</v>
      </c>
    </row>
    <row r="146" spans="1:16" ht="18.95" customHeight="1">
      <c r="A146" s="349">
        <f t="shared" si="10"/>
        <v>110</v>
      </c>
      <c r="B146" s="358" t="s">
        <v>2898</v>
      </c>
      <c r="C146" s="355" t="s">
        <v>2899</v>
      </c>
      <c r="D146" s="145">
        <v>43101</v>
      </c>
      <c r="E146" s="146">
        <v>43830</v>
      </c>
      <c r="F146" s="149">
        <v>0.4993141289437586</v>
      </c>
      <c r="G146" s="355">
        <v>534618.44999999995</v>
      </c>
      <c r="H146" s="355">
        <v>534618.44999999995</v>
      </c>
      <c r="I146" s="359">
        <v>164264.07999999999</v>
      </c>
      <c r="J146" s="353">
        <f t="shared" si="8"/>
        <v>0.30725479077648743</v>
      </c>
      <c r="M146" s="74">
        <f t="shared" si="6"/>
        <v>729</v>
      </c>
      <c r="N146" s="146">
        <v>43465</v>
      </c>
      <c r="O146" s="74">
        <f t="shared" si="7"/>
        <v>365</v>
      </c>
      <c r="P146" s="354">
        <f t="shared" si="9"/>
        <v>0.4993141289437586</v>
      </c>
    </row>
    <row r="147" spans="1:16" ht="18.95" customHeight="1">
      <c r="A147" s="349">
        <f t="shared" si="10"/>
        <v>111</v>
      </c>
      <c r="B147" s="358" t="s">
        <v>2900</v>
      </c>
      <c r="C147" s="355" t="s">
        <v>2901</v>
      </c>
      <c r="D147" s="145">
        <v>43191</v>
      </c>
      <c r="E147" s="146">
        <v>43830</v>
      </c>
      <c r="F147" s="149">
        <v>0.42879499217527389</v>
      </c>
      <c r="G147" s="355">
        <v>45213.619999999995</v>
      </c>
      <c r="H147" s="355">
        <v>45213.619999999995</v>
      </c>
      <c r="I147" s="359">
        <v>9631.7999999999993</v>
      </c>
      <c r="J147" s="353">
        <f t="shared" si="8"/>
        <v>0.21302872895379757</v>
      </c>
      <c r="M147" s="74">
        <f t="shared" si="6"/>
        <v>639</v>
      </c>
      <c r="N147" s="146">
        <v>43465</v>
      </c>
      <c r="O147" s="74">
        <f t="shared" si="7"/>
        <v>365</v>
      </c>
      <c r="P147" s="354">
        <f t="shared" si="9"/>
        <v>0.42879499217527389</v>
      </c>
    </row>
    <row r="148" spans="1:16" ht="18.95" customHeight="1">
      <c r="A148" s="349">
        <f t="shared" si="10"/>
        <v>112</v>
      </c>
      <c r="B148" s="358" t="s">
        <v>2902</v>
      </c>
      <c r="C148" s="355" t="s">
        <v>2903</v>
      </c>
      <c r="D148" s="145">
        <v>42948</v>
      </c>
      <c r="E148" s="146">
        <v>43524</v>
      </c>
      <c r="F148" s="149">
        <v>0.89756944444444442</v>
      </c>
      <c r="G148" s="355">
        <v>663671.29</v>
      </c>
      <c r="H148" s="355">
        <v>663671.29</v>
      </c>
      <c r="I148" s="359">
        <v>663671.29</v>
      </c>
      <c r="J148" s="353">
        <f t="shared" si="8"/>
        <v>1</v>
      </c>
      <c r="M148" s="74">
        <f t="shared" si="6"/>
        <v>576</v>
      </c>
      <c r="N148" s="146">
        <v>43465</v>
      </c>
      <c r="O148" s="74">
        <f t="shared" si="7"/>
        <v>59</v>
      </c>
      <c r="P148" s="354">
        <f t="shared" si="9"/>
        <v>0.89756944444444442</v>
      </c>
    </row>
    <row r="149" spans="1:16" ht="18.95" customHeight="1">
      <c r="A149" s="349">
        <f t="shared" si="10"/>
        <v>113</v>
      </c>
      <c r="B149" s="358" t="s">
        <v>2342</v>
      </c>
      <c r="C149" s="355" t="s">
        <v>2343</v>
      </c>
      <c r="D149" s="145">
        <v>42250</v>
      </c>
      <c r="E149" s="146">
        <v>43677</v>
      </c>
      <c r="F149" s="149">
        <v>0.85143658023826208</v>
      </c>
      <c r="G149" s="355">
        <v>2869600.05</v>
      </c>
      <c r="H149" s="355">
        <v>4592560.5</v>
      </c>
      <c r="I149" s="359">
        <v>2312126.12</v>
      </c>
      <c r="J149" s="353">
        <f t="shared" si="8"/>
        <v>0.50345033451382948</v>
      </c>
      <c r="M149" s="74">
        <f t="shared" si="6"/>
        <v>1427</v>
      </c>
      <c r="N149" s="146">
        <v>43465</v>
      </c>
      <c r="O149" s="74">
        <f t="shared" si="7"/>
        <v>212</v>
      </c>
      <c r="P149" s="354">
        <f t="shared" si="9"/>
        <v>0.85143658023826208</v>
      </c>
    </row>
    <row r="150" spans="1:16" ht="18.95" customHeight="1">
      <c r="A150" s="349">
        <f t="shared" si="10"/>
        <v>114</v>
      </c>
      <c r="B150" s="358" t="s">
        <v>2904</v>
      </c>
      <c r="C150" s="355" t="s">
        <v>2905</v>
      </c>
      <c r="D150" s="145">
        <v>42736</v>
      </c>
      <c r="E150" s="146">
        <v>45291</v>
      </c>
      <c r="F150" s="149">
        <v>0.28532289628180041</v>
      </c>
      <c r="G150" s="355">
        <v>2500000.08</v>
      </c>
      <c r="H150" s="355">
        <v>3846492</v>
      </c>
      <c r="I150" s="359">
        <v>557492</v>
      </c>
      <c r="J150" s="353">
        <f t="shared" si="8"/>
        <v>0.14493517729921185</v>
      </c>
      <c r="M150" s="74">
        <f t="shared" si="6"/>
        <v>2555</v>
      </c>
      <c r="N150" s="146">
        <v>43465</v>
      </c>
      <c r="O150" s="74">
        <f t="shared" si="7"/>
        <v>1826</v>
      </c>
      <c r="P150" s="354">
        <f t="shared" si="9"/>
        <v>0.28532289628180041</v>
      </c>
    </row>
    <row r="151" spans="1:16" ht="18.95" customHeight="1">
      <c r="A151" s="349">
        <f t="shared" si="10"/>
        <v>115</v>
      </c>
      <c r="B151" s="358" t="s">
        <v>2906</v>
      </c>
      <c r="C151" s="355" t="s">
        <v>2907</v>
      </c>
      <c r="D151" s="145">
        <v>42705</v>
      </c>
      <c r="E151" s="146">
        <v>43830</v>
      </c>
      <c r="F151" s="149">
        <v>0.67555555555555558</v>
      </c>
      <c r="G151" s="355">
        <v>4810892.05</v>
      </c>
      <c r="H151" s="355">
        <v>6506032.4399999995</v>
      </c>
      <c r="I151" s="359">
        <v>5046748.67</v>
      </c>
      <c r="J151" s="353">
        <f t="shared" si="8"/>
        <v>0.77570296744477962</v>
      </c>
      <c r="M151" s="74">
        <f t="shared" si="6"/>
        <v>1125</v>
      </c>
      <c r="N151" s="146">
        <v>43465</v>
      </c>
      <c r="O151" s="74">
        <f t="shared" si="7"/>
        <v>365</v>
      </c>
      <c r="P151" s="354">
        <f t="shared" si="9"/>
        <v>0.67555555555555558</v>
      </c>
    </row>
    <row r="152" spans="1:16" ht="18.95" customHeight="1">
      <c r="A152" s="349">
        <f t="shared" si="10"/>
        <v>116</v>
      </c>
      <c r="B152" s="358" t="s">
        <v>2908</v>
      </c>
      <c r="C152" s="355" t="s">
        <v>2909</v>
      </c>
      <c r="D152" s="145">
        <v>43101</v>
      </c>
      <c r="E152" s="146">
        <v>43830</v>
      </c>
      <c r="F152" s="149">
        <v>0.4993141289437586</v>
      </c>
      <c r="G152" s="355">
        <v>1157999.4100000001</v>
      </c>
      <c r="H152" s="355">
        <v>851558.02</v>
      </c>
      <c r="I152" s="359">
        <v>414099.94</v>
      </c>
      <c r="J152" s="353">
        <f t="shared" si="8"/>
        <v>0.48628505665415495</v>
      </c>
      <c r="M152" s="74">
        <f t="shared" si="6"/>
        <v>729</v>
      </c>
      <c r="N152" s="146">
        <v>43465</v>
      </c>
      <c r="O152" s="74">
        <f t="shared" si="7"/>
        <v>365</v>
      </c>
      <c r="P152" s="354">
        <f t="shared" si="9"/>
        <v>0.4993141289437586</v>
      </c>
    </row>
    <row r="153" spans="1:16" ht="18.95" customHeight="1">
      <c r="A153" s="349">
        <f t="shared" si="10"/>
        <v>117</v>
      </c>
      <c r="B153" s="358" t="s">
        <v>2910</v>
      </c>
      <c r="C153" s="355" t="s">
        <v>2911</v>
      </c>
      <c r="D153" s="145">
        <v>43293</v>
      </c>
      <c r="E153" s="146">
        <v>43830</v>
      </c>
      <c r="F153" s="149">
        <v>0.32029795158286778</v>
      </c>
      <c r="G153" s="355">
        <v>20000.54</v>
      </c>
      <c r="H153" s="355">
        <v>20000.54</v>
      </c>
      <c r="I153" s="359">
        <v>20000.54</v>
      </c>
      <c r="J153" s="353">
        <f t="shared" si="8"/>
        <v>1</v>
      </c>
      <c r="M153" s="74">
        <f t="shared" si="6"/>
        <v>537</v>
      </c>
      <c r="N153" s="146">
        <v>43465</v>
      </c>
      <c r="O153" s="74">
        <f t="shared" si="7"/>
        <v>365</v>
      </c>
      <c r="P153" s="354">
        <f t="shared" si="9"/>
        <v>0.32029795158286778</v>
      </c>
    </row>
    <row r="154" spans="1:16" ht="18.95" customHeight="1">
      <c r="A154" s="349">
        <f t="shared" si="10"/>
        <v>118</v>
      </c>
      <c r="B154" s="358" t="s">
        <v>2912</v>
      </c>
      <c r="C154" s="355" t="s">
        <v>2913</v>
      </c>
      <c r="D154" s="145">
        <v>42370</v>
      </c>
      <c r="E154" s="146">
        <v>44196</v>
      </c>
      <c r="F154" s="149">
        <v>0.59967141292442494</v>
      </c>
      <c r="G154" s="355">
        <v>261250</v>
      </c>
      <c r="H154" s="355">
        <v>153414.75</v>
      </c>
      <c r="I154" s="359">
        <v>74453.94</v>
      </c>
      <c r="J154" s="353">
        <f t="shared" si="8"/>
        <v>0.48531148406525448</v>
      </c>
      <c r="M154" s="74">
        <f t="shared" si="6"/>
        <v>1826</v>
      </c>
      <c r="N154" s="146">
        <v>43465</v>
      </c>
      <c r="O154" s="74">
        <f t="shared" si="7"/>
        <v>731</v>
      </c>
      <c r="P154" s="354">
        <f t="shared" si="9"/>
        <v>0.59967141292442494</v>
      </c>
    </row>
    <row r="155" spans="1:16" ht="18.95" customHeight="1">
      <c r="A155" s="349">
        <f t="shared" si="10"/>
        <v>119</v>
      </c>
      <c r="B155" s="358" t="s">
        <v>2914</v>
      </c>
      <c r="C155" s="355" t="s">
        <v>2915</v>
      </c>
      <c r="D155" s="145">
        <v>42583</v>
      </c>
      <c r="E155" s="146">
        <v>46022</v>
      </c>
      <c r="F155" s="149">
        <v>0.25646990404187264</v>
      </c>
      <c r="G155" s="355">
        <v>2120249.84</v>
      </c>
      <c r="H155" s="355">
        <v>2120249.84</v>
      </c>
      <c r="I155" s="359">
        <v>2120249.84</v>
      </c>
      <c r="J155" s="353">
        <f t="shared" si="8"/>
        <v>1</v>
      </c>
      <c r="M155" s="74">
        <f t="shared" si="6"/>
        <v>3439</v>
      </c>
      <c r="N155" s="146">
        <v>43465</v>
      </c>
      <c r="O155" s="74">
        <f t="shared" si="7"/>
        <v>2557</v>
      </c>
      <c r="P155" s="354">
        <f t="shared" si="9"/>
        <v>0.25646990404187264</v>
      </c>
    </row>
    <row r="156" spans="1:16" ht="18.95" customHeight="1">
      <c r="A156" s="349">
        <f t="shared" si="10"/>
        <v>120</v>
      </c>
      <c r="B156" s="358" t="s">
        <v>2916</v>
      </c>
      <c r="C156" s="355" t="s">
        <v>2917</v>
      </c>
      <c r="D156" s="145">
        <v>42887</v>
      </c>
      <c r="E156" s="146">
        <v>43465</v>
      </c>
      <c r="F156" s="149">
        <v>1</v>
      </c>
      <c r="G156" s="355">
        <v>42000</v>
      </c>
      <c r="H156" s="355">
        <v>61030.49</v>
      </c>
      <c r="I156" s="359">
        <v>-1.4551915228366852E-11</v>
      </c>
      <c r="J156" s="353">
        <f t="shared" si="8"/>
        <v>-2.3843680803426045E-16</v>
      </c>
      <c r="M156" s="74">
        <f t="shared" si="6"/>
        <v>578</v>
      </c>
      <c r="N156" s="146">
        <v>43465</v>
      </c>
      <c r="O156" s="74">
        <f t="shared" si="7"/>
        <v>0</v>
      </c>
      <c r="P156" s="354">
        <f t="shared" si="9"/>
        <v>1</v>
      </c>
    </row>
    <row r="157" spans="1:16" ht="18.95" customHeight="1">
      <c r="A157" s="349">
        <f t="shared" si="10"/>
        <v>121</v>
      </c>
      <c r="B157" s="358" t="s">
        <v>2344</v>
      </c>
      <c r="C157" s="355" t="s">
        <v>2345</v>
      </c>
      <c r="D157" s="145">
        <v>42736</v>
      </c>
      <c r="E157" s="146">
        <v>44196</v>
      </c>
      <c r="F157" s="149">
        <v>0.49931506849315066</v>
      </c>
      <c r="G157" s="355">
        <v>7941117.8500000006</v>
      </c>
      <c r="H157" s="355">
        <v>5589845.5999999996</v>
      </c>
      <c r="I157" s="359">
        <v>1516336.22</v>
      </c>
      <c r="J157" s="353">
        <f t="shared" si="8"/>
        <v>0.2712662081399887</v>
      </c>
      <c r="M157" s="74">
        <f t="shared" si="6"/>
        <v>1460</v>
      </c>
      <c r="N157" s="146">
        <v>43465</v>
      </c>
      <c r="O157" s="74">
        <f t="shared" si="7"/>
        <v>731</v>
      </c>
      <c r="P157" s="354">
        <f t="shared" si="9"/>
        <v>0.49931506849315066</v>
      </c>
    </row>
    <row r="158" spans="1:16" ht="18.95" customHeight="1">
      <c r="A158" s="349">
        <f t="shared" si="10"/>
        <v>122</v>
      </c>
      <c r="B158" s="358" t="s">
        <v>2375</v>
      </c>
      <c r="C158" s="355" t="s">
        <v>2376</v>
      </c>
      <c r="D158" s="145">
        <v>43101</v>
      </c>
      <c r="E158" s="146">
        <v>43830</v>
      </c>
      <c r="F158" s="149">
        <v>0.4993141289437586</v>
      </c>
      <c r="G158" s="355">
        <v>573999.99</v>
      </c>
      <c r="H158" s="355">
        <v>307999.93</v>
      </c>
      <c r="I158" s="359">
        <v>251999.93</v>
      </c>
      <c r="J158" s="353">
        <f t="shared" si="8"/>
        <v>0.81818177685949478</v>
      </c>
      <c r="M158" s="74">
        <f t="shared" si="6"/>
        <v>729</v>
      </c>
      <c r="N158" s="146">
        <v>43465</v>
      </c>
      <c r="O158" s="74">
        <f t="shared" si="7"/>
        <v>365</v>
      </c>
      <c r="P158" s="354">
        <f t="shared" si="9"/>
        <v>0.4993141289437586</v>
      </c>
    </row>
    <row r="159" spans="1:16" ht="18.95" customHeight="1">
      <c r="A159" s="349">
        <f t="shared" si="10"/>
        <v>123</v>
      </c>
      <c r="B159" s="358" t="s">
        <v>2385</v>
      </c>
      <c r="C159" s="355" t="s">
        <v>2386</v>
      </c>
      <c r="D159" s="145">
        <v>43101</v>
      </c>
      <c r="E159" s="146">
        <v>43465</v>
      </c>
      <c r="F159" s="149">
        <v>1</v>
      </c>
      <c r="G159" s="355">
        <v>57086.89</v>
      </c>
      <c r="H159" s="355">
        <v>58209.35</v>
      </c>
      <c r="I159" s="359">
        <v>-7.2759576141834259E-12</v>
      </c>
      <c r="J159" s="353">
        <f t="shared" si="8"/>
        <v>-1.2499637281954576E-16</v>
      </c>
      <c r="M159" s="74">
        <f t="shared" si="6"/>
        <v>364</v>
      </c>
      <c r="N159" s="146">
        <v>43465</v>
      </c>
      <c r="O159" s="74">
        <f t="shared" si="7"/>
        <v>0</v>
      </c>
      <c r="P159" s="354">
        <f t="shared" si="9"/>
        <v>1</v>
      </c>
    </row>
    <row r="160" spans="1:16" ht="18.95" customHeight="1">
      <c r="A160" s="349">
        <f t="shared" si="10"/>
        <v>124</v>
      </c>
      <c r="B160" s="358" t="s">
        <v>2378</v>
      </c>
      <c r="C160" s="355" t="s">
        <v>2379</v>
      </c>
      <c r="D160" s="145">
        <v>43101</v>
      </c>
      <c r="E160" s="146">
        <v>43830</v>
      </c>
      <c r="F160" s="149">
        <v>0.4993141289437586</v>
      </c>
      <c r="G160" s="355">
        <v>223099.21</v>
      </c>
      <c r="H160" s="355">
        <v>590447.73</v>
      </c>
      <c r="I160" s="359">
        <v>350447.73</v>
      </c>
      <c r="J160" s="353">
        <f t="shared" si="8"/>
        <v>0.59352879551251725</v>
      </c>
      <c r="M160" s="74">
        <f t="shared" si="6"/>
        <v>729</v>
      </c>
      <c r="N160" s="146">
        <v>43465</v>
      </c>
      <c r="O160" s="74">
        <f t="shared" si="7"/>
        <v>365</v>
      </c>
      <c r="P160" s="354">
        <f t="shared" si="9"/>
        <v>0.4993141289437586</v>
      </c>
    </row>
    <row r="161" spans="1:16" ht="18.95" customHeight="1">
      <c r="A161" s="349">
        <f t="shared" si="10"/>
        <v>125</v>
      </c>
      <c r="B161" s="358" t="s">
        <v>2393</v>
      </c>
      <c r="C161" s="355" t="s">
        <v>2394</v>
      </c>
      <c r="D161" s="145">
        <v>43101</v>
      </c>
      <c r="E161" s="146">
        <v>43465</v>
      </c>
      <c r="F161" s="149">
        <v>1</v>
      </c>
      <c r="G161" s="355">
        <v>23000</v>
      </c>
      <c r="H161" s="355">
        <v>24471.84</v>
      </c>
      <c r="I161" s="359">
        <v>-3.637978807091713E-12</v>
      </c>
      <c r="J161" s="353">
        <f t="shared" si="8"/>
        <v>-1.4865979865395135E-16</v>
      </c>
      <c r="M161" s="74">
        <f t="shared" si="6"/>
        <v>364</v>
      </c>
      <c r="N161" s="146">
        <v>43465</v>
      </c>
      <c r="O161" s="74">
        <f t="shared" si="7"/>
        <v>0</v>
      </c>
      <c r="P161" s="354">
        <f t="shared" si="9"/>
        <v>1</v>
      </c>
    </row>
    <row r="162" spans="1:16" ht="18.95" customHeight="1">
      <c r="A162" s="349">
        <f t="shared" si="10"/>
        <v>126</v>
      </c>
      <c r="B162" s="358" t="s">
        <v>2389</v>
      </c>
      <c r="C162" s="355" t="s">
        <v>2390</v>
      </c>
      <c r="D162" s="145">
        <v>43101</v>
      </c>
      <c r="E162" s="146">
        <v>43830</v>
      </c>
      <c r="F162" s="149">
        <v>0.4993141289437586</v>
      </c>
      <c r="G162" s="355">
        <v>447999.99</v>
      </c>
      <c r="H162" s="355">
        <v>266859.56</v>
      </c>
      <c r="I162" s="359">
        <v>56860.72</v>
      </c>
      <c r="J162" s="353">
        <f t="shared" si="8"/>
        <v>0.2130735732308035</v>
      </c>
      <c r="M162" s="74">
        <f t="shared" si="6"/>
        <v>729</v>
      </c>
      <c r="N162" s="146">
        <v>43465</v>
      </c>
      <c r="O162" s="74">
        <f t="shared" si="7"/>
        <v>365</v>
      </c>
      <c r="P162" s="354">
        <f t="shared" si="9"/>
        <v>0.4993141289437586</v>
      </c>
    </row>
    <row r="163" spans="1:16" ht="18.95" customHeight="1">
      <c r="A163" s="349">
        <f t="shared" si="10"/>
        <v>127</v>
      </c>
      <c r="B163" s="358" t="s">
        <v>2364</v>
      </c>
      <c r="C163" s="355" t="s">
        <v>2365</v>
      </c>
      <c r="D163" s="145">
        <v>43101</v>
      </c>
      <c r="E163" s="146">
        <v>43465</v>
      </c>
      <c r="F163" s="149">
        <v>1</v>
      </c>
      <c r="G163" s="355">
        <v>1313322.76</v>
      </c>
      <c r="H163" s="355">
        <v>1246539.1200000001</v>
      </c>
      <c r="I163" s="359">
        <v>-2.3283064365386963E-10</v>
      </c>
      <c r="J163" s="353">
        <f t="shared" si="8"/>
        <v>-1.8678165804685664E-16</v>
      </c>
      <c r="M163" s="74">
        <f t="shared" si="6"/>
        <v>364</v>
      </c>
      <c r="N163" s="146">
        <v>43465</v>
      </c>
      <c r="O163" s="74">
        <f t="shared" si="7"/>
        <v>0</v>
      </c>
      <c r="P163" s="354">
        <f t="shared" si="9"/>
        <v>1</v>
      </c>
    </row>
    <row r="164" spans="1:16" ht="18.95" customHeight="1">
      <c r="A164" s="349">
        <f t="shared" si="10"/>
        <v>128</v>
      </c>
      <c r="B164" s="358" t="s">
        <v>2387</v>
      </c>
      <c r="C164" s="355" t="s">
        <v>2388</v>
      </c>
      <c r="D164" s="145">
        <v>43101</v>
      </c>
      <c r="E164" s="146">
        <v>43465</v>
      </c>
      <c r="F164" s="149">
        <v>1</v>
      </c>
      <c r="G164" s="355">
        <v>97999.69</v>
      </c>
      <c r="H164" s="355">
        <v>252000.24</v>
      </c>
      <c r="I164" s="359">
        <v>-2.9103830456733704E-11</v>
      </c>
      <c r="J164" s="353">
        <f t="shared" si="8"/>
        <v>-1.154912807096283E-16</v>
      </c>
      <c r="M164" s="74">
        <f t="shared" si="6"/>
        <v>364</v>
      </c>
      <c r="N164" s="146">
        <v>43465</v>
      </c>
      <c r="O164" s="74">
        <f t="shared" si="7"/>
        <v>0</v>
      </c>
      <c r="P164" s="354">
        <f t="shared" si="9"/>
        <v>1</v>
      </c>
    </row>
    <row r="165" spans="1:16" ht="18.95" customHeight="1">
      <c r="A165" s="349">
        <f t="shared" si="10"/>
        <v>129</v>
      </c>
      <c r="B165" s="358" t="s">
        <v>2918</v>
      </c>
      <c r="C165" s="355" t="s">
        <v>2919</v>
      </c>
      <c r="D165" s="145">
        <v>43101</v>
      </c>
      <c r="E165" s="146">
        <v>43830</v>
      </c>
      <c r="F165" s="149">
        <v>0.4993141289437586</v>
      </c>
      <c r="G165" s="355">
        <v>1120000.2</v>
      </c>
      <c r="H165" s="355">
        <v>1609926.2599999998</v>
      </c>
      <c r="I165" s="359">
        <v>1095820.8800000001</v>
      </c>
      <c r="J165" s="353">
        <f t="shared" si="8"/>
        <v>0.68066526227108082</v>
      </c>
      <c r="M165" s="74">
        <f t="shared" ref="M165:M182" si="11">E165-D165</f>
        <v>729</v>
      </c>
      <c r="N165" s="146">
        <v>43465</v>
      </c>
      <c r="O165" s="74">
        <f t="shared" ref="O165:O182" si="12">E165-N165</f>
        <v>365</v>
      </c>
      <c r="P165" s="354">
        <f t="shared" si="9"/>
        <v>0.4993141289437586</v>
      </c>
    </row>
    <row r="166" spans="1:16" ht="18.95" customHeight="1">
      <c r="A166" s="349">
        <f t="shared" si="10"/>
        <v>130</v>
      </c>
      <c r="B166" s="358" t="s">
        <v>2920</v>
      </c>
      <c r="C166" s="355" t="s">
        <v>2921</v>
      </c>
      <c r="D166" s="145">
        <v>43101</v>
      </c>
      <c r="E166" s="146">
        <v>43830</v>
      </c>
      <c r="F166" s="149">
        <v>0.4993141289437586</v>
      </c>
      <c r="G166" s="355">
        <v>84000</v>
      </c>
      <c r="H166" s="355">
        <v>309651.32999999996</v>
      </c>
      <c r="I166" s="359">
        <v>85651.43</v>
      </c>
      <c r="J166" s="353">
        <f t="shared" ref="J166:J182" si="13">I166/H166</f>
        <v>0.27660604590330679</v>
      </c>
      <c r="M166" s="74">
        <f t="shared" si="11"/>
        <v>729</v>
      </c>
      <c r="N166" s="146">
        <v>43465</v>
      </c>
      <c r="O166" s="74">
        <f t="shared" si="12"/>
        <v>365</v>
      </c>
      <c r="P166" s="354">
        <f t="shared" ref="P166:P182" si="14">(M166-O166)/M166</f>
        <v>0.4993141289437586</v>
      </c>
    </row>
    <row r="167" spans="1:16" ht="18.95" customHeight="1">
      <c r="A167" s="349">
        <f t="shared" ref="A167:A182" si="15">A166+1</f>
        <v>131</v>
      </c>
      <c r="B167" s="358" t="s">
        <v>2922</v>
      </c>
      <c r="C167" s="355" t="s">
        <v>2923</v>
      </c>
      <c r="D167" s="145">
        <v>43101</v>
      </c>
      <c r="E167" s="146">
        <v>43830</v>
      </c>
      <c r="F167" s="149">
        <v>0.4993141289437586</v>
      </c>
      <c r="G167" s="355">
        <v>168000</v>
      </c>
      <c r="H167" s="355">
        <v>557718.49</v>
      </c>
      <c r="I167" s="359">
        <v>333199.92</v>
      </c>
      <c r="J167" s="353">
        <f t="shared" si="13"/>
        <v>0.59743387743877741</v>
      </c>
      <c r="M167" s="74">
        <f t="shared" si="11"/>
        <v>729</v>
      </c>
      <c r="N167" s="146">
        <v>43465</v>
      </c>
      <c r="O167" s="74">
        <f t="shared" si="12"/>
        <v>365</v>
      </c>
      <c r="P167" s="354">
        <f t="shared" si="14"/>
        <v>0.4993141289437586</v>
      </c>
    </row>
    <row r="168" spans="1:16" ht="18.95" customHeight="1">
      <c r="A168" s="349">
        <f t="shared" si="15"/>
        <v>132</v>
      </c>
      <c r="B168" s="358" t="s">
        <v>2353</v>
      </c>
      <c r="C168" s="355" t="s">
        <v>2090</v>
      </c>
      <c r="D168" s="145">
        <v>42005</v>
      </c>
      <c r="E168" s="146">
        <v>45291</v>
      </c>
      <c r="F168" s="149">
        <v>0.44430919050517348</v>
      </c>
      <c r="G168" s="355">
        <v>51000</v>
      </c>
      <c r="H168" s="355">
        <v>60000</v>
      </c>
      <c r="I168" s="359">
        <v>10000</v>
      </c>
      <c r="J168" s="353">
        <f t="shared" si="13"/>
        <v>0.16666666666666666</v>
      </c>
      <c r="M168" s="74">
        <f t="shared" si="11"/>
        <v>3286</v>
      </c>
      <c r="N168" s="146">
        <v>43465</v>
      </c>
      <c r="O168" s="74">
        <f t="shared" si="12"/>
        <v>1826</v>
      </c>
      <c r="P168" s="354">
        <f t="shared" si="14"/>
        <v>0.44430919050517348</v>
      </c>
    </row>
    <row r="169" spans="1:16" s="360" customFormat="1" ht="20.100000000000001" customHeight="1">
      <c r="A169" s="769" t="str">
        <f>$A$1</f>
        <v>KENTUCKY UTILITIES COMPANY</v>
      </c>
      <c r="B169" s="769"/>
      <c r="C169" s="769"/>
      <c r="D169" s="769"/>
      <c r="E169" s="769"/>
      <c r="F169" s="769"/>
      <c r="G169" s="769"/>
      <c r="H169" s="769"/>
      <c r="I169" s="769"/>
      <c r="J169" s="769"/>
    </row>
    <row r="170" spans="1:16" s="360" customFormat="1" ht="20.100000000000001" customHeight="1">
      <c r="A170" s="769" t="str">
        <f>$A$2</f>
        <v>CASE NO. 2018-00294 - RESPONSE TO PSC 2-65 (SLIPPAGE FACTOR 96.027%)</v>
      </c>
      <c r="B170" s="769"/>
      <c r="C170" s="769"/>
      <c r="D170" s="769"/>
      <c r="E170" s="769"/>
      <c r="F170" s="769"/>
      <c r="G170" s="769"/>
      <c r="H170" s="769"/>
      <c r="I170" s="769"/>
      <c r="J170" s="769"/>
    </row>
    <row r="171" spans="1:16" s="360" customFormat="1" ht="20.100000000000001" customHeight="1">
      <c r="A171" s="769" t="s">
        <v>1219</v>
      </c>
      <c r="B171" s="769"/>
      <c r="C171" s="769"/>
      <c r="D171" s="769"/>
      <c r="E171" s="769"/>
      <c r="F171" s="769"/>
      <c r="G171" s="769"/>
      <c r="H171" s="769"/>
      <c r="I171" s="769"/>
      <c r="J171" s="769"/>
    </row>
    <row r="172" spans="1:16" s="360" customFormat="1" ht="20.100000000000001" customHeight="1">
      <c r="A172" s="769" t="str">
        <f>$A$4</f>
        <v>AS OF DECEMBER 31, 2018</v>
      </c>
      <c r="B172" s="769"/>
      <c r="C172" s="769"/>
      <c r="D172" s="769"/>
      <c r="E172" s="769"/>
      <c r="F172" s="769"/>
      <c r="G172" s="769"/>
      <c r="H172" s="769"/>
      <c r="I172" s="769"/>
      <c r="J172" s="769"/>
    </row>
    <row r="173" spans="1:16" s="360" customFormat="1" ht="20.100000000000001" customHeight="1">
      <c r="A173" s="347"/>
      <c r="B173" s="347"/>
      <c r="C173" s="347"/>
      <c r="D173" s="347"/>
      <c r="E173" s="347"/>
      <c r="F173" s="347"/>
      <c r="G173" s="347"/>
      <c r="H173" s="347"/>
      <c r="I173" s="347"/>
      <c r="J173" s="347"/>
    </row>
    <row r="174" spans="1:16" s="360" customFormat="1" ht="20.100000000000001" customHeight="1">
      <c r="A174" s="67" t="str">
        <f>$A$6</f>
        <v>DATA:__X__BASE  PERIOD____FORECASTED  PERIOD</v>
      </c>
      <c r="B174" s="348"/>
      <c r="C174" s="68"/>
      <c r="D174" s="144"/>
      <c r="E174" s="144"/>
      <c r="F174" s="68"/>
      <c r="G174" s="74"/>
      <c r="H174" s="74"/>
      <c r="I174" s="74"/>
      <c r="J174" s="74" t="s">
        <v>1714</v>
      </c>
    </row>
    <row r="175" spans="1:16" s="360" customFormat="1" ht="20.100000000000001" customHeight="1">
      <c r="A175" s="67" t="str">
        <f>$A$7</f>
        <v>TYPE OF FILING: __X__ ORIGINAL  _____ UPDATED  _____ REVISED</v>
      </c>
      <c r="B175" s="349"/>
      <c r="C175" s="68"/>
      <c r="D175" s="144"/>
      <c r="E175" s="144"/>
      <c r="F175" s="68"/>
      <c r="G175" s="74"/>
      <c r="H175" s="74"/>
      <c r="I175" s="74"/>
      <c r="J175" s="74" t="s">
        <v>3403</v>
      </c>
    </row>
    <row r="176" spans="1:16" s="360" customFormat="1" ht="20.100000000000001" customHeight="1">
      <c r="A176" s="67" t="str">
        <f>$A$8</f>
        <v>WORKPAPER REFERENCE NO(S).:</v>
      </c>
      <c r="B176" s="348"/>
      <c r="C176" s="68"/>
      <c r="D176" s="144"/>
      <c r="E176" s="144"/>
      <c r="F176" s="67"/>
      <c r="G176" s="75"/>
      <c r="H176" s="75"/>
      <c r="I176" s="75"/>
      <c r="J176" s="75" t="str">
        <f>$J$8</f>
        <v>WITNESS:   C. M. GARRETT</v>
      </c>
    </row>
    <row r="177" spans="1:16" s="360" customFormat="1" ht="20.100000000000001" customHeight="1">
      <c r="A177" s="68"/>
      <c r="B177" s="349"/>
      <c r="C177" s="68"/>
      <c r="D177" s="144"/>
      <c r="E177" s="144"/>
      <c r="F177" s="68"/>
      <c r="G177" s="68"/>
      <c r="H177" s="68"/>
      <c r="I177" s="68"/>
      <c r="J177" s="68"/>
    </row>
    <row r="178" spans="1:16" s="360" customFormat="1" ht="65.099999999999994" customHeight="1">
      <c r="A178" s="76" t="s">
        <v>131</v>
      </c>
      <c r="B178" s="76" t="s">
        <v>1222</v>
      </c>
      <c r="C178" s="76" t="s">
        <v>1223</v>
      </c>
      <c r="D178" s="142" t="s">
        <v>1225</v>
      </c>
      <c r="E178" s="142" t="s">
        <v>1226</v>
      </c>
      <c r="F178" s="76" t="s">
        <v>1227</v>
      </c>
      <c r="G178" s="76" t="s">
        <v>1228</v>
      </c>
      <c r="H178" s="76" t="s">
        <v>1229</v>
      </c>
      <c r="I178" s="76" t="s">
        <v>1230</v>
      </c>
      <c r="J178" s="76" t="s">
        <v>1231</v>
      </c>
      <c r="M178" s="361" t="s">
        <v>1239</v>
      </c>
      <c r="N178" s="361" t="s">
        <v>1240</v>
      </c>
      <c r="O178" s="361" t="s">
        <v>1241</v>
      </c>
      <c r="P178" s="361" t="s">
        <v>1227</v>
      </c>
    </row>
    <row r="179" spans="1:16" s="360" customFormat="1" ht="23.1" customHeight="1">
      <c r="A179" s="80" t="s">
        <v>1220</v>
      </c>
      <c r="B179" s="80" t="s">
        <v>1221</v>
      </c>
      <c r="C179" s="80" t="s">
        <v>1224</v>
      </c>
      <c r="D179" s="356" t="s">
        <v>1232</v>
      </c>
      <c r="E179" s="356" t="s">
        <v>1233</v>
      </c>
      <c r="F179" s="357" t="s">
        <v>1234</v>
      </c>
      <c r="G179" s="357" t="s">
        <v>1235</v>
      </c>
      <c r="H179" s="357" t="s">
        <v>1236</v>
      </c>
      <c r="I179" s="357" t="s">
        <v>1237</v>
      </c>
      <c r="J179" s="357" t="s">
        <v>1238</v>
      </c>
    </row>
    <row r="180" spans="1:16" s="360" customFormat="1" ht="18.95" customHeight="1">
      <c r="A180" s="73"/>
      <c r="B180" s="73"/>
      <c r="C180" s="73"/>
      <c r="D180" s="362"/>
      <c r="E180" s="362"/>
      <c r="F180" s="363"/>
      <c r="G180" s="363"/>
      <c r="H180" s="363"/>
      <c r="I180" s="363"/>
      <c r="J180" s="363"/>
    </row>
    <row r="181" spans="1:16" ht="18.95" customHeight="1">
      <c r="A181" s="349">
        <f>A168+1</f>
        <v>133</v>
      </c>
      <c r="B181" s="358" t="s">
        <v>2370</v>
      </c>
      <c r="C181" s="355" t="s">
        <v>2371</v>
      </c>
      <c r="D181" s="145">
        <v>42370</v>
      </c>
      <c r="E181" s="146">
        <v>45291</v>
      </c>
      <c r="F181" s="149">
        <v>0.37487161930845603</v>
      </c>
      <c r="G181" s="355">
        <v>69500</v>
      </c>
      <c r="H181" s="355">
        <v>1261249.73</v>
      </c>
      <c r="I181" s="359">
        <v>311249.73</v>
      </c>
      <c r="J181" s="353">
        <f t="shared" si="13"/>
        <v>0.24677882785354491</v>
      </c>
      <c r="M181" s="74">
        <f t="shared" si="11"/>
        <v>2921</v>
      </c>
      <c r="N181" s="146">
        <v>43465</v>
      </c>
      <c r="O181" s="74">
        <f t="shared" si="12"/>
        <v>1826</v>
      </c>
      <c r="P181" s="354">
        <f t="shared" si="14"/>
        <v>0.37487161930845603</v>
      </c>
    </row>
    <row r="182" spans="1:16" ht="18.95" customHeight="1">
      <c r="A182" s="349">
        <f t="shared" si="15"/>
        <v>134</v>
      </c>
      <c r="B182" s="358" t="s">
        <v>2924</v>
      </c>
      <c r="C182" s="355" t="s">
        <v>2925</v>
      </c>
      <c r="D182" s="145">
        <v>42736</v>
      </c>
      <c r="E182" s="146">
        <v>45291</v>
      </c>
      <c r="F182" s="149">
        <v>0.28532289628180041</v>
      </c>
      <c r="G182" s="355">
        <v>125000</v>
      </c>
      <c r="H182" s="355">
        <v>11935000</v>
      </c>
      <c r="I182" s="359">
        <v>1085000</v>
      </c>
      <c r="J182" s="353">
        <f t="shared" si="13"/>
        <v>9.0909090909090912E-2</v>
      </c>
      <c r="M182" s="74">
        <f t="shared" si="11"/>
        <v>2555</v>
      </c>
      <c r="N182" s="146">
        <v>43465</v>
      </c>
      <c r="O182" s="74">
        <f t="shared" si="12"/>
        <v>1826</v>
      </c>
      <c r="P182" s="354">
        <f t="shared" si="14"/>
        <v>0.28532289628180041</v>
      </c>
    </row>
  </sheetData>
  <mergeCells count="16">
    <mergeCell ref="A169:J169"/>
    <mergeCell ref="A170:J170"/>
    <mergeCell ref="A171:J171"/>
    <mergeCell ref="A172:J172"/>
    <mergeCell ref="A59:J59"/>
    <mergeCell ref="A60:J60"/>
    <mergeCell ref="A113:J113"/>
    <mergeCell ref="A114:J114"/>
    <mergeCell ref="A115:J115"/>
    <mergeCell ref="A116:J116"/>
    <mergeCell ref="A58:J58"/>
    <mergeCell ref="A1:J1"/>
    <mergeCell ref="A2:J2"/>
    <mergeCell ref="A3:J3"/>
    <mergeCell ref="A4:J4"/>
    <mergeCell ref="A57:J57"/>
  </mergeCells>
  <pageMargins left="0.95" right="0.5" top="0.75" bottom="0.75" header="0.3" footer="0.3"/>
  <pageSetup scale="57" fitToHeight="0" orientation="portrait" r:id="rId1"/>
  <rowBreaks count="3" manualBreakCount="3">
    <brk id="56" max="9" man="1"/>
    <brk id="112" max="9" man="1"/>
    <brk id="168"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0"/>
  <sheetViews>
    <sheetView zoomScaleNormal="100" workbookViewId="0">
      <selection activeCell="F20" sqref="F20"/>
    </sheetView>
  </sheetViews>
  <sheetFormatPr defaultColWidth="9" defaultRowHeight="12.75"/>
  <cols>
    <col min="1" max="1" width="6" style="68" customWidth="1"/>
    <col min="2" max="2" width="13.6640625" style="349" customWidth="1"/>
    <col min="3" max="3" width="34.33203125" style="68" customWidth="1"/>
    <col min="4" max="4" width="15.77734375" style="144" customWidth="1"/>
    <col min="5" max="5" width="14.44140625" style="144" customWidth="1"/>
    <col min="6" max="6" width="12.77734375" style="68" customWidth="1"/>
    <col min="7" max="10" width="15.77734375" style="68" customWidth="1"/>
    <col min="11" max="11" width="1.6640625" style="68" customWidth="1"/>
    <col min="12" max="14" width="9" style="68"/>
    <col min="15" max="15" width="11.109375" style="68" customWidth="1"/>
    <col min="16" max="16384" width="9" style="68"/>
  </cols>
  <sheetData>
    <row r="1" spans="1:16" ht="20.100000000000001" customHeight="1">
      <c r="A1" s="769" t="str">
        <f>'Rate Case Constants'!C9</f>
        <v>KENTUCKY UTILITIES COMPANY</v>
      </c>
      <c r="B1" s="769"/>
      <c r="C1" s="769"/>
      <c r="D1" s="769"/>
      <c r="E1" s="769"/>
      <c r="F1" s="769"/>
      <c r="G1" s="769"/>
      <c r="H1" s="769"/>
      <c r="I1" s="769"/>
      <c r="J1" s="769"/>
    </row>
    <row r="2" spans="1:16" ht="20.100000000000001" customHeight="1">
      <c r="A2" s="769" t="str">
        <f>'Rate Case Constants'!C10</f>
        <v>CASE NO. 2018-00294 - RESPONSE TO PSC 2-65 (SLIPPAGE FACTOR 96.027%)</v>
      </c>
      <c r="B2" s="769"/>
      <c r="C2" s="769"/>
      <c r="D2" s="769"/>
      <c r="E2" s="769"/>
      <c r="F2" s="769"/>
      <c r="G2" s="769"/>
      <c r="H2" s="769"/>
      <c r="I2" s="769"/>
      <c r="J2" s="769"/>
    </row>
    <row r="3" spans="1:16" ht="20.100000000000001" customHeight="1">
      <c r="A3" s="769" t="s">
        <v>1219</v>
      </c>
      <c r="B3" s="769"/>
      <c r="C3" s="769"/>
      <c r="D3" s="769"/>
      <c r="E3" s="769"/>
      <c r="F3" s="769"/>
      <c r="G3" s="769"/>
      <c r="H3" s="769"/>
      <c r="I3" s="769"/>
      <c r="J3" s="769"/>
    </row>
    <row r="4" spans="1:16" ht="20.100000000000001" customHeight="1">
      <c r="A4" s="768" t="str">
        <f>'Rate Case Constants'!C18</f>
        <v>AS OF APRIL 30, 2020</v>
      </c>
      <c r="B4" s="769"/>
      <c r="C4" s="769"/>
      <c r="D4" s="769"/>
      <c r="E4" s="769"/>
      <c r="F4" s="769"/>
      <c r="G4" s="769"/>
      <c r="H4" s="769"/>
      <c r="I4" s="769"/>
      <c r="J4" s="769"/>
    </row>
    <row r="5" spans="1:16" ht="20.100000000000001" customHeight="1">
      <c r="A5" s="347"/>
      <c r="B5" s="347"/>
      <c r="C5" s="347"/>
      <c r="D5" s="347"/>
      <c r="E5" s="347"/>
      <c r="F5" s="347"/>
      <c r="G5" s="347"/>
      <c r="H5" s="347"/>
      <c r="I5" s="347"/>
      <c r="J5" s="347"/>
    </row>
    <row r="6" spans="1:16" ht="20.100000000000001" customHeight="1">
      <c r="A6" s="67" t="s">
        <v>161</v>
      </c>
      <c r="B6" s="348"/>
      <c r="G6" s="74"/>
      <c r="H6" s="74"/>
      <c r="I6" s="74"/>
      <c r="J6" s="74" t="s">
        <v>1714</v>
      </c>
    </row>
    <row r="7" spans="1:16" ht="20.100000000000001" customHeight="1">
      <c r="A7" s="68" t="str">
        <f>'Rate Case Constants'!C29</f>
        <v>TYPE OF FILING: __X__ ORIGINAL  _____ UPDATED  _____ REVISED</v>
      </c>
      <c r="G7" s="74"/>
      <c r="H7" s="74"/>
      <c r="I7" s="74"/>
      <c r="J7" s="74" t="s">
        <v>3399</v>
      </c>
    </row>
    <row r="8" spans="1:16" ht="20.100000000000001" customHeight="1">
      <c r="A8" s="67" t="s">
        <v>1198</v>
      </c>
      <c r="B8" s="348"/>
      <c r="F8" s="67"/>
      <c r="G8" s="75"/>
      <c r="H8" s="75"/>
      <c r="I8" s="75"/>
      <c r="J8" s="75" t="str">
        <f>'Rate Case Constants'!C36</f>
        <v>WITNESS:   C. M. GARRETT</v>
      </c>
    </row>
    <row r="9" spans="1:16" ht="20.100000000000001" customHeight="1">
      <c r="G9" s="355"/>
    </row>
    <row r="10" spans="1:16" ht="65.099999999999994" customHeight="1">
      <c r="A10" s="76" t="s">
        <v>131</v>
      </c>
      <c r="B10" s="76" t="s">
        <v>1222</v>
      </c>
      <c r="C10" s="76" t="s">
        <v>1223</v>
      </c>
      <c r="D10" s="142" t="s">
        <v>1225</v>
      </c>
      <c r="E10" s="142" t="s">
        <v>1226</v>
      </c>
      <c r="F10" s="76" t="s">
        <v>1227</v>
      </c>
      <c r="G10" s="76" t="s">
        <v>1228</v>
      </c>
      <c r="H10" s="76" t="s">
        <v>1229</v>
      </c>
      <c r="I10" s="76" t="s">
        <v>1230</v>
      </c>
      <c r="J10" s="76" t="s">
        <v>1231</v>
      </c>
      <c r="M10" s="150" t="s">
        <v>1239</v>
      </c>
      <c r="N10" s="150" t="s">
        <v>1240</v>
      </c>
      <c r="O10" s="150" t="s">
        <v>1241</v>
      </c>
      <c r="P10" s="150" t="s">
        <v>1227</v>
      </c>
    </row>
    <row r="11" spans="1:16" ht="23.1" customHeight="1">
      <c r="A11" s="80" t="s">
        <v>1220</v>
      </c>
      <c r="B11" s="80" t="s">
        <v>1221</v>
      </c>
      <c r="C11" s="80" t="s">
        <v>1224</v>
      </c>
      <c r="D11" s="356" t="s">
        <v>1232</v>
      </c>
      <c r="E11" s="356" t="s">
        <v>1233</v>
      </c>
      <c r="F11" s="357" t="s">
        <v>1234</v>
      </c>
      <c r="G11" s="357" t="s">
        <v>1235</v>
      </c>
      <c r="H11" s="357" t="s">
        <v>1236</v>
      </c>
      <c r="I11" s="357" t="s">
        <v>1237</v>
      </c>
      <c r="J11" s="357" t="s">
        <v>1238</v>
      </c>
    </row>
    <row r="12" spans="1:16" ht="18.95" customHeight="1">
      <c r="A12" s="139"/>
      <c r="B12" s="140"/>
      <c r="E12" s="146"/>
    </row>
    <row r="13" spans="1:16" ht="18.95" customHeight="1">
      <c r="A13" s="349">
        <v>1</v>
      </c>
      <c r="B13" s="358" t="s">
        <v>2711</v>
      </c>
      <c r="C13" s="355" t="s">
        <v>2712</v>
      </c>
      <c r="D13" s="145">
        <v>38504</v>
      </c>
      <c r="E13" s="146">
        <v>44166</v>
      </c>
      <c r="F13" s="149">
        <v>0.96202755210173085</v>
      </c>
      <c r="G13" s="355">
        <v>16452.849999999999</v>
      </c>
      <c r="H13" s="355">
        <v>0</v>
      </c>
      <c r="I13" s="359">
        <v>63692.34</v>
      </c>
      <c r="J13" s="353">
        <f t="shared" ref="J13:J56" si="0">IFERROR(I13/H13,0)</f>
        <v>0</v>
      </c>
      <c r="M13" s="74">
        <f t="shared" ref="M13:M88" si="1">E13-D13</f>
        <v>5662</v>
      </c>
      <c r="N13" s="146">
        <v>43951</v>
      </c>
      <c r="O13" s="74">
        <f t="shared" ref="O13:O88" si="2">E13-N13</f>
        <v>215</v>
      </c>
      <c r="P13" s="354">
        <f t="shared" ref="P13:P88" si="3">(M13-O13)/M13</f>
        <v>0.96202755210173085</v>
      </c>
    </row>
    <row r="14" spans="1:16" ht="18.95" customHeight="1">
      <c r="A14" s="349">
        <f t="shared" ref="A14:A89" si="4">A13+1</f>
        <v>2</v>
      </c>
      <c r="B14" s="358" t="s">
        <v>2926</v>
      </c>
      <c r="C14" s="355" t="s">
        <v>2927</v>
      </c>
      <c r="D14" s="145">
        <v>43831</v>
      </c>
      <c r="E14" s="146">
        <v>44561</v>
      </c>
      <c r="F14" s="149">
        <v>0.16438356164383561</v>
      </c>
      <c r="G14" s="355">
        <v>1900000</v>
      </c>
      <c r="H14" s="355">
        <v>5126433.3900000006</v>
      </c>
      <c r="I14" s="359">
        <v>20484.39</v>
      </c>
      <c r="J14" s="353">
        <f t="shared" si="0"/>
        <v>3.9958365673800353E-3</v>
      </c>
      <c r="M14" s="74">
        <f t="shared" si="1"/>
        <v>730</v>
      </c>
      <c r="N14" s="146">
        <v>43951</v>
      </c>
      <c r="O14" s="74">
        <f t="shared" si="2"/>
        <v>610</v>
      </c>
      <c r="P14" s="354">
        <f t="shared" si="3"/>
        <v>0.16438356164383561</v>
      </c>
    </row>
    <row r="15" spans="1:16" ht="18.95" customHeight="1">
      <c r="A15" s="349">
        <f t="shared" si="4"/>
        <v>3</v>
      </c>
      <c r="B15" s="358" t="s">
        <v>2928</v>
      </c>
      <c r="C15" s="355" t="s">
        <v>2929</v>
      </c>
      <c r="D15" s="145">
        <v>42736</v>
      </c>
      <c r="E15" s="146">
        <v>44196</v>
      </c>
      <c r="F15" s="149">
        <v>0.8321917808219178</v>
      </c>
      <c r="G15" s="355">
        <v>456578.15</v>
      </c>
      <c r="H15" s="355">
        <v>4997491.25</v>
      </c>
      <c r="I15" s="359">
        <v>4766865.9499999993</v>
      </c>
      <c r="J15" s="353">
        <f t="shared" si="0"/>
        <v>0.95385178513319047</v>
      </c>
      <c r="M15" s="74">
        <f t="shared" si="1"/>
        <v>1460</v>
      </c>
      <c r="N15" s="146">
        <v>43951</v>
      </c>
      <c r="O15" s="74">
        <f t="shared" si="2"/>
        <v>245</v>
      </c>
      <c r="P15" s="354">
        <f t="shared" si="3"/>
        <v>0.8321917808219178</v>
      </c>
    </row>
    <row r="16" spans="1:16" ht="18.95" customHeight="1">
      <c r="A16" s="349">
        <f t="shared" si="4"/>
        <v>4</v>
      </c>
      <c r="B16" s="358" t="s">
        <v>2930</v>
      </c>
      <c r="C16" s="355" t="s">
        <v>2931</v>
      </c>
      <c r="D16" s="145">
        <v>43497</v>
      </c>
      <c r="E16" s="146">
        <v>44926</v>
      </c>
      <c r="F16" s="149">
        <v>0.31770468859342199</v>
      </c>
      <c r="G16" s="355">
        <v>1817329.9100000001</v>
      </c>
      <c r="H16" s="355">
        <v>8656464.4299999997</v>
      </c>
      <c r="I16" s="359">
        <v>7624172.4400000013</v>
      </c>
      <c r="J16" s="353">
        <f t="shared" si="0"/>
        <v>0.88074900574621795</v>
      </c>
      <c r="M16" s="74">
        <f t="shared" si="1"/>
        <v>1429</v>
      </c>
      <c r="N16" s="146">
        <v>43951</v>
      </c>
      <c r="O16" s="74">
        <f t="shared" si="2"/>
        <v>975</v>
      </c>
      <c r="P16" s="354">
        <f t="shared" si="3"/>
        <v>0.31770468859342199</v>
      </c>
    </row>
    <row r="17" spans="1:16" ht="18.95" customHeight="1">
      <c r="A17" s="349">
        <f t="shared" si="4"/>
        <v>5</v>
      </c>
      <c r="B17" s="358" t="s">
        <v>2932</v>
      </c>
      <c r="C17" s="355" t="s">
        <v>2933</v>
      </c>
      <c r="D17" s="145">
        <v>43101</v>
      </c>
      <c r="E17" s="146">
        <v>44104</v>
      </c>
      <c r="F17" s="149">
        <v>0.84745762711864403</v>
      </c>
      <c r="G17" s="355">
        <v>308097.69</v>
      </c>
      <c r="H17" s="355">
        <v>314146.2</v>
      </c>
      <c r="I17" s="359">
        <v>151299.4</v>
      </c>
      <c r="J17" s="353">
        <f t="shared" si="0"/>
        <v>0.48162097774857687</v>
      </c>
      <c r="M17" s="74">
        <f t="shared" si="1"/>
        <v>1003</v>
      </c>
      <c r="N17" s="146">
        <v>43951</v>
      </c>
      <c r="O17" s="74">
        <f t="shared" si="2"/>
        <v>153</v>
      </c>
      <c r="P17" s="354">
        <f t="shared" si="3"/>
        <v>0.84745762711864403</v>
      </c>
    </row>
    <row r="18" spans="1:16" ht="18.95" customHeight="1">
      <c r="A18" s="349">
        <f t="shared" si="4"/>
        <v>6</v>
      </c>
      <c r="B18" s="358" t="s">
        <v>2934</v>
      </c>
      <c r="C18" s="355" t="s">
        <v>2935</v>
      </c>
      <c r="D18" s="145">
        <v>43466</v>
      </c>
      <c r="E18" s="146">
        <v>44196</v>
      </c>
      <c r="F18" s="149">
        <v>0.66438356164383561</v>
      </c>
      <c r="G18" s="355">
        <v>160465</v>
      </c>
      <c r="H18" s="355">
        <v>264230.49</v>
      </c>
      <c r="I18" s="359">
        <v>264230.49</v>
      </c>
      <c r="J18" s="353">
        <f t="shared" si="0"/>
        <v>1</v>
      </c>
      <c r="M18" s="74">
        <f t="shared" si="1"/>
        <v>730</v>
      </c>
      <c r="N18" s="146">
        <v>43951</v>
      </c>
      <c r="O18" s="74">
        <f t="shared" si="2"/>
        <v>245</v>
      </c>
      <c r="P18" s="354">
        <f t="shared" si="3"/>
        <v>0.66438356164383561</v>
      </c>
    </row>
    <row r="19" spans="1:16" ht="18.95" customHeight="1">
      <c r="A19" s="349">
        <f t="shared" si="4"/>
        <v>7</v>
      </c>
      <c r="B19" s="358" t="s">
        <v>2936</v>
      </c>
      <c r="C19" s="355" t="s">
        <v>2937</v>
      </c>
      <c r="D19" s="145">
        <v>43466</v>
      </c>
      <c r="E19" s="146">
        <v>45291</v>
      </c>
      <c r="F19" s="149">
        <v>0.26575342465753427</v>
      </c>
      <c r="G19" s="355">
        <v>136766.98000000001</v>
      </c>
      <c r="H19" s="355">
        <v>717037.07</v>
      </c>
      <c r="I19" s="359">
        <v>138053.39000000001</v>
      </c>
      <c r="J19" s="353">
        <f t="shared" si="0"/>
        <v>0.19253312802921058</v>
      </c>
      <c r="M19" s="74">
        <f t="shared" si="1"/>
        <v>1825</v>
      </c>
      <c r="N19" s="146">
        <v>43951</v>
      </c>
      <c r="O19" s="74">
        <f t="shared" si="2"/>
        <v>1340</v>
      </c>
      <c r="P19" s="354">
        <f t="shared" si="3"/>
        <v>0.26575342465753427</v>
      </c>
    </row>
    <row r="20" spans="1:16" ht="18.95" customHeight="1">
      <c r="A20" s="349">
        <f t="shared" si="4"/>
        <v>8</v>
      </c>
      <c r="B20" s="358" t="s">
        <v>2938</v>
      </c>
      <c r="C20" s="355" t="s">
        <v>2939</v>
      </c>
      <c r="D20" s="145">
        <v>43466</v>
      </c>
      <c r="E20" s="146">
        <v>44196</v>
      </c>
      <c r="F20" s="149">
        <v>0.66438356164383561</v>
      </c>
      <c r="G20" s="355">
        <v>100704.96000000001</v>
      </c>
      <c r="H20" s="355">
        <v>394632.53</v>
      </c>
      <c r="I20" s="359">
        <v>198562.58000000002</v>
      </c>
      <c r="J20" s="353">
        <f t="shared" si="0"/>
        <v>0.50315816590183282</v>
      </c>
      <c r="M20" s="74">
        <f t="shared" si="1"/>
        <v>730</v>
      </c>
      <c r="N20" s="146">
        <v>43951</v>
      </c>
      <c r="O20" s="74">
        <f t="shared" si="2"/>
        <v>245</v>
      </c>
      <c r="P20" s="354">
        <f t="shared" si="3"/>
        <v>0.66438356164383561</v>
      </c>
    </row>
    <row r="21" spans="1:16" ht="18.95" customHeight="1">
      <c r="A21" s="349">
        <f t="shared" si="4"/>
        <v>9</v>
      </c>
      <c r="B21" s="358" t="s">
        <v>2940</v>
      </c>
      <c r="C21" s="355" t="s">
        <v>2941</v>
      </c>
      <c r="D21" s="145">
        <v>43101</v>
      </c>
      <c r="E21" s="146">
        <v>44196</v>
      </c>
      <c r="F21" s="149">
        <v>0.77625570776255703</v>
      </c>
      <c r="G21" s="355">
        <v>189435.87000000002</v>
      </c>
      <c r="H21" s="355">
        <v>200198.68</v>
      </c>
      <c r="I21" s="359">
        <v>129261.31000000003</v>
      </c>
      <c r="J21" s="353">
        <f t="shared" si="0"/>
        <v>0.64566514624372162</v>
      </c>
      <c r="M21" s="74">
        <f t="shared" si="1"/>
        <v>1095</v>
      </c>
      <c r="N21" s="146">
        <v>43951</v>
      </c>
      <c r="O21" s="74">
        <f t="shared" si="2"/>
        <v>245</v>
      </c>
      <c r="P21" s="354">
        <f t="shared" si="3"/>
        <v>0.77625570776255703</v>
      </c>
    </row>
    <row r="22" spans="1:16" ht="18.95" customHeight="1">
      <c r="A22" s="349">
        <f t="shared" si="4"/>
        <v>10</v>
      </c>
      <c r="B22" s="358" t="s">
        <v>2942</v>
      </c>
      <c r="C22" s="355" t="s">
        <v>2943</v>
      </c>
      <c r="D22" s="145">
        <v>43101</v>
      </c>
      <c r="E22" s="146">
        <v>45291</v>
      </c>
      <c r="F22" s="149">
        <v>0.38812785388127852</v>
      </c>
      <c r="G22" s="355">
        <v>1743646.76</v>
      </c>
      <c r="H22" s="355">
        <v>3486937.5300000003</v>
      </c>
      <c r="I22" s="359">
        <v>1197364.1299999999</v>
      </c>
      <c r="J22" s="353">
        <f t="shared" si="0"/>
        <v>0.34338559830752108</v>
      </c>
      <c r="M22" s="74">
        <f t="shared" si="1"/>
        <v>2190</v>
      </c>
      <c r="N22" s="146">
        <v>43951</v>
      </c>
      <c r="O22" s="74">
        <f t="shared" si="2"/>
        <v>1340</v>
      </c>
      <c r="P22" s="354">
        <f t="shared" si="3"/>
        <v>0.38812785388127852</v>
      </c>
    </row>
    <row r="23" spans="1:16" ht="18.95" customHeight="1">
      <c r="A23" s="349">
        <f t="shared" si="4"/>
        <v>11</v>
      </c>
      <c r="B23" s="358" t="s">
        <v>2944</v>
      </c>
      <c r="C23" s="355" t="s">
        <v>2945</v>
      </c>
      <c r="D23" s="145">
        <v>43831</v>
      </c>
      <c r="E23" s="146">
        <v>44196</v>
      </c>
      <c r="F23" s="149">
        <v>0.32876712328767121</v>
      </c>
      <c r="G23" s="355">
        <v>14902.580000000002</v>
      </c>
      <c r="H23" s="355">
        <v>32325.72</v>
      </c>
      <c r="I23" s="359">
        <v>17926.739999999998</v>
      </c>
      <c r="J23" s="353">
        <f t="shared" si="0"/>
        <v>0.55456583797669468</v>
      </c>
      <c r="M23" s="74">
        <f t="shared" si="1"/>
        <v>365</v>
      </c>
      <c r="N23" s="146">
        <v>43951</v>
      </c>
      <c r="O23" s="74">
        <f t="shared" si="2"/>
        <v>245</v>
      </c>
      <c r="P23" s="354">
        <f t="shared" si="3"/>
        <v>0.32876712328767121</v>
      </c>
    </row>
    <row r="24" spans="1:16" ht="18.95" customHeight="1">
      <c r="A24" s="349">
        <f t="shared" si="4"/>
        <v>12</v>
      </c>
      <c r="B24" s="358" t="s">
        <v>2946</v>
      </c>
      <c r="C24" s="355" t="s">
        <v>2947</v>
      </c>
      <c r="D24" s="145">
        <v>43831</v>
      </c>
      <c r="E24" s="146">
        <v>44196</v>
      </c>
      <c r="F24" s="149">
        <v>0.32876712328767121</v>
      </c>
      <c r="G24" s="355">
        <v>73375.92</v>
      </c>
      <c r="H24" s="355">
        <v>72923.320000000007</v>
      </c>
      <c r="I24" s="359">
        <v>13415.649999999998</v>
      </c>
      <c r="J24" s="353">
        <f t="shared" si="0"/>
        <v>0.18396927073534222</v>
      </c>
      <c r="M24" s="74">
        <f t="shared" si="1"/>
        <v>365</v>
      </c>
      <c r="N24" s="146">
        <v>43951</v>
      </c>
      <c r="O24" s="74">
        <f t="shared" si="2"/>
        <v>245</v>
      </c>
      <c r="P24" s="354">
        <f t="shared" si="3"/>
        <v>0.32876712328767121</v>
      </c>
    </row>
    <row r="25" spans="1:16" ht="18.95" customHeight="1">
      <c r="A25" s="349">
        <f t="shared" si="4"/>
        <v>13</v>
      </c>
      <c r="B25" s="358" t="s">
        <v>2948</v>
      </c>
      <c r="C25" s="355" t="s">
        <v>2949</v>
      </c>
      <c r="D25" s="145">
        <v>43831</v>
      </c>
      <c r="E25" s="146">
        <v>44196</v>
      </c>
      <c r="F25" s="149">
        <v>0.32876712328767121</v>
      </c>
      <c r="G25" s="355">
        <v>218914.25</v>
      </c>
      <c r="H25" s="355">
        <v>217397.43</v>
      </c>
      <c r="I25" s="359">
        <v>35110.18</v>
      </c>
      <c r="J25" s="353">
        <f t="shared" si="0"/>
        <v>0.16150227718883339</v>
      </c>
      <c r="M25" s="74">
        <f t="shared" si="1"/>
        <v>365</v>
      </c>
      <c r="N25" s="146">
        <v>43951</v>
      </c>
      <c r="O25" s="74">
        <f t="shared" si="2"/>
        <v>245</v>
      </c>
      <c r="P25" s="354">
        <f t="shared" si="3"/>
        <v>0.32876712328767121</v>
      </c>
    </row>
    <row r="26" spans="1:16" ht="18.95" customHeight="1">
      <c r="A26" s="349">
        <f t="shared" si="4"/>
        <v>14</v>
      </c>
      <c r="B26" s="358" t="s">
        <v>2950</v>
      </c>
      <c r="C26" s="355" t="s">
        <v>2951</v>
      </c>
      <c r="D26" s="145">
        <v>43831</v>
      </c>
      <c r="E26" s="146">
        <v>44196</v>
      </c>
      <c r="F26" s="149">
        <v>0.32876712328767121</v>
      </c>
      <c r="G26" s="355">
        <v>58045.960000000006</v>
      </c>
      <c r="H26" s="355">
        <v>50967.19</v>
      </c>
      <c r="I26" s="359">
        <v>50967.19</v>
      </c>
      <c r="J26" s="353">
        <f t="shared" si="0"/>
        <v>1</v>
      </c>
      <c r="M26" s="74">
        <f t="shared" si="1"/>
        <v>365</v>
      </c>
      <c r="N26" s="146">
        <v>43951</v>
      </c>
      <c r="O26" s="74">
        <f t="shared" si="2"/>
        <v>245</v>
      </c>
      <c r="P26" s="354">
        <f t="shared" si="3"/>
        <v>0.32876712328767121</v>
      </c>
    </row>
    <row r="27" spans="1:16" ht="18.95" customHeight="1">
      <c r="A27" s="349">
        <f t="shared" si="4"/>
        <v>15</v>
      </c>
      <c r="B27" s="358" t="s">
        <v>2952</v>
      </c>
      <c r="C27" s="355" t="s">
        <v>2953</v>
      </c>
      <c r="D27" s="145">
        <v>43831</v>
      </c>
      <c r="E27" s="146">
        <v>44196</v>
      </c>
      <c r="F27" s="149">
        <v>0.32876712328767121</v>
      </c>
      <c r="G27" s="355">
        <v>163877.16</v>
      </c>
      <c r="H27" s="355">
        <v>167827.26</v>
      </c>
      <c r="I27" s="359">
        <v>51038.259999999995</v>
      </c>
      <c r="J27" s="353">
        <f t="shared" si="0"/>
        <v>0.30411185882436498</v>
      </c>
      <c r="M27" s="74">
        <f t="shared" si="1"/>
        <v>365</v>
      </c>
      <c r="N27" s="146">
        <v>43951</v>
      </c>
      <c r="O27" s="74">
        <f t="shared" si="2"/>
        <v>245</v>
      </c>
      <c r="P27" s="354">
        <f t="shared" si="3"/>
        <v>0.32876712328767121</v>
      </c>
    </row>
    <row r="28" spans="1:16" ht="18.95" customHeight="1">
      <c r="A28" s="349">
        <f t="shared" si="4"/>
        <v>16</v>
      </c>
      <c r="B28" s="358" t="s">
        <v>2954</v>
      </c>
      <c r="C28" s="355" t="s">
        <v>2955</v>
      </c>
      <c r="D28" s="145">
        <v>43831</v>
      </c>
      <c r="E28" s="146">
        <v>44196</v>
      </c>
      <c r="F28" s="149">
        <v>0.32876712328767121</v>
      </c>
      <c r="G28" s="355">
        <v>135352.79</v>
      </c>
      <c r="H28" s="355">
        <v>134086.10999999999</v>
      </c>
      <c r="I28" s="359">
        <v>68239.66</v>
      </c>
      <c r="J28" s="353">
        <f t="shared" si="0"/>
        <v>0.50892415329223895</v>
      </c>
      <c r="M28" s="74">
        <f t="shared" si="1"/>
        <v>365</v>
      </c>
      <c r="N28" s="146">
        <v>43951</v>
      </c>
      <c r="O28" s="74">
        <f t="shared" si="2"/>
        <v>245</v>
      </c>
      <c r="P28" s="354">
        <f t="shared" si="3"/>
        <v>0.32876712328767121</v>
      </c>
    </row>
    <row r="29" spans="1:16" ht="18.95" customHeight="1">
      <c r="A29" s="349">
        <f t="shared" si="4"/>
        <v>17</v>
      </c>
      <c r="B29" s="358" t="s">
        <v>2956</v>
      </c>
      <c r="C29" s="355" t="s">
        <v>2957</v>
      </c>
      <c r="D29" s="145">
        <v>43831</v>
      </c>
      <c r="E29" s="146">
        <v>44196</v>
      </c>
      <c r="F29" s="149">
        <v>0.32876712328767121</v>
      </c>
      <c r="G29" s="355">
        <v>104261.53000000001</v>
      </c>
      <c r="H29" s="355">
        <v>105726.57</v>
      </c>
      <c r="I29" s="359">
        <v>36406.82</v>
      </c>
      <c r="J29" s="353">
        <f t="shared" si="0"/>
        <v>0.34434882357386604</v>
      </c>
      <c r="M29" s="74">
        <f t="shared" si="1"/>
        <v>365</v>
      </c>
      <c r="N29" s="146">
        <v>43951</v>
      </c>
      <c r="O29" s="74">
        <f t="shared" si="2"/>
        <v>245</v>
      </c>
      <c r="P29" s="354">
        <f t="shared" si="3"/>
        <v>0.32876712328767121</v>
      </c>
    </row>
    <row r="30" spans="1:16" ht="18.95" customHeight="1">
      <c r="A30" s="349">
        <f t="shared" si="4"/>
        <v>18</v>
      </c>
      <c r="B30" s="358" t="s">
        <v>2958</v>
      </c>
      <c r="C30" s="355" t="s">
        <v>2959</v>
      </c>
      <c r="D30" s="145">
        <v>43831</v>
      </c>
      <c r="E30" s="146">
        <v>44196</v>
      </c>
      <c r="F30" s="149">
        <v>0.32876712328767121</v>
      </c>
      <c r="G30" s="355">
        <v>83899.82</v>
      </c>
      <c r="H30" s="355">
        <v>83786.03</v>
      </c>
      <c r="I30" s="359">
        <v>26888.55</v>
      </c>
      <c r="J30" s="353">
        <f t="shared" si="0"/>
        <v>0.32091925109711011</v>
      </c>
      <c r="M30" s="74">
        <f t="shared" si="1"/>
        <v>365</v>
      </c>
      <c r="N30" s="146">
        <v>43951</v>
      </c>
      <c r="O30" s="74">
        <f t="shared" si="2"/>
        <v>245</v>
      </c>
      <c r="P30" s="354">
        <f t="shared" si="3"/>
        <v>0.32876712328767121</v>
      </c>
    </row>
    <row r="31" spans="1:16" ht="18.95" customHeight="1">
      <c r="A31" s="349">
        <f t="shared" si="4"/>
        <v>19</v>
      </c>
      <c r="B31" s="358" t="s">
        <v>2960</v>
      </c>
      <c r="C31" s="355" t="s">
        <v>2961</v>
      </c>
      <c r="D31" s="145">
        <v>43831</v>
      </c>
      <c r="E31" s="146">
        <v>44196</v>
      </c>
      <c r="F31" s="149">
        <v>0.32876712328767121</v>
      </c>
      <c r="G31" s="355">
        <v>30771.719999999998</v>
      </c>
      <c r="H31" s="355">
        <v>65577.39</v>
      </c>
      <c r="I31" s="359">
        <v>60486</v>
      </c>
      <c r="J31" s="353">
        <f t="shared" si="0"/>
        <v>0.92236058800144383</v>
      </c>
      <c r="M31" s="74">
        <f t="shared" si="1"/>
        <v>365</v>
      </c>
      <c r="N31" s="146">
        <v>43951</v>
      </c>
      <c r="O31" s="74">
        <f t="shared" si="2"/>
        <v>245</v>
      </c>
      <c r="P31" s="354">
        <f t="shared" si="3"/>
        <v>0.32876712328767121</v>
      </c>
    </row>
    <row r="32" spans="1:16" ht="18.95" customHeight="1">
      <c r="A32" s="349">
        <f t="shared" si="4"/>
        <v>20</v>
      </c>
      <c r="B32" s="358" t="s">
        <v>2962</v>
      </c>
      <c r="C32" s="355" t="s">
        <v>2963</v>
      </c>
      <c r="D32" s="145">
        <v>43831</v>
      </c>
      <c r="E32" s="146">
        <v>44196</v>
      </c>
      <c r="F32" s="149">
        <v>0.32876712328767121</v>
      </c>
      <c r="G32" s="355">
        <v>149297.85999999999</v>
      </c>
      <c r="H32" s="355">
        <v>211102.99</v>
      </c>
      <c r="I32" s="359">
        <v>115437.92000000001</v>
      </c>
      <c r="J32" s="353">
        <f t="shared" si="0"/>
        <v>0.54683223577269091</v>
      </c>
      <c r="M32" s="74">
        <f t="shared" si="1"/>
        <v>365</v>
      </c>
      <c r="N32" s="146">
        <v>43951</v>
      </c>
      <c r="O32" s="74">
        <f t="shared" si="2"/>
        <v>245</v>
      </c>
      <c r="P32" s="354">
        <f t="shared" si="3"/>
        <v>0.32876712328767121</v>
      </c>
    </row>
    <row r="33" spans="1:16" ht="18.95" customHeight="1">
      <c r="A33" s="349">
        <f t="shared" si="4"/>
        <v>21</v>
      </c>
      <c r="B33" s="358" t="s">
        <v>2964</v>
      </c>
      <c r="C33" s="355" t="s">
        <v>2965</v>
      </c>
      <c r="D33" s="145">
        <v>43831</v>
      </c>
      <c r="E33" s="146">
        <v>44196</v>
      </c>
      <c r="F33" s="149">
        <v>0.32876712328767121</v>
      </c>
      <c r="G33" s="355">
        <v>102592.84</v>
      </c>
      <c r="H33" s="355">
        <v>107036.55</v>
      </c>
      <c r="I33" s="359">
        <v>55341.83</v>
      </c>
      <c r="J33" s="353">
        <f t="shared" si="0"/>
        <v>0.5170367505305431</v>
      </c>
      <c r="M33" s="74">
        <f t="shared" si="1"/>
        <v>365</v>
      </c>
      <c r="N33" s="146">
        <v>43951</v>
      </c>
      <c r="O33" s="74">
        <f t="shared" si="2"/>
        <v>245</v>
      </c>
      <c r="P33" s="354">
        <f t="shared" si="3"/>
        <v>0.32876712328767121</v>
      </c>
    </row>
    <row r="34" spans="1:16" ht="18.95" customHeight="1">
      <c r="A34" s="349">
        <f t="shared" si="4"/>
        <v>22</v>
      </c>
      <c r="B34" s="358" t="s">
        <v>2966</v>
      </c>
      <c r="C34" s="355" t="s">
        <v>2967</v>
      </c>
      <c r="D34" s="145">
        <v>43831</v>
      </c>
      <c r="E34" s="146">
        <v>44196</v>
      </c>
      <c r="F34" s="149">
        <v>0.32876712328767121</v>
      </c>
      <c r="G34" s="355">
        <v>156856.12</v>
      </c>
      <c r="H34" s="355">
        <v>153418.88</v>
      </c>
      <c r="I34" s="359">
        <v>63559.43</v>
      </c>
      <c r="J34" s="353">
        <f t="shared" si="0"/>
        <v>0.4142868856818665</v>
      </c>
      <c r="M34" s="74">
        <f t="shared" si="1"/>
        <v>365</v>
      </c>
      <c r="N34" s="146">
        <v>43951</v>
      </c>
      <c r="O34" s="74">
        <f t="shared" si="2"/>
        <v>245</v>
      </c>
      <c r="P34" s="354">
        <f t="shared" si="3"/>
        <v>0.32876712328767121</v>
      </c>
    </row>
    <row r="35" spans="1:16" ht="18.95" customHeight="1">
      <c r="A35" s="349">
        <f t="shared" si="4"/>
        <v>23</v>
      </c>
      <c r="B35" s="358" t="s">
        <v>2968</v>
      </c>
      <c r="C35" s="355" t="s">
        <v>2969</v>
      </c>
      <c r="D35" s="145">
        <v>43831</v>
      </c>
      <c r="E35" s="146">
        <v>44561</v>
      </c>
      <c r="F35" s="149">
        <v>0.16438356164383561</v>
      </c>
      <c r="G35" s="355">
        <v>628790.72</v>
      </c>
      <c r="H35" s="355">
        <v>447339.18</v>
      </c>
      <c r="I35" s="359">
        <v>69021.25</v>
      </c>
      <c r="J35" s="353">
        <f t="shared" si="0"/>
        <v>0.15429287906326469</v>
      </c>
      <c r="M35" s="74">
        <f t="shared" si="1"/>
        <v>730</v>
      </c>
      <c r="N35" s="146">
        <v>43951</v>
      </c>
      <c r="O35" s="74">
        <f t="shared" si="2"/>
        <v>610</v>
      </c>
      <c r="P35" s="354">
        <f t="shared" si="3"/>
        <v>0.16438356164383561</v>
      </c>
    </row>
    <row r="36" spans="1:16" ht="18.95" customHeight="1">
      <c r="A36" s="349">
        <f t="shared" si="4"/>
        <v>24</v>
      </c>
      <c r="B36" s="358" t="s">
        <v>2970</v>
      </c>
      <c r="C36" s="355" t="s">
        <v>2971</v>
      </c>
      <c r="D36" s="145">
        <v>43831</v>
      </c>
      <c r="E36" s="146">
        <v>44196</v>
      </c>
      <c r="F36" s="149">
        <v>0.32876712328767121</v>
      </c>
      <c r="G36" s="355">
        <v>87118.55</v>
      </c>
      <c r="H36" s="355">
        <v>87276.39</v>
      </c>
      <c r="I36" s="359">
        <v>54037.11</v>
      </c>
      <c r="J36" s="353">
        <f t="shared" si="0"/>
        <v>0.61914923383059273</v>
      </c>
      <c r="M36" s="74">
        <f t="shared" si="1"/>
        <v>365</v>
      </c>
      <c r="N36" s="146">
        <v>43951</v>
      </c>
      <c r="O36" s="74">
        <f t="shared" si="2"/>
        <v>245</v>
      </c>
      <c r="P36" s="354">
        <f t="shared" si="3"/>
        <v>0.32876712328767121</v>
      </c>
    </row>
    <row r="37" spans="1:16" ht="18.95" customHeight="1">
      <c r="A37" s="349">
        <f t="shared" si="4"/>
        <v>25</v>
      </c>
      <c r="B37" s="358" t="s">
        <v>2972</v>
      </c>
      <c r="C37" s="355" t="s">
        <v>2973</v>
      </c>
      <c r="D37" s="145">
        <v>43831</v>
      </c>
      <c r="E37" s="146">
        <v>44196</v>
      </c>
      <c r="F37" s="149">
        <v>0.32876712328767121</v>
      </c>
      <c r="G37" s="355">
        <v>51784.99</v>
      </c>
      <c r="H37" s="355">
        <v>107215.23</v>
      </c>
      <c r="I37" s="359">
        <v>26746.510000000002</v>
      </c>
      <c r="J37" s="353">
        <f t="shared" si="0"/>
        <v>0.24946558432043658</v>
      </c>
      <c r="M37" s="74">
        <f t="shared" si="1"/>
        <v>365</v>
      </c>
      <c r="N37" s="146">
        <v>43951</v>
      </c>
      <c r="O37" s="74">
        <f t="shared" si="2"/>
        <v>245</v>
      </c>
      <c r="P37" s="354">
        <f t="shared" si="3"/>
        <v>0.32876712328767121</v>
      </c>
    </row>
    <row r="38" spans="1:16" ht="18.95" customHeight="1">
      <c r="A38" s="349">
        <f t="shared" si="4"/>
        <v>26</v>
      </c>
      <c r="B38" s="358" t="s">
        <v>2974</v>
      </c>
      <c r="C38" s="355" t="s">
        <v>2975</v>
      </c>
      <c r="D38" s="145">
        <v>43831</v>
      </c>
      <c r="E38" s="146">
        <v>44196</v>
      </c>
      <c r="F38" s="149">
        <v>0.32876712328767121</v>
      </c>
      <c r="G38" s="355">
        <v>68371.03</v>
      </c>
      <c r="H38" s="355">
        <v>129597.64</v>
      </c>
      <c r="I38" s="359">
        <v>12351.4</v>
      </c>
      <c r="J38" s="353">
        <f t="shared" si="0"/>
        <v>9.5305747851581246E-2</v>
      </c>
      <c r="M38" s="74">
        <f t="shared" si="1"/>
        <v>365</v>
      </c>
      <c r="N38" s="146">
        <v>43951</v>
      </c>
      <c r="O38" s="74">
        <f t="shared" si="2"/>
        <v>245</v>
      </c>
      <c r="P38" s="354">
        <f t="shared" si="3"/>
        <v>0.32876712328767121</v>
      </c>
    </row>
    <row r="39" spans="1:16" ht="18.95" customHeight="1">
      <c r="A39" s="349">
        <f t="shared" si="4"/>
        <v>27</v>
      </c>
      <c r="B39" s="358" t="s">
        <v>2976</v>
      </c>
      <c r="C39" s="355" t="s">
        <v>2977</v>
      </c>
      <c r="D39" s="145">
        <v>43831</v>
      </c>
      <c r="E39" s="146">
        <v>44196</v>
      </c>
      <c r="F39" s="149">
        <v>0.32876712328767121</v>
      </c>
      <c r="G39" s="355">
        <v>64022.890000000007</v>
      </c>
      <c r="H39" s="355">
        <v>65074.96</v>
      </c>
      <c r="I39" s="359">
        <v>16793.73</v>
      </c>
      <c r="J39" s="353">
        <f t="shared" si="0"/>
        <v>0.25806746558123123</v>
      </c>
      <c r="M39" s="74">
        <f t="shared" si="1"/>
        <v>365</v>
      </c>
      <c r="N39" s="146">
        <v>43951</v>
      </c>
      <c r="O39" s="74">
        <f t="shared" si="2"/>
        <v>245</v>
      </c>
      <c r="P39" s="354">
        <f t="shared" si="3"/>
        <v>0.32876712328767121</v>
      </c>
    </row>
    <row r="40" spans="1:16" ht="18.95" customHeight="1">
      <c r="A40" s="349">
        <f t="shared" si="4"/>
        <v>28</v>
      </c>
      <c r="B40" s="358" t="s">
        <v>2978</v>
      </c>
      <c r="C40" s="355" t="s">
        <v>2979</v>
      </c>
      <c r="D40" s="145">
        <v>43831</v>
      </c>
      <c r="E40" s="146">
        <v>44196</v>
      </c>
      <c r="F40" s="149">
        <v>0.32876712328767121</v>
      </c>
      <c r="G40" s="355">
        <v>29792.32</v>
      </c>
      <c r="H40" s="355">
        <v>28556.61</v>
      </c>
      <c r="I40" s="359">
        <v>19988.739999999998</v>
      </c>
      <c r="J40" s="353">
        <f t="shared" si="0"/>
        <v>0.69996893889015532</v>
      </c>
      <c r="M40" s="74">
        <f t="shared" si="1"/>
        <v>365</v>
      </c>
      <c r="N40" s="146">
        <v>43951</v>
      </c>
      <c r="O40" s="74">
        <f t="shared" si="2"/>
        <v>245</v>
      </c>
      <c r="P40" s="354">
        <f t="shared" si="3"/>
        <v>0.32876712328767121</v>
      </c>
    </row>
    <row r="41" spans="1:16" ht="18.95" customHeight="1">
      <c r="A41" s="349">
        <f t="shared" si="4"/>
        <v>29</v>
      </c>
      <c r="B41" s="358" t="s">
        <v>2724</v>
      </c>
      <c r="C41" s="355" t="s">
        <v>2725</v>
      </c>
      <c r="D41" s="145">
        <v>42933</v>
      </c>
      <c r="E41" s="146">
        <v>44196</v>
      </c>
      <c r="F41" s="149">
        <v>0.80601741884402212</v>
      </c>
      <c r="G41" s="355">
        <v>194908</v>
      </c>
      <c r="H41" s="355">
        <v>194908</v>
      </c>
      <c r="I41" s="359">
        <v>198444.65</v>
      </c>
      <c r="J41" s="353">
        <f t="shared" si="0"/>
        <v>1.0181452274919449</v>
      </c>
      <c r="M41" s="74">
        <f t="shared" si="1"/>
        <v>1263</v>
      </c>
      <c r="N41" s="146">
        <v>43951</v>
      </c>
      <c r="O41" s="74">
        <f t="shared" si="2"/>
        <v>245</v>
      </c>
      <c r="P41" s="354">
        <f t="shared" si="3"/>
        <v>0.80601741884402212</v>
      </c>
    </row>
    <row r="42" spans="1:16" ht="18.95" customHeight="1">
      <c r="A42" s="349">
        <f t="shared" si="4"/>
        <v>30</v>
      </c>
      <c r="B42" s="358" t="s">
        <v>2980</v>
      </c>
      <c r="C42" s="355" t="s">
        <v>2981</v>
      </c>
      <c r="D42" s="145">
        <v>43466</v>
      </c>
      <c r="E42" s="146">
        <v>44196</v>
      </c>
      <c r="F42" s="149">
        <v>0.66438356164383561</v>
      </c>
      <c r="G42" s="355">
        <v>6665160.7400000002</v>
      </c>
      <c r="H42" s="355">
        <v>6665160.7400000002</v>
      </c>
      <c r="I42" s="359">
        <v>5918697.96</v>
      </c>
      <c r="J42" s="353">
        <f t="shared" si="0"/>
        <v>0.8880052846257388</v>
      </c>
      <c r="M42" s="74">
        <f t="shared" si="1"/>
        <v>730</v>
      </c>
      <c r="N42" s="146">
        <v>43951</v>
      </c>
      <c r="O42" s="74">
        <f t="shared" si="2"/>
        <v>245</v>
      </c>
      <c r="P42" s="354">
        <f t="shared" si="3"/>
        <v>0.66438356164383561</v>
      </c>
    </row>
    <row r="43" spans="1:16" ht="18.95" customHeight="1">
      <c r="A43" s="349">
        <f t="shared" si="4"/>
        <v>31</v>
      </c>
      <c r="B43" s="358" t="s">
        <v>2982</v>
      </c>
      <c r="C43" s="355" t="s">
        <v>2983</v>
      </c>
      <c r="D43" s="145">
        <v>43466</v>
      </c>
      <c r="E43" s="146">
        <v>45291</v>
      </c>
      <c r="F43" s="149">
        <v>0.26575342465753427</v>
      </c>
      <c r="G43" s="355">
        <v>675002.64</v>
      </c>
      <c r="H43" s="355">
        <v>675002.64</v>
      </c>
      <c r="I43" s="359">
        <v>168237.51</v>
      </c>
      <c r="J43" s="353">
        <f t="shared" si="0"/>
        <v>0.24923978075107975</v>
      </c>
      <c r="M43" s="74">
        <f t="shared" si="1"/>
        <v>1825</v>
      </c>
      <c r="N43" s="146">
        <v>43951</v>
      </c>
      <c r="O43" s="74">
        <f t="shared" si="2"/>
        <v>1340</v>
      </c>
      <c r="P43" s="354">
        <f t="shared" si="3"/>
        <v>0.26575342465753427</v>
      </c>
    </row>
    <row r="44" spans="1:16" ht="18.95" customHeight="1">
      <c r="A44" s="349">
        <f t="shared" si="4"/>
        <v>32</v>
      </c>
      <c r="B44" s="358" t="s">
        <v>2726</v>
      </c>
      <c r="C44" s="355" t="s">
        <v>2727</v>
      </c>
      <c r="D44" s="145">
        <v>43101</v>
      </c>
      <c r="E44" s="146">
        <v>44135</v>
      </c>
      <c r="F44" s="149">
        <v>0.82205029013539654</v>
      </c>
      <c r="G44" s="355">
        <v>2000000.01</v>
      </c>
      <c r="H44" s="355">
        <v>2000000.01</v>
      </c>
      <c r="I44" s="359">
        <v>1443921.59</v>
      </c>
      <c r="J44" s="353">
        <f t="shared" si="0"/>
        <v>0.72196079139019609</v>
      </c>
      <c r="M44" s="74">
        <f t="shared" si="1"/>
        <v>1034</v>
      </c>
      <c r="N44" s="146">
        <v>43951</v>
      </c>
      <c r="O44" s="74">
        <f t="shared" si="2"/>
        <v>184</v>
      </c>
      <c r="P44" s="354">
        <f t="shared" si="3"/>
        <v>0.82205029013539654</v>
      </c>
    </row>
    <row r="45" spans="1:16" ht="18.95" customHeight="1">
      <c r="A45" s="349">
        <f t="shared" si="4"/>
        <v>33</v>
      </c>
      <c r="B45" s="358" t="s">
        <v>2984</v>
      </c>
      <c r="C45" s="355" t="s">
        <v>2985</v>
      </c>
      <c r="D45" s="145">
        <v>43831</v>
      </c>
      <c r="E45" s="146">
        <v>44196</v>
      </c>
      <c r="F45" s="149">
        <v>0.32876712328767121</v>
      </c>
      <c r="G45" s="355">
        <v>277679.59999999998</v>
      </c>
      <c r="H45" s="355">
        <v>277679.59999999998</v>
      </c>
      <c r="I45" s="359">
        <v>65451.600000000006</v>
      </c>
      <c r="J45" s="353">
        <f t="shared" si="0"/>
        <v>0.23570906901335212</v>
      </c>
      <c r="M45" s="74">
        <f t="shared" si="1"/>
        <v>365</v>
      </c>
      <c r="N45" s="146">
        <v>43951</v>
      </c>
      <c r="O45" s="74">
        <f t="shared" si="2"/>
        <v>245</v>
      </c>
      <c r="P45" s="354">
        <f t="shared" si="3"/>
        <v>0.32876712328767121</v>
      </c>
    </row>
    <row r="46" spans="1:16" ht="18.95" customHeight="1">
      <c r="A46" s="349">
        <f t="shared" si="4"/>
        <v>34</v>
      </c>
      <c r="B46" s="358" t="s">
        <v>2986</v>
      </c>
      <c r="C46" s="355" t="s">
        <v>2987</v>
      </c>
      <c r="D46" s="145">
        <v>43466</v>
      </c>
      <c r="E46" s="146">
        <v>45291</v>
      </c>
      <c r="F46" s="149">
        <v>0.26575342465753427</v>
      </c>
      <c r="G46" s="355">
        <v>4324800.18</v>
      </c>
      <c r="H46" s="355">
        <v>4324800.18</v>
      </c>
      <c r="I46" s="359">
        <v>1188000.1499999999</v>
      </c>
      <c r="J46" s="353">
        <f t="shared" si="0"/>
        <v>0.27469480682457798</v>
      </c>
      <c r="M46" s="74">
        <f t="shared" si="1"/>
        <v>1825</v>
      </c>
      <c r="N46" s="146">
        <v>43951</v>
      </c>
      <c r="O46" s="74">
        <f t="shared" si="2"/>
        <v>1340</v>
      </c>
      <c r="P46" s="354">
        <f t="shared" si="3"/>
        <v>0.26575342465753427</v>
      </c>
    </row>
    <row r="47" spans="1:16" ht="18.95" customHeight="1">
      <c r="A47" s="349">
        <f t="shared" si="4"/>
        <v>35</v>
      </c>
      <c r="B47" s="358" t="s">
        <v>2988</v>
      </c>
      <c r="C47" s="355" t="s">
        <v>2989</v>
      </c>
      <c r="D47" s="145">
        <v>43831</v>
      </c>
      <c r="E47" s="146">
        <v>44165</v>
      </c>
      <c r="F47" s="149">
        <v>0.3592814371257485</v>
      </c>
      <c r="G47" s="355">
        <v>228518.22</v>
      </c>
      <c r="H47" s="355">
        <v>227768.91</v>
      </c>
      <c r="I47" s="359">
        <v>151845.94</v>
      </c>
      <c r="J47" s="353">
        <f t="shared" si="0"/>
        <v>0.66666666666666663</v>
      </c>
      <c r="M47" s="74">
        <f t="shared" si="1"/>
        <v>334</v>
      </c>
      <c r="N47" s="146">
        <v>43951</v>
      </c>
      <c r="O47" s="74">
        <f t="shared" si="2"/>
        <v>214</v>
      </c>
      <c r="P47" s="354">
        <f t="shared" si="3"/>
        <v>0.3592814371257485</v>
      </c>
    </row>
    <row r="48" spans="1:16" ht="18.95" customHeight="1">
      <c r="A48" s="349">
        <f t="shared" si="4"/>
        <v>36</v>
      </c>
      <c r="B48" s="358" t="s">
        <v>2990</v>
      </c>
      <c r="C48" s="355" t="s">
        <v>2991</v>
      </c>
      <c r="D48" s="145">
        <v>43831</v>
      </c>
      <c r="E48" s="146">
        <v>44439</v>
      </c>
      <c r="F48" s="149">
        <v>0.19736842105263158</v>
      </c>
      <c r="G48" s="355">
        <v>9648545.7299999986</v>
      </c>
      <c r="H48" s="355">
        <v>10224751.26</v>
      </c>
      <c r="I48" s="359">
        <v>1000000</v>
      </c>
      <c r="J48" s="353">
        <f t="shared" si="0"/>
        <v>9.7801890194832972E-2</v>
      </c>
      <c r="M48" s="74">
        <f t="shared" si="1"/>
        <v>608</v>
      </c>
      <c r="N48" s="146">
        <v>43951</v>
      </c>
      <c r="O48" s="74">
        <f t="shared" si="2"/>
        <v>488</v>
      </c>
      <c r="P48" s="354">
        <f t="shared" si="3"/>
        <v>0.19736842105263158</v>
      </c>
    </row>
    <row r="49" spans="1:16" ht="18.95" customHeight="1">
      <c r="A49" s="349">
        <f t="shared" si="4"/>
        <v>37</v>
      </c>
      <c r="B49" s="358" t="s">
        <v>2992</v>
      </c>
      <c r="C49" s="355" t="s">
        <v>2993</v>
      </c>
      <c r="D49" s="145">
        <v>43922</v>
      </c>
      <c r="E49" s="146">
        <v>43982</v>
      </c>
      <c r="F49" s="149">
        <v>0.48333333333333334</v>
      </c>
      <c r="G49" s="355">
        <v>850000.48</v>
      </c>
      <c r="H49" s="355">
        <v>456753.23</v>
      </c>
      <c r="I49" s="359">
        <v>456753.23</v>
      </c>
      <c r="J49" s="353">
        <f t="shared" si="0"/>
        <v>1</v>
      </c>
      <c r="M49" s="74">
        <f t="shared" si="1"/>
        <v>60</v>
      </c>
      <c r="N49" s="146">
        <v>43951</v>
      </c>
      <c r="O49" s="74">
        <f t="shared" si="2"/>
        <v>31</v>
      </c>
      <c r="P49" s="354">
        <f t="shared" si="3"/>
        <v>0.48333333333333334</v>
      </c>
    </row>
    <row r="50" spans="1:16" ht="18.95" customHeight="1">
      <c r="A50" s="349">
        <f t="shared" si="4"/>
        <v>38</v>
      </c>
      <c r="B50" s="358" t="s">
        <v>2994</v>
      </c>
      <c r="C50" s="355" t="s">
        <v>2995</v>
      </c>
      <c r="D50" s="145">
        <v>43466</v>
      </c>
      <c r="E50" s="146">
        <v>44377</v>
      </c>
      <c r="F50" s="149">
        <v>0.53238199780461026</v>
      </c>
      <c r="G50" s="355">
        <v>5600000</v>
      </c>
      <c r="H50" s="355">
        <v>8368220</v>
      </c>
      <c r="I50" s="359">
        <v>1712186</v>
      </c>
      <c r="J50" s="353">
        <f t="shared" si="0"/>
        <v>0.20460575845281315</v>
      </c>
      <c r="M50" s="74">
        <f t="shared" si="1"/>
        <v>911</v>
      </c>
      <c r="N50" s="146">
        <v>43951</v>
      </c>
      <c r="O50" s="74">
        <f t="shared" si="2"/>
        <v>426</v>
      </c>
      <c r="P50" s="354">
        <f t="shared" si="3"/>
        <v>0.53238199780461026</v>
      </c>
    </row>
    <row r="51" spans="1:16" ht="18.95" customHeight="1">
      <c r="A51" s="349">
        <f t="shared" si="4"/>
        <v>39</v>
      </c>
      <c r="B51" s="358" t="s">
        <v>2996</v>
      </c>
      <c r="C51" s="355" t="s">
        <v>2997</v>
      </c>
      <c r="D51" s="145">
        <v>43466</v>
      </c>
      <c r="E51" s="146">
        <v>44012</v>
      </c>
      <c r="F51" s="149">
        <v>0.88827838827838823</v>
      </c>
      <c r="G51" s="355">
        <v>5500000</v>
      </c>
      <c r="H51" s="355">
        <v>1599733.94</v>
      </c>
      <c r="I51" s="359">
        <v>1178219.68</v>
      </c>
      <c r="J51" s="353">
        <f t="shared" si="0"/>
        <v>0.7365097723687728</v>
      </c>
      <c r="M51" s="74">
        <f t="shared" si="1"/>
        <v>546</v>
      </c>
      <c r="N51" s="146">
        <v>43951</v>
      </c>
      <c r="O51" s="74">
        <f t="shared" si="2"/>
        <v>61</v>
      </c>
      <c r="P51" s="354">
        <f t="shared" si="3"/>
        <v>0.88827838827838823</v>
      </c>
    </row>
    <row r="52" spans="1:16" ht="18.95" customHeight="1">
      <c r="A52" s="349">
        <f t="shared" si="4"/>
        <v>40</v>
      </c>
      <c r="B52" s="358" t="s">
        <v>2998</v>
      </c>
      <c r="C52" s="355" t="s">
        <v>2999</v>
      </c>
      <c r="D52" s="145">
        <v>43466</v>
      </c>
      <c r="E52" s="146">
        <v>44012</v>
      </c>
      <c r="F52" s="149">
        <v>0.88827838827838823</v>
      </c>
      <c r="G52" s="355">
        <v>5750000</v>
      </c>
      <c r="H52" s="355">
        <v>3788029.15</v>
      </c>
      <c r="I52" s="359">
        <v>2478182.2999999998</v>
      </c>
      <c r="J52" s="353">
        <f t="shared" si="0"/>
        <v>0.65421415777647851</v>
      </c>
      <c r="M52" s="74">
        <f t="shared" si="1"/>
        <v>546</v>
      </c>
      <c r="N52" s="146">
        <v>43951</v>
      </c>
      <c r="O52" s="74">
        <f t="shared" si="2"/>
        <v>61</v>
      </c>
      <c r="P52" s="354">
        <f t="shared" si="3"/>
        <v>0.88827838827838823</v>
      </c>
    </row>
    <row r="53" spans="1:16" ht="18.95" customHeight="1">
      <c r="A53" s="349">
        <f t="shared" si="4"/>
        <v>41</v>
      </c>
      <c r="B53" s="358" t="s">
        <v>3000</v>
      </c>
      <c r="C53" s="355" t="s">
        <v>3001</v>
      </c>
      <c r="D53" s="145">
        <v>43831</v>
      </c>
      <c r="E53" s="146">
        <v>43982</v>
      </c>
      <c r="F53" s="149">
        <v>0.79470198675496684</v>
      </c>
      <c r="G53" s="355">
        <v>80000</v>
      </c>
      <c r="H53" s="355">
        <v>10286</v>
      </c>
      <c r="I53" s="359">
        <v>10286</v>
      </c>
      <c r="J53" s="353">
        <f t="shared" si="0"/>
        <v>1</v>
      </c>
      <c r="M53" s="74">
        <f t="shared" si="1"/>
        <v>151</v>
      </c>
      <c r="N53" s="146">
        <v>43951</v>
      </c>
      <c r="O53" s="74">
        <f t="shared" si="2"/>
        <v>31</v>
      </c>
      <c r="P53" s="354">
        <f t="shared" si="3"/>
        <v>0.79470198675496684</v>
      </c>
    </row>
    <row r="54" spans="1:16" ht="18.95" customHeight="1">
      <c r="A54" s="349">
        <f t="shared" si="4"/>
        <v>42</v>
      </c>
      <c r="B54" s="358" t="s">
        <v>3002</v>
      </c>
      <c r="C54" s="355" t="s">
        <v>3003</v>
      </c>
      <c r="D54" s="145">
        <v>43831</v>
      </c>
      <c r="E54" s="146">
        <v>44135</v>
      </c>
      <c r="F54" s="149">
        <v>0.39473684210526316</v>
      </c>
      <c r="G54" s="355">
        <v>400000</v>
      </c>
      <c r="H54" s="355">
        <v>328067.96000000002</v>
      </c>
      <c r="I54" s="359">
        <v>170000</v>
      </c>
      <c r="J54" s="353">
        <f t="shared" si="0"/>
        <v>0.51818531745678542</v>
      </c>
      <c r="M54" s="74">
        <f t="shared" si="1"/>
        <v>304</v>
      </c>
      <c r="N54" s="146">
        <v>43951</v>
      </c>
      <c r="O54" s="74">
        <f t="shared" si="2"/>
        <v>184</v>
      </c>
      <c r="P54" s="354">
        <f t="shared" si="3"/>
        <v>0.39473684210526316</v>
      </c>
    </row>
    <row r="55" spans="1:16" ht="18.95" customHeight="1">
      <c r="A55" s="349">
        <f t="shared" si="4"/>
        <v>43</v>
      </c>
      <c r="B55" s="358" t="s">
        <v>3004</v>
      </c>
      <c r="C55" s="355" t="s">
        <v>3005</v>
      </c>
      <c r="D55" s="145">
        <v>43831</v>
      </c>
      <c r="E55" s="146">
        <v>44165</v>
      </c>
      <c r="F55" s="149">
        <v>0.3592814371257485</v>
      </c>
      <c r="G55" s="355">
        <v>680000</v>
      </c>
      <c r="H55" s="355">
        <v>712811.34</v>
      </c>
      <c r="I55" s="359">
        <v>177751.37</v>
      </c>
      <c r="J55" s="353">
        <f t="shared" si="0"/>
        <v>0.24936664166987019</v>
      </c>
      <c r="M55" s="74">
        <f t="shared" si="1"/>
        <v>334</v>
      </c>
      <c r="N55" s="146">
        <v>43951</v>
      </c>
      <c r="O55" s="74">
        <f t="shared" si="2"/>
        <v>214</v>
      </c>
      <c r="P55" s="354">
        <f t="shared" si="3"/>
        <v>0.3592814371257485</v>
      </c>
    </row>
    <row r="56" spans="1:16" ht="18.95" customHeight="1">
      <c r="A56" s="349">
        <f t="shared" si="4"/>
        <v>44</v>
      </c>
      <c r="B56" s="358" t="s">
        <v>3006</v>
      </c>
      <c r="C56" s="355" t="s">
        <v>3007</v>
      </c>
      <c r="D56" s="145">
        <v>43613</v>
      </c>
      <c r="E56" s="146">
        <v>44012</v>
      </c>
      <c r="F56" s="149">
        <v>0.84711779448621549</v>
      </c>
      <c r="G56" s="355">
        <v>1375000</v>
      </c>
      <c r="H56" s="355">
        <v>1392069.37</v>
      </c>
      <c r="I56" s="359">
        <v>1130324.4700000002</v>
      </c>
      <c r="J56" s="353">
        <f t="shared" si="0"/>
        <v>0.81197424091013515</v>
      </c>
      <c r="M56" s="74">
        <f t="shared" si="1"/>
        <v>399</v>
      </c>
      <c r="N56" s="146">
        <v>43951</v>
      </c>
      <c r="O56" s="74">
        <f t="shared" si="2"/>
        <v>61</v>
      </c>
      <c r="P56" s="354">
        <f t="shared" si="3"/>
        <v>0.84711779448621549</v>
      </c>
    </row>
    <row r="57" spans="1:16" s="360" customFormat="1" ht="20.100000000000001" customHeight="1">
      <c r="A57" s="769" t="str">
        <f>$A$1</f>
        <v>KENTUCKY UTILITIES COMPANY</v>
      </c>
      <c r="B57" s="769"/>
      <c r="C57" s="769"/>
      <c r="D57" s="769"/>
      <c r="E57" s="769"/>
      <c r="F57" s="769"/>
      <c r="G57" s="769"/>
      <c r="H57" s="769"/>
      <c r="I57" s="769"/>
      <c r="J57" s="769"/>
    </row>
    <row r="58" spans="1:16" s="360" customFormat="1" ht="20.100000000000001" customHeight="1">
      <c r="A58" s="769" t="str">
        <f>$A$2</f>
        <v>CASE NO. 2018-00294 - RESPONSE TO PSC 2-65 (SLIPPAGE FACTOR 96.027%)</v>
      </c>
      <c r="B58" s="769"/>
      <c r="C58" s="769"/>
      <c r="D58" s="769"/>
      <c r="E58" s="769"/>
      <c r="F58" s="769"/>
      <c r="G58" s="769"/>
      <c r="H58" s="769"/>
      <c r="I58" s="769"/>
      <c r="J58" s="769"/>
    </row>
    <row r="59" spans="1:16" s="360" customFormat="1" ht="20.100000000000001" customHeight="1">
      <c r="A59" s="769" t="s">
        <v>1219</v>
      </c>
      <c r="B59" s="769"/>
      <c r="C59" s="769"/>
      <c r="D59" s="769"/>
      <c r="E59" s="769"/>
      <c r="F59" s="769"/>
      <c r="G59" s="769"/>
      <c r="H59" s="769"/>
      <c r="I59" s="769"/>
      <c r="J59" s="769"/>
    </row>
    <row r="60" spans="1:16" s="360" customFormat="1" ht="20.100000000000001" customHeight="1">
      <c r="A60" s="769" t="str">
        <f>$A$4</f>
        <v>AS OF APRIL 30, 2020</v>
      </c>
      <c r="B60" s="769"/>
      <c r="C60" s="769"/>
      <c r="D60" s="769"/>
      <c r="E60" s="769"/>
      <c r="F60" s="769"/>
      <c r="G60" s="769"/>
      <c r="H60" s="769"/>
      <c r="I60" s="769"/>
      <c r="J60" s="769"/>
    </row>
    <row r="61" spans="1:16" s="360" customFormat="1" ht="20.100000000000001" customHeight="1">
      <c r="A61" s="347"/>
      <c r="B61" s="347"/>
      <c r="C61" s="347"/>
      <c r="D61" s="347"/>
      <c r="E61" s="347"/>
      <c r="F61" s="347"/>
      <c r="G61" s="347"/>
      <c r="H61" s="347"/>
      <c r="I61" s="347"/>
      <c r="J61" s="347"/>
    </row>
    <row r="62" spans="1:16" s="360" customFormat="1" ht="20.100000000000001" customHeight="1">
      <c r="A62" s="67" t="str">
        <f>$A$6</f>
        <v>DATA:____BASE  PERIOD__X__FORECASTED  PERIOD</v>
      </c>
      <c r="B62" s="348"/>
      <c r="C62" s="68"/>
      <c r="D62" s="144"/>
      <c r="E62" s="144"/>
      <c r="F62" s="68"/>
      <c r="G62" s="74"/>
      <c r="H62" s="74"/>
      <c r="I62" s="74"/>
      <c r="J62" s="74" t="s">
        <v>1714</v>
      </c>
    </row>
    <row r="63" spans="1:16" s="360" customFormat="1" ht="20.100000000000001" customHeight="1">
      <c r="A63" s="67" t="str">
        <f>$A$7</f>
        <v>TYPE OF FILING: __X__ ORIGINAL  _____ UPDATED  _____ REVISED</v>
      </c>
      <c r="B63" s="349"/>
      <c r="C63" s="68"/>
      <c r="D63" s="144"/>
      <c r="E63" s="144"/>
      <c r="F63" s="68"/>
      <c r="G63" s="74"/>
      <c r="H63" s="74"/>
      <c r="I63" s="74"/>
      <c r="J63" s="74" t="s">
        <v>3398</v>
      </c>
    </row>
    <row r="64" spans="1:16" s="360" customFormat="1" ht="20.100000000000001" customHeight="1">
      <c r="A64" s="67" t="str">
        <f>$A$8</f>
        <v>WORKPAPER REFERENCE NO(S).:</v>
      </c>
      <c r="B64" s="348"/>
      <c r="C64" s="68"/>
      <c r="D64" s="144"/>
      <c r="E64" s="144"/>
      <c r="F64" s="67"/>
      <c r="G64" s="75"/>
      <c r="H64" s="75"/>
      <c r="I64" s="75"/>
      <c r="J64" s="75" t="str">
        <f>$J$8</f>
        <v>WITNESS:   C. M. GARRETT</v>
      </c>
    </row>
    <row r="65" spans="1:16" s="360" customFormat="1" ht="20.100000000000001" customHeight="1">
      <c r="A65" s="68"/>
      <c r="B65" s="349"/>
      <c r="C65" s="68"/>
      <c r="D65" s="144"/>
      <c r="E65" s="144"/>
      <c r="F65" s="68"/>
      <c r="G65" s="68"/>
      <c r="H65" s="68"/>
      <c r="I65" s="68"/>
      <c r="J65" s="68"/>
    </row>
    <row r="66" spans="1:16" s="360" customFormat="1" ht="65.099999999999994" customHeight="1">
      <c r="A66" s="76" t="s">
        <v>131</v>
      </c>
      <c r="B66" s="76" t="s">
        <v>1222</v>
      </c>
      <c r="C66" s="76" t="s">
        <v>1223</v>
      </c>
      <c r="D66" s="142" t="s">
        <v>1225</v>
      </c>
      <c r="E66" s="142" t="s">
        <v>1226</v>
      </c>
      <c r="F66" s="76" t="s">
        <v>1227</v>
      </c>
      <c r="G66" s="76" t="s">
        <v>1228</v>
      </c>
      <c r="H66" s="76" t="s">
        <v>1229</v>
      </c>
      <c r="I66" s="76" t="s">
        <v>1230</v>
      </c>
      <c r="J66" s="76" t="s">
        <v>1231</v>
      </c>
      <c r="M66" s="361" t="s">
        <v>1239</v>
      </c>
      <c r="N66" s="361" t="s">
        <v>1240</v>
      </c>
      <c r="O66" s="361" t="s">
        <v>1241</v>
      </c>
      <c r="P66" s="361" t="s">
        <v>1227</v>
      </c>
    </row>
    <row r="67" spans="1:16" s="360" customFormat="1" ht="23.1" customHeight="1">
      <c r="A67" s="80" t="s">
        <v>1220</v>
      </c>
      <c r="B67" s="80" t="s">
        <v>1221</v>
      </c>
      <c r="C67" s="80" t="s">
        <v>1224</v>
      </c>
      <c r="D67" s="356" t="s">
        <v>1232</v>
      </c>
      <c r="E67" s="356" t="s">
        <v>1233</v>
      </c>
      <c r="F67" s="357" t="s">
        <v>1234</v>
      </c>
      <c r="G67" s="357" t="s">
        <v>1235</v>
      </c>
      <c r="H67" s="357" t="s">
        <v>1236</v>
      </c>
      <c r="I67" s="357" t="s">
        <v>1237</v>
      </c>
      <c r="J67" s="357" t="s">
        <v>1238</v>
      </c>
    </row>
    <row r="68" spans="1:16" s="360" customFormat="1" ht="18.95" customHeight="1">
      <c r="A68" s="73"/>
      <c r="B68" s="73"/>
      <c r="C68" s="73"/>
      <c r="D68" s="362"/>
      <c r="E68" s="362"/>
      <c r="F68" s="363"/>
      <c r="G68" s="363"/>
      <c r="H68" s="363"/>
      <c r="I68" s="363"/>
      <c r="J68" s="363"/>
    </row>
    <row r="69" spans="1:16" ht="18.95" customHeight="1">
      <c r="A69" s="349">
        <f>A56+1</f>
        <v>45</v>
      </c>
      <c r="B69" s="358" t="s">
        <v>2089</v>
      </c>
      <c r="C69" s="355" t="s">
        <v>3008</v>
      </c>
      <c r="D69" s="145">
        <v>42491</v>
      </c>
      <c r="E69" s="146">
        <v>45291</v>
      </c>
      <c r="F69" s="149">
        <v>0.52142857142857146</v>
      </c>
      <c r="G69" s="355">
        <v>50955.5</v>
      </c>
      <c r="H69" s="355">
        <v>224633.44</v>
      </c>
      <c r="I69" s="359">
        <v>48903.86</v>
      </c>
      <c r="J69" s="353">
        <f t="shared" ref="J69:J112" si="5">IFERROR(I69/H69,0)</f>
        <v>0.21770516446705351</v>
      </c>
      <c r="M69" s="74">
        <f t="shared" si="1"/>
        <v>2800</v>
      </c>
      <c r="N69" s="146">
        <v>43951</v>
      </c>
      <c r="O69" s="74">
        <f t="shared" si="2"/>
        <v>1340</v>
      </c>
      <c r="P69" s="354">
        <f t="shared" si="3"/>
        <v>0.52142857142857146</v>
      </c>
    </row>
    <row r="70" spans="1:16" ht="18.95" customHeight="1">
      <c r="A70" s="349">
        <f t="shared" si="4"/>
        <v>46</v>
      </c>
      <c r="B70" s="358" t="s">
        <v>3009</v>
      </c>
      <c r="C70" s="355" t="s">
        <v>3010</v>
      </c>
      <c r="D70" s="145">
        <v>43831</v>
      </c>
      <c r="E70" s="146">
        <v>44012</v>
      </c>
      <c r="F70" s="149">
        <v>0.66298342541436461</v>
      </c>
      <c r="G70" s="355">
        <v>173664.23</v>
      </c>
      <c r="H70" s="355">
        <v>176062.45</v>
      </c>
      <c r="I70" s="359">
        <v>176062.45</v>
      </c>
      <c r="J70" s="353">
        <f t="shared" si="5"/>
        <v>1</v>
      </c>
      <c r="M70" s="74">
        <f t="shared" si="1"/>
        <v>181</v>
      </c>
      <c r="N70" s="146">
        <v>43951</v>
      </c>
      <c r="O70" s="74">
        <f t="shared" si="2"/>
        <v>61</v>
      </c>
      <c r="P70" s="354">
        <f t="shared" si="3"/>
        <v>0.66298342541436461</v>
      </c>
    </row>
    <row r="71" spans="1:16" ht="18.95" customHeight="1">
      <c r="A71" s="349">
        <f t="shared" si="4"/>
        <v>47</v>
      </c>
      <c r="B71" s="358" t="s">
        <v>3011</v>
      </c>
      <c r="C71" s="355" t="s">
        <v>3012</v>
      </c>
      <c r="D71" s="145">
        <v>43646</v>
      </c>
      <c r="E71" s="146">
        <v>44347</v>
      </c>
      <c r="F71" s="149">
        <v>0.43509272467902993</v>
      </c>
      <c r="G71" s="355">
        <v>3663000</v>
      </c>
      <c r="H71" s="355">
        <v>3939390</v>
      </c>
      <c r="I71" s="359">
        <v>287150</v>
      </c>
      <c r="J71" s="353">
        <f t="shared" si="5"/>
        <v>7.2891995968919043E-2</v>
      </c>
      <c r="M71" s="74">
        <f t="shared" si="1"/>
        <v>701</v>
      </c>
      <c r="N71" s="146">
        <v>43951</v>
      </c>
      <c r="O71" s="74">
        <f t="shared" si="2"/>
        <v>396</v>
      </c>
      <c r="P71" s="354">
        <f t="shared" si="3"/>
        <v>0.43509272467902993</v>
      </c>
    </row>
    <row r="72" spans="1:16" ht="18.95" customHeight="1">
      <c r="A72" s="349">
        <f t="shared" si="4"/>
        <v>48</v>
      </c>
      <c r="B72" s="358" t="s">
        <v>3013</v>
      </c>
      <c r="C72" s="355" t="s">
        <v>3014</v>
      </c>
      <c r="D72" s="145">
        <v>43466</v>
      </c>
      <c r="E72" s="146">
        <v>44012</v>
      </c>
      <c r="F72" s="149">
        <v>0.88827838827838823</v>
      </c>
      <c r="G72" s="355">
        <v>2836608</v>
      </c>
      <c r="H72" s="355">
        <v>2138029.2400000002</v>
      </c>
      <c r="I72" s="359">
        <v>2138029.2400000002</v>
      </c>
      <c r="J72" s="353">
        <f t="shared" si="5"/>
        <v>1</v>
      </c>
      <c r="M72" s="74">
        <f t="shared" si="1"/>
        <v>546</v>
      </c>
      <c r="N72" s="146">
        <v>43951</v>
      </c>
      <c r="O72" s="74">
        <f t="shared" si="2"/>
        <v>61</v>
      </c>
      <c r="P72" s="354">
        <f t="shared" si="3"/>
        <v>0.88827838827838823</v>
      </c>
    </row>
    <row r="73" spans="1:16" ht="18.95" customHeight="1">
      <c r="A73" s="349">
        <f t="shared" si="4"/>
        <v>49</v>
      </c>
      <c r="B73" s="358" t="s">
        <v>3015</v>
      </c>
      <c r="C73" s="355" t="s">
        <v>3016</v>
      </c>
      <c r="D73" s="145">
        <v>43831</v>
      </c>
      <c r="E73" s="146">
        <v>44043</v>
      </c>
      <c r="F73" s="149">
        <v>0.56603773584905659</v>
      </c>
      <c r="G73" s="355">
        <v>1390000</v>
      </c>
      <c r="H73" s="355">
        <v>209860.5</v>
      </c>
      <c r="I73" s="359">
        <v>100000</v>
      </c>
      <c r="J73" s="353">
        <f t="shared" si="5"/>
        <v>0.47650701299196369</v>
      </c>
      <c r="M73" s="74">
        <f t="shared" si="1"/>
        <v>212</v>
      </c>
      <c r="N73" s="146">
        <v>43951</v>
      </c>
      <c r="O73" s="74">
        <f t="shared" si="2"/>
        <v>92</v>
      </c>
      <c r="P73" s="354">
        <f t="shared" si="3"/>
        <v>0.56603773584905659</v>
      </c>
    </row>
    <row r="74" spans="1:16" ht="18.95" customHeight="1">
      <c r="A74" s="349">
        <f t="shared" si="4"/>
        <v>50</v>
      </c>
      <c r="B74" s="358" t="s">
        <v>3017</v>
      </c>
      <c r="C74" s="355" t="s">
        <v>3018</v>
      </c>
      <c r="D74" s="145">
        <v>43831</v>
      </c>
      <c r="E74" s="146">
        <v>43982</v>
      </c>
      <c r="F74" s="149">
        <v>0.79470198675496684</v>
      </c>
      <c r="G74" s="355">
        <v>171000</v>
      </c>
      <c r="H74" s="355">
        <v>178779.95</v>
      </c>
      <c r="I74" s="359">
        <v>178779.95</v>
      </c>
      <c r="J74" s="353">
        <f t="shared" si="5"/>
        <v>1</v>
      </c>
      <c r="M74" s="74">
        <f t="shared" si="1"/>
        <v>151</v>
      </c>
      <c r="N74" s="146">
        <v>43951</v>
      </c>
      <c r="O74" s="74">
        <f t="shared" si="2"/>
        <v>31</v>
      </c>
      <c r="P74" s="354">
        <f t="shared" si="3"/>
        <v>0.79470198675496684</v>
      </c>
    </row>
    <row r="75" spans="1:16" ht="18.95" customHeight="1">
      <c r="A75" s="349">
        <f t="shared" si="4"/>
        <v>51</v>
      </c>
      <c r="B75" s="358" t="s">
        <v>2359</v>
      </c>
      <c r="C75" s="355" t="s">
        <v>2360</v>
      </c>
      <c r="D75" s="145">
        <v>42856</v>
      </c>
      <c r="E75" s="146">
        <v>43769</v>
      </c>
      <c r="F75" s="149">
        <v>1.1993428258488499</v>
      </c>
      <c r="G75" s="355">
        <v>11000000</v>
      </c>
      <c r="H75" s="355">
        <v>20466998.399999999</v>
      </c>
      <c r="I75" s="359">
        <v>4300.6686684131773</v>
      </c>
      <c r="J75" s="353">
        <f t="shared" si="5"/>
        <v>2.1012698512807708E-4</v>
      </c>
      <c r="M75" s="74">
        <f t="shared" si="1"/>
        <v>913</v>
      </c>
      <c r="N75" s="146">
        <v>43951</v>
      </c>
      <c r="O75" s="74">
        <f t="shared" si="2"/>
        <v>-182</v>
      </c>
      <c r="P75" s="354">
        <f t="shared" si="3"/>
        <v>1.1993428258488499</v>
      </c>
    </row>
    <row r="76" spans="1:16" ht="18.95" customHeight="1">
      <c r="A76" s="349">
        <f t="shared" si="4"/>
        <v>52</v>
      </c>
      <c r="B76" s="358" t="s">
        <v>2346</v>
      </c>
      <c r="C76" s="355" t="s">
        <v>2347</v>
      </c>
      <c r="D76" s="145">
        <v>41947</v>
      </c>
      <c r="E76" s="146">
        <v>44561</v>
      </c>
      <c r="F76" s="149">
        <v>0.7666411629686305</v>
      </c>
      <c r="G76" s="355">
        <v>5400393.2599999998</v>
      </c>
      <c r="H76" s="355">
        <v>5606040.8600000003</v>
      </c>
      <c r="I76" s="359">
        <v>216545.86</v>
      </c>
      <c r="J76" s="353">
        <f t="shared" si="5"/>
        <v>3.8627235406914241E-2</v>
      </c>
      <c r="M76" s="74">
        <f t="shared" si="1"/>
        <v>2614</v>
      </c>
      <c r="N76" s="146">
        <v>43951</v>
      </c>
      <c r="O76" s="74">
        <f t="shared" si="2"/>
        <v>610</v>
      </c>
      <c r="P76" s="354">
        <f t="shared" si="3"/>
        <v>0.7666411629686305</v>
      </c>
    </row>
    <row r="77" spans="1:16" ht="18.95" customHeight="1">
      <c r="A77" s="349">
        <f t="shared" si="4"/>
        <v>53</v>
      </c>
      <c r="B77" s="358" t="s">
        <v>3019</v>
      </c>
      <c r="C77" s="355" t="s">
        <v>3020</v>
      </c>
      <c r="D77" s="145">
        <v>43831</v>
      </c>
      <c r="E77" s="146">
        <v>43982</v>
      </c>
      <c r="F77" s="149">
        <v>0.79470198675496684</v>
      </c>
      <c r="G77" s="355">
        <v>315000</v>
      </c>
      <c r="H77" s="355">
        <v>320229.08</v>
      </c>
      <c r="I77" s="359">
        <v>320229.08</v>
      </c>
      <c r="J77" s="353">
        <f t="shared" si="5"/>
        <v>1</v>
      </c>
      <c r="M77" s="74">
        <f t="shared" si="1"/>
        <v>151</v>
      </c>
      <c r="N77" s="146">
        <v>43951</v>
      </c>
      <c r="O77" s="74">
        <f t="shared" si="2"/>
        <v>31</v>
      </c>
      <c r="P77" s="354">
        <f t="shared" si="3"/>
        <v>0.79470198675496684</v>
      </c>
    </row>
    <row r="78" spans="1:16" ht="18.95" customHeight="1">
      <c r="A78" s="349">
        <f t="shared" si="4"/>
        <v>54</v>
      </c>
      <c r="B78" s="358" t="s">
        <v>3021</v>
      </c>
      <c r="C78" s="355" t="s">
        <v>3022</v>
      </c>
      <c r="D78" s="145">
        <v>43834</v>
      </c>
      <c r="E78" s="146">
        <v>43982</v>
      </c>
      <c r="F78" s="149">
        <v>0.79054054054054057</v>
      </c>
      <c r="G78" s="355">
        <v>2900000</v>
      </c>
      <c r="H78" s="355">
        <v>2920303.33</v>
      </c>
      <c r="I78" s="359">
        <v>2920303.33</v>
      </c>
      <c r="J78" s="353">
        <f t="shared" si="5"/>
        <v>1</v>
      </c>
      <c r="M78" s="74">
        <f t="shared" si="1"/>
        <v>148</v>
      </c>
      <c r="N78" s="146">
        <v>43951</v>
      </c>
      <c r="O78" s="74">
        <f t="shared" si="2"/>
        <v>31</v>
      </c>
      <c r="P78" s="354">
        <f t="shared" si="3"/>
        <v>0.79054054054054057</v>
      </c>
    </row>
    <row r="79" spans="1:16" ht="18.75" customHeight="1">
      <c r="A79" s="349">
        <f t="shared" si="4"/>
        <v>55</v>
      </c>
      <c r="B79" s="358" t="s">
        <v>3023</v>
      </c>
      <c r="C79" s="355" t="s">
        <v>3024</v>
      </c>
      <c r="D79" s="145">
        <v>43831</v>
      </c>
      <c r="E79" s="146">
        <v>44196</v>
      </c>
      <c r="F79" s="149">
        <v>0.32876712328767121</v>
      </c>
      <c r="G79" s="355">
        <v>127047.69</v>
      </c>
      <c r="H79" s="355">
        <v>137124.9</v>
      </c>
      <c r="I79" s="359">
        <v>137124.9</v>
      </c>
      <c r="J79" s="353">
        <f t="shared" si="5"/>
        <v>1</v>
      </c>
      <c r="M79" s="74">
        <f t="shared" si="1"/>
        <v>365</v>
      </c>
      <c r="N79" s="146">
        <v>43951</v>
      </c>
      <c r="O79" s="74">
        <f t="shared" si="2"/>
        <v>245</v>
      </c>
      <c r="P79" s="354">
        <f t="shared" si="3"/>
        <v>0.32876712328767121</v>
      </c>
    </row>
    <row r="80" spans="1:16" ht="18.75" customHeight="1">
      <c r="A80" s="349">
        <f t="shared" si="4"/>
        <v>56</v>
      </c>
      <c r="B80" s="358" t="s">
        <v>3025</v>
      </c>
      <c r="C80" s="355" t="s">
        <v>3026</v>
      </c>
      <c r="D80" s="145">
        <v>43466</v>
      </c>
      <c r="E80" s="146">
        <v>44196</v>
      </c>
      <c r="F80" s="149">
        <v>0.66438356164383561</v>
      </c>
      <c r="G80" s="355">
        <v>571714.61</v>
      </c>
      <c r="H80" s="355">
        <v>742275.5</v>
      </c>
      <c r="I80" s="359">
        <v>742275.5</v>
      </c>
      <c r="J80" s="353">
        <f t="shared" si="5"/>
        <v>1</v>
      </c>
      <c r="M80" s="74">
        <f t="shared" si="1"/>
        <v>730</v>
      </c>
      <c r="N80" s="146">
        <v>43951</v>
      </c>
      <c r="O80" s="74">
        <f t="shared" si="2"/>
        <v>245</v>
      </c>
      <c r="P80" s="354">
        <f t="shared" si="3"/>
        <v>0.66438356164383561</v>
      </c>
    </row>
    <row r="81" spans="1:16" ht="18.75" customHeight="1">
      <c r="A81" s="349">
        <f t="shared" si="4"/>
        <v>57</v>
      </c>
      <c r="B81" s="358" t="s">
        <v>3027</v>
      </c>
      <c r="C81" s="355" t="s">
        <v>3028</v>
      </c>
      <c r="D81" s="145">
        <v>42522</v>
      </c>
      <c r="E81" s="146">
        <v>44196</v>
      </c>
      <c r="F81" s="149">
        <v>0.85364396654719232</v>
      </c>
      <c r="G81" s="355">
        <v>321630.75</v>
      </c>
      <c r="H81" s="355">
        <v>320537.25</v>
      </c>
      <c r="I81" s="359">
        <v>320537.25</v>
      </c>
      <c r="J81" s="353">
        <f t="shared" si="5"/>
        <v>1</v>
      </c>
      <c r="M81" s="74">
        <f t="shared" si="1"/>
        <v>1674</v>
      </c>
      <c r="N81" s="146">
        <v>43951</v>
      </c>
      <c r="O81" s="74">
        <f t="shared" si="2"/>
        <v>245</v>
      </c>
      <c r="P81" s="354">
        <f t="shared" si="3"/>
        <v>0.85364396654719232</v>
      </c>
    </row>
    <row r="82" spans="1:16" ht="18.75" customHeight="1">
      <c r="A82" s="349">
        <f t="shared" si="4"/>
        <v>58</v>
      </c>
      <c r="B82" s="358" t="s">
        <v>3029</v>
      </c>
      <c r="C82" s="355" t="s">
        <v>3030</v>
      </c>
      <c r="D82" s="145">
        <v>43831</v>
      </c>
      <c r="E82" s="146">
        <v>43982</v>
      </c>
      <c r="F82" s="149">
        <v>0.79470198675496684</v>
      </c>
      <c r="G82" s="355">
        <v>400000</v>
      </c>
      <c r="H82" s="355">
        <v>351511.54</v>
      </c>
      <c r="I82" s="359">
        <v>106471.7</v>
      </c>
      <c r="J82" s="353">
        <f t="shared" si="5"/>
        <v>0.30289674131324396</v>
      </c>
      <c r="M82" s="74">
        <f t="shared" si="1"/>
        <v>151</v>
      </c>
      <c r="N82" s="146">
        <v>43951</v>
      </c>
      <c r="O82" s="74">
        <f t="shared" si="2"/>
        <v>31</v>
      </c>
      <c r="P82" s="354">
        <f t="shared" si="3"/>
        <v>0.79470198675496684</v>
      </c>
    </row>
    <row r="83" spans="1:16" ht="18.75" customHeight="1">
      <c r="A83" s="349">
        <f t="shared" si="4"/>
        <v>59</v>
      </c>
      <c r="B83" s="358" t="s">
        <v>3031</v>
      </c>
      <c r="C83" s="355" t="s">
        <v>3032</v>
      </c>
      <c r="D83" s="145">
        <v>43891</v>
      </c>
      <c r="E83" s="146">
        <v>43982</v>
      </c>
      <c r="F83" s="149">
        <v>0.65934065934065933</v>
      </c>
      <c r="G83" s="355">
        <v>150000</v>
      </c>
      <c r="H83" s="355">
        <v>157901.70000000001</v>
      </c>
      <c r="I83" s="359">
        <v>157901.70000000001</v>
      </c>
      <c r="J83" s="353">
        <f t="shared" si="5"/>
        <v>1</v>
      </c>
      <c r="M83" s="74">
        <f t="shared" si="1"/>
        <v>91</v>
      </c>
      <c r="N83" s="146">
        <v>43951</v>
      </c>
      <c r="O83" s="74">
        <f t="shared" si="2"/>
        <v>31</v>
      </c>
      <c r="P83" s="354">
        <f t="shared" si="3"/>
        <v>0.65934065934065933</v>
      </c>
    </row>
    <row r="84" spans="1:16" ht="18.75" customHeight="1">
      <c r="A84" s="349">
        <f t="shared" si="4"/>
        <v>60</v>
      </c>
      <c r="B84" s="358" t="s">
        <v>2759</v>
      </c>
      <c r="C84" s="355" t="s">
        <v>2760</v>
      </c>
      <c r="D84" s="145">
        <v>42736</v>
      </c>
      <c r="E84" s="146">
        <v>43373</v>
      </c>
      <c r="F84" s="149">
        <v>1.9073783359497645</v>
      </c>
      <c r="G84" s="355">
        <v>775000</v>
      </c>
      <c r="H84" s="355">
        <v>159139.21</v>
      </c>
      <c r="I84" s="359">
        <v>204.37052742269998</v>
      </c>
      <c r="J84" s="353">
        <f t="shared" si="5"/>
        <v>1.2842248457982164E-3</v>
      </c>
      <c r="M84" s="74">
        <f t="shared" si="1"/>
        <v>637</v>
      </c>
      <c r="N84" s="146">
        <v>43951</v>
      </c>
      <c r="O84" s="74">
        <f t="shared" si="2"/>
        <v>-578</v>
      </c>
      <c r="P84" s="354">
        <f t="shared" si="3"/>
        <v>1.9073783359497645</v>
      </c>
    </row>
    <row r="85" spans="1:16" ht="18.75" customHeight="1">
      <c r="A85" s="349">
        <f t="shared" si="4"/>
        <v>61</v>
      </c>
      <c r="B85" s="358" t="s">
        <v>3033</v>
      </c>
      <c r="C85" s="355" t="s">
        <v>3034</v>
      </c>
      <c r="D85" s="145">
        <v>43831</v>
      </c>
      <c r="E85" s="146">
        <v>44196</v>
      </c>
      <c r="F85" s="149">
        <v>0.32876712328767121</v>
      </c>
      <c r="G85" s="355">
        <v>1015542</v>
      </c>
      <c r="H85" s="355">
        <v>658798.27</v>
      </c>
      <c r="I85" s="359">
        <v>658798.27</v>
      </c>
      <c r="J85" s="353">
        <f t="shared" si="5"/>
        <v>1</v>
      </c>
      <c r="M85" s="74">
        <f t="shared" si="1"/>
        <v>365</v>
      </c>
      <c r="N85" s="146">
        <v>43951</v>
      </c>
      <c r="O85" s="74">
        <f t="shared" si="2"/>
        <v>245</v>
      </c>
      <c r="P85" s="354">
        <f t="shared" si="3"/>
        <v>0.32876712328767121</v>
      </c>
    </row>
    <row r="86" spans="1:16" ht="18.75" customHeight="1">
      <c r="A86" s="349">
        <f t="shared" si="4"/>
        <v>62</v>
      </c>
      <c r="B86" s="358" t="s">
        <v>3035</v>
      </c>
      <c r="C86" s="355" t="s">
        <v>3036</v>
      </c>
      <c r="D86" s="145">
        <v>43831</v>
      </c>
      <c r="E86" s="146">
        <v>44196</v>
      </c>
      <c r="F86" s="149">
        <v>0.32876712328767121</v>
      </c>
      <c r="G86" s="355">
        <v>141153.35</v>
      </c>
      <c r="H86" s="355">
        <v>140661.04999999999</v>
      </c>
      <c r="I86" s="359">
        <v>140661.04999999999</v>
      </c>
      <c r="J86" s="353">
        <f t="shared" si="5"/>
        <v>1</v>
      </c>
      <c r="M86" s="74">
        <f t="shared" si="1"/>
        <v>365</v>
      </c>
      <c r="N86" s="146">
        <v>43951</v>
      </c>
      <c r="O86" s="74">
        <f t="shared" si="2"/>
        <v>245</v>
      </c>
      <c r="P86" s="354">
        <f t="shared" si="3"/>
        <v>0.32876712328767121</v>
      </c>
    </row>
    <row r="87" spans="1:16" ht="18.75" customHeight="1">
      <c r="A87" s="349">
        <f t="shared" si="4"/>
        <v>63</v>
      </c>
      <c r="B87" s="358" t="s">
        <v>3037</v>
      </c>
      <c r="C87" s="355" t="s">
        <v>3038</v>
      </c>
      <c r="D87" s="145">
        <v>43466</v>
      </c>
      <c r="E87" s="146">
        <v>44196</v>
      </c>
      <c r="F87" s="149">
        <v>0.66438356164383561</v>
      </c>
      <c r="G87" s="355">
        <v>546750</v>
      </c>
      <c r="H87" s="355">
        <v>486040.88</v>
      </c>
      <c r="I87" s="359">
        <v>486040.88</v>
      </c>
      <c r="J87" s="353">
        <f t="shared" si="5"/>
        <v>1</v>
      </c>
      <c r="M87" s="74">
        <f t="shared" si="1"/>
        <v>730</v>
      </c>
      <c r="N87" s="146">
        <v>43951</v>
      </c>
      <c r="O87" s="74">
        <f t="shared" si="2"/>
        <v>245</v>
      </c>
      <c r="P87" s="354">
        <f t="shared" si="3"/>
        <v>0.66438356164383561</v>
      </c>
    </row>
    <row r="88" spans="1:16" ht="18.75" customHeight="1">
      <c r="A88" s="349">
        <f t="shared" si="4"/>
        <v>64</v>
      </c>
      <c r="B88" s="358" t="s">
        <v>3039</v>
      </c>
      <c r="C88" s="355" t="s">
        <v>3040</v>
      </c>
      <c r="D88" s="145">
        <v>43466</v>
      </c>
      <c r="E88" s="146">
        <v>44196</v>
      </c>
      <c r="F88" s="149">
        <v>0.66438356164383561</v>
      </c>
      <c r="G88" s="355">
        <v>1831605.24</v>
      </c>
      <c r="H88" s="355">
        <v>2371070.71</v>
      </c>
      <c r="I88" s="359">
        <v>2145350.71</v>
      </c>
      <c r="J88" s="353">
        <f t="shared" si="5"/>
        <v>0.90480250165124765</v>
      </c>
      <c r="M88" s="74">
        <f t="shared" si="1"/>
        <v>730</v>
      </c>
      <c r="N88" s="146">
        <v>43951</v>
      </c>
      <c r="O88" s="74">
        <f t="shared" si="2"/>
        <v>245</v>
      </c>
      <c r="P88" s="354">
        <f t="shared" si="3"/>
        <v>0.66438356164383561</v>
      </c>
    </row>
    <row r="89" spans="1:16" ht="18.75" customHeight="1">
      <c r="A89" s="349">
        <f t="shared" si="4"/>
        <v>65</v>
      </c>
      <c r="B89" s="358" t="s">
        <v>3041</v>
      </c>
      <c r="C89" s="355" t="s">
        <v>3042</v>
      </c>
      <c r="D89" s="145">
        <v>43831</v>
      </c>
      <c r="E89" s="146">
        <v>45657</v>
      </c>
      <c r="F89" s="149">
        <v>6.5717415115005479E-2</v>
      </c>
      <c r="G89" s="355">
        <v>160975.90000000002</v>
      </c>
      <c r="H89" s="355">
        <v>160975.90000000002</v>
      </c>
      <c r="I89" s="359">
        <v>78108.800000000003</v>
      </c>
      <c r="J89" s="353">
        <f t="shared" si="5"/>
        <v>0.48522045846614303</v>
      </c>
      <c r="M89" s="74">
        <f t="shared" ref="M89:M164" si="6">E89-D89</f>
        <v>1826</v>
      </c>
      <c r="N89" s="146">
        <v>43951</v>
      </c>
      <c r="O89" s="74">
        <f t="shared" ref="O89:O164" si="7">E89-N89</f>
        <v>1706</v>
      </c>
      <c r="P89" s="354">
        <f t="shared" ref="P89:P164" si="8">(M89-O89)/M89</f>
        <v>6.5717415115005479E-2</v>
      </c>
    </row>
    <row r="90" spans="1:16" ht="18.75" customHeight="1">
      <c r="A90" s="349">
        <f t="shared" ref="A90:A165" si="9">A89+1</f>
        <v>66</v>
      </c>
      <c r="B90" s="358" t="s">
        <v>3043</v>
      </c>
      <c r="C90" s="355" t="s">
        <v>3044</v>
      </c>
      <c r="D90" s="145">
        <v>43831</v>
      </c>
      <c r="E90" s="146">
        <v>44012</v>
      </c>
      <c r="F90" s="149">
        <v>0.66298342541436461</v>
      </c>
      <c r="G90" s="355">
        <v>412218.38999999996</v>
      </c>
      <c r="H90" s="355">
        <v>410866.71</v>
      </c>
      <c r="I90" s="359">
        <v>44251.6</v>
      </c>
      <c r="J90" s="353">
        <f t="shared" si="5"/>
        <v>0.1077030553290628</v>
      </c>
      <c r="M90" s="74">
        <f t="shared" si="6"/>
        <v>181</v>
      </c>
      <c r="N90" s="146">
        <v>43951</v>
      </c>
      <c r="O90" s="74">
        <f t="shared" si="7"/>
        <v>61</v>
      </c>
      <c r="P90" s="354">
        <f t="shared" si="8"/>
        <v>0.66298342541436461</v>
      </c>
    </row>
    <row r="91" spans="1:16" ht="18.75" customHeight="1">
      <c r="A91" s="349">
        <f t="shared" si="9"/>
        <v>67</v>
      </c>
      <c r="B91" s="358" t="s">
        <v>3045</v>
      </c>
      <c r="C91" s="355" t="s">
        <v>3046</v>
      </c>
      <c r="D91" s="145">
        <v>43831</v>
      </c>
      <c r="E91" s="146">
        <v>44012</v>
      </c>
      <c r="F91" s="149">
        <v>0.66298342541436461</v>
      </c>
      <c r="G91" s="355">
        <v>846886.37</v>
      </c>
      <c r="H91" s="355">
        <v>844109.44</v>
      </c>
      <c r="I91" s="359">
        <v>90938.6</v>
      </c>
      <c r="J91" s="353">
        <f t="shared" si="5"/>
        <v>0.10773318682468473</v>
      </c>
      <c r="M91" s="74">
        <f t="shared" si="6"/>
        <v>181</v>
      </c>
      <c r="N91" s="146">
        <v>43951</v>
      </c>
      <c r="O91" s="74">
        <f t="shared" si="7"/>
        <v>61</v>
      </c>
      <c r="P91" s="354">
        <f t="shared" si="8"/>
        <v>0.66298342541436461</v>
      </c>
    </row>
    <row r="92" spans="1:16" ht="18.75" customHeight="1">
      <c r="A92" s="349">
        <f t="shared" si="9"/>
        <v>68</v>
      </c>
      <c r="B92" s="358" t="s">
        <v>3047</v>
      </c>
      <c r="C92" s="355" t="s">
        <v>3048</v>
      </c>
      <c r="D92" s="145">
        <v>43831</v>
      </c>
      <c r="E92" s="146">
        <v>43982</v>
      </c>
      <c r="F92" s="149">
        <v>0.79470198675496684</v>
      </c>
      <c r="G92" s="355">
        <v>178021.26</v>
      </c>
      <c r="H92" s="355">
        <v>249596.43</v>
      </c>
      <c r="I92" s="359">
        <v>97750.53</v>
      </c>
      <c r="J92" s="353">
        <f t="shared" si="5"/>
        <v>0.39163432746213556</v>
      </c>
      <c r="M92" s="74">
        <f t="shared" si="6"/>
        <v>151</v>
      </c>
      <c r="N92" s="146">
        <v>43951</v>
      </c>
      <c r="O92" s="74">
        <f t="shared" si="7"/>
        <v>31</v>
      </c>
      <c r="P92" s="354">
        <f t="shared" si="8"/>
        <v>0.79470198675496684</v>
      </c>
    </row>
    <row r="93" spans="1:16" ht="18.75" customHeight="1">
      <c r="A93" s="349">
        <f t="shared" si="9"/>
        <v>69</v>
      </c>
      <c r="B93" s="358" t="s">
        <v>3049</v>
      </c>
      <c r="C93" s="355" t="s">
        <v>3050</v>
      </c>
      <c r="D93" s="145">
        <v>43466</v>
      </c>
      <c r="E93" s="146">
        <v>43982</v>
      </c>
      <c r="F93" s="149">
        <v>0.93992248062015504</v>
      </c>
      <c r="G93" s="355">
        <v>548443.64</v>
      </c>
      <c r="H93" s="355">
        <v>707305</v>
      </c>
      <c r="I93" s="359">
        <v>707305</v>
      </c>
      <c r="J93" s="353">
        <f t="shared" si="5"/>
        <v>1</v>
      </c>
      <c r="M93" s="74">
        <f t="shared" si="6"/>
        <v>516</v>
      </c>
      <c r="N93" s="146">
        <v>43951</v>
      </c>
      <c r="O93" s="74">
        <f t="shared" si="7"/>
        <v>31</v>
      </c>
      <c r="P93" s="354">
        <f t="shared" si="8"/>
        <v>0.93992248062015504</v>
      </c>
    </row>
    <row r="94" spans="1:16" ht="18.75" customHeight="1">
      <c r="A94" s="349">
        <f t="shared" si="9"/>
        <v>70</v>
      </c>
      <c r="B94" s="358" t="s">
        <v>3051</v>
      </c>
      <c r="C94" s="355" t="s">
        <v>3052</v>
      </c>
      <c r="D94" s="145">
        <v>43466</v>
      </c>
      <c r="E94" s="146">
        <v>43982</v>
      </c>
      <c r="F94" s="149">
        <v>0.93992248062015504</v>
      </c>
      <c r="G94" s="355">
        <v>4570363.7799999993</v>
      </c>
      <c r="H94" s="355">
        <v>4560239.71</v>
      </c>
      <c r="I94" s="359">
        <v>4560239.71</v>
      </c>
      <c r="J94" s="353">
        <f t="shared" si="5"/>
        <v>1</v>
      </c>
      <c r="M94" s="74">
        <f t="shared" si="6"/>
        <v>516</v>
      </c>
      <c r="N94" s="146">
        <v>43951</v>
      </c>
      <c r="O94" s="74">
        <f t="shared" si="7"/>
        <v>31</v>
      </c>
      <c r="P94" s="354">
        <f t="shared" si="8"/>
        <v>0.93992248062015504</v>
      </c>
    </row>
    <row r="95" spans="1:16" ht="18.75" customHeight="1">
      <c r="A95" s="349">
        <f t="shared" si="9"/>
        <v>71</v>
      </c>
      <c r="B95" s="358" t="s">
        <v>3053</v>
      </c>
      <c r="C95" s="355" t="s">
        <v>3054</v>
      </c>
      <c r="D95" s="145">
        <v>43466</v>
      </c>
      <c r="E95" s="146">
        <v>44074</v>
      </c>
      <c r="F95" s="149">
        <v>0.79769736842105265</v>
      </c>
      <c r="G95" s="355">
        <v>437935.82</v>
      </c>
      <c r="H95" s="355">
        <v>274902.83999999997</v>
      </c>
      <c r="I95" s="359">
        <v>133179.98000000001</v>
      </c>
      <c r="J95" s="353">
        <f t="shared" si="5"/>
        <v>0.48446200119285793</v>
      </c>
      <c r="M95" s="74">
        <f t="shared" si="6"/>
        <v>608</v>
      </c>
      <c r="N95" s="146">
        <v>43951</v>
      </c>
      <c r="O95" s="74">
        <f t="shared" si="7"/>
        <v>123</v>
      </c>
      <c r="P95" s="354">
        <f t="shared" si="8"/>
        <v>0.79769736842105265</v>
      </c>
    </row>
    <row r="96" spans="1:16" ht="18.75" customHeight="1">
      <c r="A96" s="349">
        <f t="shared" si="9"/>
        <v>72</v>
      </c>
      <c r="B96" s="358" t="s">
        <v>2766</v>
      </c>
      <c r="C96" s="355" t="s">
        <v>2767</v>
      </c>
      <c r="D96" s="145">
        <v>43101</v>
      </c>
      <c r="E96" s="146">
        <v>47118</v>
      </c>
      <c r="F96" s="149">
        <v>0.21160069703759024</v>
      </c>
      <c r="G96" s="355">
        <v>102166.25</v>
      </c>
      <c r="H96" s="355">
        <v>213479.72999999998</v>
      </c>
      <c r="I96" s="359">
        <v>101961.69</v>
      </c>
      <c r="J96" s="353">
        <f t="shared" si="5"/>
        <v>0.477617664215708</v>
      </c>
      <c r="M96" s="74">
        <f t="shared" si="6"/>
        <v>4017</v>
      </c>
      <c r="N96" s="146">
        <v>43951</v>
      </c>
      <c r="O96" s="74">
        <f t="shared" si="7"/>
        <v>3167</v>
      </c>
      <c r="P96" s="354">
        <f t="shared" si="8"/>
        <v>0.21160069703759024</v>
      </c>
    </row>
    <row r="97" spans="1:16" ht="18.75" customHeight="1">
      <c r="A97" s="349">
        <f t="shared" si="9"/>
        <v>73</v>
      </c>
      <c r="B97" s="358" t="s">
        <v>3055</v>
      </c>
      <c r="C97" s="355" t="s">
        <v>3056</v>
      </c>
      <c r="D97" s="145">
        <v>43466</v>
      </c>
      <c r="E97" s="146">
        <v>44196</v>
      </c>
      <c r="F97" s="149">
        <v>0.66438356164383561</v>
      </c>
      <c r="G97" s="355">
        <v>865684.8</v>
      </c>
      <c r="H97" s="355">
        <v>1948550.4</v>
      </c>
      <c r="I97" s="359">
        <v>783912.95999999996</v>
      </c>
      <c r="J97" s="353">
        <f t="shared" si="5"/>
        <v>0.40230571403233911</v>
      </c>
      <c r="M97" s="74">
        <f t="shared" si="6"/>
        <v>730</v>
      </c>
      <c r="N97" s="146">
        <v>43951</v>
      </c>
      <c r="O97" s="74">
        <f t="shared" si="7"/>
        <v>245</v>
      </c>
      <c r="P97" s="354">
        <f t="shared" si="8"/>
        <v>0.66438356164383561</v>
      </c>
    </row>
    <row r="98" spans="1:16" ht="18.75" customHeight="1">
      <c r="A98" s="349">
        <f t="shared" si="9"/>
        <v>74</v>
      </c>
      <c r="B98" s="358" t="s">
        <v>3057</v>
      </c>
      <c r="C98" s="355" t="s">
        <v>3058</v>
      </c>
      <c r="D98" s="145">
        <v>43831</v>
      </c>
      <c r="E98" s="146">
        <v>44196</v>
      </c>
      <c r="F98" s="149">
        <v>0.32876712328767121</v>
      </c>
      <c r="G98" s="355">
        <v>1385674.94</v>
      </c>
      <c r="H98" s="355">
        <v>1365438.99</v>
      </c>
      <c r="I98" s="359">
        <v>1365438.99</v>
      </c>
      <c r="J98" s="353">
        <f t="shared" si="5"/>
        <v>1</v>
      </c>
      <c r="M98" s="74">
        <f t="shared" si="6"/>
        <v>365</v>
      </c>
      <c r="N98" s="146">
        <v>43951</v>
      </c>
      <c r="O98" s="74">
        <f t="shared" si="7"/>
        <v>245</v>
      </c>
      <c r="P98" s="354">
        <f t="shared" si="8"/>
        <v>0.32876712328767121</v>
      </c>
    </row>
    <row r="99" spans="1:16" ht="18.75" customHeight="1">
      <c r="A99" s="349">
        <f t="shared" si="9"/>
        <v>75</v>
      </c>
      <c r="B99" s="358" t="s">
        <v>3059</v>
      </c>
      <c r="C99" s="355" t="s">
        <v>3060</v>
      </c>
      <c r="D99" s="145">
        <v>43831</v>
      </c>
      <c r="E99" s="146">
        <v>44196</v>
      </c>
      <c r="F99" s="149">
        <v>0.32876712328767121</v>
      </c>
      <c r="G99" s="355">
        <v>346092.75</v>
      </c>
      <c r="H99" s="355">
        <v>475194.1</v>
      </c>
      <c r="I99" s="359">
        <v>475194.1</v>
      </c>
      <c r="J99" s="353">
        <f t="shared" si="5"/>
        <v>1</v>
      </c>
      <c r="M99" s="74">
        <f t="shared" si="6"/>
        <v>365</v>
      </c>
      <c r="N99" s="146">
        <v>43951</v>
      </c>
      <c r="O99" s="74">
        <f t="shared" si="7"/>
        <v>245</v>
      </c>
      <c r="P99" s="354">
        <f t="shared" si="8"/>
        <v>0.32876712328767121</v>
      </c>
    </row>
    <row r="100" spans="1:16" ht="18.75" customHeight="1">
      <c r="A100" s="349">
        <f t="shared" si="9"/>
        <v>76</v>
      </c>
      <c r="B100" s="358" t="s">
        <v>3061</v>
      </c>
      <c r="C100" s="355" t="s">
        <v>3062</v>
      </c>
      <c r="D100" s="145">
        <v>43831</v>
      </c>
      <c r="E100" s="146">
        <v>44196</v>
      </c>
      <c r="F100" s="149">
        <v>0.32876712328767121</v>
      </c>
      <c r="G100" s="355">
        <v>201943.72999999998</v>
      </c>
      <c r="H100" s="355">
        <v>199205.42</v>
      </c>
      <c r="I100" s="359">
        <v>199205.42</v>
      </c>
      <c r="J100" s="353">
        <f t="shared" si="5"/>
        <v>1</v>
      </c>
      <c r="M100" s="74">
        <f t="shared" si="6"/>
        <v>365</v>
      </c>
      <c r="N100" s="146">
        <v>43951</v>
      </c>
      <c r="O100" s="74">
        <f t="shared" si="7"/>
        <v>245</v>
      </c>
      <c r="P100" s="354">
        <f t="shared" si="8"/>
        <v>0.32876712328767121</v>
      </c>
    </row>
    <row r="101" spans="1:16" ht="18.75" customHeight="1">
      <c r="A101" s="349">
        <f t="shared" si="9"/>
        <v>77</v>
      </c>
      <c r="B101" s="358" t="s">
        <v>3063</v>
      </c>
      <c r="C101" s="355" t="s">
        <v>3064</v>
      </c>
      <c r="D101" s="145">
        <v>43831</v>
      </c>
      <c r="E101" s="146">
        <v>44377</v>
      </c>
      <c r="F101" s="149">
        <v>0.21978021978021978</v>
      </c>
      <c r="G101" s="355">
        <v>4407260</v>
      </c>
      <c r="H101" s="355">
        <v>4407260</v>
      </c>
      <c r="I101" s="359">
        <v>169290</v>
      </c>
      <c r="J101" s="353">
        <f t="shared" si="5"/>
        <v>3.8411620825637698E-2</v>
      </c>
      <c r="M101" s="74">
        <f t="shared" si="6"/>
        <v>546</v>
      </c>
      <c r="N101" s="146">
        <v>43951</v>
      </c>
      <c r="O101" s="74">
        <f t="shared" si="7"/>
        <v>426</v>
      </c>
      <c r="P101" s="354">
        <f t="shared" si="8"/>
        <v>0.21978021978021978</v>
      </c>
    </row>
    <row r="102" spans="1:16" ht="18.75" customHeight="1">
      <c r="A102" s="349">
        <f t="shared" si="9"/>
        <v>78</v>
      </c>
      <c r="B102" s="358" t="s">
        <v>3065</v>
      </c>
      <c r="C102" s="355" t="s">
        <v>3066</v>
      </c>
      <c r="D102" s="145">
        <v>43466</v>
      </c>
      <c r="E102" s="146">
        <v>44012</v>
      </c>
      <c r="F102" s="149">
        <v>0.88827838827838823</v>
      </c>
      <c r="G102" s="355">
        <v>2394262.9900000002</v>
      </c>
      <c r="H102" s="355">
        <v>2394262.9900000002</v>
      </c>
      <c r="I102" s="359">
        <v>1894002.16</v>
      </c>
      <c r="J102" s="353">
        <f t="shared" si="5"/>
        <v>0.79105852945586386</v>
      </c>
      <c r="M102" s="74">
        <f t="shared" si="6"/>
        <v>546</v>
      </c>
      <c r="N102" s="146">
        <v>43951</v>
      </c>
      <c r="O102" s="74">
        <f t="shared" si="7"/>
        <v>61</v>
      </c>
      <c r="P102" s="354">
        <f t="shared" si="8"/>
        <v>0.88827838827838823</v>
      </c>
    </row>
    <row r="103" spans="1:16" ht="18.75" customHeight="1">
      <c r="A103" s="349">
        <f t="shared" si="9"/>
        <v>79</v>
      </c>
      <c r="B103" s="358" t="s">
        <v>3067</v>
      </c>
      <c r="C103" s="355" t="s">
        <v>3068</v>
      </c>
      <c r="D103" s="145">
        <v>43831</v>
      </c>
      <c r="E103" s="146">
        <v>44196</v>
      </c>
      <c r="F103" s="149">
        <v>0.32876712328767121</v>
      </c>
      <c r="G103" s="355">
        <v>126718.43</v>
      </c>
      <c r="H103" s="355">
        <v>126718.43</v>
      </c>
      <c r="I103" s="359">
        <v>126718.43</v>
      </c>
      <c r="J103" s="353">
        <f t="shared" si="5"/>
        <v>1</v>
      </c>
      <c r="M103" s="74">
        <f t="shared" si="6"/>
        <v>365</v>
      </c>
      <c r="N103" s="146">
        <v>43951</v>
      </c>
      <c r="O103" s="74">
        <f t="shared" si="7"/>
        <v>245</v>
      </c>
      <c r="P103" s="354">
        <f t="shared" si="8"/>
        <v>0.32876712328767121</v>
      </c>
    </row>
    <row r="104" spans="1:16" ht="18.75" customHeight="1">
      <c r="A104" s="349">
        <f t="shared" si="9"/>
        <v>80</v>
      </c>
      <c r="B104" s="358" t="s">
        <v>3069</v>
      </c>
      <c r="C104" s="355" t="s">
        <v>3070</v>
      </c>
      <c r="D104" s="145">
        <v>43831</v>
      </c>
      <c r="E104" s="146">
        <v>44926</v>
      </c>
      <c r="F104" s="149">
        <v>0.1095890410958904</v>
      </c>
      <c r="G104" s="355">
        <v>374151.32999999996</v>
      </c>
      <c r="H104" s="355">
        <v>374151.32999999996</v>
      </c>
      <c r="I104" s="359">
        <v>184311</v>
      </c>
      <c r="J104" s="353">
        <f t="shared" si="5"/>
        <v>0.49261083743842371</v>
      </c>
      <c r="M104" s="74">
        <f t="shared" si="6"/>
        <v>1095</v>
      </c>
      <c r="N104" s="146">
        <v>43951</v>
      </c>
      <c r="O104" s="74">
        <f t="shared" si="7"/>
        <v>975</v>
      </c>
      <c r="P104" s="354">
        <f t="shared" si="8"/>
        <v>0.1095890410958904</v>
      </c>
    </row>
    <row r="105" spans="1:16" ht="18.75" customHeight="1">
      <c r="A105" s="349">
        <f t="shared" si="9"/>
        <v>81</v>
      </c>
      <c r="B105" s="358" t="s">
        <v>3071</v>
      </c>
      <c r="C105" s="355" t="s">
        <v>3072</v>
      </c>
      <c r="D105" s="145">
        <v>43831</v>
      </c>
      <c r="E105" s="146">
        <v>47118</v>
      </c>
      <c r="F105" s="149">
        <v>3.6507453605111047E-2</v>
      </c>
      <c r="G105" s="355">
        <v>176162.32</v>
      </c>
      <c r="H105" s="355">
        <v>176162.32</v>
      </c>
      <c r="I105" s="359">
        <v>85349.96</v>
      </c>
      <c r="J105" s="353">
        <f t="shared" si="5"/>
        <v>0.48449611699028489</v>
      </c>
      <c r="M105" s="74">
        <f t="shared" si="6"/>
        <v>3287</v>
      </c>
      <c r="N105" s="146">
        <v>43951</v>
      </c>
      <c r="O105" s="74">
        <f t="shared" si="7"/>
        <v>3167</v>
      </c>
      <c r="P105" s="354">
        <f t="shared" si="8"/>
        <v>3.6507453605111047E-2</v>
      </c>
    </row>
    <row r="106" spans="1:16" ht="18.75" customHeight="1">
      <c r="A106" s="349">
        <f t="shared" si="9"/>
        <v>82</v>
      </c>
      <c r="B106" s="358" t="s">
        <v>3073</v>
      </c>
      <c r="C106" s="355" t="s">
        <v>3074</v>
      </c>
      <c r="D106" s="145">
        <v>43466</v>
      </c>
      <c r="E106" s="146">
        <v>44196</v>
      </c>
      <c r="F106" s="149">
        <v>0.66438356164383561</v>
      </c>
      <c r="G106" s="355">
        <v>759046.95</v>
      </c>
      <c r="H106" s="355">
        <v>759046.95</v>
      </c>
      <c r="I106" s="359">
        <v>759046.95</v>
      </c>
      <c r="J106" s="353">
        <f t="shared" si="5"/>
        <v>1</v>
      </c>
      <c r="M106" s="74">
        <f t="shared" si="6"/>
        <v>730</v>
      </c>
      <c r="N106" s="146">
        <v>43951</v>
      </c>
      <c r="O106" s="74">
        <f t="shared" si="7"/>
        <v>245</v>
      </c>
      <c r="P106" s="354">
        <f t="shared" si="8"/>
        <v>0.66438356164383561</v>
      </c>
    </row>
    <row r="107" spans="1:16" ht="18.75" customHeight="1">
      <c r="A107" s="349">
        <f t="shared" si="9"/>
        <v>83</v>
      </c>
      <c r="B107" s="358" t="s">
        <v>3075</v>
      </c>
      <c r="C107" s="355" t="s">
        <v>3076</v>
      </c>
      <c r="D107" s="145">
        <v>43466</v>
      </c>
      <c r="E107" s="146">
        <v>44074</v>
      </c>
      <c r="F107" s="149">
        <v>0.79769736842105265</v>
      </c>
      <c r="G107" s="355">
        <v>9648545.7300000004</v>
      </c>
      <c r="H107" s="355">
        <v>10546505.199999999</v>
      </c>
      <c r="I107" s="359">
        <v>7509586.7999999998</v>
      </c>
      <c r="J107" s="353">
        <f t="shared" si="5"/>
        <v>0.71204504787045475</v>
      </c>
      <c r="M107" s="74">
        <f t="shared" si="6"/>
        <v>608</v>
      </c>
      <c r="N107" s="146">
        <v>43951</v>
      </c>
      <c r="O107" s="74">
        <f t="shared" si="7"/>
        <v>123</v>
      </c>
      <c r="P107" s="354">
        <f t="shared" si="8"/>
        <v>0.79769736842105265</v>
      </c>
    </row>
    <row r="108" spans="1:16" ht="18.75" customHeight="1">
      <c r="A108" s="349">
        <f t="shared" si="9"/>
        <v>84</v>
      </c>
      <c r="B108" s="358" t="s">
        <v>2366</v>
      </c>
      <c r="C108" s="355" t="s">
        <v>2367</v>
      </c>
      <c r="D108" s="145">
        <v>42675</v>
      </c>
      <c r="E108" s="146">
        <v>47118</v>
      </c>
      <c r="F108" s="149">
        <v>0.28719333783479634</v>
      </c>
      <c r="G108" s="355">
        <v>5000000</v>
      </c>
      <c r="H108" s="355">
        <v>2615874.4900000002</v>
      </c>
      <c r="I108" s="359">
        <v>615874.49</v>
      </c>
      <c r="J108" s="353">
        <f t="shared" si="5"/>
        <v>0.23543732405907591</v>
      </c>
      <c r="M108" s="74">
        <f t="shared" si="6"/>
        <v>4443</v>
      </c>
      <c r="N108" s="146">
        <v>43951</v>
      </c>
      <c r="O108" s="74">
        <f t="shared" si="7"/>
        <v>3167</v>
      </c>
      <c r="P108" s="354">
        <f t="shared" si="8"/>
        <v>0.28719333783479634</v>
      </c>
    </row>
    <row r="109" spans="1:16" ht="18.75" customHeight="1">
      <c r="A109" s="349">
        <f t="shared" si="9"/>
        <v>85</v>
      </c>
      <c r="B109" s="358" t="s">
        <v>2776</v>
      </c>
      <c r="C109" s="355" t="s">
        <v>2777</v>
      </c>
      <c r="D109" s="145">
        <v>42186</v>
      </c>
      <c r="E109" s="146">
        <v>45412</v>
      </c>
      <c r="F109" s="149">
        <v>0.54711717296962181</v>
      </c>
      <c r="G109" s="355">
        <v>60000000</v>
      </c>
      <c r="H109" s="355">
        <v>-36380.070000000007</v>
      </c>
      <c r="I109" s="359">
        <v>558379.76</v>
      </c>
      <c r="J109" s="353">
        <f t="shared" si="5"/>
        <v>-15.34850702596229</v>
      </c>
      <c r="M109" s="74">
        <f t="shared" si="6"/>
        <v>3226</v>
      </c>
      <c r="N109" s="146">
        <v>43951</v>
      </c>
      <c r="O109" s="74">
        <f t="shared" si="7"/>
        <v>1461</v>
      </c>
      <c r="P109" s="354">
        <f t="shared" si="8"/>
        <v>0.54711717296962181</v>
      </c>
    </row>
    <row r="110" spans="1:16" ht="18.75" customHeight="1">
      <c r="A110" s="349">
        <f t="shared" si="9"/>
        <v>86</v>
      </c>
      <c r="B110" s="358" t="s">
        <v>2778</v>
      </c>
      <c r="C110" s="355" t="s">
        <v>2779</v>
      </c>
      <c r="D110" s="145">
        <v>42186</v>
      </c>
      <c r="E110" s="146">
        <v>46022</v>
      </c>
      <c r="F110" s="149">
        <v>0.46011470281543276</v>
      </c>
      <c r="G110" s="355">
        <v>7200000</v>
      </c>
      <c r="H110" s="355">
        <v>-1346080.2599999998</v>
      </c>
      <c r="I110" s="359">
        <v>1824165.17</v>
      </c>
      <c r="J110" s="353">
        <f t="shared" si="5"/>
        <v>-1.3551682052004836</v>
      </c>
      <c r="M110" s="74">
        <f t="shared" si="6"/>
        <v>3836</v>
      </c>
      <c r="N110" s="146">
        <v>43951</v>
      </c>
      <c r="O110" s="74">
        <f t="shared" si="7"/>
        <v>2071</v>
      </c>
      <c r="P110" s="354">
        <f t="shared" si="8"/>
        <v>0.46011470281543276</v>
      </c>
    </row>
    <row r="111" spans="1:16" ht="18.75" customHeight="1">
      <c r="A111" s="349">
        <f t="shared" si="9"/>
        <v>87</v>
      </c>
      <c r="B111" s="358" t="s">
        <v>2780</v>
      </c>
      <c r="C111" s="355" t="s">
        <v>2781</v>
      </c>
      <c r="D111" s="145">
        <v>42458</v>
      </c>
      <c r="E111" s="146">
        <v>43830</v>
      </c>
      <c r="F111" s="149">
        <v>1.088192419825073</v>
      </c>
      <c r="G111" s="355">
        <v>28466808.599999998</v>
      </c>
      <c r="H111" s="355">
        <v>7514764.0099999998</v>
      </c>
      <c r="I111" s="359">
        <v>17350.363576643398</v>
      </c>
      <c r="J111" s="353">
        <f t="shared" si="5"/>
        <v>2.3088367849682348E-3</v>
      </c>
      <c r="M111" s="74">
        <f t="shared" si="6"/>
        <v>1372</v>
      </c>
      <c r="N111" s="146">
        <v>43951</v>
      </c>
      <c r="O111" s="74">
        <f t="shared" si="7"/>
        <v>-121</v>
      </c>
      <c r="P111" s="354">
        <f t="shared" si="8"/>
        <v>1.088192419825073</v>
      </c>
    </row>
    <row r="112" spans="1:16" ht="18.75" customHeight="1">
      <c r="A112" s="349">
        <f t="shared" si="9"/>
        <v>88</v>
      </c>
      <c r="B112" s="358" t="s">
        <v>2782</v>
      </c>
      <c r="C112" s="355" t="s">
        <v>2783</v>
      </c>
      <c r="D112" s="145">
        <v>42458</v>
      </c>
      <c r="E112" s="146">
        <v>44012</v>
      </c>
      <c r="F112" s="149">
        <v>0.96074646074646075</v>
      </c>
      <c r="G112" s="355">
        <v>19864569.939999998</v>
      </c>
      <c r="H112" s="355">
        <v>20377040.710000001</v>
      </c>
      <c r="I112" s="359">
        <v>10414.187462671878</v>
      </c>
      <c r="J112" s="353">
        <f t="shared" si="5"/>
        <v>5.1107457706364256E-4</v>
      </c>
      <c r="M112" s="74">
        <f t="shared" si="6"/>
        <v>1554</v>
      </c>
      <c r="N112" s="146">
        <v>43951</v>
      </c>
      <c r="O112" s="74">
        <f t="shared" si="7"/>
        <v>61</v>
      </c>
      <c r="P112" s="354">
        <f t="shared" si="8"/>
        <v>0.96074646074646075</v>
      </c>
    </row>
    <row r="113" spans="1:16" s="360" customFormat="1" ht="20.100000000000001" customHeight="1">
      <c r="A113" s="769" t="str">
        <f>$A$1</f>
        <v>KENTUCKY UTILITIES COMPANY</v>
      </c>
      <c r="B113" s="769"/>
      <c r="C113" s="769"/>
      <c r="D113" s="769"/>
      <c r="E113" s="769"/>
      <c r="F113" s="769"/>
      <c r="G113" s="769"/>
      <c r="H113" s="769"/>
      <c r="I113" s="769"/>
      <c r="J113" s="769"/>
    </row>
    <row r="114" spans="1:16" s="360" customFormat="1" ht="20.100000000000001" customHeight="1">
      <c r="A114" s="769" t="str">
        <f>$A$2</f>
        <v>CASE NO. 2018-00294 - RESPONSE TO PSC 2-65 (SLIPPAGE FACTOR 96.027%)</v>
      </c>
      <c r="B114" s="769"/>
      <c r="C114" s="769"/>
      <c r="D114" s="769"/>
      <c r="E114" s="769"/>
      <c r="F114" s="769"/>
      <c r="G114" s="769"/>
      <c r="H114" s="769"/>
      <c r="I114" s="769"/>
      <c r="J114" s="769"/>
    </row>
    <row r="115" spans="1:16" s="360" customFormat="1" ht="20.100000000000001" customHeight="1">
      <c r="A115" s="769" t="s">
        <v>1219</v>
      </c>
      <c r="B115" s="769"/>
      <c r="C115" s="769"/>
      <c r="D115" s="769"/>
      <c r="E115" s="769"/>
      <c r="F115" s="769"/>
      <c r="G115" s="769"/>
      <c r="H115" s="769"/>
      <c r="I115" s="769"/>
      <c r="J115" s="769"/>
    </row>
    <row r="116" spans="1:16" s="360" customFormat="1" ht="20.100000000000001" customHeight="1">
      <c r="A116" s="769" t="str">
        <f>$A$4</f>
        <v>AS OF APRIL 30, 2020</v>
      </c>
      <c r="B116" s="769"/>
      <c r="C116" s="769"/>
      <c r="D116" s="769"/>
      <c r="E116" s="769"/>
      <c r="F116" s="769"/>
      <c r="G116" s="769"/>
      <c r="H116" s="769"/>
      <c r="I116" s="769"/>
      <c r="J116" s="769"/>
    </row>
    <row r="117" spans="1:16" s="360" customFormat="1" ht="20.100000000000001" customHeight="1">
      <c r="A117" s="347"/>
      <c r="B117" s="347"/>
      <c r="C117" s="347"/>
      <c r="D117" s="347"/>
      <c r="E117" s="347"/>
      <c r="F117" s="347"/>
      <c r="G117" s="347"/>
      <c r="H117" s="347"/>
      <c r="I117" s="347"/>
      <c r="J117" s="347"/>
    </row>
    <row r="118" spans="1:16" s="360" customFormat="1" ht="20.100000000000001" customHeight="1">
      <c r="A118" s="67" t="str">
        <f>$A$6</f>
        <v>DATA:____BASE  PERIOD__X__FORECASTED  PERIOD</v>
      </c>
      <c r="B118" s="348"/>
      <c r="C118" s="68"/>
      <c r="D118" s="144"/>
      <c r="E118" s="144"/>
      <c r="F118" s="68"/>
      <c r="G118" s="74"/>
      <c r="H118" s="74"/>
      <c r="I118" s="74"/>
      <c r="J118" s="74" t="s">
        <v>1714</v>
      </c>
    </row>
    <row r="119" spans="1:16" s="360" customFormat="1" ht="20.100000000000001" customHeight="1">
      <c r="A119" s="67" t="str">
        <f>$A$7</f>
        <v>TYPE OF FILING: __X__ ORIGINAL  _____ UPDATED  _____ REVISED</v>
      </c>
      <c r="B119" s="349"/>
      <c r="C119" s="68"/>
      <c r="D119" s="144"/>
      <c r="E119" s="144"/>
      <c r="F119" s="68"/>
      <c r="G119" s="74"/>
      <c r="H119" s="74"/>
      <c r="I119" s="74"/>
      <c r="J119" s="74" t="s">
        <v>3397</v>
      </c>
    </row>
    <row r="120" spans="1:16" s="360" customFormat="1" ht="20.100000000000001" customHeight="1">
      <c r="A120" s="67" t="str">
        <f>$A$8</f>
        <v>WORKPAPER REFERENCE NO(S).:</v>
      </c>
      <c r="B120" s="348"/>
      <c r="C120" s="68"/>
      <c r="D120" s="144"/>
      <c r="E120" s="144"/>
      <c r="F120" s="67"/>
      <c r="G120" s="75"/>
      <c r="H120" s="75"/>
      <c r="I120" s="75"/>
      <c r="J120" s="75" t="str">
        <f>$J$8</f>
        <v>WITNESS:   C. M. GARRETT</v>
      </c>
    </row>
    <row r="121" spans="1:16" s="360" customFormat="1" ht="20.100000000000001" customHeight="1">
      <c r="A121" s="68"/>
      <c r="B121" s="349"/>
      <c r="C121" s="68"/>
      <c r="D121" s="144"/>
      <c r="E121" s="144"/>
      <c r="F121" s="68"/>
      <c r="G121" s="68"/>
      <c r="H121" s="68"/>
      <c r="I121" s="68"/>
      <c r="J121" s="68"/>
    </row>
    <row r="122" spans="1:16" s="360" customFormat="1" ht="65.099999999999994" customHeight="1">
      <c r="A122" s="76" t="s">
        <v>131</v>
      </c>
      <c r="B122" s="76" t="s">
        <v>1222</v>
      </c>
      <c r="C122" s="76" t="s">
        <v>1223</v>
      </c>
      <c r="D122" s="142" t="s">
        <v>1225</v>
      </c>
      <c r="E122" s="142" t="s">
        <v>1226</v>
      </c>
      <c r="F122" s="76" t="s">
        <v>1227</v>
      </c>
      <c r="G122" s="76" t="s">
        <v>1228</v>
      </c>
      <c r="H122" s="76" t="s">
        <v>1229</v>
      </c>
      <c r="I122" s="76" t="s">
        <v>1230</v>
      </c>
      <c r="J122" s="76" t="s">
        <v>1231</v>
      </c>
      <c r="M122" s="361" t="s">
        <v>1239</v>
      </c>
      <c r="N122" s="361" t="s">
        <v>1240</v>
      </c>
      <c r="O122" s="361" t="s">
        <v>1241</v>
      </c>
      <c r="P122" s="361" t="s">
        <v>1227</v>
      </c>
    </row>
    <row r="123" spans="1:16" s="360" customFormat="1" ht="23.1" customHeight="1">
      <c r="A123" s="80" t="s">
        <v>1220</v>
      </c>
      <c r="B123" s="80" t="s">
        <v>1221</v>
      </c>
      <c r="C123" s="80" t="s">
        <v>1224</v>
      </c>
      <c r="D123" s="356" t="s">
        <v>1232</v>
      </c>
      <c r="E123" s="356" t="s">
        <v>1233</v>
      </c>
      <c r="F123" s="357" t="s">
        <v>1234</v>
      </c>
      <c r="G123" s="357" t="s">
        <v>1235</v>
      </c>
      <c r="H123" s="357" t="s">
        <v>1236</v>
      </c>
      <c r="I123" s="357" t="s">
        <v>1237</v>
      </c>
      <c r="J123" s="357" t="s">
        <v>1238</v>
      </c>
    </row>
    <row r="124" spans="1:16" s="360" customFormat="1" ht="18.95" customHeight="1">
      <c r="A124" s="73"/>
      <c r="B124" s="73"/>
      <c r="C124" s="73"/>
      <c r="D124" s="362"/>
      <c r="E124" s="362"/>
      <c r="F124" s="363"/>
      <c r="G124" s="363"/>
      <c r="H124" s="363"/>
      <c r="I124" s="363"/>
      <c r="J124" s="363"/>
    </row>
    <row r="125" spans="1:16" ht="18.75" customHeight="1">
      <c r="A125" s="349">
        <f>A112+1</f>
        <v>89</v>
      </c>
      <c r="B125" s="358" t="s">
        <v>2784</v>
      </c>
      <c r="C125" s="355" t="s">
        <v>2785</v>
      </c>
      <c r="D125" s="145">
        <v>42458</v>
      </c>
      <c r="E125" s="146">
        <v>46022</v>
      </c>
      <c r="F125" s="149">
        <v>0.41891133557800225</v>
      </c>
      <c r="G125" s="355">
        <v>35870036.200000003</v>
      </c>
      <c r="H125" s="355">
        <v>16366188.84</v>
      </c>
      <c r="I125" s="359">
        <v>18919.460820609424</v>
      </c>
      <c r="J125" s="353">
        <f t="shared" ref="J125:J168" si="10">IFERROR(I125/H125,0)</f>
        <v>1.1560089526994255E-3</v>
      </c>
      <c r="M125" s="74">
        <f t="shared" si="6"/>
        <v>3564</v>
      </c>
      <c r="N125" s="146">
        <v>43951</v>
      </c>
      <c r="O125" s="74">
        <f t="shared" si="7"/>
        <v>2071</v>
      </c>
      <c r="P125" s="354">
        <f t="shared" si="8"/>
        <v>0.41891133557800225</v>
      </c>
    </row>
    <row r="126" spans="1:16" ht="18.75" customHeight="1">
      <c r="A126" s="349">
        <f t="shared" si="9"/>
        <v>90</v>
      </c>
      <c r="B126" s="358" t="s">
        <v>2786</v>
      </c>
      <c r="C126" s="355" t="s">
        <v>2787</v>
      </c>
      <c r="D126" s="145">
        <v>42543</v>
      </c>
      <c r="E126" s="146">
        <v>43982</v>
      </c>
      <c r="F126" s="149">
        <v>0.97845726198749128</v>
      </c>
      <c r="G126" s="355">
        <v>69569801.929999992</v>
      </c>
      <c r="H126" s="355">
        <v>22850505.010000002</v>
      </c>
      <c r="I126" s="359">
        <v>5179.9874719593772</v>
      </c>
      <c r="J126" s="353">
        <f t="shared" si="10"/>
        <v>2.266902840743552E-4</v>
      </c>
      <c r="M126" s="74">
        <f t="shared" si="6"/>
        <v>1439</v>
      </c>
      <c r="N126" s="146">
        <v>43951</v>
      </c>
      <c r="O126" s="74">
        <f t="shared" si="7"/>
        <v>31</v>
      </c>
      <c r="P126" s="354">
        <f t="shared" si="8"/>
        <v>0.97845726198749128</v>
      </c>
    </row>
    <row r="127" spans="1:16" ht="18.75" customHeight="1">
      <c r="A127" s="349">
        <f t="shared" si="9"/>
        <v>91</v>
      </c>
      <c r="B127" s="358" t="s">
        <v>2788</v>
      </c>
      <c r="C127" s="355" t="s">
        <v>2789</v>
      </c>
      <c r="D127" s="145">
        <v>42543</v>
      </c>
      <c r="E127" s="146">
        <v>43830</v>
      </c>
      <c r="F127" s="149">
        <v>1.0940170940170941</v>
      </c>
      <c r="G127" s="355">
        <v>114666966.84</v>
      </c>
      <c r="H127" s="355">
        <v>97554185.799999997</v>
      </c>
      <c r="I127" s="359">
        <v>16044.080799695896</v>
      </c>
      <c r="J127" s="353">
        <f t="shared" si="10"/>
        <v>1.6446327410889934E-4</v>
      </c>
      <c r="M127" s="74">
        <f t="shared" si="6"/>
        <v>1287</v>
      </c>
      <c r="N127" s="146">
        <v>43951</v>
      </c>
      <c r="O127" s="74">
        <f t="shared" si="7"/>
        <v>-121</v>
      </c>
      <c r="P127" s="354">
        <f t="shared" si="8"/>
        <v>1.0940170940170941</v>
      </c>
    </row>
    <row r="128" spans="1:16" ht="18.75" customHeight="1">
      <c r="A128" s="349">
        <f t="shared" si="9"/>
        <v>92</v>
      </c>
      <c r="B128" s="358" t="s">
        <v>2790</v>
      </c>
      <c r="C128" s="355" t="s">
        <v>2791</v>
      </c>
      <c r="D128" s="145">
        <v>42543</v>
      </c>
      <c r="E128" s="146">
        <v>43830</v>
      </c>
      <c r="F128" s="149">
        <v>1.0940170940170941</v>
      </c>
      <c r="G128" s="355">
        <v>39271680.980000004</v>
      </c>
      <c r="H128" s="355">
        <v>24795138.43</v>
      </c>
      <c r="I128" s="359">
        <v>21126.950111985283</v>
      </c>
      <c r="J128" s="353">
        <f t="shared" si="10"/>
        <v>8.5206017992718597E-4</v>
      </c>
      <c r="M128" s="74">
        <f t="shared" si="6"/>
        <v>1287</v>
      </c>
      <c r="N128" s="146">
        <v>43951</v>
      </c>
      <c r="O128" s="74">
        <f t="shared" si="7"/>
        <v>-121</v>
      </c>
      <c r="P128" s="354">
        <f t="shared" si="8"/>
        <v>1.0940170940170941</v>
      </c>
    </row>
    <row r="129" spans="1:16" ht="18.75" customHeight="1">
      <c r="A129" s="349">
        <f t="shared" si="9"/>
        <v>93</v>
      </c>
      <c r="B129" s="358" t="s">
        <v>2794</v>
      </c>
      <c r="C129" s="355" t="s">
        <v>2795</v>
      </c>
      <c r="D129" s="145">
        <v>42558</v>
      </c>
      <c r="E129" s="146">
        <v>44377</v>
      </c>
      <c r="F129" s="149">
        <v>0.76580538757559102</v>
      </c>
      <c r="G129" s="355">
        <v>1133000</v>
      </c>
      <c r="H129" s="355">
        <v>36354569.850000001</v>
      </c>
      <c r="I129" s="359">
        <v>33272116.926876649</v>
      </c>
      <c r="J129" s="353">
        <f t="shared" si="10"/>
        <v>0.91521140434774384</v>
      </c>
      <c r="M129" s="74">
        <f t="shared" si="6"/>
        <v>1819</v>
      </c>
      <c r="N129" s="146">
        <v>43951</v>
      </c>
      <c r="O129" s="74">
        <f t="shared" si="7"/>
        <v>426</v>
      </c>
      <c r="P129" s="354">
        <f t="shared" si="8"/>
        <v>0.76580538757559102</v>
      </c>
    </row>
    <row r="130" spans="1:16" ht="18.75" customHeight="1">
      <c r="A130" s="349">
        <f t="shared" si="9"/>
        <v>94</v>
      </c>
      <c r="B130" s="358" t="s">
        <v>2800</v>
      </c>
      <c r="C130" s="355" t="s">
        <v>2801</v>
      </c>
      <c r="D130" s="145">
        <v>43220</v>
      </c>
      <c r="E130" s="146">
        <v>43343</v>
      </c>
      <c r="F130" s="149">
        <v>5.9430894308943092</v>
      </c>
      <c r="G130" s="355">
        <v>367148.65</v>
      </c>
      <c r="H130" s="355">
        <v>367148.65</v>
      </c>
      <c r="I130" s="359">
        <v>69.925696671300003</v>
      </c>
      <c r="J130" s="353">
        <f t="shared" si="10"/>
        <v>1.9045609093564691E-4</v>
      </c>
      <c r="M130" s="74">
        <f t="shared" si="6"/>
        <v>123</v>
      </c>
      <c r="N130" s="146">
        <v>43951</v>
      </c>
      <c r="O130" s="74">
        <f t="shared" si="7"/>
        <v>-608</v>
      </c>
      <c r="P130" s="354">
        <f t="shared" si="8"/>
        <v>5.9430894308943092</v>
      </c>
    </row>
    <row r="131" spans="1:16" ht="18.75" customHeight="1">
      <c r="A131" s="349">
        <f t="shared" si="9"/>
        <v>95</v>
      </c>
      <c r="B131" s="358" t="s">
        <v>3077</v>
      </c>
      <c r="C131" s="355" t="s">
        <v>3078</v>
      </c>
      <c r="D131" s="145">
        <v>43281</v>
      </c>
      <c r="E131" s="146">
        <v>45016</v>
      </c>
      <c r="F131" s="149">
        <v>0.3861671469740634</v>
      </c>
      <c r="G131" s="355">
        <v>0</v>
      </c>
      <c r="H131" s="355">
        <v>0</v>
      </c>
      <c r="I131" s="359">
        <v>350000</v>
      </c>
      <c r="J131" s="353">
        <f t="shared" si="10"/>
        <v>0</v>
      </c>
      <c r="M131" s="74">
        <f t="shared" si="6"/>
        <v>1735</v>
      </c>
      <c r="N131" s="146">
        <v>43951</v>
      </c>
      <c r="O131" s="74">
        <f t="shared" si="7"/>
        <v>1065</v>
      </c>
      <c r="P131" s="354">
        <f t="shared" si="8"/>
        <v>0.3861671469740634</v>
      </c>
    </row>
    <row r="132" spans="1:16" ht="18.75" customHeight="1">
      <c r="A132" s="349">
        <f t="shared" si="9"/>
        <v>96</v>
      </c>
      <c r="B132" s="358" t="s">
        <v>3079</v>
      </c>
      <c r="C132" s="355" t="s">
        <v>3080</v>
      </c>
      <c r="D132" s="145">
        <v>43281</v>
      </c>
      <c r="E132" s="146">
        <v>45016</v>
      </c>
      <c r="F132" s="149">
        <v>0.3861671469740634</v>
      </c>
      <c r="G132" s="355">
        <v>0</v>
      </c>
      <c r="H132" s="355">
        <v>0</v>
      </c>
      <c r="I132" s="359">
        <v>250000</v>
      </c>
      <c r="J132" s="353">
        <f t="shared" si="10"/>
        <v>0</v>
      </c>
      <c r="M132" s="74">
        <f t="shared" si="6"/>
        <v>1735</v>
      </c>
      <c r="N132" s="146">
        <v>43951</v>
      </c>
      <c r="O132" s="74">
        <f t="shared" si="7"/>
        <v>1065</v>
      </c>
      <c r="P132" s="354">
        <f t="shared" si="8"/>
        <v>0.3861671469740634</v>
      </c>
    </row>
    <row r="133" spans="1:16" ht="18.75" customHeight="1">
      <c r="A133" s="349">
        <f t="shared" si="9"/>
        <v>97</v>
      </c>
      <c r="B133" s="358" t="s">
        <v>3081</v>
      </c>
      <c r="C133" s="355" t="s">
        <v>3082</v>
      </c>
      <c r="D133" s="145">
        <v>43313</v>
      </c>
      <c r="E133" s="146">
        <v>44561</v>
      </c>
      <c r="F133" s="149">
        <v>0.51121794871794868</v>
      </c>
      <c r="G133" s="355">
        <v>5897715.2400000002</v>
      </c>
      <c r="H133" s="355">
        <v>7070553.9400000004</v>
      </c>
      <c r="I133" s="359">
        <v>963276.67</v>
      </c>
      <c r="J133" s="353">
        <f t="shared" si="10"/>
        <v>0.1362377938382576</v>
      </c>
      <c r="M133" s="74">
        <f t="shared" si="6"/>
        <v>1248</v>
      </c>
      <c r="N133" s="146">
        <v>43951</v>
      </c>
      <c r="O133" s="74">
        <f t="shared" si="7"/>
        <v>610</v>
      </c>
      <c r="P133" s="354">
        <f t="shared" si="8"/>
        <v>0.51121794871794868</v>
      </c>
    </row>
    <row r="134" spans="1:16" ht="18.75" customHeight="1">
      <c r="A134" s="349">
        <f t="shared" si="9"/>
        <v>98</v>
      </c>
      <c r="B134" s="358" t="s">
        <v>3083</v>
      </c>
      <c r="C134" s="355" t="s">
        <v>3084</v>
      </c>
      <c r="D134" s="145">
        <v>43831</v>
      </c>
      <c r="E134" s="146">
        <v>44561</v>
      </c>
      <c r="F134" s="149">
        <v>0.16438356164383561</v>
      </c>
      <c r="G134" s="355">
        <v>500000</v>
      </c>
      <c r="H134" s="355">
        <v>899673.89</v>
      </c>
      <c r="I134" s="359">
        <v>25017.7</v>
      </c>
      <c r="J134" s="353">
        <f t="shared" si="10"/>
        <v>2.7807520344955216E-2</v>
      </c>
      <c r="M134" s="74">
        <f t="shared" si="6"/>
        <v>730</v>
      </c>
      <c r="N134" s="146">
        <v>43951</v>
      </c>
      <c r="O134" s="74">
        <f t="shared" si="7"/>
        <v>610</v>
      </c>
      <c r="P134" s="354">
        <f t="shared" si="8"/>
        <v>0.16438356164383561</v>
      </c>
    </row>
    <row r="135" spans="1:16" ht="18.75" customHeight="1">
      <c r="A135" s="349">
        <f t="shared" si="9"/>
        <v>99</v>
      </c>
      <c r="B135" s="358" t="s">
        <v>3085</v>
      </c>
      <c r="C135" s="355" t="s">
        <v>3086</v>
      </c>
      <c r="D135" s="145">
        <v>43466</v>
      </c>
      <c r="E135" s="146">
        <v>44561</v>
      </c>
      <c r="F135" s="149">
        <v>0.44292237442922372</v>
      </c>
      <c r="G135" s="355">
        <v>34515000</v>
      </c>
      <c r="H135" s="355">
        <v>18839369.879999999</v>
      </c>
      <c r="I135" s="359">
        <v>3067071.83</v>
      </c>
      <c r="J135" s="353">
        <f t="shared" si="10"/>
        <v>0.16280118971792279</v>
      </c>
      <c r="M135" s="74">
        <f t="shared" si="6"/>
        <v>1095</v>
      </c>
      <c r="N135" s="146">
        <v>43951</v>
      </c>
      <c r="O135" s="74">
        <f t="shared" si="7"/>
        <v>610</v>
      </c>
      <c r="P135" s="354">
        <f t="shared" si="8"/>
        <v>0.44292237442922372</v>
      </c>
    </row>
    <row r="136" spans="1:16" ht="18.75" customHeight="1">
      <c r="A136" s="349">
        <f t="shared" si="9"/>
        <v>100</v>
      </c>
      <c r="B136" s="358" t="s">
        <v>3087</v>
      </c>
      <c r="C136" s="355" t="s">
        <v>3088</v>
      </c>
      <c r="D136" s="145">
        <v>43840</v>
      </c>
      <c r="E136" s="146">
        <v>44196</v>
      </c>
      <c r="F136" s="149">
        <v>0.31179775280898875</v>
      </c>
      <c r="G136" s="355">
        <v>82628</v>
      </c>
      <c r="H136" s="355">
        <v>91931.839999999997</v>
      </c>
      <c r="I136" s="359">
        <v>30643.949999999997</v>
      </c>
      <c r="J136" s="353">
        <f t="shared" si="10"/>
        <v>0.33333336959208038</v>
      </c>
      <c r="M136" s="74">
        <f t="shared" si="6"/>
        <v>356</v>
      </c>
      <c r="N136" s="146">
        <v>43951</v>
      </c>
      <c r="O136" s="74">
        <f t="shared" si="7"/>
        <v>245</v>
      </c>
      <c r="P136" s="354">
        <f t="shared" si="8"/>
        <v>0.31179775280898875</v>
      </c>
    </row>
    <row r="137" spans="1:16" ht="18.75" customHeight="1">
      <c r="A137" s="349">
        <f t="shared" si="9"/>
        <v>101</v>
      </c>
      <c r="B137" s="358" t="s">
        <v>2810</v>
      </c>
      <c r="C137" s="355" t="s">
        <v>2811</v>
      </c>
      <c r="D137" s="145">
        <v>42736</v>
      </c>
      <c r="E137" s="146">
        <v>44012</v>
      </c>
      <c r="F137" s="149">
        <v>0.95219435736677116</v>
      </c>
      <c r="G137" s="355">
        <v>1499925.46</v>
      </c>
      <c r="H137" s="355">
        <v>5185367.03</v>
      </c>
      <c r="I137" s="359">
        <v>4844318.8599999994</v>
      </c>
      <c r="J137" s="353">
        <f t="shared" si="10"/>
        <v>0.93422873096024583</v>
      </c>
      <c r="M137" s="74">
        <f t="shared" si="6"/>
        <v>1276</v>
      </c>
      <c r="N137" s="146">
        <v>43951</v>
      </c>
      <c r="O137" s="74">
        <f t="shared" si="7"/>
        <v>61</v>
      </c>
      <c r="P137" s="354">
        <f t="shared" si="8"/>
        <v>0.95219435736677116</v>
      </c>
    </row>
    <row r="138" spans="1:16" ht="18.75" customHeight="1">
      <c r="A138" s="349">
        <f t="shared" si="9"/>
        <v>102</v>
      </c>
      <c r="B138" s="358" t="s">
        <v>3089</v>
      </c>
      <c r="C138" s="355" t="s">
        <v>3090</v>
      </c>
      <c r="D138" s="145">
        <v>43862</v>
      </c>
      <c r="E138" s="146">
        <v>44012</v>
      </c>
      <c r="F138" s="149">
        <v>0.59333333333333338</v>
      </c>
      <c r="G138" s="355">
        <v>725031.38</v>
      </c>
      <c r="H138" s="355">
        <v>766476.52</v>
      </c>
      <c r="I138" s="359">
        <v>459886.04000000004</v>
      </c>
      <c r="J138" s="353">
        <f t="shared" si="10"/>
        <v>0.60000016699794012</v>
      </c>
      <c r="M138" s="74">
        <f t="shared" si="6"/>
        <v>150</v>
      </c>
      <c r="N138" s="146">
        <v>43951</v>
      </c>
      <c r="O138" s="74">
        <f t="shared" si="7"/>
        <v>61</v>
      </c>
      <c r="P138" s="354">
        <f t="shared" si="8"/>
        <v>0.59333333333333338</v>
      </c>
    </row>
    <row r="139" spans="1:16" ht="18.75" customHeight="1">
      <c r="A139" s="349">
        <f t="shared" si="9"/>
        <v>103</v>
      </c>
      <c r="B139" s="358" t="s">
        <v>3091</v>
      </c>
      <c r="C139" s="355" t="s">
        <v>3092</v>
      </c>
      <c r="D139" s="145">
        <v>43739</v>
      </c>
      <c r="E139" s="146">
        <v>44012</v>
      </c>
      <c r="F139" s="149">
        <v>0.77655677655677657</v>
      </c>
      <c r="G139" s="355">
        <v>4000000.46</v>
      </c>
      <c r="H139" s="355">
        <v>3749135.34</v>
      </c>
      <c r="I139" s="359">
        <v>2532716.14</v>
      </c>
      <c r="J139" s="353">
        <f t="shared" si="10"/>
        <v>0.6755467355307585</v>
      </c>
      <c r="M139" s="74">
        <f t="shared" si="6"/>
        <v>273</v>
      </c>
      <c r="N139" s="146">
        <v>43951</v>
      </c>
      <c r="O139" s="74">
        <f t="shared" si="7"/>
        <v>61</v>
      </c>
      <c r="P139" s="354">
        <f t="shared" si="8"/>
        <v>0.77655677655677657</v>
      </c>
    </row>
    <row r="140" spans="1:16" ht="18.75" customHeight="1">
      <c r="A140" s="349">
        <f t="shared" si="9"/>
        <v>104</v>
      </c>
      <c r="B140" s="358" t="s">
        <v>3093</v>
      </c>
      <c r="C140" s="355" t="s">
        <v>3094</v>
      </c>
      <c r="D140" s="145">
        <v>43466</v>
      </c>
      <c r="E140" s="146">
        <v>47118</v>
      </c>
      <c r="F140" s="149">
        <v>0.13280394304490689</v>
      </c>
      <c r="G140" s="355">
        <v>7.3600000021979213</v>
      </c>
      <c r="H140" s="355">
        <v>44523.869999999995</v>
      </c>
      <c r="I140" s="359">
        <v>18117.719999999998</v>
      </c>
      <c r="J140" s="353">
        <f t="shared" si="10"/>
        <v>0.40692150075903105</v>
      </c>
      <c r="M140" s="74">
        <f t="shared" si="6"/>
        <v>3652</v>
      </c>
      <c r="N140" s="146">
        <v>43951</v>
      </c>
      <c r="O140" s="74">
        <f t="shared" si="7"/>
        <v>3167</v>
      </c>
      <c r="P140" s="354">
        <f t="shared" si="8"/>
        <v>0.13280394304490689</v>
      </c>
    </row>
    <row r="141" spans="1:16" ht="18.75" customHeight="1">
      <c r="A141" s="349">
        <f t="shared" si="9"/>
        <v>105</v>
      </c>
      <c r="B141" s="358" t="s">
        <v>3095</v>
      </c>
      <c r="C141" s="355" t="s">
        <v>3096</v>
      </c>
      <c r="D141" s="145">
        <v>43922</v>
      </c>
      <c r="E141" s="146">
        <v>44012</v>
      </c>
      <c r="F141" s="149">
        <v>0.32222222222222224</v>
      </c>
      <c r="G141" s="355">
        <v>404984.62</v>
      </c>
      <c r="H141" s="355">
        <v>388130.45</v>
      </c>
      <c r="I141" s="359">
        <v>206352.32</v>
      </c>
      <c r="J141" s="353">
        <f t="shared" si="10"/>
        <v>0.53165712713341606</v>
      </c>
      <c r="M141" s="74">
        <f t="shared" si="6"/>
        <v>90</v>
      </c>
      <c r="N141" s="146">
        <v>43951</v>
      </c>
      <c r="O141" s="74">
        <f t="shared" si="7"/>
        <v>61</v>
      </c>
      <c r="P141" s="354">
        <f t="shared" si="8"/>
        <v>0.32222222222222224</v>
      </c>
    </row>
    <row r="142" spans="1:16" ht="18.75" customHeight="1">
      <c r="A142" s="349">
        <f t="shared" si="9"/>
        <v>106</v>
      </c>
      <c r="B142" s="358" t="s">
        <v>3097</v>
      </c>
      <c r="C142" s="355" t="s">
        <v>3098</v>
      </c>
      <c r="D142" s="145">
        <v>43922</v>
      </c>
      <c r="E142" s="146">
        <v>44012</v>
      </c>
      <c r="F142" s="149">
        <v>0.32222222222222224</v>
      </c>
      <c r="G142" s="355">
        <v>404984.62</v>
      </c>
      <c r="H142" s="355">
        <v>388130.45</v>
      </c>
      <c r="I142" s="359">
        <v>206352.32</v>
      </c>
      <c r="J142" s="353">
        <f t="shared" si="10"/>
        <v>0.53165712713341606</v>
      </c>
      <c r="M142" s="74">
        <f t="shared" si="6"/>
        <v>90</v>
      </c>
      <c r="N142" s="146">
        <v>43951</v>
      </c>
      <c r="O142" s="74">
        <f t="shared" si="7"/>
        <v>61</v>
      </c>
      <c r="P142" s="354">
        <f t="shared" si="8"/>
        <v>0.32222222222222224</v>
      </c>
    </row>
    <row r="143" spans="1:16" ht="18.75" customHeight="1">
      <c r="A143" s="349">
        <f t="shared" si="9"/>
        <v>107</v>
      </c>
      <c r="B143" s="358" t="s">
        <v>3099</v>
      </c>
      <c r="C143" s="355" t="s">
        <v>3100</v>
      </c>
      <c r="D143" s="145">
        <v>43922</v>
      </c>
      <c r="E143" s="146">
        <v>44012</v>
      </c>
      <c r="F143" s="149">
        <v>0.32222222222222224</v>
      </c>
      <c r="G143" s="355">
        <v>404984.62</v>
      </c>
      <c r="H143" s="355">
        <v>388130.45</v>
      </c>
      <c r="I143" s="359">
        <v>206352.32</v>
      </c>
      <c r="J143" s="353">
        <f t="shared" si="10"/>
        <v>0.53165712713341606</v>
      </c>
      <c r="M143" s="74">
        <f t="shared" si="6"/>
        <v>90</v>
      </c>
      <c r="N143" s="146">
        <v>43951</v>
      </c>
      <c r="O143" s="74">
        <f t="shared" si="7"/>
        <v>61</v>
      </c>
      <c r="P143" s="354">
        <f t="shared" si="8"/>
        <v>0.32222222222222224</v>
      </c>
    </row>
    <row r="144" spans="1:16" ht="18.75" customHeight="1">
      <c r="A144" s="349">
        <f t="shared" si="9"/>
        <v>108</v>
      </c>
      <c r="B144" s="358" t="s">
        <v>3101</v>
      </c>
      <c r="C144" s="355" t="s">
        <v>3102</v>
      </c>
      <c r="D144" s="145">
        <v>43678</v>
      </c>
      <c r="E144" s="146">
        <v>44196</v>
      </c>
      <c r="F144" s="149">
        <v>0.52702702702702697</v>
      </c>
      <c r="G144" s="355">
        <v>324401.59999999998</v>
      </c>
      <c r="H144" s="355">
        <v>326654.08000000002</v>
      </c>
      <c r="I144" s="359">
        <v>69941.850000000006</v>
      </c>
      <c r="J144" s="353">
        <f t="shared" si="10"/>
        <v>0.21411595410043555</v>
      </c>
      <c r="M144" s="74">
        <f t="shared" si="6"/>
        <v>518</v>
      </c>
      <c r="N144" s="146">
        <v>43951</v>
      </c>
      <c r="O144" s="74">
        <f t="shared" si="7"/>
        <v>245</v>
      </c>
      <c r="P144" s="354">
        <f t="shared" si="8"/>
        <v>0.52702702702702697</v>
      </c>
    </row>
    <row r="145" spans="1:16" ht="18.75" customHeight="1">
      <c r="A145" s="349">
        <f t="shared" si="9"/>
        <v>109</v>
      </c>
      <c r="B145" s="358" t="s">
        <v>2363</v>
      </c>
      <c r="C145" s="355" t="s">
        <v>3103</v>
      </c>
      <c r="D145" s="145">
        <v>42887</v>
      </c>
      <c r="E145" s="146">
        <v>47848</v>
      </c>
      <c r="F145" s="149">
        <v>0.2144728885305382</v>
      </c>
      <c r="G145" s="355">
        <v>10071197.5</v>
      </c>
      <c r="H145" s="355">
        <v>11230966.700000001</v>
      </c>
      <c r="I145" s="359">
        <v>914939.38</v>
      </c>
      <c r="J145" s="353">
        <f t="shared" si="10"/>
        <v>8.1465772665856084E-2</v>
      </c>
      <c r="M145" s="74">
        <f t="shared" si="6"/>
        <v>4961</v>
      </c>
      <c r="N145" s="146">
        <v>43951</v>
      </c>
      <c r="O145" s="74">
        <f t="shared" si="7"/>
        <v>3897</v>
      </c>
      <c r="P145" s="354">
        <f t="shared" si="8"/>
        <v>0.2144728885305382</v>
      </c>
    </row>
    <row r="146" spans="1:16" ht="18.75" customHeight="1">
      <c r="A146" s="349">
        <f t="shared" si="9"/>
        <v>110</v>
      </c>
      <c r="B146" s="358" t="s">
        <v>2814</v>
      </c>
      <c r="C146" s="355" t="s">
        <v>2815</v>
      </c>
      <c r="D146" s="145">
        <v>43191</v>
      </c>
      <c r="E146" s="146">
        <v>44196</v>
      </c>
      <c r="F146" s="149">
        <v>0.75621890547263682</v>
      </c>
      <c r="G146" s="355">
        <v>39330847.25</v>
      </c>
      <c r="H146" s="355">
        <v>21583429.91</v>
      </c>
      <c r="I146" s="359">
        <v>14460851.829999998</v>
      </c>
      <c r="J146" s="353">
        <f t="shared" si="10"/>
        <v>0.6699978590196185</v>
      </c>
      <c r="M146" s="74">
        <f t="shared" si="6"/>
        <v>1005</v>
      </c>
      <c r="N146" s="146">
        <v>43951</v>
      </c>
      <c r="O146" s="74">
        <f t="shared" si="7"/>
        <v>245</v>
      </c>
      <c r="P146" s="354">
        <f t="shared" si="8"/>
        <v>0.75621890547263682</v>
      </c>
    </row>
    <row r="147" spans="1:16" ht="18.75" customHeight="1">
      <c r="A147" s="349">
        <f t="shared" si="9"/>
        <v>111</v>
      </c>
      <c r="B147" s="358" t="s">
        <v>2816</v>
      </c>
      <c r="C147" s="355" t="s">
        <v>2817</v>
      </c>
      <c r="D147" s="145">
        <v>43252</v>
      </c>
      <c r="E147" s="146">
        <v>44926</v>
      </c>
      <c r="F147" s="149">
        <v>0.41756272401433692</v>
      </c>
      <c r="G147" s="355">
        <v>33225000</v>
      </c>
      <c r="H147" s="355">
        <v>32007465.530000001</v>
      </c>
      <c r="I147" s="359">
        <v>2896688.98</v>
      </c>
      <c r="J147" s="353">
        <f t="shared" si="10"/>
        <v>9.0500417075665904E-2</v>
      </c>
      <c r="M147" s="74">
        <f t="shared" si="6"/>
        <v>1674</v>
      </c>
      <c r="N147" s="146">
        <v>43951</v>
      </c>
      <c r="O147" s="74">
        <f t="shared" si="7"/>
        <v>975</v>
      </c>
      <c r="P147" s="354">
        <f t="shared" si="8"/>
        <v>0.41756272401433692</v>
      </c>
    </row>
    <row r="148" spans="1:16" ht="18.75" customHeight="1">
      <c r="A148" s="349">
        <f t="shared" si="9"/>
        <v>112</v>
      </c>
      <c r="B148" s="358" t="s">
        <v>3104</v>
      </c>
      <c r="C148" s="355" t="s">
        <v>3105</v>
      </c>
      <c r="D148" s="145">
        <v>43709</v>
      </c>
      <c r="E148" s="146">
        <v>44561</v>
      </c>
      <c r="F148" s="149">
        <v>0.284037558685446</v>
      </c>
      <c r="G148" s="355">
        <v>1881700</v>
      </c>
      <c r="H148" s="355">
        <v>2994035.3</v>
      </c>
      <c r="I148" s="359">
        <v>598930.5</v>
      </c>
      <c r="J148" s="353">
        <f t="shared" si="10"/>
        <v>0.20004122863882068</v>
      </c>
      <c r="M148" s="74">
        <f t="shared" si="6"/>
        <v>852</v>
      </c>
      <c r="N148" s="146">
        <v>43951</v>
      </c>
      <c r="O148" s="74">
        <f t="shared" si="7"/>
        <v>610</v>
      </c>
      <c r="P148" s="354">
        <f t="shared" si="8"/>
        <v>0.284037558685446</v>
      </c>
    </row>
    <row r="149" spans="1:16" ht="18.75" customHeight="1">
      <c r="A149" s="349">
        <f t="shared" si="9"/>
        <v>113</v>
      </c>
      <c r="B149" s="358" t="s">
        <v>2351</v>
      </c>
      <c r="C149" s="355" t="s">
        <v>2352</v>
      </c>
      <c r="D149" s="145">
        <v>42736</v>
      </c>
      <c r="E149" s="146">
        <v>46387</v>
      </c>
      <c r="F149" s="149">
        <v>0.33278553820870993</v>
      </c>
      <c r="G149" s="355">
        <v>1463879.97</v>
      </c>
      <c r="H149" s="355">
        <v>811665.03</v>
      </c>
      <c r="I149" s="359">
        <v>88044</v>
      </c>
      <c r="J149" s="353">
        <f t="shared" si="10"/>
        <v>0.10847331934455769</v>
      </c>
      <c r="M149" s="74">
        <f t="shared" si="6"/>
        <v>3651</v>
      </c>
      <c r="N149" s="146">
        <v>43951</v>
      </c>
      <c r="O149" s="74">
        <f t="shared" si="7"/>
        <v>2436</v>
      </c>
      <c r="P149" s="354">
        <f t="shared" si="8"/>
        <v>0.33278553820870993</v>
      </c>
    </row>
    <row r="150" spans="1:16" ht="18.75" customHeight="1">
      <c r="A150" s="349">
        <f t="shared" si="9"/>
        <v>114</v>
      </c>
      <c r="B150" s="358" t="s">
        <v>2391</v>
      </c>
      <c r="C150" s="355" t="s">
        <v>2392</v>
      </c>
      <c r="D150" s="145">
        <v>43101</v>
      </c>
      <c r="E150" s="146">
        <v>44196</v>
      </c>
      <c r="F150" s="149">
        <v>0.77625570776255703</v>
      </c>
      <c r="G150" s="355">
        <v>1708181.81</v>
      </c>
      <c r="H150" s="355">
        <v>2973687.1</v>
      </c>
      <c r="I150" s="359">
        <v>1405409.28</v>
      </c>
      <c r="J150" s="353">
        <f t="shared" si="10"/>
        <v>0.47261505085723376</v>
      </c>
      <c r="M150" s="74">
        <f t="shared" si="6"/>
        <v>1095</v>
      </c>
      <c r="N150" s="146">
        <v>43951</v>
      </c>
      <c r="O150" s="74">
        <f t="shared" si="7"/>
        <v>245</v>
      </c>
      <c r="P150" s="354">
        <f t="shared" si="8"/>
        <v>0.77625570776255703</v>
      </c>
    </row>
    <row r="151" spans="1:16" ht="18.75" customHeight="1">
      <c r="A151" s="349">
        <f t="shared" si="9"/>
        <v>115</v>
      </c>
      <c r="B151" s="358" t="s">
        <v>3106</v>
      </c>
      <c r="C151" s="355" t="s">
        <v>3107</v>
      </c>
      <c r="D151" s="145">
        <v>43466</v>
      </c>
      <c r="E151" s="146">
        <v>44561</v>
      </c>
      <c r="F151" s="149">
        <v>0.44292237442922372</v>
      </c>
      <c r="G151" s="355">
        <v>1541000.04</v>
      </c>
      <c r="H151" s="355">
        <v>1539331.52</v>
      </c>
      <c r="I151" s="359">
        <v>495196.19999999995</v>
      </c>
      <c r="J151" s="353">
        <f t="shared" si="10"/>
        <v>0.32169561499007043</v>
      </c>
      <c r="M151" s="74">
        <f t="shared" si="6"/>
        <v>1095</v>
      </c>
      <c r="N151" s="146">
        <v>43951</v>
      </c>
      <c r="O151" s="74">
        <f t="shared" si="7"/>
        <v>610</v>
      </c>
      <c r="P151" s="354">
        <f t="shared" si="8"/>
        <v>0.44292237442922372</v>
      </c>
    </row>
    <row r="152" spans="1:16" ht="18.75" customHeight="1">
      <c r="A152" s="349">
        <f t="shared" si="9"/>
        <v>116</v>
      </c>
      <c r="B152" s="358" t="s">
        <v>3108</v>
      </c>
      <c r="C152" s="355" t="s">
        <v>3109</v>
      </c>
      <c r="D152" s="145">
        <v>43709</v>
      </c>
      <c r="E152" s="146">
        <v>44561</v>
      </c>
      <c r="F152" s="149">
        <v>0.284037558685446</v>
      </c>
      <c r="G152" s="355">
        <v>3998996.25</v>
      </c>
      <c r="H152" s="355">
        <v>6125872.5900000008</v>
      </c>
      <c r="I152" s="359">
        <v>1204225.95</v>
      </c>
      <c r="J152" s="353">
        <f t="shared" si="10"/>
        <v>0.19658031281385169</v>
      </c>
      <c r="M152" s="74">
        <f t="shared" si="6"/>
        <v>852</v>
      </c>
      <c r="N152" s="146">
        <v>43951</v>
      </c>
      <c r="O152" s="74">
        <f t="shared" si="7"/>
        <v>610</v>
      </c>
      <c r="P152" s="354">
        <f t="shared" si="8"/>
        <v>0.284037558685446</v>
      </c>
    </row>
    <row r="153" spans="1:16" ht="18.75" customHeight="1">
      <c r="A153" s="349">
        <f t="shared" si="9"/>
        <v>117</v>
      </c>
      <c r="B153" s="358" t="s">
        <v>2822</v>
      </c>
      <c r="C153" s="355" t="s">
        <v>2823</v>
      </c>
      <c r="D153" s="145">
        <v>43282</v>
      </c>
      <c r="E153" s="146">
        <v>44926</v>
      </c>
      <c r="F153" s="149">
        <v>0.40693430656934304</v>
      </c>
      <c r="G153" s="355">
        <v>9093001.4700000007</v>
      </c>
      <c r="H153" s="355">
        <v>11992518.560000001</v>
      </c>
      <c r="I153" s="359">
        <v>1929353.1</v>
      </c>
      <c r="J153" s="353">
        <f t="shared" si="10"/>
        <v>0.16087972600144135</v>
      </c>
      <c r="M153" s="74">
        <f t="shared" si="6"/>
        <v>1644</v>
      </c>
      <c r="N153" s="146">
        <v>43951</v>
      </c>
      <c r="O153" s="74">
        <f t="shared" si="7"/>
        <v>975</v>
      </c>
      <c r="P153" s="354">
        <f t="shared" si="8"/>
        <v>0.40693430656934304</v>
      </c>
    </row>
    <row r="154" spans="1:16" ht="18.75" customHeight="1">
      <c r="A154" s="349">
        <f t="shared" si="9"/>
        <v>118</v>
      </c>
      <c r="B154" s="358" t="s">
        <v>3110</v>
      </c>
      <c r="C154" s="355" t="s">
        <v>3111</v>
      </c>
      <c r="D154" s="145">
        <v>43831</v>
      </c>
      <c r="E154" s="146">
        <v>44561</v>
      </c>
      <c r="F154" s="149">
        <v>0.16438356164383561</v>
      </c>
      <c r="G154" s="355">
        <v>11000000</v>
      </c>
      <c r="H154" s="355">
        <v>-16343.19</v>
      </c>
      <c r="I154" s="359">
        <v>-4151.26</v>
      </c>
      <c r="J154" s="353">
        <f t="shared" si="10"/>
        <v>0.25400549097208075</v>
      </c>
      <c r="M154" s="74">
        <f t="shared" si="6"/>
        <v>730</v>
      </c>
      <c r="N154" s="146">
        <v>43951</v>
      </c>
      <c r="O154" s="74">
        <f t="shared" si="7"/>
        <v>610</v>
      </c>
      <c r="P154" s="354">
        <f t="shared" si="8"/>
        <v>0.16438356164383561</v>
      </c>
    </row>
    <row r="155" spans="1:16" ht="18.75" customHeight="1">
      <c r="A155" s="349">
        <f t="shared" si="9"/>
        <v>119</v>
      </c>
      <c r="B155" s="358" t="s">
        <v>2834</v>
      </c>
      <c r="C155" s="355" t="s">
        <v>2835</v>
      </c>
      <c r="D155" s="145">
        <v>43101</v>
      </c>
      <c r="E155" s="146">
        <v>44196</v>
      </c>
      <c r="F155" s="149">
        <v>0.77625570776255703</v>
      </c>
      <c r="G155" s="355">
        <v>10000295.18</v>
      </c>
      <c r="H155" s="355">
        <v>9428163.5499999989</v>
      </c>
      <c r="I155" s="359">
        <v>8326430.0300000003</v>
      </c>
      <c r="J155" s="353">
        <f t="shared" si="10"/>
        <v>0.88314441999682969</v>
      </c>
      <c r="M155" s="74">
        <f t="shared" si="6"/>
        <v>1095</v>
      </c>
      <c r="N155" s="146">
        <v>43951</v>
      </c>
      <c r="O155" s="74">
        <f t="shared" si="7"/>
        <v>245</v>
      </c>
      <c r="P155" s="354">
        <f t="shared" si="8"/>
        <v>0.77625570776255703</v>
      </c>
    </row>
    <row r="156" spans="1:16" ht="18.75" customHeight="1">
      <c r="A156" s="349">
        <f t="shared" si="9"/>
        <v>120</v>
      </c>
      <c r="B156" s="358" t="s">
        <v>3112</v>
      </c>
      <c r="C156" s="355" t="s">
        <v>3113</v>
      </c>
      <c r="D156" s="145">
        <v>43739</v>
      </c>
      <c r="E156" s="146">
        <v>44074</v>
      </c>
      <c r="F156" s="149">
        <v>0.63283582089552237</v>
      </c>
      <c r="G156" s="355">
        <v>1019661.01</v>
      </c>
      <c r="H156" s="355">
        <v>1019661.01</v>
      </c>
      <c r="I156" s="359">
        <v>610893.94000000006</v>
      </c>
      <c r="J156" s="353">
        <f t="shared" si="10"/>
        <v>0.59911473912295621</v>
      </c>
      <c r="M156" s="74">
        <f t="shared" si="6"/>
        <v>335</v>
      </c>
      <c r="N156" s="146">
        <v>43951</v>
      </c>
      <c r="O156" s="74">
        <f t="shared" si="7"/>
        <v>123</v>
      </c>
      <c r="P156" s="354">
        <f t="shared" si="8"/>
        <v>0.63283582089552237</v>
      </c>
    </row>
    <row r="157" spans="1:16" ht="18.75" customHeight="1">
      <c r="A157" s="349">
        <f t="shared" si="9"/>
        <v>121</v>
      </c>
      <c r="B157" s="358" t="s">
        <v>3114</v>
      </c>
      <c r="C157" s="355" t="s">
        <v>3115</v>
      </c>
      <c r="D157" s="145">
        <v>43739</v>
      </c>
      <c r="E157" s="146">
        <v>44074</v>
      </c>
      <c r="F157" s="149">
        <v>0.63283582089552237</v>
      </c>
      <c r="G157" s="355">
        <v>1019661.0700000001</v>
      </c>
      <c r="H157" s="355">
        <v>1019661.0700000001</v>
      </c>
      <c r="I157" s="359">
        <v>665321.03</v>
      </c>
      <c r="J157" s="353">
        <f t="shared" si="10"/>
        <v>0.6524923325747839</v>
      </c>
      <c r="M157" s="74">
        <f t="shared" si="6"/>
        <v>335</v>
      </c>
      <c r="N157" s="146">
        <v>43951</v>
      </c>
      <c r="O157" s="74">
        <f t="shared" si="7"/>
        <v>123</v>
      </c>
      <c r="P157" s="354">
        <f t="shared" si="8"/>
        <v>0.63283582089552237</v>
      </c>
    </row>
    <row r="158" spans="1:16" ht="18.75" customHeight="1">
      <c r="A158" s="349">
        <f t="shared" si="9"/>
        <v>122</v>
      </c>
      <c r="B158" s="358" t="s">
        <v>3116</v>
      </c>
      <c r="C158" s="355" t="s">
        <v>3117</v>
      </c>
      <c r="D158" s="145">
        <v>43739</v>
      </c>
      <c r="E158" s="146">
        <v>43982</v>
      </c>
      <c r="F158" s="149">
        <v>0.87242798353909468</v>
      </c>
      <c r="G158" s="355">
        <v>510421.35</v>
      </c>
      <c r="H158" s="355">
        <v>510421.35</v>
      </c>
      <c r="I158" s="359">
        <v>411633.55</v>
      </c>
      <c r="J158" s="353">
        <f t="shared" si="10"/>
        <v>0.80645833094560015</v>
      </c>
      <c r="M158" s="74">
        <f t="shared" si="6"/>
        <v>243</v>
      </c>
      <c r="N158" s="146">
        <v>43951</v>
      </c>
      <c r="O158" s="74">
        <f t="shared" si="7"/>
        <v>31</v>
      </c>
      <c r="P158" s="354">
        <f t="shared" si="8"/>
        <v>0.87242798353909468</v>
      </c>
    </row>
    <row r="159" spans="1:16" ht="18.75" customHeight="1">
      <c r="A159" s="349">
        <f t="shared" si="9"/>
        <v>123</v>
      </c>
      <c r="B159" s="358" t="s">
        <v>3118</v>
      </c>
      <c r="C159" s="355" t="s">
        <v>3119</v>
      </c>
      <c r="D159" s="145">
        <v>43739</v>
      </c>
      <c r="E159" s="146">
        <v>44196</v>
      </c>
      <c r="F159" s="149">
        <v>0.46389496717724288</v>
      </c>
      <c r="G159" s="355">
        <v>2039321.88</v>
      </c>
      <c r="H159" s="355">
        <v>2039321.88</v>
      </c>
      <c r="I159" s="359">
        <v>1094415.2399999998</v>
      </c>
      <c r="J159" s="353">
        <f t="shared" si="10"/>
        <v>0.53665644974102855</v>
      </c>
      <c r="M159" s="74">
        <f t="shared" si="6"/>
        <v>457</v>
      </c>
      <c r="N159" s="146">
        <v>43951</v>
      </c>
      <c r="O159" s="74">
        <f t="shared" si="7"/>
        <v>245</v>
      </c>
      <c r="P159" s="354">
        <f t="shared" si="8"/>
        <v>0.46389496717724288</v>
      </c>
    </row>
    <row r="160" spans="1:16" ht="18.75" customHeight="1">
      <c r="A160" s="349">
        <f t="shared" si="9"/>
        <v>124</v>
      </c>
      <c r="B160" s="358" t="s">
        <v>3120</v>
      </c>
      <c r="C160" s="355" t="s">
        <v>3121</v>
      </c>
      <c r="D160" s="145">
        <v>43739</v>
      </c>
      <c r="E160" s="146">
        <v>44286</v>
      </c>
      <c r="F160" s="149">
        <v>0.38756855575868371</v>
      </c>
      <c r="G160" s="355">
        <v>812461.55</v>
      </c>
      <c r="H160" s="355">
        <v>812461.55</v>
      </c>
      <c r="I160" s="359">
        <v>125661.76999999999</v>
      </c>
      <c r="J160" s="353">
        <f t="shared" si="10"/>
        <v>0.15466795936373848</v>
      </c>
      <c r="M160" s="74">
        <f t="shared" si="6"/>
        <v>547</v>
      </c>
      <c r="N160" s="146">
        <v>43951</v>
      </c>
      <c r="O160" s="74">
        <f t="shared" si="7"/>
        <v>335</v>
      </c>
      <c r="P160" s="354">
        <f t="shared" si="8"/>
        <v>0.38756855575868371</v>
      </c>
    </row>
    <row r="161" spans="1:16" ht="18.75" customHeight="1">
      <c r="A161" s="349">
        <f t="shared" si="9"/>
        <v>125</v>
      </c>
      <c r="B161" s="358" t="s">
        <v>3122</v>
      </c>
      <c r="C161" s="355" t="s">
        <v>3123</v>
      </c>
      <c r="D161" s="145">
        <v>43739</v>
      </c>
      <c r="E161" s="146">
        <v>44104</v>
      </c>
      <c r="F161" s="149">
        <v>0.58082191780821912</v>
      </c>
      <c r="G161" s="355">
        <v>1530082.3699999999</v>
      </c>
      <c r="H161" s="355">
        <v>1530082.3699999999</v>
      </c>
      <c r="I161" s="359">
        <v>891019.97</v>
      </c>
      <c r="J161" s="353">
        <f t="shared" si="10"/>
        <v>0.58233464254607414</v>
      </c>
      <c r="M161" s="74">
        <f t="shared" si="6"/>
        <v>365</v>
      </c>
      <c r="N161" s="146">
        <v>43951</v>
      </c>
      <c r="O161" s="74">
        <f t="shared" si="7"/>
        <v>153</v>
      </c>
      <c r="P161" s="354">
        <f t="shared" si="8"/>
        <v>0.58082191780821912</v>
      </c>
    </row>
    <row r="162" spans="1:16" ht="18.75" customHeight="1">
      <c r="A162" s="349">
        <f t="shared" si="9"/>
        <v>126</v>
      </c>
      <c r="B162" s="358" t="s">
        <v>3124</v>
      </c>
      <c r="C162" s="355" t="s">
        <v>3125</v>
      </c>
      <c r="D162" s="145">
        <v>43739</v>
      </c>
      <c r="E162" s="146">
        <v>44926</v>
      </c>
      <c r="F162" s="149">
        <v>0.17860151642796968</v>
      </c>
      <c r="G162" s="355">
        <v>7666475.29</v>
      </c>
      <c r="H162" s="355">
        <v>7666475.29</v>
      </c>
      <c r="I162" s="359">
        <v>415494.43000000005</v>
      </c>
      <c r="J162" s="353">
        <f t="shared" si="10"/>
        <v>5.4196278509103503E-2</v>
      </c>
      <c r="M162" s="74">
        <f t="shared" si="6"/>
        <v>1187</v>
      </c>
      <c r="N162" s="146">
        <v>43951</v>
      </c>
      <c r="O162" s="74">
        <f t="shared" si="7"/>
        <v>975</v>
      </c>
      <c r="P162" s="354">
        <f t="shared" si="8"/>
        <v>0.17860151642796968</v>
      </c>
    </row>
    <row r="163" spans="1:16" ht="18.75" customHeight="1">
      <c r="A163" s="349">
        <f t="shared" si="9"/>
        <v>127</v>
      </c>
      <c r="B163" s="358" t="s">
        <v>3126</v>
      </c>
      <c r="C163" s="355" t="s">
        <v>3127</v>
      </c>
      <c r="D163" s="145">
        <v>43739</v>
      </c>
      <c r="E163" s="146">
        <v>44074</v>
      </c>
      <c r="F163" s="149">
        <v>0.63283582089552237</v>
      </c>
      <c r="G163" s="355">
        <v>1019661.0700000001</v>
      </c>
      <c r="H163" s="355">
        <v>1019661.0700000001</v>
      </c>
      <c r="I163" s="359">
        <v>665321.03</v>
      </c>
      <c r="J163" s="353">
        <f t="shared" si="10"/>
        <v>0.6524923325747839</v>
      </c>
      <c r="M163" s="74">
        <f t="shared" si="6"/>
        <v>335</v>
      </c>
      <c r="N163" s="146">
        <v>43951</v>
      </c>
      <c r="O163" s="74">
        <f t="shared" si="7"/>
        <v>123</v>
      </c>
      <c r="P163" s="354">
        <f t="shared" si="8"/>
        <v>0.63283582089552237</v>
      </c>
    </row>
    <row r="164" spans="1:16" ht="18.75" customHeight="1">
      <c r="A164" s="349">
        <f t="shared" si="9"/>
        <v>128</v>
      </c>
      <c r="B164" s="358" t="s">
        <v>3128</v>
      </c>
      <c r="C164" s="355" t="s">
        <v>3129</v>
      </c>
      <c r="D164" s="145">
        <v>43101</v>
      </c>
      <c r="E164" s="146">
        <v>47848</v>
      </c>
      <c r="F164" s="149">
        <v>0.17906045923741309</v>
      </c>
      <c r="G164" s="355">
        <v>8147658.1200000001</v>
      </c>
      <c r="H164" s="355">
        <v>8147658.1200000001</v>
      </c>
      <c r="I164" s="359">
        <v>51254.530000000006</v>
      </c>
      <c r="J164" s="353">
        <f t="shared" si="10"/>
        <v>6.2907070037936256E-3</v>
      </c>
      <c r="M164" s="74">
        <f t="shared" si="6"/>
        <v>4747</v>
      </c>
      <c r="N164" s="146">
        <v>43951</v>
      </c>
      <c r="O164" s="74">
        <f t="shared" si="7"/>
        <v>3897</v>
      </c>
      <c r="P164" s="354">
        <f t="shared" si="8"/>
        <v>0.17906045923741309</v>
      </c>
    </row>
    <row r="165" spans="1:16" ht="18.75" customHeight="1">
      <c r="A165" s="349">
        <f t="shared" si="9"/>
        <v>129</v>
      </c>
      <c r="B165" s="358" t="s">
        <v>3130</v>
      </c>
      <c r="C165" s="355" t="s">
        <v>3131</v>
      </c>
      <c r="D165" s="145">
        <v>43739</v>
      </c>
      <c r="E165" s="146">
        <v>44012</v>
      </c>
      <c r="F165" s="149">
        <v>0.77655677655677657</v>
      </c>
      <c r="G165" s="355">
        <v>749156.19</v>
      </c>
      <c r="H165" s="355">
        <v>749156.19</v>
      </c>
      <c r="I165" s="359">
        <v>524437.75</v>
      </c>
      <c r="J165" s="353">
        <f t="shared" si="10"/>
        <v>0.70003793200987907</v>
      </c>
      <c r="M165" s="74">
        <f t="shared" ref="M165:M252" si="11">E165-D165</f>
        <v>273</v>
      </c>
      <c r="N165" s="146">
        <v>43951</v>
      </c>
      <c r="O165" s="74">
        <f t="shared" ref="O165:O252" si="12">E165-N165</f>
        <v>61</v>
      </c>
      <c r="P165" s="354">
        <f t="shared" ref="P165:P252" si="13">(M165-O165)/M165</f>
        <v>0.77655677655677657</v>
      </c>
    </row>
    <row r="166" spans="1:16" ht="18.75" customHeight="1">
      <c r="A166" s="349">
        <f t="shared" ref="A166:A253" si="14">A165+1</f>
        <v>130</v>
      </c>
      <c r="B166" s="358" t="s">
        <v>3132</v>
      </c>
      <c r="C166" s="355" t="s">
        <v>3133</v>
      </c>
      <c r="D166" s="145">
        <v>43739</v>
      </c>
      <c r="E166" s="146">
        <v>44012</v>
      </c>
      <c r="F166" s="149">
        <v>0.77655677655677657</v>
      </c>
      <c r="G166" s="355">
        <v>749156.21</v>
      </c>
      <c r="H166" s="355">
        <v>749156.21</v>
      </c>
      <c r="I166" s="359">
        <v>483971.11</v>
      </c>
      <c r="J166" s="353">
        <f t="shared" si="10"/>
        <v>0.64602162211269665</v>
      </c>
      <c r="M166" s="74">
        <f t="shared" si="11"/>
        <v>273</v>
      </c>
      <c r="N166" s="146">
        <v>43951</v>
      </c>
      <c r="O166" s="74">
        <f t="shared" si="12"/>
        <v>61</v>
      </c>
      <c r="P166" s="354">
        <f t="shared" si="13"/>
        <v>0.77655677655677657</v>
      </c>
    </row>
    <row r="167" spans="1:16" ht="18.75" customHeight="1">
      <c r="A167" s="349">
        <f t="shared" si="14"/>
        <v>131</v>
      </c>
      <c r="B167" s="358" t="s">
        <v>3134</v>
      </c>
      <c r="C167" s="355" t="s">
        <v>3135</v>
      </c>
      <c r="D167" s="145">
        <v>43709</v>
      </c>
      <c r="E167" s="146">
        <v>44926</v>
      </c>
      <c r="F167" s="149">
        <v>0.19884963023829089</v>
      </c>
      <c r="G167" s="355">
        <v>3196752.76</v>
      </c>
      <c r="H167" s="355">
        <v>3196752.76</v>
      </c>
      <c r="I167" s="359">
        <v>198043.56</v>
      </c>
      <c r="J167" s="353">
        <f t="shared" si="10"/>
        <v>6.1951478537239146E-2</v>
      </c>
      <c r="M167" s="74">
        <f t="shared" si="11"/>
        <v>1217</v>
      </c>
      <c r="N167" s="146">
        <v>43951</v>
      </c>
      <c r="O167" s="74">
        <f t="shared" si="12"/>
        <v>975</v>
      </c>
      <c r="P167" s="354">
        <f t="shared" si="13"/>
        <v>0.19884963023829089</v>
      </c>
    </row>
    <row r="168" spans="1:16" ht="18.75" customHeight="1">
      <c r="A168" s="349">
        <f t="shared" si="14"/>
        <v>132</v>
      </c>
      <c r="B168" s="358" t="s">
        <v>3136</v>
      </c>
      <c r="C168" s="355" t="s">
        <v>3137</v>
      </c>
      <c r="D168" s="145">
        <v>43739</v>
      </c>
      <c r="E168" s="146">
        <v>44012</v>
      </c>
      <c r="F168" s="149">
        <v>0.77655677655677657</v>
      </c>
      <c r="G168" s="355">
        <v>4972460.0199999996</v>
      </c>
      <c r="H168" s="355">
        <v>4972460.0199999996</v>
      </c>
      <c r="I168" s="359">
        <v>3282399.58</v>
      </c>
      <c r="J168" s="353">
        <f t="shared" si="10"/>
        <v>0.66011583135866025</v>
      </c>
      <c r="M168" s="74">
        <f t="shared" si="11"/>
        <v>273</v>
      </c>
      <c r="N168" s="146">
        <v>43951</v>
      </c>
      <c r="O168" s="74">
        <f t="shared" si="12"/>
        <v>61</v>
      </c>
      <c r="P168" s="354">
        <f t="shared" si="13"/>
        <v>0.77655677655677657</v>
      </c>
    </row>
    <row r="169" spans="1:16" s="360" customFormat="1" ht="20.100000000000001" customHeight="1">
      <c r="A169" s="769" t="str">
        <f>$A$1</f>
        <v>KENTUCKY UTILITIES COMPANY</v>
      </c>
      <c r="B169" s="769"/>
      <c r="C169" s="769"/>
      <c r="D169" s="769"/>
      <c r="E169" s="769"/>
      <c r="F169" s="769"/>
      <c r="G169" s="769"/>
      <c r="H169" s="769"/>
      <c r="I169" s="769"/>
      <c r="J169" s="769"/>
    </row>
    <row r="170" spans="1:16" s="360" customFormat="1" ht="20.100000000000001" customHeight="1">
      <c r="A170" s="769" t="str">
        <f>$A$2</f>
        <v>CASE NO. 2018-00294 - RESPONSE TO PSC 2-65 (SLIPPAGE FACTOR 96.027%)</v>
      </c>
      <c r="B170" s="769"/>
      <c r="C170" s="769"/>
      <c r="D170" s="769"/>
      <c r="E170" s="769"/>
      <c r="F170" s="769"/>
      <c r="G170" s="769"/>
      <c r="H170" s="769"/>
      <c r="I170" s="769"/>
      <c r="J170" s="769"/>
    </row>
    <row r="171" spans="1:16" s="360" customFormat="1" ht="20.100000000000001" customHeight="1">
      <c r="A171" s="769" t="s">
        <v>1219</v>
      </c>
      <c r="B171" s="769"/>
      <c r="C171" s="769"/>
      <c r="D171" s="769"/>
      <c r="E171" s="769"/>
      <c r="F171" s="769"/>
      <c r="G171" s="769"/>
      <c r="H171" s="769"/>
      <c r="I171" s="769"/>
      <c r="J171" s="769"/>
    </row>
    <row r="172" spans="1:16" s="360" customFormat="1" ht="20.100000000000001" customHeight="1">
      <c r="A172" s="769" t="str">
        <f>$A$4</f>
        <v>AS OF APRIL 30, 2020</v>
      </c>
      <c r="B172" s="769"/>
      <c r="C172" s="769"/>
      <c r="D172" s="769"/>
      <c r="E172" s="769"/>
      <c r="F172" s="769"/>
      <c r="G172" s="769"/>
      <c r="H172" s="769"/>
      <c r="I172" s="769"/>
      <c r="J172" s="769"/>
    </row>
    <row r="173" spans="1:16" s="360" customFormat="1" ht="20.100000000000001" customHeight="1">
      <c r="A173" s="347"/>
      <c r="B173" s="347"/>
      <c r="C173" s="347"/>
      <c r="D173" s="347"/>
      <c r="E173" s="347"/>
      <c r="F173" s="347"/>
      <c r="G173" s="347"/>
      <c r="H173" s="347"/>
      <c r="I173" s="347"/>
      <c r="J173" s="347"/>
    </row>
    <row r="174" spans="1:16" s="360" customFormat="1" ht="20.100000000000001" customHeight="1">
      <c r="A174" s="67" t="str">
        <f>$A$6</f>
        <v>DATA:____BASE  PERIOD__X__FORECASTED  PERIOD</v>
      </c>
      <c r="B174" s="348"/>
      <c r="C174" s="68"/>
      <c r="D174" s="144"/>
      <c r="E174" s="144"/>
      <c r="F174" s="68"/>
      <c r="G174" s="74"/>
      <c r="H174" s="74"/>
      <c r="I174" s="74"/>
      <c r="J174" s="74" t="s">
        <v>1714</v>
      </c>
    </row>
    <row r="175" spans="1:16" s="360" customFormat="1" ht="20.100000000000001" customHeight="1">
      <c r="A175" s="67" t="str">
        <f>$A$7</f>
        <v>TYPE OF FILING: __X__ ORIGINAL  _____ UPDATED  _____ REVISED</v>
      </c>
      <c r="B175" s="349"/>
      <c r="C175" s="68"/>
      <c r="D175" s="144"/>
      <c r="E175" s="144"/>
      <c r="F175" s="68"/>
      <c r="G175" s="74"/>
      <c r="H175" s="74"/>
      <c r="I175" s="74"/>
      <c r="J175" s="74" t="s">
        <v>3396</v>
      </c>
    </row>
    <row r="176" spans="1:16" s="360" customFormat="1" ht="20.100000000000001" customHeight="1">
      <c r="A176" s="67" t="str">
        <f>$A$8</f>
        <v>WORKPAPER REFERENCE NO(S).:</v>
      </c>
      <c r="B176" s="348"/>
      <c r="C176" s="68"/>
      <c r="D176" s="144"/>
      <c r="E176" s="144"/>
      <c r="F176" s="67"/>
      <c r="G176" s="75"/>
      <c r="H176" s="75"/>
      <c r="I176" s="75"/>
      <c r="J176" s="75" t="str">
        <f>$J$8</f>
        <v>WITNESS:   C. M. GARRETT</v>
      </c>
    </row>
    <row r="177" spans="1:16" s="360" customFormat="1" ht="20.100000000000001" customHeight="1">
      <c r="A177" s="68"/>
      <c r="B177" s="349"/>
      <c r="C177" s="68"/>
      <c r="D177" s="144"/>
      <c r="E177" s="144"/>
      <c r="F177" s="68"/>
      <c r="G177" s="68"/>
      <c r="H177" s="68"/>
      <c r="I177" s="68"/>
      <c r="J177" s="68"/>
    </row>
    <row r="178" spans="1:16" s="360" customFormat="1" ht="65.099999999999994" customHeight="1">
      <c r="A178" s="76" t="s">
        <v>131</v>
      </c>
      <c r="B178" s="76" t="s">
        <v>1222</v>
      </c>
      <c r="C178" s="76" t="s">
        <v>1223</v>
      </c>
      <c r="D178" s="142" t="s">
        <v>1225</v>
      </c>
      <c r="E178" s="142" t="s">
        <v>1226</v>
      </c>
      <c r="F178" s="76" t="s">
        <v>1227</v>
      </c>
      <c r="G178" s="76" t="s">
        <v>1228</v>
      </c>
      <c r="H178" s="76" t="s">
        <v>1229</v>
      </c>
      <c r="I178" s="76" t="s">
        <v>1230</v>
      </c>
      <c r="J178" s="76" t="s">
        <v>1231</v>
      </c>
      <c r="M178" s="361" t="s">
        <v>1239</v>
      </c>
      <c r="N178" s="361" t="s">
        <v>1240</v>
      </c>
      <c r="O178" s="361" t="s">
        <v>1241</v>
      </c>
      <c r="P178" s="361" t="s">
        <v>1227</v>
      </c>
    </row>
    <row r="179" spans="1:16" s="360" customFormat="1" ht="23.1" customHeight="1">
      <c r="A179" s="80" t="s">
        <v>1220</v>
      </c>
      <c r="B179" s="80" t="s">
        <v>1221</v>
      </c>
      <c r="C179" s="80" t="s">
        <v>1224</v>
      </c>
      <c r="D179" s="356" t="s">
        <v>1232</v>
      </c>
      <c r="E179" s="356" t="s">
        <v>1233</v>
      </c>
      <c r="F179" s="357" t="s">
        <v>1234</v>
      </c>
      <c r="G179" s="357" t="s">
        <v>1235</v>
      </c>
      <c r="H179" s="357" t="s">
        <v>1236</v>
      </c>
      <c r="I179" s="357" t="s">
        <v>1237</v>
      </c>
      <c r="J179" s="357" t="s">
        <v>1238</v>
      </c>
    </row>
    <row r="180" spans="1:16" s="360" customFormat="1" ht="18.95" customHeight="1">
      <c r="A180" s="73"/>
      <c r="B180" s="73"/>
      <c r="C180" s="73"/>
      <c r="D180" s="362"/>
      <c r="E180" s="362"/>
      <c r="F180" s="363"/>
      <c r="G180" s="363"/>
      <c r="H180" s="363"/>
      <c r="I180" s="363"/>
      <c r="J180" s="363"/>
    </row>
    <row r="181" spans="1:16" ht="18.75" customHeight="1">
      <c r="A181" s="349">
        <f>A168+1</f>
        <v>133</v>
      </c>
      <c r="B181" s="358" t="s">
        <v>3138</v>
      </c>
      <c r="C181" s="355" t="s">
        <v>3139</v>
      </c>
      <c r="D181" s="145">
        <v>43739</v>
      </c>
      <c r="E181" s="146">
        <v>44074</v>
      </c>
      <c r="F181" s="149">
        <v>0.63283582089552237</v>
      </c>
      <c r="G181" s="355">
        <v>4988784.3</v>
      </c>
      <c r="H181" s="355">
        <v>4988784.3</v>
      </c>
      <c r="I181" s="359">
        <v>1894696.3000000003</v>
      </c>
      <c r="J181" s="353">
        <f t="shared" ref="J181:J252" si="15">I181/H181</f>
        <v>0.37979118479826846</v>
      </c>
      <c r="M181" s="74">
        <f t="shared" si="11"/>
        <v>335</v>
      </c>
      <c r="N181" s="146">
        <v>43951</v>
      </c>
      <c r="O181" s="74">
        <f t="shared" si="12"/>
        <v>123</v>
      </c>
      <c r="P181" s="354">
        <f t="shared" si="13"/>
        <v>0.63283582089552237</v>
      </c>
    </row>
    <row r="182" spans="1:16" ht="18.75" customHeight="1">
      <c r="A182" s="349">
        <f t="shared" si="14"/>
        <v>134</v>
      </c>
      <c r="B182" s="358" t="s">
        <v>3140</v>
      </c>
      <c r="C182" s="355" t="s">
        <v>3141</v>
      </c>
      <c r="D182" s="145">
        <v>43739</v>
      </c>
      <c r="E182" s="146">
        <v>44135</v>
      </c>
      <c r="F182" s="149">
        <v>0.53535353535353536</v>
      </c>
      <c r="G182" s="355">
        <v>5658439.7599999998</v>
      </c>
      <c r="H182" s="355">
        <v>5658439.7599999998</v>
      </c>
      <c r="I182" s="359">
        <v>2331884</v>
      </c>
      <c r="J182" s="353">
        <f t="shared" si="15"/>
        <v>0.41210724137849619</v>
      </c>
      <c r="M182" s="74">
        <f t="shared" si="11"/>
        <v>396</v>
      </c>
      <c r="N182" s="146">
        <v>43951</v>
      </c>
      <c r="O182" s="74">
        <f t="shared" si="12"/>
        <v>184</v>
      </c>
      <c r="P182" s="354">
        <f t="shared" si="13"/>
        <v>0.53535353535353536</v>
      </c>
    </row>
    <row r="183" spans="1:16" ht="18.75" customHeight="1">
      <c r="A183" s="349">
        <f t="shared" si="14"/>
        <v>135</v>
      </c>
      <c r="B183" s="358" t="s">
        <v>3142</v>
      </c>
      <c r="C183" s="355" t="s">
        <v>3143</v>
      </c>
      <c r="D183" s="145">
        <v>43739</v>
      </c>
      <c r="E183" s="146">
        <v>44074</v>
      </c>
      <c r="F183" s="149">
        <v>0.63283582089552237</v>
      </c>
      <c r="G183" s="355">
        <v>3189382.83</v>
      </c>
      <c r="H183" s="355">
        <v>3189382.83</v>
      </c>
      <c r="I183" s="359">
        <v>1646147.27</v>
      </c>
      <c r="J183" s="353">
        <f t="shared" si="15"/>
        <v>0.51613348341754262</v>
      </c>
      <c r="M183" s="74">
        <f t="shared" si="11"/>
        <v>335</v>
      </c>
      <c r="N183" s="146">
        <v>43951</v>
      </c>
      <c r="O183" s="74">
        <f t="shared" si="12"/>
        <v>123</v>
      </c>
      <c r="P183" s="354">
        <f t="shared" si="13"/>
        <v>0.63283582089552237</v>
      </c>
    </row>
    <row r="184" spans="1:16" ht="18.75" customHeight="1">
      <c r="A184" s="349">
        <f t="shared" si="14"/>
        <v>136</v>
      </c>
      <c r="B184" s="358" t="s">
        <v>3144</v>
      </c>
      <c r="C184" s="355" t="s">
        <v>3145</v>
      </c>
      <c r="D184" s="145">
        <v>43891</v>
      </c>
      <c r="E184" s="146">
        <v>44196</v>
      </c>
      <c r="F184" s="149">
        <v>0.19672131147540983</v>
      </c>
      <c r="G184" s="355">
        <v>3366548.1</v>
      </c>
      <c r="H184" s="355">
        <v>3366548.1</v>
      </c>
      <c r="I184" s="359">
        <v>612694.62</v>
      </c>
      <c r="J184" s="353">
        <f t="shared" si="15"/>
        <v>0.18199491045442065</v>
      </c>
      <c r="M184" s="74">
        <f t="shared" si="11"/>
        <v>305</v>
      </c>
      <c r="N184" s="146">
        <v>43951</v>
      </c>
      <c r="O184" s="74">
        <f t="shared" si="12"/>
        <v>245</v>
      </c>
      <c r="P184" s="354">
        <f t="shared" si="13"/>
        <v>0.19672131147540983</v>
      </c>
    </row>
    <row r="185" spans="1:16" ht="18.75" customHeight="1">
      <c r="A185" s="349">
        <f t="shared" si="14"/>
        <v>137</v>
      </c>
      <c r="B185" s="358" t="s">
        <v>3146</v>
      </c>
      <c r="C185" s="355" t="s">
        <v>3147</v>
      </c>
      <c r="D185" s="145">
        <v>43891</v>
      </c>
      <c r="E185" s="146">
        <v>44104</v>
      </c>
      <c r="F185" s="149">
        <v>0.28169014084507044</v>
      </c>
      <c r="G185" s="355">
        <v>822459.58</v>
      </c>
      <c r="H185" s="355">
        <v>822459.58</v>
      </c>
      <c r="I185" s="359">
        <v>234988.45</v>
      </c>
      <c r="J185" s="353">
        <f t="shared" si="15"/>
        <v>0.28571428397733545</v>
      </c>
      <c r="M185" s="74">
        <f t="shared" si="11"/>
        <v>213</v>
      </c>
      <c r="N185" s="146">
        <v>43951</v>
      </c>
      <c r="O185" s="74">
        <f t="shared" si="12"/>
        <v>153</v>
      </c>
      <c r="P185" s="354">
        <f t="shared" si="13"/>
        <v>0.28169014084507044</v>
      </c>
    </row>
    <row r="186" spans="1:16" ht="18.75" customHeight="1">
      <c r="A186" s="349">
        <f t="shared" si="14"/>
        <v>138</v>
      </c>
      <c r="B186" s="358" t="s">
        <v>3148</v>
      </c>
      <c r="C186" s="355" t="s">
        <v>3149</v>
      </c>
      <c r="D186" s="145">
        <v>43922</v>
      </c>
      <c r="E186" s="146">
        <v>44012</v>
      </c>
      <c r="F186" s="149">
        <v>0.32222222222222224</v>
      </c>
      <c r="G186" s="355">
        <v>324863.82</v>
      </c>
      <c r="H186" s="355">
        <v>324863.82</v>
      </c>
      <c r="I186" s="359">
        <v>108287.94</v>
      </c>
      <c r="J186" s="353">
        <f t="shared" si="15"/>
        <v>0.33333333333333331</v>
      </c>
      <c r="M186" s="74">
        <f t="shared" si="11"/>
        <v>90</v>
      </c>
      <c r="N186" s="146">
        <v>43951</v>
      </c>
      <c r="O186" s="74">
        <f t="shared" si="12"/>
        <v>61</v>
      </c>
      <c r="P186" s="354">
        <f t="shared" si="13"/>
        <v>0.32222222222222224</v>
      </c>
    </row>
    <row r="187" spans="1:16" ht="18.75" customHeight="1">
      <c r="A187" s="349">
        <f t="shared" si="14"/>
        <v>139</v>
      </c>
      <c r="B187" s="358" t="s">
        <v>3150</v>
      </c>
      <c r="C187" s="355" t="s">
        <v>3151</v>
      </c>
      <c r="D187" s="145">
        <v>43739</v>
      </c>
      <c r="E187" s="146">
        <v>43982</v>
      </c>
      <c r="F187" s="149">
        <v>0.87242798353909468</v>
      </c>
      <c r="G187" s="355">
        <v>749401.76</v>
      </c>
      <c r="H187" s="355">
        <v>749401.76</v>
      </c>
      <c r="I187" s="359">
        <v>609507.77</v>
      </c>
      <c r="J187" s="353">
        <f t="shared" si="15"/>
        <v>0.81332577868512079</v>
      </c>
      <c r="M187" s="74">
        <f t="shared" si="11"/>
        <v>243</v>
      </c>
      <c r="N187" s="146">
        <v>43951</v>
      </c>
      <c r="O187" s="74">
        <f t="shared" si="12"/>
        <v>31</v>
      </c>
      <c r="P187" s="354">
        <f t="shared" si="13"/>
        <v>0.87242798353909468</v>
      </c>
    </row>
    <row r="188" spans="1:16" ht="18.75" customHeight="1">
      <c r="A188" s="349">
        <f t="shared" si="14"/>
        <v>140</v>
      </c>
      <c r="B188" s="358" t="s">
        <v>3152</v>
      </c>
      <c r="C188" s="355" t="s">
        <v>3153</v>
      </c>
      <c r="D188" s="145">
        <v>43739</v>
      </c>
      <c r="E188" s="146">
        <v>43982</v>
      </c>
      <c r="F188" s="149">
        <v>0.87242798353909468</v>
      </c>
      <c r="G188" s="355">
        <v>599507.96</v>
      </c>
      <c r="H188" s="355">
        <v>599507.96</v>
      </c>
      <c r="I188" s="359">
        <v>489592.73</v>
      </c>
      <c r="J188" s="353">
        <f t="shared" si="15"/>
        <v>0.81665759700671869</v>
      </c>
      <c r="M188" s="74">
        <f t="shared" si="11"/>
        <v>243</v>
      </c>
      <c r="N188" s="146">
        <v>43951</v>
      </c>
      <c r="O188" s="74">
        <f t="shared" si="12"/>
        <v>31</v>
      </c>
      <c r="P188" s="354">
        <f t="shared" si="13"/>
        <v>0.87242798353909468</v>
      </c>
    </row>
    <row r="189" spans="1:16" ht="18.75" customHeight="1">
      <c r="A189" s="349">
        <f t="shared" si="14"/>
        <v>141</v>
      </c>
      <c r="B189" s="358" t="s">
        <v>3154</v>
      </c>
      <c r="C189" s="355" t="s">
        <v>3155</v>
      </c>
      <c r="D189" s="145">
        <v>43739</v>
      </c>
      <c r="E189" s="146">
        <v>43982</v>
      </c>
      <c r="F189" s="149">
        <v>0.87242798353909468</v>
      </c>
      <c r="G189" s="355">
        <v>749401.76</v>
      </c>
      <c r="H189" s="355">
        <v>749401.76</v>
      </c>
      <c r="I189" s="359">
        <v>609507.77</v>
      </c>
      <c r="J189" s="353">
        <f t="shared" si="15"/>
        <v>0.81332577868512079</v>
      </c>
      <c r="M189" s="74">
        <f t="shared" si="11"/>
        <v>243</v>
      </c>
      <c r="N189" s="146">
        <v>43951</v>
      </c>
      <c r="O189" s="74">
        <f t="shared" si="12"/>
        <v>31</v>
      </c>
      <c r="P189" s="354">
        <f t="shared" si="13"/>
        <v>0.87242798353909468</v>
      </c>
    </row>
    <row r="190" spans="1:16" ht="18.75" customHeight="1">
      <c r="A190" s="349">
        <f t="shared" si="14"/>
        <v>142</v>
      </c>
      <c r="B190" s="358" t="s">
        <v>3156</v>
      </c>
      <c r="C190" s="355" t="s">
        <v>3157</v>
      </c>
      <c r="D190" s="145">
        <v>43466</v>
      </c>
      <c r="E190" s="146">
        <v>44561</v>
      </c>
      <c r="F190" s="149">
        <v>0.44292237442922372</v>
      </c>
      <c r="G190" s="355">
        <v>1200000</v>
      </c>
      <c r="H190" s="355">
        <v>1328540.3400000001</v>
      </c>
      <c r="I190" s="359">
        <v>369619.4</v>
      </c>
      <c r="J190" s="353">
        <f t="shared" si="15"/>
        <v>0.27821466076069623</v>
      </c>
      <c r="M190" s="74">
        <f t="shared" si="11"/>
        <v>1095</v>
      </c>
      <c r="N190" s="146">
        <v>43951</v>
      </c>
      <c r="O190" s="74">
        <f t="shared" si="12"/>
        <v>610</v>
      </c>
      <c r="P190" s="354">
        <f t="shared" si="13"/>
        <v>0.44292237442922372</v>
      </c>
    </row>
    <row r="191" spans="1:16" ht="18.75" customHeight="1">
      <c r="A191" s="349">
        <f t="shared" si="14"/>
        <v>143</v>
      </c>
      <c r="B191" s="358" t="s">
        <v>3158</v>
      </c>
      <c r="C191" s="355" t="s">
        <v>3159</v>
      </c>
      <c r="D191" s="145">
        <v>43466</v>
      </c>
      <c r="E191" s="146">
        <v>44196</v>
      </c>
      <c r="F191" s="149">
        <v>0.66438356164383561</v>
      </c>
      <c r="G191" s="355">
        <v>1242000</v>
      </c>
      <c r="H191" s="355">
        <v>1342000</v>
      </c>
      <c r="I191" s="359">
        <v>875333.3600000001</v>
      </c>
      <c r="J191" s="353">
        <f t="shared" si="15"/>
        <v>0.65226032786885257</v>
      </c>
      <c r="M191" s="74">
        <f t="shared" si="11"/>
        <v>730</v>
      </c>
      <c r="N191" s="146">
        <v>43951</v>
      </c>
      <c r="O191" s="74">
        <f t="shared" si="12"/>
        <v>245</v>
      </c>
      <c r="P191" s="354">
        <f t="shared" si="13"/>
        <v>0.66438356164383561</v>
      </c>
    </row>
    <row r="192" spans="1:16" ht="18.75" customHeight="1">
      <c r="A192" s="349">
        <f t="shared" si="14"/>
        <v>144</v>
      </c>
      <c r="B192" s="358" t="s">
        <v>2870</v>
      </c>
      <c r="C192" s="355" t="s">
        <v>2871</v>
      </c>
      <c r="D192" s="145">
        <v>43039</v>
      </c>
      <c r="E192" s="146">
        <v>44196</v>
      </c>
      <c r="F192" s="149">
        <v>0.78824546240276583</v>
      </c>
      <c r="G192" s="355">
        <v>150000</v>
      </c>
      <c r="H192" s="355">
        <v>285090.21000000002</v>
      </c>
      <c r="I192" s="359">
        <v>11305.21</v>
      </c>
      <c r="J192" s="353">
        <f t="shared" si="15"/>
        <v>3.965485170465867E-2</v>
      </c>
      <c r="M192" s="74">
        <f t="shared" si="11"/>
        <v>1157</v>
      </c>
      <c r="N192" s="146">
        <v>43951</v>
      </c>
      <c r="O192" s="74">
        <f t="shared" si="12"/>
        <v>245</v>
      </c>
      <c r="P192" s="354">
        <f t="shared" si="13"/>
        <v>0.78824546240276583</v>
      </c>
    </row>
    <row r="193" spans="1:16" ht="18.75" customHeight="1">
      <c r="A193" s="349">
        <f t="shared" si="14"/>
        <v>145</v>
      </c>
      <c r="B193" s="358" t="s">
        <v>3160</v>
      </c>
      <c r="C193" s="355" t="s">
        <v>3161</v>
      </c>
      <c r="D193" s="145">
        <v>43101</v>
      </c>
      <c r="E193" s="146">
        <v>44196</v>
      </c>
      <c r="F193" s="149">
        <v>0.77625570776255703</v>
      </c>
      <c r="G193" s="355">
        <v>450000</v>
      </c>
      <c r="H193" s="355">
        <v>399359.18000000005</v>
      </c>
      <c r="I193" s="359">
        <v>327671.98000000004</v>
      </c>
      <c r="J193" s="353">
        <f t="shared" si="15"/>
        <v>0.82049442309051213</v>
      </c>
      <c r="M193" s="74">
        <f t="shared" si="11"/>
        <v>1095</v>
      </c>
      <c r="N193" s="146">
        <v>43951</v>
      </c>
      <c r="O193" s="74">
        <f t="shared" si="12"/>
        <v>245</v>
      </c>
      <c r="P193" s="354">
        <f t="shared" si="13"/>
        <v>0.77625570776255703</v>
      </c>
    </row>
    <row r="194" spans="1:16" ht="18.75" customHeight="1">
      <c r="A194" s="349">
        <f t="shared" si="14"/>
        <v>146</v>
      </c>
      <c r="B194" s="358" t="s">
        <v>3162</v>
      </c>
      <c r="C194" s="355" t="s">
        <v>3163</v>
      </c>
      <c r="D194" s="145">
        <v>43101</v>
      </c>
      <c r="E194" s="146">
        <v>44196</v>
      </c>
      <c r="F194" s="149">
        <v>0.77625570776255703</v>
      </c>
      <c r="G194" s="355">
        <v>300000</v>
      </c>
      <c r="H194" s="355">
        <v>266534.48</v>
      </c>
      <c r="I194" s="359">
        <v>222283.12</v>
      </c>
      <c r="J194" s="353">
        <f t="shared" si="15"/>
        <v>0.83397510145779263</v>
      </c>
      <c r="M194" s="74">
        <f t="shared" si="11"/>
        <v>1095</v>
      </c>
      <c r="N194" s="146">
        <v>43951</v>
      </c>
      <c r="O194" s="74">
        <f t="shared" si="12"/>
        <v>245</v>
      </c>
      <c r="P194" s="354">
        <f t="shared" si="13"/>
        <v>0.77625570776255703</v>
      </c>
    </row>
    <row r="195" spans="1:16" ht="18.75" customHeight="1">
      <c r="A195" s="349">
        <f t="shared" si="14"/>
        <v>147</v>
      </c>
      <c r="B195" s="358" t="s">
        <v>3164</v>
      </c>
      <c r="C195" s="355" t="s">
        <v>3165</v>
      </c>
      <c r="D195" s="145">
        <v>43466</v>
      </c>
      <c r="E195" s="146">
        <v>44196</v>
      </c>
      <c r="F195" s="149">
        <v>0.66438356164383561</v>
      </c>
      <c r="G195" s="355">
        <v>450000</v>
      </c>
      <c r="H195" s="355">
        <v>1834472.1700000002</v>
      </c>
      <c r="I195" s="359">
        <v>893041.16</v>
      </c>
      <c r="J195" s="353">
        <f t="shared" si="15"/>
        <v>0.48681096099702614</v>
      </c>
      <c r="M195" s="74">
        <f t="shared" si="11"/>
        <v>730</v>
      </c>
      <c r="N195" s="146">
        <v>43951</v>
      </c>
      <c r="O195" s="74">
        <f t="shared" si="12"/>
        <v>245</v>
      </c>
      <c r="P195" s="354">
        <f t="shared" si="13"/>
        <v>0.66438356164383561</v>
      </c>
    </row>
    <row r="196" spans="1:16" ht="18.75" customHeight="1">
      <c r="A196" s="349">
        <f t="shared" si="14"/>
        <v>148</v>
      </c>
      <c r="B196" s="358" t="s">
        <v>3166</v>
      </c>
      <c r="C196" s="355" t="s">
        <v>3167</v>
      </c>
      <c r="D196" s="145">
        <v>43466</v>
      </c>
      <c r="E196" s="146">
        <v>44196</v>
      </c>
      <c r="F196" s="149">
        <v>0.66438356164383561</v>
      </c>
      <c r="G196" s="355">
        <v>1200000</v>
      </c>
      <c r="H196" s="355">
        <v>1062974.45</v>
      </c>
      <c r="I196" s="359">
        <v>421329.73</v>
      </c>
      <c r="J196" s="353">
        <f t="shared" si="15"/>
        <v>0.3963686333194556</v>
      </c>
      <c r="M196" s="74">
        <f t="shared" si="11"/>
        <v>730</v>
      </c>
      <c r="N196" s="146">
        <v>43951</v>
      </c>
      <c r="O196" s="74">
        <f t="shared" si="12"/>
        <v>245</v>
      </c>
      <c r="P196" s="354">
        <f t="shared" si="13"/>
        <v>0.66438356164383561</v>
      </c>
    </row>
    <row r="197" spans="1:16" ht="18.75" customHeight="1">
      <c r="A197" s="349">
        <f t="shared" si="14"/>
        <v>149</v>
      </c>
      <c r="B197" s="358" t="s">
        <v>3168</v>
      </c>
      <c r="C197" s="355" t="s">
        <v>3169</v>
      </c>
      <c r="D197" s="145">
        <v>43466</v>
      </c>
      <c r="E197" s="146">
        <v>44196</v>
      </c>
      <c r="F197" s="149">
        <v>0.66438356164383561</v>
      </c>
      <c r="G197" s="355">
        <v>234999.96</v>
      </c>
      <c r="H197" s="355">
        <v>234999.96</v>
      </c>
      <c r="I197" s="359">
        <v>78333.320000000007</v>
      </c>
      <c r="J197" s="353">
        <f t="shared" si="15"/>
        <v>0.33333333333333337</v>
      </c>
      <c r="M197" s="74">
        <f t="shared" si="11"/>
        <v>730</v>
      </c>
      <c r="N197" s="146">
        <v>43951</v>
      </c>
      <c r="O197" s="74">
        <f t="shared" si="12"/>
        <v>245</v>
      </c>
      <c r="P197" s="354">
        <f t="shared" si="13"/>
        <v>0.66438356164383561</v>
      </c>
    </row>
    <row r="198" spans="1:16" ht="18.75" customHeight="1">
      <c r="A198" s="349">
        <f t="shared" si="14"/>
        <v>150</v>
      </c>
      <c r="B198" s="358" t="s">
        <v>3170</v>
      </c>
      <c r="C198" s="355" t="s">
        <v>3171</v>
      </c>
      <c r="D198" s="145">
        <v>43466</v>
      </c>
      <c r="E198" s="146">
        <v>44196</v>
      </c>
      <c r="F198" s="149">
        <v>0.66438356164383561</v>
      </c>
      <c r="G198" s="355">
        <v>155000.04</v>
      </c>
      <c r="H198" s="355">
        <v>155000.04</v>
      </c>
      <c r="I198" s="359">
        <v>51666.68</v>
      </c>
      <c r="J198" s="353">
        <f t="shared" si="15"/>
        <v>0.33333333333333331</v>
      </c>
      <c r="M198" s="74">
        <f t="shared" si="11"/>
        <v>730</v>
      </c>
      <c r="N198" s="146">
        <v>43951</v>
      </c>
      <c r="O198" s="74">
        <f t="shared" si="12"/>
        <v>245</v>
      </c>
      <c r="P198" s="354">
        <f t="shared" si="13"/>
        <v>0.66438356164383561</v>
      </c>
    </row>
    <row r="199" spans="1:16" ht="18.75" customHeight="1">
      <c r="A199" s="349">
        <f t="shared" si="14"/>
        <v>151</v>
      </c>
      <c r="B199" s="358" t="s">
        <v>2878</v>
      </c>
      <c r="C199" s="355" t="s">
        <v>2879</v>
      </c>
      <c r="D199" s="145">
        <v>43040</v>
      </c>
      <c r="E199" s="146">
        <v>44561</v>
      </c>
      <c r="F199" s="149">
        <v>0.59894806048652205</v>
      </c>
      <c r="G199" s="355">
        <v>2322000</v>
      </c>
      <c r="H199" s="355">
        <v>2011.77</v>
      </c>
      <c r="I199" s="359">
        <v>5176.3700000000008</v>
      </c>
      <c r="J199" s="353">
        <f t="shared" si="15"/>
        <v>2.573042644039826</v>
      </c>
      <c r="M199" s="74">
        <f t="shared" si="11"/>
        <v>1521</v>
      </c>
      <c r="N199" s="146">
        <v>43951</v>
      </c>
      <c r="O199" s="74">
        <f t="shared" si="12"/>
        <v>610</v>
      </c>
      <c r="P199" s="354">
        <f t="shared" si="13"/>
        <v>0.59894806048652205</v>
      </c>
    </row>
    <row r="200" spans="1:16" ht="18.75" customHeight="1">
      <c r="A200" s="349">
        <f t="shared" si="14"/>
        <v>152</v>
      </c>
      <c r="B200" s="358" t="s">
        <v>3172</v>
      </c>
      <c r="C200" s="355" t="s">
        <v>3173</v>
      </c>
      <c r="D200" s="145">
        <v>43466</v>
      </c>
      <c r="E200" s="146">
        <v>44196</v>
      </c>
      <c r="F200" s="149">
        <v>0.66438356164383561</v>
      </c>
      <c r="G200" s="355">
        <v>1800000</v>
      </c>
      <c r="H200" s="355">
        <v>709905.39</v>
      </c>
      <c r="I200" s="359">
        <v>621402.67000000004</v>
      </c>
      <c r="J200" s="353">
        <f t="shared" si="15"/>
        <v>0.87533166919608829</v>
      </c>
      <c r="M200" s="74">
        <f t="shared" si="11"/>
        <v>730</v>
      </c>
      <c r="N200" s="146">
        <v>43951</v>
      </c>
      <c r="O200" s="74">
        <f t="shared" si="12"/>
        <v>245</v>
      </c>
      <c r="P200" s="354">
        <f t="shared" si="13"/>
        <v>0.66438356164383561</v>
      </c>
    </row>
    <row r="201" spans="1:16" ht="18.75" customHeight="1">
      <c r="A201" s="349">
        <f t="shared" si="14"/>
        <v>153</v>
      </c>
      <c r="B201" s="358" t="s">
        <v>2882</v>
      </c>
      <c r="C201" s="355" t="s">
        <v>2883</v>
      </c>
      <c r="D201" s="145">
        <v>43101</v>
      </c>
      <c r="E201" s="146">
        <v>44196</v>
      </c>
      <c r="F201" s="149">
        <v>0.77625570776255703</v>
      </c>
      <c r="G201" s="355">
        <v>2639999.7000000002</v>
      </c>
      <c r="H201" s="355">
        <v>3219557.1799999997</v>
      </c>
      <c r="I201" s="359">
        <v>2455740.3199999998</v>
      </c>
      <c r="J201" s="353">
        <f t="shared" si="15"/>
        <v>0.76275716898433843</v>
      </c>
      <c r="M201" s="74">
        <f t="shared" si="11"/>
        <v>1095</v>
      </c>
      <c r="N201" s="146">
        <v>43951</v>
      </c>
      <c r="O201" s="74">
        <f t="shared" si="12"/>
        <v>245</v>
      </c>
      <c r="P201" s="354">
        <f t="shared" si="13"/>
        <v>0.77625570776255703</v>
      </c>
    </row>
    <row r="202" spans="1:16" ht="18.75" customHeight="1">
      <c r="A202" s="349">
        <f t="shared" si="14"/>
        <v>154</v>
      </c>
      <c r="B202" s="358" t="s">
        <v>3174</v>
      </c>
      <c r="C202" s="355" t="s">
        <v>3175</v>
      </c>
      <c r="D202" s="145">
        <v>43831</v>
      </c>
      <c r="E202" s="146">
        <v>44196</v>
      </c>
      <c r="F202" s="149">
        <v>0.32876712328767121</v>
      </c>
      <c r="G202" s="355">
        <v>30975.919999999998</v>
      </c>
      <c r="H202" s="355">
        <v>30975.919999999998</v>
      </c>
      <c r="I202" s="359">
        <v>20134.379999999997</v>
      </c>
      <c r="J202" s="353">
        <f t="shared" si="15"/>
        <v>0.65000103306051926</v>
      </c>
      <c r="M202" s="74">
        <f t="shared" si="11"/>
        <v>365</v>
      </c>
      <c r="N202" s="146">
        <v>43951</v>
      </c>
      <c r="O202" s="74">
        <f t="shared" si="12"/>
        <v>245</v>
      </c>
      <c r="P202" s="354">
        <f t="shared" si="13"/>
        <v>0.32876712328767121</v>
      </c>
    </row>
    <row r="203" spans="1:16" ht="18.75" customHeight="1">
      <c r="A203" s="349">
        <f t="shared" si="14"/>
        <v>155</v>
      </c>
      <c r="B203" s="358" t="s">
        <v>3176</v>
      </c>
      <c r="C203" s="355" t="s">
        <v>3177</v>
      </c>
      <c r="D203" s="145">
        <v>43647</v>
      </c>
      <c r="E203" s="146">
        <v>44742</v>
      </c>
      <c r="F203" s="149">
        <v>0.27762557077625571</v>
      </c>
      <c r="G203" s="355">
        <v>1600000</v>
      </c>
      <c r="H203" s="355">
        <v>13382903.73</v>
      </c>
      <c r="I203" s="359">
        <v>1891084.4100000001</v>
      </c>
      <c r="J203" s="353">
        <f t="shared" si="15"/>
        <v>0.14130598621589277</v>
      </c>
      <c r="M203" s="74">
        <f t="shared" si="11"/>
        <v>1095</v>
      </c>
      <c r="N203" s="146">
        <v>43951</v>
      </c>
      <c r="O203" s="74">
        <f t="shared" si="12"/>
        <v>791</v>
      </c>
      <c r="P203" s="354">
        <f t="shared" si="13"/>
        <v>0.27762557077625571</v>
      </c>
    </row>
    <row r="204" spans="1:16" ht="18.75" customHeight="1">
      <c r="A204" s="349">
        <f t="shared" si="14"/>
        <v>156</v>
      </c>
      <c r="B204" s="358" t="s">
        <v>3178</v>
      </c>
      <c r="C204" s="355" t="s">
        <v>3179</v>
      </c>
      <c r="D204" s="145">
        <v>43831</v>
      </c>
      <c r="E204" s="146">
        <v>44196</v>
      </c>
      <c r="F204" s="149">
        <v>0.32876712328767121</v>
      </c>
      <c r="G204" s="355">
        <v>97000</v>
      </c>
      <c r="H204" s="355">
        <v>98317.36</v>
      </c>
      <c r="I204" s="359">
        <v>29539.119999999999</v>
      </c>
      <c r="J204" s="353">
        <f t="shared" si="15"/>
        <v>0.30044663526359944</v>
      </c>
      <c r="M204" s="74">
        <f t="shared" si="11"/>
        <v>365</v>
      </c>
      <c r="N204" s="146">
        <v>43951</v>
      </c>
      <c r="O204" s="74">
        <f t="shared" si="12"/>
        <v>245</v>
      </c>
      <c r="P204" s="354">
        <f t="shared" si="13"/>
        <v>0.32876712328767121</v>
      </c>
    </row>
    <row r="205" spans="1:16" ht="18.75" customHeight="1">
      <c r="A205" s="349">
        <f t="shared" si="14"/>
        <v>157</v>
      </c>
      <c r="B205" s="358" t="s">
        <v>3180</v>
      </c>
      <c r="C205" s="355" t="s">
        <v>3181</v>
      </c>
      <c r="D205" s="145">
        <v>43831</v>
      </c>
      <c r="E205" s="146">
        <v>44196</v>
      </c>
      <c r="F205" s="149">
        <v>0.32876712328767121</v>
      </c>
      <c r="G205" s="355">
        <v>120999.76</v>
      </c>
      <c r="H205" s="355">
        <v>122643.28</v>
      </c>
      <c r="I205" s="359">
        <v>36847.760000000002</v>
      </c>
      <c r="J205" s="353">
        <f t="shared" si="15"/>
        <v>0.30044662862897992</v>
      </c>
      <c r="M205" s="74">
        <f t="shared" si="11"/>
        <v>365</v>
      </c>
      <c r="N205" s="146">
        <v>43951</v>
      </c>
      <c r="O205" s="74">
        <f t="shared" si="12"/>
        <v>245</v>
      </c>
      <c r="P205" s="354">
        <f t="shared" si="13"/>
        <v>0.32876712328767121</v>
      </c>
    </row>
    <row r="206" spans="1:16" ht="18.75" customHeight="1">
      <c r="A206" s="349">
        <f t="shared" si="14"/>
        <v>158</v>
      </c>
      <c r="B206" s="358" t="s">
        <v>3182</v>
      </c>
      <c r="C206" s="355" t="s">
        <v>3183</v>
      </c>
      <c r="D206" s="145">
        <v>43831</v>
      </c>
      <c r="E206" s="146">
        <v>44196</v>
      </c>
      <c r="F206" s="149">
        <v>0.32876712328767121</v>
      </c>
      <c r="G206" s="355">
        <v>97000</v>
      </c>
      <c r="H206" s="355">
        <v>98317.36</v>
      </c>
      <c r="I206" s="359">
        <v>29539.119999999999</v>
      </c>
      <c r="J206" s="353">
        <f t="shared" si="15"/>
        <v>0.30044663526359944</v>
      </c>
      <c r="M206" s="74">
        <f t="shared" si="11"/>
        <v>365</v>
      </c>
      <c r="N206" s="146">
        <v>43951</v>
      </c>
      <c r="O206" s="74">
        <f t="shared" si="12"/>
        <v>245</v>
      </c>
      <c r="P206" s="354">
        <f t="shared" si="13"/>
        <v>0.32876712328767121</v>
      </c>
    </row>
    <row r="207" spans="1:16" ht="18.75" customHeight="1">
      <c r="A207" s="349">
        <f t="shared" si="14"/>
        <v>159</v>
      </c>
      <c r="B207" s="358" t="s">
        <v>3184</v>
      </c>
      <c r="C207" s="355" t="s">
        <v>3185</v>
      </c>
      <c r="D207" s="145">
        <v>43831</v>
      </c>
      <c r="E207" s="146">
        <v>44196</v>
      </c>
      <c r="F207" s="149">
        <v>0.32876712328767121</v>
      </c>
      <c r="G207" s="355">
        <v>106000.12</v>
      </c>
      <c r="H207" s="355">
        <v>107439.76</v>
      </c>
      <c r="I207" s="359">
        <v>32279.919999999998</v>
      </c>
      <c r="J207" s="353">
        <f t="shared" si="15"/>
        <v>0.30044668752052311</v>
      </c>
      <c r="M207" s="74">
        <f t="shared" si="11"/>
        <v>365</v>
      </c>
      <c r="N207" s="146">
        <v>43951</v>
      </c>
      <c r="O207" s="74">
        <f t="shared" si="12"/>
        <v>245</v>
      </c>
      <c r="P207" s="354">
        <f t="shared" si="13"/>
        <v>0.32876712328767121</v>
      </c>
    </row>
    <row r="208" spans="1:16" ht="18.75" customHeight="1">
      <c r="A208" s="349">
        <f t="shared" si="14"/>
        <v>160</v>
      </c>
      <c r="B208" s="358" t="s">
        <v>3186</v>
      </c>
      <c r="C208" s="355" t="s">
        <v>3187</v>
      </c>
      <c r="D208" s="145">
        <v>43831</v>
      </c>
      <c r="E208" s="146">
        <v>44196</v>
      </c>
      <c r="F208" s="149">
        <v>0.32876712328767121</v>
      </c>
      <c r="G208" s="355">
        <v>106000.12</v>
      </c>
      <c r="H208" s="355">
        <v>107439.76</v>
      </c>
      <c r="I208" s="359">
        <v>32279.919999999998</v>
      </c>
      <c r="J208" s="353">
        <f t="shared" si="15"/>
        <v>0.30044668752052311</v>
      </c>
      <c r="M208" s="74">
        <f t="shared" si="11"/>
        <v>365</v>
      </c>
      <c r="N208" s="146">
        <v>43951</v>
      </c>
      <c r="O208" s="74">
        <f t="shared" si="12"/>
        <v>245</v>
      </c>
      <c r="P208" s="354">
        <f t="shared" si="13"/>
        <v>0.32876712328767121</v>
      </c>
    </row>
    <row r="209" spans="1:16" ht="18.75" customHeight="1">
      <c r="A209" s="349">
        <f t="shared" si="14"/>
        <v>161</v>
      </c>
      <c r="B209" s="358" t="s">
        <v>3188</v>
      </c>
      <c r="C209" s="355" t="s">
        <v>3189</v>
      </c>
      <c r="D209" s="145">
        <v>43466</v>
      </c>
      <c r="E209" s="146">
        <v>44561</v>
      </c>
      <c r="F209" s="149">
        <v>0.44292237442922372</v>
      </c>
      <c r="G209" s="355">
        <v>5560192</v>
      </c>
      <c r="H209" s="355">
        <v>5560192</v>
      </c>
      <c r="I209" s="359">
        <v>749539.12</v>
      </c>
      <c r="J209" s="353">
        <f t="shared" si="15"/>
        <v>0.13480453912382881</v>
      </c>
      <c r="M209" s="74">
        <f t="shared" si="11"/>
        <v>1095</v>
      </c>
      <c r="N209" s="146">
        <v>43951</v>
      </c>
      <c r="O209" s="74">
        <f t="shared" si="12"/>
        <v>610</v>
      </c>
      <c r="P209" s="354">
        <f t="shared" si="13"/>
        <v>0.44292237442922372</v>
      </c>
    </row>
    <row r="210" spans="1:16" ht="18.75" customHeight="1">
      <c r="A210" s="349">
        <f t="shared" si="14"/>
        <v>162</v>
      </c>
      <c r="B210" s="358" t="s">
        <v>3190</v>
      </c>
      <c r="C210" s="355" t="s">
        <v>3191</v>
      </c>
      <c r="D210" s="145">
        <v>43831</v>
      </c>
      <c r="E210" s="146">
        <v>44196</v>
      </c>
      <c r="F210" s="149">
        <v>0.32876712328767121</v>
      </c>
      <c r="G210" s="355">
        <v>110999.75999999998</v>
      </c>
      <c r="H210" s="355">
        <v>112507.32</v>
      </c>
      <c r="I210" s="359">
        <v>33802.44</v>
      </c>
      <c r="J210" s="353">
        <f t="shared" si="15"/>
        <v>0.30044658427558313</v>
      </c>
      <c r="M210" s="74">
        <f t="shared" si="11"/>
        <v>365</v>
      </c>
      <c r="N210" s="146">
        <v>43951</v>
      </c>
      <c r="O210" s="74">
        <f t="shared" si="12"/>
        <v>245</v>
      </c>
      <c r="P210" s="354">
        <f t="shared" si="13"/>
        <v>0.32876712328767121</v>
      </c>
    </row>
    <row r="211" spans="1:16" ht="18.75" customHeight="1">
      <c r="A211" s="349">
        <f t="shared" si="14"/>
        <v>163</v>
      </c>
      <c r="B211" s="358" t="s">
        <v>3192</v>
      </c>
      <c r="C211" s="355" t="s">
        <v>3193</v>
      </c>
      <c r="D211" s="145">
        <v>43831</v>
      </c>
      <c r="E211" s="146">
        <v>44196</v>
      </c>
      <c r="F211" s="149">
        <v>0.32876712328767121</v>
      </c>
      <c r="G211" s="355">
        <v>108203</v>
      </c>
      <c r="H211" s="355">
        <v>108203</v>
      </c>
      <c r="I211" s="359">
        <v>21640.6</v>
      </c>
      <c r="J211" s="353">
        <f t="shared" si="15"/>
        <v>0.19999999999999998</v>
      </c>
      <c r="M211" s="74">
        <f t="shared" si="11"/>
        <v>365</v>
      </c>
      <c r="N211" s="146">
        <v>43951</v>
      </c>
      <c r="O211" s="74">
        <f t="shared" si="12"/>
        <v>245</v>
      </c>
      <c r="P211" s="354">
        <f t="shared" si="13"/>
        <v>0.32876712328767121</v>
      </c>
    </row>
    <row r="212" spans="1:16" ht="18.75" customHeight="1">
      <c r="A212" s="349">
        <f t="shared" si="14"/>
        <v>164</v>
      </c>
      <c r="B212" s="358" t="s">
        <v>3194</v>
      </c>
      <c r="C212" s="355" t="s">
        <v>3195</v>
      </c>
      <c r="D212" s="145">
        <v>43831</v>
      </c>
      <c r="E212" s="146">
        <v>44196</v>
      </c>
      <c r="F212" s="149">
        <v>0.32876712328767121</v>
      </c>
      <c r="G212" s="355">
        <v>108203</v>
      </c>
      <c r="H212" s="355">
        <v>108203</v>
      </c>
      <c r="I212" s="359">
        <v>21640.6</v>
      </c>
      <c r="J212" s="353">
        <f t="shared" si="15"/>
        <v>0.19999999999999998</v>
      </c>
      <c r="M212" s="74">
        <f t="shared" si="11"/>
        <v>365</v>
      </c>
      <c r="N212" s="146">
        <v>43951</v>
      </c>
      <c r="O212" s="74">
        <f t="shared" si="12"/>
        <v>245</v>
      </c>
      <c r="P212" s="354">
        <f t="shared" si="13"/>
        <v>0.32876712328767121</v>
      </c>
    </row>
    <row r="213" spans="1:16" ht="18.75" customHeight="1">
      <c r="A213" s="349">
        <f t="shared" si="14"/>
        <v>165</v>
      </c>
      <c r="B213" s="358" t="s">
        <v>3196</v>
      </c>
      <c r="C213" s="355" t="s">
        <v>3197</v>
      </c>
      <c r="D213" s="145">
        <v>43831</v>
      </c>
      <c r="E213" s="146">
        <v>44561</v>
      </c>
      <c r="F213" s="149">
        <v>0.16438356164383561</v>
      </c>
      <c r="G213" s="355">
        <v>1112062.47</v>
      </c>
      <c r="H213" s="355">
        <v>1112062.47</v>
      </c>
      <c r="I213" s="359">
        <v>241405.96</v>
      </c>
      <c r="J213" s="353">
        <f t="shared" si="15"/>
        <v>0.21707949554308761</v>
      </c>
      <c r="M213" s="74">
        <f t="shared" si="11"/>
        <v>730</v>
      </c>
      <c r="N213" s="146">
        <v>43951</v>
      </c>
      <c r="O213" s="74">
        <f t="shared" si="12"/>
        <v>610</v>
      </c>
      <c r="P213" s="354">
        <f t="shared" si="13"/>
        <v>0.16438356164383561</v>
      </c>
    </row>
    <row r="214" spans="1:16" ht="18.75" customHeight="1">
      <c r="A214" s="349">
        <f t="shared" si="14"/>
        <v>166</v>
      </c>
      <c r="B214" s="358" t="s">
        <v>3198</v>
      </c>
      <c r="C214" s="355" t="s">
        <v>3199</v>
      </c>
      <c r="D214" s="145">
        <v>43831</v>
      </c>
      <c r="E214" s="146">
        <v>44196</v>
      </c>
      <c r="F214" s="149">
        <v>0.32876712328767121</v>
      </c>
      <c r="G214" s="355">
        <v>135253.76000000001</v>
      </c>
      <c r="H214" s="355">
        <v>135253.76000000001</v>
      </c>
      <c r="I214" s="359">
        <v>54101.52</v>
      </c>
      <c r="J214" s="353">
        <f t="shared" si="15"/>
        <v>0.40000011829615673</v>
      </c>
      <c r="M214" s="74">
        <f t="shared" si="11"/>
        <v>365</v>
      </c>
      <c r="N214" s="146">
        <v>43951</v>
      </c>
      <c r="O214" s="74">
        <f t="shared" si="12"/>
        <v>245</v>
      </c>
      <c r="P214" s="354">
        <f t="shared" si="13"/>
        <v>0.32876712328767121</v>
      </c>
    </row>
    <row r="215" spans="1:16" ht="18.75" customHeight="1">
      <c r="A215" s="349">
        <f t="shared" si="14"/>
        <v>167</v>
      </c>
      <c r="B215" s="358" t="s">
        <v>3200</v>
      </c>
      <c r="C215" s="355" t="s">
        <v>3201</v>
      </c>
      <c r="D215" s="145">
        <v>43709</v>
      </c>
      <c r="E215" s="146">
        <v>43982</v>
      </c>
      <c r="F215" s="149">
        <v>0.88644688644688641</v>
      </c>
      <c r="G215" s="355">
        <v>279699.43</v>
      </c>
      <c r="H215" s="355">
        <v>279699.43</v>
      </c>
      <c r="I215" s="359">
        <v>229097.96000000002</v>
      </c>
      <c r="J215" s="353">
        <f t="shared" si="15"/>
        <v>0.81908625984686501</v>
      </c>
      <c r="M215" s="74">
        <f t="shared" si="11"/>
        <v>273</v>
      </c>
      <c r="N215" s="146">
        <v>43951</v>
      </c>
      <c r="O215" s="74">
        <f t="shared" si="12"/>
        <v>31</v>
      </c>
      <c r="P215" s="354">
        <f t="shared" si="13"/>
        <v>0.88644688644688641</v>
      </c>
    </row>
    <row r="216" spans="1:16" ht="18.75" customHeight="1">
      <c r="A216" s="349">
        <f t="shared" si="14"/>
        <v>168</v>
      </c>
      <c r="B216" s="358" t="s">
        <v>3202</v>
      </c>
      <c r="C216" s="355" t="s">
        <v>3203</v>
      </c>
      <c r="D216" s="145">
        <v>43525</v>
      </c>
      <c r="E216" s="146">
        <v>44196</v>
      </c>
      <c r="F216" s="149">
        <v>0.63487332339791358</v>
      </c>
      <c r="G216" s="355">
        <v>425137.34</v>
      </c>
      <c r="H216" s="355">
        <v>425137.34</v>
      </c>
      <c r="I216" s="359">
        <v>357904.60000000003</v>
      </c>
      <c r="J216" s="353">
        <f t="shared" si="15"/>
        <v>0.84185642220935009</v>
      </c>
      <c r="M216" s="74">
        <f t="shared" si="11"/>
        <v>671</v>
      </c>
      <c r="N216" s="146">
        <v>43951</v>
      </c>
      <c r="O216" s="74">
        <f t="shared" si="12"/>
        <v>245</v>
      </c>
      <c r="P216" s="354">
        <f t="shared" si="13"/>
        <v>0.63487332339791358</v>
      </c>
    </row>
    <row r="217" spans="1:16" ht="18.75" customHeight="1">
      <c r="A217" s="349">
        <f t="shared" si="14"/>
        <v>169</v>
      </c>
      <c r="B217" s="358" t="s">
        <v>3204</v>
      </c>
      <c r="C217" s="355" t="s">
        <v>3205</v>
      </c>
      <c r="D217" s="145">
        <v>43709</v>
      </c>
      <c r="E217" s="146">
        <v>44196</v>
      </c>
      <c r="F217" s="149">
        <v>0.49691991786447637</v>
      </c>
      <c r="G217" s="355">
        <v>1098070.79</v>
      </c>
      <c r="H217" s="355">
        <v>1098070.79</v>
      </c>
      <c r="I217" s="359">
        <v>424858.98000000004</v>
      </c>
      <c r="J217" s="353">
        <f t="shared" si="15"/>
        <v>0.38691401671835751</v>
      </c>
      <c r="M217" s="74">
        <f t="shared" si="11"/>
        <v>487</v>
      </c>
      <c r="N217" s="146">
        <v>43951</v>
      </c>
      <c r="O217" s="74">
        <f t="shared" si="12"/>
        <v>245</v>
      </c>
      <c r="P217" s="354">
        <f t="shared" si="13"/>
        <v>0.49691991786447637</v>
      </c>
    </row>
    <row r="218" spans="1:16" ht="18.75" customHeight="1">
      <c r="A218" s="349">
        <f t="shared" si="14"/>
        <v>170</v>
      </c>
      <c r="B218" s="358" t="s">
        <v>3206</v>
      </c>
      <c r="C218" s="355" t="s">
        <v>3207</v>
      </c>
      <c r="D218" s="145">
        <v>43617</v>
      </c>
      <c r="E218" s="146">
        <v>44196</v>
      </c>
      <c r="F218" s="149">
        <v>0.57685664939550951</v>
      </c>
      <c r="G218" s="355">
        <v>1069020.28</v>
      </c>
      <c r="H218" s="355">
        <v>1069020.28</v>
      </c>
      <c r="I218" s="359">
        <v>564774.91</v>
      </c>
      <c r="J218" s="353">
        <f t="shared" si="15"/>
        <v>0.52831075384276149</v>
      </c>
      <c r="M218" s="74">
        <f t="shared" si="11"/>
        <v>579</v>
      </c>
      <c r="N218" s="146">
        <v>43951</v>
      </c>
      <c r="O218" s="74">
        <f t="shared" si="12"/>
        <v>245</v>
      </c>
      <c r="P218" s="354">
        <f t="shared" si="13"/>
        <v>0.57685664939550951</v>
      </c>
    </row>
    <row r="219" spans="1:16" ht="18.75" customHeight="1">
      <c r="A219" s="349">
        <f t="shared" si="14"/>
        <v>171</v>
      </c>
      <c r="B219" s="358" t="s">
        <v>3208</v>
      </c>
      <c r="C219" s="355" t="s">
        <v>3209</v>
      </c>
      <c r="D219" s="145">
        <v>43922</v>
      </c>
      <c r="E219" s="146">
        <v>44196</v>
      </c>
      <c r="F219" s="149">
        <v>0.10583941605839416</v>
      </c>
      <c r="G219" s="355">
        <v>144196.47</v>
      </c>
      <c r="H219" s="355">
        <v>144196.47</v>
      </c>
      <c r="I219" s="359">
        <v>57678.59</v>
      </c>
      <c r="J219" s="353">
        <f t="shared" si="15"/>
        <v>0.40000001386996503</v>
      </c>
      <c r="M219" s="74">
        <f t="shared" si="11"/>
        <v>274</v>
      </c>
      <c r="N219" s="146">
        <v>43951</v>
      </c>
      <c r="O219" s="74">
        <f t="shared" si="12"/>
        <v>245</v>
      </c>
      <c r="P219" s="354">
        <f t="shared" si="13"/>
        <v>0.10583941605839416</v>
      </c>
    </row>
    <row r="220" spans="1:16" ht="18.75" customHeight="1">
      <c r="A220" s="349">
        <f t="shared" si="14"/>
        <v>172</v>
      </c>
      <c r="B220" s="358" t="s">
        <v>3210</v>
      </c>
      <c r="C220" s="355" t="s">
        <v>3211</v>
      </c>
      <c r="D220" s="145">
        <v>43617</v>
      </c>
      <c r="E220" s="146">
        <v>44196</v>
      </c>
      <c r="F220" s="149">
        <v>0.57685664939550951</v>
      </c>
      <c r="G220" s="355">
        <v>143320.92000000001</v>
      </c>
      <c r="H220" s="355">
        <v>143320.92000000001</v>
      </c>
      <c r="I220" s="359">
        <v>133589.95000000001</v>
      </c>
      <c r="J220" s="353">
        <f t="shared" si="15"/>
        <v>0.9321036314865967</v>
      </c>
      <c r="M220" s="74">
        <f t="shared" si="11"/>
        <v>579</v>
      </c>
      <c r="N220" s="146">
        <v>43951</v>
      </c>
      <c r="O220" s="74">
        <f t="shared" si="12"/>
        <v>245</v>
      </c>
      <c r="P220" s="354">
        <f t="shared" si="13"/>
        <v>0.57685664939550951</v>
      </c>
    </row>
    <row r="221" spans="1:16" ht="18.75" customHeight="1">
      <c r="A221" s="349">
        <f t="shared" si="14"/>
        <v>173</v>
      </c>
      <c r="B221" s="358" t="s">
        <v>3212</v>
      </c>
      <c r="C221" s="355" t="s">
        <v>3213</v>
      </c>
      <c r="D221" s="145">
        <v>43617</v>
      </c>
      <c r="E221" s="146">
        <v>44196</v>
      </c>
      <c r="F221" s="149">
        <v>0.57685664939550951</v>
      </c>
      <c r="G221" s="355">
        <v>487619.21</v>
      </c>
      <c r="H221" s="355">
        <v>487619.21</v>
      </c>
      <c r="I221" s="359">
        <v>454887.51</v>
      </c>
      <c r="J221" s="353">
        <f t="shared" si="15"/>
        <v>0.93287446571270227</v>
      </c>
      <c r="M221" s="74">
        <f t="shared" si="11"/>
        <v>579</v>
      </c>
      <c r="N221" s="146">
        <v>43951</v>
      </c>
      <c r="O221" s="74">
        <f t="shared" si="12"/>
        <v>245</v>
      </c>
      <c r="P221" s="354">
        <f t="shared" si="13"/>
        <v>0.57685664939550951</v>
      </c>
    </row>
    <row r="222" spans="1:16" ht="18.75" customHeight="1">
      <c r="A222" s="349">
        <f t="shared" si="14"/>
        <v>174</v>
      </c>
      <c r="B222" s="358" t="s">
        <v>3214</v>
      </c>
      <c r="C222" s="355" t="s">
        <v>3215</v>
      </c>
      <c r="D222" s="145">
        <v>43617</v>
      </c>
      <c r="E222" s="146">
        <v>44196</v>
      </c>
      <c r="F222" s="149">
        <v>0.57685664939550951</v>
      </c>
      <c r="G222" s="355">
        <v>798286.48</v>
      </c>
      <c r="H222" s="355">
        <v>798286.48</v>
      </c>
      <c r="I222" s="359">
        <v>727515.19</v>
      </c>
      <c r="J222" s="353">
        <f t="shared" si="15"/>
        <v>0.91134599949632111</v>
      </c>
      <c r="M222" s="74">
        <f t="shared" si="11"/>
        <v>579</v>
      </c>
      <c r="N222" s="146">
        <v>43951</v>
      </c>
      <c r="O222" s="74">
        <f t="shared" si="12"/>
        <v>245</v>
      </c>
      <c r="P222" s="354">
        <f t="shared" si="13"/>
        <v>0.57685664939550951</v>
      </c>
    </row>
    <row r="223" spans="1:16" ht="18.75" customHeight="1">
      <c r="A223" s="349">
        <f t="shared" si="14"/>
        <v>175</v>
      </c>
      <c r="B223" s="358" t="s">
        <v>3216</v>
      </c>
      <c r="C223" s="355" t="s">
        <v>3217</v>
      </c>
      <c r="D223" s="145">
        <v>43617</v>
      </c>
      <c r="E223" s="146">
        <v>44196</v>
      </c>
      <c r="F223" s="149">
        <v>0.57685664939550951</v>
      </c>
      <c r="G223" s="355">
        <v>886984.89</v>
      </c>
      <c r="H223" s="355">
        <v>886984.89</v>
      </c>
      <c r="I223" s="359">
        <v>842752.8600000001</v>
      </c>
      <c r="J223" s="353">
        <f t="shared" si="15"/>
        <v>0.95013214937629897</v>
      </c>
      <c r="M223" s="74">
        <f t="shared" si="11"/>
        <v>579</v>
      </c>
      <c r="N223" s="146">
        <v>43951</v>
      </c>
      <c r="O223" s="74">
        <f t="shared" si="12"/>
        <v>245</v>
      </c>
      <c r="P223" s="354">
        <f t="shared" si="13"/>
        <v>0.57685664939550951</v>
      </c>
    </row>
    <row r="224" spans="1:16" ht="18.75" customHeight="1">
      <c r="A224" s="349">
        <f t="shared" si="14"/>
        <v>176</v>
      </c>
      <c r="B224" s="358" t="s">
        <v>3218</v>
      </c>
      <c r="C224" s="355" t="s">
        <v>3219</v>
      </c>
      <c r="D224" s="145">
        <v>43617</v>
      </c>
      <c r="E224" s="146">
        <v>44196</v>
      </c>
      <c r="F224" s="149">
        <v>0.57685664939550951</v>
      </c>
      <c r="G224" s="355">
        <v>133047.75</v>
      </c>
      <c r="H224" s="355">
        <v>133047.75</v>
      </c>
      <c r="I224" s="359">
        <v>123316.70000000001</v>
      </c>
      <c r="J224" s="353">
        <f t="shared" si="15"/>
        <v>0.92686046926761267</v>
      </c>
      <c r="M224" s="74">
        <f t="shared" si="11"/>
        <v>579</v>
      </c>
      <c r="N224" s="146">
        <v>43951</v>
      </c>
      <c r="O224" s="74">
        <f t="shared" si="12"/>
        <v>245</v>
      </c>
      <c r="P224" s="354">
        <f t="shared" si="13"/>
        <v>0.57685664939550951</v>
      </c>
    </row>
    <row r="225" spans="1:16" s="360" customFormat="1" ht="20.100000000000001" customHeight="1">
      <c r="A225" s="769" t="str">
        <f>$A$1</f>
        <v>KENTUCKY UTILITIES COMPANY</v>
      </c>
      <c r="B225" s="769"/>
      <c r="C225" s="769"/>
      <c r="D225" s="769"/>
      <c r="E225" s="769"/>
      <c r="F225" s="769"/>
      <c r="G225" s="769"/>
      <c r="H225" s="769"/>
      <c r="I225" s="769"/>
      <c r="J225" s="769"/>
    </row>
    <row r="226" spans="1:16" s="360" customFormat="1" ht="20.100000000000001" customHeight="1">
      <c r="A226" s="769" t="str">
        <f>$A$2</f>
        <v>CASE NO. 2018-00294 - RESPONSE TO PSC 2-65 (SLIPPAGE FACTOR 96.027%)</v>
      </c>
      <c r="B226" s="769"/>
      <c r="C226" s="769"/>
      <c r="D226" s="769"/>
      <c r="E226" s="769"/>
      <c r="F226" s="769"/>
      <c r="G226" s="769"/>
      <c r="H226" s="769"/>
      <c r="I226" s="769"/>
      <c r="J226" s="769"/>
    </row>
    <row r="227" spans="1:16" s="360" customFormat="1" ht="20.100000000000001" customHeight="1">
      <c r="A227" s="769" t="s">
        <v>1219</v>
      </c>
      <c r="B227" s="769"/>
      <c r="C227" s="769"/>
      <c r="D227" s="769"/>
      <c r="E227" s="769"/>
      <c r="F227" s="769"/>
      <c r="G227" s="769"/>
      <c r="H227" s="769"/>
      <c r="I227" s="769"/>
      <c r="J227" s="769"/>
    </row>
    <row r="228" spans="1:16" s="360" customFormat="1" ht="20.100000000000001" customHeight="1">
      <c r="A228" s="769" t="str">
        <f>$A$4</f>
        <v>AS OF APRIL 30, 2020</v>
      </c>
      <c r="B228" s="769"/>
      <c r="C228" s="769"/>
      <c r="D228" s="769"/>
      <c r="E228" s="769"/>
      <c r="F228" s="769"/>
      <c r="G228" s="769"/>
      <c r="H228" s="769"/>
      <c r="I228" s="769"/>
      <c r="J228" s="769"/>
    </row>
    <row r="229" spans="1:16" s="360" customFormat="1" ht="20.100000000000001" customHeight="1">
      <c r="A229" s="347"/>
      <c r="B229" s="347"/>
      <c r="C229" s="347"/>
      <c r="D229" s="347"/>
      <c r="E229" s="347"/>
      <c r="F229" s="347"/>
      <c r="G229" s="347"/>
      <c r="H229" s="347"/>
      <c r="I229" s="347"/>
      <c r="J229" s="347"/>
    </row>
    <row r="230" spans="1:16" s="360" customFormat="1" ht="20.100000000000001" customHeight="1">
      <c r="A230" s="67" t="str">
        <f>$A$6</f>
        <v>DATA:____BASE  PERIOD__X__FORECASTED  PERIOD</v>
      </c>
      <c r="B230" s="348"/>
      <c r="C230" s="68"/>
      <c r="D230" s="144"/>
      <c r="E230" s="144"/>
      <c r="F230" s="68"/>
      <c r="G230" s="74"/>
      <c r="H230" s="74"/>
      <c r="I230" s="74"/>
      <c r="J230" s="74" t="s">
        <v>1714</v>
      </c>
    </row>
    <row r="231" spans="1:16" s="360" customFormat="1" ht="20.100000000000001" customHeight="1">
      <c r="A231" s="67" t="str">
        <f>$A$7</f>
        <v>TYPE OF FILING: __X__ ORIGINAL  _____ UPDATED  _____ REVISED</v>
      </c>
      <c r="B231" s="349"/>
      <c r="C231" s="68"/>
      <c r="D231" s="144"/>
      <c r="E231" s="144"/>
      <c r="F231" s="68"/>
      <c r="G231" s="74"/>
      <c r="H231" s="74"/>
      <c r="I231" s="74"/>
      <c r="J231" s="74" t="s">
        <v>3395</v>
      </c>
    </row>
    <row r="232" spans="1:16" s="360" customFormat="1" ht="20.100000000000001" customHeight="1">
      <c r="A232" s="67" t="str">
        <f>$A$8</f>
        <v>WORKPAPER REFERENCE NO(S).:</v>
      </c>
      <c r="B232" s="348"/>
      <c r="C232" s="68"/>
      <c r="D232" s="144"/>
      <c r="E232" s="144"/>
      <c r="F232" s="67"/>
      <c r="G232" s="75"/>
      <c r="H232" s="75"/>
      <c r="I232" s="75"/>
      <c r="J232" s="75" t="str">
        <f>$J$8</f>
        <v>WITNESS:   C. M. GARRETT</v>
      </c>
    </row>
    <row r="233" spans="1:16" s="360" customFormat="1" ht="20.100000000000001" customHeight="1">
      <c r="A233" s="68"/>
      <c r="B233" s="349"/>
      <c r="C233" s="68"/>
      <c r="D233" s="144"/>
      <c r="E233" s="144"/>
      <c r="F233" s="68"/>
      <c r="G233" s="68"/>
      <c r="H233" s="68"/>
      <c r="I233" s="68"/>
      <c r="J233" s="68"/>
    </row>
    <row r="234" spans="1:16" s="360" customFormat="1" ht="65.099999999999994" customHeight="1">
      <c r="A234" s="76" t="s">
        <v>131</v>
      </c>
      <c r="B234" s="76" t="s">
        <v>1222</v>
      </c>
      <c r="C234" s="76" t="s">
        <v>1223</v>
      </c>
      <c r="D234" s="142" t="s">
        <v>1225</v>
      </c>
      <c r="E234" s="142" t="s">
        <v>1226</v>
      </c>
      <c r="F234" s="76" t="s">
        <v>1227</v>
      </c>
      <c r="G234" s="76" t="s">
        <v>1228</v>
      </c>
      <c r="H234" s="76" t="s">
        <v>1229</v>
      </c>
      <c r="I234" s="76" t="s">
        <v>1230</v>
      </c>
      <c r="J234" s="76" t="s">
        <v>1231</v>
      </c>
      <c r="M234" s="361" t="s">
        <v>1239</v>
      </c>
      <c r="N234" s="361" t="s">
        <v>1240</v>
      </c>
      <c r="O234" s="361" t="s">
        <v>1241</v>
      </c>
      <c r="P234" s="361" t="s">
        <v>1227</v>
      </c>
    </row>
    <row r="235" spans="1:16" s="360" customFormat="1" ht="23.1" customHeight="1">
      <c r="A235" s="80" t="s">
        <v>1220</v>
      </c>
      <c r="B235" s="80" t="s">
        <v>1221</v>
      </c>
      <c r="C235" s="80" t="s">
        <v>1224</v>
      </c>
      <c r="D235" s="356" t="s">
        <v>1232</v>
      </c>
      <c r="E235" s="356" t="s">
        <v>1233</v>
      </c>
      <c r="F235" s="357" t="s">
        <v>1234</v>
      </c>
      <c r="G235" s="357" t="s">
        <v>1235</v>
      </c>
      <c r="H235" s="357" t="s">
        <v>1236</v>
      </c>
      <c r="I235" s="357" t="s">
        <v>1237</v>
      </c>
      <c r="J235" s="357" t="s">
        <v>1238</v>
      </c>
    </row>
    <row r="236" spans="1:16" s="360" customFormat="1" ht="18.95" customHeight="1">
      <c r="A236" s="73"/>
      <c r="B236" s="73"/>
      <c r="C236" s="73"/>
      <c r="D236" s="362"/>
      <c r="E236" s="362"/>
      <c r="F236" s="363"/>
      <c r="G236" s="363"/>
      <c r="H236" s="363"/>
      <c r="I236" s="363"/>
      <c r="J236" s="363"/>
    </row>
    <row r="237" spans="1:16" ht="18.75" customHeight="1">
      <c r="A237" s="349">
        <f>A224+1</f>
        <v>177</v>
      </c>
      <c r="B237" s="358" t="s">
        <v>3220</v>
      </c>
      <c r="C237" s="355" t="s">
        <v>3221</v>
      </c>
      <c r="D237" s="145">
        <v>43678</v>
      </c>
      <c r="E237" s="146">
        <v>44561</v>
      </c>
      <c r="F237" s="149">
        <v>0.30917327293318231</v>
      </c>
      <c r="G237" s="355">
        <v>133774.42000000001</v>
      </c>
      <c r="H237" s="355">
        <v>133774.42000000001</v>
      </c>
      <c r="I237" s="359">
        <v>82465.260000000009</v>
      </c>
      <c r="J237" s="353">
        <f t="shared" si="15"/>
        <v>0.61645014046781144</v>
      </c>
      <c r="M237" s="74">
        <f t="shared" si="11"/>
        <v>883</v>
      </c>
      <c r="N237" s="146">
        <v>43951</v>
      </c>
      <c r="O237" s="74">
        <f t="shared" si="12"/>
        <v>610</v>
      </c>
      <c r="P237" s="354">
        <f t="shared" si="13"/>
        <v>0.30917327293318231</v>
      </c>
    </row>
    <row r="238" spans="1:16" ht="18.75" customHeight="1">
      <c r="A238" s="349">
        <f t="shared" si="14"/>
        <v>178</v>
      </c>
      <c r="B238" s="358" t="s">
        <v>3222</v>
      </c>
      <c r="C238" s="355" t="s">
        <v>3223</v>
      </c>
      <c r="D238" s="145">
        <v>43466</v>
      </c>
      <c r="E238" s="146">
        <v>44196</v>
      </c>
      <c r="F238" s="149">
        <v>0.66438356164383561</v>
      </c>
      <c r="G238" s="355">
        <v>221374.46</v>
      </c>
      <c r="H238" s="355">
        <v>221374.46</v>
      </c>
      <c r="I238" s="359">
        <v>181548.25</v>
      </c>
      <c r="J238" s="353">
        <f t="shared" si="15"/>
        <v>0.82009573281398407</v>
      </c>
      <c r="M238" s="74">
        <f t="shared" si="11"/>
        <v>730</v>
      </c>
      <c r="N238" s="146">
        <v>43951</v>
      </c>
      <c r="O238" s="74">
        <f t="shared" si="12"/>
        <v>245</v>
      </c>
      <c r="P238" s="354">
        <f t="shared" si="13"/>
        <v>0.66438356164383561</v>
      </c>
    </row>
    <row r="239" spans="1:16" ht="18.75" customHeight="1">
      <c r="A239" s="349">
        <f t="shared" si="14"/>
        <v>179</v>
      </c>
      <c r="B239" s="358" t="s">
        <v>3224</v>
      </c>
      <c r="C239" s="355" t="s">
        <v>3225</v>
      </c>
      <c r="D239" s="145">
        <v>43466</v>
      </c>
      <c r="E239" s="146">
        <v>44196</v>
      </c>
      <c r="F239" s="149">
        <v>0.66438356164383561</v>
      </c>
      <c r="G239" s="355">
        <v>44274.89</v>
      </c>
      <c r="H239" s="355">
        <v>44274.89</v>
      </c>
      <c r="I239" s="359">
        <v>36309.65</v>
      </c>
      <c r="J239" s="353">
        <f t="shared" si="15"/>
        <v>0.82009576985962029</v>
      </c>
      <c r="M239" s="74">
        <f t="shared" si="11"/>
        <v>730</v>
      </c>
      <c r="N239" s="146">
        <v>43951</v>
      </c>
      <c r="O239" s="74">
        <f t="shared" si="12"/>
        <v>245</v>
      </c>
      <c r="P239" s="354">
        <f t="shared" si="13"/>
        <v>0.66438356164383561</v>
      </c>
    </row>
    <row r="240" spans="1:16" ht="18.75" customHeight="1">
      <c r="A240" s="349">
        <f t="shared" si="14"/>
        <v>180</v>
      </c>
      <c r="B240" s="358" t="s">
        <v>3226</v>
      </c>
      <c r="C240" s="355" t="s">
        <v>3227</v>
      </c>
      <c r="D240" s="145">
        <v>43466</v>
      </c>
      <c r="E240" s="146">
        <v>44196</v>
      </c>
      <c r="F240" s="149">
        <v>0.66438356164383561</v>
      </c>
      <c r="G240" s="355">
        <v>127486.29000000001</v>
      </c>
      <c r="H240" s="355">
        <v>127486.29000000001</v>
      </c>
      <c r="I240" s="359">
        <v>92085.19</v>
      </c>
      <c r="J240" s="353">
        <f t="shared" si="15"/>
        <v>0.72231445436211217</v>
      </c>
      <c r="M240" s="74">
        <f t="shared" si="11"/>
        <v>730</v>
      </c>
      <c r="N240" s="146">
        <v>43951</v>
      </c>
      <c r="O240" s="74">
        <f t="shared" si="12"/>
        <v>245</v>
      </c>
      <c r="P240" s="354">
        <f t="shared" si="13"/>
        <v>0.66438356164383561</v>
      </c>
    </row>
    <row r="241" spans="1:16" ht="18.75" customHeight="1">
      <c r="A241" s="349">
        <f t="shared" si="14"/>
        <v>181</v>
      </c>
      <c r="B241" s="358" t="s">
        <v>3228</v>
      </c>
      <c r="C241" s="355" t="s">
        <v>3229</v>
      </c>
      <c r="D241" s="145">
        <v>43466</v>
      </c>
      <c r="E241" s="146">
        <v>44196</v>
      </c>
      <c r="F241" s="149">
        <v>0.66438356164383561</v>
      </c>
      <c r="G241" s="355">
        <v>87778.060000000012</v>
      </c>
      <c r="H241" s="355">
        <v>87778.060000000012</v>
      </c>
      <c r="I241" s="359">
        <v>54742.439999999995</v>
      </c>
      <c r="J241" s="353">
        <f t="shared" si="15"/>
        <v>0.62364604549246117</v>
      </c>
      <c r="M241" s="74">
        <f t="shared" si="11"/>
        <v>730</v>
      </c>
      <c r="N241" s="146">
        <v>43951</v>
      </c>
      <c r="O241" s="74">
        <f t="shared" si="12"/>
        <v>245</v>
      </c>
      <c r="P241" s="354">
        <f t="shared" si="13"/>
        <v>0.66438356164383561</v>
      </c>
    </row>
    <row r="242" spans="1:16" ht="18.75" customHeight="1">
      <c r="A242" s="349">
        <f t="shared" si="14"/>
        <v>182</v>
      </c>
      <c r="B242" s="358" t="s">
        <v>3230</v>
      </c>
      <c r="C242" s="355" t="s">
        <v>3231</v>
      </c>
      <c r="D242" s="145">
        <v>43466</v>
      </c>
      <c r="E242" s="146">
        <v>44196</v>
      </c>
      <c r="F242" s="149">
        <v>0.66438356164383561</v>
      </c>
      <c r="G242" s="355">
        <v>44274.89</v>
      </c>
      <c r="H242" s="355">
        <v>44274.89</v>
      </c>
      <c r="I242" s="359">
        <v>36309.65</v>
      </c>
      <c r="J242" s="353">
        <f t="shared" si="15"/>
        <v>0.82009576985962029</v>
      </c>
      <c r="M242" s="74">
        <f t="shared" si="11"/>
        <v>730</v>
      </c>
      <c r="N242" s="146">
        <v>43951</v>
      </c>
      <c r="O242" s="74">
        <f t="shared" si="12"/>
        <v>245</v>
      </c>
      <c r="P242" s="354">
        <f t="shared" si="13"/>
        <v>0.66438356164383561</v>
      </c>
    </row>
    <row r="243" spans="1:16" ht="18.75" customHeight="1">
      <c r="A243" s="349">
        <f t="shared" si="14"/>
        <v>183</v>
      </c>
      <c r="B243" s="358" t="s">
        <v>3232</v>
      </c>
      <c r="C243" s="355" t="s">
        <v>3233</v>
      </c>
      <c r="D243" s="145">
        <v>43466</v>
      </c>
      <c r="E243" s="146">
        <v>44196</v>
      </c>
      <c r="F243" s="149">
        <v>0.66438356164383561</v>
      </c>
      <c r="G243" s="355">
        <v>87778.060000000012</v>
      </c>
      <c r="H243" s="355">
        <v>87778.060000000012</v>
      </c>
      <c r="I243" s="359">
        <v>54742.439999999995</v>
      </c>
      <c r="J243" s="353">
        <f t="shared" si="15"/>
        <v>0.62364604549246117</v>
      </c>
      <c r="M243" s="74">
        <f t="shared" si="11"/>
        <v>730</v>
      </c>
      <c r="N243" s="146">
        <v>43951</v>
      </c>
      <c r="O243" s="74">
        <f t="shared" si="12"/>
        <v>245</v>
      </c>
      <c r="P243" s="354">
        <f t="shared" si="13"/>
        <v>0.66438356164383561</v>
      </c>
    </row>
    <row r="244" spans="1:16" ht="18.75" customHeight="1">
      <c r="A244" s="349">
        <f t="shared" si="14"/>
        <v>184</v>
      </c>
      <c r="B244" s="358" t="s">
        <v>3234</v>
      </c>
      <c r="C244" s="355" t="s">
        <v>3235</v>
      </c>
      <c r="D244" s="145">
        <v>43466</v>
      </c>
      <c r="E244" s="146">
        <v>44196</v>
      </c>
      <c r="F244" s="149">
        <v>0.66438356164383561</v>
      </c>
      <c r="G244" s="355">
        <v>106405.67000000001</v>
      </c>
      <c r="H244" s="355">
        <v>106405.67000000001</v>
      </c>
      <c r="I244" s="359">
        <v>95785.329999999987</v>
      </c>
      <c r="J244" s="353">
        <f t="shared" si="15"/>
        <v>0.90019009325348898</v>
      </c>
      <c r="M244" s="74">
        <f t="shared" si="11"/>
        <v>730</v>
      </c>
      <c r="N244" s="146">
        <v>43951</v>
      </c>
      <c r="O244" s="74">
        <f t="shared" si="12"/>
        <v>245</v>
      </c>
      <c r="P244" s="354">
        <f t="shared" si="13"/>
        <v>0.66438356164383561</v>
      </c>
    </row>
    <row r="245" spans="1:16" ht="18.75" customHeight="1">
      <c r="A245" s="349">
        <f t="shared" si="14"/>
        <v>185</v>
      </c>
      <c r="B245" s="358" t="s">
        <v>3236</v>
      </c>
      <c r="C245" s="355" t="s">
        <v>3237</v>
      </c>
      <c r="D245" s="145">
        <v>43466</v>
      </c>
      <c r="E245" s="146">
        <v>44196</v>
      </c>
      <c r="F245" s="149">
        <v>0.66438356164383561</v>
      </c>
      <c r="G245" s="355">
        <v>1525229.96</v>
      </c>
      <c r="H245" s="355">
        <v>1525229.96</v>
      </c>
      <c r="I245" s="359">
        <v>865835.73</v>
      </c>
      <c r="J245" s="353">
        <f t="shared" si="15"/>
        <v>0.56767553267836413</v>
      </c>
      <c r="M245" s="74">
        <f t="shared" si="11"/>
        <v>730</v>
      </c>
      <c r="N245" s="146">
        <v>43951</v>
      </c>
      <c r="O245" s="74">
        <f t="shared" si="12"/>
        <v>245</v>
      </c>
      <c r="P245" s="354">
        <f t="shared" si="13"/>
        <v>0.66438356164383561</v>
      </c>
    </row>
    <row r="246" spans="1:16" ht="18.75" customHeight="1">
      <c r="A246" s="349">
        <f t="shared" si="14"/>
        <v>186</v>
      </c>
      <c r="B246" s="358" t="s">
        <v>3238</v>
      </c>
      <c r="C246" s="355" t="s">
        <v>3239</v>
      </c>
      <c r="D246" s="145">
        <v>43466</v>
      </c>
      <c r="E246" s="146">
        <v>44196</v>
      </c>
      <c r="F246" s="149">
        <v>0.66438356164383561</v>
      </c>
      <c r="G246" s="355">
        <v>1089162.78</v>
      </c>
      <c r="H246" s="355">
        <v>1089162.78</v>
      </c>
      <c r="I246" s="359">
        <v>463448.5</v>
      </c>
      <c r="J246" s="353">
        <f t="shared" si="15"/>
        <v>0.42550893999517686</v>
      </c>
      <c r="M246" s="74">
        <f t="shared" si="11"/>
        <v>730</v>
      </c>
      <c r="N246" s="146">
        <v>43951</v>
      </c>
      <c r="O246" s="74">
        <f t="shared" si="12"/>
        <v>245</v>
      </c>
      <c r="P246" s="354">
        <f t="shared" si="13"/>
        <v>0.66438356164383561</v>
      </c>
    </row>
    <row r="247" spans="1:16" ht="18.75" customHeight="1">
      <c r="A247" s="349">
        <f t="shared" si="14"/>
        <v>187</v>
      </c>
      <c r="B247" s="358" t="s">
        <v>3240</v>
      </c>
      <c r="C247" s="355" t="s">
        <v>3241</v>
      </c>
      <c r="D247" s="145">
        <v>43101</v>
      </c>
      <c r="E247" s="146">
        <v>44561</v>
      </c>
      <c r="F247" s="149">
        <v>0.5821917808219178</v>
      </c>
      <c r="G247" s="355">
        <v>600004</v>
      </c>
      <c r="H247" s="355">
        <v>1348470.44</v>
      </c>
      <c r="I247" s="359">
        <v>584996.83000000007</v>
      </c>
      <c r="J247" s="353">
        <f t="shared" si="15"/>
        <v>0.43382250930172417</v>
      </c>
      <c r="M247" s="74">
        <f t="shared" si="11"/>
        <v>1460</v>
      </c>
      <c r="N247" s="146">
        <v>43951</v>
      </c>
      <c r="O247" s="74">
        <f t="shared" si="12"/>
        <v>610</v>
      </c>
      <c r="P247" s="354">
        <f t="shared" si="13"/>
        <v>0.5821917808219178</v>
      </c>
    </row>
    <row r="248" spans="1:16" ht="18.75" customHeight="1">
      <c r="A248" s="349">
        <f t="shared" si="14"/>
        <v>188</v>
      </c>
      <c r="B248" s="358" t="s">
        <v>3242</v>
      </c>
      <c r="C248" s="355" t="s">
        <v>3243</v>
      </c>
      <c r="D248" s="145">
        <v>43831</v>
      </c>
      <c r="E248" s="146">
        <v>44104</v>
      </c>
      <c r="F248" s="149">
        <v>0.43956043956043955</v>
      </c>
      <c r="G248" s="355">
        <v>159000</v>
      </c>
      <c r="H248" s="355">
        <v>158737.59</v>
      </c>
      <c r="I248" s="359">
        <v>25341.25</v>
      </c>
      <c r="J248" s="353">
        <f t="shared" si="15"/>
        <v>0.15964240102171137</v>
      </c>
      <c r="M248" s="74">
        <f t="shared" si="11"/>
        <v>273</v>
      </c>
      <c r="N248" s="146">
        <v>43951</v>
      </c>
      <c r="O248" s="74">
        <f t="shared" si="12"/>
        <v>153</v>
      </c>
      <c r="P248" s="354">
        <f t="shared" si="13"/>
        <v>0.43956043956043955</v>
      </c>
    </row>
    <row r="249" spans="1:16" ht="18.75" customHeight="1">
      <c r="A249" s="349">
        <f t="shared" si="14"/>
        <v>189</v>
      </c>
      <c r="B249" s="358" t="s">
        <v>3244</v>
      </c>
      <c r="C249" s="355" t="s">
        <v>3245</v>
      </c>
      <c r="D249" s="145">
        <v>43831</v>
      </c>
      <c r="E249" s="146">
        <v>44074</v>
      </c>
      <c r="F249" s="149">
        <v>0.49382716049382713</v>
      </c>
      <c r="G249" s="355">
        <v>749671.83</v>
      </c>
      <c r="H249" s="355">
        <v>749671.83</v>
      </c>
      <c r="I249" s="359">
        <v>17070.3</v>
      </c>
      <c r="J249" s="353">
        <f t="shared" si="15"/>
        <v>2.2770363400209395E-2</v>
      </c>
      <c r="M249" s="74">
        <f t="shared" si="11"/>
        <v>243</v>
      </c>
      <c r="N249" s="146">
        <v>43951</v>
      </c>
      <c r="O249" s="74">
        <f t="shared" si="12"/>
        <v>123</v>
      </c>
      <c r="P249" s="354">
        <f t="shared" si="13"/>
        <v>0.49382716049382713</v>
      </c>
    </row>
    <row r="250" spans="1:16" ht="18.75" customHeight="1">
      <c r="A250" s="349">
        <f t="shared" si="14"/>
        <v>190</v>
      </c>
      <c r="B250" s="358" t="s">
        <v>3246</v>
      </c>
      <c r="C250" s="355" t="s">
        <v>3247</v>
      </c>
      <c r="D250" s="145">
        <v>43466</v>
      </c>
      <c r="E250" s="146">
        <v>45291</v>
      </c>
      <c r="F250" s="149">
        <v>0.26575342465753427</v>
      </c>
      <c r="G250" s="355">
        <v>5861750.1299999999</v>
      </c>
      <c r="H250" s="355">
        <v>5861750.1299999999</v>
      </c>
      <c r="I250" s="359">
        <v>1063663.6099999999</v>
      </c>
      <c r="J250" s="353">
        <f t="shared" si="15"/>
        <v>0.18145836762236739</v>
      </c>
      <c r="M250" s="74">
        <f t="shared" si="11"/>
        <v>1825</v>
      </c>
      <c r="N250" s="146">
        <v>43951</v>
      </c>
      <c r="O250" s="74">
        <f t="shared" si="12"/>
        <v>1340</v>
      </c>
      <c r="P250" s="354">
        <f t="shared" si="13"/>
        <v>0.26575342465753427</v>
      </c>
    </row>
    <row r="251" spans="1:16" ht="18.75" customHeight="1">
      <c r="A251" s="349">
        <f t="shared" si="14"/>
        <v>191</v>
      </c>
      <c r="B251" s="358" t="s">
        <v>3248</v>
      </c>
      <c r="C251" s="355" t="s">
        <v>3249</v>
      </c>
      <c r="D251" s="145">
        <v>43831</v>
      </c>
      <c r="E251" s="146">
        <v>44196</v>
      </c>
      <c r="F251" s="149">
        <v>0.32876712328767121</v>
      </c>
      <c r="G251" s="355">
        <v>37008</v>
      </c>
      <c r="H251" s="355">
        <v>284266.28999999998</v>
      </c>
      <c r="I251" s="359">
        <v>98713.74</v>
      </c>
      <c r="J251" s="353">
        <f t="shared" si="15"/>
        <v>0.34725798827571153</v>
      </c>
      <c r="M251" s="74">
        <f t="shared" si="11"/>
        <v>365</v>
      </c>
      <c r="N251" s="146">
        <v>43951</v>
      </c>
      <c r="O251" s="74">
        <f t="shared" si="12"/>
        <v>245</v>
      </c>
      <c r="P251" s="354">
        <f t="shared" si="13"/>
        <v>0.32876712328767121</v>
      </c>
    </row>
    <row r="252" spans="1:16" ht="18.75" customHeight="1">
      <c r="A252" s="349">
        <f t="shared" si="14"/>
        <v>192</v>
      </c>
      <c r="B252" s="358" t="s">
        <v>3250</v>
      </c>
      <c r="C252" s="355" t="s">
        <v>3251</v>
      </c>
      <c r="D252" s="145">
        <v>43831</v>
      </c>
      <c r="E252" s="146">
        <v>44196</v>
      </c>
      <c r="F252" s="149">
        <v>0.32876712328767121</v>
      </c>
      <c r="G252" s="355">
        <v>146000</v>
      </c>
      <c r="H252" s="355">
        <v>140000</v>
      </c>
      <c r="I252" s="359">
        <v>14000</v>
      </c>
      <c r="J252" s="353">
        <f t="shared" si="15"/>
        <v>0.1</v>
      </c>
      <c r="M252" s="74">
        <f t="shared" si="11"/>
        <v>365</v>
      </c>
      <c r="N252" s="146">
        <v>43951</v>
      </c>
      <c r="O252" s="74">
        <f t="shared" si="12"/>
        <v>245</v>
      </c>
      <c r="P252" s="354">
        <f t="shared" si="13"/>
        <v>0.32876712328767121</v>
      </c>
    </row>
    <row r="253" spans="1:16" ht="18.75" customHeight="1">
      <c r="A253" s="349">
        <f t="shared" si="14"/>
        <v>193</v>
      </c>
      <c r="B253" s="358" t="s">
        <v>3252</v>
      </c>
      <c r="C253" s="355" t="s">
        <v>3253</v>
      </c>
      <c r="D253" s="145">
        <v>43466</v>
      </c>
      <c r="E253" s="146">
        <v>44196</v>
      </c>
      <c r="F253" s="149">
        <v>0.66438356164383561</v>
      </c>
      <c r="G253" s="355">
        <v>5028861.92</v>
      </c>
      <c r="H253" s="355">
        <v>5029123.12</v>
      </c>
      <c r="I253" s="359">
        <v>1358899.2</v>
      </c>
      <c r="J253" s="353">
        <f t="shared" ref="J253:J273" si="16">I253/H253</f>
        <v>0.27020599169582471</v>
      </c>
      <c r="M253" s="74">
        <f t="shared" ref="M253:M273" si="17">E253-D253</f>
        <v>730</v>
      </c>
      <c r="N253" s="146">
        <v>43951</v>
      </c>
      <c r="O253" s="74">
        <f t="shared" ref="O253:O273" si="18">E253-N253</f>
        <v>245</v>
      </c>
      <c r="P253" s="354">
        <f t="shared" ref="P253:P273" si="19">(M253-O253)/M253</f>
        <v>0.66438356164383561</v>
      </c>
    </row>
    <row r="254" spans="1:16" ht="18.75" customHeight="1">
      <c r="A254" s="349">
        <f t="shared" ref="A254:A273" si="20">A253+1</f>
        <v>194</v>
      </c>
      <c r="B254" s="358" t="s">
        <v>3254</v>
      </c>
      <c r="C254" s="355" t="s">
        <v>3255</v>
      </c>
      <c r="D254" s="145">
        <v>43831</v>
      </c>
      <c r="E254" s="146">
        <v>44196</v>
      </c>
      <c r="F254" s="149">
        <v>0.32876712328767121</v>
      </c>
      <c r="G254" s="355">
        <v>217999.7</v>
      </c>
      <c r="H254" s="355">
        <v>107497.58</v>
      </c>
      <c r="I254" s="359">
        <v>27368.55</v>
      </c>
      <c r="J254" s="353">
        <f t="shared" si="16"/>
        <v>0.25459689418124576</v>
      </c>
      <c r="M254" s="74">
        <f t="shared" si="17"/>
        <v>365</v>
      </c>
      <c r="N254" s="146">
        <v>43951</v>
      </c>
      <c r="O254" s="74">
        <f t="shared" si="18"/>
        <v>245</v>
      </c>
      <c r="P254" s="354">
        <f t="shared" si="19"/>
        <v>0.32876712328767121</v>
      </c>
    </row>
    <row r="255" spans="1:16" ht="18.75" customHeight="1">
      <c r="A255" s="349">
        <f t="shared" si="20"/>
        <v>195</v>
      </c>
      <c r="B255" s="358" t="s">
        <v>3256</v>
      </c>
      <c r="C255" s="355" t="s">
        <v>3257</v>
      </c>
      <c r="D255" s="145">
        <v>43831</v>
      </c>
      <c r="E255" s="146">
        <v>44196</v>
      </c>
      <c r="F255" s="149">
        <v>0.32876712328767121</v>
      </c>
      <c r="G255" s="355">
        <v>929500</v>
      </c>
      <c r="H255" s="355">
        <v>464048.97</v>
      </c>
      <c r="I255" s="359">
        <v>124678.95000000001</v>
      </c>
      <c r="J255" s="353">
        <f t="shared" si="16"/>
        <v>0.26867627785058984</v>
      </c>
      <c r="M255" s="74">
        <f t="shared" si="17"/>
        <v>365</v>
      </c>
      <c r="N255" s="146">
        <v>43951</v>
      </c>
      <c r="O255" s="74">
        <f t="shared" si="18"/>
        <v>245</v>
      </c>
      <c r="P255" s="354">
        <f t="shared" si="19"/>
        <v>0.32876712328767121</v>
      </c>
    </row>
    <row r="256" spans="1:16" ht="18.75" customHeight="1">
      <c r="A256" s="349">
        <f t="shared" si="20"/>
        <v>196</v>
      </c>
      <c r="B256" s="358" t="s">
        <v>3258</v>
      </c>
      <c r="C256" s="355" t="s">
        <v>3259</v>
      </c>
      <c r="D256" s="145">
        <v>43466</v>
      </c>
      <c r="E256" s="146">
        <v>44196</v>
      </c>
      <c r="F256" s="149">
        <v>0.66438356164383561</v>
      </c>
      <c r="G256" s="355">
        <v>112000</v>
      </c>
      <c r="H256" s="355">
        <v>112000</v>
      </c>
      <c r="I256" s="359">
        <v>74666.720000000016</v>
      </c>
      <c r="J256" s="353">
        <f t="shared" si="16"/>
        <v>0.66666714285714301</v>
      </c>
      <c r="M256" s="74">
        <f t="shared" si="17"/>
        <v>730</v>
      </c>
      <c r="N256" s="146">
        <v>43951</v>
      </c>
      <c r="O256" s="74">
        <f t="shared" si="18"/>
        <v>245</v>
      </c>
      <c r="P256" s="354">
        <f t="shared" si="19"/>
        <v>0.66438356164383561</v>
      </c>
    </row>
    <row r="257" spans="1:16" ht="18.75" customHeight="1">
      <c r="A257" s="349">
        <f t="shared" si="20"/>
        <v>197</v>
      </c>
      <c r="B257" s="358" t="s">
        <v>3260</v>
      </c>
      <c r="C257" s="355" t="s">
        <v>3261</v>
      </c>
      <c r="D257" s="145">
        <v>43831</v>
      </c>
      <c r="E257" s="146">
        <v>44196</v>
      </c>
      <c r="F257" s="149">
        <v>0.32876712328767121</v>
      </c>
      <c r="G257" s="355">
        <v>56000</v>
      </c>
      <c r="H257" s="355">
        <v>56000</v>
      </c>
      <c r="I257" s="359">
        <v>18666.72</v>
      </c>
      <c r="J257" s="353">
        <f t="shared" si="16"/>
        <v>0.33333428571428575</v>
      </c>
      <c r="M257" s="74">
        <f t="shared" si="17"/>
        <v>365</v>
      </c>
      <c r="N257" s="146">
        <v>43951</v>
      </c>
      <c r="O257" s="74">
        <f t="shared" si="18"/>
        <v>245</v>
      </c>
      <c r="P257" s="354">
        <f t="shared" si="19"/>
        <v>0.32876712328767121</v>
      </c>
    </row>
    <row r="258" spans="1:16" ht="18.75" customHeight="1">
      <c r="A258" s="349">
        <f t="shared" si="20"/>
        <v>198</v>
      </c>
      <c r="B258" s="358" t="s">
        <v>2912</v>
      </c>
      <c r="C258" s="355" t="s">
        <v>2913</v>
      </c>
      <c r="D258" s="145">
        <v>42370</v>
      </c>
      <c r="E258" s="146">
        <v>44196</v>
      </c>
      <c r="F258" s="149">
        <v>0.86582694414019712</v>
      </c>
      <c r="G258" s="355">
        <v>261250</v>
      </c>
      <c r="H258" s="355">
        <v>153414.75</v>
      </c>
      <c r="I258" s="359">
        <v>111703.94</v>
      </c>
      <c r="J258" s="353">
        <f t="shared" si="16"/>
        <v>0.72811734204175282</v>
      </c>
      <c r="M258" s="74">
        <f t="shared" si="17"/>
        <v>1826</v>
      </c>
      <c r="N258" s="146">
        <v>43951</v>
      </c>
      <c r="O258" s="74">
        <f t="shared" si="18"/>
        <v>245</v>
      </c>
      <c r="P258" s="354">
        <f t="shared" si="19"/>
        <v>0.86582694414019712</v>
      </c>
    </row>
    <row r="259" spans="1:16" ht="18.75" customHeight="1">
      <c r="A259" s="349">
        <f t="shared" si="20"/>
        <v>199</v>
      </c>
      <c r="B259" s="358" t="s">
        <v>2914</v>
      </c>
      <c r="C259" s="355" t="s">
        <v>2915</v>
      </c>
      <c r="D259" s="145">
        <v>42583</v>
      </c>
      <c r="E259" s="146">
        <v>46022</v>
      </c>
      <c r="F259" s="149">
        <v>0.39779005524861877</v>
      </c>
      <c r="G259" s="355">
        <v>2120249.84</v>
      </c>
      <c r="H259" s="355">
        <v>2120249.84</v>
      </c>
      <c r="I259" s="359">
        <v>2120249.84</v>
      </c>
      <c r="J259" s="353">
        <f t="shared" si="16"/>
        <v>1</v>
      </c>
      <c r="M259" s="74">
        <f t="shared" si="17"/>
        <v>3439</v>
      </c>
      <c r="N259" s="146">
        <v>43951</v>
      </c>
      <c r="O259" s="74">
        <f t="shared" si="18"/>
        <v>2071</v>
      </c>
      <c r="P259" s="354">
        <f t="shared" si="19"/>
        <v>0.39779005524861877</v>
      </c>
    </row>
    <row r="260" spans="1:16" ht="18.75" customHeight="1">
      <c r="A260" s="349">
        <f t="shared" si="20"/>
        <v>200</v>
      </c>
      <c r="B260" s="358" t="s">
        <v>2372</v>
      </c>
      <c r="C260" s="355" t="s">
        <v>3262</v>
      </c>
      <c r="D260" s="145">
        <v>43466</v>
      </c>
      <c r="E260" s="146">
        <v>44196</v>
      </c>
      <c r="F260" s="149">
        <v>0.66438356164383561</v>
      </c>
      <c r="G260" s="355">
        <v>531999.99</v>
      </c>
      <c r="H260" s="355">
        <v>835340.16</v>
      </c>
      <c r="I260" s="359">
        <v>751907.07999999984</v>
      </c>
      <c r="J260" s="353">
        <f t="shared" si="16"/>
        <v>0.90012083221283146</v>
      </c>
      <c r="M260" s="74">
        <f t="shared" si="17"/>
        <v>730</v>
      </c>
      <c r="N260" s="146">
        <v>43951</v>
      </c>
      <c r="O260" s="74">
        <f t="shared" si="18"/>
        <v>245</v>
      </c>
      <c r="P260" s="354">
        <f t="shared" si="19"/>
        <v>0.66438356164383561</v>
      </c>
    </row>
    <row r="261" spans="1:16" ht="18.75" customHeight="1">
      <c r="A261" s="349">
        <f t="shared" si="20"/>
        <v>201</v>
      </c>
      <c r="B261" s="358" t="s">
        <v>3263</v>
      </c>
      <c r="C261" s="355" t="s">
        <v>3264</v>
      </c>
      <c r="D261" s="145">
        <v>43831</v>
      </c>
      <c r="E261" s="146">
        <v>44196</v>
      </c>
      <c r="F261" s="149">
        <v>0.32876712328767121</v>
      </c>
      <c r="G261" s="355">
        <v>327749.94</v>
      </c>
      <c r="H261" s="355">
        <v>342000</v>
      </c>
      <c r="I261" s="359">
        <v>292800</v>
      </c>
      <c r="J261" s="353">
        <f t="shared" si="16"/>
        <v>0.85614035087719298</v>
      </c>
      <c r="M261" s="74">
        <f t="shared" si="17"/>
        <v>365</v>
      </c>
      <c r="N261" s="146">
        <v>43951</v>
      </c>
      <c r="O261" s="74">
        <f t="shared" si="18"/>
        <v>245</v>
      </c>
      <c r="P261" s="354">
        <f t="shared" si="19"/>
        <v>0.32876712328767121</v>
      </c>
    </row>
    <row r="262" spans="1:16" ht="18.75" customHeight="1">
      <c r="A262" s="349">
        <f t="shared" si="20"/>
        <v>202</v>
      </c>
      <c r="B262" s="358" t="s">
        <v>3265</v>
      </c>
      <c r="C262" s="355" t="s">
        <v>3266</v>
      </c>
      <c r="D262" s="145">
        <v>43831</v>
      </c>
      <c r="E262" s="146">
        <v>44196</v>
      </c>
      <c r="F262" s="149">
        <v>0.32876712328767121</v>
      </c>
      <c r="G262" s="355">
        <v>436999.84</v>
      </c>
      <c r="H262" s="355">
        <v>456000</v>
      </c>
      <c r="I262" s="359">
        <v>388800</v>
      </c>
      <c r="J262" s="353">
        <f t="shared" si="16"/>
        <v>0.85263157894736841</v>
      </c>
      <c r="M262" s="74">
        <f t="shared" si="17"/>
        <v>365</v>
      </c>
      <c r="N262" s="146">
        <v>43951</v>
      </c>
      <c r="O262" s="74">
        <f t="shared" si="18"/>
        <v>245</v>
      </c>
      <c r="P262" s="354">
        <f t="shared" si="19"/>
        <v>0.32876712328767121</v>
      </c>
    </row>
    <row r="263" spans="1:16" ht="18.75" customHeight="1">
      <c r="A263" s="349">
        <f t="shared" si="20"/>
        <v>203</v>
      </c>
      <c r="B263" s="358" t="s">
        <v>3267</v>
      </c>
      <c r="C263" s="355" t="s">
        <v>3268</v>
      </c>
      <c r="D263" s="145">
        <v>43831</v>
      </c>
      <c r="E263" s="146">
        <v>44196</v>
      </c>
      <c r="F263" s="149">
        <v>0.32876712328767121</v>
      </c>
      <c r="G263" s="355">
        <v>112000</v>
      </c>
      <c r="H263" s="355">
        <v>112000</v>
      </c>
      <c r="I263" s="359">
        <v>42000</v>
      </c>
      <c r="J263" s="353">
        <f t="shared" si="16"/>
        <v>0.375</v>
      </c>
      <c r="M263" s="74">
        <f t="shared" si="17"/>
        <v>365</v>
      </c>
      <c r="N263" s="146">
        <v>43951</v>
      </c>
      <c r="O263" s="74">
        <f t="shared" si="18"/>
        <v>245</v>
      </c>
      <c r="P263" s="354">
        <f t="shared" si="19"/>
        <v>0.32876712328767121</v>
      </c>
    </row>
    <row r="264" spans="1:16" ht="18.75" customHeight="1">
      <c r="A264" s="349">
        <f t="shared" si="20"/>
        <v>204</v>
      </c>
      <c r="B264" s="358" t="s">
        <v>3269</v>
      </c>
      <c r="C264" s="355" t="s">
        <v>3270</v>
      </c>
      <c r="D264" s="145">
        <v>43466</v>
      </c>
      <c r="E264" s="146">
        <v>44196</v>
      </c>
      <c r="F264" s="149">
        <v>0.66438356164383561</v>
      </c>
      <c r="G264" s="355">
        <v>115000</v>
      </c>
      <c r="H264" s="355">
        <v>72000</v>
      </c>
      <c r="I264" s="359">
        <v>43200</v>
      </c>
      <c r="J264" s="353">
        <f t="shared" si="16"/>
        <v>0.6</v>
      </c>
      <c r="M264" s="74">
        <f t="shared" si="17"/>
        <v>730</v>
      </c>
      <c r="N264" s="146">
        <v>43951</v>
      </c>
      <c r="O264" s="74">
        <f t="shared" si="18"/>
        <v>245</v>
      </c>
      <c r="P264" s="354">
        <f t="shared" si="19"/>
        <v>0.66438356164383561</v>
      </c>
    </row>
    <row r="265" spans="1:16" ht="18.75" customHeight="1">
      <c r="A265" s="349">
        <f t="shared" si="20"/>
        <v>205</v>
      </c>
      <c r="B265" s="358" t="s">
        <v>3271</v>
      </c>
      <c r="C265" s="355" t="s">
        <v>3272</v>
      </c>
      <c r="D265" s="145">
        <v>43831</v>
      </c>
      <c r="E265" s="146">
        <v>44196</v>
      </c>
      <c r="F265" s="149">
        <v>0.32876712328767121</v>
      </c>
      <c r="G265" s="355">
        <v>279999.98</v>
      </c>
      <c r="H265" s="355">
        <v>280000</v>
      </c>
      <c r="I265" s="359">
        <v>56000</v>
      </c>
      <c r="J265" s="353">
        <f t="shared" si="16"/>
        <v>0.2</v>
      </c>
      <c r="M265" s="74">
        <f t="shared" si="17"/>
        <v>365</v>
      </c>
      <c r="N265" s="146">
        <v>43951</v>
      </c>
      <c r="O265" s="74">
        <f t="shared" si="18"/>
        <v>245</v>
      </c>
      <c r="P265" s="354">
        <f t="shared" si="19"/>
        <v>0.32876712328767121</v>
      </c>
    </row>
    <row r="266" spans="1:16" ht="18.75" customHeight="1">
      <c r="A266" s="349">
        <f t="shared" si="20"/>
        <v>206</v>
      </c>
      <c r="B266" s="358" t="s">
        <v>3273</v>
      </c>
      <c r="C266" s="355" t="s">
        <v>3274</v>
      </c>
      <c r="D266" s="145">
        <v>43466</v>
      </c>
      <c r="E266" s="146">
        <v>44196</v>
      </c>
      <c r="F266" s="149">
        <v>0.66438356164383561</v>
      </c>
      <c r="G266" s="355">
        <v>1048799.6599999999</v>
      </c>
      <c r="H266" s="355">
        <v>2250142.7599999998</v>
      </c>
      <c r="I266" s="359">
        <v>1434910.1</v>
      </c>
      <c r="J266" s="353">
        <f t="shared" si="16"/>
        <v>0.63769736103321739</v>
      </c>
      <c r="M266" s="74">
        <f t="shared" si="17"/>
        <v>730</v>
      </c>
      <c r="N266" s="146">
        <v>43951</v>
      </c>
      <c r="O266" s="74">
        <f t="shared" si="18"/>
        <v>245</v>
      </c>
      <c r="P266" s="354">
        <f t="shared" si="19"/>
        <v>0.66438356164383561</v>
      </c>
    </row>
    <row r="267" spans="1:16" ht="18.75" customHeight="1">
      <c r="A267" s="349">
        <f t="shared" si="20"/>
        <v>207</v>
      </c>
      <c r="B267" s="358" t="s">
        <v>3275</v>
      </c>
      <c r="C267" s="355" t="s">
        <v>3276</v>
      </c>
      <c r="D267" s="145">
        <v>43466</v>
      </c>
      <c r="E267" s="146">
        <v>44196</v>
      </c>
      <c r="F267" s="149">
        <v>0.66438356164383561</v>
      </c>
      <c r="G267" s="355">
        <v>459999.95999999996</v>
      </c>
      <c r="H267" s="355">
        <v>1359214.6600000001</v>
      </c>
      <c r="I267" s="359">
        <v>1096572.3199999998</v>
      </c>
      <c r="J267" s="353">
        <f t="shared" si="16"/>
        <v>0.80676905000421328</v>
      </c>
      <c r="M267" s="74">
        <f t="shared" si="17"/>
        <v>730</v>
      </c>
      <c r="N267" s="146">
        <v>43951</v>
      </c>
      <c r="O267" s="74">
        <f t="shared" si="18"/>
        <v>245</v>
      </c>
      <c r="P267" s="354">
        <f t="shared" si="19"/>
        <v>0.66438356164383561</v>
      </c>
    </row>
    <row r="268" spans="1:16" ht="18.75" customHeight="1">
      <c r="A268" s="349">
        <f t="shared" si="20"/>
        <v>208</v>
      </c>
      <c r="B268" s="358" t="s">
        <v>3277</v>
      </c>
      <c r="C268" s="355" t="s">
        <v>3278</v>
      </c>
      <c r="D268" s="145">
        <v>43466</v>
      </c>
      <c r="E268" s="146">
        <v>44561</v>
      </c>
      <c r="F268" s="149">
        <v>0.44292237442922372</v>
      </c>
      <c r="G268" s="355">
        <v>689999.67999999993</v>
      </c>
      <c r="H268" s="355">
        <v>1453967.77</v>
      </c>
      <c r="I268" s="359">
        <v>600918.43999999994</v>
      </c>
      <c r="J268" s="353">
        <f t="shared" si="16"/>
        <v>0.41329557119412624</v>
      </c>
      <c r="M268" s="74">
        <f t="shared" si="17"/>
        <v>1095</v>
      </c>
      <c r="N268" s="146">
        <v>43951</v>
      </c>
      <c r="O268" s="74">
        <f t="shared" si="18"/>
        <v>610</v>
      </c>
      <c r="P268" s="354">
        <f t="shared" si="19"/>
        <v>0.44292237442922372</v>
      </c>
    </row>
    <row r="269" spans="1:16" ht="18.75" customHeight="1">
      <c r="A269" s="349">
        <f t="shared" si="20"/>
        <v>209</v>
      </c>
      <c r="B269" s="358" t="s">
        <v>3279</v>
      </c>
      <c r="C269" s="355" t="s">
        <v>3280</v>
      </c>
      <c r="D269" s="145">
        <v>43466</v>
      </c>
      <c r="E269" s="146">
        <v>44196</v>
      </c>
      <c r="F269" s="149">
        <v>0.66438356164383561</v>
      </c>
      <c r="G269" s="355">
        <v>644000.29000000027</v>
      </c>
      <c r="H269" s="355">
        <v>641403.83000000007</v>
      </c>
      <c r="I269" s="359">
        <v>390267.32</v>
      </c>
      <c r="J269" s="353">
        <f t="shared" si="16"/>
        <v>0.60845804428701333</v>
      </c>
      <c r="M269" s="74">
        <f t="shared" si="17"/>
        <v>730</v>
      </c>
      <c r="N269" s="146">
        <v>43951</v>
      </c>
      <c r="O269" s="74">
        <f t="shared" si="18"/>
        <v>245</v>
      </c>
      <c r="P269" s="354">
        <f t="shared" si="19"/>
        <v>0.66438356164383561</v>
      </c>
    </row>
    <row r="270" spans="1:16" ht="18.75" customHeight="1">
      <c r="A270" s="349">
        <f t="shared" si="20"/>
        <v>210</v>
      </c>
      <c r="B270" s="358" t="s">
        <v>3281</v>
      </c>
      <c r="C270" s="355" t="s">
        <v>3282</v>
      </c>
      <c r="D270" s="145">
        <v>43831</v>
      </c>
      <c r="E270" s="146">
        <v>44196</v>
      </c>
      <c r="F270" s="149">
        <v>0.32876712328767121</v>
      </c>
      <c r="G270" s="355">
        <v>192000</v>
      </c>
      <c r="H270" s="355">
        <v>192000</v>
      </c>
      <c r="I270" s="359">
        <v>38400</v>
      </c>
      <c r="J270" s="353">
        <f t="shared" si="16"/>
        <v>0.2</v>
      </c>
      <c r="M270" s="74">
        <f t="shared" si="17"/>
        <v>365</v>
      </c>
      <c r="N270" s="146">
        <v>43951</v>
      </c>
      <c r="O270" s="74">
        <f t="shared" si="18"/>
        <v>245</v>
      </c>
      <c r="P270" s="354">
        <f t="shared" si="19"/>
        <v>0.32876712328767121</v>
      </c>
    </row>
    <row r="271" spans="1:16" ht="18.75" customHeight="1">
      <c r="A271" s="349">
        <f t="shared" si="20"/>
        <v>211</v>
      </c>
      <c r="B271" s="358" t="s">
        <v>3283</v>
      </c>
      <c r="C271" s="355" t="s">
        <v>3284</v>
      </c>
      <c r="D271" s="145">
        <v>43466</v>
      </c>
      <c r="E271" s="146">
        <v>44196</v>
      </c>
      <c r="F271" s="149">
        <v>0.66438356164383561</v>
      </c>
      <c r="G271" s="355">
        <v>168000</v>
      </c>
      <c r="H271" s="355">
        <v>168000</v>
      </c>
      <c r="I271" s="359">
        <v>140000</v>
      </c>
      <c r="J271" s="353">
        <f t="shared" si="16"/>
        <v>0.83333333333333337</v>
      </c>
      <c r="M271" s="74">
        <f t="shared" si="17"/>
        <v>730</v>
      </c>
      <c r="N271" s="146">
        <v>43951</v>
      </c>
      <c r="O271" s="74">
        <f t="shared" si="18"/>
        <v>245</v>
      </c>
      <c r="P271" s="354">
        <f t="shared" si="19"/>
        <v>0.66438356164383561</v>
      </c>
    </row>
    <row r="272" spans="1:16" ht="18.75" customHeight="1">
      <c r="A272" s="349">
        <f t="shared" si="20"/>
        <v>212</v>
      </c>
      <c r="B272" s="358" t="s">
        <v>3285</v>
      </c>
      <c r="C272" s="355" t="s">
        <v>3286</v>
      </c>
      <c r="D272" s="145">
        <v>43466</v>
      </c>
      <c r="E272" s="146">
        <v>44196</v>
      </c>
      <c r="F272" s="149">
        <v>0.66438356164383561</v>
      </c>
      <c r="G272" s="355">
        <v>446453.1</v>
      </c>
      <c r="H272" s="355">
        <v>446453.1</v>
      </c>
      <c r="I272" s="359">
        <v>312981.17999999993</v>
      </c>
      <c r="J272" s="353">
        <f t="shared" si="16"/>
        <v>0.70103932529531088</v>
      </c>
      <c r="M272" s="74">
        <f t="shared" si="17"/>
        <v>730</v>
      </c>
      <c r="N272" s="146">
        <v>43951</v>
      </c>
      <c r="O272" s="74">
        <f t="shared" si="18"/>
        <v>245</v>
      </c>
      <c r="P272" s="354">
        <f t="shared" si="19"/>
        <v>0.66438356164383561</v>
      </c>
    </row>
    <row r="273" spans="1:16" ht="18.75" customHeight="1">
      <c r="A273" s="349">
        <f t="shared" si="20"/>
        <v>213</v>
      </c>
      <c r="B273" s="358" t="s">
        <v>3287</v>
      </c>
      <c r="C273" s="355" t="s">
        <v>3288</v>
      </c>
      <c r="D273" s="145">
        <v>43466</v>
      </c>
      <c r="E273" s="146">
        <v>44196</v>
      </c>
      <c r="F273" s="149">
        <v>0.66438356164383561</v>
      </c>
      <c r="G273" s="355">
        <v>140000</v>
      </c>
      <c r="H273" s="355">
        <v>140000</v>
      </c>
      <c r="I273" s="359">
        <v>89600</v>
      </c>
      <c r="J273" s="353">
        <f t="shared" si="16"/>
        <v>0.64</v>
      </c>
      <c r="M273" s="74">
        <f t="shared" si="17"/>
        <v>730</v>
      </c>
      <c r="N273" s="146">
        <v>43951</v>
      </c>
      <c r="O273" s="74">
        <f t="shared" si="18"/>
        <v>245</v>
      </c>
      <c r="P273" s="354">
        <f t="shared" si="19"/>
        <v>0.66438356164383561</v>
      </c>
    </row>
    <row r="274" spans="1:16" ht="18.75" customHeight="1">
      <c r="A274" s="494">
        <f>A273+1</f>
        <v>214</v>
      </c>
      <c r="B274" s="358" t="s">
        <v>3289</v>
      </c>
      <c r="C274" s="355" t="s">
        <v>3290</v>
      </c>
      <c r="D274" s="145">
        <v>43831</v>
      </c>
      <c r="E274" s="146">
        <v>44561</v>
      </c>
      <c r="F274" s="149">
        <v>0.16438356164383561</v>
      </c>
      <c r="G274" s="355">
        <v>10381161.629999999</v>
      </c>
      <c r="H274" s="355">
        <v>10381161.629999999</v>
      </c>
      <c r="I274" s="359">
        <v>1096471.53</v>
      </c>
      <c r="J274" s="353">
        <f t="shared" ref="J274" si="21">I274/H274</f>
        <v>0.10562127525607172</v>
      </c>
      <c r="M274" s="74">
        <f t="shared" ref="M274" si="22">E274-D274</f>
        <v>730</v>
      </c>
      <c r="N274" s="146">
        <v>43951</v>
      </c>
      <c r="O274" s="74">
        <f t="shared" ref="O274" si="23">E274-N274</f>
        <v>610</v>
      </c>
      <c r="P274" s="354">
        <f t="shared" ref="P274" si="24">(M274-O274)/M274</f>
        <v>0.16438356164383561</v>
      </c>
    </row>
    <row r="275" spans="1:16" ht="18.75" customHeight="1">
      <c r="A275" s="642">
        <f t="shared" ref="A275:A280" si="25">A274+1</f>
        <v>215</v>
      </c>
      <c r="B275" s="358" t="s">
        <v>3291</v>
      </c>
      <c r="C275" s="355" t="s">
        <v>3292</v>
      </c>
      <c r="D275" s="145">
        <v>43466</v>
      </c>
      <c r="E275" s="146">
        <v>44196</v>
      </c>
      <c r="F275" s="149">
        <v>0.66438356164383561</v>
      </c>
      <c r="G275" s="355">
        <v>560000</v>
      </c>
      <c r="H275" s="355">
        <v>777706.26</v>
      </c>
      <c r="I275" s="359">
        <v>522109.70999999996</v>
      </c>
      <c r="J275" s="353">
        <f t="shared" ref="J275:J280" si="26">I275/H275</f>
        <v>0.6713456440481782</v>
      </c>
      <c r="M275" s="74">
        <f t="shared" ref="M275:M280" si="27">E275-D275</f>
        <v>730</v>
      </c>
      <c r="N275" s="146">
        <v>43951</v>
      </c>
      <c r="O275" s="74">
        <f t="shared" ref="O275:O280" si="28">E275-N275</f>
        <v>245</v>
      </c>
      <c r="P275" s="354">
        <f t="shared" ref="P275:P280" si="29">(M275-O275)/M275</f>
        <v>0.66438356164383561</v>
      </c>
    </row>
    <row r="276" spans="1:16" ht="18.75" customHeight="1">
      <c r="A276" s="642">
        <f t="shared" si="25"/>
        <v>216</v>
      </c>
      <c r="B276" s="358" t="s">
        <v>3293</v>
      </c>
      <c r="C276" s="355" t="s">
        <v>3294</v>
      </c>
      <c r="D276" s="145">
        <v>43831</v>
      </c>
      <c r="E276" s="146">
        <v>44196</v>
      </c>
      <c r="F276" s="149">
        <v>0.32876712328767121</v>
      </c>
      <c r="G276" s="355">
        <v>57499.41</v>
      </c>
      <c r="H276" s="355">
        <v>96000</v>
      </c>
      <c r="I276" s="359">
        <v>14400</v>
      </c>
      <c r="J276" s="353">
        <f t="shared" si="26"/>
        <v>0.15</v>
      </c>
      <c r="M276" s="74">
        <f t="shared" si="27"/>
        <v>365</v>
      </c>
      <c r="N276" s="146">
        <v>43951</v>
      </c>
      <c r="O276" s="74">
        <f t="shared" si="28"/>
        <v>245</v>
      </c>
      <c r="P276" s="354">
        <f t="shared" si="29"/>
        <v>0.32876712328767121</v>
      </c>
    </row>
    <row r="277" spans="1:16" ht="18.75" customHeight="1">
      <c r="A277" s="642">
        <f t="shared" si="25"/>
        <v>217</v>
      </c>
      <c r="B277" s="358" t="s">
        <v>3295</v>
      </c>
      <c r="C277" s="355" t="s">
        <v>3296</v>
      </c>
      <c r="D277" s="145">
        <v>43831</v>
      </c>
      <c r="E277" s="146">
        <v>44561</v>
      </c>
      <c r="F277" s="149">
        <v>0.16438356164383561</v>
      </c>
      <c r="G277" s="355">
        <v>727999.96</v>
      </c>
      <c r="H277" s="355">
        <v>725414.28</v>
      </c>
      <c r="I277" s="359">
        <v>167521.28</v>
      </c>
      <c r="J277" s="353">
        <f t="shared" si="26"/>
        <v>0.23093187523135056</v>
      </c>
      <c r="M277" s="74">
        <f t="shared" si="27"/>
        <v>730</v>
      </c>
      <c r="N277" s="146">
        <v>43951</v>
      </c>
      <c r="O277" s="74">
        <f t="shared" si="28"/>
        <v>610</v>
      </c>
      <c r="P277" s="354">
        <f t="shared" si="29"/>
        <v>0.16438356164383561</v>
      </c>
    </row>
    <row r="278" spans="1:16" ht="18.75" customHeight="1">
      <c r="A278" s="642">
        <f t="shared" si="25"/>
        <v>218</v>
      </c>
      <c r="B278" s="358" t="s">
        <v>3297</v>
      </c>
      <c r="C278" s="355" t="s">
        <v>3298</v>
      </c>
      <c r="D278" s="145">
        <v>43831</v>
      </c>
      <c r="E278" s="146">
        <v>44196</v>
      </c>
      <c r="F278" s="149">
        <v>0.32876712328767121</v>
      </c>
      <c r="G278" s="355">
        <v>114999.92</v>
      </c>
      <c r="H278" s="355">
        <v>120000</v>
      </c>
      <c r="I278" s="359">
        <v>42240</v>
      </c>
      <c r="J278" s="353">
        <f t="shared" si="26"/>
        <v>0.35199999999999998</v>
      </c>
      <c r="M278" s="74">
        <f t="shared" si="27"/>
        <v>365</v>
      </c>
      <c r="N278" s="146">
        <v>43951</v>
      </c>
      <c r="O278" s="74">
        <f t="shared" si="28"/>
        <v>245</v>
      </c>
      <c r="P278" s="354">
        <f t="shared" si="29"/>
        <v>0.32876712328767121</v>
      </c>
    </row>
    <row r="279" spans="1:16" ht="18.75" customHeight="1">
      <c r="A279" s="642">
        <f t="shared" si="25"/>
        <v>219</v>
      </c>
      <c r="B279" s="358" t="s">
        <v>3299</v>
      </c>
      <c r="C279" s="355" t="s">
        <v>3300</v>
      </c>
      <c r="D279" s="145">
        <v>43831</v>
      </c>
      <c r="E279" s="146">
        <v>44196</v>
      </c>
      <c r="F279" s="149">
        <v>0.32876712328767121</v>
      </c>
      <c r="G279" s="355">
        <v>59799.839999999997</v>
      </c>
      <c r="H279" s="355">
        <v>134880</v>
      </c>
      <c r="I279" s="359">
        <v>40464</v>
      </c>
      <c r="J279" s="353">
        <f t="shared" si="26"/>
        <v>0.3</v>
      </c>
      <c r="M279" s="74">
        <f t="shared" si="27"/>
        <v>365</v>
      </c>
      <c r="N279" s="146">
        <v>43951</v>
      </c>
      <c r="O279" s="74">
        <f t="shared" si="28"/>
        <v>245</v>
      </c>
      <c r="P279" s="354">
        <f t="shared" si="29"/>
        <v>0.32876712328767121</v>
      </c>
    </row>
    <row r="280" spans="1:16" ht="18.75" customHeight="1">
      <c r="A280" s="642">
        <f t="shared" si="25"/>
        <v>220</v>
      </c>
      <c r="B280" s="358" t="s">
        <v>3301</v>
      </c>
      <c r="C280" s="355" t="s">
        <v>3302</v>
      </c>
      <c r="D280" s="145">
        <v>43831</v>
      </c>
      <c r="E280" s="146">
        <v>44196</v>
      </c>
      <c r="F280" s="149">
        <v>0.32876712328767121</v>
      </c>
      <c r="G280" s="355">
        <v>76360.05</v>
      </c>
      <c r="H280" s="355">
        <v>34080.480000000003</v>
      </c>
      <c r="I280" s="359">
        <v>14605.920000000002</v>
      </c>
      <c r="J280" s="353">
        <f t="shared" si="26"/>
        <v>0.4285714285714286</v>
      </c>
      <c r="M280" s="74">
        <f t="shared" si="27"/>
        <v>365</v>
      </c>
      <c r="N280" s="146">
        <v>43951</v>
      </c>
      <c r="O280" s="74">
        <f t="shared" si="28"/>
        <v>245</v>
      </c>
      <c r="P280" s="354">
        <f t="shared" si="29"/>
        <v>0.32876712328767121</v>
      </c>
    </row>
    <row r="281" spans="1:16" s="360" customFormat="1" ht="20.100000000000001" customHeight="1">
      <c r="A281" s="769" t="str">
        <f>$A$1</f>
        <v>KENTUCKY UTILITIES COMPANY</v>
      </c>
      <c r="B281" s="769"/>
      <c r="C281" s="769"/>
      <c r="D281" s="769"/>
      <c r="E281" s="769"/>
      <c r="F281" s="769"/>
      <c r="G281" s="769"/>
      <c r="H281" s="769"/>
      <c r="I281" s="769"/>
      <c r="J281" s="769"/>
    </row>
    <row r="282" spans="1:16" s="360" customFormat="1" ht="20.100000000000001" customHeight="1">
      <c r="A282" s="769" t="str">
        <f>$A$2</f>
        <v>CASE NO. 2018-00294 - RESPONSE TO PSC 2-65 (SLIPPAGE FACTOR 96.027%)</v>
      </c>
      <c r="B282" s="769"/>
      <c r="C282" s="769"/>
      <c r="D282" s="769"/>
      <c r="E282" s="769"/>
      <c r="F282" s="769"/>
      <c r="G282" s="769"/>
      <c r="H282" s="769"/>
      <c r="I282" s="769"/>
      <c r="J282" s="769"/>
    </row>
    <row r="283" spans="1:16" s="360" customFormat="1" ht="20.100000000000001" customHeight="1">
      <c r="A283" s="769" t="s">
        <v>1219</v>
      </c>
      <c r="B283" s="769"/>
      <c r="C283" s="769"/>
      <c r="D283" s="769"/>
      <c r="E283" s="769"/>
      <c r="F283" s="769"/>
      <c r="G283" s="769"/>
      <c r="H283" s="769"/>
      <c r="I283" s="769"/>
      <c r="J283" s="769"/>
    </row>
    <row r="284" spans="1:16" s="360" customFormat="1" ht="20.100000000000001" customHeight="1">
      <c r="A284" s="769" t="str">
        <f>$A$4</f>
        <v>AS OF APRIL 30, 2020</v>
      </c>
      <c r="B284" s="769"/>
      <c r="C284" s="769"/>
      <c r="D284" s="769"/>
      <c r="E284" s="769"/>
      <c r="F284" s="769"/>
      <c r="G284" s="769"/>
      <c r="H284" s="769"/>
      <c r="I284" s="769"/>
      <c r="J284" s="769"/>
    </row>
    <row r="285" spans="1:16" s="360" customFormat="1" ht="20.100000000000001" customHeight="1">
      <c r="A285" s="640"/>
      <c r="B285" s="640"/>
      <c r="C285" s="640"/>
      <c r="D285" s="640"/>
      <c r="E285" s="640"/>
      <c r="F285" s="640"/>
      <c r="G285" s="640"/>
      <c r="H285" s="640"/>
      <c r="I285" s="640"/>
      <c r="J285" s="640"/>
    </row>
    <row r="286" spans="1:16" s="360" customFormat="1" ht="20.100000000000001" customHeight="1">
      <c r="A286" s="67" t="str">
        <f>$A$6</f>
        <v>DATA:____BASE  PERIOD__X__FORECASTED  PERIOD</v>
      </c>
      <c r="B286" s="641"/>
      <c r="C286" s="68"/>
      <c r="D286" s="144"/>
      <c r="E286" s="144"/>
      <c r="F286" s="68"/>
      <c r="G286" s="74"/>
      <c r="H286" s="74"/>
      <c r="I286" s="74"/>
      <c r="J286" s="74" t="s">
        <v>1714</v>
      </c>
    </row>
    <row r="287" spans="1:16" s="360" customFormat="1" ht="20.100000000000001" customHeight="1">
      <c r="A287" s="67" t="str">
        <f>$A$7</f>
        <v>TYPE OF FILING: __X__ ORIGINAL  _____ UPDATED  _____ REVISED</v>
      </c>
      <c r="B287" s="642"/>
      <c r="C287" s="68"/>
      <c r="D287" s="144"/>
      <c r="E287" s="144"/>
      <c r="F287" s="68"/>
      <c r="G287" s="74"/>
      <c r="H287" s="74"/>
      <c r="I287" s="74"/>
      <c r="J287" s="74" t="s">
        <v>3393</v>
      </c>
    </row>
    <row r="288" spans="1:16" s="360" customFormat="1" ht="20.100000000000001" customHeight="1">
      <c r="A288" s="67" t="str">
        <f>$A$8</f>
        <v>WORKPAPER REFERENCE NO(S).:</v>
      </c>
      <c r="B288" s="641"/>
      <c r="C288" s="68"/>
      <c r="D288" s="144"/>
      <c r="E288" s="144"/>
      <c r="F288" s="67"/>
      <c r="G288" s="75"/>
      <c r="H288" s="75"/>
      <c r="I288" s="75"/>
      <c r="J288" s="75" t="str">
        <f>$J$8</f>
        <v>WITNESS:   C. M. GARRETT</v>
      </c>
    </row>
    <row r="289" spans="1:16" s="360" customFormat="1" ht="20.100000000000001" customHeight="1">
      <c r="A289" s="68"/>
      <c r="B289" s="642"/>
      <c r="C289" s="68"/>
      <c r="D289" s="144"/>
      <c r="E289" s="144"/>
      <c r="F289" s="68"/>
      <c r="G289" s="68"/>
      <c r="H289" s="68"/>
      <c r="I289" s="68"/>
      <c r="J289" s="68"/>
    </row>
    <row r="290" spans="1:16" s="360" customFormat="1" ht="65.099999999999994" customHeight="1">
      <c r="A290" s="76" t="s">
        <v>131</v>
      </c>
      <c r="B290" s="76" t="s">
        <v>1222</v>
      </c>
      <c r="C290" s="76" t="s">
        <v>1223</v>
      </c>
      <c r="D290" s="142" t="s">
        <v>1225</v>
      </c>
      <c r="E290" s="142" t="s">
        <v>1226</v>
      </c>
      <c r="F290" s="76" t="s">
        <v>1227</v>
      </c>
      <c r="G290" s="76" t="s">
        <v>1228</v>
      </c>
      <c r="H290" s="76" t="s">
        <v>1229</v>
      </c>
      <c r="I290" s="76" t="s">
        <v>1230</v>
      </c>
      <c r="J290" s="76" t="s">
        <v>1231</v>
      </c>
      <c r="M290" s="361" t="s">
        <v>1239</v>
      </c>
      <c r="N290" s="361" t="s">
        <v>1240</v>
      </c>
      <c r="O290" s="361" t="s">
        <v>1241</v>
      </c>
      <c r="P290" s="361" t="s">
        <v>1227</v>
      </c>
    </row>
    <row r="291" spans="1:16" s="360" customFormat="1" ht="23.1" customHeight="1">
      <c r="A291" s="80" t="s">
        <v>1220</v>
      </c>
      <c r="B291" s="80" t="s">
        <v>1221</v>
      </c>
      <c r="C291" s="80" t="s">
        <v>1224</v>
      </c>
      <c r="D291" s="356" t="s">
        <v>1232</v>
      </c>
      <c r="E291" s="356" t="s">
        <v>1233</v>
      </c>
      <c r="F291" s="357" t="s">
        <v>1234</v>
      </c>
      <c r="G291" s="357" t="s">
        <v>1235</v>
      </c>
      <c r="H291" s="357" t="s">
        <v>1236</v>
      </c>
      <c r="I291" s="357" t="s">
        <v>1237</v>
      </c>
      <c r="J291" s="357" t="s">
        <v>1238</v>
      </c>
    </row>
    <row r="292" spans="1:16" s="360" customFormat="1" ht="18.95" customHeight="1">
      <c r="A292" s="73"/>
      <c r="B292" s="73"/>
      <c r="C292" s="73"/>
      <c r="D292" s="362"/>
      <c r="E292" s="362"/>
      <c r="F292" s="363"/>
      <c r="G292" s="363"/>
      <c r="H292" s="363"/>
      <c r="I292" s="363"/>
      <c r="J292" s="363"/>
    </row>
    <row r="293" spans="1:16" ht="18.75" customHeight="1">
      <c r="A293" s="642">
        <f>A280+1</f>
        <v>221</v>
      </c>
      <c r="B293" s="358" t="s">
        <v>3303</v>
      </c>
      <c r="C293" s="355" t="s">
        <v>3304</v>
      </c>
      <c r="D293" s="145">
        <v>43831</v>
      </c>
      <c r="E293" s="146">
        <v>44196</v>
      </c>
      <c r="F293" s="149">
        <v>0.32876712328767121</v>
      </c>
      <c r="G293" s="355">
        <v>207000.12</v>
      </c>
      <c r="H293" s="355">
        <v>238752.63</v>
      </c>
      <c r="I293" s="359">
        <v>78310.87</v>
      </c>
      <c r="J293" s="353">
        <f t="shared" ref="J293:J336" si="30">I293/H293</f>
        <v>0.3280000308268855</v>
      </c>
      <c r="M293" s="74">
        <f t="shared" ref="M293:M336" si="31">E293-D293</f>
        <v>365</v>
      </c>
      <c r="N293" s="146">
        <v>43951</v>
      </c>
      <c r="O293" s="74">
        <f t="shared" ref="O293:O336" si="32">E293-N293</f>
        <v>245</v>
      </c>
      <c r="P293" s="354">
        <f t="shared" ref="P293:P336" si="33">(M293-O293)/M293</f>
        <v>0.32876712328767121</v>
      </c>
    </row>
    <row r="294" spans="1:16" ht="18.75" customHeight="1">
      <c r="A294" s="642">
        <f>A293+1</f>
        <v>222</v>
      </c>
      <c r="B294" s="358" t="s">
        <v>3305</v>
      </c>
      <c r="C294" s="355" t="s">
        <v>3306</v>
      </c>
      <c r="D294" s="145">
        <v>43831</v>
      </c>
      <c r="E294" s="146">
        <v>44196</v>
      </c>
      <c r="F294" s="149">
        <v>0.32876712328767121</v>
      </c>
      <c r="G294" s="355">
        <v>183999.43</v>
      </c>
      <c r="H294" s="355">
        <v>216000</v>
      </c>
      <c r="I294" s="359">
        <v>43200</v>
      </c>
      <c r="J294" s="353">
        <f t="shared" si="30"/>
        <v>0.2</v>
      </c>
      <c r="M294" s="74">
        <f t="shared" si="31"/>
        <v>365</v>
      </c>
      <c r="N294" s="146">
        <v>43951</v>
      </c>
      <c r="O294" s="74">
        <f t="shared" si="32"/>
        <v>245</v>
      </c>
      <c r="P294" s="354">
        <f t="shared" si="33"/>
        <v>0.32876712328767121</v>
      </c>
    </row>
    <row r="295" spans="1:16" ht="18.75" customHeight="1">
      <c r="A295" s="642">
        <f t="shared" ref="A295:A336" si="34">A294+1</f>
        <v>223</v>
      </c>
      <c r="B295" s="358" t="s">
        <v>3307</v>
      </c>
      <c r="C295" s="355" t="s">
        <v>3308</v>
      </c>
      <c r="D295" s="145">
        <v>43831</v>
      </c>
      <c r="E295" s="146">
        <v>44196</v>
      </c>
      <c r="F295" s="149">
        <v>0.32876712328767121</v>
      </c>
      <c r="G295" s="355">
        <v>34500</v>
      </c>
      <c r="H295" s="355">
        <v>35886.959999999999</v>
      </c>
      <c r="I295" s="359">
        <v>11962.32</v>
      </c>
      <c r="J295" s="353">
        <f t="shared" si="30"/>
        <v>0.33333333333333331</v>
      </c>
      <c r="M295" s="74">
        <f t="shared" si="31"/>
        <v>365</v>
      </c>
      <c r="N295" s="146">
        <v>43951</v>
      </c>
      <c r="O295" s="74">
        <f t="shared" si="32"/>
        <v>245</v>
      </c>
      <c r="P295" s="354">
        <f t="shared" si="33"/>
        <v>0.32876712328767121</v>
      </c>
    </row>
    <row r="296" spans="1:16" ht="18.75" customHeight="1">
      <c r="A296" s="642">
        <f t="shared" si="34"/>
        <v>224</v>
      </c>
      <c r="B296" s="358" t="s">
        <v>3309</v>
      </c>
      <c r="C296" s="355" t="s">
        <v>3310</v>
      </c>
      <c r="D296" s="145">
        <v>43831</v>
      </c>
      <c r="E296" s="146">
        <v>44196</v>
      </c>
      <c r="F296" s="149">
        <v>0.32876712328767121</v>
      </c>
      <c r="G296" s="355">
        <v>138000.06</v>
      </c>
      <c r="H296" s="355">
        <v>144000</v>
      </c>
      <c r="I296" s="359">
        <v>12000</v>
      </c>
      <c r="J296" s="353">
        <f t="shared" si="30"/>
        <v>8.3333333333333329E-2</v>
      </c>
      <c r="M296" s="74">
        <f t="shared" si="31"/>
        <v>365</v>
      </c>
      <c r="N296" s="146">
        <v>43951</v>
      </c>
      <c r="O296" s="74">
        <f t="shared" si="32"/>
        <v>245</v>
      </c>
      <c r="P296" s="354">
        <f t="shared" si="33"/>
        <v>0.32876712328767121</v>
      </c>
    </row>
    <row r="297" spans="1:16" ht="18.75" customHeight="1">
      <c r="A297" s="642">
        <f t="shared" si="34"/>
        <v>225</v>
      </c>
      <c r="B297" s="358" t="s">
        <v>3311</v>
      </c>
      <c r="C297" s="355" t="s">
        <v>3312</v>
      </c>
      <c r="D297" s="145">
        <v>43831</v>
      </c>
      <c r="E297" s="146">
        <v>44196</v>
      </c>
      <c r="F297" s="149">
        <v>0.32876712328767121</v>
      </c>
      <c r="G297" s="355">
        <v>69000</v>
      </c>
      <c r="H297" s="355">
        <v>72000</v>
      </c>
      <c r="I297" s="359">
        <v>24000</v>
      </c>
      <c r="J297" s="353">
        <f t="shared" si="30"/>
        <v>0.33333333333333331</v>
      </c>
      <c r="M297" s="74">
        <f t="shared" si="31"/>
        <v>365</v>
      </c>
      <c r="N297" s="146">
        <v>43951</v>
      </c>
      <c r="O297" s="74">
        <f t="shared" si="32"/>
        <v>245</v>
      </c>
      <c r="P297" s="354">
        <f t="shared" si="33"/>
        <v>0.32876712328767121</v>
      </c>
    </row>
    <row r="298" spans="1:16" ht="18.75" customHeight="1">
      <c r="A298" s="642">
        <f t="shared" si="34"/>
        <v>226</v>
      </c>
      <c r="B298" s="358" t="s">
        <v>3313</v>
      </c>
      <c r="C298" s="355" t="s">
        <v>3314</v>
      </c>
      <c r="D298" s="145">
        <v>43831</v>
      </c>
      <c r="E298" s="146">
        <v>44196</v>
      </c>
      <c r="F298" s="149">
        <v>0.32876712328767121</v>
      </c>
      <c r="G298" s="355">
        <v>34500</v>
      </c>
      <c r="H298" s="355">
        <v>36000</v>
      </c>
      <c r="I298" s="359">
        <v>5760</v>
      </c>
      <c r="J298" s="353">
        <f t="shared" si="30"/>
        <v>0.16</v>
      </c>
      <c r="M298" s="74">
        <f t="shared" si="31"/>
        <v>365</v>
      </c>
      <c r="N298" s="146">
        <v>43951</v>
      </c>
      <c r="O298" s="74">
        <f t="shared" si="32"/>
        <v>245</v>
      </c>
      <c r="P298" s="354">
        <f t="shared" si="33"/>
        <v>0.32876712328767121</v>
      </c>
    </row>
    <row r="299" spans="1:16" ht="18.75" customHeight="1">
      <c r="A299" s="642">
        <f t="shared" si="34"/>
        <v>227</v>
      </c>
      <c r="B299" s="358" t="s">
        <v>3315</v>
      </c>
      <c r="C299" s="355" t="s">
        <v>3316</v>
      </c>
      <c r="D299" s="145">
        <v>43831</v>
      </c>
      <c r="E299" s="146">
        <v>44196</v>
      </c>
      <c r="F299" s="149">
        <v>0.32876712328767121</v>
      </c>
      <c r="G299" s="355">
        <v>91999.66</v>
      </c>
      <c r="H299" s="355">
        <v>96000</v>
      </c>
      <c r="I299" s="359">
        <v>26400</v>
      </c>
      <c r="J299" s="353">
        <f t="shared" si="30"/>
        <v>0.27500000000000002</v>
      </c>
      <c r="M299" s="74">
        <f t="shared" si="31"/>
        <v>365</v>
      </c>
      <c r="N299" s="146">
        <v>43951</v>
      </c>
      <c r="O299" s="74">
        <f t="shared" si="32"/>
        <v>245</v>
      </c>
      <c r="P299" s="354">
        <f t="shared" si="33"/>
        <v>0.32876712328767121</v>
      </c>
    </row>
    <row r="300" spans="1:16" ht="18.75" customHeight="1">
      <c r="A300" s="642">
        <f t="shared" si="34"/>
        <v>228</v>
      </c>
      <c r="B300" s="358" t="s">
        <v>3317</v>
      </c>
      <c r="C300" s="355" t="s">
        <v>3318</v>
      </c>
      <c r="D300" s="145">
        <v>43831</v>
      </c>
      <c r="E300" s="146">
        <v>44196</v>
      </c>
      <c r="F300" s="149">
        <v>0.32876712328767121</v>
      </c>
      <c r="G300" s="355">
        <v>48760</v>
      </c>
      <c r="H300" s="355">
        <v>50880</v>
      </c>
      <c r="I300" s="359">
        <v>8160</v>
      </c>
      <c r="J300" s="353">
        <f t="shared" si="30"/>
        <v>0.16037735849056603</v>
      </c>
      <c r="M300" s="74">
        <f t="shared" si="31"/>
        <v>365</v>
      </c>
      <c r="N300" s="146">
        <v>43951</v>
      </c>
      <c r="O300" s="74">
        <f t="shared" si="32"/>
        <v>245</v>
      </c>
      <c r="P300" s="354">
        <f t="shared" si="33"/>
        <v>0.32876712328767121</v>
      </c>
    </row>
    <row r="301" spans="1:16" ht="18.75" customHeight="1">
      <c r="A301" s="642">
        <f t="shared" si="34"/>
        <v>229</v>
      </c>
      <c r="B301" s="358" t="s">
        <v>3319</v>
      </c>
      <c r="C301" s="355" t="s">
        <v>3320</v>
      </c>
      <c r="D301" s="145">
        <v>43831</v>
      </c>
      <c r="E301" s="146">
        <v>44196</v>
      </c>
      <c r="F301" s="149">
        <v>0.32876712328767121</v>
      </c>
      <c r="G301" s="355">
        <v>68999.31</v>
      </c>
      <c r="H301" s="355">
        <v>72000</v>
      </c>
      <c r="I301" s="359">
        <v>12240</v>
      </c>
      <c r="J301" s="353">
        <f t="shared" si="30"/>
        <v>0.17</v>
      </c>
      <c r="M301" s="74">
        <f t="shared" si="31"/>
        <v>365</v>
      </c>
      <c r="N301" s="146">
        <v>43951</v>
      </c>
      <c r="O301" s="74">
        <f t="shared" si="32"/>
        <v>245</v>
      </c>
      <c r="P301" s="354">
        <f t="shared" si="33"/>
        <v>0.32876712328767121</v>
      </c>
    </row>
    <row r="302" spans="1:16" ht="18.75" customHeight="1">
      <c r="A302" s="642">
        <f t="shared" si="34"/>
        <v>230</v>
      </c>
      <c r="B302" s="358" t="s">
        <v>3321</v>
      </c>
      <c r="C302" s="355" t="s">
        <v>3322</v>
      </c>
      <c r="D302" s="145">
        <v>43831</v>
      </c>
      <c r="E302" s="146">
        <v>44196</v>
      </c>
      <c r="F302" s="149">
        <v>0.32876712328767121</v>
      </c>
      <c r="G302" s="355">
        <v>57500</v>
      </c>
      <c r="H302" s="355">
        <v>60000</v>
      </c>
      <c r="I302" s="359">
        <v>17280</v>
      </c>
      <c r="J302" s="353">
        <f t="shared" si="30"/>
        <v>0.28799999999999998</v>
      </c>
      <c r="M302" s="74">
        <f t="shared" si="31"/>
        <v>365</v>
      </c>
      <c r="N302" s="146">
        <v>43951</v>
      </c>
      <c r="O302" s="74">
        <f t="shared" si="32"/>
        <v>245</v>
      </c>
      <c r="P302" s="354">
        <f t="shared" si="33"/>
        <v>0.32876712328767121</v>
      </c>
    </row>
    <row r="303" spans="1:16" ht="18.75" customHeight="1">
      <c r="A303" s="642">
        <f t="shared" si="34"/>
        <v>231</v>
      </c>
      <c r="B303" s="358" t="s">
        <v>3323</v>
      </c>
      <c r="C303" s="355" t="s">
        <v>3324</v>
      </c>
      <c r="D303" s="145">
        <v>43831</v>
      </c>
      <c r="E303" s="146">
        <v>44196</v>
      </c>
      <c r="F303" s="149">
        <v>0.32876712328767121</v>
      </c>
      <c r="G303" s="355">
        <v>91999.34</v>
      </c>
      <c r="H303" s="355">
        <v>144000</v>
      </c>
      <c r="I303" s="359">
        <v>28800</v>
      </c>
      <c r="J303" s="353">
        <f t="shared" si="30"/>
        <v>0.2</v>
      </c>
      <c r="M303" s="74">
        <f t="shared" si="31"/>
        <v>365</v>
      </c>
      <c r="N303" s="146">
        <v>43951</v>
      </c>
      <c r="O303" s="74">
        <f t="shared" si="32"/>
        <v>245</v>
      </c>
      <c r="P303" s="354">
        <f t="shared" si="33"/>
        <v>0.32876712328767121</v>
      </c>
    </row>
    <row r="304" spans="1:16" ht="18.75" customHeight="1">
      <c r="A304" s="642">
        <f t="shared" si="34"/>
        <v>232</v>
      </c>
      <c r="B304" s="358" t="s">
        <v>3325</v>
      </c>
      <c r="C304" s="355" t="s">
        <v>3326</v>
      </c>
      <c r="D304" s="145">
        <v>43831</v>
      </c>
      <c r="E304" s="146">
        <v>44196</v>
      </c>
      <c r="F304" s="149">
        <v>0.32876712328767121</v>
      </c>
      <c r="G304" s="355">
        <v>46000</v>
      </c>
      <c r="H304" s="355">
        <v>48000</v>
      </c>
      <c r="I304" s="359">
        <v>19200</v>
      </c>
      <c r="J304" s="353">
        <f t="shared" si="30"/>
        <v>0.4</v>
      </c>
      <c r="M304" s="74">
        <f t="shared" si="31"/>
        <v>365</v>
      </c>
      <c r="N304" s="146">
        <v>43951</v>
      </c>
      <c r="O304" s="74">
        <f t="shared" si="32"/>
        <v>245</v>
      </c>
      <c r="P304" s="354">
        <f t="shared" si="33"/>
        <v>0.32876712328767121</v>
      </c>
    </row>
    <row r="305" spans="1:16" ht="18.75" customHeight="1">
      <c r="A305" s="642">
        <f t="shared" si="34"/>
        <v>233</v>
      </c>
      <c r="B305" s="358" t="s">
        <v>3327</v>
      </c>
      <c r="C305" s="355" t="s">
        <v>3328</v>
      </c>
      <c r="D305" s="145">
        <v>43831</v>
      </c>
      <c r="E305" s="146">
        <v>44196</v>
      </c>
      <c r="F305" s="149">
        <v>0.32876712328767121</v>
      </c>
      <c r="G305" s="355">
        <v>114999.92</v>
      </c>
      <c r="H305" s="355">
        <v>250000</v>
      </c>
      <c r="I305" s="359">
        <v>85000</v>
      </c>
      <c r="J305" s="353">
        <f t="shared" si="30"/>
        <v>0.34</v>
      </c>
      <c r="M305" s="74">
        <f t="shared" si="31"/>
        <v>365</v>
      </c>
      <c r="N305" s="146">
        <v>43951</v>
      </c>
      <c r="O305" s="74">
        <f t="shared" si="32"/>
        <v>245</v>
      </c>
      <c r="P305" s="354">
        <f t="shared" si="33"/>
        <v>0.32876712328767121</v>
      </c>
    </row>
    <row r="306" spans="1:16" ht="18.75" customHeight="1">
      <c r="A306" s="642">
        <f t="shared" si="34"/>
        <v>234</v>
      </c>
      <c r="B306" s="358" t="s">
        <v>3329</v>
      </c>
      <c r="C306" s="355" t="s">
        <v>3330</v>
      </c>
      <c r="D306" s="145">
        <v>43831</v>
      </c>
      <c r="E306" s="146">
        <v>44196</v>
      </c>
      <c r="F306" s="149">
        <v>0.32876712328767121</v>
      </c>
      <c r="G306" s="355">
        <v>368000</v>
      </c>
      <c r="H306" s="355">
        <v>288000</v>
      </c>
      <c r="I306" s="359">
        <v>96000</v>
      </c>
      <c r="J306" s="353">
        <f t="shared" si="30"/>
        <v>0.33333333333333331</v>
      </c>
      <c r="M306" s="74">
        <f t="shared" si="31"/>
        <v>365</v>
      </c>
      <c r="N306" s="146">
        <v>43951</v>
      </c>
      <c r="O306" s="74">
        <f t="shared" si="32"/>
        <v>245</v>
      </c>
      <c r="P306" s="354">
        <f t="shared" si="33"/>
        <v>0.32876712328767121</v>
      </c>
    </row>
    <row r="307" spans="1:16" ht="18.75" customHeight="1">
      <c r="A307" s="642">
        <f t="shared" si="34"/>
        <v>235</v>
      </c>
      <c r="B307" s="358" t="s">
        <v>3331</v>
      </c>
      <c r="C307" s="355" t="s">
        <v>3332</v>
      </c>
      <c r="D307" s="145">
        <v>43831</v>
      </c>
      <c r="E307" s="146">
        <v>44196</v>
      </c>
      <c r="F307" s="149">
        <v>0.32876712328767121</v>
      </c>
      <c r="G307" s="355">
        <v>39100.01</v>
      </c>
      <c r="H307" s="355">
        <v>40800.959999999999</v>
      </c>
      <c r="I307" s="359">
        <v>10584.48</v>
      </c>
      <c r="J307" s="353">
        <f t="shared" si="30"/>
        <v>0.25941742547234181</v>
      </c>
      <c r="M307" s="74">
        <f t="shared" si="31"/>
        <v>365</v>
      </c>
      <c r="N307" s="146">
        <v>43951</v>
      </c>
      <c r="O307" s="74">
        <f t="shared" si="32"/>
        <v>245</v>
      </c>
      <c r="P307" s="354">
        <f t="shared" si="33"/>
        <v>0.32876712328767121</v>
      </c>
    </row>
    <row r="308" spans="1:16" ht="18.75" customHeight="1">
      <c r="A308" s="642">
        <f t="shared" si="34"/>
        <v>236</v>
      </c>
      <c r="B308" s="358" t="s">
        <v>3333</v>
      </c>
      <c r="C308" s="355" t="s">
        <v>3334</v>
      </c>
      <c r="D308" s="145">
        <v>43831</v>
      </c>
      <c r="E308" s="146">
        <v>44196</v>
      </c>
      <c r="F308" s="149">
        <v>0.32876712328767121</v>
      </c>
      <c r="G308" s="355">
        <v>22999.87</v>
      </c>
      <c r="H308" s="355">
        <v>24000</v>
      </c>
      <c r="I308" s="359">
        <v>3360</v>
      </c>
      <c r="J308" s="353">
        <f t="shared" si="30"/>
        <v>0.14000000000000001</v>
      </c>
      <c r="M308" s="74">
        <f t="shared" si="31"/>
        <v>365</v>
      </c>
      <c r="N308" s="146">
        <v>43951</v>
      </c>
      <c r="O308" s="74">
        <f t="shared" si="32"/>
        <v>245</v>
      </c>
      <c r="P308" s="354">
        <f t="shared" si="33"/>
        <v>0.32876712328767121</v>
      </c>
    </row>
    <row r="309" spans="1:16" ht="18.75" customHeight="1">
      <c r="A309" s="642">
        <f t="shared" si="34"/>
        <v>237</v>
      </c>
      <c r="B309" s="358" t="s">
        <v>3335</v>
      </c>
      <c r="C309" s="355" t="s">
        <v>3336</v>
      </c>
      <c r="D309" s="145">
        <v>43831</v>
      </c>
      <c r="E309" s="146">
        <v>44196</v>
      </c>
      <c r="F309" s="149">
        <v>0.32876712328767121</v>
      </c>
      <c r="G309" s="355">
        <v>1469334.9</v>
      </c>
      <c r="H309" s="355">
        <v>1373074.79</v>
      </c>
      <c r="I309" s="359">
        <v>499299.92</v>
      </c>
      <c r="J309" s="353">
        <f t="shared" si="30"/>
        <v>0.36363636098802743</v>
      </c>
      <c r="M309" s="74">
        <f t="shared" si="31"/>
        <v>365</v>
      </c>
      <c r="N309" s="146">
        <v>43951</v>
      </c>
      <c r="O309" s="74">
        <f t="shared" si="32"/>
        <v>245</v>
      </c>
      <c r="P309" s="354">
        <f t="shared" si="33"/>
        <v>0.32876712328767121</v>
      </c>
    </row>
    <row r="310" spans="1:16" ht="18.75" customHeight="1">
      <c r="A310" s="642">
        <f t="shared" si="34"/>
        <v>238</v>
      </c>
      <c r="B310" s="358" t="s">
        <v>3337</v>
      </c>
      <c r="C310" s="355" t="s">
        <v>3338</v>
      </c>
      <c r="D310" s="145">
        <v>43831</v>
      </c>
      <c r="E310" s="146">
        <v>44196</v>
      </c>
      <c r="F310" s="149">
        <v>0.32876712328767121</v>
      </c>
      <c r="G310" s="355">
        <v>45999.45</v>
      </c>
      <c r="H310" s="355">
        <v>48000</v>
      </c>
      <c r="I310" s="359">
        <v>8160</v>
      </c>
      <c r="J310" s="353">
        <f t="shared" si="30"/>
        <v>0.17</v>
      </c>
      <c r="M310" s="74">
        <f t="shared" si="31"/>
        <v>365</v>
      </c>
      <c r="N310" s="146">
        <v>43951</v>
      </c>
      <c r="O310" s="74">
        <f t="shared" si="32"/>
        <v>245</v>
      </c>
      <c r="P310" s="354">
        <f t="shared" si="33"/>
        <v>0.32876712328767121</v>
      </c>
    </row>
    <row r="311" spans="1:16" ht="18.75" customHeight="1">
      <c r="A311" s="642">
        <f t="shared" si="34"/>
        <v>239</v>
      </c>
      <c r="B311" s="358" t="s">
        <v>3339</v>
      </c>
      <c r="C311" s="355" t="s">
        <v>3340</v>
      </c>
      <c r="D311" s="145">
        <v>43831</v>
      </c>
      <c r="E311" s="146">
        <v>44196</v>
      </c>
      <c r="F311" s="149">
        <v>0.32876712328767121</v>
      </c>
      <c r="G311" s="355">
        <v>112000.1</v>
      </c>
      <c r="H311" s="355">
        <v>112000</v>
      </c>
      <c r="I311" s="359">
        <v>5600</v>
      </c>
      <c r="J311" s="353">
        <f t="shared" si="30"/>
        <v>0.05</v>
      </c>
      <c r="M311" s="74">
        <f t="shared" si="31"/>
        <v>365</v>
      </c>
      <c r="N311" s="146">
        <v>43951</v>
      </c>
      <c r="O311" s="74">
        <f t="shared" si="32"/>
        <v>245</v>
      </c>
      <c r="P311" s="354">
        <f t="shared" si="33"/>
        <v>0.32876712328767121</v>
      </c>
    </row>
    <row r="312" spans="1:16" ht="18.75" customHeight="1">
      <c r="A312" s="642">
        <f t="shared" si="34"/>
        <v>240</v>
      </c>
      <c r="B312" s="358" t="s">
        <v>3341</v>
      </c>
      <c r="C312" s="355" t="s">
        <v>3342</v>
      </c>
      <c r="D312" s="145">
        <v>43831</v>
      </c>
      <c r="E312" s="146">
        <v>44196</v>
      </c>
      <c r="F312" s="149">
        <v>0.32876712328767121</v>
      </c>
      <c r="G312" s="355">
        <v>84000.01</v>
      </c>
      <c r="H312" s="355">
        <v>75600</v>
      </c>
      <c r="I312" s="359">
        <v>15120</v>
      </c>
      <c r="J312" s="353">
        <f t="shared" si="30"/>
        <v>0.2</v>
      </c>
      <c r="M312" s="74">
        <f t="shared" si="31"/>
        <v>365</v>
      </c>
      <c r="N312" s="146">
        <v>43951</v>
      </c>
      <c r="O312" s="74">
        <f t="shared" si="32"/>
        <v>245</v>
      </c>
      <c r="P312" s="354">
        <f t="shared" si="33"/>
        <v>0.32876712328767121</v>
      </c>
    </row>
    <row r="313" spans="1:16" ht="18.75" customHeight="1">
      <c r="A313" s="642">
        <f t="shared" si="34"/>
        <v>241</v>
      </c>
      <c r="B313" s="358" t="s">
        <v>3343</v>
      </c>
      <c r="C313" s="355" t="s">
        <v>3344</v>
      </c>
      <c r="D313" s="145">
        <v>43831</v>
      </c>
      <c r="E313" s="146">
        <v>44196</v>
      </c>
      <c r="F313" s="149">
        <v>0.32876712328767121</v>
      </c>
      <c r="G313" s="355">
        <v>137999.32999999999</v>
      </c>
      <c r="H313" s="355">
        <v>192000</v>
      </c>
      <c r="I313" s="359">
        <v>28800</v>
      </c>
      <c r="J313" s="353">
        <f t="shared" si="30"/>
        <v>0.15</v>
      </c>
      <c r="M313" s="74">
        <f t="shared" si="31"/>
        <v>365</v>
      </c>
      <c r="N313" s="146">
        <v>43951</v>
      </c>
      <c r="O313" s="74">
        <f t="shared" si="32"/>
        <v>245</v>
      </c>
      <c r="P313" s="354">
        <f t="shared" si="33"/>
        <v>0.32876712328767121</v>
      </c>
    </row>
    <row r="314" spans="1:16" ht="18.75" customHeight="1">
      <c r="A314" s="642">
        <f t="shared" si="34"/>
        <v>242</v>
      </c>
      <c r="B314" s="358" t="s">
        <v>3345</v>
      </c>
      <c r="C314" s="355" t="s">
        <v>3346</v>
      </c>
      <c r="D314" s="145">
        <v>43831</v>
      </c>
      <c r="E314" s="146">
        <v>44196</v>
      </c>
      <c r="F314" s="149">
        <v>0.32876712328767121</v>
      </c>
      <c r="G314" s="355">
        <v>68999.960000000006</v>
      </c>
      <c r="H314" s="355">
        <v>68377.210000000006</v>
      </c>
      <c r="I314" s="359">
        <v>26435.95</v>
      </c>
      <c r="J314" s="353">
        <f t="shared" si="30"/>
        <v>0.3866193136572843</v>
      </c>
      <c r="M314" s="74">
        <f t="shared" si="31"/>
        <v>365</v>
      </c>
      <c r="N314" s="146">
        <v>43951</v>
      </c>
      <c r="O314" s="74">
        <f t="shared" si="32"/>
        <v>245</v>
      </c>
      <c r="P314" s="354">
        <f t="shared" si="33"/>
        <v>0.32876712328767121</v>
      </c>
    </row>
    <row r="315" spans="1:16" ht="18.75" customHeight="1">
      <c r="A315" s="642">
        <f t="shared" si="34"/>
        <v>243</v>
      </c>
      <c r="B315" s="358" t="s">
        <v>3347</v>
      </c>
      <c r="C315" s="355" t="s">
        <v>3348</v>
      </c>
      <c r="D315" s="145">
        <v>43831</v>
      </c>
      <c r="E315" s="146">
        <v>44196</v>
      </c>
      <c r="F315" s="149">
        <v>0.32876712328767121</v>
      </c>
      <c r="G315" s="355">
        <v>23000</v>
      </c>
      <c r="H315" s="355">
        <v>96000</v>
      </c>
      <c r="I315" s="359">
        <v>48000</v>
      </c>
      <c r="J315" s="353">
        <f t="shared" si="30"/>
        <v>0.5</v>
      </c>
      <c r="M315" s="74">
        <f t="shared" si="31"/>
        <v>365</v>
      </c>
      <c r="N315" s="146">
        <v>43951</v>
      </c>
      <c r="O315" s="74">
        <f t="shared" si="32"/>
        <v>245</v>
      </c>
      <c r="P315" s="354">
        <f t="shared" si="33"/>
        <v>0.32876712328767121</v>
      </c>
    </row>
    <row r="316" spans="1:16" ht="18.75" customHeight="1">
      <c r="A316" s="642">
        <f t="shared" si="34"/>
        <v>244</v>
      </c>
      <c r="B316" s="358" t="s">
        <v>3349</v>
      </c>
      <c r="C316" s="355" t="s">
        <v>3350</v>
      </c>
      <c r="D316" s="145">
        <v>43831</v>
      </c>
      <c r="E316" s="146">
        <v>44196</v>
      </c>
      <c r="F316" s="149">
        <v>0.32876712328767121</v>
      </c>
      <c r="G316" s="355">
        <v>65549.52</v>
      </c>
      <c r="H316" s="355">
        <v>68400</v>
      </c>
      <c r="I316" s="359">
        <v>4800</v>
      </c>
      <c r="J316" s="353">
        <f t="shared" si="30"/>
        <v>7.0175438596491224E-2</v>
      </c>
      <c r="M316" s="74">
        <f t="shared" si="31"/>
        <v>365</v>
      </c>
      <c r="N316" s="146">
        <v>43951</v>
      </c>
      <c r="O316" s="74">
        <f t="shared" si="32"/>
        <v>245</v>
      </c>
      <c r="P316" s="354">
        <f t="shared" si="33"/>
        <v>0.32876712328767121</v>
      </c>
    </row>
    <row r="317" spans="1:16" ht="18.75" customHeight="1">
      <c r="A317" s="642">
        <f t="shared" si="34"/>
        <v>245</v>
      </c>
      <c r="B317" s="358" t="s">
        <v>3351</v>
      </c>
      <c r="C317" s="355" t="s">
        <v>3352</v>
      </c>
      <c r="D317" s="145">
        <v>43831</v>
      </c>
      <c r="E317" s="146">
        <v>44196</v>
      </c>
      <c r="F317" s="149">
        <v>0.32876712328767121</v>
      </c>
      <c r="G317" s="355">
        <v>42000</v>
      </c>
      <c r="H317" s="355">
        <v>42000</v>
      </c>
      <c r="I317" s="359">
        <v>25200</v>
      </c>
      <c r="J317" s="353">
        <f t="shared" si="30"/>
        <v>0.6</v>
      </c>
      <c r="M317" s="74">
        <f t="shared" si="31"/>
        <v>365</v>
      </c>
      <c r="N317" s="146">
        <v>43951</v>
      </c>
      <c r="O317" s="74">
        <f t="shared" si="32"/>
        <v>245</v>
      </c>
      <c r="P317" s="354">
        <f t="shared" si="33"/>
        <v>0.32876712328767121</v>
      </c>
    </row>
    <row r="318" spans="1:16" ht="18.75" customHeight="1">
      <c r="A318" s="642">
        <f t="shared" si="34"/>
        <v>246</v>
      </c>
      <c r="B318" s="358" t="s">
        <v>3353</v>
      </c>
      <c r="C318" s="355" t="s">
        <v>3354</v>
      </c>
      <c r="D318" s="145">
        <v>43831</v>
      </c>
      <c r="E318" s="146">
        <v>44196</v>
      </c>
      <c r="F318" s="149">
        <v>0.32876712328767121</v>
      </c>
      <c r="G318" s="355">
        <v>112000</v>
      </c>
      <c r="H318" s="355">
        <v>168000</v>
      </c>
      <c r="I318" s="359">
        <v>50400</v>
      </c>
      <c r="J318" s="353">
        <f t="shared" si="30"/>
        <v>0.3</v>
      </c>
      <c r="M318" s="74">
        <f t="shared" si="31"/>
        <v>365</v>
      </c>
      <c r="N318" s="146">
        <v>43951</v>
      </c>
      <c r="O318" s="74">
        <f t="shared" si="32"/>
        <v>245</v>
      </c>
      <c r="P318" s="354">
        <f t="shared" si="33"/>
        <v>0.32876712328767121</v>
      </c>
    </row>
    <row r="319" spans="1:16" ht="18.75" customHeight="1">
      <c r="A319" s="642">
        <f t="shared" si="34"/>
        <v>247</v>
      </c>
      <c r="B319" s="358" t="s">
        <v>3355</v>
      </c>
      <c r="C319" s="355" t="s">
        <v>3356</v>
      </c>
      <c r="D319" s="145">
        <v>43831</v>
      </c>
      <c r="E319" s="146">
        <v>44196</v>
      </c>
      <c r="F319" s="149">
        <v>0.32876712328767121</v>
      </c>
      <c r="G319" s="355">
        <v>72000</v>
      </c>
      <c r="H319" s="355">
        <v>72000</v>
      </c>
      <c r="I319" s="359">
        <v>24000</v>
      </c>
      <c r="J319" s="353">
        <f t="shared" si="30"/>
        <v>0.33333333333333331</v>
      </c>
      <c r="M319" s="74">
        <f t="shared" si="31"/>
        <v>365</v>
      </c>
      <c r="N319" s="146">
        <v>43951</v>
      </c>
      <c r="O319" s="74">
        <f t="shared" si="32"/>
        <v>245</v>
      </c>
      <c r="P319" s="354">
        <f t="shared" si="33"/>
        <v>0.32876712328767121</v>
      </c>
    </row>
    <row r="320" spans="1:16" ht="18.75" customHeight="1">
      <c r="A320" s="642">
        <f t="shared" si="34"/>
        <v>248</v>
      </c>
      <c r="B320" s="358" t="s">
        <v>3357</v>
      </c>
      <c r="C320" s="355" t="s">
        <v>3358</v>
      </c>
      <c r="D320" s="145">
        <v>43831</v>
      </c>
      <c r="E320" s="146">
        <v>44196</v>
      </c>
      <c r="F320" s="149">
        <v>0.32876712328767121</v>
      </c>
      <c r="G320" s="355">
        <v>192000.96</v>
      </c>
      <c r="H320" s="355">
        <v>189347.76</v>
      </c>
      <c r="I320" s="359">
        <v>63115.92</v>
      </c>
      <c r="J320" s="353">
        <f t="shared" si="30"/>
        <v>0.33333333333333331</v>
      </c>
      <c r="M320" s="74">
        <f t="shared" si="31"/>
        <v>365</v>
      </c>
      <c r="N320" s="146">
        <v>43951</v>
      </c>
      <c r="O320" s="74">
        <f t="shared" si="32"/>
        <v>245</v>
      </c>
      <c r="P320" s="354">
        <f t="shared" si="33"/>
        <v>0.32876712328767121</v>
      </c>
    </row>
    <row r="321" spans="1:16" ht="18.75" customHeight="1">
      <c r="A321" s="642">
        <f t="shared" si="34"/>
        <v>249</v>
      </c>
      <c r="B321" s="358" t="s">
        <v>3359</v>
      </c>
      <c r="C321" s="355" t="s">
        <v>3360</v>
      </c>
      <c r="D321" s="145">
        <v>43831</v>
      </c>
      <c r="E321" s="146">
        <v>44196</v>
      </c>
      <c r="F321" s="149">
        <v>0.32876712328767121</v>
      </c>
      <c r="G321" s="355">
        <v>75504</v>
      </c>
      <c r="H321" s="355">
        <v>38400</v>
      </c>
      <c r="I321" s="359">
        <v>11520</v>
      </c>
      <c r="J321" s="353">
        <f t="shared" si="30"/>
        <v>0.3</v>
      </c>
      <c r="M321" s="74">
        <f t="shared" si="31"/>
        <v>365</v>
      </c>
      <c r="N321" s="146">
        <v>43951</v>
      </c>
      <c r="O321" s="74">
        <f t="shared" si="32"/>
        <v>245</v>
      </c>
      <c r="P321" s="354">
        <f t="shared" si="33"/>
        <v>0.32876712328767121</v>
      </c>
    </row>
    <row r="322" spans="1:16" ht="18.75" customHeight="1">
      <c r="A322" s="642">
        <f t="shared" si="34"/>
        <v>250</v>
      </c>
      <c r="B322" s="358" t="s">
        <v>3361</v>
      </c>
      <c r="C322" s="355" t="s">
        <v>3362</v>
      </c>
      <c r="D322" s="145">
        <v>43831</v>
      </c>
      <c r="E322" s="146">
        <v>44196</v>
      </c>
      <c r="F322" s="149">
        <v>0.32876712328767121</v>
      </c>
      <c r="G322" s="355">
        <v>140000.4</v>
      </c>
      <c r="H322" s="355">
        <v>140000</v>
      </c>
      <c r="I322" s="359">
        <v>42000</v>
      </c>
      <c r="J322" s="353">
        <f t="shared" si="30"/>
        <v>0.3</v>
      </c>
      <c r="M322" s="74">
        <f t="shared" si="31"/>
        <v>365</v>
      </c>
      <c r="N322" s="146">
        <v>43951</v>
      </c>
      <c r="O322" s="74">
        <f t="shared" si="32"/>
        <v>245</v>
      </c>
      <c r="P322" s="354">
        <f t="shared" si="33"/>
        <v>0.32876712328767121</v>
      </c>
    </row>
    <row r="323" spans="1:16" ht="18.75" customHeight="1">
      <c r="A323" s="642">
        <f t="shared" si="34"/>
        <v>251</v>
      </c>
      <c r="B323" s="358" t="s">
        <v>3363</v>
      </c>
      <c r="C323" s="355" t="s">
        <v>3364</v>
      </c>
      <c r="D323" s="145">
        <v>43831</v>
      </c>
      <c r="E323" s="146">
        <v>44196</v>
      </c>
      <c r="F323" s="149">
        <v>0.32876712328767121</v>
      </c>
      <c r="G323" s="355">
        <v>60324</v>
      </c>
      <c r="H323" s="355">
        <v>71880.94</v>
      </c>
      <c r="I323" s="359">
        <v>23960.32</v>
      </c>
      <c r="J323" s="353">
        <f t="shared" si="30"/>
        <v>0.33333342607929167</v>
      </c>
      <c r="M323" s="74">
        <f t="shared" si="31"/>
        <v>365</v>
      </c>
      <c r="N323" s="146">
        <v>43951</v>
      </c>
      <c r="O323" s="74">
        <f t="shared" si="32"/>
        <v>245</v>
      </c>
      <c r="P323" s="354">
        <f t="shared" si="33"/>
        <v>0.32876712328767121</v>
      </c>
    </row>
    <row r="324" spans="1:16" ht="18.75" customHeight="1">
      <c r="A324" s="642">
        <f t="shared" si="34"/>
        <v>252</v>
      </c>
      <c r="B324" s="358" t="s">
        <v>3365</v>
      </c>
      <c r="C324" s="355" t="s">
        <v>3366</v>
      </c>
      <c r="D324" s="145">
        <v>43466</v>
      </c>
      <c r="E324" s="146">
        <v>44196</v>
      </c>
      <c r="F324" s="149">
        <v>0.66438356164383561</v>
      </c>
      <c r="G324" s="355">
        <v>672000.89</v>
      </c>
      <c r="H324" s="355">
        <v>666063.98</v>
      </c>
      <c r="I324" s="359">
        <v>443707.16999999993</v>
      </c>
      <c r="J324" s="353">
        <f t="shared" si="30"/>
        <v>0.66616298632452686</v>
      </c>
      <c r="M324" s="74">
        <f t="shared" si="31"/>
        <v>730</v>
      </c>
      <c r="N324" s="146">
        <v>43951</v>
      </c>
      <c r="O324" s="74">
        <f t="shared" si="32"/>
        <v>245</v>
      </c>
      <c r="P324" s="354">
        <f t="shared" si="33"/>
        <v>0.66438356164383561</v>
      </c>
    </row>
    <row r="325" spans="1:16" ht="18.75" customHeight="1">
      <c r="A325" s="642">
        <f t="shared" si="34"/>
        <v>253</v>
      </c>
      <c r="B325" s="358" t="s">
        <v>3367</v>
      </c>
      <c r="C325" s="355" t="s">
        <v>3368</v>
      </c>
      <c r="D325" s="145">
        <v>43831</v>
      </c>
      <c r="E325" s="146">
        <v>44196</v>
      </c>
      <c r="F325" s="149">
        <v>0.32876712328767121</v>
      </c>
      <c r="G325" s="355">
        <v>72000</v>
      </c>
      <c r="H325" s="355">
        <v>72000</v>
      </c>
      <c r="I325" s="359">
        <v>9600</v>
      </c>
      <c r="J325" s="353">
        <f t="shared" si="30"/>
        <v>0.13333333333333333</v>
      </c>
      <c r="M325" s="74">
        <f t="shared" si="31"/>
        <v>365</v>
      </c>
      <c r="N325" s="146">
        <v>43951</v>
      </c>
      <c r="O325" s="74">
        <f t="shared" si="32"/>
        <v>245</v>
      </c>
      <c r="P325" s="354">
        <f t="shared" si="33"/>
        <v>0.32876712328767121</v>
      </c>
    </row>
    <row r="326" spans="1:16" ht="18.75" customHeight="1">
      <c r="A326" s="642">
        <f t="shared" si="34"/>
        <v>254</v>
      </c>
      <c r="B326" s="358" t="s">
        <v>3369</v>
      </c>
      <c r="C326" s="355" t="s">
        <v>3370</v>
      </c>
      <c r="D326" s="145">
        <v>43831</v>
      </c>
      <c r="E326" s="146">
        <v>44196</v>
      </c>
      <c r="F326" s="149">
        <v>0.32876712328767121</v>
      </c>
      <c r="G326" s="355">
        <v>120000</v>
      </c>
      <c r="H326" s="355">
        <v>120000</v>
      </c>
      <c r="I326" s="359">
        <v>36000</v>
      </c>
      <c r="J326" s="353">
        <f t="shared" si="30"/>
        <v>0.3</v>
      </c>
      <c r="M326" s="74">
        <f t="shared" si="31"/>
        <v>365</v>
      </c>
      <c r="N326" s="146">
        <v>43951</v>
      </c>
      <c r="O326" s="74">
        <f t="shared" si="32"/>
        <v>245</v>
      </c>
      <c r="P326" s="354">
        <f t="shared" si="33"/>
        <v>0.32876712328767121</v>
      </c>
    </row>
    <row r="327" spans="1:16" ht="18.75" customHeight="1">
      <c r="A327" s="642">
        <f t="shared" si="34"/>
        <v>255</v>
      </c>
      <c r="B327" s="358" t="s">
        <v>3371</v>
      </c>
      <c r="C327" s="355" t="s">
        <v>3372</v>
      </c>
      <c r="D327" s="145">
        <v>43831</v>
      </c>
      <c r="E327" s="146">
        <v>44196</v>
      </c>
      <c r="F327" s="149">
        <v>0.32876712328767121</v>
      </c>
      <c r="G327" s="355">
        <v>56000</v>
      </c>
      <c r="H327" s="355">
        <v>56000</v>
      </c>
      <c r="I327" s="359">
        <v>16800</v>
      </c>
      <c r="J327" s="353">
        <f t="shared" si="30"/>
        <v>0.3</v>
      </c>
      <c r="M327" s="74">
        <f t="shared" si="31"/>
        <v>365</v>
      </c>
      <c r="N327" s="146">
        <v>43951</v>
      </c>
      <c r="O327" s="74">
        <f t="shared" si="32"/>
        <v>245</v>
      </c>
      <c r="P327" s="354">
        <f t="shared" si="33"/>
        <v>0.32876712328767121</v>
      </c>
    </row>
    <row r="328" spans="1:16" ht="18.75" customHeight="1">
      <c r="A328" s="642">
        <f t="shared" si="34"/>
        <v>256</v>
      </c>
      <c r="B328" s="358" t="s">
        <v>3373</v>
      </c>
      <c r="C328" s="355" t="s">
        <v>3374</v>
      </c>
      <c r="D328" s="145">
        <v>43831</v>
      </c>
      <c r="E328" s="146">
        <v>44196</v>
      </c>
      <c r="F328" s="149">
        <v>0.32876712328767121</v>
      </c>
      <c r="G328" s="355">
        <v>224000</v>
      </c>
      <c r="H328" s="355">
        <v>224000</v>
      </c>
      <c r="I328" s="359">
        <v>11200</v>
      </c>
      <c r="J328" s="353">
        <f t="shared" si="30"/>
        <v>0.05</v>
      </c>
      <c r="M328" s="74">
        <f t="shared" si="31"/>
        <v>365</v>
      </c>
      <c r="N328" s="146">
        <v>43951</v>
      </c>
      <c r="O328" s="74">
        <f t="shared" si="32"/>
        <v>245</v>
      </c>
      <c r="P328" s="354">
        <f t="shared" si="33"/>
        <v>0.32876712328767121</v>
      </c>
    </row>
    <row r="329" spans="1:16" ht="18.75" customHeight="1">
      <c r="A329" s="642">
        <f t="shared" si="34"/>
        <v>257</v>
      </c>
      <c r="B329" s="358" t="s">
        <v>3375</v>
      </c>
      <c r="C329" s="355" t="s">
        <v>3376</v>
      </c>
      <c r="D329" s="145">
        <v>43831</v>
      </c>
      <c r="E329" s="146">
        <v>44196</v>
      </c>
      <c r="F329" s="149">
        <v>0.32876712328767121</v>
      </c>
      <c r="G329" s="355">
        <v>84000</v>
      </c>
      <c r="H329" s="355">
        <v>84000</v>
      </c>
      <c r="I329" s="359">
        <v>28000</v>
      </c>
      <c r="J329" s="353">
        <f t="shared" si="30"/>
        <v>0.33333333333333331</v>
      </c>
      <c r="M329" s="74">
        <f t="shared" si="31"/>
        <v>365</v>
      </c>
      <c r="N329" s="146">
        <v>43951</v>
      </c>
      <c r="O329" s="74">
        <f t="shared" si="32"/>
        <v>245</v>
      </c>
      <c r="P329" s="354">
        <f t="shared" si="33"/>
        <v>0.32876712328767121</v>
      </c>
    </row>
    <row r="330" spans="1:16" ht="18.75" customHeight="1">
      <c r="A330" s="642">
        <f t="shared" si="34"/>
        <v>258</v>
      </c>
      <c r="B330" s="358" t="s">
        <v>3377</v>
      </c>
      <c r="C330" s="355" t="s">
        <v>3378</v>
      </c>
      <c r="D330" s="145">
        <v>43831</v>
      </c>
      <c r="E330" s="146">
        <v>44196</v>
      </c>
      <c r="F330" s="149">
        <v>0.32876712328767121</v>
      </c>
      <c r="G330" s="355">
        <v>48000</v>
      </c>
      <c r="H330" s="355">
        <v>48000</v>
      </c>
      <c r="I330" s="359">
        <v>9600</v>
      </c>
      <c r="J330" s="353">
        <f t="shared" si="30"/>
        <v>0.2</v>
      </c>
      <c r="M330" s="74">
        <f t="shared" si="31"/>
        <v>365</v>
      </c>
      <c r="N330" s="146">
        <v>43951</v>
      </c>
      <c r="O330" s="74">
        <f t="shared" si="32"/>
        <v>245</v>
      </c>
      <c r="P330" s="354">
        <f t="shared" si="33"/>
        <v>0.32876712328767121</v>
      </c>
    </row>
    <row r="331" spans="1:16" ht="18.75" customHeight="1">
      <c r="A331" s="642">
        <f t="shared" si="34"/>
        <v>259</v>
      </c>
      <c r="B331" s="358" t="s">
        <v>3379</v>
      </c>
      <c r="C331" s="355" t="s">
        <v>3380</v>
      </c>
      <c r="D331" s="145">
        <v>43831</v>
      </c>
      <c r="E331" s="146">
        <v>44196</v>
      </c>
      <c r="F331" s="149">
        <v>0.32876712328767121</v>
      </c>
      <c r="G331" s="355">
        <v>168000</v>
      </c>
      <c r="H331" s="355">
        <v>168000</v>
      </c>
      <c r="I331" s="359">
        <v>140000</v>
      </c>
      <c r="J331" s="353">
        <f t="shared" si="30"/>
        <v>0.83333333333333337</v>
      </c>
      <c r="M331" s="74">
        <f t="shared" si="31"/>
        <v>365</v>
      </c>
      <c r="N331" s="146">
        <v>43951</v>
      </c>
      <c r="O331" s="74">
        <f t="shared" si="32"/>
        <v>245</v>
      </c>
      <c r="P331" s="354">
        <f t="shared" si="33"/>
        <v>0.32876712328767121</v>
      </c>
    </row>
    <row r="332" spans="1:16" ht="18.75" customHeight="1">
      <c r="A332" s="642">
        <f t="shared" si="34"/>
        <v>260</v>
      </c>
      <c r="B332" s="358" t="s">
        <v>3381</v>
      </c>
      <c r="C332" s="355" t="s">
        <v>3382</v>
      </c>
      <c r="D332" s="145">
        <v>43831</v>
      </c>
      <c r="E332" s="146">
        <v>44196</v>
      </c>
      <c r="F332" s="149">
        <v>0.32876712328767121</v>
      </c>
      <c r="G332" s="355">
        <v>279235.34000000003</v>
      </c>
      <c r="H332" s="355">
        <v>279235.34000000003</v>
      </c>
      <c r="I332" s="359">
        <v>122579.59</v>
      </c>
      <c r="J332" s="353">
        <f t="shared" si="30"/>
        <v>0.43898308143947679</v>
      </c>
      <c r="M332" s="74">
        <f t="shared" si="31"/>
        <v>365</v>
      </c>
      <c r="N332" s="146">
        <v>43951</v>
      </c>
      <c r="O332" s="74">
        <f t="shared" si="32"/>
        <v>245</v>
      </c>
      <c r="P332" s="354">
        <f t="shared" si="33"/>
        <v>0.32876712328767121</v>
      </c>
    </row>
    <row r="333" spans="1:16" ht="18.75" customHeight="1">
      <c r="A333" s="642">
        <f t="shared" si="34"/>
        <v>261</v>
      </c>
      <c r="B333" s="358" t="s">
        <v>3383</v>
      </c>
      <c r="C333" s="355" t="s">
        <v>3384</v>
      </c>
      <c r="D333" s="145">
        <v>43831</v>
      </c>
      <c r="E333" s="146">
        <v>44196</v>
      </c>
      <c r="F333" s="149">
        <v>0.32876712328767121</v>
      </c>
      <c r="G333" s="355">
        <v>96000</v>
      </c>
      <c r="H333" s="355">
        <v>96000</v>
      </c>
      <c r="I333" s="359">
        <v>28800</v>
      </c>
      <c r="J333" s="353">
        <f t="shared" si="30"/>
        <v>0.3</v>
      </c>
      <c r="M333" s="74">
        <f t="shared" si="31"/>
        <v>365</v>
      </c>
      <c r="N333" s="146">
        <v>43951</v>
      </c>
      <c r="O333" s="74">
        <f t="shared" si="32"/>
        <v>245</v>
      </c>
      <c r="P333" s="354">
        <f t="shared" si="33"/>
        <v>0.32876712328767121</v>
      </c>
    </row>
    <row r="334" spans="1:16" ht="18.75" customHeight="1">
      <c r="A334" s="642">
        <f t="shared" si="34"/>
        <v>262</v>
      </c>
      <c r="B334" s="358" t="s">
        <v>3385</v>
      </c>
      <c r="C334" s="355" t="s">
        <v>3386</v>
      </c>
      <c r="D334" s="145">
        <v>43831</v>
      </c>
      <c r="E334" s="146">
        <v>44196</v>
      </c>
      <c r="F334" s="149">
        <v>0.32876712328767121</v>
      </c>
      <c r="G334" s="355">
        <v>240000</v>
      </c>
      <c r="H334" s="355">
        <v>240000</v>
      </c>
      <c r="I334" s="359">
        <v>48000</v>
      </c>
      <c r="J334" s="353">
        <f t="shared" si="30"/>
        <v>0.2</v>
      </c>
      <c r="M334" s="74">
        <f t="shared" si="31"/>
        <v>365</v>
      </c>
      <c r="N334" s="146">
        <v>43951</v>
      </c>
      <c r="O334" s="74">
        <f t="shared" si="32"/>
        <v>245</v>
      </c>
      <c r="P334" s="354">
        <f t="shared" si="33"/>
        <v>0.32876712328767121</v>
      </c>
    </row>
    <row r="335" spans="1:16" ht="18.75" customHeight="1">
      <c r="A335" s="642">
        <f t="shared" si="34"/>
        <v>263</v>
      </c>
      <c r="B335" s="358" t="s">
        <v>3387</v>
      </c>
      <c r="C335" s="355" t="s">
        <v>3388</v>
      </c>
      <c r="D335" s="145">
        <v>43831</v>
      </c>
      <c r="E335" s="146">
        <v>44561</v>
      </c>
      <c r="F335" s="149">
        <v>0.16438356164383561</v>
      </c>
      <c r="G335" s="355">
        <v>139973.21000000002</v>
      </c>
      <c r="H335" s="355">
        <v>139973.21000000002</v>
      </c>
      <c r="I335" s="359">
        <v>4872.96</v>
      </c>
      <c r="J335" s="353">
        <f t="shared" si="30"/>
        <v>3.4813518958377816E-2</v>
      </c>
      <c r="M335" s="74">
        <f t="shared" si="31"/>
        <v>730</v>
      </c>
      <c r="N335" s="146">
        <v>43951</v>
      </c>
      <c r="O335" s="74">
        <f t="shared" si="32"/>
        <v>610</v>
      </c>
      <c r="P335" s="354">
        <f t="shared" si="33"/>
        <v>0.16438356164383561</v>
      </c>
    </row>
    <row r="336" spans="1:16" ht="18.75" customHeight="1">
      <c r="A336" s="642">
        <f t="shared" si="34"/>
        <v>264</v>
      </c>
      <c r="B336" s="358" t="s">
        <v>3389</v>
      </c>
      <c r="C336" s="355" t="s">
        <v>3390</v>
      </c>
      <c r="D336" s="145">
        <v>43831</v>
      </c>
      <c r="E336" s="146">
        <v>44196</v>
      </c>
      <c r="F336" s="149">
        <v>0.32876712328767121</v>
      </c>
      <c r="G336" s="355">
        <v>336000</v>
      </c>
      <c r="H336" s="355">
        <v>336000</v>
      </c>
      <c r="I336" s="359">
        <v>67200</v>
      </c>
      <c r="J336" s="353">
        <f t="shared" si="30"/>
        <v>0.2</v>
      </c>
      <c r="M336" s="74">
        <f t="shared" si="31"/>
        <v>365</v>
      </c>
      <c r="N336" s="146">
        <v>43951</v>
      </c>
      <c r="O336" s="74">
        <f t="shared" si="32"/>
        <v>245</v>
      </c>
      <c r="P336" s="354">
        <f t="shared" si="33"/>
        <v>0.32876712328767121</v>
      </c>
    </row>
    <row r="337" spans="1:16" s="360" customFormat="1" ht="20.100000000000001" customHeight="1">
      <c r="A337" s="769" t="str">
        <f>$A$1</f>
        <v>KENTUCKY UTILITIES COMPANY</v>
      </c>
      <c r="B337" s="769"/>
      <c r="C337" s="769"/>
      <c r="D337" s="769"/>
      <c r="E337" s="769"/>
      <c r="F337" s="769"/>
      <c r="G337" s="769"/>
      <c r="H337" s="769"/>
      <c r="I337" s="769"/>
      <c r="J337" s="769"/>
    </row>
    <row r="338" spans="1:16" s="360" customFormat="1" ht="20.100000000000001" customHeight="1">
      <c r="A338" s="769" t="str">
        <f>$A$2</f>
        <v>CASE NO. 2018-00294 - RESPONSE TO PSC 2-65 (SLIPPAGE FACTOR 96.027%)</v>
      </c>
      <c r="B338" s="769"/>
      <c r="C338" s="769"/>
      <c r="D338" s="769"/>
      <c r="E338" s="769"/>
      <c r="F338" s="769"/>
      <c r="G338" s="769"/>
      <c r="H338" s="769"/>
      <c r="I338" s="769"/>
      <c r="J338" s="769"/>
    </row>
    <row r="339" spans="1:16" s="360" customFormat="1" ht="20.100000000000001" customHeight="1">
      <c r="A339" s="769" t="s">
        <v>1219</v>
      </c>
      <c r="B339" s="769"/>
      <c r="C339" s="769"/>
      <c r="D339" s="769"/>
      <c r="E339" s="769"/>
      <c r="F339" s="769"/>
      <c r="G339" s="769"/>
      <c r="H339" s="769"/>
      <c r="I339" s="769"/>
      <c r="J339" s="769"/>
    </row>
    <row r="340" spans="1:16" s="360" customFormat="1" ht="20.100000000000001" customHeight="1">
      <c r="A340" s="769" t="str">
        <f>$A$4</f>
        <v>AS OF APRIL 30, 2020</v>
      </c>
      <c r="B340" s="769"/>
      <c r="C340" s="769"/>
      <c r="D340" s="769"/>
      <c r="E340" s="769"/>
      <c r="F340" s="769"/>
      <c r="G340" s="769"/>
      <c r="H340" s="769"/>
      <c r="I340" s="769"/>
      <c r="J340" s="769"/>
    </row>
    <row r="341" spans="1:16" s="360" customFormat="1" ht="20.100000000000001" customHeight="1">
      <c r="A341" s="640"/>
      <c r="B341" s="640"/>
      <c r="C341" s="640"/>
      <c r="D341" s="640"/>
      <c r="E341" s="640"/>
      <c r="F341" s="640"/>
      <c r="G341" s="640"/>
      <c r="H341" s="640"/>
      <c r="I341" s="640"/>
      <c r="J341" s="640"/>
    </row>
    <row r="342" spans="1:16" s="360" customFormat="1" ht="20.100000000000001" customHeight="1">
      <c r="A342" s="67" t="str">
        <f>$A$6</f>
        <v>DATA:____BASE  PERIOD__X__FORECASTED  PERIOD</v>
      </c>
      <c r="B342" s="641"/>
      <c r="C342" s="68"/>
      <c r="D342" s="144"/>
      <c r="E342" s="144"/>
      <c r="F342" s="68"/>
      <c r="G342" s="74"/>
      <c r="H342" s="74"/>
      <c r="I342" s="74"/>
      <c r="J342" s="74" t="s">
        <v>1714</v>
      </c>
    </row>
    <row r="343" spans="1:16" s="360" customFormat="1" ht="20.100000000000001" customHeight="1">
      <c r="A343" s="67" t="str">
        <f>$A$7</f>
        <v>TYPE OF FILING: __X__ ORIGINAL  _____ UPDATED  _____ REVISED</v>
      </c>
      <c r="B343" s="642"/>
      <c r="C343" s="68"/>
      <c r="D343" s="144"/>
      <c r="E343" s="144"/>
      <c r="F343" s="68"/>
      <c r="G343" s="74"/>
      <c r="H343" s="74"/>
      <c r="I343" s="74"/>
      <c r="J343" s="74" t="s">
        <v>3394</v>
      </c>
    </row>
    <row r="344" spans="1:16" s="360" customFormat="1" ht="20.100000000000001" customHeight="1">
      <c r="A344" s="67" t="str">
        <f>$A$8</f>
        <v>WORKPAPER REFERENCE NO(S).:</v>
      </c>
      <c r="B344" s="641"/>
      <c r="C344" s="68"/>
      <c r="D344" s="144"/>
      <c r="E344" s="144"/>
      <c r="F344" s="67"/>
      <c r="G344" s="75"/>
      <c r="H344" s="75"/>
      <c r="I344" s="75"/>
      <c r="J344" s="75" t="str">
        <f>$J$8</f>
        <v>WITNESS:   C. M. GARRETT</v>
      </c>
    </row>
    <row r="345" spans="1:16" s="360" customFormat="1" ht="20.100000000000001" customHeight="1">
      <c r="A345" s="68"/>
      <c r="B345" s="642"/>
      <c r="C345" s="68"/>
      <c r="D345" s="144"/>
      <c r="E345" s="144"/>
      <c r="F345" s="68"/>
      <c r="G345" s="68"/>
      <c r="H345" s="68"/>
      <c r="I345" s="68"/>
      <c r="J345" s="68"/>
    </row>
    <row r="346" spans="1:16" s="360" customFormat="1" ht="65.099999999999994" customHeight="1">
      <c r="A346" s="76" t="s">
        <v>131</v>
      </c>
      <c r="B346" s="76" t="s">
        <v>1222</v>
      </c>
      <c r="C346" s="76" t="s">
        <v>1223</v>
      </c>
      <c r="D346" s="142" t="s">
        <v>1225</v>
      </c>
      <c r="E346" s="142" t="s">
        <v>1226</v>
      </c>
      <c r="F346" s="76" t="s">
        <v>1227</v>
      </c>
      <c r="G346" s="76" t="s">
        <v>1228</v>
      </c>
      <c r="H346" s="76" t="s">
        <v>1229</v>
      </c>
      <c r="I346" s="76" t="s">
        <v>1230</v>
      </c>
      <c r="J346" s="76" t="s">
        <v>1231</v>
      </c>
      <c r="M346" s="361" t="s">
        <v>1239</v>
      </c>
      <c r="N346" s="361" t="s">
        <v>1240</v>
      </c>
      <c r="O346" s="361" t="s">
        <v>1241</v>
      </c>
      <c r="P346" s="361" t="s">
        <v>1227</v>
      </c>
    </row>
    <row r="347" spans="1:16" s="360" customFormat="1" ht="23.1" customHeight="1">
      <c r="A347" s="80" t="s">
        <v>1220</v>
      </c>
      <c r="B347" s="80" t="s">
        <v>1221</v>
      </c>
      <c r="C347" s="80" t="s">
        <v>1224</v>
      </c>
      <c r="D347" s="356" t="s">
        <v>1232</v>
      </c>
      <c r="E347" s="356" t="s">
        <v>1233</v>
      </c>
      <c r="F347" s="357" t="s">
        <v>1234</v>
      </c>
      <c r="G347" s="357" t="s">
        <v>1235</v>
      </c>
      <c r="H347" s="357" t="s">
        <v>1236</v>
      </c>
      <c r="I347" s="357" t="s">
        <v>1237</v>
      </c>
      <c r="J347" s="357" t="s">
        <v>1238</v>
      </c>
    </row>
    <row r="348" spans="1:16" s="360" customFormat="1" ht="18.95" customHeight="1">
      <c r="A348" s="73"/>
      <c r="B348" s="73"/>
      <c r="C348" s="73"/>
      <c r="D348" s="362"/>
      <c r="E348" s="362"/>
      <c r="F348" s="363"/>
      <c r="G348" s="363"/>
      <c r="H348" s="363"/>
      <c r="I348" s="363"/>
      <c r="J348" s="363"/>
    </row>
    <row r="349" spans="1:16" ht="18.75" customHeight="1">
      <c r="A349" s="642">
        <f>A336+1</f>
        <v>265</v>
      </c>
      <c r="B349" s="358" t="s">
        <v>3391</v>
      </c>
      <c r="C349" s="355" t="s">
        <v>3392</v>
      </c>
      <c r="D349" s="145">
        <v>43831</v>
      </c>
      <c r="E349" s="146">
        <v>44196</v>
      </c>
      <c r="F349" s="149">
        <v>0.32876712328767121</v>
      </c>
      <c r="G349" s="355">
        <v>360000</v>
      </c>
      <c r="H349" s="355">
        <v>356068.73</v>
      </c>
      <c r="I349" s="359">
        <v>71213.73</v>
      </c>
      <c r="J349" s="353">
        <f t="shared" ref="J349:J354" si="35">I349/H349</f>
        <v>0.19999995506485505</v>
      </c>
      <c r="M349" s="74">
        <f t="shared" ref="M349:M354" si="36">E349-D349</f>
        <v>365</v>
      </c>
      <c r="N349" s="146">
        <v>43951</v>
      </c>
      <c r="O349" s="74">
        <f t="shared" ref="O349:O354" si="37">E349-N349</f>
        <v>245</v>
      </c>
      <c r="P349" s="354">
        <f t="shared" ref="P349:P354" si="38">(M349-O349)/M349</f>
        <v>0.32876712328767121</v>
      </c>
    </row>
    <row r="350" spans="1:16" ht="18.75" customHeight="1">
      <c r="A350" s="642">
        <f>A349+1</f>
        <v>266</v>
      </c>
      <c r="B350" s="358" t="s">
        <v>2382</v>
      </c>
      <c r="C350" s="355" t="s">
        <v>2088</v>
      </c>
      <c r="D350" s="145">
        <v>42005</v>
      </c>
      <c r="E350" s="146">
        <v>45291</v>
      </c>
      <c r="F350" s="149">
        <v>0.59220937309799149</v>
      </c>
      <c r="G350" s="355">
        <v>320000</v>
      </c>
      <c r="H350" s="355">
        <v>162500</v>
      </c>
      <c r="I350" s="359">
        <v>32500</v>
      </c>
      <c r="J350" s="353">
        <f t="shared" si="35"/>
        <v>0.2</v>
      </c>
      <c r="M350" s="74">
        <f t="shared" si="36"/>
        <v>3286</v>
      </c>
      <c r="N350" s="146">
        <v>43951</v>
      </c>
      <c r="O350" s="74">
        <f t="shared" si="37"/>
        <v>1340</v>
      </c>
      <c r="P350" s="354">
        <f t="shared" si="38"/>
        <v>0.59220937309799149</v>
      </c>
    </row>
    <row r="351" spans="1:16" ht="18.75" customHeight="1">
      <c r="A351" s="642">
        <f t="shared" ref="A351:A354" si="39">A350+1</f>
        <v>267</v>
      </c>
      <c r="B351" s="358" t="s">
        <v>2353</v>
      </c>
      <c r="C351" s="355" t="s">
        <v>2090</v>
      </c>
      <c r="D351" s="145">
        <v>42005</v>
      </c>
      <c r="E351" s="146">
        <v>45291</v>
      </c>
      <c r="F351" s="149">
        <v>0.59220937309799149</v>
      </c>
      <c r="G351" s="355">
        <v>51000</v>
      </c>
      <c r="H351" s="355">
        <v>60000</v>
      </c>
      <c r="I351" s="359">
        <v>20000</v>
      </c>
      <c r="J351" s="353">
        <f t="shared" si="35"/>
        <v>0.33333333333333331</v>
      </c>
      <c r="M351" s="74">
        <f t="shared" si="36"/>
        <v>3286</v>
      </c>
      <c r="N351" s="146">
        <v>43951</v>
      </c>
      <c r="O351" s="74">
        <f t="shared" si="37"/>
        <v>1340</v>
      </c>
      <c r="P351" s="354">
        <f t="shared" si="38"/>
        <v>0.59220937309799149</v>
      </c>
    </row>
    <row r="352" spans="1:16" ht="18.75" customHeight="1">
      <c r="A352" s="642">
        <f t="shared" si="39"/>
        <v>268</v>
      </c>
      <c r="B352" s="358" t="s">
        <v>2370</v>
      </c>
      <c r="C352" s="355" t="s">
        <v>2371</v>
      </c>
      <c r="D352" s="145">
        <v>42370</v>
      </c>
      <c r="E352" s="146">
        <v>45291</v>
      </c>
      <c r="F352" s="149">
        <v>0.54125299554946937</v>
      </c>
      <c r="G352" s="355">
        <v>69500</v>
      </c>
      <c r="H352" s="355">
        <v>1261249.73</v>
      </c>
      <c r="I352" s="359">
        <v>411249.73</v>
      </c>
      <c r="J352" s="353">
        <f t="shared" si="35"/>
        <v>0.32606526702685595</v>
      </c>
      <c r="M352" s="74">
        <f t="shared" si="36"/>
        <v>2921</v>
      </c>
      <c r="N352" s="146">
        <v>43951</v>
      </c>
      <c r="O352" s="74">
        <f t="shared" si="37"/>
        <v>1340</v>
      </c>
      <c r="P352" s="354">
        <f t="shared" si="38"/>
        <v>0.54125299554946937</v>
      </c>
    </row>
    <row r="353" spans="1:16" ht="18.75" customHeight="1">
      <c r="A353" s="642">
        <f t="shared" si="39"/>
        <v>269</v>
      </c>
      <c r="B353" s="358" t="s">
        <v>2924</v>
      </c>
      <c r="C353" s="355" t="s">
        <v>2925</v>
      </c>
      <c r="D353" s="145">
        <v>42736</v>
      </c>
      <c r="E353" s="146">
        <v>45291</v>
      </c>
      <c r="F353" s="149">
        <v>0.47553816046966729</v>
      </c>
      <c r="G353" s="355">
        <v>125000</v>
      </c>
      <c r="H353" s="355">
        <v>11935000</v>
      </c>
      <c r="I353" s="359">
        <v>3978333.3200000003</v>
      </c>
      <c r="J353" s="353">
        <f t="shared" si="35"/>
        <v>0.33333333221617095</v>
      </c>
      <c r="M353" s="74">
        <f t="shared" si="36"/>
        <v>2555</v>
      </c>
      <c r="N353" s="146">
        <v>43951</v>
      </c>
      <c r="O353" s="74">
        <f t="shared" si="37"/>
        <v>1340</v>
      </c>
      <c r="P353" s="354">
        <f t="shared" si="38"/>
        <v>0.47553816046966729</v>
      </c>
    </row>
    <row r="354" spans="1:16" ht="18.75" customHeight="1">
      <c r="A354" s="642">
        <f t="shared" si="39"/>
        <v>270</v>
      </c>
      <c r="B354" s="358" t="s">
        <v>2348</v>
      </c>
      <c r="C354" s="355" t="s">
        <v>2349</v>
      </c>
      <c r="D354" s="145">
        <v>42164</v>
      </c>
      <c r="E354" s="146">
        <v>46022</v>
      </c>
      <c r="F354" s="149">
        <v>0.4631933644375324</v>
      </c>
      <c r="G354" s="355">
        <v>516492.27</v>
      </c>
      <c r="H354" s="355">
        <v>1695989.3200000003</v>
      </c>
      <c r="I354" s="359">
        <v>351928.91</v>
      </c>
      <c r="J354" s="353">
        <f t="shared" si="35"/>
        <v>0.2075065602417826</v>
      </c>
      <c r="M354" s="74">
        <f t="shared" si="36"/>
        <v>3858</v>
      </c>
      <c r="N354" s="146">
        <v>43951</v>
      </c>
      <c r="O354" s="74">
        <f t="shared" si="37"/>
        <v>2071</v>
      </c>
      <c r="P354" s="354">
        <f t="shared" si="38"/>
        <v>0.4631933644375324</v>
      </c>
    </row>
    <row r="355" spans="1:16" ht="18.75" customHeight="1">
      <c r="A355" s="642"/>
      <c r="B355" s="358"/>
      <c r="C355" s="355"/>
      <c r="D355" s="145"/>
      <c r="E355" s="146"/>
      <c r="F355" s="149"/>
      <c r="G355" s="355"/>
      <c r="H355" s="355"/>
      <c r="I355" s="359"/>
      <c r="J355" s="353"/>
      <c r="M355" s="74"/>
      <c r="N355" s="146"/>
      <c r="O355" s="74"/>
      <c r="P355" s="354"/>
    </row>
    <row r="356" spans="1:16" ht="18.75" customHeight="1">
      <c r="A356" s="642"/>
      <c r="B356" s="358"/>
      <c r="C356" s="355"/>
      <c r="D356" s="145"/>
      <c r="E356" s="146"/>
      <c r="F356" s="149"/>
      <c r="G356" s="355"/>
      <c r="H356" s="355"/>
      <c r="I356" s="359"/>
      <c r="J356" s="353"/>
      <c r="M356" s="74"/>
      <c r="N356" s="146"/>
      <c r="O356" s="74"/>
      <c r="P356" s="354"/>
    </row>
    <row r="357" spans="1:16" ht="18.75" customHeight="1">
      <c r="A357" s="642"/>
      <c r="B357" s="358"/>
      <c r="C357" s="355"/>
      <c r="D357" s="145"/>
      <c r="E357" s="146"/>
      <c r="F357" s="149"/>
      <c r="G357" s="355"/>
      <c r="H357" s="355"/>
      <c r="I357" s="359"/>
      <c r="J357" s="353"/>
      <c r="M357" s="74"/>
      <c r="N357" s="146"/>
      <c r="O357" s="74"/>
      <c r="P357" s="354"/>
    </row>
    <row r="358" spans="1:16" ht="18.75" customHeight="1">
      <c r="A358" s="642"/>
      <c r="B358" s="358"/>
      <c r="C358" s="355"/>
      <c r="D358" s="145"/>
      <c r="E358" s="146"/>
      <c r="F358" s="149"/>
      <c r="G358" s="355"/>
      <c r="H358" s="355"/>
      <c r="I358" s="359"/>
      <c r="J358" s="353"/>
      <c r="M358" s="74"/>
      <c r="N358" s="146"/>
      <c r="O358" s="74"/>
      <c r="P358" s="354"/>
    </row>
    <row r="359" spans="1:16" ht="18.75" customHeight="1">
      <c r="A359" s="642"/>
      <c r="B359" s="358"/>
      <c r="C359" s="355"/>
      <c r="D359" s="145"/>
      <c r="E359" s="146"/>
      <c r="F359" s="149"/>
      <c r="G359" s="355"/>
      <c r="H359" s="355"/>
      <c r="I359" s="359"/>
      <c r="J359" s="353"/>
      <c r="M359" s="74"/>
      <c r="N359" s="146"/>
      <c r="O359" s="74"/>
      <c r="P359" s="354"/>
    </row>
    <row r="360" spans="1:16" ht="18.75" customHeight="1">
      <c r="A360" s="642"/>
      <c r="B360" s="358"/>
      <c r="C360" s="355"/>
      <c r="D360" s="145"/>
      <c r="E360" s="146"/>
      <c r="F360" s="149"/>
      <c r="G360" s="355"/>
      <c r="H360" s="355"/>
      <c r="I360" s="359"/>
      <c r="J360" s="353"/>
      <c r="M360" s="74"/>
      <c r="N360" s="146"/>
      <c r="O360" s="74"/>
      <c r="P360" s="354"/>
    </row>
    <row r="361" spans="1:16" ht="18.75" customHeight="1">
      <c r="A361" s="642"/>
      <c r="B361" s="358"/>
      <c r="C361" s="355"/>
      <c r="D361" s="145"/>
      <c r="E361" s="146"/>
      <c r="F361" s="149"/>
      <c r="G361" s="355"/>
      <c r="H361" s="355"/>
      <c r="I361" s="359"/>
      <c r="J361" s="353"/>
      <c r="M361" s="74"/>
      <c r="N361" s="146"/>
      <c r="O361" s="74"/>
      <c r="P361" s="354"/>
    </row>
    <row r="362" spans="1:16" ht="18.75" customHeight="1">
      <c r="A362" s="642"/>
      <c r="B362" s="358"/>
      <c r="C362" s="355"/>
      <c r="D362" s="145"/>
      <c r="E362" s="146"/>
      <c r="F362" s="149"/>
      <c r="G362" s="355"/>
      <c r="H362" s="355"/>
      <c r="I362" s="359"/>
      <c r="J362" s="353"/>
      <c r="M362" s="74"/>
      <c r="N362" s="146"/>
      <c r="O362" s="74"/>
      <c r="P362" s="354"/>
    </row>
    <row r="363" spans="1:16" ht="18.75" customHeight="1">
      <c r="A363" s="642"/>
      <c r="B363" s="358"/>
      <c r="C363" s="355"/>
      <c r="D363" s="145"/>
      <c r="E363" s="146"/>
      <c r="F363" s="149"/>
      <c r="G363" s="355"/>
      <c r="H363" s="355"/>
      <c r="I363" s="359"/>
      <c r="J363" s="353"/>
      <c r="M363" s="74"/>
      <c r="N363" s="146"/>
      <c r="O363" s="74"/>
      <c r="P363" s="354"/>
    </row>
    <row r="364" spans="1:16" ht="18.75" customHeight="1">
      <c r="A364" s="642"/>
      <c r="B364" s="358"/>
      <c r="C364" s="355"/>
      <c r="D364" s="145"/>
      <c r="E364" s="146"/>
      <c r="F364" s="149"/>
      <c r="G364" s="355"/>
      <c r="H364" s="355"/>
      <c r="I364" s="359"/>
      <c r="J364" s="353"/>
      <c r="M364" s="74"/>
      <c r="N364" s="146"/>
      <c r="O364" s="74"/>
      <c r="P364" s="354"/>
    </row>
    <row r="365" spans="1:16" ht="18.75" customHeight="1">
      <c r="A365" s="642"/>
      <c r="B365" s="358"/>
      <c r="C365" s="355"/>
      <c r="D365" s="145"/>
      <c r="E365" s="146"/>
      <c r="F365" s="149"/>
      <c r="G365" s="355"/>
      <c r="H365" s="355"/>
      <c r="I365" s="359"/>
      <c r="J365" s="353"/>
      <c r="M365" s="74"/>
      <c r="N365" s="146"/>
      <c r="O365" s="74"/>
      <c r="P365" s="354"/>
    </row>
    <row r="366" spans="1:16" ht="18.75" customHeight="1">
      <c r="A366" s="642"/>
      <c r="B366" s="358"/>
      <c r="C366" s="355"/>
      <c r="D366" s="145"/>
      <c r="E366" s="146"/>
      <c r="F366" s="149"/>
      <c r="G366" s="355"/>
      <c r="H366" s="355"/>
      <c r="I366" s="359"/>
      <c r="J366" s="353"/>
      <c r="M366" s="74"/>
      <c r="N366" s="146"/>
      <c r="O366" s="74"/>
      <c r="P366" s="354"/>
    </row>
    <row r="367" spans="1:16" ht="18.75" customHeight="1">
      <c r="A367" s="642"/>
      <c r="B367" s="358"/>
      <c r="C367" s="355"/>
      <c r="D367" s="145"/>
      <c r="E367" s="146"/>
      <c r="F367" s="149"/>
      <c r="G367" s="355"/>
      <c r="H367" s="355"/>
      <c r="I367" s="359"/>
      <c r="J367" s="353"/>
      <c r="M367" s="74"/>
      <c r="N367" s="146"/>
      <c r="O367" s="74"/>
      <c r="P367" s="354"/>
    </row>
    <row r="368" spans="1:16" ht="18.75" customHeight="1">
      <c r="A368" s="642"/>
      <c r="B368" s="358"/>
      <c r="C368" s="355"/>
      <c r="D368" s="145"/>
      <c r="E368" s="146"/>
      <c r="F368" s="149"/>
      <c r="G368" s="355"/>
      <c r="H368" s="355"/>
      <c r="I368" s="359"/>
      <c r="J368" s="353"/>
      <c r="M368" s="74"/>
      <c r="N368" s="146"/>
      <c r="O368" s="74"/>
      <c r="P368" s="354"/>
    </row>
    <row r="369" spans="1:16" ht="18.75" customHeight="1">
      <c r="A369" s="642"/>
      <c r="B369" s="358"/>
      <c r="C369" s="355"/>
      <c r="D369" s="145"/>
      <c r="E369" s="146"/>
      <c r="F369" s="149"/>
      <c r="G369" s="355"/>
      <c r="H369" s="355"/>
      <c r="I369" s="359"/>
      <c r="J369" s="353"/>
      <c r="M369" s="74"/>
      <c r="N369" s="146"/>
      <c r="O369" s="74"/>
      <c r="P369" s="354"/>
    </row>
    <row r="370" spans="1:16" ht="18.75" customHeight="1">
      <c r="A370" s="642"/>
      <c r="B370" s="358"/>
      <c r="C370" s="355"/>
      <c r="D370" s="145"/>
      <c r="E370" s="146"/>
      <c r="F370" s="149"/>
      <c r="G370" s="355"/>
      <c r="H370" s="355"/>
      <c r="I370" s="359"/>
      <c r="J370" s="353"/>
      <c r="M370" s="74"/>
      <c r="N370" s="146"/>
      <c r="O370" s="74"/>
      <c r="P370" s="354"/>
    </row>
  </sheetData>
  <mergeCells count="28">
    <mergeCell ref="A172:J172"/>
    <mergeCell ref="A225:J225"/>
    <mergeCell ref="A226:J226"/>
    <mergeCell ref="A227:J227"/>
    <mergeCell ref="A228:J228"/>
    <mergeCell ref="A169:J169"/>
    <mergeCell ref="A170:J170"/>
    <mergeCell ref="A171:J171"/>
    <mergeCell ref="A116:J116"/>
    <mergeCell ref="A1:J1"/>
    <mergeCell ref="A2:J2"/>
    <mergeCell ref="A3:J3"/>
    <mergeCell ref="A4:J4"/>
    <mergeCell ref="A57:J57"/>
    <mergeCell ref="A58:J58"/>
    <mergeCell ref="A59:J59"/>
    <mergeCell ref="A60:J60"/>
    <mergeCell ref="A113:J113"/>
    <mergeCell ref="A114:J114"/>
    <mergeCell ref="A115:J115"/>
    <mergeCell ref="A338:J338"/>
    <mergeCell ref="A339:J339"/>
    <mergeCell ref="A340:J340"/>
    <mergeCell ref="A281:J281"/>
    <mergeCell ref="A282:J282"/>
    <mergeCell ref="A283:J283"/>
    <mergeCell ref="A284:J284"/>
    <mergeCell ref="A337:J337"/>
  </mergeCells>
  <pageMargins left="0.95" right="0.5" top="0.75" bottom="0.75" header="0.3" footer="0.3"/>
  <pageSetup scale="57" fitToHeight="0" orientation="portrait" r:id="rId1"/>
  <rowBreaks count="6" manualBreakCount="6">
    <brk id="56" max="9" man="1"/>
    <brk id="112" max="9" man="1"/>
    <brk id="168" max="9" man="1"/>
    <brk id="224" max="9" man="1"/>
    <brk id="280" max="9" man="1"/>
    <brk id="336"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53"/>
  <sheetViews>
    <sheetView zoomScaleNormal="100" workbookViewId="0">
      <selection activeCell="F23" sqref="F23"/>
    </sheetView>
  </sheetViews>
  <sheetFormatPr defaultColWidth="9" defaultRowHeight="12.75"/>
  <cols>
    <col min="1" max="1" width="6" style="69" customWidth="1"/>
    <col min="2" max="2" width="40.77734375" style="69" customWidth="1"/>
    <col min="3" max="3" width="32.77734375" style="69" customWidth="1"/>
    <col min="4" max="4" width="15.77734375" style="69" customWidth="1"/>
    <col min="5" max="5" width="14.21875" style="69" customWidth="1"/>
    <col min="6" max="6" width="13.6640625" style="69" customWidth="1"/>
    <col min="7" max="7" width="15.77734375" style="69" customWidth="1"/>
    <col min="8" max="8" width="1.6640625" style="69" customWidth="1"/>
    <col min="9" max="16384" width="9" style="69"/>
  </cols>
  <sheetData>
    <row r="1" spans="1:7" s="68" customFormat="1" ht="20.100000000000001" customHeight="1">
      <c r="A1" s="769" t="str">
        <f>'Rate Case Constants'!C9</f>
        <v>KENTUCKY UTILITIES COMPANY</v>
      </c>
      <c r="B1" s="769"/>
      <c r="C1" s="769"/>
      <c r="D1" s="769"/>
      <c r="E1" s="769"/>
      <c r="F1" s="769"/>
      <c r="G1" s="769"/>
    </row>
    <row r="2" spans="1:7" s="68" customFormat="1" ht="20.100000000000001" customHeight="1">
      <c r="A2" s="769" t="str">
        <f>'Rate Case Constants'!C10</f>
        <v>CASE NO. 2018-00294 - RESPONSE TO PSC 2-65 (SLIPPAGE FACTOR 96.027%)</v>
      </c>
      <c r="B2" s="769"/>
      <c r="C2" s="769"/>
      <c r="D2" s="769"/>
      <c r="E2" s="769"/>
      <c r="F2" s="769"/>
      <c r="G2" s="769"/>
    </row>
    <row r="3" spans="1:7" s="68" customFormat="1" ht="20.100000000000001" customHeight="1">
      <c r="A3" s="769" t="s">
        <v>1418</v>
      </c>
      <c r="B3" s="769"/>
      <c r="C3" s="769"/>
      <c r="D3" s="769"/>
      <c r="E3" s="769"/>
      <c r="F3" s="769"/>
      <c r="G3" s="769"/>
    </row>
    <row r="4" spans="1:7" s="68" customFormat="1" ht="20.100000000000001" customHeight="1">
      <c r="A4" s="768" t="str">
        <f>'Rate Case Constants'!C14</f>
        <v>FROM JANUARY 1, 2018 TO DECEMBER 31, 2018</v>
      </c>
      <c r="B4" s="772"/>
      <c r="C4" s="772"/>
      <c r="D4" s="772"/>
      <c r="E4" s="772"/>
      <c r="F4" s="772"/>
      <c r="G4" s="772"/>
    </row>
    <row r="5" spans="1:7" s="68" customFormat="1" ht="20.100000000000001" customHeight="1">
      <c r="A5" s="138"/>
      <c r="B5" s="138"/>
      <c r="C5" s="138"/>
      <c r="D5" s="138"/>
      <c r="E5" s="138"/>
      <c r="F5" s="138"/>
      <c r="G5" s="138"/>
    </row>
    <row r="6" spans="1:7" s="68" customFormat="1" ht="20.100000000000001" customHeight="1">
      <c r="A6" s="67" t="s">
        <v>133</v>
      </c>
      <c r="D6" s="74"/>
      <c r="E6" s="74"/>
      <c r="G6" s="74" t="s">
        <v>1419</v>
      </c>
    </row>
    <row r="7" spans="1:7" s="68" customFormat="1" ht="20.100000000000001" customHeight="1">
      <c r="A7" s="68" t="str">
        <f>'Rate Case Constants'!C29</f>
        <v>TYPE OF FILING: __X__ ORIGINAL  _____ UPDATED  _____ REVISED</v>
      </c>
      <c r="D7" s="74"/>
      <c r="E7" s="74"/>
      <c r="G7" s="74" t="s">
        <v>177</v>
      </c>
    </row>
    <row r="8" spans="1:7" s="68" customFormat="1" ht="20.100000000000001" customHeight="1">
      <c r="A8" s="67" t="s">
        <v>1198</v>
      </c>
      <c r="D8" s="75"/>
      <c r="E8" s="75"/>
      <c r="G8" s="75" t="str">
        <f>'Rate Case Constants'!C36</f>
        <v>WITNESS:   C. M. GARRETT</v>
      </c>
    </row>
    <row r="9" spans="1:7" s="68" customFormat="1" ht="20.100000000000001" customHeight="1"/>
    <row r="10" spans="1:7" ht="47.25" customHeight="1">
      <c r="A10" s="159" t="s">
        <v>131</v>
      </c>
      <c r="B10" s="160" t="s">
        <v>1420</v>
      </c>
      <c r="C10" s="159" t="s">
        <v>1421</v>
      </c>
      <c r="D10" s="159" t="s">
        <v>219</v>
      </c>
      <c r="E10" s="159" t="s">
        <v>1202</v>
      </c>
      <c r="F10" s="159" t="s">
        <v>224</v>
      </c>
      <c r="G10" s="159" t="s">
        <v>1422</v>
      </c>
    </row>
    <row r="11" spans="1:7" ht="23.1" customHeight="1">
      <c r="A11" s="80"/>
      <c r="B11" s="81"/>
      <c r="C11" s="82"/>
      <c r="D11" s="82"/>
      <c r="E11" s="82" t="s">
        <v>142</v>
      </c>
      <c r="F11" s="82"/>
      <c r="G11" s="82" t="s">
        <v>142</v>
      </c>
    </row>
    <row r="12" spans="1:7" ht="23.1" customHeight="1">
      <c r="A12" s="73"/>
      <c r="B12" s="78" t="s">
        <v>1172</v>
      </c>
      <c r="C12" s="78"/>
      <c r="D12" s="78"/>
      <c r="E12" s="95"/>
      <c r="F12" s="95"/>
      <c r="G12" s="95"/>
    </row>
    <row r="13" spans="1:7" ht="18.95" customHeight="1">
      <c r="A13" s="70">
        <v>1</v>
      </c>
      <c r="B13" s="78" t="s">
        <v>1423</v>
      </c>
      <c r="C13" s="78" t="s">
        <v>1429</v>
      </c>
      <c r="D13" s="71" t="s">
        <v>1430</v>
      </c>
      <c r="E13" s="86">
        <f>'SCH B-5.1'!C14</f>
        <v>61292297</v>
      </c>
      <c r="F13" s="130">
        <f>G13/E13</f>
        <v>0.88026422050572484</v>
      </c>
      <c r="G13" s="86">
        <f>'SCH B-5.1'!E14</f>
        <v>53953416.041710377</v>
      </c>
    </row>
    <row r="14" spans="1:7" ht="18.95" customHeight="1">
      <c r="A14" s="70"/>
      <c r="B14" s="78"/>
      <c r="C14" s="78"/>
      <c r="D14" s="78"/>
      <c r="E14" s="86"/>
      <c r="F14" s="130"/>
      <c r="G14" s="86"/>
    </row>
    <row r="15" spans="1:7" ht="18.95" customHeight="1">
      <c r="A15" s="70">
        <v>2</v>
      </c>
      <c r="B15" s="78" t="s">
        <v>1424</v>
      </c>
      <c r="C15" s="78" t="s">
        <v>1429</v>
      </c>
      <c r="D15" s="71" t="s">
        <v>1430</v>
      </c>
      <c r="E15" s="86">
        <f>'SCH B-5.1'!C16</f>
        <v>62047004</v>
      </c>
      <c r="F15" s="130">
        <f>G15/E15</f>
        <v>0.88826203624083966</v>
      </c>
      <c r="G15" s="86">
        <f>'SCH B-5.1'!E16</f>
        <v>55113998.115683526</v>
      </c>
    </row>
    <row r="16" spans="1:7" ht="18.95" customHeight="1">
      <c r="A16" s="70"/>
      <c r="B16" s="78"/>
      <c r="C16" s="78"/>
      <c r="D16" s="78"/>
      <c r="E16" s="86"/>
      <c r="F16" s="86"/>
      <c r="G16" s="86"/>
    </row>
    <row r="17" spans="1:7" ht="18.95" customHeight="1">
      <c r="A17" s="70">
        <v>3</v>
      </c>
      <c r="B17" s="78" t="s">
        <v>1427</v>
      </c>
      <c r="C17" s="78" t="s">
        <v>1429</v>
      </c>
      <c r="D17" s="71" t="s">
        <v>1430</v>
      </c>
      <c r="E17" s="86">
        <f>'SCH B-5.1'!C18</f>
        <v>16286108.63695264</v>
      </c>
      <c r="F17" s="130">
        <f>G17/E17</f>
        <v>0.94127552010916504</v>
      </c>
      <c r="G17" s="86">
        <f>'SCH B-5.1'!E18</f>
        <v>15329715.377801962</v>
      </c>
    </row>
    <row r="18" spans="1:7" ht="18.95" customHeight="1">
      <c r="A18" s="70"/>
      <c r="B18" s="78"/>
      <c r="C18" s="78"/>
      <c r="D18" s="78"/>
      <c r="E18" s="86"/>
      <c r="F18" s="86"/>
      <c r="G18" s="86"/>
    </row>
    <row r="19" spans="1:7" ht="18.95" customHeight="1">
      <c r="A19" s="70">
        <v>4</v>
      </c>
      <c r="B19" s="78" t="s">
        <v>2092</v>
      </c>
      <c r="C19" s="78" t="s">
        <v>1429</v>
      </c>
      <c r="D19" s="71" t="s">
        <v>1430</v>
      </c>
      <c r="E19" s="86">
        <f>ROUND('SCH B-5.1'!C20,0)</f>
        <v>0</v>
      </c>
      <c r="F19" s="130">
        <f>'ECR ALLOW'!$O$6</f>
        <v>0.87673530496058716</v>
      </c>
      <c r="G19" s="86">
        <f>ROUND('SCH B-5.1'!E20,0)</f>
        <v>0</v>
      </c>
    </row>
    <row r="20" spans="1:7" ht="18.95" customHeight="1">
      <c r="A20" s="70"/>
      <c r="B20" s="78"/>
      <c r="C20" s="78"/>
      <c r="D20" s="78"/>
      <c r="E20" s="86"/>
      <c r="F20" s="86"/>
      <c r="G20" s="86"/>
    </row>
    <row r="21" spans="1:7" ht="31.5" customHeight="1">
      <c r="A21" s="70">
        <v>5</v>
      </c>
      <c r="B21" s="78" t="s">
        <v>1425</v>
      </c>
      <c r="C21" s="78" t="s">
        <v>2663</v>
      </c>
      <c r="D21" s="71" t="s">
        <v>1431</v>
      </c>
      <c r="E21" s="131">
        <f>'JURISSEP B'!$E$29</f>
        <v>69078890.627454564</v>
      </c>
      <c r="F21" s="130">
        <f ca="1">G21/E21</f>
        <v>0.76790133771699876</v>
      </c>
      <c r="G21" s="131">
        <f ca="1">'SCH B-5.2 B (1)'!$Q$82</f>
        <v>53045772.520828605</v>
      </c>
    </row>
    <row r="22" spans="1:7" ht="18.95" customHeight="1">
      <c r="A22" s="70"/>
      <c r="B22" s="78"/>
      <c r="C22" s="78"/>
      <c r="D22" s="78"/>
      <c r="E22" s="86"/>
      <c r="F22" s="86"/>
      <c r="G22" s="86"/>
    </row>
    <row r="23" spans="1:7" ht="18.95" customHeight="1" thickBot="1">
      <c r="A23" s="70">
        <v>6</v>
      </c>
      <c r="B23" s="78" t="s">
        <v>1426</v>
      </c>
      <c r="C23" s="78"/>
      <c r="D23" s="78"/>
      <c r="E23" s="94">
        <f>SUM(E13:E21)</f>
        <v>208704300.26440722</v>
      </c>
      <c r="F23" s="86"/>
      <c r="G23" s="94">
        <f ca="1">SUM(G13:G21)</f>
        <v>177442902.05602446</v>
      </c>
    </row>
    <row r="24" spans="1:7" ht="18.95" customHeight="1" thickTop="1">
      <c r="A24" s="70"/>
      <c r="B24" s="78"/>
      <c r="C24" s="78"/>
      <c r="D24" s="78"/>
      <c r="E24" s="86"/>
      <c r="F24" s="86"/>
      <c r="G24" s="86"/>
    </row>
    <row r="25" spans="1:7" ht="18.95" customHeight="1">
      <c r="A25" s="70"/>
      <c r="B25" s="67" t="s">
        <v>1428</v>
      </c>
      <c r="C25" s="78"/>
      <c r="D25" s="78"/>
      <c r="E25" s="86"/>
      <c r="F25" s="86"/>
      <c r="G25" s="86"/>
    </row>
    <row r="26" spans="1:7" ht="18.95" customHeight="1">
      <c r="A26" s="70"/>
      <c r="B26" s="67" t="s">
        <v>2093</v>
      </c>
      <c r="C26" s="86"/>
      <c r="D26" s="86"/>
      <c r="E26" s="86"/>
      <c r="F26" s="86"/>
      <c r="G26" s="86"/>
    </row>
    <row r="27" spans="1:7" s="68" customFormat="1" ht="20.100000000000001" customHeight="1">
      <c r="A27" s="769" t="str">
        <f>$A$1</f>
        <v>KENTUCKY UTILITIES COMPANY</v>
      </c>
      <c r="B27" s="769"/>
      <c r="C27" s="769"/>
      <c r="D27" s="769"/>
      <c r="E27" s="769"/>
      <c r="F27" s="769"/>
      <c r="G27" s="769"/>
    </row>
    <row r="28" spans="1:7" s="68" customFormat="1" ht="20.100000000000001" customHeight="1">
      <c r="A28" s="769" t="str">
        <f>$A$2</f>
        <v>CASE NO. 2018-00294 - RESPONSE TO PSC 2-65 (SLIPPAGE FACTOR 96.027%)</v>
      </c>
      <c r="B28" s="769"/>
      <c r="C28" s="769"/>
      <c r="D28" s="769"/>
      <c r="E28" s="769"/>
      <c r="F28" s="769"/>
      <c r="G28" s="769"/>
    </row>
    <row r="29" spans="1:7" s="68" customFormat="1" ht="20.100000000000001" customHeight="1">
      <c r="A29" s="769" t="str">
        <f>$A$3</f>
        <v>ALLOWANCE FOR WORKING CAPITAL</v>
      </c>
      <c r="B29" s="769"/>
      <c r="C29" s="769"/>
      <c r="D29" s="769"/>
      <c r="E29" s="769"/>
      <c r="F29" s="769"/>
      <c r="G29" s="769"/>
    </row>
    <row r="30" spans="1:7" s="68" customFormat="1" ht="20.100000000000001" customHeight="1">
      <c r="A30" s="768" t="str">
        <f>'Rate Case Constants'!C20</f>
        <v>FROM MAY 1, 2019 TO APRIL 30, 2020</v>
      </c>
      <c r="B30" s="772"/>
      <c r="C30" s="772"/>
      <c r="D30" s="772"/>
      <c r="E30" s="772"/>
      <c r="F30" s="772"/>
      <c r="G30" s="772"/>
    </row>
    <row r="31" spans="1:7" s="68" customFormat="1" ht="20.100000000000001" customHeight="1">
      <c r="A31" s="138"/>
      <c r="B31" s="138"/>
      <c r="C31" s="138"/>
      <c r="D31" s="138"/>
      <c r="E31" s="138"/>
      <c r="F31" s="138"/>
      <c r="G31" s="138"/>
    </row>
    <row r="32" spans="1:7" s="68" customFormat="1" ht="20.100000000000001" customHeight="1">
      <c r="A32" s="67" t="s">
        <v>161</v>
      </c>
      <c r="D32" s="74"/>
      <c r="E32" s="74"/>
      <c r="G32" s="74" t="s">
        <v>1419</v>
      </c>
    </row>
    <row r="33" spans="1:7" s="68" customFormat="1" ht="20.100000000000001" customHeight="1">
      <c r="A33" s="67" t="str">
        <f>$A$7</f>
        <v>TYPE OF FILING: __X__ ORIGINAL  _____ UPDATED  _____ REVISED</v>
      </c>
      <c r="D33" s="74"/>
      <c r="E33" s="74"/>
      <c r="G33" s="74" t="s">
        <v>185</v>
      </c>
    </row>
    <row r="34" spans="1:7" s="68" customFormat="1" ht="20.100000000000001" customHeight="1">
      <c r="A34" s="67" t="str">
        <f>$A$8</f>
        <v>WORKPAPER REFERENCE NO(S).:</v>
      </c>
      <c r="D34" s="75"/>
      <c r="E34" s="75"/>
      <c r="G34" s="75" t="str">
        <f>$G$8</f>
        <v>WITNESS:   C. M. GARRETT</v>
      </c>
    </row>
    <row r="35" spans="1:7" s="68" customFormat="1" ht="20.100000000000001" customHeight="1"/>
    <row r="36" spans="1:7" ht="47.25" customHeight="1">
      <c r="A36" s="159" t="s">
        <v>131</v>
      </c>
      <c r="B36" s="160" t="s">
        <v>1420</v>
      </c>
      <c r="C36" s="159" t="s">
        <v>1421</v>
      </c>
      <c r="D36" s="159" t="s">
        <v>219</v>
      </c>
      <c r="E36" s="159" t="s">
        <v>1202</v>
      </c>
      <c r="F36" s="159" t="s">
        <v>224</v>
      </c>
      <c r="G36" s="159" t="s">
        <v>1422</v>
      </c>
    </row>
    <row r="37" spans="1:7" ht="23.1" customHeight="1">
      <c r="A37" s="80"/>
      <c r="B37" s="81"/>
      <c r="C37" s="82"/>
      <c r="D37" s="82"/>
      <c r="E37" s="82" t="s">
        <v>142</v>
      </c>
      <c r="F37" s="82"/>
      <c r="G37" s="82" t="s">
        <v>142</v>
      </c>
    </row>
    <row r="38" spans="1:7" ht="23.1" customHeight="1">
      <c r="A38" s="73"/>
      <c r="B38" s="78" t="s">
        <v>1172</v>
      </c>
      <c r="C38" s="78"/>
      <c r="D38" s="78"/>
      <c r="E38" s="95"/>
      <c r="F38" s="95"/>
      <c r="G38" s="95"/>
    </row>
    <row r="39" spans="1:7" ht="18.95" customHeight="1">
      <c r="A39" s="70">
        <v>1</v>
      </c>
      <c r="B39" s="78" t="s">
        <v>1423</v>
      </c>
      <c r="C39" s="78" t="s">
        <v>1429</v>
      </c>
      <c r="D39" s="71" t="s">
        <v>1430</v>
      </c>
      <c r="E39" s="86">
        <f>'SCH B-5.1'!C39</f>
        <v>62955456.000000007</v>
      </c>
      <c r="F39" s="130">
        <f>G39/E39</f>
        <v>0.94100915957131559</v>
      </c>
      <c r="G39" s="86">
        <f>'SCH B-5.1'!E39</f>
        <v>59241660.740988947</v>
      </c>
    </row>
    <row r="40" spans="1:7" ht="18.95" customHeight="1">
      <c r="A40" s="70"/>
      <c r="B40" s="78"/>
      <c r="C40" s="78"/>
      <c r="D40" s="78"/>
      <c r="E40" s="86"/>
      <c r="F40" s="130"/>
      <c r="G40" s="86"/>
    </row>
    <row r="41" spans="1:7" ht="18.95" customHeight="1">
      <c r="A41" s="70">
        <v>2</v>
      </c>
      <c r="B41" s="78" t="s">
        <v>1424</v>
      </c>
      <c r="C41" s="78" t="s">
        <v>1429</v>
      </c>
      <c r="D41" s="71" t="s">
        <v>1430</v>
      </c>
      <c r="E41" s="86">
        <f>'SCH B-5.1'!C41</f>
        <v>60204948.999999993</v>
      </c>
      <c r="F41" s="130">
        <f>G41/E41</f>
        <v>0.93152869719073306</v>
      </c>
      <c r="G41" s="86">
        <f>'SCH B-5.1'!E41</f>
        <v>56082637.706404522</v>
      </c>
    </row>
    <row r="42" spans="1:7" ht="18.95" customHeight="1">
      <c r="A42" s="70"/>
      <c r="B42" s="78"/>
      <c r="C42" s="78"/>
      <c r="D42" s="78"/>
      <c r="E42" s="86"/>
      <c r="F42" s="86"/>
      <c r="G42" s="86"/>
    </row>
    <row r="43" spans="1:7" ht="18.95" customHeight="1">
      <c r="A43" s="70">
        <v>3</v>
      </c>
      <c r="B43" s="78" t="s">
        <v>1427</v>
      </c>
      <c r="C43" s="78" t="s">
        <v>1429</v>
      </c>
      <c r="D43" s="71" t="s">
        <v>1430</v>
      </c>
      <c r="E43" s="86">
        <f>'SCH B-5.1'!C43</f>
        <v>15827640.363883544</v>
      </c>
      <c r="F43" s="130">
        <f>G43/E43</f>
        <v>0.98590869294007144</v>
      </c>
      <c r="G43" s="86">
        <f>'SCH B-5.1'!E43</f>
        <v>15604608.223481942</v>
      </c>
    </row>
    <row r="44" spans="1:7" ht="18.95" customHeight="1">
      <c r="A44" s="70"/>
      <c r="B44" s="78"/>
      <c r="C44" s="78"/>
      <c r="D44" s="78"/>
      <c r="E44" s="86"/>
      <c r="F44" s="86"/>
      <c r="G44" s="86"/>
    </row>
    <row r="45" spans="1:7" ht="18.95" customHeight="1">
      <c r="A45" s="70">
        <v>4</v>
      </c>
      <c r="B45" s="78" t="s">
        <v>2092</v>
      </c>
      <c r="C45" s="78" t="s">
        <v>1429</v>
      </c>
      <c r="D45" s="71" t="s">
        <v>1430</v>
      </c>
      <c r="E45" s="86">
        <f>ROUND('SCH B-5.1'!C45,0)</f>
        <v>0</v>
      </c>
      <c r="F45" s="130">
        <f>'ECR ALLOW'!$AF$6</f>
        <v>0.93741603079505242</v>
      </c>
      <c r="G45" s="86">
        <f>ROUND('SCH B-5.1'!E45,0)</f>
        <v>0</v>
      </c>
    </row>
    <row r="46" spans="1:7" ht="18.95" customHeight="1">
      <c r="A46" s="70"/>
      <c r="B46" s="78"/>
      <c r="C46" s="78"/>
      <c r="D46" s="78"/>
      <c r="E46" s="86"/>
      <c r="F46" s="86"/>
      <c r="G46" s="86"/>
    </row>
    <row r="47" spans="1:7" ht="31.5" customHeight="1">
      <c r="A47" s="70">
        <v>5</v>
      </c>
      <c r="B47" s="78" t="s">
        <v>1425</v>
      </c>
      <c r="C47" s="78" t="s">
        <v>2663</v>
      </c>
      <c r="D47" s="71" t="s">
        <v>1431</v>
      </c>
      <c r="E47" s="131">
        <f>'JURISSEP F'!$E$29</f>
        <v>107314039.5445969</v>
      </c>
      <c r="F47" s="130">
        <f>G47/E47</f>
        <v>0.89269014500638855</v>
      </c>
      <c r="G47" s="131">
        <f>'SCH B-5.2 F (1)'!$Q$82</f>
        <v>95798185.522287518</v>
      </c>
    </row>
    <row r="48" spans="1:7" ht="18.95" customHeight="1">
      <c r="A48" s="70"/>
      <c r="B48" s="78"/>
      <c r="C48" s="78"/>
      <c r="D48" s="78"/>
      <c r="E48" s="86"/>
      <c r="F48" s="86"/>
      <c r="G48" s="86"/>
    </row>
    <row r="49" spans="1:7" ht="18.95" customHeight="1" thickBot="1">
      <c r="A49" s="70">
        <v>6</v>
      </c>
      <c r="B49" s="78" t="s">
        <v>1426</v>
      </c>
      <c r="C49" s="78"/>
      <c r="D49" s="78"/>
      <c r="E49" s="94">
        <f>SUM(E39:E47)</f>
        <v>246302084.90848047</v>
      </c>
      <c r="F49" s="86"/>
      <c r="G49" s="94">
        <f>SUM(G39:G47)</f>
        <v>226727092.19316292</v>
      </c>
    </row>
    <row r="50" spans="1:7" ht="18.95" customHeight="1" thickTop="1">
      <c r="A50" s="70"/>
      <c r="B50" s="78"/>
      <c r="C50" s="78"/>
      <c r="D50" s="78"/>
      <c r="E50" s="86"/>
      <c r="F50" s="86"/>
      <c r="G50" s="86"/>
    </row>
    <row r="51" spans="1:7" ht="18.95" customHeight="1">
      <c r="A51" s="70"/>
      <c r="B51" s="67" t="s">
        <v>1428</v>
      </c>
      <c r="C51" s="78"/>
      <c r="D51" s="78"/>
      <c r="E51" s="86"/>
      <c r="F51" s="86"/>
      <c r="G51" s="86"/>
    </row>
    <row r="52" spans="1:7" ht="18.95" customHeight="1">
      <c r="B52" s="67" t="s">
        <v>2093</v>
      </c>
    </row>
    <row r="53" spans="1:7" ht="18.95" customHeight="1"/>
  </sheetData>
  <mergeCells count="8">
    <mergeCell ref="A28:G28"/>
    <mergeCell ref="A29:G29"/>
    <mergeCell ref="A30:G30"/>
    <mergeCell ref="A1:G1"/>
    <mergeCell ref="A2:G2"/>
    <mergeCell ref="A3:G3"/>
    <mergeCell ref="A4:G4"/>
    <mergeCell ref="A27:G27"/>
  </mergeCells>
  <pageMargins left="0.95" right="0.5" top="0.75" bottom="0.75" header="0.3" footer="0.3"/>
  <pageSetup scale="65" fitToHeight="0" orientation="portrait" r:id="rId1"/>
  <rowBreaks count="1" manualBreakCount="1">
    <brk id="2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51"/>
  <sheetViews>
    <sheetView zoomScaleNormal="100" workbookViewId="0">
      <selection sqref="A1:E1"/>
    </sheetView>
  </sheetViews>
  <sheetFormatPr defaultColWidth="9" defaultRowHeight="12.75"/>
  <cols>
    <col min="1" max="1" width="6" style="69" customWidth="1"/>
    <col min="2" max="2" width="38.33203125" style="69" customWidth="1"/>
    <col min="3" max="3" width="14.21875" style="69" customWidth="1"/>
    <col min="4" max="4" width="13.6640625" style="69" customWidth="1"/>
    <col min="5" max="5" width="15.77734375" style="69" customWidth="1"/>
    <col min="6" max="6" width="1.6640625" style="69" customWidth="1"/>
    <col min="7" max="16384" width="9" style="69"/>
  </cols>
  <sheetData>
    <row r="1" spans="1:5" s="68" customFormat="1" ht="20.100000000000001" customHeight="1">
      <c r="A1" s="769" t="str">
        <f>'Rate Case Constants'!C9</f>
        <v>KENTUCKY UTILITIES COMPANY</v>
      </c>
      <c r="B1" s="769"/>
      <c r="C1" s="769"/>
      <c r="D1" s="769"/>
      <c r="E1" s="769"/>
    </row>
    <row r="2" spans="1:5" s="68" customFormat="1" ht="20.100000000000001" customHeight="1">
      <c r="A2" s="769" t="str">
        <f>'Rate Case Constants'!C10</f>
        <v>CASE NO. 2018-00294 - RESPONSE TO PSC 2-65 (SLIPPAGE FACTOR 96.027%)</v>
      </c>
      <c r="B2" s="769"/>
      <c r="C2" s="769"/>
      <c r="D2" s="769"/>
      <c r="E2" s="769"/>
    </row>
    <row r="3" spans="1:5" s="68" customFormat="1" ht="20.100000000000001" customHeight="1">
      <c r="A3" s="769" t="s">
        <v>1435</v>
      </c>
      <c r="B3" s="769"/>
      <c r="C3" s="769"/>
      <c r="D3" s="769"/>
      <c r="E3" s="769"/>
    </row>
    <row r="4" spans="1:5" s="68" customFormat="1" ht="20.100000000000001" customHeight="1">
      <c r="A4" s="768" t="str">
        <f>'Rate Case Constants'!C14</f>
        <v>FROM JANUARY 1, 2018 TO DECEMBER 31, 2018</v>
      </c>
      <c r="B4" s="769"/>
      <c r="C4" s="769"/>
      <c r="D4" s="769"/>
      <c r="E4" s="769"/>
    </row>
    <row r="5" spans="1:5" s="68" customFormat="1" ht="20.100000000000001" customHeight="1">
      <c r="A5" s="138"/>
      <c r="B5" s="138"/>
      <c r="C5" s="138"/>
      <c r="D5" s="138"/>
      <c r="E5" s="138"/>
    </row>
    <row r="6" spans="1:5" s="68" customFormat="1" ht="20.100000000000001" customHeight="1">
      <c r="A6" s="67" t="s">
        <v>133</v>
      </c>
      <c r="C6" s="74"/>
      <c r="E6" s="74" t="s">
        <v>1432</v>
      </c>
    </row>
    <row r="7" spans="1:5" s="68" customFormat="1" ht="20.100000000000001" customHeight="1">
      <c r="A7" s="68" t="str">
        <f>'Rate Case Constants'!C29</f>
        <v>TYPE OF FILING: __X__ ORIGINAL  _____ UPDATED  _____ REVISED</v>
      </c>
      <c r="C7" s="74"/>
      <c r="E7" s="74" t="s">
        <v>177</v>
      </c>
    </row>
    <row r="8" spans="1:5" s="68" customFormat="1" ht="20.100000000000001" customHeight="1">
      <c r="A8" s="67" t="s">
        <v>1198</v>
      </c>
      <c r="C8" s="75"/>
      <c r="E8" s="75" t="str">
        <f>'Rate Case Constants'!C36</f>
        <v>WITNESS:   C. M. GARRETT</v>
      </c>
    </row>
    <row r="9" spans="1:5" s="68" customFormat="1" ht="20.100000000000001" customHeight="1"/>
    <row r="10" spans="1:5" s="68" customFormat="1" ht="20.100000000000001" customHeight="1">
      <c r="A10" s="96"/>
      <c r="B10" s="96"/>
      <c r="C10" s="771" t="s">
        <v>1433</v>
      </c>
      <c r="D10" s="771"/>
      <c r="E10" s="771"/>
    </row>
    <row r="11" spans="1:5" ht="39.75" customHeight="1">
      <c r="A11" s="98" t="s">
        <v>131</v>
      </c>
      <c r="B11" s="161" t="s">
        <v>205</v>
      </c>
      <c r="C11" s="98" t="s">
        <v>1202</v>
      </c>
      <c r="D11" s="98" t="s">
        <v>224</v>
      </c>
      <c r="E11" s="98" t="s">
        <v>1422</v>
      </c>
    </row>
    <row r="12" spans="1:5" ht="23.1" customHeight="1">
      <c r="A12" s="80"/>
      <c r="B12" s="81"/>
      <c r="C12" s="82" t="s">
        <v>142</v>
      </c>
      <c r="D12" s="82"/>
      <c r="E12" s="82" t="s">
        <v>142</v>
      </c>
    </row>
    <row r="13" spans="1:5" ht="23.1" customHeight="1">
      <c r="A13" s="73"/>
      <c r="B13" s="78" t="s">
        <v>1172</v>
      </c>
      <c r="C13" s="95"/>
      <c r="D13" s="95"/>
      <c r="E13" s="95"/>
    </row>
    <row r="14" spans="1:5" ht="18.95" customHeight="1">
      <c r="A14" s="70">
        <v>1</v>
      </c>
      <c r="B14" s="78" t="s">
        <v>1423</v>
      </c>
      <c r="C14" s="86">
        <f>'JURISSEP B'!$E$311</f>
        <v>61292297</v>
      </c>
      <c r="D14" s="130">
        <f>E14/C14</f>
        <v>0.88026422050572484</v>
      </c>
      <c r="E14" s="86">
        <f>'JURISSEP B'!$G$311</f>
        <v>53953416.041710377</v>
      </c>
    </row>
    <row r="15" spans="1:5" ht="18.95" customHeight="1">
      <c r="A15" s="70"/>
      <c r="B15" s="78"/>
      <c r="C15" s="86"/>
      <c r="D15" s="130"/>
      <c r="E15" s="86"/>
    </row>
    <row r="16" spans="1:5" ht="18.95" customHeight="1">
      <c r="A16" s="70">
        <v>2</v>
      </c>
      <c r="B16" s="78" t="s">
        <v>1424</v>
      </c>
      <c r="C16" s="86">
        <f>'JURISSEP B'!$E$318</f>
        <v>62047004</v>
      </c>
      <c r="D16" s="130">
        <f>E16/C16</f>
        <v>0.88826203624083966</v>
      </c>
      <c r="E16" s="86">
        <f>'JURISSEP B'!$G$318</f>
        <v>55113998.115683526</v>
      </c>
    </row>
    <row r="17" spans="1:5" ht="18.95" customHeight="1">
      <c r="A17" s="70"/>
      <c r="B17" s="78"/>
      <c r="C17" s="86"/>
      <c r="D17" s="86"/>
      <c r="E17" s="86"/>
    </row>
    <row r="18" spans="1:5" ht="18.95" customHeight="1">
      <c r="A18" s="70">
        <v>3</v>
      </c>
      <c r="B18" s="78" t="s">
        <v>1427</v>
      </c>
      <c r="C18" s="86">
        <f>'JURISSEP B'!$E$322</f>
        <v>16286108.63695264</v>
      </c>
      <c r="D18" s="130">
        <f>E18/C18</f>
        <v>0.94127552010916504</v>
      </c>
      <c r="E18" s="86">
        <f>'JURISSEP B'!$G$322</f>
        <v>15329715.377801962</v>
      </c>
    </row>
    <row r="19" spans="1:5" ht="18.95" customHeight="1">
      <c r="A19" s="70"/>
      <c r="B19" s="78"/>
      <c r="C19" s="86"/>
      <c r="D19" s="86"/>
      <c r="E19" s="86"/>
    </row>
    <row r="20" spans="1:5" ht="18.95" customHeight="1">
      <c r="A20" s="70">
        <v>4</v>
      </c>
      <c r="B20" s="78" t="s">
        <v>2092</v>
      </c>
      <c r="C20" s="131">
        <f>ROUND('JURISSEP B'!$E$330-'ECR ALLOW'!O5*1000,0)</f>
        <v>0</v>
      </c>
      <c r="D20" s="130">
        <f>'ECR ALLOW'!$O$6</f>
        <v>0.87673530496058716</v>
      </c>
      <c r="E20" s="131">
        <f>ROUND('JURISSEP B'!$G$330-'ECR ALLOW'!O7*1000,0)</f>
        <v>0</v>
      </c>
    </row>
    <row r="21" spans="1:5" ht="18.95" customHeight="1">
      <c r="A21" s="70"/>
      <c r="B21" s="78"/>
      <c r="C21" s="86"/>
      <c r="D21" s="86"/>
      <c r="E21" s="86"/>
    </row>
    <row r="22" spans="1:5" ht="18.95" customHeight="1" thickBot="1">
      <c r="A22" s="70">
        <v>5</v>
      </c>
      <c r="B22" s="78" t="s">
        <v>1434</v>
      </c>
      <c r="C22" s="94">
        <f>SUM(C14:C20)</f>
        <v>139625409.63695264</v>
      </c>
      <c r="D22" s="86"/>
      <c r="E22" s="94">
        <f>SUM(E14:E20)</f>
        <v>124397129.53519586</v>
      </c>
    </row>
    <row r="23" spans="1:5" ht="18.95" customHeight="1" thickTop="1">
      <c r="A23" s="70"/>
      <c r="B23" s="78"/>
      <c r="C23" s="86"/>
      <c r="D23" s="86"/>
      <c r="E23" s="86"/>
    </row>
    <row r="24" spans="1:5" ht="18.95" customHeight="1">
      <c r="A24" s="70"/>
      <c r="B24" s="67" t="s">
        <v>1428</v>
      </c>
      <c r="C24" s="86"/>
      <c r="D24" s="86"/>
      <c r="E24" s="86"/>
    </row>
    <row r="25" spans="1:5" ht="18.95" customHeight="1">
      <c r="A25" s="70"/>
      <c r="B25" s="67" t="s">
        <v>2093</v>
      </c>
      <c r="C25" s="86"/>
      <c r="D25" s="86"/>
      <c r="E25" s="86"/>
    </row>
    <row r="26" spans="1:5" s="68" customFormat="1" ht="20.100000000000001" customHeight="1">
      <c r="A26" s="769" t="str">
        <f>$A$1</f>
        <v>KENTUCKY UTILITIES COMPANY</v>
      </c>
      <c r="B26" s="769"/>
      <c r="C26" s="769"/>
      <c r="D26" s="769"/>
      <c r="E26" s="769"/>
    </row>
    <row r="27" spans="1:5" s="68" customFormat="1" ht="20.100000000000001" customHeight="1">
      <c r="A27" s="769" t="str">
        <f>$A$2</f>
        <v>CASE NO. 2018-00294 - RESPONSE TO PSC 2-65 (SLIPPAGE FACTOR 96.027%)</v>
      </c>
      <c r="B27" s="769"/>
      <c r="C27" s="769"/>
      <c r="D27" s="769"/>
      <c r="E27" s="769"/>
    </row>
    <row r="28" spans="1:5" s="68" customFormat="1" ht="20.100000000000001" customHeight="1">
      <c r="A28" s="769" t="str">
        <f>$A$3</f>
        <v>OTHER WORKING CAPITAL COMPONENTS</v>
      </c>
      <c r="B28" s="769"/>
      <c r="C28" s="769"/>
      <c r="D28" s="769"/>
      <c r="E28" s="769"/>
    </row>
    <row r="29" spans="1:5" s="68" customFormat="1" ht="20.100000000000001" customHeight="1">
      <c r="A29" s="768" t="str">
        <f>'Rate Case Constants'!C20</f>
        <v>FROM MAY 1, 2019 TO APRIL 30, 2020</v>
      </c>
      <c r="B29" s="772"/>
      <c r="C29" s="772"/>
      <c r="D29" s="772"/>
      <c r="E29" s="772"/>
    </row>
    <row r="30" spans="1:5" s="68" customFormat="1" ht="20.100000000000001" customHeight="1">
      <c r="A30" s="138"/>
      <c r="B30" s="138"/>
      <c r="C30" s="138"/>
      <c r="D30" s="138"/>
      <c r="E30" s="138"/>
    </row>
    <row r="31" spans="1:5" s="68" customFormat="1" ht="20.100000000000001" customHeight="1">
      <c r="A31" s="67" t="s">
        <v>161</v>
      </c>
      <c r="C31" s="74"/>
      <c r="E31" s="74" t="s">
        <v>1432</v>
      </c>
    </row>
    <row r="32" spans="1:5" s="68" customFormat="1" ht="20.100000000000001" customHeight="1">
      <c r="A32" s="67" t="str">
        <f>$A$7</f>
        <v>TYPE OF FILING: __X__ ORIGINAL  _____ UPDATED  _____ REVISED</v>
      </c>
      <c r="C32" s="74"/>
      <c r="E32" s="74" t="s">
        <v>185</v>
      </c>
    </row>
    <row r="33" spans="1:5" s="68" customFormat="1" ht="20.100000000000001" customHeight="1">
      <c r="A33" s="67" t="str">
        <f>$A$8</f>
        <v>WORKPAPER REFERENCE NO(S).:</v>
      </c>
      <c r="C33" s="75"/>
      <c r="E33" s="75" t="str">
        <f>$E$8</f>
        <v>WITNESS:   C. M. GARRETT</v>
      </c>
    </row>
    <row r="34" spans="1:5" s="68" customFormat="1" ht="20.100000000000001" customHeight="1"/>
    <row r="35" spans="1:5" s="68" customFormat="1" ht="20.100000000000001" customHeight="1">
      <c r="A35" s="96"/>
      <c r="B35" s="96"/>
      <c r="C35" s="771" t="s">
        <v>1433</v>
      </c>
      <c r="D35" s="771"/>
      <c r="E35" s="771"/>
    </row>
    <row r="36" spans="1:5" ht="39.75" customHeight="1">
      <c r="A36" s="98" t="s">
        <v>131</v>
      </c>
      <c r="B36" s="161" t="s">
        <v>205</v>
      </c>
      <c r="C36" s="98" t="s">
        <v>1202</v>
      </c>
      <c r="D36" s="98" t="s">
        <v>224</v>
      </c>
      <c r="E36" s="98" t="s">
        <v>1422</v>
      </c>
    </row>
    <row r="37" spans="1:5" ht="23.1" customHeight="1">
      <c r="A37" s="80"/>
      <c r="B37" s="81"/>
      <c r="C37" s="82" t="s">
        <v>142</v>
      </c>
      <c r="D37" s="82"/>
      <c r="E37" s="82" t="s">
        <v>142</v>
      </c>
    </row>
    <row r="38" spans="1:5" ht="23.1" customHeight="1">
      <c r="A38" s="73"/>
      <c r="B38" s="78" t="s">
        <v>1172</v>
      </c>
      <c r="C38" s="95"/>
      <c r="D38" s="95"/>
      <c r="E38" s="95"/>
    </row>
    <row r="39" spans="1:5" ht="18.95" customHeight="1">
      <c r="A39" s="70">
        <v>1</v>
      </c>
      <c r="B39" s="78" t="s">
        <v>1423</v>
      </c>
      <c r="C39" s="86">
        <f>'JURISSEP F'!$E$311</f>
        <v>62955456.000000007</v>
      </c>
      <c r="D39" s="130">
        <f>E39/C39</f>
        <v>0.94100915957131559</v>
      </c>
      <c r="E39" s="86">
        <f>'JURISSEP F'!$G$311</f>
        <v>59241660.740988947</v>
      </c>
    </row>
    <row r="40" spans="1:5" ht="18.95" customHeight="1">
      <c r="A40" s="70"/>
      <c r="B40" s="78"/>
      <c r="C40" s="86"/>
      <c r="D40" s="130"/>
      <c r="E40" s="86"/>
    </row>
    <row r="41" spans="1:5" ht="18.95" customHeight="1">
      <c r="A41" s="70">
        <v>2</v>
      </c>
      <c r="B41" s="78" t="s">
        <v>1424</v>
      </c>
      <c r="C41" s="86">
        <f>'JURISSEP F'!$E$318</f>
        <v>60204948.999999993</v>
      </c>
      <c r="D41" s="130">
        <f>E41/C41</f>
        <v>0.93152869719073306</v>
      </c>
      <c r="E41" s="86">
        <f>'JURISSEP F'!$G$318</f>
        <v>56082637.706404522</v>
      </c>
    </row>
    <row r="42" spans="1:5" ht="18.95" customHeight="1">
      <c r="A42" s="70"/>
      <c r="B42" s="78"/>
      <c r="C42" s="86"/>
      <c r="D42" s="86"/>
      <c r="E42" s="86"/>
    </row>
    <row r="43" spans="1:5" ht="18.95" customHeight="1">
      <c r="A43" s="70">
        <v>3</v>
      </c>
      <c r="B43" s="78" t="s">
        <v>1427</v>
      </c>
      <c r="C43" s="86">
        <f>'JURISSEP F'!$E$322</f>
        <v>15827640.363883544</v>
      </c>
      <c r="D43" s="130">
        <f>E43/C43</f>
        <v>0.98590869294007144</v>
      </c>
      <c r="E43" s="86">
        <f>'JURISSEP F'!$G$322</f>
        <v>15604608.223481942</v>
      </c>
    </row>
    <row r="44" spans="1:5" ht="18.95" customHeight="1">
      <c r="A44" s="70"/>
      <c r="B44" s="78"/>
      <c r="C44" s="86"/>
      <c r="D44" s="86"/>
      <c r="E44" s="86"/>
    </row>
    <row r="45" spans="1:5" ht="18.95" customHeight="1">
      <c r="A45" s="70">
        <v>4</v>
      </c>
      <c r="B45" s="78" t="s">
        <v>2092</v>
      </c>
      <c r="C45" s="131">
        <f>ROUND('JURISSEP F'!$E$330-'ECR ALLOW'!AF5*1000,0)</f>
        <v>0</v>
      </c>
      <c r="D45" s="130">
        <f>'ECR ALLOW'!$AF$6</f>
        <v>0.93741603079505242</v>
      </c>
      <c r="E45" s="131">
        <f>ROUND('JURISSEP F'!$G$330-'ECR ALLOW'!AF7*1000,0)</f>
        <v>0</v>
      </c>
    </row>
    <row r="46" spans="1:5" ht="18.95" customHeight="1">
      <c r="A46" s="70"/>
      <c r="B46" s="78"/>
      <c r="C46" s="86"/>
      <c r="D46" s="86"/>
      <c r="E46" s="86"/>
    </row>
    <row r="47" spans="1:5" ht="18.95" customHeight="1" thickBot="1">
      <c r="A47" s="70">
        <v>5</v>
      </c>
      <c r="B47" s="78" t="s">
        <v>1434</v>
      </c>
      <c r="C47" s="94">
        <f>SUM(C39:C45)</f>
        <v>138988045.36388355</v>
      </c>
      <c r="D47" s="86"/>
      <c r="E47" s="94">
        <f>SUM(E39:E45)</f>
        <v>130928906.67087542</v>
      </c>
    </row>
    <row r="48" spans="1:5" ht="18.95" customHeight="1" thickTop="1">
      <c r="A48" s="70"/>
      <c r="B48" s="78"/>
      <c r="C48" s="86"/>
      <c r="D48" s="86"/>
      <c r="E48" s="86"/>
    </row>
    <row r="49" spans="1:5" ht="18.95" customHeight="1">
      <c r="A49" s="70"/>
      <c r="B49" s="67" t="s">
        <v>1428</v>
      </c>
      <c r="C49" s="86"/>
      <c r="D49" s="86"/>
      <c r="E49" s="86"/>
    </row>
    <row r="50" spans="1:5" ht="18.95" customHeight="1">
      <c r="B50" s="67" t="s">
        <v>2093</v>
      </c>
    </row>
    <row r="51" spans="1:5" ht="18.95" customHeight="1"/>
  </sheetData>
  <mergeCells count="10">
    <mergeCell ref="A28:E28"/>
    <mergeCell ref="A29:E29"/>
    <mergeCell ref="C10:E10"/>
    <mergeCell ref="C35:E35"/>
    <mergeCell ref="A1:E1"/>
    <mergeCell ref="A2:E2"/>
    <mergeCell ref="A3:E3"/>
    <mergeCell ref="A4:E4"/>
    <mergeCell ref="A26:E26"/>
    <mergeCell ref="A27:E27"/>
  </mergeCells>
  <printOptions horizontalCentered="1"/>
  <pageMargins left="0.95" right="0.5" top="0.75" bottom="0.75" header="0.3" footer="0.3"/>
  <pageSetup scale="85" fitToHeight="0" orientation="portrait" r:id="rId1"/>
  <rowBreaks count="1" manualBreakCount="1">
    <brk id="2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zoomScale="85" zoomScaleNormal="85" workbookViewId="0">
      <pane xSplit="2" ySplit="10" topLeftCell="C53" activePane="bottomRight" state="frozen"/>
      <selection activeCell="K45" sqref="K45"/>
      <selection pane="topRight" activeCell="K45" sqref="K45"/>
      <selection pane="bottomLeft" activeCell="K45" sqref="K45"/>
      <selection pane="bottomRight" activeCell="G81" sqref="G81"/>
    </sheetView>
  </sheetViews>
  <sheetFormatPr defaultRowHeight="12.75"/>
  <cols>
    <col min="1" max="1" width="5.44140625" style="646" customWidth="1"/>
    <col min="2" max="2" width="42.109375" style="581" bestFit="1" customWidth="1"/>
    <col min="3" max="3" width="14.77734375" style="584" customWidth="1"/>
    <col min="4" max="4" width="2.109375" style="584" customWidth="1"/>
    <col min="5" max="5" width="9.21875" style="585" customWidth="1"/>
    <col min="6" max="6" width="2" style="585" customWidth="1"/>
    <col min="7" max="7" width="14.77734375" style="584" customWidth="1"/>
    <col min="8" max="8" width="2.21875" style="584" customWidth="1"/>
    <col min="9" max="9" width="10.33203125" style="584" customWidth="1"/>
    <col min="10" max="10" width="2.44140625" style="584" customWidth="1"/>
    <col min="11" max="11" width="8.77734375" style="584" customWidth="1"/>
    <col min="12" max="12" width="2" style="584" customWidth="1"/>
    <col min="13" max="13" width="9.77734375" style="586" customWidth="1"/>
    <col min="14" max="14" width="2.109375" style="586" customWidth="1"/>
    <col min="15" max="15" width="9.77734375" style="584" customWidth="1"/>
    <col min="16" max="16" width="2.5546875" style="584" customWidth="1"/>
    <col min="17" max="17" width="13.77734375" style="584" customWidth="1"/>
    <col min="18" max="18" width="10.88671875" style="581" customWidth="1"/>
    <col min="19" max="19" width="8.88671875" style="581"/>
    <col min="20" max="20" width="14" style="581" customWidth="1"/>
    <col min="21" max="16384" width="8.88671875" style="581"/>
  </cols>
  <sheetData>
    <row r="1" spans="1:18" ht="15.95" customHeight="1">
      <c r="A1" s="773" t="str">
        <f>'Rate Case Constants'!C9</f>
        <v>KENTUCKY UTILITIES COMPANY</v>
      </c>
      <c r="B1" s="773"/>
      <c r="C1" s="773"/>
      <c r="D1" s="773"/>
      <c r="E1" s="773"/>
      <c r="F1" s="773"/>
      <c r="G1" s="773"/>
      <c r="H1" s="773"/>
      <c r="I1" s="773"/>
      <c r="J1" s="773"/>
      <c r="K1" s="773"/>
      <c r="L1" s="773"/>
      <c r="M1" s="773"/>
      <c r="N1" s="773"/>
      <c r="O1" s="773"/>
      <c r="P1" s="773"/>
      <c r="Q1" s="773"/>
      <c r="R1" s="580"/>
    </row>
    <row r="2" spans="1:18" ht="15.95" customHeight="1">
      <c r="A2" s="773" t="str">
        <f>'Rate Case Constants'!C10</f>
        <v>CASE NO. 2018-00294 - RESPONSE TO PSC 2-65 (SLIPPAGE FACTOR 96.027%)</v>
      </c>
      <c r="B2" s="773"/>
      <c r="C2" s="773"/>
      <c r="D2" s="773"/>
      <c r="E2" s="773"/>
      <c r="F2" s="773"/>
      <c r="G2" s="773"/>
      <c r="H2" s="773"/>
      <c r="I2" s="773"/>
      <c r="J2" s="773"/>
      <c r="K2" s="773"/>
      <c r="L2" s="773"/>
      <c r="M2" s="773"/>
      <c r="N2" s="773"/>
      <c r="O2" s="773"/>
      <c r="P2" s="773"/>
      <c r="Q2" s="773"/>
      <c r="R2" s="580"/>
    </row>
    <row r="3" spans="1:18" ht="15.95" customHeight="1">
      <c r="A3" s="773" t="s">
        <v>1436</v>
      </c>
      <c r="B3" s="773"/>
      <c r="C3" s="773"/>
      <c r="D3" s="773"/>
      <c r="E3" s="773"/>
      <c r="F3" s="773"/>
      <c r="G3" s="773"/>
      <c r="H3" s="773"/>
      <c r="I3" s="773"/>
      <c r="J3" s="773"/>
      <c r="K3" s="773"/>
      <c r="L3" s="773"/>
      <c r="M3" s="773"/>
      <c r="N3" s="773"/>
      <c r="O3" s="773"/>
      <c r="P3" s="773"/>
      <c r="Q3" s="773"/>
      <c r="R3" s="580"/>
    </row>
    <row r="4" spans="1:18" ht="15.95" customHeight="1">
      <c r="A4" s="773" t="str">
        <f>'Rate Case Constants'!C15</f>
        <v>BASE YEAR FOR THE 12 MONTHS ENDED DECEMBER 31, 2018</v>
      </c>
      <c r="B4" s="773"/>
      <c r="C4" s="773"/>
      <c r="D4" s="773"/>
      <c r="E4" s="773"/>
      <c r="F4" s="773"/>
      <c r="G4" s="773"/>
      <c r="H4" s="773"/>
      <c r="I4" s="773"/>
      <c r="J4" s="773"/>
      <c r="K4" s="773"/>
      <c r="L4" s="773"/>
      <c r="M4" s="773"/>
      <c r="N4" s="773"/>
      <c r="O4" s="773"/>
      <c r="P4" s="773"/>
      <c r="Q4" s="773"/>
      <c r="R4" s="580"/>
    </row>
    <row r="5" spans="1:18" ht="15.95" customHeight="1">
      <c r="A5" s="645"/>
      <c r="B5" s="645"/>
      <c r="C5" s="645"/>
      <c r="D5" s="645"/>
      <c r="E5" s="645"/>
      <c r="F5" s="645"/>
      <c r="G5" s="645"/>
      <c r="H5" s="645"/>
      <c r="I5" s="645"/>
      <c r="J5" s="645"/>
      <c r="K5" s="645"/>
      <c r="L5" s="645"/>
      <c r="M5" s="645"/>
      <c r="N5" s="645"/>
      <c r="O5" s="645"/>
      <c r="P5" s="645"/>
      <c r="Q5" s="645"/>
      <c r="R5" s="580"/>
    </row>
    <row r="6" spans="1:18" ht="15.95" customHeight="1">
      <c r="A6" s="67" t="s">
        <v>133</v>
      </c>
      <c r="B6" s="645"/>
      <c r="C6" s="645"/>
      <c r="D6" s="645"/>
      <c r="E6" s="645"/>
      <c r="F6" s="645"/>
      <c r="G6" s="645"/>
      <c r="H6" s="645"/>
      <c r="I6" s="645"/>
      <c r="J6" s="645"/>
      <c r="K6" s="645"/>
      <c r="L6" s="645"/>
      <c r="M6" s="645"/>
      <c r="N6" s="645"/>
      <c r="O6" s="645"/>
      <c r="P6" s="645"/>
      <c r="Q6" s="75" t="s">
        <v>1437</v>
      </c>
      <c r="R6" s="580"/>
    </row>
    <row r="7" spans="1:18" ht="15.95" customHeight="1">
      <c r="A7" s="67" t="str">
        <f>'Rate Case Constants'!C29</f>
        <v>TYPE OF FILING: __X__ ORIGINAL  _____ UPDATED  _____ REVISED</v>
      </c>
      <c r="B7" s="645"/>
      <c r="C7" s="645"/>
      <c r="D7" s="645"/>
      <c r="E7" s="645"/>
      <c r="F7" s="645"/>
      <c r="G7" s="645"/>
      <c r="H7" s="645"/>
      <c r="I7" s="645"/>
      <c r="J7" s="645"/>
      <c r="K7" s="645"/>
      <c r="L7" s="645"/>
      <c r="M7" s="645"/>
      <c r="N7" s="645"/>
      <c r="O7" s="645"/>
      <c r="P7" s="645"/>
      <c r="Q7" s="75" t="s">
        <v>173</v>
      </c>
      <c r="R7" s="580"/>
    </row>
    <row r="8" spans="1:18" ht="15.95" customHeight="1">
      <c r="A8" s="67" t="s">
        <v>1198</v>
      </c>
      <c r="B8" s="646"/>
      <c r="C8" s="646"/>
      <c r="D8" s="646"/>
      <c r="E8" s="646"/>
      <c r="F8" s="646"/>
      <c r="G8" s="646"/>
      <c r="H8" s="646"/>
      <c r="I8" s="646"/>
      <c r="J8" s="646"/>
      <c r="K8" s="646"/>
      <c r="L8" s="646"/>
      <c r="M8" s="646"/>
      <c r="N8" s="646"/>
      <c r="O8" s="646"/>
      <c r="P8" s="646"/>
      <c r="Q8" s="75" t="str">
        <f>'Rate Case Constants'!C36</f>
        <v>WITNESS:   C. M. GARRETT</v>
      </c>
      <c r="R8" s="583"/>
    </row>
    <row r="9" spans="1:18" ht="15.95" customHeight="1"/>
    <row r="10" spans="1:18" s="587" customFormat="1" ht="50.1" customHeight="1">
      <c r="A10" s="159" t="s">
        <v>131</v>
      </c>
      <c r="B10" s="159" t="s">
        <v>205</v>
      </c>
      <c r="C10" s="159" t="s">
        <v>2660</v>
      </c>
      <c r="D10" s="160"/>
      <c r="E10" s="159" t="s">
        <v>2585</v>
      </c>
      <c r="F10" s="160"/>
      <c r="G10" s="159" t="s">
        <v>2665</v>
      </c>
      <c r="H10" s="160"/>
      <c r="I10" s="159" t="s">
        <v>2587</v>
      </c>
      <c r="J10" s="160"/>
      <c r="K10" s="159" t="s">
        <v>2588</v>
      </c>
      <c r="L10" s="160"/>
      <c r="M10" s="159" t="s">
        <v>2589</v>
      </c>
      <c r="N10" s="160"/>
      <c r="O10" s="159" t="s">
        <v>2590</v>
      </c>
      <c r="P10" s="160"/>
      <c r="Q10" s="159" t="s">
        <v>2591</v>
      </c>
    </row>
    <row r="11" spans="1:18" ht="15.95" customHeight="1">
      <c r="B11" s="581" t="s">
        <v>2592</v>
      </c>
    </row>
    <row r="12" spans="1:18" ht="15.95" customHeight="1">
      <c r="A12" s="646">
        <v>1</v>
      </c>
      <c r="B12" s="588" t="s">
        <v>2593</v>
      </c>
      <c r="C12" s="589">
        <v>348987834.38999999</v>
      </c>
      <c r="D12" s="590"/>
      <c r="E12" s="591">
        <v>0.88026422050572484</v>
      </c>
      <c r="F12" s="592"/>
      <c r="G12" s="589">
        <v>307201504.00529432</v>
      </c>
      <c r="H12" s="593"/>
      <c r="I12" s="593">
        <v>841647.95617888856</v>
      </c>
      <c r="K12" s="586">
        <v>45.298333333333332</v>
      </c>
      <c r="L12" s="586"/>
      <c r="M12" s="586">
        <v>-27.28</v>
      </c>
      <c r="O12" s="586">
        <f>K12+M12</f>
        <v>18.018333333333331</v>
      </c>
      <c r="P12" s="586"/>
      <c r="Q12" s="593">
        <f>I12*O12</f>
        <v>15165093.423749939</v>
      </c>
    </row>
    <row r="13" spans="1:18" ht="15.95" customHeight="1">
      <c r="A13" s="646">
        <f>A12+1</f>
        <v>2</v>
      </c>
      <c r="B13" s="588" t="s">
        <v>2594</v>
      </c>
      <c r="C13" s="589">
        <v>135223358.36000001</v>
      </c>
      <c r="D13" s="590"/>
      <c r="E13" s="591">
        <v>0.88026422050572484</v>
      </c>
      <c r="F13" s="592"/>
      <c r="G13" s="589">
        <v>119032284.1409317</v>
      </c>
      <c r="H13" s="593"/>
      <c r="I13" s="593">
        <v>326115.8469614567</v>
      </c>
      <c r="K13" s="586">
        <v>45.298333333333332</v>
      </c>
      <c r="L13" s="586"/>
      <c r="M13" s="586">
        <v>-39.32</v>
      </c>
      <c r="O13" s="586">
        <f t="shared" ref="O13:O26" si="0">K13+M13</f>
        <v>5.9783333333333317</v>
      </c>
      <c r="P13" s="586"/>
      <c r="Q13" s="593">
        <f t="shared" ref="Q13:Q26" si="1">I13*O13</f>
        <v>1949629.2384179081</v>
      </c>
    </row>
    <row r="14" spans="1:18" ht="15.95" customHeight="1">
      <c r="A14" s="646">
        <f>A13+1</f>
        <v>3</v>
      </c>
      <c r="B14" s="588" t="s">
        <v>2595</v>
      </c>
      <c r="C14" s="589">
        <v>2926001.78</v>
      </c>
      <c r="D14" s="590"/>
      <c r="E14" s="591">
        <v>0.88026422050572484</v>
      </c>
      <c r="F14" s="592"/>
      <c r="G14" s="589">
        <v>2575654.6760700634</v>
      </c>
      <c r="H14" s="593"/>
      <c r="I14" s="593">
        <v>7056.5881536166116</v>
      </c>
      <c r="K14" s="586">
        <v>45.298333333333332</v>
      </c>
      <c r="L14" s="586"/>
      <c r="M14" s="586">
        <v>-17.32</v>
      </c>
      <c r="O14" s="586">
        <f t="shared" si="0"/>
        <v>27.978333333333332</v>
      </c>
      <c r="P14" s="586"/>
      <c r="Q14" s="593">
        <f t="shared" si="1"/>
        <v>197431.57555793677</v>
      </c>
    </row>
    <row r="15" spans="1:18" ht="15.95" customHeight="1">
      <c r="A15" s="646">
        <f>A14+1</f>
        <v>4</v>
      </c>
      <c r="B15" s="588" t="s">
        <v>2596</v>
      </c>
      <c r="C15" s="589">
        <v>12110761.810000001</v>
      </c>
      <c r="D15" s="590"/>
      <c r="E15" s="591">
        <v>0.88026422050572484</v>
      </c>
      <c r="F15" s="592"/>
      <c r="G15" s="589">
        <v>10660670.304410152</v>
      </c>
      <c r="H15" s="593"/>
      <c r="I15" s="593">
        <v>29207.315902493567</v>
      </c>
      <c r="K15" s="586">
        <v>45.298333333333332</v>
      </c>
      <c r="L15" s="586"/>
      <c r="M15" s="586">
        <v>-27.76</v>
      </c>
      <c r="O15" s="586">
        <f t="shared" si="0"/>
        <v>17.53833333333333</v>
      </c>
      <c r="P15" s="586"/>
      <c r="Q15" s="593">
        <f t="shared" si="1"/>
        <v>512247.64206989959</v>
      </c>
    </row>
    <row r="16" spans="1:18" ht="15.95" customHeight="1">
      <c r="A16" s="646">
        <f>A15+1</f>
        <v>5</v>
      </c>
      <c r="B16" s="588" t="s">
        <v>2597</v>
      </c>
      <c r="C16" s="594">
        <v>48697919.591911793</v>
      </c>
      <c r="D16" s="590"/>
      <c r="E16" s="591">
        <v>0.87957226479489437</v>
      </c>
      <c r="F16" s="592"/>
      <c r="G16" s="594">
        <v>42833339.426257513</v>
      </c>
      <c r="H16" s="593"/>
      <c r="I16" s="593">
        <v>117351.61486645894</v>
      </c>
      <c r="K16" s="586">
        <v>45.298333333333332</v>
      </c>
      <c r="L16" s="586"/>
      <c r="M16" s="586">
        <v>-23.664370061149086</v>
      </c>
      <c r="O16" s="586">
        <f t="shared" si="0"/>
        <v>21.633963272184246</v>
      </c>
      <c r="P16" s="586"/>
      <c r="Q16" s="593">
        <f t="shared" si="1"/>
        <v>2538780.5259524835</v>
      </c>
    </row>
    <row r="17" spans="1:17" ht="15.95" customHeight="1">
      <c r="A17" s="646">
        <f>A16+1</f>
        <v>6</v>
      </c>
      <c r="B17" s="588" t="s">
        <v>2598</v>
      </c>
      <c r="C17" s="589">
        <v>42371664.789999992</v>
      </c>
      <c r="D17" s="590"/>
      <c r="E17" s="591">
        <v>0.90502527949833722</v>
      </c>
      <c r="F17" s="592"/>
      <c r="G17" s="589">
        <v>38347427.769379593</v>
      </c>
      <c r="H17" s="593"/>
      <c r="I17" s="593">
        <v>105061.44594350574</v>
      </c>
      <c r="K17" s="586">
        <v>45.298333333333332</v>
      </c>
      <c r="L17" s="586"/>
      <c r="M17" s="586">
        <v>-13.010845763287058</v>
      </c>
      <c r="O17" s="586">
        <f t="shared" si="0"/>
        <v>32.287487570046274</v>
      </c>
      <c r="P17" s="586"/>
      <c r="Q17" s="593">
        <f t="shared" si="1"/>
        <v>3392170.1299920301</v>
      </c>
    </row>
    <row r="18" spans="1:17" ht="15.95" customHeight="1">
      <c r="A18" s="646">
        <f t="shared" ref="A18:A24" si="2">A17+1</f>
        <v>7</v>
      </c>
      <c r="B18" s="588" t="s">
        <v>2599</v>
      </c>
      <c r="C18" s="589">
        <v>-1079789.29</v>
      </c>
      <c r="D18" s="590"/>
      <c r="E18" s="591">
        <v>0.90502527949833722</v>
      </c>
      <c r="F18" s="592"/>
      <c r="G18" s="589">
        <v>-977236.60398156114</v>
      </c>
      <c r="H18" s="593"/>
      <c r="I18" s="593">
        <v>-2677.360558853592</v>
      </c>
      <c r="K18" s="586">
        <v>45.298333333333332</v>
      </c>
      <c r="L18" s="586"/>
      <c r="M18" s="586">
        <v>0</v>
      </c>
      <c r="O18" s="586">
        <f t="shared" si="0"/>
        <v>45.298333333333332</v>
      </c>
      <c r="P18" s="586"/>
      <c r="Q18" s="593">
        <f t="shared" si="1"/>
        <v>-121279.97104846963</v>
      </c>
    </row>
    <row r="19" spans="1:17" ht="15.95" customHeight="1">
      <c r="A19" s="646">
        <f t="shared" si="2"/>
        <v>8</v>
      </c>
      <c r="B19" s="588" t="s">
        <v>2600</v>
      </c>
      <c r="C19" s="589">
        <v>636151.72000000009</v>
      </c>
      <c r="D19" s="590"/>
      <c r="E19" s="591">
        <v>0.90502527949833722</v>
      </c>
      <c r="F19" s="592"/>
      <c r="G19" s="589">
        <v>575733.3881963481</v>
      </c>
      <c r="H19" s="593"/>
      <c r="I19" s="593">
        <v>1577.3517484831455</v>
      </c>
      <c r="K19" s="586">
        <v>45.298333333333332</v>
      </c>
      <c r="L19" s="586"/>
      <c r="M19" s="586">
        <v>0</v>
      </c>
      <c r="O19" s="586">
        <f t="shared" si="0"/>
        <v>45.298333333333332</v>
      </c>
      <c r="P19" s="586"/>
      <c r="Q19" s="593">
        <f t="shared" si="1"/>
        <v>71451.405286705689</v>
      </c>
    </row>
    <row r="20" spans="1:17" ht="15.95" customHeight="1">
      <c r="A20" s="646">
        <f>A19+1</f>
        <v>9</v>
      </c>
      <c r="B20" s="588" t="s">
        <v>2601</v>
      </c>
      <c r="C20" s="589">
        <v>3611027.5539999995</v>
      </c>
      <c r="D20" s="590"/>
      <c r="E20" s="591">
        <v>0.90502527949833722</v>
      </c>
      <c r="F20" s="592"/>
      <c r="G20" s="589">
        <v>3268071.2213350465</v>
      </c>
      <c r="H20" s="593"/>
      <c r="I20" s="593">
        <v>8953.6197844795788</v>
      </c>
      <c r="K20" s="586">
        <v>45.298333333333332</v>
      </c>
      <c r="L20" s="586"/>
      <c r="M20" s="586">
        <v>-244.79</v>
      </c>
      <c r="O20" s="586">
        <f t="shared" si="0"/>
        <v>-199.49166666666667</v>
      </c>
      <c r="P20" s="586"/>
      <c r="Q20" s="593">
        <f t="shared" si="1"/>
        <v>-1786172.5335054721</v>
      </c>
    </row>
    <row r="21" spans="1:17" ht="15.95" customHeight="1">
      <c r="A21" s="646">
        <f>A20+1</f>
        <v>10</v>
      </c>
      <c r="B21" s="588" t="s">
        <v>2602</v>
      </c>
      <c r="C21" s="589">
        <v>2028494.31</v>
      </c>
      <c r="D21" s="590"/>
      <c r="E21" s="591">
        <v>0.90502527949833722</v>
      </c>
      <c r="F21" s="592"/>
      <c r="G21" s="589">
        <v>1835838.6298685367</v>
      </c>
      <c r="H21" s="593"/>
      <c r="I21" s="593">
        <v>5029.694876352155</v>
      </c>
      <c r="K21" s="586">
        <v>45.298333333333332</v>
      </c>
      <c r="L21" s="586"/>
      <c r="M21" s="586">
        <v>-22.558255780356177</v>
      </c>
      <c r="O21" s="586">
        <f t="shared" si="0"/>
        <v>22.740077552977155</v>
      </c>
      <c r="P21" s="586"/>
      <c r="Q21" s="593">
        <f t="shared" si="1"/>
        <v>114375.65155605985</v>
      </c>
    </row>
    <row r="22" spans="1:17" ht="15.95" customHeight="1">
      <c r="A22" s="646">
        <f t="shared" si="2"/>
        <v>11</v>
      </c>
      <c r="B22" s="588" t="s">
        <v>2603</v>
      </c>
      <c r="C22" s="589">
        <v>732356.45</v>
      </c>
      <c r="D22" s="590"/>
      <c r="E22" s="591">
        <v>0.90502527949833722</v>
      </c>
      <c r="F22" s="592"/>
      <c r="G22" s="589">
        <v>662801.10085366003</v>
      </c>
      <c r="H22" s="593"/>
      <c r="I22" s="593">
        <v>1815.8934269963288</v>
      </c>
      <c r="K22" s="586">
        <v>45.298333333333332</v>
      </c>
      <c r="L22" s="586"/>
      <c r="M22" s="586">
        <v>-283.5</v>
      </c>
      <c r="O22" s="586">
        <f t="shared" si="0"/>
        <v>-238.20166666666665</v>
      </c>
      <c r="P22" s="586"/>
      <c r="Q22" s="593">
        <f t="shared" si="1"/>
        <v>-432548.84079957049</v>
      </c>
    </row>
    <row r="23" spans="1:17" ht="15.95" customHeight="1">
      <c r="A23" s="646">
        <f t="shared" si="2"/>
        <v>12</v>
      </c>
      <c r="B23" s="588" t="s">
        <v>2604</v>
      </c>
      <c r="C23" s="594">
        <v>4726254.5199999996</v>
      </c>
      <c r="E23" s="591">
        <v>0.94943492291049292</v>
      </c>
      <c r="F23" s="592"/>
      <c r="G23" s="589">
        <v>4487271.0958515685</v>
      </c>
      <c r="H23" s="593"/>
      <c r="I23" s="593">
        <v>12293.893413291969</v>
      </c>
      <c r="K23" s="586">
        <v>45.298333333333332</v>
      </c>
      <c r="L23" s="586"/>
      <c r="M23" s="586">
        <v>-131.69914670445385</v>
      </c>
      <c r="O23" s="586">
        <f t="shared" si="0"/>
        <v>-86.40081337112052</v>
      </c>
      <c r="P23" s="586"/>
      <c r="Q23" s="593">
        <f t="shared" si="1"/>
        <v>-1062202.3904062873</v>
      </c>
    </row>
    <row r="24" spans="1:17" ht="15.95" customHeight="1">
      <c r="A24" s="646">
        <f t="shared" si="2"/>
        <v>13</v>
      </c>
      <c r="B24" s="588" t="s">
        <v>2605</v>
      </c>
      <c r="C24" s="589">
        <v>2535225</v>
      </c>
      <c r="E24" s="591">
        <v>0.942458522423258</v>
      </c>
      <c r="F24" s="592"/>
      <c r="G24" s="589">
        <v>2389344.4075105041</v>
      </c>
      <c r="H24" s="593"/>
      <c r="I24" s="593">
        <v>6546.1490616726142</v>
      </c>
      <c r="K24" s="586">
        <v>45.298333333333332</v>
      </c>
      <c r="L24" s="586"/>
      <c r="M24" s="586">
        <v>-41.741641520962055</v>
      </c>
      <c r="O24" s="586">
        <f t="shared" si="0"/>
        <v>3.5566918123712767</v>
      </c>
      <c r="P24" s="586"/>
      <c r="Q24" s="593">
        <f t="shared" si="1"/>
        <v>23282.634770212902</v>
      </c>
    </row>
    <row r="25" spans="1:17" ht="15.95" customHeight="1">
      <c r="A25" s="646">
        <f>A24+1</f>
        <v>14</v>
      </c>
      <c r="B25" s="588" t="s">
        <v>2606</v>
      </c>
      <c r="C25" s="589">
        <v>172709188.13</v>
      </c>
      <c r="E25" s="591">
        <v>0.89088063789608496</v>
      </c>
      <c r="F25" s="592"/>
      <c r="G25" s="589">
        <v>153863271.69176933</v>
      </c>
      <c r="H25" s="593"/>
      <c r="I25" s="593">
        <v>421543.21011443652</v>
      </c>
      <c r="K25" s="586">
        <v>45.298333333333332</v>
      </c>
      <c r="L25" s="586"/>
      <c r="M25" s="586">
        <v>-25.38804860890605</v>
      </c>
      <c r="O25" s="586">
        <f t="shared" si="0"/>
        <v>19.910284724427282</v>
      </c>
      <c r="P25" s="586"/>
      <c r="Q25" s="593">
        <f t="shared" si="1"/>
        <v>8393045.337027505</v>
      </c>
    </row>
    <row r="26" spans="1:17" ht="15.95" customHeight="1">
      <c r="A26" s="646">
        <f>A25+1</f>
        <v>15</v>
      </c>
      <c r="B26" s="588" t="s">
        <v>2607</v>
      </c>
      <c r="C26" s="606">
        <v>192860783.89287043</v>
      </c>
      <c r="D26" s="595"/>
      <c r="E26" s="591">
        <v>0.91327109873215351</v>
      </c>
      <c r="F26" s="592"/>
      <c r="G26" s="606">
        <v>176134180.00818619</v>
      </c>
      <c r="H26" s="596"/>
      <c r="I26" s="593">
        <v>482559.39728270192</v>
      </c>
      <c r="K26" s="586">
        <v>45.298333333333332</v>
      </c>
      <c r="L26" s="586"/>
      <c r="M26" s="586">
        <v>-48.047788467578023</v>
      </c>
      <c r="O26" s="586">
        <f t="shared" si="0"/>
        <v>-2.7494551342446911</v>
      </c>
      <c r="P26" s="586"/>
      <c r="Q26" s="597">
        <f t="shared" si="1"/>
        <v>-1326775.4124369484</v>
      </c>
    </row>
    <row r="27" spans="1:17" ht="15.95" customHeight="1">
      <c r="A27" s="646">
        <f>A26+1</f>
        <v>16</v>
      </c>
      <c r="B27" s="598" t="s">
        <v>2608</v>
      </c>
      <c r="C27" s="589">
        <v>969077233.00878215</v>
      </c>
      <c r="D27" s="599"/>
      <c r="E27" s="591"/>
      <c r="F27" s="592"/>
      <c r="G27" s="589">
        <v>862890155.26193297</v>
      </c>
      <c r="H27" s="593"/>
      <c r="I27" s="593"/>
      <c r="K27" s="586"/>
      <c r="L27" s="586"/>
      <c r="O27" s="586"/>
      <c r="P27" s="586"/>
      <c r="Q27" s="593">
        <f>SUM(Q12:Q26)</f>
        <v>27628528.416183934</v>
      </c>
    </row>
    <row r="28" spans="1:17" ht="15.95" customHeight="1">
      <c r="B28" s="598"/>
      <c r="C28" s="600">
        <v>0</v>
      </c>
      <c r="D28" s="599"/>
      <c r="E28" s="591"/>
      <c r="F28" s="592"/>
      <c r="G28" s="589">
        <v>-3.4255208447575569E-8</v>
      </c>
      <c r="I28" s="601"/>
      <c r="K28" s="586"/>
      <c r="L28" s="586"/>
      <c r="O28" s="586"/>
      <c r="P28" s="586"/>
    </row>
    <row r="29" spans="1:17" ht="15.95" customHeight="1">
      <c r="A29" s="646">
        <f>A27+1</f>
        <v>17</v>
      </c>
      <c r="B29" s="581" t="s">
        <v>2609</v>
      </c>
      <c r="C29" s="602"/>
      <c r="E29" s="591"/>
      <c r="F29" s="592"/>
      <c r="G29" s="602"/>
      <c r="I29" s="593"/>
      <c r="K29" s="586"/>
      <c r="L29" s="586"/>
      <c r="O29" s="586"/>
      <c r="P29" s="586"/>
      <c r="Q29" s="593"/>
    </row>
    <row r="30" spans="1:17" ht="15.95" customHeight="1">
      <c r="A30" s="646">
        <f>A29+1</f>
        <v>18</v>
      </c>
      <c r="B30" s="588" t="s">
        <v>2610</v>
      </c>
      <c r="C30" s="589">
        <v>275741746.78501463</v>
      </c>
      <c r="E30" s="591">
        <v>0.88953038040733245</v>
      </c>
      <c r="F30" s="592"/>
      <c r="G30" s="589">
        <v>245280660.91185641</v>
      </c>
      <c r="I30" s="593">
        <v>672001.81071741483</v>
      </c>
      <c r="K30" s="586">
        <v>45.298333333333332</v>
      </c>
      <c r="L30" s="586"/>
      <c r="M30" s="586">
        <v>0</v>
      </c>
      <c r="O30" s="586">
        <f>K30+M30</f>
        <v>45.298333333333332</v>
      </c>
      <c r="P30" s="586"/>
      <c r="Q30" s="593">
        <f>I30*O30</f>
        <v>30440562.022481028</v>
      </c>
    </row>
    <row r="31" spans="1:17" ht="15.95" customHeight="1">
      <c r="A31" s="646">
        <f>A30+1</f>
        <v>19</v>
      </c>
      <c r="B31" s="588" t="s">
        <v>2611</v>
      </c>
      <c r="C31" s="589">
        <v>5423472.9843401499</v>
      </c>
      <c r="E31" s="591">
        <v>0.65657482667216438</v>
      </c>
      <c r="F31" s="592"/>
      <c r="G31" s="589">
        <v>3560915.8346543</v>
      </c>
      <c r="I31" s="593">
        <v>9755.9337935734238</v>
      </c>
      <c r="K31" s="586">
        <v>45.298333333333332</v>
      </c>
      <c r="L31" s="586"/>
      <c r="M31" s="586">
        <v>0</v>
      </c>
      <c r="O31" s="586">
        <f>K31+M31</f>
        <v>45.298333333333332</v>
      </c>
      <c r="P31" s="586"/>
      <c r="Q31" s="593">
        <f>I31*O31</f>
        <v>441927.54095922015</v>
      </c>
    </row>
    <row r="32" spans="1:17" ht="15.95" customHeight="1">
      <c r="A32" s="646">
        <f>A31+1</f>
        <v>20</v>
      </c>
      <c r="B32" s="588" t="s">
        <v>2612</v>
      </c>
      <c r="C32" s="589">
        <v>7530170.1481818184</v>
      </c>
      <c r="E32" s="591">
        <v>1</v>
      </c>
      <c r="F32" s="592"/>
      <c r="G32" s="589">
        <v>7530170.1481818184</v>
      </c>
      <c r="I32" s="593">
        <v>20630.603145703612</v>
      </c>
      <c r="K32" s="586">
        <v>45.298333333333332</v>
      </c>
      <c r="L32" s="586"/>
      <c r="M32" s="586">
        <v>0</v>
      </c>
      <c r="O32" s="586">
        <f>K32+M32</f>
        <v>45.298333333333332</v>
      </c>
      <c r="P32" s="586"/>
      <c r="Q32" s="593">
        <f>I32*O32</f>
        <v>934531.93816179736</v>
      </c>
    </row>
    <row r="33" spans="1:20" ht="15.95" customHeight="1">
      <c r="A33" s="646">
        <f>A32+1</f>
        <v>21</v>
      </c>
      <c r="B33" s="588" t="s">
        <v>2613</v>
      </c>
      <c r="C33" s="589">
        <v>-2753782.8000000007</v>
      </c>
      <c r="E33" s="591">
        <v>1</v>
      </c>
      <c r="F33" s="592"/>
      <c r="G33" s="589">
        <v>-2753782.8000000007</v>
      </c>
      <c r="I33" s="593">
        <v>-7544.610410958906</v>
      </c>
      <c r="K33" s="586">
        <v>45.298333333333332</v>
      </c>
      <c r="L33" s="586"/>
      <c r="M33" s="586">
        <v>0</v>
      </c>
      <c r="O33" s="586">
        <f>K33+M33</f>
        <v>45.298333333333332</v>
      </c>
      <c r="P33" s="586"/>
      <c r="Q33" s="593">
        <f>I33*O33</f>
        <v>-341758.27726575348</v>
      </c>
    </row>
    <row r="34" spans="1:20" ht="15.95" customHeight="1">
      <c r="A34" s="646">
        <f>A33+1</f>
        <v>22</v>
      </c>
      <c r="B34" s="598" t="s">
        <v>2614</v>
      </c>
      <c r="C34" s="603">
        <v>285941607.11753654</v>
      </c>
      <c r="D34" s="599"/>
      <c r="E34" s="591"/>
      <c r="F34" s="592"/>
      <c r="G34" s="603">
        <v>253617964.09469253</v>
      </c>
      <c r="H34" s="593"/>
      <c r="I34" s="593"/>
      <c r="K34" s="586"/>
      <c r="L34" s="586"/>
      <c r="O34" s="586"/>
      <c r="P34" s="586"/>
      <c r="Q34" s="603">
        <f>SUM(Q30:Q33)</f>
        <v>31475263.224336293</v>
      </c>
    </row>
    <row r="35" spans="1:20" ht="15.95" customHeight="1">
      <c r="C35" s="604"/>
      <c r="E35" s="591"/>
      <c r="F35" s="592"/>
      <c r="I35" s="601"/>
      <c r="K35" s="586"/>
      <c r="L35" s="586"/>
      <c r="O35" s="586"/>
      <c r="P35" s="586"/>
    </row>
    <row r="36" spans="1:20" ht="15.95" customHeight="1">
      <c r="A36" s="646">
        <f>A34+1</f>
        <v>23</v>
      </c>
      <c r="B36" s="581" t="s">
        <v>2615</v>
      </c>
      <c r="C36" s="604"/>
      <c r="E36" s="591"/>
      <c r="F36" s="592"/>
      <c r="I36" s="601"/>
      <c r="K36" s="586"/>
      <c r="L36" s="586"/>
      <c r="O36" s="586"/>
      <c r="P36" s="586"/>
      <c r="T36" s="605"/>
    </row>
    <row r="37" spans="1:20" ht="15.95" customHeight="1">
      <c r="A37" s="646">
        <f>A36+1</f>
        <v>24</v>
      </c>
      <c r="B37" s="588" t="s">
        <v>2616</v>
      </c>
      <c r="C37" s="589">
        <v>12360757.206682239</v>
      </c>
      <c r="D37" s="590"/>
      <c r="E37" s="591">
        <v>0.89895211292875721</v>
      </c>
      <c r="F37" s="592"/>
      <c r="G37" s="589">
        <v>11111728.808346361</v>
      </c>
      <c r="H37" s="593"/>
      <c r="I37" s="593">
        <v>30443.092625606467</v>
      </c>
      <c r="K37" s="586">
        <v>45.298333333333332</v>
      </c>
      <c r="L37" s="586"/>
      <c r="M37" s="586">
        <v>-37.5</v>
      </c>
      <c r="O37" s="586">
        <f>K37+M37</f>
        <v>7.798333333333332</v>
      </c>
      <c r="P37" s="586"/>
      <c r="Q37" s="593">
        <f>I37*O37</f>
        <v>237405.38399202106</v>
      </c>
      <c r="T37" s="594"/>
    </row>
    <row r="38" spans="1:20" ht="15.95" customHeight="1">
      <c r="A38" s="646">
        <f>A37+1</f>
        <v>25</v>
      </c>
      <c r="B38" s="588" t="s">
        <v>2617</v>
      </c>
      <c r="C38" s="589">
        <v>5788249.6641263096</v>
      </c>
      <c r="D38" s="590"/>
      <c r="E38" s="591">
        <v>0.89895211292875732</v>
      </c>
      <c r="F38" s="592"/>
      <c r="G38" s="589">
        <v>5203359.2657255158</v>
      </c>
      <c r="H38" s="593"/>
      <c r="I38" s="593">
        <v>14255.778810206892</v>
      </c>
      <c r="K38" s="586">
        <v>45.298333333333332</v>
      </c>
      <c r="L38" s="586"/>
      <c r="M38" s="586">
        <v>-37.5</v>
      </c>
      <c r="O38" s="586">
        <f>K38+M38</f>
        <v>7.798333333333332</v>
      </c>
      <c r="P38" s="586"/>
      <c r="Q38" s="593">
        <f>I38*O38</f>
        <v>111171.31508826339</v>
      </c>
      <c r="T38" s="594"/>
    </row>
    <row r="39" spans="1:20" ht="15.95" customHeight="1">
      <c r="A39" s="646">
        <f>A38+1</f>
        <v>26</v>
      </c>
      <c r="B39" s="588" t="s">
        <v>2618</v>
      </c>
      <c r="C39" s="606">
        <v>55453287.982608952</v>
      </c>
      <c r="D39" s="607"/>
      <c r="E39" s="591">
        <v>0.89895211292875721</v>
      </c>
      <c r="F39" s="592"/>
      <c r="G39" s="606">
        <v>49849850.400813177</v>
      </c>
      <c r="H39" s="596"/>
      <c r="I39" s="593">
        <v>136574.93260496762</v>
      </c>
      <c r="K39" s="586">
        <v>45.298333333333332</v>
      </c>
      <c r="L39" s="586"/>
      <c r="M39" s="586">
        <v>0</v>
      </c>
      <c r="O39" s="586">
        <f>K39+M39</f>
        <v>45.298333333333332</v>
      </c>
      <c r="P39" s="586"/>
      <c r="Q39" s="597">
        <f>I39*O39</f>
        <v>6186616.8221173575</v>
      </c>
      <c r="T39" s="594"/>
    </row>
    <row r="40" spans="1:20" ht="15.95" customHeight="1">
      <c r="A40" s="646">
        <f>A39+1</f>
        <v>27</v>
      </c>
      <c r="B40" s="598" t="s">
        <v>2619</v>
      </c>
      <c r="C40" s="603">
        <v>73602295.049999997</v>
      </c>
      <c r="D40" s="599"/>
      <c r="E40" s="591"/>
      <c r="F40" s="592"/>
      <c r="G40" s="603">
        <v>66164938.651603304</v>
      </c>
      <c r="H40" s="593"/>
      <c r="I40" s="593"/>
      <c r="K40" s="586"/>
      <c r="L40" s="586"/>
      <c r="O40" s="586"/>
      <c r="P40" s="586"/>
      <c r="Q40" s="593">
        <f>SUM(Q37:Q39)</f>
        <v>6535193.5211976422</v>
      </c>
      <c r="T40" s="608"/>
    </row>
    <row r="41" spans="1:20" ht="15.95" customHeight="1">
      <c r="B41" s="598"/>
      <c r="C41" s="599"/>
      <c r="D41" s="599"/>
      <c r="E41" s="591"/>
      <c r="F41" s="592"/>
      <c r="G41" s="599">
        <v>-0.17671824991703033</v>
      </c>
      <c r="I41" s="601"/>
      <c r="K41" s="586"/>
      <c r="L41" s="586"/>
      <c r="O41" s="586"/>
      <c r="P41" s="586"/>
    </row>
    <row r="42" spans="1:20" ht="15.95" customHeight="1">
      <c r="A42" s="646">
        <f>A40+1</f>
        <v>28</v>
      </c>
      <c r="B42" s="581" t="s">
        <v>2620</v>
      </c>
      <c r="C42" s="604"/>
      <c r="E42" s="591"/>
      <c r="F42" s="592"/>
      <c r="I42" s="601"/>
      <c r="K42" s="586"/>
      <c r="L42" s="586"/>
      <c r="O42" s="586"/>
      <c r="P42" s="586"/>
    </row>
    <row r="43" spans="1:20" ht="15.95" customHeight="1">
      <c r="A43" s="646">
        <f>A42+1</f>
        <v>29</v>
      </c>
      <c r="B43" s="588" t="s">
        <v>2621</v>
      </c>
      <c r="C43" s="589">
        <v>30579582.566147894</v>
      </c>
      <c r="D43" s="590"/>
      <c r="E43" s="591">
        <v>0.89128439941799587</v>
      </c>
      <c r="F43" s="592"/>
      <c r="G43" s="589">
        <v>27255104.881922141</v>
      </c>
      <c r="H43" s="593"/>
      <c r="I43" s="593">
        <v>74671.520224444219</v>
      </c>
      <c r="K43" s="586">
        <v>45.298333333333332</v>
      </c>
      <c r="L43" s="586"/>
      <c r="M43" s="586">
        <v>-157.56749538820867</v>
      </c>
      <c r="O43" s="586">
        <f>K43+M43</f>
        <v>-112.26916205487534</v>
      </c>
      <c r="P43" s="586"/>
      <c r="Q43" s="593">
        <f>I43*O43</f>
        <v>-8383309.0049620289</v>
      </c>
    </row>
    <row r="44" spans="1:20" ht="15.95" customHeight="1">
      <c r="A44" s="646">
        <f>A43+1</f>
        <v>30</v>
      </c>
      <c r="B44" s="588" t="s">
        <v>2622</v>
      </c>
      <c r="C44" s="589">
        <v>10857217.060000001</v>
      </c>
      <c r="D44" s="590"/>
      <c r="E44" s="591">
        <v>0.90571816111627912</v>
      </c>
      <c r="F44" s="592"/>
      <c r="G44" s="589">
        <v>9833578.6704234947</v>
      </c>
      <c r="H44" s="593"/>
      <c r="I44" s="593">
        <v>26941.311425817792</v>
      </c>
      <c r="K44" s="586">
        <v>45.298333333333332</v>
      </c>
      <c r="L44" s="586"/>
      <c r="M44" s="586">
        <v>-35.635795614897127</v>
      </c>
      <c r="O44" s="586">
        <f>K44+M44</f>
        <v>9.6625377184362051</v>
      </c>
      <c r="P44" s="586"/>
      <c r="Q44" s="593">
        <f>I44*O44</f>
        <v>260321.43783610073</v>
      </c>
    </row>
    <row r="45" spans="1:20" ht="15.95" customHeight="1">
      <c r="A45" s="646">
        <f>A44+1</f>
        <v>31</v>
      </c>
      <c r="B45" s="588" t="s">
        <v>2623</v>
      </c>
      <c r="C45" s="606">
        <v>3337117.74</v>
      </c>
      <c r="D45" s="607"/>
      <c r="E45" s="591">
        <v>0.99937930552013177</v>
      </c>
      <c r="F45" s="592"/>
      <c r="G45" s="606">
        <v>3335046.4094401118</v>
      </c>
      <c r="H45" s="596"/>
      <c r="I45" s="593">
        <v>9137.1134505208538</v>
      </c>
      <c r="K45" s="586">
        <v>45.298333333333332</v>
      </c>
      <c r="L45" s="586"/>
      <c r="M45" s="586">
        <v>152.00463677122599</v>
      </c>
      <c r="O45" s="586">
        <f>K45+M45</f>
        <v>197.30297010455934</v>
      </c>
      <c r="P45" s="586"/>
      <c r="Q45" s="597">
        <f>I45*O45</f>
        <v>1802779.6219700831</v>
      </c>
    </row>
    <row r="46" spans="1:20" ht="15.95" customHeight="1">
      <c r="A46" s="646">
        <f>A45+1</f>
        <v>32</v>
      </c>
      <c r="B46" s="598" t="s">
        <v>2624</v>
      </c>
      <c r="C46" s="589">
        <v>44773917.366147898</v>
      </c>
      <c r="D46" s="599"/>
      <c r="E46" s="591"/>
      <c r="F46" s="592"/>
      <c r="G46" s="603">
        <v>40423729.961785749</v>
      </c>
      <c r="H46" s="593"/>
      <c r="I46" s="593"/>
      <c r="K46" s="586"/>
      <c r="L46" s="586"/>
      <c r="O46" s="586"/>
      <c r="P46" s="586"/>
      <c r="Q46" s="593">
        <f>SUM(Q43:Q45)</f>
        <v>-6320207.945155846</v>
      </c>
    </row>
    <row r="47" spans="1:20" ht="15.95" customHeight="1">
      <c r="C47" s="604"/>
      <c r="E47" s="591"/>
      <c r="F47" s="592"/>
      <c r="I47" s="601"/>
      <c r="K47" s="586"/>
      <c r="L47" s="586"/>
      <c r="O47" s="586"/>
      <c r="P47" s="586"/>
    </row>
    <row r="48" spans="1:20" ht="15.95" customHeight="1">
      <c r="A48" s="646">
        <f>A46+1</f>
        <v>33</v>
      </c>
      <c r="B48" s="581" t="s">
        <v>786</v>
      </c>
      <c r="C48" s="589">
        <v>-225954.46013940184</v>
      </c>
      <c r="E48" s="591">
        <v>0</v>
      </c>
      <c r="F48" s="592"/>
      <c r="G48" s="589">
        <v>0</v>
      </c>
      <c r="H48" s="593"/>
      <c r="I48" s="609">
        <v>0</v>
      </c>
      <c r="K48" s="586">
        <v>45.298333333333332</v>
      </c>
      <c r="L48" s="586"/>
      <c r="M48" s="586">
        <v>-45.298333333333332</v>
      </c>
      <c r="O48" s="586">
        <f>K48+M48</f>
        <v>0</v>
      </c>
      <c r="P48" s="586"/>
      <c r="Q48" s="593">
        <f>I48*O48</f>
        <v>0</v>
      </c>
    </row>
    <row r="49" spans="1:17" ht="15.95" customHeight="1">
      <c r="C49" s="604"/>
      <c r="E49" s="591"/>
      <c r="F49" s="592"/>
      <c r="I49" s="601"/>
      <c r="K49" s="586"/>
      <c r="L49" s="586"/>
      <c r="O49" s="586"/>
      <c r="P49" s="586"/>
    </row>
    <row r="50" spans="1:17" ht="15.95" customHeight="1">
      <c r="A50" s="646">
        <f>A48+1</f>
        <v>34</v>
      </c>
      <c r="B50" s="581" t="s">
        <v>2625</v>
      </c>
      <c r="C50" s="589">
        <v>-2190.5399999999941</v>
      </c>
      <c r="E50" s="591">
        <v>0</v>
      </c>
      <c r="F50" s="592"/>
      <c r="G50" s="589">
        <v>0</v>
      </c>
      <c r="H50" s="593"/>
      <c r="I50" s="609">
        <v>0</v>
      </c>
      <c r="K50" s="586">
        <v>45.298333333333332</v>
      </c>
      <c r="L50" s="586"/>
      <c r="M50" s="586">
        <v>-45.298333333333332</v>
      </c>
      <c r="O50" s="586">
        <f>K50+M50</f>
        <v>0</v>
      </c>
      <c r="P50" s="586"/>
      <c r="Q50" s="593">
        <f>I50*O50</f>
        <v>0</v>
      </c>
    </row>
    <row r="51" spans="1:17" ht="15.95" customHeight="1">
      <c r="C51" s="604"/>
      <c r="E51" s="591"/>
      <c r="F51" s="592"/>
      <c r="G51" s="593"/>
      <c r="H51" s="593"/>
      <c r="I51" s="593"/>
      <c r="K51" s="586"/>
      <c r="L51" s="586"/>
      <c r="O51" s="586"/>
      <c r="P51" s="586"/>
      <c r="Q51" s="593"/>
    </row>
    <row r="52" spans="1:17" ht="15.95" customHeight="1">
      <c r="A52" s="646">
        <f>A50+1</f>
        <v>35</v>
      </c>
      <c r="B52" s="581" t="s">
        <v>2626</v>
      </c>
      <c r="C52" s="589">
        <v>-27812.7</v>
      </c>
      <c r="E52" s="591">
        <v>0.87673530496058705</v>
      </c>
      <c r="F52" s="592"/>
      <c r="G52" s="589">
        <v>-24384.376016277321</v>
      </c>
      <c r="H52" s="593"/>
      <c r="I52" s="609">
        <v>-66.806509633636495</v>
      </c>
      <c r="K52" s="586">
        <v>45.298333333333332</v>
      </c>
      <c r="L52" s="586"/>
      <c r="M52" s="586">
        <v>-45.298333333333332</v>
      </c>
      <c r="O52" s="586">
        <f>K52+M52</f>
        <v>0</v>
      </c>
      <c r="P52" s="586"/>
      <c r="Q52" s="593">
        <f>I52*O52</f>
        <v>0</v>
      </c>
    </row>
    <row r="53" spans="1:17" ht="15.95" customHeight="1">
      <c r="C53" s="604"/>
      <c r="E53" s="591"/>
      <c r="F53" s="592"/>
      <c r="G53" s="593"/>
      <c r="H53" s="593"/>
      <c r="I53" s="593"/>
      <c r="K53" s="586"/>
      <c r="L53" s="586"/>
      <c r="O53" s="586"/>
      <c r="P53" s="586"/>
      <c r="Q53" s="593"/>
    </row>
    <row r="54" spans="1:17" ht="15.95" customHeight="1">
      <c r="A54" s="646">
        <f>A52+1</f>
        <v>36</v>
      </c>
      <c r="B54" s="581" t="s">
        <v>2627</v>
      </c>
      <c r="C54" s="589">
        <v>1447147.94</v>
      </c>
      <c r="E54" s="591">
        <v>0</v>
      </c>
      <c r="F54" s="592"/>
      <c r="G54" s="589">
        <v>0</v>
      </c>
      <c r="H54" s="593"/>
      <c r="I54" s="609">
        <v>0</v>
      </c>
      <c r="K54" s="586">
        <v>45.298333333333332</v>
      </c>
      <c r="L54" s="586"/>
      <c r="M54" s="586">
        <v>-45.298333333333332</v>
      </c>
      <c r="O54" s="586">
        <f>K54+M54</f>
        <v>0</v>
      </c>
      <c r="P54" s="586"/>
      <c r="Q54" s="593">
        <f>I54*O54</f>
        <v>0</v>
      </c>
    </row>
    <row r="55" spans="1:17" ht="15.95" customHeight="1">
      <c r="C55" s="604"/>
      <c r="E55" s="591"/>
      <c r="F55" s="592"/>
      <c r="G55" s="593"/>
      <c r="H55" s="593"/>
      <c r="I55" s="593"/>
      <c r="K55" s="586"/>
      <c r="L55" s="586"/>
      <c r="O55" s="586"/>
      <c r="P55" s="586"/>
      <c r="Q55" s="593"/>
    </row>
    <row r="56" spans="1:17" ht="15.95" customHeight="1">
      <c r="A56" s="646">
        <f>A54+1</f>
        <v>37</v>
      </c>
      <c r="B56" s="581" t="s">
        <v>2628</v>
      </c>
      <c r="C56" s="589">
        <v>417808.04084700003</v>
      </c>
      <c r="E56" s="591">
        <v>0</v>
      </c>
      <c r="F56" s="592"/>
      <c r="G56" s="589">
        <v>0</v>
      </c>
      <c r="H56" s="593"/>
      <c r="I56" s="609">
        <v>0</v>
      </c>
      <c r="K56" s="586">
        <v>0</v>
      </c>
      <c r="L56" s="586"/>
      <c r="M56" s="586">
        <v>0</v>
      </c>
      <c r="O56" s="586">
        <f>K56+M56</f>
        <v>0</v>
      </c>
      <c r="P56" s="586"/>
      <c r="Q56" s="593">
        <f>I56*O56</f>
        <v>0</v>
      </c>
    </row>
    <row r="57" spans="1:17" ht="15.95" customHeight="1">
      <c r="C57" s="604"/>
      <c r="E57" s="591"/>
      <c r="F57" s="592"/>
      <c r="G57" s="593"/>
      <c r="H57" s="593"/>
      <c r="I57" s="593"/>
      <c r="K57" s="586"/>
      <c r="L57" s="586"/>
      <c r="O57" s="586"/>
      <c r="P57" s="586"/>
      <c r="Q57" s="593"/>
    </row>
    <row r="58" spans="1:17" ht="15.95" customHeight="1">
      <c r="A58" s="646">
        <f>A56+1</f>
        <v>38</v>
      </c>
      <c r="B58" s="581" t="s">
        <v>2629</v>
      </c>
      <c r="C58" s="589">
        <v>-3051940.3003764148</v>
      </c>
      <c r="E58" s="591">
        <v>0</v>
      </c>
      <c r="F58" s="592"/>
      <c r="G58" s="589">
        <v>0</v>
      </c>
      <c r="H58" s="593"/>
      <c r="I58" s="609">
        <v>0</v>
      </c>
      <c r="K58" s="586">
        <v>45.298333333333332</v>
      </c>
      <c r="L58" s="586"/>
      <c r="M58" s="586">
        <v>-45.298333333333332</v>
      </c>
      <c r="O58" s="586">
        <f>K58+M58</f>
        <v>0</v>
      </c>
      <c r="P58" s="586"/>
      <c r="Q58" s="593">
        <f>I58*O58</f>
        <v>0</v>
      </c>
    </row>
    <row r="59" spans="1:17" ht="15.95" customHeight="1">
      <c r="C59" s="604"/>
      <c r="E59" s="591"/>
      <c r="F59" s="592"/>
      <c r="G59" s="593"/>
      <c r="H59" s="593"/>
      <c r="I59" s="593"/>
      <c r="K59" s="586"/>
      <c r="L59" s="586"/>
      <c r="O59" s="586"/>
      <c r="P59" s="586"/>
      <c r="Q59" s="593"/>
    </row>
    <row r="60" spans="1:17" ht="15.95" customHeight="1">
      <c r="A60" s="646">
        <f>A58+1</f>
        <v>39</v>
      </c>
      <c r="B60" s="581" t="s">
        <v>2630</v>
      </c>
      <c r="C60" s="589">
        <v>-71812.794031206227</v>
      </c>
      <c r="E60" s="591">
        <v>0</v>
      </c>
      <c r="F60" s="592"/>
      <c r="G60" s="589">
        <v>0</v>
      </c>
      <c r="H60" s="593"/>
      <c r="I60" s="609">
        <v>0</v>
      </c>
      <c r="K60" s="586">
        <v>45.298333333333332</v>
      </c>
      <c r="L60" s="586"/>
      <c r="M60" s="586">
        <v>-45.298333333333332</v>
      </c>
      <c r="O60" s="586">
        <f>K60+M60</f>
        <v>0</v>
      </c>
      <c r="P60" s="586"/>
      <c r="Q60" s="593">
        <f>I60*O60</f>
        <v>0</v>
      </c>
    </row>
    <row r="61" spans="1:17" ht="15.95" customHeight="1">
      <c r="C61" s="604"/>
      <c r="E61" s="591"/>
      <c r="F61" s="592"/>
      <c r="G61" s="593"/>
      <c r="H61" s="593"/>
      <c r="I61" s="593"/>
      <c r="K61" s="586"/>
      <c r="L61" s="586"/>
      <c r="O61" s="586"/>
      <c r="P61" s="586"/>
      <c r="Q61" s="593"/>
    </row>
    <row r="62" spans="1:17" ht="15.95" customHeight="1">
      <c r="A62" s="646">
        <f>A60+1</f>
        <v>40</v>
      </c>
      <c r="B62" s="581" t="s">
        <v>2631</v>
      </c>
      <c r="C62" s="589">
        <v>100511312.46013941</v>
      </c>
      <c r="E62" s="591">
        <v>0.89284346803684589</v>
      </c>
      <c r="F62" s="592"/>
      <c r="G62" s="589">
        <v>89740868.793845907</v>
      </c>
      <c r="H62" s="593"/>
      <c r="I62" s="593">
        <v>245865.39395574221</v>
      </c>
      <c r="K62" s="586">
        <v>45.298333333333332</v>
      </c>
      <c r="L62" s="586"/>
      <c r="M62" s="586">
        <v>-88.649999999999991</v>
      </c>
      <c r="O62" s="586">
        <f>K62+M62</f>
        <v>-43.351666666666659</v>
      </c>
      <c r="P62" s="586"/>
      <c r="Q62" s="593">
        <f>I62*O62</f>
        <v>-10658674.603638016</v>
      </c>
    </row>
    <row r="63" spans="1:17" ht="15.95" customHeight="1">
      <c r="C63" s="604"/>
      <c r="E63" s="591"/>
      <c r="F63" s="592"/>
      <c r="G63" s="593"/>
      <c r="H63" s="593"/>
      <c r="I63" s="593"/>
      <c r="K63" s="586"/>
      <c r="L63" s="586"/>
      <c r="O63" s="586"/>
      <c r="P63" s="586"/>
      <c r="Q63" s="593"/>
    </row>
    <row r="64" spans="1:17" ht="15.95" customHeight="1">
      <c r="A64" s="646">
        <f>A62+1</f>
        <v>41</v>
      </c>
      <c r="B64" s="581" t="s">
        <v>2632</v>
      </c>
      <c r="C64" s="606">
        <v>271917193.21549296</v>
      </c>
      <c r="D64" s="595"/>
      <c r="E64" s="591"/>
      <c r="F64" s="592"/>
      <c r="G64" s="606">
        <v>243894409.00941348</v>
      </c>
      <c r="H64" s="596"/>
      <c r="I64" s="593">
        <v>668203.86029976292</v>
      </c>
      <c r="J64" s="595"/>
      <c r="K64" s="586">
        <v>45.298333333333332</v>
      </c>
      <c r="L64" s="586"/>
      <c r="M64" s="586">
        <v>-45.298333333333332</v>
      </c>
      <c r="O64" s="586">
        <f>K64+M64</f>
        <v>0</v>
      </c>
      <c r="P64" s="586"/>
      <c r="Q64" s="597">
        <f>I64*O64</f>
        <v>0</v>
      </c>
    </row>
    <row r="65" spans="1:17" ht="15.95" customHeight="1">
      <c r="C65" s="604"/>
      <c r="E65" s="591"/>
      <c r="F65" s="592"/>
      <c r="G65" s="593"/>
      <c r="H65" s="593"/>
      <c r="I65" s="593"/>
      <c r="K65" s="586"/>
      <c r="L65" s="586"/>
      <c r="O65" s="586"/>
      <c r="P65" s="586"/>
      <c r="Q65" s="593"/>
    </row>
    <row r="66" spans="1:17" ht="15.95" customHeight="1">
      <c r="A66" s="646">
        <f>A64+1</f>
        <v>42</v>
      </c>
      <c r="B66" s="581" t="s">
        <v>2025</v>
      </c>
      <c r="C66" s="593">
        <v>1744308803.4043992</v>
      </c>
      <c r="E66" s="591"/>
      <c r="F66" s="592"/>
      <c r="G66" s="593">
        <v>1556707681.3972576</v>
      </c>
      <c r="I66" s="593">
        <v>914002.4477458715</v>
      </c>
      <c r="O66" s="586"/>
      <c r="P66" s="586"/>
      <c r="Q66" s="593">
        <f>Q27+Q34+Q40+Q46+Q48+Q50+Q52+Q54+Q56+Q58+Q60+Q62+Q64</f>
        <v>48660102.61292401</v>
      </c>
    </row>
    <row r="67" spans="1:17" ht="15.95" customHeight="1">
      <c r="C67" s="604"/>
      <c r="E67" s="591"/>
      <c r="F67" s="592"/>
      <c r="O67" s="586"/>
      <c r="P67" s="586"/>
      <c r="Q67" s="593"/>
    </row>
    <row r="68" spans="1:17" ht="15.95" customHeight="1">
      <c r="A68" s="646">
        <f>A66+1</f>
        <v>43</v>
      </c>
      <c r="B68" s="581" t="s">
        <v>2633</v>
      </c>
      <c r="C68" s="589">
        <v>35572411.769999996</v>
      </c>
      <c r="E68" s="591">
        <v>1</v>
      </c>
      <c r="F68" s="592"/>
      <c r="G68" s="589">
        <v>35572411.769999996</v>
      </c>
      <c r="I68" s="593">
        <v>97458.662383561634</v>
      </c>
      <c r="K68" s="586">
        <v>45.298333333333332</v>
      </c>
      <c r="L68" s="586"/>
      <c r="M68" s="586">
        <v>-39.803821524307487</v>
      </c>
      <c r="O68" s="586">
        <f>K68+M68</f>
        <v>5.4945118090258447</v>
      </c>
      <c r="P68" s="586"/>
      <c r="Q68" s="593">
        <f>I68*O68</f>
        <v>535487.77135834226</v>
      </c>
    </row>
    <row r="69" spans="1:17" ht="15.95" customHeight="1">
      <c r="C69" s="604"/>
      <c r="E69" s="591"/>
      <c r="F69" s="592"/>
      <c r="O69" s="586"/>
      <c r="P69" s="586"/>
      <c r="Q69" s="593"/>
    </row>
    <row r="70" spans="1:17" ht="15.95" customHeight="1">
      <c r="A70" s="646">
        <f>A68+1</f>
        <v>44</v>
      </c>
      <c r="B70" s="581" t="s">
        <v>2634</v>
      </c>
      <c r="C70" s="589">
        <v>39016853.540000007</v>
      </c>
      <c r="E70" s="591">
        <v>1</v>
      </c>
      <c r="F70" s="592"/>
      <c r="G70" s="589">
        <v>39016853.540000007</v>
      </c>
      <c r="I70" s="593">
        <v>106895.48915068495</v>
      </c>
      <c r="K70" s="586">
        <v>45.298333333333332</v>
      </c>
      <c r="L70" s="586"/>
      <c r="M70" s="586">
        <v>-34.949170045269938</v>
      </c>
      <c r="O70" s="586">
        <f>K70+M70</f>
        <v>10.349163288063394</v>
      </c>
      <c r="P70" s="586"/>
      <c r="Q70" s="593">
        <f>I70*O70</f>
        <v>1106278.8719778475</v>
      </c>
    </row>
    <row r="71" spans="1:17" ht="15.95" customHeight="1">
      <c r="C71" s="604"/>
      <c r="E71" s="591"/>
      <c r="F71" s="592"/>
      <c r="K71" s="586"/>
      <c r="L71" s="586"/>
      <c r="O71" s="586"/>
      <c r="P71" s="586"/>
      <c r="Q71" s="593"/>
    </row>
    <row r="72" spans="1:17" ht="15.95" customHeight="1">
      <c r="A72" s="646">
        <f>A70+1</f>
        <v>45</v>
      </c>
      <c r="B72" s="581" t="s">
        <v>2635</v>
      </c>
      <c r="C72" s="589">
        <v>28463762.329999998</v>
      </c>
      <c r="E72" s="591">
        <v>1</v>
      </c>
      <c r="F72" s="592"/>
      <c r="G72" s="589">
        <v>28463762.329999998</v>
      </c>
      <c r="I72" s="593">
        <v>77982.910493150674</v>
      </c>
      <c r="K72" s="586">
        <v>45.298333333333332</v>
      </c>
      <c r="L72" s="586"/>
      <c r="M72" s="586">
        <v>-67.158413809956485</v>
      </c>
      <c r="O72" s="586">
        <f>K72+M72</f>
        <v>-21.860080476623153</v>
      </c>
      <c r="P72" s="586"/>
      <c r="Q72" s="597">
        <f>I72*O72</f>
        <v>-1704712.6991815739</v>
      </c>
    </row>
    <row r="73" spans="1:17" ht="15.95" customHeight="1">
      <c r="E73" s="592"/>
      <c r="F73" s="592"/>
      <c r="Q73" s="593"/>
    </row>
    <row r="74" spans="1:17" ht="15.95" customHeight="1">
      <c r="A74" s="646">
        <f>A72+1</f>
        <v>46</v>
      </c>
      <c r="B74" s="581" t="s">
        <v>2636</v>
      </c>
      <c r="E74" s="592"/>
      <c r="F74" s="592"/>
      <c r="Q74" s="596">
        <f>SUM(Q66:Q72)</f>
        <v>48597156.55707863</v>
      </c>
    </row>
    <row r="75" spans="1:17" ht="15.95" customHeight="1">
      <c r="E75" s="592"/>
      <c r="F75" s="592"/>
      <c r="Q75" s="593"/>
    </row>
    <row r="76" spans="1:17" ht="15.95" customHeight="1">
      <c r="A76" s="646">
        <f>A74+1</f>
        <v>47</v>
      </c>
      <c r="B76" s="581" t="s">
        <v>2637</v>
      </c>
      <c r="E76" s="592"/>
      <c r="F76" s="592"/>
      <c r="Q76" s="597">
        <f>'SCH B-5.2 B (2)'!W38</f>
        <v>7348624.3399999738</v>
      </c>
    </row>
    <row r="77" spans="1:17" ht="15.95" customHeight="1">
      <c r="E77" s="592"/>
      <c r="F77" s="592"/>
      <c r="Q77" s="593"/>
    </row>
    <row r="78" spans="1:17" ht="15.95" customHeight="1" thickBot="1">
      <c r="A78" s="646">
        <f>A76+1</f>
        <v>48</v>
      </c>
      <c r="B78" s="581" t="s">
        <v>2638</v>
      </c>
      <c r="E78" s="592"/>
      <c r="F78" s="592"/>
      <c r="Q78" s="610">
        <f>SUM(Q74:Q76)</f>
        <v>55945780.897078604</v>
      </c>
    </row>
    <row r="79" spans="1:17" ht="15.95" customHeight="1" thickTop="1">
      <c r="E79" s="592"/>
      <c r="F79" s="592"/>
      <c r="Q79" s="593"/>
    </row>
    <row r="80" spans="1:17" ht="15.95" customHeight="1" thickBot="1">
      <c r="A80" s="646">
        <f>A78+1</f>
        <v>49</v>
      </c>
      <c r="B80" s="581" t="s">
        <v>2639</v>
      </c>
      <c r="E80" s="592"/>
      <c r="F80" s="592"/>
      <c r="Q80" s="610">
        <f ca="1">'SCH B-5.2 B (2)'!W66</f>
        <v>2900008.3762499974</v>
      </c>
    </row>
    <row r="81" spans="1:18" ht="15.95" customHeight="1" thickTop="1">
      <c r="E81" s="592"/>
      <c r="F81" s="592"/>
      <c r="Q81" s="593"/>
    </row>
    <row r="82" spans="1:18" ht="15.95" customHeight="1" thickBot="1">
      <c r="A82" s="646">
        <f>A80+1</f>
        <v>50</v>
      </c>
      <c r="B82" s="581" t="s">
        <v>2640</v>
      </c>
      <c r="E82" s="592"/>
      <c r="F82" s="592"/>
      <c r="Q82" s="610">
        <f ca="1">Q78-Q80</f>
        <v>53045772.520828605</v>
      </c>
      <c r="R82" s="593"/>
    </row>
    <row r="83" spans="1:18" ht="15.95" customHeight="1" thickTop="1">
      <c r="E83" s="592"/>
      <c r="F83" s="592"/>
      <c r="Q83" s="596"/>
    </row>
    <row r="84" spans="1:18" ht="15.95" customHeight="1">
      <c r="Q84" s="581"/>
    </row>
    <row r="85" spans="1:18" ht="15.95" customHeight="1"/>
    <row r="86" spans="1:18" ht="15.95" customHeight="1"/>
    <row r="87" spans="1:18" ht="15.95" customHeight="1"/>
    <row r="88" spans="1:18" ht="15.95" customHeight="1"/>
    <row r="89" spans="1:18" ht="15.95" customHeight="1"/>
    <row r="90" spans="1:18" ht="15.95" customHeight="1"/>
    <row r="91" spans="1:18" ht="15.95" customHeight="1"/>
  </sheetData>
  <mergeCells count="4">
    <mergeCell ref="A1:Q1"/>
    <mergeCell ref="A2:Q2"/>
    <mergeCell ref="A3:Q3"/>
    <mergeCell ref="A4:Q4"/>
  </mergeCells>
  <printOptions horizontalCentered="1"/>
  <pageMargins left="0.95" right="0.2" top="1" bottom="0.5" header="0.3" footer="0.3"/>
  <pageSetup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1"/>
  <sheetViews>
    <sheetView zoomScale="70" zoomScaleNormal="70" workbookViewId="0">
      <pane xSplit="3" ySplit="11" topLeftCell="D24" activePane="bottomRight" state="frozen"/>
      <selection activeCell="K45" sqref="K45"/>
      <selection pane="topRight" activeCell="K45" sqref="K45"/>
      <selection pane="bottomLeft" activeCell="K45" sqref="K45"/>
      <selection pane="bottomRight" activeCell="Q32" sqref="Q32"/>
    </sheetView>
  </sheetViews>
  <sheetFormatPr defaultRowHeight="12.75" outlineLevelCol="2"/>
  <cols>
    <col min="1" max="1" width="6.21875" style="582" customWidth="1"/>
    <col min="2" max="2" width="9.88671875" style="581" customWidth="1"/>
    <col min="3" max="3" width="58.88671875" style="616" customWidth="1"/>
    <col min="4" max="4" width="12.77734375" style="581" customWidth="1" outlineLevel="1"/>
    <col min="5" max="16" width="12.77734375" style="581" customWidth="1" outlineLevel="2"/>
    <col min="17" max="17" width="15.77734375" style="581" customWidth="1"/>
    <col min="18" max="18" width="2.88671875" style="581" customWidth="1"/>
    <col min="19" max="19" width="11" style="585" customWidth="1"/>
    <col min="20" max="20" width="2.88671875" style="617" hidden="1" customWidth="1"/>
    <col min="21" max="21" width="13.77734375" style="618" hidden="1" customWidth="1"/>
    <col min="22" max="22" width="2.88671875" style="585" customWidth="1"/>
    <col min="23" max="23" width="15.77734375" style="581" customWidth="1"/>
    <col min="24" max="24" width="16.6640625" style="581" customWidth="1"/>
    <col min="25" max="26" width="8.88671875" style="581"/>
    <col min="27" max="27" width="14" style="581" customWidth="1"/>
    <col min="28" max="28" width="12.5546875" style="581" customWidth="1"/>
    <col min="29" max="29" width="8.88671875" style="581"/>
    <col min="30" max="30" width="13" style="581" customWidth="1"/>
    <col min="31" max="31" width="12.6640625" style="581" customWidth="1"/>
    <col min="32" max="16384" width="8.88671875" style="581"/>
  </cols>
  <sheetData>
    <row r="1" spans="1:25" ht="18.95" customHeight="1">
      <c r="A1" s="774" t="str">
        <f>'Rate Case Constants'!C9</f>
        <v>KENTUCKY UTILITIES COMPANY</v>
      </c>
      <c r="B1" s="777"/>
      <c r="C1" s="777"/>
      <c r="D1" s="777"/>
      <c r="E1" s="777"/>
      <c r="F1" s="777"/>
      <c r="G1" s="777"/>
      <c r="H1" s="777"/>
      <c r="I1" s="777"/>
      <c r="J1" s="777"/>
      <c r="K1" s="777"/>
      <c r="L1" s="777"/>
      <c r="M1" s="777"/>
      <c r="N1" s="777"/>
      <c r="O1" s="777"/>
      <c r="P1" s="777"/>
      <c r="Q1" s="777"/>
      <c r="R1" s="777"/>
      <c r="S1" s="777"/>
      <c r="T1" s="778"/>
      <c r="U1" s="778"/>
      <c r="V1" s="777"/>
      <c r="W1" s="777"/>
      <c r="X1" s="611"/>
    </row>
    <row r="2" spans="1:25" ht="18.95" customHeight="1">
      <c r="A2" s="774" t="str">
        <f>'Rate Case Constants'!C10</f>
        <v>CASE NO. 2018-00294 - RESPONSE TO PSC 2-65 (SLIPPAGE FACTOR 96.027%)</v>
      </c>
      <c r="B2" s="777"/>
      <c r="C2" s="777"/>
      <c r="D2" s="777"/>
      <c r="E2" s="777"/>
      <c r="F2" s="777"/>
      <c r="G2" s="777"/>
      <c r="H2" s="777"/>
      <c r="I2" s="777"/>
      <c r="J2" s="777"/>
      <c r="K2" s="777"/>
      <c r="L2" s="777"/>
      <c r="M2" s="777"/>
      <c r="N2" s="777"/>
      <c r="O2" s="777"/>
      <c r="P2" s="777"/>
      <c r="Q2" s="777"/>
      <c r="R2" s="777"/>
      <c r="S2" s="777"/>
      <c r="T2" s="778"/>
      <c r="U2" s="778"/>
      <c r="V2" s="777"/>
      <c r="W2" s="777"/>
      <c r="X2" s="611"/>
    </row>
    <row r="3" spans="1:25" ht="18.95" customHeight="1">
      <c r="A3" s="777" t="s">
        <v>1436</v>
      </c>
      <c r="B3" s="777"/>
      <c r="C3" s="777"/>
      <c r="D3" s="777"/>
      <c r="E3" s="777"/>
      <c r="F3" s="777"/>
      <c r="G3" s="777"/>
      <c r="H3" s="777"/>
      <c r="I3" s="777"/>
      <c r="J3" s="777"/>
      <c r="K3" s="777"/>
      <c r="L3" s="777"/>
      <c r="M3" s="777"/>
      <c r="N3" s="777"/>
      <c r="O3" s="777"/>
      <c r="P3" s="777"/>
      <c r="Q3" s="777"/>
      <c r="R3" s="777"/>
      <c r="S3" s="777"/>
      <c r="T3" s="778"/>
      <c r="U3" s="778"/>
      <c r="V3" s="777"/>
      <c r="W3" s="777"/>
      <c r="X3" s="612"/>
    </row>
    <row r="4" spans="1:25" ht="18.95" customHeight="1">
      <c r="A4" s="774" t="str">
        <f>'Rate Case Constants'!C15</f>
        <v>BASE YEAR FOR THE 12 MONTHS ENDED DECEMBER 31, 2018</v>
      </c>
      <c r="B4" s="777"/>
      <c r="C4" s="777"/>
      <c r="D4" s="777"/>
      <c r="E4" s="777"/>
      <c r="F4" s="777"/>
      <c r="G4" s="777"/>
      <c r="H4" s="777"/>
      <c r="I4" s="777"/>
      <c r="J4" s="777"/>
      <c r="K4" s="777"/>
      <c r="L4" s="777"/>
      <c r="M4" s="777"/>
      <c r="N4" s="777"/>
      <c r="O4" s="777"/>
      <c r="P4" s="777"/>
      <c r="Q4" s="777"/>
      <c r="R4" s="777"/>
      <c r="S4" s="777"/>
      <c r="T4" s="778"/>
      <c r="U4" s="778"/>
      <c r="V4" s="777"/>
      <c r="W4" s="777"/>
      <c r="X4" s="612"/>
    </row>
    <row r="5" spans="1:25" ht="18.95" customHeight="1">
      <c r="A5" s="613"/>
      <c r="B5" s="614"/>
      <c r="C5" s="614"/>
      <c r="D5" s="614"/>
      <c r="E5" s="614"/>
      <c r="F5" s="614"/>
      <c r="G5" s="614"/>
      <c r="H5" s="614"/>
      <c r="I5" s="614"/>
      <c r="J5" s="614"/>
      <c r="K5" s="614"/>
      <c r="L5" s="614"/>
      <c r="M5" s="614"/>
      <c r="N5" s="614"/>
      <c r="O5" s="614"/>
      <c r="P5" s="614"/>
      <c r="Q5" s="614"/>
      <c r="R5" s="614"/>
      <c r="S5" s="614"/>
      <c r="T5" s="615"/>
      <c r="U5" s="615"/>
      <c r="V5" s="614"/>
      <c r="W5" s="614"/>
      <c r="X5" s="612"/>
    </row>
    <row r="6" spans="1:25" ht="18.95" customHeight="1">
      <c r="A6" s="67" t="s">
        <v>133</v>
      </c>
      <c r="B6" s="614"/>
      <c r="C6" s="614"/>
      <c r="D6" s="614"/>
      <c r="E6" s="614"/>
      <c r="F6" s="614"/>
      <c r="G6" s="614"/>
      <c r="H6" s="614"/>
      <c r="I6" s="614"/>
      <c r="J6" s="614"/>
      <c r="K6" s="614"/>
      <c r="L6" s="614"/>
      <c r="M6" s="614"/>
      <c r="N6" s="614"/>
      <c r="O6" s="614"/>
      <c r="P6" s="614"/>
      <c r="Q6" s="614"/>
      <c r="R6" s="614"/>
      <c r="S6" s="614"/>
      <c r="T6" s="615"/>
      <c r="U6" s="615"/>
      <c r="V6" s="614"/>
      <c r="W6" s="74" t="s">
        <v>1437</v>
      </c>
      <c r="X6" s="612"/>
    </row>
    <row r="7" spans="1:25" ht="18.95" customHeight="1">
      <c r="A7" s="68" t="str">
        <f>'Rate Case Constants'!C29</f>
        <v>TYPE OF FILING: __X__ ORIGINAL  _____ UPDATED  _____ REVISED</v>
      </c>
      <c r="B7" s="614"/>
      <c r="C7" s="614"/>
      <c r="D7" s="614"/>
      <c r="E7" s="614"/>
      <c r="F7" s="614"/>
      <c r="G7" s="614"/>
      <c r="H7" s="614"/>
      <c r="I7" s="614"/>
      <c r="J7" s="614"/>
      <c r="K7" s="614"/>
      <c r="L7" s="614"/>
      <c r="M7" s="614"/>
      <c r="N7" s="614"/>
      <c r="O7" s="614"/>
      <c r="P7" s="614"/>
      <c r="Q7" s="614"/>
      <c r="R7" s="614"/>
      <c r="S7" s="614"/>
      <c r="T7" s="615"/>
      <c r="U7" s="615"/>
      <c r="V7" s="614"/>
      <c r="W7" s="74" t="s">
        <v>172</v>
      </c>
      <c r="X7" s="612"/>
    </row>
    <row r="8" spans="1:25" ht="18.95" customHeight="1">
      <c r="A8" s="67" t="s">
        <v>1198</v>
      </c>
      <c r="W8" s="75" t="str">
        <f>'Rate Case Constants'!C36</f>
        <v>WITNESS:   C. M. GARRETT</v>
      </c>
    </row>
    <row r="9" spans="1:25" ht="18.95" customHeight="1">
      <c r="A9" s="619"/>
    </row>
    <row r="10" spans="1:25" ht="38.25">
      <c r="A10" s="159" t="s">
        <v>131</v>
      </c>
      <c r="B10" s="159" t="s">
        <v>134</v>
      </c>
      <c r="C10" s="159" t="s">
        <v>205</v>
      </c>
      <c r="D10" s="620">
        <v>43070</v>
      </c>
      <c r="E10" s="620">
        <v>43101</v>
      </c>
      <c r="F10" s="620">
        <v>43132</v>
      </c>
      <c r="G10" s="620">
        <v>43160</v>
      </c>
      <c r="H10" s="620">
        <v>43191</v>
      </c>
      <c r="I10" s="620">
        <v>43221</v>
      </c>
      <c r="J10" s="620">
        <v>43252</v>
      </c>
      <c r="K10" s="620">
        <v>43282</v>
      </c>
      <c r="L10" s="620">
        <v>43313</v>
      </c>
      <c r="M10" s="620">
        <v>43344</v>
      </c>
      <c r="N10" s="620">
        <v>43374</v>
      </c>
      <c r="O10" s="620">
        <v>43405</v>
      </c>
      <c r="P10" s="620">
        <v>43435</v>
      </c>
      <c r="Q10" s="159" t="s">
        <v>2641</v>
      </c>
      <c r="R10" s="159"/>
      <c r="S10" s="159" t="s">
        <v>224</v>
      </c>
      <c r="T10" s="621"/>
      <c r="U10" s="622" t="s">
        <v>2642</v>
      </c>
      <c r="V10" s="159"/>
      <c r="W10" s="159" t="s">
        <v>1422</v>
      </c>
      <c r="X10" s="623"/>
    </row>
    <row r="11" spans="1:25" ht="18.95" customHeight="1"/>
    <row r="12" spans="1:25" ht="18.95" customHeight="1">
      <c r="C12" s="616" t="s">
        <v>2643</v>
      </c>
    </row>
    <row r="13" spans="1:25" ht="18.95" customHeight="1"/>
    <row r="14" spans="1:25" ht="18.95" customHeight="1">
      <c r="A14" s="582">
        <v>1</v>
      </c>
      <c r="B14" s="582">
        <v>128</v>
      </c>
      <c r="C14" s="616" t="s">
        <v>2644</v>
      </c>
      <c r="D14" s="86">
        <v>0</v>
      </c>
      <c r="E14" s="86">
        <v>0</v>
      </c>
      <c r="F14" s="86">
        <v>9758663.1199999992</v>
      </c>
      <c r="G14" s="86">
        <v>9758663.1199999992</v>
      </c>
      <c r="H14" s="86">
        <v>9758663.1199999992</v>
      </c>
      <c r="I14" s="86">
        <v>9758663.1199999992</v>
      </c>
      <c r="J14" s="86">
        <v>14130220.119999999</v>
      </c>
      <c r="K14" s="86">
        <v>14813056.2866666</v>
      </c>
      <c r="L14" s="86">
        <v>15495892.4533333</v>
      </c>
      <c r="M14" s="86">
        <v>16178728.6199999</v>
      </c>
      <c r="N14" s="86">
        <v>16861564.786666602</v>
      </c>
      <c r="O14" s="86">
        <v>17544400.9533333</v>
      </c>
      <c r="P14" s="86">
        <v>18227237.120000001</v>
      </c>
      <c r="Q14" s="86">
        <f t="shared" ref="Q14:Q19" si="0">AVERAGE(D14:P14)</f>
        <v>11714288.678461514</v>
      </c>
      <c r="R14" s="584"/>
      <c r="S14" s="624">
        <v>0.90502527949833722</v>
      </c>
      <c r="T14" s="625"/>
      <c r="U14" s="626">
        <v>1</v>
      </c>
      <c r="W14" s="86">
        <f t="shared" ref="W14:W19" si="1">ROUND($Q14*$S14*$U14,2)</f>
        <v>10601727.390000001</v>
      </c>
      <c r="X14" s="593"/>
      <c r="Y14" s="198"/>
    </row>
    <row r="15" spans="1:25" ht="18.95" customHeight="1">
      <c r="A15" s="582">
        <f>A14+1</f>
        <v>2</v>
      </c>
      <c r="B15" s="582">
        <v>182</v>
      </c>
      <c r="C15" s="616" t="s">
        <v>2645</v>
      </c>
      <c r="D15" s="86">
        <v>141611446.49000001</v>
      </c>
      <c r="E15" s="86">
        <v>141611446.49000001</v>
      </c>
      <c r="F15" s="86">
        <v>141611446.49000001</v>
      </c>
      <c r="G15" s="86">
        <v>140315179.49000001</v>
      </c>
      <c r="H15" s="86">
        <v>140315179.49000001</v>
      </c>
      <c r="I15" s="86">
        <v>140315179.49000001</v>
      </c>
      <c r="J15" s="86">
        <v>134679265.48999998</v>
      </c>
      <c r="K15" s="86">
        <v>134008593.38693801</v>
      </c>
      <c r="L15" s="86">
        <v>133337921.283876</v>
      </c>
      <c r="M15" s="86">
        <v>133248610.054388</v>
      </c>
      <c r="N15" s="86">
        <v>132577937.95132701</v>
      </c>
      <c r="O15" s="86">
        <v>131907265.84826501</v>
      </c>
      <c r="P15" s="86">
        <v>131817954.61877701</v>
      </c>
      <c r="Q15" s="86">
        <f t="shared" si="0"/>
        <v>136719802.04412085</v>
      </c>
      <c r="R15" s="584"/>
      <c r="S15" s="624">
        <v>0.90502527949833722</v>
      </c>
      <c r="T15" s="625"/>
      <c r="U15" s="626">
        <v>1</v>
      </c>
      <c r="W15" s="86">
        <f t="shared" si="1"/>
        <v>123734877.06</v>
      </c>
      <c r="X15" s="593"/>
      <c r="Y15" s="198"/>
    </row>
    <row r="16" spans="1:25" ht="18.95" customHeight="1">
      <c r="A16" s="636">
        <f t="shared" ref="A16:A19" si="2">A15+1</f>
        <v>3</v>
      </c>
      <c r="B16" s="582">
        <v>183</v>
      </c>
      <c r="C16" s="616" t="s">
        <v>2646</v>
      </c>
      <c r="D16" s="86">
        <v>4848826.66</v>
      </c>
      <c r="E16" s="86">
        <v>4644877.04</v>
      </c>
      <c r="F16" s="86">
        <v>4346076.97</v>
      </c>
      <c r="G16" s="86">
        <v>4126894.18</v>
      </c>
      <c r="H16" s="86">
        <v>4291454.1399999997</v>
      </c>
      <c r="I16" s="86">
        <v>4266475.8</v>
      </c>
      <c r="J16" s="86">
        <v>4177727.75</v>
      </c>
      <c r="K16" s="86">
        <v>4177727.75</v>
      </c>
      <c r="L16" s="86">
        <v>4177727.75</v>
      </c>
      <c r="M16" s="86">
        <v>4177727.75</v>
      </c>
      <c r="N16" s="86">
        <v>4177727.75</v>
      </c>
      <c r="O16" s="86">
        <v>4177727.75</v>
      </c>
      <c r="P16" s="86">
        <v>4177727.75</v>
      </c>
      <c r="Q16" s="86">
        <f>AVERAGE(D16:P16)</f>
        <v>4289899.9261538461</v>
      </c>
      <c r="R16" s="595"/>
      <c r="S16" s="624">
        <v>0.89284346803684589</v>
      </c>
      <c r="T16" s="627"/>
      <c r="U16" s="626">
        <v>1</v>
      </c>
      <c r="W16" s="86">
        <f t="shared" si="1"/>
        <v>3830209.13</v>
      </c>
      <c r="X16" s="593"/>
      <c r="Y16" s="198"/>
    </row>
    <row r="17" spans="1:25" ht="18.95" customHeight="1">
      <c r="A17" s="636">
        <f t="shared" si="2"/>
        <v>4</v>
      </c>
      <c r="B17" s="636">
        <v>184</v>
      </c>
      <c r="C17" s="616" t="s">
        <v>2666</v>
      </c>
      <c r="D17" s="86">
        <v>0</v>
      </c>
      <c r="E17" s="86">
        <v>-385837.75</v>
      </c>
      <c r="F17" s="86">
        <v>-725681.82000000007</v>
      </c>
      <c r="G17" s="86">
        <v>1671066.49</v>
      </c>
      <c r="H17" s="86">
        <v>932481.25999999989</v>
      </c>
      <c r="I17" s="86">
        <v>864082.01000000082</v>
      </c>
      <c r="J17" s="86">
        <v>3774532.3400000012</v>
      </c>
      <c r="K17" s="86">
        <v>3774532.3400000012</v>
      </c>
      <c r="L17" s="86">
        <v>3774532.3400000012</v>
      </c>
      <c r="M17" s="86">
        <v>3774532.3400000012</v>
      </c>
      <c r="N17" s="86">
        <v>3774532.3400000012</v>
      </c>
      <c r="O17" s="86">
        <v>3774532.3400000012</v>
      </c>
      <c r="P17" s="86">
        <v>3774532.3400000012</v>
      </c>
      <c r="Q17" s="86">
        <f t="shared" ref="Q17" si="3">AVERAGE(D17:P17)</f>
        <v>2213679.7361538466</v>
      </c>
      <c r="R17" s="595"/>
      <c r="S17" s="624">
        <v>0.90502527949833722</v>
      </c>
      <c r="T17" s="625"/>
      <c r="U17" s="626">
        <v>1</v>
      </c>
      <c r="W17" s="86">
        <f t="shared" si="1"/>
        <v>2003436.12</v>
      </c>
      <c r="X17" s="593"/>
      <c r="Y17" s="198"/>
    </row>
    <row r="18" spans="1:25" ht="18.95" customHeight="1">
      <c r="A18" s="636">
        <f t="shared" si="2"/>
        <v>5</v>
      </c>
      <c r="B18" s="582">
        <v>186</v>
      </c>
      <c r="C18" s="616" t="s">
        <v>2647</v>
      </c>
      <c r="D18" s="86">
        <v>12160265.299999999</v>
      </c>
      <c r="E18" s="86">
        <v>12927311.799999999</v>
      </c>
      <c r="F18" s="86">
        <v>13379601.2999999</v>
      </c>
      <c r="G18" s="86">
        <v>14014789.079999901</v>
      </c>
      <c r="H18" s="86">
        <v>14720433.129999999</v>
      </c>
      <c r="I18" s="86">
        <v>15304194.77</v>
      </c>
      <c r="J18" s="86">
        <v>15642334.73</v>
      </c>
      <c r="K18" s="86">
        <v>16221329.082234001</v>
      </c>
      <c r="L18" s="86">
        <v>16796946.914468098</v>
      </c>
      <c r="M18" s="86">
        <v>17275541.469210599</v>
      </c>
      <c r="N18" s="86">
        <v>17516080.157589</v>
      </c>
      <c r="O18" s="86">
        <v>17974528.960635498</v>
      </c>
      <c r="P18" s="86">
        <v>18438962.812869597</v>
      </c>
      <c r="Q18" s="86">
        <f t="shared" si="0"/>
        <v>15567101.500538968</v>
      </c>
      <c r="R18" s="595"/>
      <c r="S18" s="624">
        <v>0.90502527949833722</v>
      </c>
      <c r="T18" s="625"/>
      <c r="U18" s="626">
        <v>1</v>
      </c>
      <c r="W18" s="86">
        <f t="shared" si="1"/>
        <v>14088620.390000001</v>
      </c>
      <c r="X18" s="593"/>
      <c r="Y18" s="198"/>
    </row>
    <row r="19" spans="1:25" ht="18.95" customHeight="1">
      <c r="A19" s="636">
        <f t="shared" si="2"/>
        <v>6</v>
      </c>
      <c r="B19" s="582">
        <v>188</v>
      </c>
      <c r="C19" s="616" t="s">
        <v>2648</v>
      </c>
      <c r="D19" s="86">
        <v>1286608.99</v>
      </c>
      <c r="E19" s="86">
        <v>1260351.6600000001</v>
      </c>
      <c r="F19" s="86">
        <v>1234094.3299999998</v>
      </c>
      <c r="G19" s="86">
        <v>1207837</v>
      </c>
      <c r="H19" s="86">
        <v>1181579.6700000002</v>
      </c>
      <c r="I19" s="86">
        <v>1155322.3399999999</v>
      </c>
      <c r="J19" s="86">
        <v>1129065.01</v>
      </c>
      <c r="K19" s="86">
        <v>1102852.4500000002</v>
      </c>
      <c r="L19" s="86">
        <v>1076639.8899999999</v>
      </c>
      <c r="M19" s="86">
        <v>1050427.33</v>
      </c>
      <c r="N19" s="86">
        <v>1024214.77</v>
      </c>
      <c r="O19" s="86">
        <v>998002.21</v>
      </c>
      <c r="P19" s="86">
        <v>971789.65</v>
      </c>
      <c r="Q19" s="131">
        <f t="shared" si="0"/>
        <v>1129137.3307692306</v>
      </c>
      <c r="R19" s="595"/>
      <c r="S19" s="624">
        <v>0.90502527949833722</v>
      </c>
      <c r="T19" s="625"/>
      <c r="U19" s="626">
        <v>1</v>
      </c>
      <c r="W19" s="131">
        <f t="shared" si="1"/>
        <v>1021897.83</v>
      </c>
      <c r="X19" s="593"/>
      <c r="Y19" s="198"/>
    </row>
    <row r="20" spans="1:25" ht="18.95" customHeight="1">
      <c r="Y20" s="198"/>
    </row>
    <row r="21" spans="1:25" ht="18.95" customHeight="1" thickBot="1">
      <c r="A21" s="582">
        <f>A19+1</f>
        <v>7</v>
      </c>
      <c r="C21" s="581" t="s">
        <v>2649</v>
      </c>
      <c r="Q21" s="94">
        <f>SUM(Q14:Q19)</f>
        <v>171633909.21619827</v>
      </c>
      <c r="R21" s="584"/>
      <c r="T21" s="625"/>
      <c r="W21" s="94">
        <f>SUM(W14:W19)</f>
        <v>155280767.91999999</v>
      </c>
      <c r="X21" s="596"/>
      <c r="Y21" s="198"/>
    </row>
    <row r="22" spans="1:25" ht="18.95" customHeight="1" thickTop="1">
      <c r="Y22" s="198"/>
    </row>
    <row r="23" spans="1:25" ht="18.95" customHeight="1">
      <c r="A23" s="619"/>
      <c r="Y23" s="198"/>
    </row>
    <row r="24" spans="1:25" ht="38.25">
      <c r="A24" s="159" t="s">
        <v>131</v>
      </c>
      <c r="B24" s="159" t="s">
        <v>134</v>
      </c>
      <c r="C24" s="159" t="s">
        <v>205</v>
      </c>
      <c r="D24" s="620">
        <f t="shared" ref="D24:P24" si="4">D10</f>
        <v>43070</v>
      </c>
      <c r="E24" s="620">
        <f t="shared" si="4"/>
        <v>43101</v>
      </c>
      <c r="F24" s="620">
        <f t="shared" si="4"/>
        <v>43132</v>
      </c>
      <c r="G24" s="620">
        <f t="shared" si="4"/>
        <v>43160</v>
      </c>
      <c r="H24" s="620">
        <f t="shared" si="4"/>
        <v>43191</v>
      </c>
      <c r="I24" s="620">
        <f t="shared" si="4"/>
        <v>43221</v>
      </c>
      <c r="J24" s="620">
        <f t="shared" si="4"/>
        <v>43252</v>
      </c>
      <c r="K24" s="620">
        <f t="shared" si="4"/>
        <v>43282</v>
      </c>
      <c r="L24" s="620">
        <f t="shared" si="4"/>
        <v>43313</v>
      </c>
      <c r="M24" s="620">
        <f t="shared" si="4"/>
        <v>43344</v>
      </c>
      <c r="N24" s="620">
        <f t="shared" si="4"/>
        <v>43374</v>
      </c>
      <c r="O24" s="620">
        <f t="shared" si="4"/>
        <v>43405</v>
      </c>
      <c r="P24" s="620">
        <f t="shared" si="4"/>
        <v>43435</v>
      </c>
      <c r="Q24" s="159" t="s">
        <v>2641</v>
      </c>
      <c r="R24" s="159"/>
      <c r="S24" s="159" t="s">
        <v>224</v>
      </c>
      <c r="T24" s="621"/>
      <c r="U24" s="622" t="s">
        <v>2642</v>
      </c>
      <c r="V24" s="159"/>
      <c r="W24" s="159" t="s">
        <v>1422</v>
      </c>
      <c r="X24" s="623"/>
    </row>
    <row r="25" spans="1:25" ht="18.95" customHeight="1">
      <c r="Y25" s="198"/>
    </row>
    <row r="26" spans="1:25" ht="18.95" customHeight="1">
      <c r="C26" s="616" t="s">
        <v>2650</v>
      </c>
      <c r="Y26" s="198"/>
    </row>
    <row r="27" spans="1:25" ht="18.95" customHeight="1">
      <c r="Y27" s="198"/>
    </row>
    <row r="28" spans="1:25" ht="18.95" customHeight="1">
      <c r="A28" s="582">
        <f>A21+1</f>
        <v>8</v>
      </c>
      <c r="B28" s="582">
        <v>228.2</v>
      </c>
      <c r="C28" s="616" t="s">
        <v>2651</v>
      </c>
      <c r="D28" s="86">
        <v>-3421396.6599999997</v>
      </c>
      <c r="E28" s="86">
        <v>-3421396.6599999997</v>
      </c>
      <c r="F28" s="86">
        <v>-3421396.6599999997</v>
      </c>
      <c r="G28" s="86">
        <v>-3194923.08</v>
      </c>
      <c r="H28" s="86">
        <v>-3194923.08</v>
      </c>
      <c r="I28" s="86">
        <v>-3194923.08</v>
      </c>
      <c r="J28" s="86">
        <v>-3198333.0800000005</v>
      </c>
      <c r="K28" s="86">
        <v>-3198333.0800000005</v>
      </c>
      <c r="L28" s="86">
        <v>-3198333.0800000005</v>
      </c>
      <c r="M28" s="86">
        <v>-3198333.0800000005</v>
      </c>
      <c r="N28" s="86">
        <v>-3198333.0800000005</v>
      </c>
      <c r="O28" s="86">
        <v>-3198333.0800000005</v>
      </c>
      <c r="P28" s="86">
        <v>-3198333.0800000005</v>
      </c>
      <c r="Q28" s="86">
        <f>AVERAGE(D28:P28)</f>
        <v>-3249022.3676923076</v>
      </c>
      <c r="R28" s="584"/>
      <c r="S28" s="624">
        <v>0.90502527949833722</v>
      </c>
      <c r="T28" s="625"/>
      <c r="U28" s="626">
        <v>1</v>
      </c>
      <c r="W28" s="86">
        <f t="shared" ref="W28:W34" si="5">ROUND($Q28*$S28*$U28,2)</f>
        <v>-2940447.38</v>
      </c>
      <c r="X28" s="593"/>
      <c r="Y28" s="198"/>
    </row>
    <row r="29" spans="1:25" ht="18.95" customHeight="1">
      <c r="A29" s="582">
        <f t="shared" ref="A29:A34" si="6">A28+1</f>
        <v>9</v>
      </c>
      <c r="B29" s="582">
        <v>228.3</v>
      </c>
      <c r="C29" s="616" t="s">
        <v>2652</v>
      </c>
      <c r="D29" s="86">
        <v>-74784140.669999987</v>
      </c>
      <c r="E29" s="86">
        <v>-28755239.629999999</v>
      </c>
      <c r="F29" s="86">
        <v>-37572434.880000003</v>
      </c>
      <c r="G29" s="86">
        <v>-37802738.609999999</v>
      </c>
      <c r="H29" s="86">
        <v>-37172832.580000006</v>
      </c>
      <c r="I29" s="86">
        <v>-37142510.609999999</v>
      </c>
      <c r="J29" s="86">
        <v>-31385931.68</v>
      </c>
      <c r="K29" s="86">
        <v>-31439886.68</v>
      </c>
      <c r="L29" s="86">
        <v>-31493841.68</v>
      </c>
      <c r="M29" s="86">
        <v>-30201739.18</v>
      </c>
      <c r="N29" s="86">
        <v>-30255694.18</v>
      </c>
      <c r="O29" s="86">
        <v>-30309649.18</v>
      </c>
      <c r="P29" s="86">
        <v>-29017546.68</v>
      </c>
      <c r="Q29" s="86">
        <f t="shared" ref="Q29:Q34" si="7">AVERAGE(D29:P29)</f>
        <v>-35948783.556923077</v>
      </c>
      <c r="R29" s="584"/>
      <c r="S29" s="624">
        <v>0.90502527949833722</v>
      </c>
      <c r="T29" s="625"/>
      <c r="U29" s="626">
        <v>1</v>
      </c>
      <c r="W29" s="86">
        <f t="shared" si="5"/>
        <v>-32534557.890000001</v>
      </c>
      <c r="X29" s="593"/>
      <c r="Y29" s="198"/>
    </row>
    <row r="30" spans="1:25" ht="18.95" customHeight="1">
      <c r="A30" s="582">
        <f t="shared" si="6"/>
        <v>10</v>
      </c>
      <c r="B30" s="582">
        <v>242</v>
      </c>
      <c r="C30" s="616" t="s">
        <v>2653</v>
      </c>
      <c r="D30" s="86">
        <v>-18630718.700000003</v>
      </c>
      <c r="E30" s="86">
        <v>-16586394.830000002</v>
      </c>
      <c r="F30" s="86">
        <v>-18910283.469999999</v>
      </c>
      <c r="G30" s="86">
        <v>-18962578.019999985</v>
      </c>
      <c r="H30" s="86">
        <v>-15408034.319999987</v>
      </c>
      <c r="I30" s="86">
        <v>-16932662.440000001</v>
      </c>
      <c r="J30" s="86">
        <v>-19307983.740000002</v>
      </c>
      <c r="K30" s="86">
        <v>-19378907.130960796</v>
      </c>
      <c r="L30" s="86">
        <v>-19456622.888780255</v>
      </c>
      <c r="M30" s="86">
        <v>-19648870.806173053</v>
      </c>
      <c r="N30" s="86">
        <v>-19726484.965855341</v>
      </c>
      <c r="O30" s="86">
        <v>-19790018.497032933</v>
      </c>
      <c r="P30" s="86">
        <v>-19836740.860832304</v>
      </c>
      <c r="Q30" s="86">
        <f t="shared" si="7"/>
        <v>-18659715.436125744</v>
      </c>
      <c r="R30" s="584"/>
      <c r="S30" s="624">
        <v>0.90502527949833722</v>
      </c>
      <c r="T30" s="625"/>
      <c r="U30" s="626">
        <v>1</v>
      </c>
      <c r="W30" s="86">
        <f t="shared" si="5"/>
        <v>-16887514.18</v>
      </c>
      <c r="X30" s="593"/>
      <c r="Y30" s="198"/>
    </row>
    <row r="31" spans="1:25" ht="18.95" customHeight="1">
      <c r="A31" s="582">
        <f t="shared" si="6"/>
        <v>11</v>
      </c>
      <c r="B31" s="582">
        <v>253</v>
      </c>
      <c r="C31" s="616" t="s">
        <v>2654</v>
      </c>
      <c r="D31" s="86">
        <v>-1381941.38</v>
      </c>
      <c r="E31" s="86">
        <v>-3971575.6499999901</v>
      </c>
      <c r="F31" s="86">
        <v>-4798890.21</v>
      </c>
      <c r="G31" s="86">
        <v>-1858536.82</v>
      </c>
      <c r="H31" s="86">
        <v>-2127117.2599999998</v>
      </c>
      <c r="I31" s="86">
        <v>-2834116.09</v>
      </c>
      <c r="J31" s="86">
        <v>-20956053.09</v>
      </c>
      <c r="K31" s="86">
        <v>-20956053.09</v>
      </c>
      <c r="L31" s="86">
        <v>-20956053.09</v>
      </c>
      <c r="M31" s="86">
        <v>-1739959.09</v>
      </c>
      <c r="N31" s="86">
        <v>-1739959.09</v>
      </c>
      <c r="O31" s="86">
        <v>-1739959.09</v>
      </c>
      <c r="P31" s="86">
        <v>-1739959.09</v>
      </c>
      <c r="Q31" s="86">
        <f t="shared" si="7"/>
        <v>-6676936.3876923081</v>
      </c>
      <c r="R31" s="595"/>
      <c r="S31" s="624">
        <v>0.89284346803684589</v>
      </c>
      <c r="T31" s="627"/>
      <c r="U31" s="626">
        <v>1</v>
      </c>
      <c r="W31" s="86">
        <f t="shared" si="5"/>
        <v>-5961459.04</v>
      </c>
      <c r="X31" s="593"/>
      <c r="Y31" s="198"/>
    </row>
    <row r="32" spans="1:25" ht="18.95" customHeight="1">
      <c r="A32" s="582">
        <f t="shared" si="6"/>
        <v>12</v>
      </c>
      <c r="B32" s="582">
        <v>254</v>
      </c>
      <c r="C32" s="616" t="s">
        <v>2661</v>
      </c>
      <c r="D32" s="86">
        <v>-27372613</v>
      </c>
      <c r="E32" s="86">
        <v>-27372613</v>
      </c>
      <c r="F32" s="86">
        <v>-27372613</v>
      </c>
      <c r="G32" s="86">
        <v>-27451411</v>
      </c>
      <c r="H32" s="86">
        <v>-27451411</v>
      </c>
      <c r="I32" s="86">
        <v>-27451411</v>
      </c>
      <c r="J32" s="86">
        <v>-29028793</v>
      </c>
      <c r="K32" s="86">
        <v>-29045426.083333299</v>
      </c>
      <c r="L32" s="86">
        <v>-29062059.166666601</v>
      </c>
      <c r="M32" s="86">
        <v>-29078692.25</v>
      </c>
      <c r="N32" s="86">
        <v>-29095325.333333302</v>
      </c>
      <c r="O32" s="86">
        <v>-29111958.416666601</v>
      </c>
      <c r="P32" s="86">
        <v>-29128591.5</v>
      </c>
      <c r="Q32" s="86">
        <f t="shared" si="7"/>
        <v>-28309455.211538449</v>
      </c>
      <c r="R32" s="584"/>
      <c r="S32" s="624">
        <v>0.90502527949833722</v>
      </c>
      <c r="T32" s="625"/>
      <c r="U32" s="626">
        <v>1</v>
      </c>
      <c r="W32" s="86">
        <f t="shared" si="5"/>
        <v>-25620772.620000001</v>
      </c>
      <c r="X32" s="593"/>
      <c r="Y32" s="198"/>
    </row>
    <row r="33" spans="1:32" ht="18.95" customHeight="1">
      <c r="A33" s="582">
        <f t="shared" si="6"/>
        <v>13</v>
      </c>
      <c r="B33" s="628" t="s">
        <v>2655</v>
      </c>
      <c r="C33" s="616" t="s">
        <v>2656</v>
      </c>
      <c r="D33" s="86">
        <v>-67458637.353491023</v>
      </c>
      <c r="E33" s="86">
        <v>-47328261.12253885</v>
      </c>
      <c r="F33" s="86">
        <v>-53902363.243078776</v>
      </c>
      <c r="G33" s="86">
        <v>-57951893.551567629</v>
      </c>
      <c r="H33" s="86">
        <v>-55258720.613522924</v>
      </c>
      <c r="I33" s="86">
        <v>-61314212.776609138</v>
      </c>
      <c r="J33" s="86">
        <v>-61202019.206397951</v>
      </c>
      <c r="K33" s="86">
        <v>-48350599.628746681</v>
      </c>
      <c r="L33" s="86">
        <v>-68834528.721897364</v>
      </c>
      <c r="M33" s="86">
        <v>-84275361.587104827</v>
      </c>
      <c r="N33" s="86">
        <v>-101222088.56781998</v>
      </c>
      <c r="O33" s="86">
        <v>-69307096.658696726</v>
      </c>
      <c r="P33" s="86">
        <v>-117800594.67698647</v>
      </c>
      <c r="Q33" s="86">
        <f t="shared" si="7"/>
        <v>-68785105.977573723</v>
      </c>
      <c r="R33" s="595"/>
      <c r="S33" s="624">
        <v>0.89284346803684589</v>
      </c>
      <c r="T33" s="629"/>
      <c r="U33" s="630">
        <v>1</v>
      </c>
      <c r="W33" s="86">
        <f t="shared" si="5"/>
        <v>-61414332.57</v>
      </c>
      <c r="X33" s="593"/>
      <c r="Y33" s="624"/>
    </row>
    <row r="34" spans="1:32" ht="18.95" customHeight="1">
      <c r="A34" s="582">
        <f t="shared" si="6"/>
        <v>14</v>
      </c>
      <c r="B34" s="628" t="s">
        <v>2655</v>
      </c>
      <c r="C34" s="616" t="s">
        <v>2657</v>
      </c>
      <c r="D34" s="86">
        <v>-2322043.7556971759</v>
      </c>
      <c r="E34" s="86">
        <v>-1809536.6992514923</v>
      </c>
      <c r="F34" s="86">
        <v>-2197731.0419944534</v>
      </c>
      <c r="G34" s="86">
        <v>-2406718.5806061118</v>
      </c>
      <c r="H34" s="86">
        <v>-1864436.2563081267</v>
      </c>
      <c r="I34" s="86">
        <v>-1500264.7168640743</v>
      </c>
      <c r="J34" s="86">
        <v>-2463210.3972291546</v>
      </c>
      <c r="K34" s="86">
        <v>-2199096.4472554345</v>
      </c>
      <c r="L34" s="86">
        <v>-2944756.2519389144</v>
      </c>
      <c r="M34" s="86">
        <v>-3550551.38591841</v>
      </c>
      <c r="N34" s="86">
        <v>-5196262.7971975971</v>
      </c>
      <c r="O34" s="86">
        <v>-3770047.4941287455</v>
      </c>
      <c r="P34" s="86">
        <v>-5239670.114669784</v>
      </c>
      <c r="Q34" s="131">
        <f t="shared" si="7"/>
        <v>-2881871.226081498</v>
      </c>
      <c r="R34" s="595"/>
      <c r="S34" s="624">
        <v>0.89284346803684589</v>
      </c>
      <c r="T34" s="625"/>
      <c r="U34" s="626">
        <v>1</v>
      </c>
      <c r="W34" s="131">
        <f t="shared" si="5"/>
        <v>-2573059.9</v>
      </c>
      <c r="X34" s="593"/>
      <c r="Y34" s="624"/>
    </row>
    <row r="35" spans="1:32" ht="18.95" customHeight="1">
      <c r="X35" s="593"/>
    </row>
    <row r="36" spans="1:32" ht="18.95" customHeight="1" thickBot="1">
      <c r="A36" s="582">
        <f>A34+1</f>
        <v>15</v>
      </c>
      <c r="C36" s="581" t="s">
        <v>2658</v>
      </c>
      <c r="Q36" s="94">
        <f>SUM(Q28:Q34)</f>
        <v>-164510890.16362709</v>
      </c>
      <c r="R36" s="584"/>
      <c r="T36" s="625"/>
      <c r="W36" s="94">
        <f>SUM(W28:W34)</f>
        <v>-147932143.58000001</v>
      </c>
      <c r="X36" s="596"/>
    </row>
    <row r="37" spans="1:32" ht="18.95" customHeight="1" thickTop="1">
      <c r="W37" s="593"/>
      <c r="X37" s="593"/>
    </row>
    <row r="38" spans="1:32" ht="18.95" customHeight="1" thickBot="1">
      <c r="A38" s="582">
        <f>A36+1</f>
        <v>16</v>
      </c>
      <c r="B38" s="581" t="s">
        <v>3410</v>
      </c>
      <c r="C38" s="581"/>
      <c r="Q38" s="94">
        <f>Q21+Q36</f>
        <v>7123019.0525711775</v>
      </c>
      <c r="R38" s="584"/>
      <c r="T38" s="625"/>
      <c r="W38" s="94">
        <f>W21+W36</f>
        <v>7348624.3399999738</v>
      </c>
      <c r="X38" s="596"/>
    </row>
    <row r="39" spans="1:32" ht="13.5" thickTop="1"/>
    <row r="41" spans="1:32" ht="15" customHeight="1">
      <c r="B41" s="582"/>
      <c r="D41" s="86"/>
      <c r="E41" s="86"/>
      <c r="F41" s="86"/>
      <c r="G41" s="86"/>
      <c r="H41" s="86"/>
      <c r="I41" s="86"/>
      <c r="J41" s="86"/>
      <c r="K41" s="86"/>
      <c r="L41" s="86"/>
      <c r="M41" s="86"/>
      <c r="N41" s="86"/>
      <c r="O41" s="86"/>
      <c r="P41" s="86"/>
      <c r="Q41" s="86"/>
      <c r="R41" s="584"/>
      <c r="S41" s="624"/>
      <c r="T41" s="633"/>
      <c r="U41" s="630"/>
      <c r="W41" s="593"/>
      <c r="X41" s="593"/>
      <c r="Y41" s="198"/>
      <c r="AB41" s="582"/>
      <c r="AC41" s="582"/>
      <c r="AD41" s="582"/>
    </row>
    <row r="42" spans="1:32" ht="15" customHeight="1">
      <c r="B42" s="582"/>
      <c r="D42" s="86"/>
      <c r="E42" s="86"/>
      <c r="F42" s="86"/>
      <c r="G42" s="86"/>
      <c r="H42" s="86"/>
      <c r="I42" s="86"/>
      <c r="J42" s="86"/>
      <c r="K42" s="86"/>
      <c r="L42" s="86"/>
      <c r="M42" s="86"/>
      <c r="N42" s="86"/>
      <c r="O42" s="86"/>
      <c r="P42" s="86"/>
      <c r="Q42" s="86"/>
      <c r="R42" s="584"/>
      <c r="S42" s="624"/>
      <c r="T42" s="633"/>
      <c r="U42" s="630"/>
      <c r="W42" s="593"/>
      <c r="X42" s="593"/>
      <c r="Y42" s="198"/>
      <c r="AA42" s="628"/>
      <c r="AB42" s="628"/>
      <c r="AD42" s="628"/>
      <c r="AE42" s="628"/>
    </row>
    <row r="43" spans="1:32">
      <c r="D43" s="86"/>
      <c r="E43" s="86"/>
      <c r="F43" s="86"/>
      <c r="G43" s="86"/>
      <c r="H43" s="86"/>
      <c r="I43" s="86"/>
      <c r="J43" s="86"/>
      <c r="K43" s="86"/>
      <c r="L43" s="86"/>
      <c r="M43" s="86"/>
      <c r="N43" s="86"/>
      <c r="O43" s="86"/>
      <c r="P43" s="86"/>
      <c r="Q43" s="86"/>
      <c r="T43" s="634"/>
      <c r="U43" s="635"/>
      <c r="AA43" s="582"/>
      <c r="AB43" s="582"/>
      <c r="AD43" s="582"/>
      <c r="AE43" s="582"/>
    </row>
    <row r="44" spans="1:32">
      <c r="D44" s="86"/>
      <c r="E44" s="86"/>
      <c r="F44" s="86"/>
      <c r="G44" s="86"/>
      <c r="H44" s="86"/>
      <c r="I44" s="86"/>
      <c r="J44" s="86"/>
      <c r="K44" s="86"/>
      <c r="L44" s="86"/>
      <c r="M44" s="86"/>
      <c r="N44" s="86"/>
      <c r="O44" s="86"/>
      <c r="P44" s="86"/>
      <c r="Q44" s="86"/>
      <c r="T44" s="634"/>
      <c r="U44" s="635"/>
      <c r="AB44" s="582"/>
      <c r="AC44" s="582"/>
      <c r="AD44" s="582"/>
      <c r="AF44" s="582"/>
    </row>
    <row r="45" spans="1:32" ht="15" customHeight="1">
      <c r="B45" s="582"/>
      <c r="D45" s="86"/>
      <c r="E45" s="86"/>
      <c r="F45" s="86"/>
      <c r="G45" s="86"/>
      <c r="H45" s="86"/>
      <c r="I45" s="86"/>
      <c r="J45" s="86"/>
      <c r="K45" s="86"/>
      <c r="L45" s="86"/>
      <c r="M45" s="86"/>
      <c r="N45" s="86"/>
      <c r="O45" s="86"/>
      <c r="P45" s="86"/>
      <c r="Q45" s="86"/>
      <c r="R45" s="584"/>
      <c r="S45" s="624"/>
      <c r="T45" s="633"/>
      <c r="U45" s="630"/>
      <c r="W45" s="593"/>
      <c r="X45" s="593"/>
      <c r="Y45" s="198"/>
      <c r="AA45" s="593"/>
      <c r="AB45" s="593"/>
      <c r="AC45" s="631"/>
      <c r="AD45" s="593"/>
      <c r="AE45" s="593"/>
      <c r="AF45" s="632"/>
    </row>
    <row r="46" spans="1:32">
      <c r="D46" s="86"/>
      <c r="E46" s="86"/>
      <c r="F46" s="86"/>
      <c r="G46" s="86"/>
      <c r="H46" s="86"/>
      <c r="I46" s="86"/>
      <c r="J46" s="86"/>
      <c r="K46" s="86"/>
      <c r="L46" s="86"/>
      <c r="M46" s="86"/>
      <c r="N46" s="86"/>
      <c r="O46" s="86"/>
      <c r="P46" s="86"/>
      <c r="Q46" s="86"/>
      <c r="T46" s="634"/>
      <c r="U46" s="635"/>
      <c r="AA46" s="593"/>
      <c r="AB46" s="593"/>
      <c r="AC46" s="631"/>
      <c r="AD46" s="593"/>
      <c r="AE46" s="593"/>
      <c r="AF46" s="632"/>
    </row>
    <row r="47" spans="1:32">
      <c r="D47" s="86"/>
      <c r="E47" s="86"/>
      <c r="F47" s="86"/>
      <c r="G47" s="86"/>
      <c r="H47" s="86"/>
      <c r="I47" s="86"/>
      <c r="J47" s="86"/>
      <c r="K47" s="86"/>
      <c r="L47" s="86"/>
      <c r="M47" s="86"/>
      <c r="N47" s="86"/>
      <c r="O47" s="86"/>
      <c r="P47" s="86"/>
      <c r="Q47" s="86"/>
    </row>
    <row r="49" spans="1:24" ht="18.95" customHeight="1">
      <c r="A49" s="774" t="str">
        <f>$A1</f>
        <v>KENTUCKY UTILITIES COMPANY</v>
      </c>
      <c r="B49" s="777"/>
      <c r="C49" s="777"/>
      <c r="D49" s="777"/>
      <c r="E49" s="777"/>
      <c r="F49" s="777"/>
      <c r="G49" s="777"/>
      <c r="H49" s="777"/>
      <c r="I49" s="777"/>
      <c r="J49" s="777"/>
      <c r="K49" s="777"/>
      <c r="L49" s="777"/>
      <c r="M49" s="777"/>
      <c r="N49" s="777"/>
      <c r="O49" s="777"/>
      <c r="P49" s="777"/>
      <c r="Q49" s="777"/>
      <c r="R49" s="777"/>
      <c r="S49" s="777"/>
      <c r="T49" s="778"/>
      <c r="U49" s="778"/>
      <c r="V49" s="777"/>
      <c r="W49" s="777"/>
      <c r="X49" s="611"/>
    </row>
    <row r="50" spans="1:24" ht="18.95" customHeight="1">
      <c r="A50" s="774" t="str">
        <f>$A2</f>
        <v>CASE NO. 2018-00294 - RESPONSE TO PSC 2-65 (SLIPPAGE FACTOR 96.027%)</v>
      </c>
      <c r="B50" s="777"/>
      <c r="C50" s="777"/>
      <c r="D50" s="777"/>
      <c r="E50" s="777"/>
      <c r="F50" s="777"/>
      <c r="G50" s="777"/>
      <c r="H50" s="777"/>
      <c r="I50" s="777"/>
      <c r="J50" s="777"/>
      <c r="K50" s="777"/>
      <c r="L50" s="777"/>
      <c r="M50" s="777"/>
      <c r="N50" s="777"/>
      <c r="O50" s="777"/>
      <c r="P50" s="777"/>
      <c r="Q50" s="777"/>
      <c r="R50" s="777"/>
      <c r="S50" s="777"/>
      <c r="T50" s="778"/>
      <c r="U50" s="778"/>
      <c r="V50" s="777"/>
      <c r="W50" s="777"/>
      <c r="X50" s="611"/>
    </row>
    <row r="51" spans="1:24" ht="18.95" customHeight="1">
      <c r="A51" s="774" t="s">
        <v>1436</v>
      </c>
      <c r="B51" s="775"/>
      <c r="C51" s="775"/>
      <c r="D51" s="775"/>
      <c r="E51" s="775"/>
      <c r="F51" s="775"/>
      <c r="G51" s="775"/>
      <c r="H51" s="775"/>
      <c r="I51" s="775"/>
      <c r="J51" s="775"/>
      <c r="K51" s="775"/>
      <c r="L51" s="775"/>
      <c r="M51" s="775"/>
      <c r="N51" s="775"/>
      <c r="O51" s="775"/>
      <c r="P51" s="775"/>
      <c r="Q51" s="775"/>
      <c r="R51" s="775"/>
      <c r="S51" s="775"/>
      <c r="T51" s="776"/>
      <c r="U51" s="776"/>
      <c r="V51" s="775"/>
      <c r="W51" s="775"/>
      <c r="X51" s="612"/>
    </row>
    <row r="52" spans="1:24" ht="18.95" customHeight="1">
      <c r="A52" s="774" t="str">
        <f>$A4</f>
        <v>BASE YEAR FOR THE 12 MONTHS ENDED DECEMBER 31, 2018</v>
      </c>
      <c r="B52" s="777"/>
      <c r="C52" s="777"/>
      <c r="D52" s="777"/>
      <c r="E52" s="777"/>
      <c r="F52" s="777"/>
      <c r="G52" s="777"/>
      <c r="H52" s="777"/>
      <c r="I52" s="777"/>
      <c r="J52" s="777"/>
      <c r="K52" s="777"/>
      <c r="L52" s="777"/>
      <c r="M52" s="777"/>
      <c r="N52" s="777"/>
      <c r="O52" s="777"/>
      <c r="P52" s="777"/>
      <c r="Q52" s="777"/>
      <c r="R52" s="777"/>
      <c r="S52" s="777"/>
      <c r="T52" s="778"/>
      <c r="U52" s="778"/>
      <c r="V52" s="777"/>
      <c r="W52" s="777"/>
      <c r="X52" s="612"/>
    </row>
    <row r="53" spans="1:24" ht="18.95" customHeight="1">
      <c r="A53" s="613"/>
      <c r="B53" s="614"/>
      <c r="C53" s="614"/>
      <c r="D53" s="614"/>
      <c r="E53" s="614"/>
      <c r="F53" s="614"/>
      <c r="G53" s="614"/>
      <c r="H53" s="614"/>
      <c r="I53" s="614"/>
      <c r="J53" s="614"/>
      <c r="K53" s="614"/>
      <c r="L53" s="614"/>
      <c r="M53" s="614"/>
      <c r="N53" s="614"/>
      <c r="O53" s="614"/>
      <c r="P53" s="614"/>
      <c r="Q53" s="614"/>
      <c r="R53" s="614"/>
      <c r="S53" s="614"/>
      <c r="T53" s="615"/>
      <c r="U53" s="615"/>
      <c r="V53" s="614"/>
      <c r="W53" s="614"/>
      <c r="X53" s="612"/>
    </row>
    <row r="54" spans="1:24" ht="18.95" customHeight="1">
      <c r="A54" s="67" t="str">
        <f>A6</f>
        <v>DATA:__X__BASE  PERIOD____FORECASTED  PERIOD</v>
      </c>
      <c r="B54" s="614"/>
      <c r="C54" s="614"/>
      <c r="D54" s="614"/>
      <c r="E54" s="614"/>
      <c r="F54" s="614"/>
      <c r="G54" s="614"/>
      <c r="H54" s="614"/>
      <c r="I54" s="614"/>
      <c r="J54" s="614"/>
      <c r="K54" s="614"/>
      <c r="L54" s="614"/>
      <c r="M54" s="614"/>
      <c r="N54" s="614"/>
      <c r="O54" s="614"/>
      <c r="P54" s="614"/>
      <c r="Q54" s="614"/>
      <c r="R54" s="614"/>
      <c r="S54" s="614"/>
      <c r="T54" s="615"/>
      <c r="U54" s="615"/>
      <c r="V54" s="614"/>
      <c r="W54" s="74" t="s">
        <v>1437</v>
      </c>
      <c r="X54" s="612"/>
    </row>
    <row r="55" spans="1:24" ht="18.95" customHeight="1">
      <c r="A55" s="68" t="str">
        <f>A7</f>
        <v>TYPE OF FILING: __X__ ORIGINAL  _____ UPDATED  _____ REVISED</v>
      </c>
      <c r="B55" s="614"/>
      <c r="C55" s="614"/>
      <c r="D55" s="614"/>
      <c r="E55" s="614"/>
      <c r="F55" s="614"/>
      <c r="G55" s="614"/>
      <c r="H55" s="614"/>
      <c r="I55" s="614"/>
      <c r="J55" s="614"/>
      <c r="K55" s="614"/>
      <c r="L55" s="614"/>
      <c r="M55" s="614"/>
      <c r="N55" s="614"/>
      <c r="O55" s="614"/>
      <c r="P55" s="614"/>
      <c r="Q55" s="614"/>
      <c r="R55" s="614"/>
      <c r="S55" s="614"/>
      <c r="T55" s="615"/>
      <c r="U55" s="615"/>
      <c r="V55" s="614"/>
      <c r="W55" s="74" t="s">
        <v>171</v>
      </c>
      <c r="X55" s="612"/>
    </row>
    <row r="56" spans="1:24" ht="18.95" customHeight="1">
      <c r="A56" s="67" t="s">
        <v>1198</v>
      </c>
      <c r="W56" s="75" t="str">
        <f>W8</f>
        <v>WITNESS:   C. M. GARRETT</v>
      </c>
    </row>
    <row r="57" spans="1:24" ht="18.95" customHeight="1">
      <c r="A57" s="619"/>
    </row>
    <row r="58" spans="1:24" ht="38.25">
      <c r="A58" s="159" t="s">
        <v>131</v>
      </c>
      <c r="B58" s="159"/>
      <c r="C58" s="159" t="s">
        <v>205</v>
      </c>
      <c r="D58" s="620">
        <f>D10</f>
        <v>43070</v>
      </c>
      <c r="E58" s="620">
        <f t="shared" ref="E58:P58" si="8">E10</f>
        <v>43101</v>
      </c>
      <c r="F58" s="620">
        <f t="shared" si="8"/>
        <v>43132</v>
      </c>
      <c r="G58" s="620">
        <f t="shared" si="8"/>
        <v>43160</v>
      </c>
      <c r="H58" s="620">
        <f t="shared" si="8"/>
        <v>43191</v>
      </c>
      <c r="I58" s="620">
        <f t="shared" si="8"/>
        <v>43221</v>
      </c>
      <c r="J58" s="620">
        <f t="shared" si="8"/>
        <v>43252</v>
      </c>
      <c r="K58" s="620">
        <f t="shared" si="8"/>
        <v>43282</v>
      </c>
      <c r="L58" s="620">
        <f t="shared" si="8"/>
        <v>43313</v>
      </c>
      <c r="M58" s="620">
        <f t="shared" si="8"/>
        <v>43344</v>
      </c>
      <c r="N58" s="620">
        <f t="shared" si="8"/>
        <v>43374</v>
      </c>
      <c r="O58" s="620">
        <f t="shared" si="8"/>
        <v>43405</v>
      </c>
      <c r="P58" s="620">
        <f t="shared" si="8"/>
        <v>43435</v>
      </c>
      <c r="Q58" s="159" t="s">
        <v>1202</v>
      </c>
      <c r="R58" s="159"/>
      <c r="S58" s="159" t="s">
        <v>224</v>
      </c>
      <c r="T58" s="621"/>
      <c r="U58" s="622" t="s">
        <v>2642</v>
      </c>
      <c r="V58" s="159"/>
      <c r="W58" s="159" t="s">
        <v>1422</v>
      </c>
      <c r="X58" s="623"/>
    </row>
    <row r="59" spans="1:24" ht="18.95" customHeight="1"/>
    <row r="60" spans="1:24" ht="18.95" customHeight="1">
      <c r="A60" s="70">
        <v>1</v>
      </c>
      <c r="C60" s="78" t="s">
        <v>2662</v>
      </c>
      <c r="E60" s="86">
        <f ca="1">'ECR EXP B'!C25*1000</f>
        <v>2298235.0566666666</v>
      </c>
      <c r="F60" s="86">
        <f ca="1">'ECR EXP B'!D25*1000</f>
        <v>1698119.3466666667</v>
      </c>
      <c r="G60" s="86">
        <f ca="1">'ECR EXP B'!E25*1000</f>
        <v>1758975.8566666667</v>
      </c>
      <c r="H60" s="86">
        <f ca="1">'ECR EXP B'!F25*1000</f>
        <v>1732260.8666666667</v>
      </c>
      <c r="I60" s="86">
        <f ca="1">'ECR EXP B'!G25*1000</f>
        <v>2023255.4866666666</v>
      </c>
      <c r="J60" s="86">
        <f ca="1">'ECR EXP B'!H25*1000</f>
        <v>1883738.3966666667</v>
      </c>
      <c r="K60" s="86">
        <f>'ECR EXP B'!I25*1000</f>
        <v>1763197</v>
      </c>
      <c r="L60" s="86">
        <f>'ECR EXP B'!J25*1000</f>
        <v>2139506</v>
      </c>
      <c r="M60" s="86">
        <f>'ECR EXP B'!K25*1000</f>
        <v>1908887.9999999902</v>
      </c>
      <c r="N60" s="86">
        <f>'ECR EXP B'!L25*1000</f>
        <v>1954860.0000000002</v>
      </c>
      <c r="O60" s="86">
        <f>'ECR EXP B'!M25*1000</f>
        <v>1887695</v>
      </c>
      <c r="P60" s="86">
        <f>'ECR EXP B'!N25*1000</f>
        <v>2151335.9999999902</v>
      </c>
      <c r="Q60" s="86">
        <f ca="1">SUM(E60:P60)</f>
        <v>23200067.009999979</v>
      </c>
      <c r="S60" s="585">
        <v>1</v>
      </c>
      <c r="W60" s="86">
        <f ca="1">Q60*S60</f>
        <v>23200067.009999979</v>
      </c>
    </row>
    <row r="61" spans="1:24" ht="18.95" customHeight="1">
      <c r="A61" s="70"/>
      <c r="C61" s="78"/>
      <c r="Q61" s="86"/>
      <c r="W61" s="86"/>
    </row>
    <row r="62" spans="1:24" ht="18.95" customHeight="1">
      <c r="A62" s="70">
        <v>2</v>
      </c>
      <c r="C62" s="78" t="s">
        <v>1438</v>
      </c>
      <c r="E62" s="86">
        <v>0</v>
      </c>
      <c r="F62" s="86">
        <v>0</v>
      </c>
      <c r="G62" s="86">
        <v>0</v>
      </c>
      <c r="H62" s="86">
        <v>0</v>
      </c>
      <c r="I62" s="86">
        <v>0</v>
      </c>
      <c r="J62" s="86">
        <v>0</v>
      </c>
      <c r="K62" s="86">
        <v>0</v>
      </c>
      <c r="L62" s="86">
        <v>0</v>
      </c>
      <c r="M62" s="86">
        <v>0</v>
      </c>
      <c r="N62" s="86">
        <v>0</v>
      </c>
      <c r="O62" s="86">
        <v>0</v>
      </c>
      <c r="P62" s="86">
        <v>0</v>
      </c>
      <c r="Q62" s="131">
        <f>SUM(E62:P62)</f>
        <v>0</v>
      </c>
      <c r="S62" s="585">
        <v>1</v>
      </c>
      <c r="W62" s="131">
        <f>Q62*S62</f>
        <v>0</v>
      </c>
    </row>
    <row r="63" spans="1:24" ht="18.95" customHeight="1">
      <c r="A63" s="70"/>
      <c r="C63" s="78"/>
      <c r="Q63" s="86"/>
      <c r="W63" s="86"/>
    </row>
    <row r="64" spans="1:24" ht="18.95" customHeight="1" thickBot="1">
      <c r="A64" s="70">
        <v>3</v>
      </c>
      <c r="C64" s="78" t="s">
        <v>1439</v>
      </c>
      <c r="Q64" s="94">
        <f ca="1">Q60-Q62</f>
        <v>23200067.009999979</v>
      </c>
      <c r="W64" s="94">
        <f ca="1">W60-W62</f>
        <v>23200067.009999979</v>
      </c>
    </row>
    <row r="65" spans="1:32" ht="18.95" customHeight="1" thickTop="1">
      <c r="A65" s="70"/>
      <c r="C65" s="78"/>
      <c r="Q65" s="86"/>
      <c r="W65" s="86"/>
    </row>
    <row r="66" spans="1:32" ht="18.95" customHeight="1" thickBot="1">
      <c r="A66" s="70">
        <v>4</v>
      </c>
      <c r="C66" s="78" t="s">
        <v>2659</v>
      </c>
      <c r="Q66" s="94">
        <f ca="1">Q64*0.125</f>
        <v>2900008.3762499974</v>
      </c>
      <c r="W66" s="94">
        <f ca="1">W64*0.125</f>
        <v>2900008.3762499974</v>
      </c>
    </row>
    <row r="67" spans="1:32" s="582" customFormat="1" ht="18.95" customHeight="1" thickTop="1">
      <c r="B67" s="581"/>
      <c r="C67" s="616"/>
      <c r="D67" s="581"/>
      <c r="E67" s="581"/>
      <c r="F67" s="581"/>
      <c r="G67" s="581"/>
      <c r="H67" s="581"/>
      <c r="I67" s="581"/>
      <c r="J67" s="581"/>
      <c r="K67" s="581"/>
      <c r="L67" s="581"/>
      <c r="M67" s="581"/>
      <c r="N67" s="581"/>
      <c r="O67" s="581"/>
      <c r="P67" s="581"/>
      <c r="Q67" s="581"/>
      <c r="R67" s="581"/>
      <c r="S67" s="585"/>
      <c r="T67" s="617"/>
      <c r="U67" s="618"/>
      <c r="V67" s="585"/>
      <c r="W67" s="581"/>
      <c r="X67" s="581"/>
      <c r="Y67" s="581"/>
      <c r="Z67" s="581"/>
      <c r="AA67" s="581"/>
      <c r="AB67" s="581"/>
      <c r="AC67" s="581"/>
      <c r="AD67" s="581"/>
      <c r="AE67" s="581"/>
      <c r="AF67" s="581"/>
    </row>
    <row r="68" spans="1:32" s="582" customFormat="1" ht="18.95" customHeight="1">
      <c r="B68" s="581"/>
      <c r="C68" s="616"/>
      <c r="D68" s="581"/>
      <c r="E68" s="581"/>
      <c r="F68" s="581"/>
      <c r="G68" s="581"/>
      <c r="H68" s="581"/>
      <c r="I68" s="581"/>
      <c r="J68" s="581"/>
      <c r="K68" s="581"/>
      <c r="L68" s="581"/>
      <c r="M68" s="581"/>
      <c r="N68" s="581"/>
      <c r="O68" s="581"/>
      <c r="P68" s="581"/>
      <c r="Q68" s="581"/>
      <c r="R68" s="581"/>
      <c r="S68" s="585"/>
      <c r="T68" s="617"/>
      <c r="U68" s="618"/>
      <c r="V68" s="585"/>
      <c r="W68" s="581"/>
      <c r="X68" s="581"/>
      <c r="Y68" s="581"/>
      <c r="Z68" s="581"/>
      <c r="AA68" s="581"/>
      <c r="AB68" s="581"/>
      <c r="AC68" s="581"/>
      <c r="AD68" s="581"/>
      <c r="AE68" s="581"/>
      <c r="AF68" s="581"/>
    </row>
    <row r="69" spans="1:32" s="582" customFormat="1" ht="18.95" customHeight="1">
      <c r="B69" s="581"/>
      <c r="C69" s="616"/>
      <c r="D69" s="581"/>
      <c r="E69" s="581"/>
      <c r="F69" s="581"/>
      <c r="G69" s="581"/>
      <c r="H69" s="581"/>
      <c r="I69" s="581"/>
      <c r="J69" s="581"/>
      <c r="K69" s="581"/>
      <c r="L69" s="581"/>
      <c r="M69" s="581"/>
      <c r="N69" s="581"/>
      <c r="O69" s="581"/>
      <c r="P69" s="581"/>
      <c r="Q69" s="581"/>
      <c r="R69" s="581"/>
      <c r="S69" s="585"/>
      <c r="T69" s="617"/>
      <c r="U69" s="618"/>
      <c r="V69" s="585"/>
      <c r="W69" s="581"/>
      <c r="X69" s="581"/>
      <c r="Y69" s="581"/>
      <c r="Z69" s="581"/>
      <c r="AA69" s="581"/>
      <c r="AB69" s="581"/>
      <c r="AC69" s="581"/>
      <c r="AD69" s="581"/>
      <c r="AE69" s="581"/>
      <c r="AF69" s="581"/>
    </row>
    <row r="70" spans="1:32" s="582" customFormat="1" ht="18.95" customHeight="1">
      <c r="B70" s="581"/>
      <c r="C70" s="616"/>
      <c r="D70" s="581"/>
      <c r="E70" s="581"/>
      <c r="F70" s="581"/>
      <c r="G70" s="581"/>
      <c r="H70" s="581"/>
      <c r="I70" s="581"/>
      <c r="J70" s="581"/>
      <c r="K70" s="581"/>
      <c r="L70" s="581"/>
      <c r="M70" s="581"/>
      <c r="N70" s="581"/>
      <c r="O70" s="581"/>
      <c r="P70" s="581"/>
      <c r="Q70" s="581"/>
      <c r="R70" s="581"/>
      <c r="S70" s="585"/>
      <c r="T70" s="617"/>
      <c r="U70" s="618"/>
      <c r="V70" s="585"/>
      <c r="W70" s="581"/>
      <c r="X70" s="581"/>
      <c r="Y70" s="581"/>
      <c r="Z70" s="581"/>
      <c r="AA70" s="581"/>
      <c r="AB70" s="581"/>
      <c r="AC70" s="581"/>
      <c r="AD70" s="581"/>
      <c r="AE70" s="581"/>
      <c r="AF70" s="581"/>
    </row>
    <row r="71" spans="1:32" s="582" customFormat="1" ht="18.95" customHeight="1">
      <c r="B71" s="581"/>
      <c r="C71" s="616"/>
      <c r="D71" s="581"/>
      <c r="E71" s="581"/>
      <c r="F71" s="581"/>
      <c r="G71" s="581"/>
      <c r="H71" s="581"/>
      <c r="I71" s="581"/>
      <c r="J71" s="581"/>
      <c r="K71" s="581"/>
      <c r="L71" s="581"/>
      <c r="M71" s="581"/>
      <c r="N71" s="581"/>
      <c r="O71" s="581"/>
      <c r="P71" s="581"/>
      <c r="Q71" s="581"/>
      <c r="R71" s="581"/>
      <c r="S71" s="585"/>
      <c r="T71" s="617"/>
      <c r="U71" s="618"/>
      <c r="V71" s="585"/>
      <c r="W71" s="581"/>
      <c r="X71" s="581"/>
      <c r="Y71" s="581"/>
      <c r="Z71" s="581"/>
      <c r="AA71" s="581"/>
      <c r="AB71" s="581"/>
      <c r="AC71" s="581"/>
      <c r="AD71" s="581"/>
      <c r="AE71" s="581"/>
      <c r="AF71" s="581"/>
    </row>
    <row r="72" spans="1:32" s="582" customFormat="1" ht="18.95" customHeight="1">
      <c r="B72" s="581"/>
      <c r="C72" s="616"/>
      <c r="D72" s="581"/>
      <c r="E72" s="581"/>
      <c r="F72" s="581"/>
      <c r="G72" s="581"/>
      <c r="H72" s="581"/>
      <c r="I72" s="581"/>
      <c r="J72" s="581"/>
      <c r="K72" s="581"/>
      <c r="L72" s="581"/>
      <c r="M72" s="581"/>
      <c r="N72" s="581"/>
      <c r="O72" s="581"/>
      <c r="P72" s="581"/>
      <c r="Q72" s="581"/>
      <c r="R72" s="581"/>
      <c r="S72" s="585"/>
      <c r="T72" s="617"/>
      <c r="U72" s="618"/>
      <c r="V72" s="585"/>
      <c r="W72" s="581"/>
      <c r="X72" s="581"/>
      <c r="Y72" s="581"/>
      <c r="Z72" s="581"/>
      <c r="AA72" s="581"/>
      <c r="AB72" s="581"/>
      <c r="AC72" s="581"/>
      <c r="AD72" s="581"/>
      <c r="AE72" s="581"/>
      <c r="AF72" s="581"/>
    </row>
    <row r="73" spans="1:32" s="582" customFormat="1" ht="18.95" customHeight="1">
      <c r="B73" s="581"/>
      <c r="C73" s="616"/>
      <c r="D73" s="581"/>
      <c r="E73" s="581"/>
      <c r="F73" s="581"/>
      <c r="G73" s="581"/>
      <c r="H73" s="581"/>
      <c r="I73" s="581"/>
      <c r="J73" s="581"/>
      <c r="K73" s="581"/>
      <c r="L73" s="581"/>
      <c r="M73" s="581"/>
      <c r="N73" s="581"/>
      <c r="O73" s="581"/>
      <c r="P73" s="581"/>
      <c r="Q73" s="581"/>
      <c r="R73" s="581"/>
      <c r="S73" s="585"/>
      <c r="T73" s="617"/>
      <c r="U73" s="618"/>
      <c r="V73" s="585"/>
      <c r="W73" s="581"/>
      <c r="X73" s="581"/>
      <c r="Y73" s="581"/>
      <c r="Z73" s="581"/>
      <c r="AA73" s="581"/>
      <c r="AB73" s="581"/>
      <c r="AC73" s="581"/>
      <c r="AD73" s="581"/>
      <c r="AE73" s="581"/>
      <c r="AF73" s="581"/>
    </row>
    <row r="74" spans="1:32" s="582" customFormat="1" ht="18.95" customHeight="1">
      <c r="B74" s="581"/>
      <c r="C74" s="616"/>
      <c r="D74" s="581"/>
      <c r="E74" s="581"/>
      <c r="F74" s="581"/>
      <c r="G74" s="581"/>
      <c r="H74" s="581"/>
      <c r="I74" s="581"/>
      <c r="J74" s="581"/>
      <c r="K74" s="581"/>
      <c r="L74" s="581"/>
      <c r="M74" s="581"/>
      <c r="N74" s="581"/>
      <c r="O74" s="581"/>
      <c r="P74" s="581"/>
      <c r="Q74" s="581"/>
      <c r="R74" s="581"/>
      <c r="S74" s="585"/>
      <c r="T74" s="617"/>
      <c r="U74" s="618"/>
      <c r="V74" s="585"/>
      <c r="W74" s="581"/>
      <c r="X74" s="581"/>
      <c r="Y74" s="581"/>
      <c r="Z74" s="581"/>
      <c r="AA74" s="581"/>
      <c r="AB74" s="581"/>
      <c r="AC74" s="581"/>
      <c r="AD74" s="581"/>
      <c r="AE74" s="581"/>
      <c r="AF74" s="581"/>
    </row>
    <row r="75" spans="1:32" s="582" customFormat="1" ht="18.95" customHeight="1">
      <c r="B75" s="581"/>
      <c r="C75" s="616"/>
      <c r="D75" s="581"/>
      <c r="E75" s="581"/>
      <c r="F75" s="581"/>
      <c r="G75" s="581"/>
      <c r="H75" s="581"/>
      <c r="I75" s="581"/>
      <c r="J75" s="581"/>
      <c r="K75" s="581"/>
      <c r="L75" s="581"/>
      <c r="M75" s="581"/>
      <c r="N75" s="581"/>
      <c r="O75" s="581"/>
      <c r="P75" s="581"/>
      <c r="Q75" s="581"/>
      <c r="R75" s="581"/>
      <c r="S75" s="585"/>
      <c r="T75" s="617"/>
      <c r="U75" s="618"/>
      <c r="V75" s="585"/>
      <c r="W75" s="581"/>
      <c r="X75" s="581"/>
      <c r="Y75" s="581"/>
      <c r="Z75" s="581"/>
      <c r="AA75" s="581"/>
      <c r="AB75" s="581"/>
      <c r="AC75" s="581"/>
      <c r="AD75" s="581"/>
      <c r="AE75" s="581"/>
      <c r="AF75" s="581"/>
    </row>
    <row r="76" spans="1:32" s="582" customFormat="1" ht="18.95" customHeight="1">
      <c r="B76" s="581"/>
      <c r="C76" s="616"/>
      <c r="D76" s="581"/>
      <c r="E76" s="581"/>
      <c r="F76" s="581"/>
      <c r="G76" s="581"/>
      <c r="H76" s="581"/>
      <c r="I76" s="581"/>
      <c r="J76" s="581"/>
      <c r="K76" s="581"/>
      <c r="L76" s="581"/>
      <c r="M76" s="581"/>
      <c r="N76" s="581"/>
      <c r="O76" s="581"/>
      <c r="P76" s="581"/>
      <c r="Q76" s="581"/>
      <c r="R76" s="581"/>
      <c r="S76" s="585"/>
      <c r="T76" s="617"/>
      <c r="U76" s="618"/>
      <c r="V76" s="585"/>
      <c r="W76" s="581"/>
      <c r="X76" s="581"/>
      <c r="Y76" s="581"/>
      <c r="Z76" s="581"/>
      <c r="AA76" s="581"/>
      <c r="AB76" s="581"/>
      <c r="AC76" s="581"/>
      <c r="AD76" s="581"/>
      <c r="AE76" s="581"/>
      <c r="AF76" s="581"/>
    </row>
    <row r="77" spans="1:32" s="582" customFormat="1" ht="18.95" customHeight="1">
      <c r="B77" s="581"/>
      <c r="C77" s="616"/>
      <c r="D77" s="581"/>
      <c r="E77" s="581"/>
      <c r="F77" s="581"/>
      <c r="G77" s="581"/>
      <c r="H77" s="581"/>
      <c r="I77" s="581"/>
      <c r="J77" s="581"/>
      <c r="K77" s="581"/>
      <c r="L77" s="581"/>
      <c r="M77" s="581"/>
      <c r="N77" s="581"/>
      <c r="O77" s="581"/>
      <c r="P77" s="581"/>
      <c r="Q77" s="581"/>
      <c r="R77" s="581"/>
      <c r="S77" s="585"/>
      <c r="T77" s="617"/>
      <c r="U77" s="618"/>
      <c r="V77" s="585"/>
      <c r="W77" s="581"/>
      <c r="X77" s="581"/>
      <c r="Y77" s="581"/>
      <c r="Z77" s="581"/>
      <c r="AA77" s="581"/>
      <c r="AB77" s="581"/>
      <c r="AC77" s="581"/>
      <c r="AD77" s="581"/>
      <c r="AE77" s="581"/>
      <c r="AF77" s="581"/>
    </row>
    <row r="78" spans="1:32" s="582" customFormat="1" ht="18.95" customHeight="1">
      <c r="B78" s="581"/>
      <c r="C78" s="616"/>
      <c r="D78" s="581"/>
      <c r="E78" s="581"/>
      <c r="F78" s="581"/>
      <c r="G78" s="581"/>
      <c r="H78" s="581"/>
      <c r="I78" s="581"/>
      <c r="J78" s="581"/>
      <c r="K78" s="581"/>
      <c r="L78" s="581"/>
      <c r="M78" s="581"/>
      <c r="N78" s="581"/>
      <c r="O78" s="581"/>
      <c r="P78" s="581"/>
      <c r="Q78" s="581"/>
      <c r="R78" s="581"/>
      <c r="S78" s="585"/>
      <c r="T78" s="617"/>
      <c r="U78" s="618"/>
      <c r="V78" s="585"/>
      <c r="W78" s="581"/>
      <c r="X78" s="581"/>
      <c r="Y78" s="581"/>
      <c r="Z78" s="581"/>
      <c r="AA78" s="581"/>
      <c r="AB78" s="581"/>
      <c r="AC78" s="581"/>
      <c r="AD78" s="581"/>
      <c r="AE78" s="581"/>
      <c r="AF78" s="581"/>
    </row>
    <row r="79" spans="1:32" s="582" customFormat="1" ht="18.95" customHeight="1">
      <c r="B79" s="581"/>
      <c r="C79" s="616"/>
      <c r="D79" s="581"/>
      <c r="E79" s="581"/>
      <c r="F79" s="581"/>
      <c r="G79" s="581"/>
      <c r="H79" s="581"/>
      <c r="I79" s="581"/>
      <c r="J79" s="581"/>
      <c r="K79" s="581"/>
      <c r="L79" s="581"/>
      <c r="M79" s="581"/>
      <c r="N79" s="581"/>
      <c r="O79" s="581"/>
      <c r="P79" s="581"/>
      <c r="Q79" s="581"/>
      <c r="R79" s="581"/>
      <c r="S79" s="585"/>
      <c r="T79" s="617"/>
      <c r="U79" s="618"/>
      <c r="V79" s="585"/>
      <c r="W79" s="581"/>
      <c r="X79" s="581"/>
      <c r="Y79" s="581"/>
      <c r="Z79" s="581"/>
      <c r="AA79" s="581"/>
      <c r="AB79" s="581"/>
      <c r="AC79" s="581"/>
      <c r="AD79" s="581"/>
      <c r="AE79" s="581"/>
      <c r="AF79" s="581"/>
    </row>
    <row r="80" spans="1:32" s="582" customFormat="1" ht="18.95" customHeight="1">
      <c r="B80" s="581"/>
      <c r="C80" s="616"/>
      <c r="D80" s="581"/>
      <c r="E80" s="581"/>
      <c r="F80" s="581"/>
      <c r="G80" s="581"/>
      <c r="H80" s="581"/>
      <c r="I80" s="581"/>
      <c r="J80" s="581"/>
      <c r="K80" s="581"/>
      <c r="L80" s="581"/>
      <c r="M80" s="581"/>
      <c r="N80" s="581"/>
      <c r="O80" s="581"/>
      <c r="P80" s="581"/>
      <c r="Q80" s="581"/>
      <c r="R80" s="581"/>
      <c r="S80" s="585"/>
      <c r="T80" s="617"/>
      <c r="U80" s="618"/>
      <c r="V80" s="585"/>
      <c r="W80" s="581"/>
      <c r="X80" s="581"/>
      <c r="Y80" s="581"/>
      <c r="Z80" s="581"/>
      <c r="AA80" s="581"/>
      <c r="AB80" s="581"/>
      <c r="AC80" s="581"/>
      <c r="AD80" s="581"/>
      <c r="AE80" s="581"/>
      <c r="AF80" s="581"/>
    </row>
    <row r="81" spans="2:32" s="582" customFormat="1" ht="18.95" customHeight="1">
      <c r="B81" s="581"/>
      <c r="C81" s="616"/>
      <c r="D81" s="581"/>
      <c r="E81" s="581"/>
      <c r="F81" s="581"/>
      <c r="G81" s="581"/>
      <c r="H81" s="581"/>
      <c r="I81" s="581"/>
      <c r="J81" s="581"/>
      <c r="K81" s="581"/>
      <c r="L81" s="581"/>
      <c r="M81" s="581"/>
      <c r="N81" s="581"/>
      <c r="O81" s="581"/>
      <c r="P81" s="581"/>
      <c r="Q81" s="581"/>
      <c r="R81" s="581"/>
      <c r="S81" s="585"/>
      <c r="T81" s="617"/>
      <c r="U81" s="618"/>
      <c r="V81" s="585"/>
      <c r="W81" s="581"/>
      <c r="X81" s="581"/>
      <c r="Y81" s="581"/>
      <c r="Z81" s="581"/>
      <c r="AA81" s="581"/>
      <c r="AB81" s="581"/>
      <c r="AC81" s="581"/>
      <c r="AD81" s="581"/>
      <c r="AE81" s="581"/>
      <c r="AF81" s="581"/>
    </row>
    <row r="82" spans="2:32" s="582" customFormat="1" ht="18.95" customHeight="1">
      <c r="B82" s="581"/>
      <c r="C82" s="616"/>
      <c r="D82" s="581"/>
      <c r="E82" s="581"/>
      <c r="F82" s="581"/>
      <c r="G82" s="581"/>
      <c r="H82" s="581"/>
      <c r="I82" s="581"/>
      <c r="J82" s="581"/>
      <c r="K82" s="581"/>
      <c r="L82" s="581"/>
      <c r="M82" s="581"/>
      <c r="N82" s="581"/>
      <c r="O82" s="581"/>
      <c r="P82" s="581"/>
      <c r="Q82" s="581"/>
      <c r="R82" s="581"/>
      <c r="S82" s="585"/>
      <c r="T82" s="617"/>
      <c r="U82" s="618"/>
      <c r="V82" s="585"/>
      <c r="W82" s="581"/>
      <c r="X82" s="581"/>
      <c r="Y82" s="581"/>
      <c r="Z82" s="581"/>
      <c r="AA82" s="581"/>
      <c r="AB82" s="581"/>
      <c r="AC82" s="581"/>
      <c r="AD82" s="581"/>
      <c r="AE82" s="581"/>
      <c r="AF82" s="581"/>
    </row>
    <row r="83" spans="2:32" s="582" customFormat="1" ht="18.95" customHeight="1">
      <c r="B83" s="581"/>
      <c r="C83" s="616"/>
      <c r="D83" s="581"/>
      <c r="E83" s="581"/>
      <c r="F83" s="581"/>
      <c r="G83" s="581"/>
      <c r="H83" s="581"/>
      <c r="I83" s="581"/>
      <c r="J83" s="581"/>
      <c r="K83" s="581"/>
      <c r="L83" s="581"/>
      <c r="M83" s="581"/>
      <c r="N83" s="581"/>
      <c r="O83" s="581"/>
      <c r="P83" s="581"/>
      <c r="Q83" s="581"/>
      <c r="R83" s="581"/>
      <c r="S83" s="585"/>
      <c r="T83" s="617"/>
      <c r="U83" s="618"/>
      <c r="V83" s="585"/>
      <c r="W83" s="581"/>
      <c r="X83" s="581"/>
      <c r="Y83" s="581"/>
      <c r="Z83" s="581"/>
      <c r="AA83" s="581"/>
      <c r="AB83" s="581"/>
      <c r="AC83" s="581"/>
      <c r="AD83" s="581"/>
      <c r="AE83" s="581"/>
      <c r="AF83" s="581"/>
    </row>
    <row r="84" spans="2:32" s="582" customFormat="1" ht="18.95" customHeight="1">
      <c r="B84" s="581"/>
      <c r="C84" s="616"/>
      <c r="D84" s="581"/>
      <c r="E84" s="581"/>
      <c r="F84" s="581"/>
      <c r="G84" s="581"/>
      <c r="H84" s="581"/>
      <c r="I84" s="581"/>
      <c r="J84" s="581"/>
      <c r="K84" s="581"/>
      <c r="L84" s="581"/>
      <c r="M84" s="581"/>
      <c r="N84" s="581"/>
      <c r="O84" s="581"/>
      <c r="P84" s="581"/>
      <c r="Q84" s="581"/>
      <c r="R84" s="581"/>
      <c r="S84" s="585"/>
      <c r="T84" s="617"/>
      <c r="U84" s="618"/>
      <c r="V84" s="585"/>
      <c r="W84" s="581"/>
      <c r="X84" s="581"/>
      <c r="Y84" s="581"/>
      <c r="Z84" s="581"/>
      <c r="AA84" s="581"/>
      <c r="AB84" s="581"/>
      <c r="AC84" s="581"/>
      <c r="AD84" s="581"/>
      <c r="AE84" s="581"/>
      <c r="AF84" s="581"/>
    </row>
    <row r="85" spans="2:32" s="582" customFormat="1" ht="18.95" customHeight="1">
      <c r="B85" s="581"/>
      <c r="C85" s="616"/>
      <c r="D85" s="581"/>
      <c r="E85" s="581"/>
      <c r="F85" s="581"/>
      <c r="G85" s="581"/>
      <c r="H85" s="581"/>
      <c r="I85" s="581"/>
      <c r="J85" s="581"/>
      <c r="K85" s="581"/>
      <c r="L85" s="581"/>
      <c r="M85" s="581"/>
      <c r="N85" s="581"/>
      <c r="O85" s="581"/>
      <c r="P85" s="581"/>
      <c r="Q85" s="581"/>
      <c r="R85" s="581"/>
      <c r="S85" s="585"/>
      <c r="T85" s="617"/>
      <c r="U85" s="618"/>
      <c r="V85" s="585"/>
      <c r="W85" s="581"/>
      <c r="X85" s="581"/>
      <c r="Y85" s="581"/>
      <c r="Z85" s="581"/>
      <c r="AA85" s="581"/>
      <c r="AB85" s="581"/>
      <c r="AC85" s="581"/>
      <c r="AD85" s="581"/>
      <c r="AE85" s="581"/>
      <c r="AF85" s="581"/>
    </row>
    <row r="86" spans="2:32" s="582" customFormat="1" ht="18.95" customHeight="1">
      <c r="B86" s="581"/>
      <c r="C86" s="616"/>
      <c r="D86" s="581"/>
      <c r="E86" s="581"/>
      <c r="F86" s="581"/>
      <c r="G86" s="581"/>
      <c r="H86" s="581"/>
      <c r="I86" s="581"/>
      <c r="J86" s="581"/>
      <c r="K86" s="581"/>
      <c r="L86" s="581"/>
      <c r="M86" s="581"/>
      <c r="N86" s="581"/>
      <c r="O86" s="581"/>
      <c r="P86" s="581"/>
      <c r="Q86" s="581"/>
      <c r="R86" s="581"/>
      <c r="S86" s="585"/>
      <c r="T86" s="617"/>
      <c r="U86" s="618"/>
      <c r="V86" s="585"/>
      <c r="W86" s="581"/>
      <c r="X86" s="581"/>
      <c r="Y86" s="581"/>
      <c r="Z86" s="581"/>
      <c r="AA86" s="581"/>
      <c r="AB86" s="581"/>
      <c r="AC86" s="581"/>
      <c r="AD86" s="581"/>
      <c r="AE86" s="581"/>
      <c r="AF86" s="581"/>
    </row>
    <row r="87" spans="2:32" s="582" customFormat="1" ht="18.95" customHeight="1">
      <c r="B87" s="581"/>
      <c r="C87" s="616"/>
      <c r="D87" s="581"/>
      <c r="E87" s="581"/>
      <c r="F87" s="581"/>
      <c r="G87" s="581"/>
      <c r="H87" s="581"/>
      <c r="I87" s="581"/>
      <c r="J87" s="581"/>
      <c r="K87" s="581"/>
      <c r="L87" s="581"/>
      <c r="M87" s="581"/>
      <c r="N87" s="581"/>
      <c r="O87" s="581"/>
      <c r="P87" s="581"/>
      <c r="Q87" s="581"/>
      <c r="R87" s="581"/>
      <c r="S87" s="585"/>
      <c r="T87" s="617"/>
      <c r="U87" s="618"/>
      <c r="V87" s="585"/>
      <c r="W87" s="581"/>
      <c r="X87" s="581"/>
      <c r="Y87" s="581"/>
      <c r="Z87" s="581"/>
      <c r="AA87" s="581"/>
      <c r="AB87" s="581"/>
      <c r="AC87" s="581"/>
      <c r="AD87" s="581"/>
      <c r="AE87" s="581"/>
      <c r="AF87" s="581"/>
    </row>
    <row r="88" spans="2:32" s="582" customFormat="1" ht="18.95" customHeight="1">
      <c r="B88" s="581"/>
      <c r="C88" s="616"/>
      <c r="D88" s="581"/>
      <c r="E88" s="581"/>
      <c r="F88" s="581"/>
      <c r="G88" s="581"/>
      <c r="H88" s="581"/>
      <c r="I88" s="581"/>
      <c r="J88" s="581"/>
      <c r="K88" s="581"/>
      <c r="L88" s="581"/>
      <c r="M88" s="581"/>
      <c r="N88" s="581"/>
      <c r="O88" s="581"/>
      <c r="P88" s="581"/>
      <c r="Q88" s="581"/>
      <c r="R88" s="581"/>
      <c r="S88" s="585"/>
      <c r="T88" s="617"/>
      <c r="U88" s="618"/>
      <c r="V88" s="585"/>
      <c r="W88" s="581"/>
      <c r="X88" s="581"/>
      <c r="Y88" s="581"/>
      <c r="Z88" s="581"/>
      <c r="AA88" s="581"/>
      <c r="AB88" s="581"/>
      <c r="AC88" s="581"/>
      <c r="AD88" s="581"/>
      <c r="AE88" s="581"/>
      <c r="AF88" s="581"/>
    </row>
    <row r="89" spans="2:32" s="582" customFormat="1" ht="18.95" customHeight="1">
      <c r="B89" s="581"/>
      <c r="C89" s="616"/>
      <c r="D89" s="581"/>
      <c r="E89" s="581"/>
      <c r="F89" s="581"/>
      <c r="G89" s="581"/>
      <c r="H89" s="581"/>
      <c r="I89" s="581"/>
      <c r="J89" s="581"/>
      <c r="K89" s="581"/>
      <c r="L89" s="581"/>
      <c r="M89" s="581"/>
      <c r="N89" s="581"/>
      <c r="O89" s="581"/>
      <c r="P89" s="581"/>
      <c r="Q89" s="581"/>
      <c r="R89" s="581"/>
      <c r="S89" s="585"/>
      <c r="T89" s="617"/>
      <c r="U89" s="618"/>
      <c r="V89" s="585"/>
      <c r="W89" s="581"/>
      <c r="X89" s="581"/>
      <c r="Y89" s="581"/>
      <c r="Z89" s="581"/>
      <c r="AA89" s="581"/>
      <c r="AB89" s="581"/>
      <c r="AC89" s="581"/>
      <c r="AD89" s="581"/>
      <c r="AE89" s="581"/>
      <c r="AF89" s="581"/>
    </row>
    <row r="90" spans="2:32" s="582" customFormat="1" ht="18.95" customHeight="1">
      <c r="B90" s="581"/>
      <c r="C90" s="616"/>
      <c r="D90" s="581"/>
      <c r="E90" s="581"/>
      <c r="F90" s="581"/>
      <c r="G90" s="581"/>
      <c r="H90" s="581"/>
      <c r="I90" s="581"/>
      <c r="J90" s="581"/>
      <c r="K90" s="581"/>
      <c r="L90" s="581"/>
      <c r="M90" s="581"/>
      <c r="N90" s="581"/>
      <c r="O90" s="581"/>
      <c r="P90" s="581"/>
      <c r="Q90" s="581"/>
      <c r="R90" s="581"/>
      <c r="S90" s="585"/>
      <c r="T90" s="617"/>
      <c r="U90" s="618"/>
      <c r="V90" s="585"/>
      <c r="W90" s="581"/>
      <c r="X90" s="581"/>
      <c r="Y90" s="581"/>
      <c r="Z90" s="581"/>
      <c r="AA90" s="581"/>
      <c r="AB90" s="581"/>
      <c r="AC90" s="581"/>
      <c r="AD90" s="581"/>
      <c r="AE90" s="581"/>
      <c r="AF90" s="581"/>
    </row>
    <row r="91" spans="2:32" s="582" customFormat="1" ht="18.95" customHeight="1">
      <c r="B91" s="581"/>
      <c r="C91" s="616"/>
      <c r="D91" s="581"/>
      <c r="E91" s="581"/>
      <c r="F91" s="581"/>
      <c r="G91" s="581"/>
      <c r="H91" s="581"/>
      <c r="I91" s="581"/>
      <c r="J91" s="581"/>
      <c r="K91" s="581"/>
      <c r="L91" s="581"/>
      <c r="M91" s="581"/>
      <c r="N91" s="581"/>
      <c r="O91" s="581"/>
      <c r="P91" s="581"/>
      <c r="Q91" s="581"/>
      <c r="R91" s="581"/>
      <c r="S91" s="585"/>
      <c r="T91" s="617"/>
      <c r="U91" s="618"/>
      <c r="V91" s="585"/>
      <c r="W91" s="581"/>
      <c r="X91" s="581"/>
      <c r="Y91" s="581"/>
      <c r="Z91" s="581"/>
      <c r="AA91" s="581"/>
      <c r="AB91" s="581"/>
      <c r="AC91" s="581"/>
      <c r="AD91" s="581"/>
      <c r="AE91" s="581"/>
      <c r="AF91" s="581"/>
    </row>
  </sheetData>
  <mergeCells count="8">
    <mergeCell ref="A51:W51"/>
    <mergeCell ref="A52:W52"/>
    <mergeCell ref="A1:W1"/>
    <mergeCell ref="A2:W2"/>
    <mergeCell ref="A3:W3"/>
    <mergeCell ref="A4:W4"/>
    <mergeCell ref="A49:W49"/>
    <mergeCell ref="A50:W50"/>
  </mergeCells>
  <printOptions horizontalCentered="1"/>
  <pageMargins left="1" right="0.5" top="1" bottom="0.5" header="0.3" footer="0.3"/>
  <pageSetup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workbookViewId="0"/>
  </sheetViews>
  <sheetFormatPr defaultColWidth="9" defaultRowHeight="12.75"/>
  <cols>
    <col min="1" max="16384" width="9" style="417"/>
  </cols>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zoomScale="85" zoomScaleNormal="85" workbookViewId="0">
      <pane xSplit="2" ySplit="10" topLeftCell="C11" activePane="bottomRight" state="frozen"/>
      <selection activeCell="K45" sqref="K45"/>
      <selection pane="topRight" activeCell="K45" sqref="K45"/>
      <selection pane="bottomLeft" activeCell="K45" sqref="K45"/>
      <selection pane="bottomRight" activeCell="K77" sqref="K77"/>
    </sheetView>
  </sheetViews>
  <sheetFormatPr defaultRowHeight="12.75"/>
  <cols>
    <col min="1" max="1" width="5.44140625" style="646" customWidth="1"/>
    <col min="2" max="2" width="42.109375" style="581" bestFit="1" customWidth="1"/>
    <col min="3" max="3" width="14.77734375" style="584" customWidth="1"/>
    <col min="4" max="4" width="2.109375" style="584" customWidth="1"/>
    <col min="5" max="5" width="9.21875" style="585" customWidth="1"/>
    <col min="6" max="6" width="2" style="585" customWidth="1"/>
    <col min="7" max="7" width="14.77734375" style="584" customWidth="1"/>
    <col min="8" max="8" width="2.21875" style="584" customWidth="1"/>
    <col min="9" max="9" width="10.33203125" style="584" customWidth="1"/>
    <col min="10" max="10" width="2.44140625" style="584" customWidth="1"/>
    <col min="11" max="11" width="8.77734375" style="584" customWidth="1"/>
    <col min="12" max="12" width="2" style="584" customWidth="1"/>
    <col min="13" max="13" width="9.77734375" style="586" customWidth="1"/>
    <col min="14" max="14" width="2.109375" style="586" customWidth="1"/>
    <col min="15" max="15" width="9.77734375" style="584" customWidth="1"/>
    <col min="16" max="16" width="2.5546875" style="584" customWidth="1"/>
    <col min="17" max="17" width="13.77734375" style="584" customWidth="1"/>
    <col min="18" max="18" width="10.88671875" style="581" customWidth="1"/>
    <col min="19" max="19" width="8.88671875" style="581"/>
    <col min="20" max="20" width="14" style="581" customWidth="1"/>
    <col min="21" max="16384" width="8.88671875" style="581"/>
  </cols>
  <sheetData>
    <row r="1" spans="1:18" ht="15.95" customHeight="1">
      <c r="A1" s="773" t="str">
        <f>'Rate Case Constants'!C9</f>
        <v>KENTUCKY UTILITIES COMPANY</v>
      </c>
      <c r="B1" s="773"/>
      <c r="C1" s="773"/>
      <c r="D1" s="773"/>
      <c r="E1" s="773"/>
      <c r="F1" s="773"/>
      <c r="G1" s="773"/>
      <c r="H1" s="773"/>
      <c r="I1" s="773"/>
      <c r="J1" s="773"/>
      <c r="K1" s="773"/>
      <c r="L1" s="773"/>
      <c r="M1" s="773"/>
      <c r="N1" s="773"/>
      <c r="O1" s="773"/>
      <c r="P1" s="773"/>
      <c r="Q1" s="773"/>
      <c r="R1" s="580"/>
    </row>
    <row r="2" spans="1:18" ht="15.95" customHeight="1">
      <c r="A2" s="773" t="str">
        <f>'Rate Case Constants'!C10</f>
        <v>CASE NO. 2018-00294 - RESPONSE TO PSC 2-65 (SLIPPAGE FACTOR 96.027%)</v>
      </c>
      <c r="B2" s="773"/>
      <c r="C2" s="773"/>
      <c r="D2" s="773"/>
      <c r="E2" s="773"/>
      <c r="F2" s="773"/>
      <c r="G2" s="773"/>
      <c r="H2" s="773"/>
      <c r="I2" s="773"/>
      <c r="J2" s="773"/>
      <c r="K2" s="773"/>
      <c r="L2" s="773"/>
      <c r="M2" s="773"/>
      <c r="N2" s="773"/>
      <c r="O2" s="773"/>
      <c r="P2" s="773"/>
      <c r="Q2" s="773"/>
      <c r="R2" s="580"/>
    </row>
    <row r="3" spans="1:18" ht="15.95" customHeight="1">
      <c r="A3" s="773" t="s">
        <v>1436</v>
      </c>
      <c r="B3" s="773"/>
      <c r="C3" s="773"/>
      <c r="D3" s="773"/>
      <c r="E3" s="773"/>
      <c r="F3" s="773"/>
      <c r="G3" s="773"/>
      <c r="H3" s="773"/>
      <c r="I3" s="773"/>
      <c r="J3" s="773"/>
      <c r="K3" s="773"/>
      <c r="L3" s="773"/>
      <c r="M3" s="773"/>
      <c r="N3" s="773"/>
      <c r="O3" s="773"/>
      <c r="P3" s="773"/>
      <c r="Q3" s="773"/>
      <c r="R3" s="580"/>
    </row>
    <row r="4" spans="1:18" ht="15.95" customHeight="1">
      <c r="A4" s="773" t="str">
        <f>'Rate Case Constants'!C21</f>
        <v>FORECAST PERIOD FOR THE 12 MONTHS ENDED APRIL 30, 2020</v>
      </c>
      <c r="B4" s="773"/>
      <c r="C4" s="773"/>
      <c r="D4" s="773"/>
      <c r="E4" s="773"/>
      <c r="F4" s="773"/>
      <c r="G4" s="773"/>
      <c r="H4" s="773"/>
      <c r="I4" s="773"/>
      <c r="J4" s="773"/>
      <c r="K4" s="773"/>
      <c r="L4" s="773"/>
      <c r="M4" s="773"/>
      <c r="N4" s="773"/>
      <c r="O4" s="773"/>
      <c r="P4" s="773"/>
      <c r="Q4" s="773"/>
      <c r="R4" s="580"/>
    </row>
    <row r="5" spans="1:18" ht="15.95" customHeight="1">
      <c r="A5" s="645"/>
      <c r="B5" s="645"/>
      <c r="C5" s="645"/>
      <c r="D5" s="645"/>
      <c r="E5" s="645"/>
      <c r="F5" s="645"/>
      <c r="G5" s="645"/>
      <c r="H5" s="645"/>
      <c r="I5" s="645"/>
      <c r="J5" s="645"/>
      <c r="K5" s="645"/>
      <c r="L5" s="645"/>
      <c r="M5" s="645"/>
      <c r="N5" s="645"/>
      <c r="O5" s="645"/>
      <c r="P5" s="645"/>
      <c r="Q5" s="645"/>
      <c r="R5" s="580"/>
    </row>
    <row r="6" spans="1:18" ht="15.95" customHeight="1">
      <c r="A6" s="67" t="s">
        <v>161</v>
      </c>
      <c r="B6" s="645"/>
      <c r="C6" s="645"/>
      <c r="D6" s="645"/>
      <c r="E6" s="645"/>
      <c r="F6" s="645"/>
      <c r="G6" s="645"/>
      <c r="H6" s="645"/>
      <c r="I6" s="645"/>
      <c r="J6" s="645"/>
      <c r="K6" s="645"/>
      <c r="L6" s="645"/>
      <c r="M6" s="645"/>
      <c r="N6" s="645"/>
      <c r="O6" s="645"/>
      <c r="P6" s="645"/>
      <c r="Q6" s="75" t="s">
        <v>1437</v>
      </c>
      <c r="R6" s="580"/>
    </row>
    <row r="7" spans="1:18" ht="15.95" customHeight="1">
      <c r="A7" s="67" t="str">
        <f>'Rate Case Constants'!C29</f>
        <v>TYPE OF FILING: __X__ ORIGINAL  _____ UPDATED  _____ REVISED</v>
      </c>
      <c r="B7" s="645"/>
      <c r="C7" s="645"/>
      <c r="D7" s="645"/>
      <c r="E7" s="645"/>
      <c r="F7" s="645"/>
      <c r="G7" s="645"/>
      <c r="H7" s="645"/>
      <c r="I7" s="645"/>
      <c r="J7" s="645"/>
      <c r="K7" s="645"/>
      <c r="L7" s="645"/>
      <c r="M7" s="645"/>
      <c r="N7" s="645"/>
      <c r="O7" s="645"/>
      <c r="P7" s="645"/>
      <c r="Q7" s="75" t="s">
        <v>168</v>
      </c>
      <c r="R7" s="580"/>
    </row>
    <row r="8" spans="1:18" ht="15.95" customHeight="1">
      <c r="A8" s="67" t="s">
        <v>1198</v>
      </c>
      <c r="B8" s="646"/>
      <c r="C8" s="646"/>
      <c r="D8" s="646"/>
      <c r="E8" s="646"/>
      <c r="F8" s="646"/>
      <c r="G8" s="646"/>
      <c r="H8" s="646"/>
      <c r="I8" s="646"/>
      <c r="J8" s="646"/>
      <c r="K8" s="646"/>
      <c r="L8" s="646"/>
      <c r="M8" s="646"/>
      <c r="N8" s="646"/>
      <c r="O8" s="646"/>
      <c r="P8" s="646"/>
      <c r="Q8" s="75" t="str">
        <f>'Rate Case Constants'!C36</f>
        <v>WITNESS:   C. M. GARRETT</v>
      </c>
      <c r="R8" s="583"/>
    </row>
    <row r="9" spans="1:18" ht="15.95" customHeight="1"/>
    <row r="10" spans="1:18" s="587" customFormat="1" ht="50.1" customHeight="1">
      <c r="A10" s="159" t="s">
        <v>131</v>
      </c>
      <c r="B10" s="159" t="s">
        <v>205</v>
      </c>
      <c r="C10" s="159" t="s">
        <v>2660</v>
      </c>
      <c r="D10" s="160"/>
      <c r="E10" s="159" t="s">
        <v>2585</v>
      </c>
      <c r="F10" s="160"/>
      <c r="G10" s="159" t="s">
        <v>2586</v>
      </c>
      <c r="H10" s="160"/>
      <c r="I10" s="159" t="s">
        <v>2587</v>
      </c>
      <c r="J10" s="160"/>
      <c r="K10" s="159" t="s">
        <v>2588</v>
      </c>
      <c r="L10" s="160"/>
      <c r="M10" s="159" t="s">
        <v>2589</v>
      </c>
      <c r="N10" s="160"/>
      <c r="O10" s="159" t="s">
        <v>2590</v>
      </c>
      <c r="P10" s="160"/>
      <c r="Q10" s="159" t="s">
        <v>2591</v>
      </c>
    </row>
    <row r="11" spans="1:18" ht="15.95" customHeight="1">
      <c r="B11" s="581" t="s">
        <v>2592</v>
      </c>
    </row>
    <row r="12" spans="1:18" ht="15.95" customHeight="1">
      <c r="A12" s="646">
        <v>1</v>
      </c>
      <c r="B12" s="588" t="s">
        <v>2593</v>
      </c>
      <c r="C12" s="589">
        <v>295804201.68000001</v>
      </c>
      <c r="D12" s="590"/>
      <c r="E12" s="591">
        <v>0.9410091595713157</v>
      </c>
      <c r="F12" s="592"/>
      <c r="G12" s="589">
        <v>278354463.22056079</v>
      </c>
      <c r="H12" s="593"/>
      <c r="I12" s="593">
        <v>760531.32027475629</v>
      </c>
      <c r="K12" s="586">
        <v>45.298333333333332</v>
      </c>
      <c r="L12" s="586"/>
      <c r="M12" s="586">
        <v>-27.28</v>
      </c>
      <c r="O12" s="586">
        <f>K12+M12</f>
        <v>18.018333333333331</v>
      </c>
      <c r="P12" s="586"/>
      <c r="Q12" s="593">
        <f>I12*O12</f>
        <v>13703506.839150649</v>
      </c>
    </row>
    <row r="13" spans="1:18" ht="15.95" customHeight="1">
      <c r="A13" s="646">
        <f>A12+1</f>
        <v>2</v>
      </c>
      <c r="B13" s="588" t="s">
        <v>2594</v>
      </c>
      <c r="C13" s="589">
        <v>127316246</v>
      </c>
      <c r="D13" s="590"/>
      <c r="E13" s="591">
        <v>0.9410091595713157</v>
      </c>
      <c r="F13" s="592"/>
      <c r="G13" s="589">
        <v>119805753.64823489</v>
      </c>
      <c r="H13" s="593"/>
      <c r="I13" s="593">
        <v>327338.12472195324</v>
      </c>
      <c r="K13" s="586">
        <v>45.298333333333332</v>
      </c>
      <c r="L13" s="586"/>
      <c r="M13" s="586">
        <v>-39.32</v>
      </c>
      <c r="O13" s="586">
        <f t="shared" ref="O13:O26" si="0">K13+M13</f>
        <v>5.9783333333333317</v>
      </c>
      <c r="P13" s="586"/>
      <c r="Q13" s="593">
        <f t="shared" ref="Q13:Q26" si="1">I13*O13</f>
        <v>1956936.4222960765</v>
      </c>
    </row>
    <row r="14" spans="1:18" ht="15.95" customHeight="1">
      <c r="A14" s="646">
        <f>A13+1</f>
        <v>3</v>
      </c>
      <c r="B14" s="588" t="s">
        <v>2595</v>
      </c>
      <c r="C14" s="589">
        <v>2965299.7</v>
      </c>
      <c r="D14" s="590"/>
      <c r="E14" s="591">
        <v>0.9410091595713157</v>
      </c>
      <c r="F14" s="592"/>
      <c r="G14" s="589">
        <v>2790374.1785740745</v>
      </c>
      <c r="H14" s="593"/>
      <c r="I14" s="593">
        <v>7623.9731655029354</v>
      </c>
      <c r="K14" s="586">
        <v>45.298333333333332</v>
      </c>
      <c r="L14" s="586"/>
      <c r="M14" s="586">
        <v>-17.32</v>
      </c>
      <c r="O14" s="586">
        <f t="shared" si="0"/>
        <v>27.978333333333332</v>
      </c>
      <c r="P14" s="586"/>
      <c r="Q14" s="593">
        <f t="shared" si="1"/>
        <v>213306.06254882962</v>
      </c>
    </row>
    <row r="15" spans="1:18" ht="15.95" customHeight="1">
      <c r="A15" s="646">
        <f>A14+1</f>
        <v>4</v>
      </c>
      <c r="B15" s="588" t="s">
        <v>2596</v>
      </c>
      <c r="C15" s="589">
        <v>11163321</v>
      </c>
      <c r="D15" s="590"/>
      <c r="E15" s="591">
        <v>0.9410091595713157</v>
      </c>
      <c r="F15" s="592"/>
      <c r="G15" s="589">
        <v>10504787.312234819</v>
      </c>
      <c r="H15" s="593"/>
      <c r="I15" s="593">
        <v>28701.60467823721</v>
      </c>
      <c r="K15" s="586">
        <v>45.298333333333332</v>
      </c>
      <c r="L15" s="586"/>
      <c r="M15" s="586">
        <v>-27.76</v>
      </c>
      <c r="O15" s="586">
        <f t="shared" si="0"/>
        <v>17.53833333333333</v>
      </c>
      <c r="P15" s="586"/>
      <c r="Q15" s="593">
        <f t="shared" si="1"/>
        <v>503378.31004848354</v>
      </c>
    </row>
    <row r="16" spans="1:18" ht="15.95" customHeight="1">
      <c r="A16" s="646">
        <f>A15+1</f>
        <v>5</v>
      </c>
      <c r="B16" s="588" t="s">
        <v>2597</v>
      </c>
      <c r="C16" s="594">
        <v>58036196.183791012</v>
      </c>
      <c r="D16" s="590"/>
      <c r="E16" s="591">
        <v>0.94025938944617093</v>
      </c>
      <c r="F16" s="592"/>
      <c r="G16" s="594">
        <v>54569078.389549531</v>
      </c>
      <c r="H16" s="593"/>
      <c r="I16" s="593">
        <v>149095.84259439763</v>
      </c>
      <c r="K16" s="586">
        <v>45.298333333333332</v>
      </c>
      <c r="L16" s="586"/>
      <c r="M16" s="586">
        <v>-23.664370061149086</v>
      </c>
      <c r="O16" s="586">
        <f t="shared" si="0"/>
        <v>21.633963272184246</v>
      </c>
      <c r="P16" s="586"/>
      <c r="Q16" s="593">
        <f t="shared" si="1"/>
        <v>3225533.9827225618</v>
      </c>
    </row>
    <row r="17" spans="1:17" ht="15.95" customHeight="1">
      <c r="A17" s="646">
        <f>A16+1</f>
        <v>6</v>
      </c>
      <c r="B17" s="588" t="s">
        <v>2598</v>
      </c>
      <c r="C17" s="589">
        <v>42880206</v>
      </c>
      <c r="D17" s="590"/>
      <c r="E17" s="591">
        <v>0.94067565256622832</v>
      </c>
      <c r="F17" s="592"/>
      <c r="G17" s="589">
        <v>40336365.7612243</v>
      </c>
      <c r="H17" s="593"/>
      <c r="I17" s="593">
        <v>110208.64962083142</v>
      </c>
      <c r="K17" s="586">
        <v>45.298333333333332</v>
      </c>
      <c r="L17" s="586"/>
      <c r="M17" s="586">
        <v>-13.010845763287058</v>
      </c>
      <c r="O17" s="586">
        <f t="shared" si="0"/>
        <v>32.287487570046274</v>
      </c>
      <c r="P17" s="586"/>
      <c r="Q17" s="593">
        <f t="shared" si="1"/>
        <v>3558360.4047441795</v>
      </c>
    </row>
    <row r="18" spans="1:17" ht="15.95" customHeight="1">
      <c r="A18" s="646">
        <f t="shared" ref="A18:A24" si="2">A17+1</f>
        <v>7</v>
      </c>
      <c r="B18" s="588" t="s">
        <v>2599</v>
      </c>
      <c r="C18" s="589">
        <v>-1845117</v>
      </c>
      <c r="D18" s="590"/>
      <c r="E18" s="591">
        <v>0.94067565256622832</v>
      </c>
      <c r="F18" s="592"/>
      <c r="G18" s="589">
        <v>-1735656.6380360415</v>
      </c>
      <c r="H18" s="593"/>
      <c r="I18" s="593">
        <v>-4742.2312514645946</v>
      </c>
      <c r="K18" s="586">
        <v>45.298333333333332</v>
      </c>
      <c r="L18" s="586"/>
      <c r="M18" s="586">
        <v>0</v>
      </c>
      <c r="O18" s="586">
        <f t="shared" si="0"/>
        <v>45.298333333333332</v>
      </c>
      <c r="P18" s="586"/>
      <c r="Q18" s="593">
        <f t="shared" si="1"/>
        <v>-214815.1719725937</v>
      </c>
    </row>
    <row r="19" spans="1:17" ht="15.95" customHeight="1">
      <c r="A19" s="646">
        <f t="shared" si="2"/>
        <v>8</v>
      </c>
      <c r="B19" s="588" t="s">
        <v>2600</v>
      </c>
      <c r="C19" s="589">
        <v>425663</v>
      </c>
      <c r="D19" s="590"/>
      <c r="E19" s="591">
        <v>0.94067565256622832</v>
      </c>
      <c r="F19" s="592"/>
      <c r="G19" s="589">
        <v>400410.82029829844</v>
      </c>
      <c r="H19" s="593"/>
      <c r="I19" s="593">
        <v>1094.0186346948044</v>
      </c>
      <c r="K19" s="586">
        <v>45.298333333333332</v>
      </c>
      <c r="L19" s="586"/>
      <c r="M19" s="586">
        <v>0</v>
      </c>
      <c r="O19" s="586">
        <f t="shared" si="0"/>
        <v>45.298333333333332</v>
      </c>
      <c r="P19" s="586"/>
      <c r="Q19" s="593">
        <f t="shared" si="1"/>
        <v>49557.220787283477</v>
      </c>
    </row>
    <row r="20" spans="1:17" ht="15.95" customHeight="1">
      <c r="A20" s="646">
        <f>A19+1</f>
        <v>9</v>
      </c>
      <c r="B20" s="588" t="s">
        <v>2601</v>
      </c>
      <c r="C20" s="589">
        <v>3289813.4510399993</v>
      </c>
      <c r="D20" s="590"/>
      <c r="E20" s="591">
        <v>0.94067565256622832</v>
      </c>
      <c r="F20" s="592"/>
      <c r="G20" s="589">
        <v>3094647.4148782068</v>
      </c>
      <c r="H20" s="593"/>
      <c r="I20" s="593">
        <v>8455.3208056781605</v>
      </c>
      <c r="K20" s="586">
        <v>45.298333333333332</v>
      </c>
      <c r="L20" s="586"/>
      <c r="M20" s="586">
        <v>-244.79</v>
      </c>
      <c r="O20" s="586">
        <f t="shared" si="0"/>
        <v>-199.49166666666667</v>
      </c>
      <c r="P20" s="586"/>
      <c r="Q20" s="593">
        <f t="shared" si="1"/>
        <v>-1686766.0397260792</v>
      </c>
    </row>
    <row r="21" spans="1:17" ht="15.95" customHeight="1">
      <c r="A21" s="646">
        <f>A20+1</f>
        <v>10</v>
      </c>
      <c r="B21" s="588" t="s">
        <v>2602</v>
      </c>
      <c r="C21" s="589">
        <v>2387490</v>
      </c>
      <c r="D21" s="590"/>
      <c r="E21" s="591">
        <v>0.94067565256622832</v>
      </c>
      <c r="F21" s="592"/>
      <c r="G21" s="589">
        <v>2245853.7137453444</v>
      </c>
      <c r="H21" s="593"/>
      <c r="I21" s="593">
        <v>6136.2123326375531</v>
      </c>
      <c r="K21" s="586">
        <v>45.298333333333332</v>
      </c>
      <c r="L21" s="586"/>
      <c r="M21" s="586">
        <v>-22.558255780356177</v>
      </c>
      <c r="O21" s="586">
        <f t="shared" si="0"/>
        <v>22.740077552977155</v>
      </c>
      <c r="P21" s="586"/>
      <c r="Q21" s="593">
        <f t="shared" si="1"/>
        <v>139537.9443257128</v>
      </c>
    </row>
    <row r="22" spans="1:17" ht="15.95" customHeight="1">
      <c r="A22" s="646">
        <f t="shared" si="2"/>
        <v>11</v>
      </c>
      <c r="B22" s="588" t="s">
        <v>2603</v>
      </c>
      <c r="C22" s="589">
        <v>1020651</v>
      </c>
      <c r="D22" s="590"/>
      <c r="E22" s="591">
        <v>0.94067565256622832</v>
      </c>
      <c r="F22" s="592"/>
      <c r="G22" s="589">
        <v>960101.54546737345</v>
      </c>
      <c r="H22" s="593"/>
      <c r="I22" s="593">
        <v>2623.2282663042993</v>
      </c>
      <c r="K22" s="586">
        <v>45.298333333333332</v>
      </c>
      <c r="L22" s="586"/>
      <c r="M22" s="586">
        <v>-283.5</v>
      </c>
      <c r="O22" s="586">
        <f t="shared" si="0"/>
        <v>-238.20166666666665</v>
      </c>
      <c r="P22" s="586"/>
      <c r="Q22" s="593">
        <f t="shared" si="1"/>
        <v>-624857.34508079453</v>
      </c>
    </row>
    <row r="23" spans="1:17" ht="15.95" customHeight="1">
      <c r="A23" s="646">
        <f t="shared" si="2"/>
        <v>12</v>
      </c>
      <c r="B23" s="588" t="s">
        <v>2604</v>
      </c>
      <c r="C23" s="594">
        <v>5155113.129999999</v>
      </c>
      <c r="E23" s="591">
        <v>0.95003195393362805</v>
      </c>
      <c r="F23" s="592"/>
      <c r="G23" s="589">
        <v>4897522.1996427998</v>
      </c>
      <c r="H23" s="593"/>
      <c r="I23" s="593">
        <v>13381.208195745354</v>
      </c>
      <c r="K23" s="586">
        <v>45.298333333333332</v>
      </c>
      <c r="L23" s="586"/>
      <c r="M23" s="586">
        <v>-131.69914670445385</v>
      </c>
      <c r="O23" s="586">
        <f t="shared" si="0"/>
        <v>-86.40081337112052</v>
      </c>
      <c r="P23" s="586"/>
      <c r="Q23" s="593">
        <f t="shared" si="1"/>
        <v>-1156147.2720007026</v>
      </c>
    </row>
    <row r="24" spans="1:17" ht="15.95" customHeight="1">
      <c r="A24" s="646">
        <f t="shared" si="2"/>
        <v>13</v>
      </c>
      <c r="B24" s="588" t="s">
        <v>2605</v>
      </c>
      <c r="C24" s="589">
        <v>3189917</v>
      </c>
      <c r="E24" s="591">
        <v>0.94057590201988206</v>
      </c>
      <c r="F24" s="592"/>
      <c r="G24" s="589">
        <v>3000359.0596435559</v>
      </c>
      <c r="H24" s="593"/>
      <c r="I24" s="593">
        <v>8197.7023487528841</v>
      </c>
      <c r="K24" s="586">
        <v>45.298333333333332</v>
      </c>
      <c r="L24" s="586"/>
      <c r="M24" s="586">
        <v>-41.741641520962055</v>
      </c>
      <c r="O24" s="586">
        <f t="shared" si="0"/>
        <v>3.5566918123712767</v>
      </c>
      <c r="P24" s="586"/>
      <c r="Q24" s="593">
        <f t="shared" si="1"/>
        <v>29156.700824066167</v>
      </c>
    </row>
    <row r="25" spans="1:17" ht="15.95" customHeight="1">
      <c r="A25" s="646">
        <f>A24+1</f>
        <v>14</v>
      </c>
      <c r="B25" s="588" t="s">
        <v>2606</v>
      </c>
      <c r="C25" s="589">
        <v>194926535.69999999</v>
      </c>
      <c r="E25" s="591">
        <v>0.93816112882560776</v>
      </c>
      <c r="F25" s="592"/>
      <c r="G25" s="589">
        <v>182872498.77037713</v>
      </c>
      <c r="H25" s="593"/>
      <c r="I25" s="593">
        <v>499651.63598463696</v>
      </c>
      <c r="K25" s="586">
        <v>45.298333333333332</v>
      </c>
      <c r="L25" s="586"/>
      <c r="M25" s="586">
        <v>-25.38804860890605</v>
      </c>
      <c r="O25" s="586">
        <f t="shared" si="0"/>
        <v>19.910284724427282</v>
      </c>
      <c r="P25" s="586"/>
      <c r="Q25" s="593">
        <f t="shared" si="1"/>
        <v>9948206.3354800176</v>
      </c>
    </row>
    <row r="26" spans="1:17" ht="15.95" customHeight="1">
      <c r="A26" s="646">
        <f>A25+1</f>
        <v>15</v>
      </c>
      <c r="B26" s="588" t="s">
        <v>2607</v>
      </c>
      <c r="C26" s="606">
        <v>188803771.28689563</v>
      </c>
      <c r="D26" s="595"/>
      <c r="E26" s="591">
        <v>0.92877855859543845</v>
      </c>
      <c r="F26" s="592"/>
      <c r="G26" s="606">
        <v>175356894.55322576</v>
      </c>
      <c r="H26" s="596"/>
      <c r="I26" s="593">
        <v>479117.19823285728</v>
      </c>
      <c r="K26" s="586">
        <v>45.298333333333332</v>
      </c>
      <c r="L26" s="586"/>
      <c r="M26" s="586">
        <v>-48.047788467578023</v>
      </c>
      <c r="O26" s="586">
        <f t="shared" si="0"/>
        <v>-2.7494551342446911</v>
      </c>
      <c r="P26" s="586"/>
      <c r="Q26" s="597">
        <f t="shared" si="1"/>
        <v>-1317311.2405862608</v>
      </c>
    </row>
    <row r="27" spans="1:17" ht="15.95" customHeight="1">
      <c r="A27" s="646">
        <f>A26+1</f>
        <v>16</v>
      </c>
      <c r="B27" s="598" t="s">
        <v>2608</v>
      </c>
      <c r="C27" s="589">
        <v>935519308.13172662</v>
      </c>
      <c r="D27" s="599"/>
      <c r="E27" s="591"/>
      <c r="F27" s="592"/>
      <c r="G27" s="589">
        <v>877453453.94962096</v>
      </c>
      <c r="H27" s="593"/>
      <c r="I27" s="593"/>
      <c r="K27" s="586"/>
      <c r="L27" s="586"/>
      <c r="O27" s="586"/>
      <c r="P27" s="586"/>
      <c r="Q27" s="593">
        <f>SUM(Q12:Q26)</f>
        <v>28327583.153561424</v>
      </c>
    </row>
    <row r="28" spans="1:17" ht="15.95" customHeight="1">
      <c r="B28" s="598"/>
      <c r="C28" s="600">
        <v>0</v>
      </c>
      <c r="D28" s="599"/>
      <c r="E28" s="591"/>
      <c r="F28" s="592"/>
      <c r="G28" s="589">
        <v>0</v>
      </c>
      <c r="I28" s="601"/>
      <c r="K28" s="586"/>
      <c r="L28" s="586"/>
      <c r="O28" s="586"/>
      <c r="P28" s="586"/>
    </row>
    <row r="29" spans="1:17" ht="15.95" customHeight="1">
      <c r="A29" s="646">
        <f>A27+1</f>
        <v>17</v>
      </c>
      <c r="B29" s="581" t="s">
        <v>2609</v>
      </c>
      <c r="C29" s="602"/>
      <c r="E29" s="591"/>
      <c r="F29" s="592"/>
      <c r="G29" s="602"/>
      <c r="I29" s="593"/>
      <c r="K29" s="586"/>
      <c r="L29" s="586"/>
      <c r="O29" s="586"/>
      <c r="P29" s="586"/>
      <c r="Q29" s="593"/>
    </row>
    <row r="30" spans="1:17" ht="15.95" customHeight="1">
      <c r="A30" s="646">
        <f>A29+1</f>
        <v>18</v>
      </c>
      <c r="B30" s="588" t="s">
        <v>2610</v>
      </c>
      <c r="C30" s="589">
        <v>358022831.3684656</v>
      </c>
      <c r="E30" s="591">
        <v>0.93591270545595673</v>
      </c>
      <c r="F30" s="592"/>
      <c r="G30" s="589">
        <v>335078116.72106242</v>
      </c>
      <c r="I30" s="593">
        <v>915513.98011219245</v>
      </c>
      <c r="K30" s="586">
        <v>45.298333333333332</v>
      </c>
      <c r="L30" s="586"/>
      <c r="M30" s="586">
        <v>0</v>
      </c>
      <c r="O30" s="586">
        <f>K30+M30</f>
        <v>45.298333333333332</v>
      </c>
      <c r="P30" s="586"/>
      <c r="Q30" s="593">
        <f>I30*O30</f>
        <v>41471257.442448795</v>
      </c>
    </row>
    <row r="31" spans="1:17" ht="15.95" customHeight="1">
      <c r="A31" s="646">
        <f>A30+1</f>
        <v>19</v>
      </c>
      <c r="B31" s="588" t="s">
        <v>2611</v>
      </c>
      <c r="C31" s="589">
        <v>9627422.6450364999</v>
      </c>
      <c r="E31" s="591">
        <v>0.88228294926012318</v>
      </c>
      <c r="F31" s="592"/>
      <c r="G31" s="589">
        <v>8494110.8450364992</v>
      </c>
      <c r="I31" s="593">
        <v>23207.953128515026</v>
      </c>
      <c r="K31" s="586">
        <v>45.298333333333332</v>
      </c>
      <c r="L31" s="586"/>
      <c r="M31" s="586">
        <v>0</v>
      </c>
      <c r="O31" s="586">
        <f>K31+M31</f>
        <v>45.298333333333332</v>
      </c>
      <c r="P31" s="586"/>
      <c r="Q31" s="593">
        <f>I31*O31</f>
        <v>1051281.5967998498</v>
      </c>
    </row>
    <row r="32" spans="1:17" ht="15.95" customHeight="1">
      <c r="A32" s="646">
        <f>A31+1</f>
        <v>20</v>
      </c>
      <c r="B32" s="588" t="s">
        <v>2612</v>
      </c>
      <c r="C32" s="589">
        <v>6650186.4000000004</v>
      </c>
      <c r="E32" s="591">
        <v>1</v>
      </c>
      <c r="F32" s="592"/>
      <c r="G32" s="589">
        <v>6650186.4000000004</v>
      </c>
      <c r="I32" s="593">
        <v>18169.908196721313</v>
      </c>
      <c r="K32" s="586">
        <v>45.298333333333332</v>
      </c>
      <c r="L32" s="586"/>
      <c r="M32" s="586">
        <v>0</v>
      </c>
      <c r="O32" s="586">
        <f>K32+M32</f>
        <v>45.298333333333332</v>
      </c>
      <c r="P32" s="586"/>
      <c r="Q32" s="593">
        <f>I32*O32</f>
        <v>823066.55813114764</v>
      </c>
    </row>
    <row r="33" spans="1:20" ht="15.95" customHeight="1">
      <c r="A33" s="646">
        <f>A32+1</f>
        <v>21</v>
      </c>
      <c r="B33" s="588" t="s">
        <v>2613</v>
      </c>
      <c r="C33" s="589">
        <v>-3183172.832000385</v>
      </c>
      <c r="E33" s="591">
        <v>1</v>
      </c>
      <c r="F33" s="592"/>
      <c r="G33" s="589">
        <v>-3183172.832000385</v>
      </c>
      <c r="I33" s="593">
        <v>-8697.1935300556961</v>
      </c>
      <c r="K33" s="586">
        <v>45.298333333333332</v>
      </c>
      <c r="L33" s="586"/>
      <c r="M33" s="586">
        <v>0</v>
      </c>
      <c r="O33" s="586">
        <f>K33+M33</f>
        <v>45.298333333333332</v>
      </c>
      <c r="P33" s="586"/>
      <c r="Q33" s="593">
        <f>I33*O33</f>
        <v>-393968.37158897292</v>
      </c>
    </row>
    <row r="34" spans="1:20" ht="15.95" customHeight="1">
      <c r="A34" s="646">
        <f>A33+1</f>
        <v>22</v>
      </c>
      <c r="B34" s="598" t="s">
        <v>2614</v>
      </c>
      <c r="C34" s="603">
        <v>371117267.58150172</v>
      </c>
      <c r="D34" s="599"/>
      <c r="E34" s="591"/>
      <c r="F34" s="592"/>
      <c r="G34" s="603">
        <v>347039241.13409853</v>
      </c>
      <c r="H34" s="593"/>
      <c r="I34" s="593"/>
      <c r="K34" s="586"/>
      <c r="L34" s="586"/>
      <c r="O34" s="586"/>
      <c r="P34" s="586"/>
      <c r="Q34" s="603">
        <f>SUM(Q30:Q33)</f>
        <v>42951637.225790821</v>
      </c>
    </row>
    <row r="35" spans="1:20" ht="15.95" customHeight="1">
      <c r="C35" s="604"/>
      <c r="E35" s="591"/>
      <c r="F35" s="592"/>
      <c r="I35" s="601"/>
      <c r="K35" s="586"/>
      <c r="L35" s="586"/>
      <c r="O35" s="586"/>
      <c r="P35" s="586"/>
    </row>
    <row r="36" spans="1:20" ht="15.95" customHeight="1">
      <c r="A36" s="646">
        <f>A34+1</f>
        <v>23</v>
      </c>
      <c r="B36" s="581" t="s">
        <v>2615</v>
      </c>
      <c r="C36" s="604"/>
      <c r="E36" s="591"/>
      <c r="F36" s="592"/>
      <c r="I36" s="601"/>
      <c r="K36" s="586"/>
      <c r="L36" s="586"/>
      <c r="O36" s="586"/>
      <c r="P36" s="586"/>
      <c r="T36" s="605"/>
    </row>
    <row r="37" spans="1:20" ht="15.95" customHeight="1">
      <c r="A37" s="646">
        <f>A36+1</f>
        <v>24</v>
      </c>
      <c r="B37" s="588" t="s">
        <v>2616</v>
      </c>
      <c r="C37" s="589">
        <v>14094097.158867382</v>
      </c>
      <c r="D37" s="590"/>
      <c r="E37" s="591">
        <v>0.98516896980990276</v>
      </c>
      <c r="F37" s="592"/>
      <c r="G37" s="589">
        <v>13885067.178401217</v>
      </c>
      <c r="H37" s="593"/>
      <c r="I37" s="593">
        <v>37937.34201748966</v>
      </c>
      <c r="K37" s="586">
        <v>45.298333333333332</v>
      </c>
      <c r="L37" s="586"/>
      <c r="M37" s="586">
        <v>-37.5</v>
      </c>
      <c r="O37" s="586">
        <f>K37+M37</f>
        <v>7.798333333333332</v>
      </c>
      <c r="P37" s="586"/>
      <c r="Q37" s="593">
        <f>I37*O37</f>
        <v>295848.03883305681</v>
      </c>
      <c r="T37" s="594"/>
    </row>
    <row r="38" spans="1:20" ht="15.95" customHeight="1">
      <c r="A38" s="646">
        <f>A37+1</f>
        <v>25</v>
      </c>
      <c r="B38" s="588" t="s">
        <v>2617</v>
      </c>
      <c r="C38" s="589">
        <v>-82536.178490870298</v>
      </c>
      <c r="D38" s="590"/>
      <c r="E38" s="591">
        <v>0.98516896980990276</v>
      </c>
      <c r="F38" s="592"/>
      <c r="G38" s="589">
        <v>-81312.081935892027</v>
      </c>
      <c r="H38" s="593"/>
      <c r="I38" s="593">
        <v>-222.16415829478697</v>
      </c>
      <c r="K38" s="586">
        <v>45.298333333333332</v>
      </c>
      <c r="L38" s="586"/>
      <c r="M38" s="586">
        <v>-37.5</v>
      </c>
      <c r="O38" s="586">
        <f>K38+M38</f>
        <v>7.798333333333332</v>
      </c>
      <c r="P38" s="586"/>
      <c r="Q38" s="593">
        <f>I38*O38</f>
        <v>-1732.5101611021801</v>
      </c>
      <c r="T38" s="594"/>
    </row>
    <row r="39" spans="1:20" ht="15.95" customHeight="1">
      <c r="A39" s="646">
        <f>A38+1</f>
        <v>26</v>
      </c>
      <c r="B39" s="588" t="s">
        <v>2618</v>
      </c>
      <c r="C39" s="606">
        <v>33729190.801169313</v>
      </c>
      <c r="D39" s="607"/>
      <c r="E39" s="591">
        <v>0.98516896980990287</v>
      </c>
      <c r="F39" s="592"/>
      <c r="G39" s="606">
        <v>33228952.154107608</v>
      </c>
      <c r="H39" s="596"/>
      <c r="I39" s="593">
        <v>90789.486759856853</v>
      </c>
      <c r="K39" s="586">
        <v>45.298333333333332</v>
      </c>
      <c r="L39" s="586"/>
      <c r="M39" s="586">
        <v>0</v>
      </c>
      <c r="O39" s="586">
        <f>K39+M39</f>
        <v>45.298333333333332</v>
      </c>
      <c r="P39" s="586"/>
      <c r="Q39" s="597">
        <f>I39*O39</f>
        <v>4112612.4344102489</v>
      </c>
      <c r="T39" s="594"/>
    </row>
    <row r="40" spans="1:20" ht="15.95" customHeight="1">
      <c r="A40" s="646">
        <f>A39+1</f>
        <v>27</v>
      </c>
      <c r="B40" s="598" t="s">
        <v>2619</v>
      </c>
      <c r="C40" s="603">
        <v>47740751.899998449</v>
      </c>
      <c r="D40" s="599"/>
      <c r="E40" s="591"/>
      <c r="F40" s="592"/>
      <c r="G40" s="603">
        <v>47032707.367272198</v>
      </c>
      <c r="H40" s="593"/>
      <c r="I40" s="593"/>
      <c r="K40" s="586"/>
      <c r="L40" s="586"/>
      <c r="O40" s="586"/>
      <c r="P40" s="586"/>
      <c r="Q40" s="593">
        <f>SUM(Q37:Q39)</f>
        <v>4406727.9630822036</v>
      </c>
      <c r="T40" s="608"/>
    </row>
    <row r="41" spans="1:20" ht="15.95" customHeight="1">
      <c r="B41" s="598"/>
      <c r="C41" s="599"/>
      <c r="D41" s="599"/>
      <c r="E41" s="591"/>
      <c r="F41" s="592"/>
      <c r="G41" s="599">
        <v>-0.11669926345348358</v>
      </c>
      <c r="I41" s="601"/>
      <c r="K41" s="586"/>
      <c r="L41" s="586"/>
      <c r="O41" s="586"/>
      <c r="P41" s="586"/>
    </row>
    <row r="42" spans="1:20" ht="15.95" customHeight="1">
      <c r="A42" s="646">
        <f>A40+1</f>
        <v>28</v>
      </c>
      <c r="B42" s="581" t="s">
        <v>2620</v>
      </c>
      <c r="C42" s="604"/>
      <c r="E42" s="591"/>
      <c r="F42" s="592"/>
      <c r="I42" s="601"/>
      <c r="K42" s="586"/>
      <c r="L42" s="586"/>
      <c r="O42" s="586"/>
      <c r="P42" s="586"/>
    </row>
    <row r="43" spans="1:20" ht="15.95" customHeight="1">
      <c r="A43" s="646">
        <f>A42+1</f>
        <v>29</v>
      </c>
      <c r="B43" s="588" t="s">
        <v>2621</v>
      </c>
      <c r="C43" s="589">
        <v>34192619.348729037</v>
      </c>
      <c r="D43" s="590"/>
      <c r="E43" s="591">
        <v>0.93808319058269918</v>
      </c>
      <c r="F43" s="592"/>
      <c r="G43" s="589">
        <v>32075521.45303547</v>
      </c>
      <c r="H43" s="593"/>
      <c r="I43" s="593">
        <v>87638.036756927511</v>
      </c>
      <c r="K43" s="586">
        <v>45.298333333333332</v>
      </c>
      <c r="L43" s="586"/>
      <c r="M43" s="586">
        <v>-157.56749538820867</v>
      </c>
      <c r="O43" s="586">
        <f>K43+M43</f>
        <v>-112.26916205487534</v>
      </c>
      <c r="P43" s="586"/>
      <c r="Q43" s="593">
        <f>I43*O43</f>
        <v>-9839048.950834617</v>
      </c>
    </row>
    <row r="44" spans="1:20" ht="15.95" customHeight="1">
      <c r="A44" s="646">
        <f>A43+1</f>
        <v>30</v>
      </c>
      <c r="B44" s="588" t="s">
        <v>2622</v>
      </c>
      <c r="C44" s="589">
        <v>10653786</v>
      </c>
      <c r="D44" s="590"/>
      <c r="E44" s="591">
        <v>0.94067565256622832</v>
      </c>
      <c r="F44" s="592"/>
      <c r="G44" s="589">
        <v>10021757.097850947</v>
      </c>
      <c r="H44" s="593"/>
      <c r="I44" s="593">
        <v>27381.849994128268</v>
      </c>
      <c r="K44" s="586">
        <v>45.298333333333332</v>
      </c>
      <c r="L44" s="586"/>
      <c r="M44" s="586">
        <v>-35.635795614897127</v>
      </c>
      <c r="O44" s="586">
        <f>K44+M44</f>
        <v>9.6625377184362051</v>
      </c>
      <c r="P44" s="586"/>
      <c r="Q44" s="593">
        <f>I44*O44</f>
        <v>264578.15836882655</v>
      </c>
    </row>
    <row r="45" spans="1:20" ht="15.95" customHeight="1">
      <c r="A45" s="646">
        <f>A44+1</f>
        <v>31</v>
      </c>
      <c r="B45" s="588" t="s">
        <v>2623</v>
      </c>
      <c r="C45" s="606">
        <v>3406958</v>
      </c>
      <c r="D45" s="607"/>
      <c r="E45" s="591">
        <v>1</v>
      </c>
      <c r="F45" s="592"/>
      <c r="G45" s="606">
        <v>3406958</v>
      </c>
      <c r="H45" s="596"/>
      <c r="I45" s="593">
        <v>9308.6284153005472</v>
      </c>
      <c r="K45" s="586">
        <v>45.298333333333332</v>
      </c>
      <c r="L45" s="586"/>
      <c r="M45" s="586">
        <v>152.00463677122599</v>
      </c>
      <c r="O45" s="586">
        <f>K45+M45</f>
        <v>197.30297010455934</v>
      </c>
      <c r="P45" s="586"/>
      <c r="Q45" s="597">
        <f>I45*O45</f>
        <v>1836620.0339384954</v>
      </c>
    </row>
    <row r="46" spans="1:20" ht="15.95" customHeight="1">
      <c r="A46" s="646">
        <f>A45+1</f>
        <v>32</v>
      </c>
      <c r="B46" s="598" t="s">
        <v>2624</v>
      </c>
      <c r="C46" s="589">
        <v>48253363.348729037</v>
      </c>
      <c r="D46" s="599"/>
      <c r="E46" s="591"/>
      <c r="F46" s="592"/>
      <c r="G46" s="603">
        <v>45504236.550886415</v>
      </c>
      <c r="H46" s="593"/>
      <c r="I46" s="593"/>
      <c r="K46" s="586"/>
      <c r="L46" s="586"/>
      <c r="O46" s="586"/>
      <c r="P46" s="586"/>
      <c r="Q46" s="593">
        <f>SUM(Q43:Q45)</f>
        <v>-7737850.7585272957</v>
      </c>
    </row>
    <row r="47" spans="1:20" ht="15.95" customHeight="1">
      <c r="C47" s="604"/>
      <c r="E47" s="591"/>
      <c r="F47" s="592"/>
      <c r="I47" s="601"/>
      <c r="K47" s="586"/>
      <c r="L47" s="586"/>
      <c r="O47" s="586"/>
      <c r="P47" s="586"/>
    </row>
    <row r="48" spans="1:20" ht="15.95" customHeight="1">
      <c r="A48" s="646">
        <f>A46+1</f>
        <v>33</v>
      </c>
      <c r="B48" s="581" t="s">
        <v>786</v>
      </c>
      <c r="C48" s="589">
        <v>-2364.2750347616302</v>
      </c>
      <c r="E48" s="591">
        <v>0</v>
      </c>
      <c r="F48" s="592"/>
      <c r="G48" s="589">
        <v>0</v>
      </c>
      <c r="H48" s="593"/>
      <c r="I48" s="609">
        <v>0</v>
      </c>
      <c r="K48" s="586">
        <v>45.298333333333332</v>
      </c>
      <c r="L48" s="586"/>
      <c r="M48" s="586">
        <v>-45.298333333333332</v>
      </c>
      <c r="O48" s="586">
        <f>K48+M48</f>
        <v>0</v>
      </c>
      <c r="P48" s="586"/>
      <c r="Q48" s="593">
        <f>I48*O48</f>
        <v>0</v>
      </c>
    </row>
    <row r="49" spans="1:17" ht="15.95" customHeight="1">
      <c r="C49" s="604"/>
      <c r="E49" s="591"/>
      <c r="F49" s="592"/>
      <c r="I49" s="601"/>
      <c r="K49" s="586"/>
      <c r="L49" s="586"/>
      <c r="O49" s="586"/>
      <c r="P49" s="586"/>
    </row>
    <row r="50" spans="1:17" ht="15.95" customHeight="1">
      <c r="A50" s="646">
        <f>A48+1</f>
        <v>34</v>
      </c>
      <c r="B50" s="581" t="s">
        <v>2625</v>
      </c>
      <c r="C50" s="589">
        <v>0</v>
      </c>
      <c r="E50" s="591">
        <v>0</v>
      </c>
      <c r="F50" s="592"/>
      <c r="G50" s="589">
        <v>0</v>
      </c>
      <c r="H50" s="593"/>
      <c r="I50" s="609">
        <v>0</v>
      </c>
      <c r="K50" s="586">
        <v>45.298333333333332</v>
      </c>
      <c r="L50" s="586"/>
      <c r="M50" s="586">
        <v>-45.298333333333332</v>
      </c>
      <c r="O50" s="586">
        <f>K50+M50</f>
        <v>0</v>
      </c>
      <c r="P50" s="586"/>
      <c r="Q50" s="593">
        <f>I50*O50</f>
        <v>0</v>
      </c>
    </row>
    <row r="51" spans="1:17" ht="15.95" customHeight="1">
      <c r="C51" s="604"/>
      <c r="E51" s="591"/>
      <c r="F51" s="592"/>
      <c r="G51" s="593"/>
      <c r="H51" s="593"/>
      <c r="I51" s="593"/>
      <c r="K51" s="586"/>
      <c r="L51" s="586"/>
      <c r="O51" s="586"/>
      <c r="P51" s="586"/>
      <c r="Q51" s="593"/>
    </row>
    <row r="52" spans="1:17" ht="15.95" customHeight="1">
      <c r="A52" s="646">
        <f>A50+1</f>
        <v>35</v>
      </c>
      <c r="B52" s="581" t="s">
        <v>2626</v>
      </c>
      <c r="C52" s="589">
        <v>0</v>
      </c>
      <c r="E52" s="591">
        <v>0</v>
      </c>
      <c r="F52" s="592"/>
      <c r="G52" s="589">
        <v>0</v>
      </c>
      <c r="H52" s="593"/>
      <c r="I52" s="609">
        <v>0</v>
      </c>
      <c r="K52" s="586">
        <v>45.298333333333332</v>
      </c>
      <c r="L52" s="586"/>
      <c r="M52" s="586">
        <v>-45.298333333333332</v>
      </c>
      <c r="O52" s="586">
        <f>K52+M52</f>
        <v>0</v>
      </c>
      <c r="P52" s="586"/>
      <c r="Q52" s="593">
        <f>I52*O52</f>
        <v>0</v>
      </c>
    </row>
    <row r="53" spans="1:17" ht="15.95" customHeight="1">
      <c r="C53" s="604"/>
      <c r="E53" s="591"/>
      <c r="F53" s="592"/>
      <c r="G53" s="593"/>
      <c r="H53" s="593"/>
      <c r="I53" s="593"/>
      <c r="K53" s="586"/>
      <c r="L53" s="586"/>
      <c r="O53" s="586"/>
      <c r="P53" s="586"/>
      <c r="Q53" s="593"/>
    </row>
    <row r="54" spans="1:17" ht="15.95" customHeight="1">
      <c r="A54" s="646">
        <f>A52+1</f>
        <v>36</v>
      </c>
      <c r="B54" s="581" t="s">
        <v>2627</v>
      </c>
      <c r="C54" s="589">
        <v>1513100</v>
      </c>
      <c r="E54" s="591">
        <v>0</v>
      </c>
      <c r="F54" s="592"/>
      <c r="G54" s="589">
        <v>0</v>
      </c>
      <c r="H54" s="593"/>
      <c r="I54" s="609">
        <v>0</v>
      </c>
      <c r="K54" s="586">
        <v>45.298333333333332</v>
      </c>
      <c r="L54" s="586"/>
      <c r="M54" s="586">
        <v>-45.298333333333332</v>
      </c>
      <c r="O54" s="586">
        <f>K54+M54</f>
        <v>0</v>
      </c>
      <c r="P54" s="586"/>
      <c r="Q54" s="593">
        <f>I54*O54</f>
        <v>0</v>
      </c>
    </row>
    <row r="55" spans="1:17" ht="15.95" customHeight="1">
      <c r="C55" s="604"/>
      <c r="E55" s="591"/>
      <c r="F55" s="592"/>
      <c r="G55" s="593"/>
      <c r="H55" s="593"/>
      <c r="I55" s="593"/>
      <c r="K55" s="586"/>
      <c r="L55" s="586"/>
      <c r="O55" s="586"/>
      <c r="P55" s="586"/>
      <c r="Q55" s="593"/>
    </row>
    <row r="56" spans="1:17" ht="15.95" customHeight="1">
      <c r="A56" s="646">
        <f>A54+1</f>
        <v>37</v>
      </c>
      <c r="B56" s="581" t="s">
        <v>2628</v>
      </c>
      <c r="C56" s="589">
        <v>435510.9</v>
      </c>
      <c r="E56" s="591">
        <v>0</v>
      </c>
      <c r="F56" s="592"/>
      <c r="G56" s="589">
        <v>0</v>
      </c>
      <c r="H56" s="593"/>
      <c r="I56" s="609">
        <v>0</v>
      </c>
      <c r="K56" s="586">
        <v>0</v>
      </c>
      <c r="L56" s="586"/>
      <c r="M56" s="586">
        <v>0</v>
      </c>
      <c r="O56" s="586">
        <f>K56+M56</f>
        <v>0</v>
      </c>
      <c r="P56" s="586"/>
      <c r="Q56" s="593">
        <f>I56*O56</f>
        <v>0</v>
      </c>
    </row>
    <row r="57" spans="1:17" ht="15.95" customHeight="1">
      <c r="C57" s="604"/>
      <c r="E57" s="591"/>
      <c r="F57" s="592"/>
      <c r="G57" s="593"/>
      <c r="H57" s="593"/>
      <c r="I57" s="593"/>
      <c r="K57" s="586"/>
      <c r="L57" s="586"/>
      <c r="O57" s="586"/>
      <c r="P57" s="586"/>
      <c r="Q57" s="593"/>
    </row>
    <row r="58" spans="1:17" ht="15.95" customHeight="1">
      <c r="A58" s="646">
        <f>A56+1</f>
        <v>38</v>
      </c>
      <c r="B58" s="581" t="s">
        <v>2629</v>
      </c>
      <c r="C58" s="589">
        <v>-2448208.7874903237</v>
      </c>
      <c r="E58" s="591">
        <v>0</v>
      </c>
      <c r="F58" s="592"/>
      <c r="G58" s="589">
        <v>0</v>
      </c>
      <c r="H58" s="593"/>
      <c r="I58" s="609">
        <v>0</v>
      </c>
      <c r="K58" s="586">
        <v>45.298333333333332</v>
      </c>
      <c r="L58" s="586"/>
      <c r="M58" s="586">
        <v>-45.298333333333332</v>
      </c>
      <c r="O58" s="586">
        <f>K58+M58</f>
        <v>0</v>
      </c>
      <c r="P58" s="586"/>
      <c r="Q58" s="593">
        <f>I58*O58</f>
        <v>0</v>
      </c>
    </row>
    <row r="59" spans="1:17" ht="15.95" customHeight="1">
      <c r="C59" s="604"/>
      <c r="E59" s="591"/>
      <c r="F59" s="592"/>
      <c r="G59" s="593"/>
      <c r="H59" s="593"/>
      <c r="I59" s="593"/>
      <c r="K59" s="586"/>
      <c r="L59" s="586"/>
      <c r="O59" s="586"/>
      <c r="P59" s="586"/>
      <c r="Q59" s="593"/>
    </row>
    <row r="60" spans="1:17" ht="15.95" customHeight="1">
      <c r="A60" s="646">
        <f>A58+1</f>
        <v>39</v>
      </c>
      <c r="B60" s="581" t="s">
        <v>2630</v>
      </c>
      <c r="C60" s="589">
        <v>-182518.93129049521</v>
      </c>
      <c r="E60" s="591">
        <v>0</v>
      </c>
      <c r="F60" s="592"/>
      <c r="G60" s="589">
        <v>0</v>
      </c>
      <c r="H60" s="593"/>
      <c r="I60" s="609">
        <v>0</v>
      </c>
      <c r="K60" s="586">
        <v>45.298333333333332</v>
      </c>
      <c r="L60" s="586"/>
      <c r="M60" s="586">
        <v>-45.298333333333332</v>
      </c>
      <c r="O60" s="586">
        <f>K60+M60</f>
        <v>0</v>
      </c>
      <c r="P60" s="586"/>
      <c r="Q60" s="593">
        <f>I60*O60</f>
        <v>0</v>
      </c>
    </row>
    <row r="61" spans="1:17" ht="15.95" customHeight="1">
      <c r="C61" s="604"/>
      <c r="E61" s="591"/>
      <c r="F61" s="592"/>
      <c r="G61" s="593"/>
      <c r="H61" s="593"/>
      <c r="I61" s="593"/>
      <c r="K61" s="586"/>
      <c r="L61" s="586"/>
      <c r="O61" s="586"/>
      <c r="P61" s="586"/>
      <c r="Q61" s="593"/>
    </row>
    <row r="62" spans="1:17" ht="15.95" customHeight="1">
      <c r="A62" s="646">
        <f>A60+1</f>
        <v>40</v>
      </c>
      <c r="B62" s="581" t="s">
        <v>2631</v>
      </c>
      <c r="C62" s="589">
        <v>116019757.27502449</v>
      </c>
      <c r="E62" s="591">
        <v>0.93817524378393158</v>
      </c>
      <c r="F62" s="592"/>
      <c r="G62" s="589">
        <v>108846864.06526211</v>
      </c>
      <c r="H62" s="593"/>
      <c r="I62" s="593">
        <v>297395.80345700029</v>
      </c>
      <c r="K62" s="586">
        <v>45.298333333333332</v>
      </c>
      <c r="L62" s="586"/>
      <c r="M62" s="586">
        <v>-88.649999999999991</v>
      </c>
      <c r="O62" s="586">
        <f>K62+M62</f>
        <v>-43.351666666666659</v>
      </c>
      <c r="P62" s="586"/>
      <c r="Q62" s="593">
        <f>I62*O62</f>
        <v>-12892603.739533389</v>
      </c>
    </row>
    <row r="63" spans="1:17" ht="15.95" customHeight="1">
      <c r="C63" s="604"/>
      <c r="E63" s="591"/>
      <c r="F63" s="592"/>
      <c r="G63" s="593"/>
      <c r="H63" s="593"/>
      <c r="I63" s="593"/>
      <c r="K63" s="586"/>
      <c r="L63" s="586"/>
      <c r="O63" s="586"/>
      <c r="P63" s="586"/>
      <c r="Q63" s="593"/>
    </row>
    <row r="64" spans="1:17" ht="15.95" customHeight="1">
      <c r="A64" s="646">
        <f>A62+1</f>
        <v>41</v>
      </c>
      <c r="B64" s="581" t="s">
        <v>2632</v>
      </c>
      <c r="C64" s="606">
        <v>218156483.38233942</v>
      </c>
      <c r="D64" s="595"/>
      <c r="E64" s="591"/>
      <c r="F64" s="592"/>
      <c r="G64" s="606">
        <v>211194752.5035629</v>
      </c>
      <c r="H64" s="596"/>
      <c r="I64" s="593">
        <v>577034.84290590952</v>
      </c>
      <c r="J64" s="595"/>
      <c r="K64" s="586">
        <v>45.298333333333332</v>
      </c>
      <c r="L64" s="586"/>
      <c r="M64" s="586">
        <v>-45.298333333333332</v>
      </c>
      <c r="O64" s="586">
        <f>K64+M64</f>
        <v>0</v>
      </c>
      <c r="P64" s="586"/>
      <c r="Q64" s="597">
        <f>I64*O64</f>
        <v>0</v>
      </c>
    </row>
    <row r="65" spans="1:17" ht="15.95" customHeight="1">
      <c r="C65" s="604"/>
      <c r="E65" s="591"/>
      <c r="F65" s="592"/>
      <c r="G65" s="593"/>
      <c r="H65" s="593"/>
      <c r="I65" s="593"/>
      <c r="K65" s="586"/>
      <c r="L65" s="586"/>
      <c r="O65" s="586"/>
      <c r="P65" s="586"/>
      <c r="Q65" s="593"/>
    </row>
    <row r="66" spans="1:17" ht="15.95" customHeight="1">
      <c r="A66" s="646">
        <f>A64+1</f>
        <v>42</v>
      </c>
      <c r="B66" s="581" t="s">
        <v>2025</v>
      </c>
      <c r="C66" s="593">
        <v>1736122450.5255044</v>
      </c>
      <c r="E66" s="591"/>
      <c r="F66" s="592"/>
      <c r="G66" s="593">
        <v>1637071255.570703</v>
      </c>
      <c r="I66" s="593">
        <v>874430.64636290981</v>
      </c>
      <c r="O66" s="586"/>
      <c r="P66" s="586"/>
      <c r="Q66" s="593">
        <f>Q27+Q34+Q40+Q46+Q48+Q50+Q52+Q54+Q56+Q58+Q60+Q62+Q64</f>
        <v>55055493.84437377</v>
      </c>
    </row>
    <row r="67" spans="1:17" ht="15.95" customHeight="1">
      <c r="C67" s="604"/>
      <c r="E67" s="591"/>
      <c r="F67" s="592"/>
      <c r="O67" s="586"/>
      <c r="P67" s="586"/>
      <c r="Q67" s="593"/>
    </row>
    <row r="68" spans="1:17" ht="15.95" customHeight="1">
      <c r="A68" s="646">
        <f>A66+1</f>
        <v>43</v>
      </c>
      <c r="B68" s="581" t="s">
        <v>2633</v>
      </c>
      <c r="C68" s="589">
        <v>35572411.769999996</v>
      </c>
      <c r="E68" s="591">
        <v>1</v>
      </c>
      <c r="F68" s="592"/>
      <c r="G68" s="589">
        <v>35572411.769999996</v>
      </c>
      <c r="I68" s="593">
        <v>97192.381885245893</v>
      </c>
      <c r="K68" s="586">
        <v>45.298333333333332</v>
      </c>
      <c r="L68" s="586"/>
      <c r="M68" s="586">
        <v>-39.803821524307487</v>
      </c>
      <c r="O68" s="586">
        <f>K68+M68</f>
        <v>5.4945118090258447</v>
      </c>
      <c r="P68" s="586"/>
      <c r="Q68" s="593">
        <f>I68*O68</f>
        <v>534024.69001583313</v>
      </c>
    </row>
    <row r="69" spans="1:17" ht="15.95" customHeight="1">
      <c r="C69" s="604"/>
      <c r="E69" s="591"/>
      <c r="F69" s="592"/>
      <c r="O69" s="586"/>
      <c r="P69" s="586"/>
      <c r="Q69" s="593"/>
    </row>
    <row r="70" spans="1:17" ht="15.95" customHeight="1">
      <c r="A70" s="646">
        <f>A68+1</f>
        <v>44</v>
      </c>
      <c r="B70" s="581" t="s">
        <v>2634</v>
      </c>
      <c r="C70" s="589">
        <v>39016853.540000007</v>
      </c>
      <c r="E70" s="591">
        <v>1</v>
      </c>
      <c r="F70" s="592"/>
      <c r="G70" s="589">
        <v>39016853.540000007</v>
      </c>
      <c r="I70" s="593">
        <v>106603.42497267762</v>
      </c>
      <c r="K70" s="586">
        <v>45.298333333333332</v>
      </c>
      <c r="L70" s="586"/>
      <c r="M70" s="586">
        <v>-34.949170045269938</v>
      </c>
      <c r="O70" s="586">
        <f>K70+M70</f>
        <v>10.349163288063394</v>
      </c>
      <c r="P70" s="586"/>
      <c r="Q70" s="593">
        <f>I70*O70</f>
        <v>1103256.2521090556</v>
      </c>
    </row>
    <row r="71" spans="1:17" ht="15.95" customHeight="1">
      <c r="C71" s="604"/>
      <c r="E71" s="591"/>
      <c r="F71" s="592"/>
      <c r="K71" s="586"/>
      <c r="L71" s="586"/>
      <c r="O71" s="586"/>
      <c r="P71" s="586"/>
      <c r="Q71" s="593"/>
    </row>
    <row r="72" spans="1:17" ht="15.95" customHeight="1">
      <c r="A72" s="646">
        <f>A70+1</f>
        <v>45</v>
      </c>
      <c r="B72" s="581" t="s">
        <v>2635</v>
      </c>
      <c r="C72" s="589">
        <v>28463762.329999998</v>
      </c>
      <c r="E72" s="591">
        <v>1</v>
      </c>
      <c r="F72" s="592"/>
      <c r="G72" s="589">
        <v>28463762.329999998</v>
      </c>
      <c r="I72" s="593">
        <v>77769.842431693978</v>
      </c>
      <c r="K72" s="586">
        <v>45.298333333333332</v>
      </c>
      <c r="L72" s="586"/>
      <c r="M72" s="586">
        <v>-67.158413809956485</v>
      </c>
      <c r="O72" s="586">
        <f>K72+M72</f>
        <v>-21.860080476623153</v>
      </c>
      <c r="P72" s="586"/>
      <c r="Q72" s="597">
        <f>I72*O72</f>
        <v>-1700055.0142111324</v>
      </c>
    </row>
    <row r="73" spans="1:17" ht="15.95" customHeight="1">
      <c r="E73" s="592"/>
      <c r="F73" s="592"/>
      <c r="Q73" s="593"/>
    </row>
    <row r="74" spans="1:17" ht="15.95" customHeight="1">
      <c r="A74" s="646">
        <f>A72+1</f>
        <v>46</v>
      </c>
      <c r="B74" s="581" t="s">
        <v>2636</v>
      </c>
      <c r="E74" s="592"/>
      <c r="F74" s="592"/>
      <c r="Q74" s="596">
        <f>SUM(Q66:Q72)</f>
        <v>54992719.772287525</v>
      </c>
    </row>
    <row r="75" spans="1:17" ht="15.95" customHeight="1">
      <c r="E75" s="592"/>
      <c r="F75" s="592"/>
      <c r="Q75" s="593"/>
    </row>
    <row r="76" spans="1:17" ht="15.95" customHeight="1">
      <c r="A76" s="646">
        <f>A74+1</f>
        <v>47</v>
      </c>
      <c r="B76" s="581" t="s">
        <v>3409</v>
      </c>
      <c r="E76" s="592"/>
      <c r="F76" s="592"/>
      <c r="Q76" s="597">
        <f>'SCH B-5.2 F (2)'!W38</f>
        <v>43303976.5</v>
      </c>
    </row>
    <row r="77" spans="1:17" ht="15.95" customHeight="1">
      <c r="E77" s="592"/>
      <c r="F77" s="592"/>
      <c r="Q77" s="593"/>
    </row>
    <row r="78" spans="1:17" ht="15.95" customHeight="1" thickBot="1">
      <c r="A78" s="646">
        <f>A76+1</f>
        <v>48</v>
      </c>
      <c r="B78" s="581" t="s">
        <v>2638</v>
      </c>
      <c r="E78" s="592"/>
      <c r="F78" s="592"/>
      <c r="Q78" s="610">
        <f>SUM(Q74:Q76)</f>
        <v>98296696.272287518</v>
      </c>
    </row>
    <row r="79" spans="1:17" ht="15.95" customHeight="1" thickTop="1">
      <c r="E79" s="592"/>
      <c r="F79" s="592"/>
      <c r="Q79" s="593"/>
    </row>
    <row r="80" spans="1:17" ht="15.95" customHeight="1" thickBot="1">
      <c r="A80" s="646">
        <f>A78+1</f>
        <v>49</v>
      </c>
      <c r="B80" s="581" t="s">
        <v>3408</v>
      </c>
      <c r="E80" s="592"/>
      <c r="F80" s="592"/>
      <c r="Q80" s="610">
        <f>'SCH B-5.2 F (2)'!W66</f>
        <v>2498510.75</v>
      </c>
    </row>
    <row r="81" spans="1:18" ht="15.95" customHeight="1" thickTop="1">
      <c r="E81" s="592"/>
      <c r="F81" s="592"/>
      <c r="Q81" s="593"/>
    </row>
    <row r="82" spans="1:18" ht="15.95" customHeight="1" thickBot="1">
      <c r="A82" s="646">
        <f>A80+1</f>
        <v>50</v>
      </c>
      <c r="B82" s="581" t="s">
        <v>2640</v>
      </c>
      <c r="E82" s="592"/>
      <c r="F82" s="592"/>
      <c r="Q82" s="610">
        <f>Q78-Q80</f>
        <v>95798185.522287518</v>
      </c>
      <c r="R82" s="593"/>
    </row>
    <row r="83" spans="1:18" ht="15.95" customHeight="1" thickTop="1">
      <c r="E83" s="592"/>
      <c r="F83" s="592"/>
      <c r="Q83" s="596"/>
    </row>
    <row r="84" spans="1:18" ht="15.95" customHeight="1">
      <c r="Q84" s="581"/>
    </row>
    <row r="85" spans="1:18" ht="15.95" customHeight="1"/>
    <row r="86" spans="1:18" ht="15.95" customHeight="1"/>
    <row r="87" spans="1:18" ht="15.95" customHeight="1"/>
    <row r="88" spans="1:18" ht="15.95" customHeight="1"/>
    <row r="89" spans="1:18" ht="15.95" customHeight="1"/>
    <row r="90" spans="1:18" ht="15.95" customHeight="1"/>
    <row r="91" spans="1:18" ht="15.95" customHeight="1"/>
  </sheetData>
  <mergeCells count="4">
    <mergeCell ref="A1:Q1"/>
    <mergeCell ref="A2:Q2"/>
    <mergeCell ref="A3:Q3"/>
    <mergeCell ref="A4:Q4"/>
  </mergeCells>
  <printOptions horizontalCentered="1"/>
  <pageMargins left="0.95" right="0.2" top="1" bottom="0.5" header="0.3" footer="0.3"/>
  <pageSetup scale="6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1"/>
  <sheetViews>
    <sheetView zoomScale="85" zoomScaleNormal="85" workbookViewId="0">
      <pane xSplit="3" ySplit="11" topLeftCell="I24" activePane="bottomRight" state="frozen"/>
      <selection activeCell="S84" sqref="S84"/>
      <selection pane="topRight" activeCell="S84" sqref="S84"/>
      <selection pane="bottomLeft" activeCell="S84" sqref="S84"/>
      <selection pane="bottomRight" activeCell="M33" sqref="M33"/>
    </sheetView>
  </sheetViews>
  <sheetFormatPr defaultRowHeight="12.75" outlineLevelCol="2"/>
  <cols>
    <col min="1" max="1" width="6.21875" style="582" customWidth="1"/>
    <col min="2" max="2" width="9.88671875" style="581" customWidth="1"/>
    <col min="3" max="3" width="58.88671875" style="616" customWidth="1"/>
    <col min="4" max="4" width="12.77734375" style="581" customWidth="1" outlineLevel="1"/>
    <col min="5" max="16" width="12.77734375" style="581" customWidth="1" outlineLevel="2"/>
    <col min="17" max="17" width="15.77734375" style="581" customWidth="1"/>
    <col min="18" max="18" width="2.88671875" style="581" customWidth="1"/>
    <col min="19" max="19" width="11" style="585" customWidth="1"/>
    <col min="20" max="20" width="2.88671875" style="617" hidden="1" customWidth="1"/>
    <col min="21" max="21" width="13.77734375" style="618" hidden="1" customWidth="1"/>
    <col min="22" max="22" width="2.88671875" style="585" customWidth="1"/>
    <col min="23" max="23" width="15.77734375" style="581" customWidth="1"/>
    <col min="24" max="24" width="16.6640625" style="581" customWidth="1"/>
    <col min="25" max="26" width="8.88671875" style="581"/>
    <col min="27" max="27" width="14" style="581" customWidth="1"/>
    <col min="28" max="28" width="12.5546875" style="581" customWidth="1"/>
    <col min="29" max="29" width="8.88671875" style="581"/>
    <col min="30" max="30" width="13" style="581" customWidth="1"/>
    <col min="31" max="31" width="12.6640625" style="581" customWidth="1"/>
    <col min="32" max="16384" width="8.88671875" style="581"/>
  </cols>
  <sheetData>
    <row r="1" spans="1:25" ht="18.95" customHeight="1">
      <c r="A1" s="774" t="str">
        <f>'Rate Case Constants'!C9</f>
        <v>KENTUCKY UTILITIES COMPANY</v>
      </c>
      <c r="B1" s="777"/>
      <c r="C1" s="777"/>
      <c r="D1" s="777"/>
      <c r="E1" s="777"/>
      <c r="F1" s="777"/>
      <c r="G1" s="777"/>
      <c r="H1" s="777"/>
      <c r="I1" s="777"/>
      <c r="J1" s="777"/>
      <c r="K1" s="777"/>
      <c r="L1" s="777"/>
      <c r="M1" s="777"/>
      <c r="N1" s="777"/>
      <c r="O1" s="777"/>
      <c r="P1" s="777"/>
      <c r="Q1" s="777"/>
      <c r="R1" s="777"/>
      <c r="S1" s="777"/>
      <c r="T1" s="778"/>
      <c r="U1" s="778"/>
      <c r="V1" s="777"/>
      <c r="W1" s="777"/>
      <c r="X1" s="611"/>
    </row>
    <row r="2" spans="1:25" ht="18.95" customHeight="1">
      <c r="A2" s="774" t="str">
        <f>'Rate Case Constants'!C10</f>
        <v>CASE NO. 2018-00294 - RESPONSE TO PSC 2-65 (SLIPPAGE FACTOR 96.027%)</v>
      </c>
      <c r="B2" s="777"/>
      <c r="C2" s="777"/>
      <c r="D2" s="777"/>
      <c r="E2" s="777"/>
      <c r="F2" s="777"/>
      <c r="G2" s="777"/>
      <c r="H2" s="777"/>
      <c r="I2" s="777"/>
      <c r="J2" s="777"/>
      <c r="K2" s="777"/>
      <c r="L2" s="777"/>
      <c r="M2" s="777"/>
      <c r="N2" s="777"/>
      <c r="O2" s="777"/>
      <c r="P2" s="777"/>
      <c r="Q2" s="777"/>
      <c r="R2" s="777"/>
      <c r="S2" s="777"/>
      <c r="T2" s="778"/>
      <c r="U2" s="778"/>
      <c r="V2" s="777"/>
      <c r="W2" s="777"/>
      <c r="X2" s="611"/>
    </row>
    <row r="3" spans="1:25" ht="18.95" customHeight="1">
      <c r="A3" s="777" t="s">
        <v>1436</v>
      </c>
      <c r="B3" s="777"/>
      <c r="C3" s="777"/>
      <c r="D3" s="777"/>
      <c r="E3" s="777"/>
      <c r="F3" s="777"/>
      <c r="G3" s="777"/>
      <c r="H3" s="777"/>
      <c r="I3" s="777"/>
      <c r="J3" s="777"/>
      <c r="K3" s="777"/>
      <c r="L3" s="777"/>
      <c r="M3" s="777"/>
      <c r="N3" s="777"/>
      <c r="O3" s="777"/>
      <c r="P3" s="777"/>
      <c r="Q3" s="777"/>
      <c r="R3" s="777"/>
      <c r="S3" s="777"/>
      <c r="T3" s="778"/>
      <c r="U3" s="778"/>
      <c r="V3" s="777"/>
      <c r="W3" s="777"/>
      <c r="X3" s="612"/>
    </row>
    <row r="4" spans="1:25" ht="18.95" customHeight="1">
      <c r="A4" s="774" t="str">
        <f>'Rate Case Constants'!C21</f>
        <v>FORECAST PERIOD FOR THE 12 MONTHS ENDED APRIL 30, 2020</v>
      </c>
      <c r="B4" s="777"/>
      <c r="C4" s="777"/>
      <c r="D4" s="777"/>
      <c r="E4" s="777"/>
      <c r="F4" s="777"/>
      <c r="G4" s="777"/>
      <c r="H4" s="777"/>
      <c r="I4" s="777"/>
      <c r="J4" s="777"/>
      <c r="K4" s="777"/>
      <c r="L4" s="777"/>
      <c r="M4" s="777"/>
      <c r="N4" s="777"/>
      <c r="O4" s="777"/>
      <c r="P4" s="777"/>
      <c r="Q4" s="777"/>
      <c r="R4" s="777"/>
      <c r="S4" s="777"/>
      <c r="T4" s="778"/>
      <c r="U4" s="778"/>
      <c r="V4" s="777"/>
      <c r="W4" s="777"/>
      <c r="X4" s="612"/>
    </row>
    <row r="5" spans="1:25" ht="18.95" customHeight="1">
      <c r="A5" s="613"/>
      <c r="B5" s="614"/>
      <c r="C5" s="614"/>
      <c r="D5" s="614"/>
      <c r="E5" s="614"/>
      <c r="F5" s="614"/>
      <c r="G5" s="614"/>
      <c r="H5" s="614"/>
      <c r="I5" s="614"/>
      <c r="J5" s="614"/>
      <c r="K5" s="614"/>
      <c r="L5" s="614"/>
      <c r="M5" s="614"/>
      <c r="N5" s="614"/>
      <c r="O5" s="614"/>
      <c r="P5" s="614"/>
      <c r="Q5" s="614"/>
      <c r="R5" s="614"/>
      <c r="S5" s="614"/>
      <c r="T5" s="615"/>
      <c r="U5" s="615"/>
      <c r="V5" s="614"/>
      <c r="W5" s="614"/>
      <c r="X5" s="612"/>
    </row>
    <row r="6" spans="1:25" ht="18.95" customHeight="1">
      <c r="A6" s="67" t="s">
        <v>161</v>
      </c>
      <c r="B6" s="614"/>
      <c r="C6" s="614"/>
      <c r="D6" s="614"/>
      <c r="E6" s="614"/>
      <c r="F6" s="614"/>
      <c r="G6" s="614"/>
      <c r="H6" s="614"/>
      <c r="I6" s="614"/>
      <c r="J6" s="614"/>
      <c r="K6" s="614"/>
      <c r="L6" s="614"/>
      <c r="M6" s="614"/>
      <c r="N6" s="614"/>
      <c r="O6" s="614"/>
      <c r="P6" s="614"/>
      <c r="Q6" s="614"/>
      <c r="R6" s="614"/>
      <c r="S6" s="614"/>
      <c r="T6" s="615"/>
      <c r="U6" s="615"/>
      <c r="V6" s="614"/>
      <c r="W6" s="74" t="s">
        <v>1437</v>
      </c>
      <c r="X6" s="612"/>
    </row>
    <row r="7" spans="1:25" ht="18.95" customHeight="1">
      <c r="A7" s="68" t="str">
        <f>'Rate Case Constants'!C29</f>
        <v>TYPE OF FILING: __X__ ORIGINAL  _____ UPDATED  _____ REVISED</v>
      </c>
      <c r="B7" s="614"/>
      <c r="C7" s="614"/>
      <c r="D7" s="614"/>
      <c r="E7" s="614"/>
      <c r="F7" s="614"/>
      <c r="G7" s="614"/>
      <c r="H7" s="614"/>
      <c r="I7" s="614"/>
      <c r="J7" s="614"/>
      <c r="K7" s="614"/>
      <c r="L7" s="614"/>
      <c r="M7" s="614"/>
      <c r="N7" s="614"/>
      <c r="O7" s="614"/>
      <c r="P7" s="614"/>
      <c r="Q7" s="614"/>
      <c r="R7" s="614"/>
      <c r="S7" s="614"/>
      <c r="T7" s="615"/>
      <c r="U7" s="615"/>
      <c r="V7" s="614"/>
      <c r="W7" s="74" t="s">
        <v>169</v>
      </c>
      <c r="X7" s="612"/>
    </row>
    <row r="8" spans="1:25" ht="18.95" customHeight="1">
      <c r="A8" s="67" t="s">
        <v>1198</v>
      </c>
      <c r="W8" s="75" t="str">
        <f>'Rate Case Constants'!C36</f>
        <v>WITNESS:   C. M. GARRETT</v>
      </c>
    </row>
    <row r="9" spans="1:25" ht="18.95" customHeight="1">
      <c r="A9" s="619"/>
    </row>
    <row r="10" spans="1:25" ht="38.25">
      <c r="A10" s="159" t="s">
        <v>131</v>
      </c>
      <c r="B10" s="159" t="s">
        <v>134</v>
      </c>
      <c r="C10" s="159" t="s">
        <v>205</v>
      </c>
      <c r="D10" s="620" t="s">
        <v>2529</v>
      </c>
      <c r="E10" s="620" t="s">
        <v>2530</v>
      </c>
      <c r="F10" s="620" t="s">
        <v>2531</v>
      </c>
      <c r="G10" s="620" t="s">
        <v>2532</v>
      </c>
      <c r="H10" s="620" t="s">
        <v>2533</v>
      </c>
      <c r="I10" s="620" t="s">
        <v>2534</v>
      </c>
      <c r="J10" s="620" t="s">
        <v>2535</v>
      </c>
      <c r="K10" s="620" t="s">
        <v>2536</v>
      </c>
      <c r="L10" s="620" t="s">
        <v>2537</v>
      </c>
      <c r="M10" s="620" t="s">
        <v>2538</v>
      </c>
      <c r="N10" s="620" t="s">
        <v>2539</v>
      </c>
      <c r="O10" s="620" t="s">
        <v>2540</v>
      </c>
      <c r="P10" s="620" t="s">
        <v>2541</v>
      </c>
      <c r="Q10" s="159" t="s">
        <v>2641</v>
      </c>
      <c r="R10" s="159"/>
      <c r="S10" s="159" t="s">
        <v>224</v>
      </c>
      <c r="T10" s="621"/>
      <c r="U10" s="622" t="s">
        <v>2642</v>
      </c>
      <c r="V10" s="159"/>
      <c r="W10" s="159" t="s">
        <v>1422</v>
      </c>
      <c r="X10" s="623"/>
    </row>
    <row r="11" spans="1:25" ht="18.95" customHeight="1"/>
    <row r="12" spans="1:25" ht="18.95" customHeight="1">
      <c r="C12" s="616" t="s">
        <v>2643</v>
      </c>
    </row>
    <row r="13" spans="1:25" ht="18.95" customHeight="1"/>
    <row r="14" spans="1:25" ht="18.95" customHeight="1">
      <c r="A14" s="582">
        <v>1</v>
      </c>
      <c r="B14" s="582">
        <v>128</v>
      </c>
      <c r="C14" s="616" t="s">
        <v>2644</v>
      </c>
      <c r="D14" s="86">
        <v>20762133.4533333</v>
      </c>
      <c r="E14" s="86">
        <v>21395857.536666602</v>
      </c>
      <c r="F14" s="86">
        <v>22029581.620000001</v>
      </c>
      <c r="G14" s="86">
        <v>22663305.7033333</v>
      </c>
      <c r="H14" s="86">
        <v>23297029.786666602</v>
      </c>
      <c r="I14" s="86">
        <v>23930753.870000001</v>
      </c>
      <c r="J14" s="86">
        <v>24564477.9533333</v>
      </c>
      <c r="K14" s="86">
        <v>25198202.036666602</v>
      </c>
      <c r="L14" s="86">
        <v>25831926.120000001</v>
      </c>
      <c r="M14" s="86">
        <v>26522610.120000001</v>
      </c>
      <c r="N14" s="86">
        <v>27213294.119999997</v>
      </c>
      <c r="O14" s="86">
        <v>27903978.120000001</v>
      </c>
      <c r="P14" s="86">
        <v>28594662.120000001</v>
      </c>
      <c r="Q14" s="86">
        <f t="shared" ref="Q14:Q19" si="0">AVERAGE(D14:P14)</f>
        <v>24608293.273846131</v>
      </c>
      <c r="R14" s="584"/>
      <c r="S14" s="624">
        <v>0.94067565256622832</v>
      </c>
      <c r="T14" s="625"/>
      <c r="U14" s="626">
        <v>1</v>
      </c>
      <c r="W14" s="86">
        <f t="shared" ref="W14:W19" si="1">ROUND($Q14*$S14*$U14,2)</f>
        <v>23148422.329999998</v>
      </c>
      <c r="X14" s="593"/>
      <c r="Y14" s="198"/>
    </row>
    <row r="15" spans="1:25" ht="18.95" customHeight="1">
      <c r="A15" s="582">
        <f>A14+1</f>
        <v>2</v>
      </c>
      <c r="B15" s="582">
        <v>182</v>
      </c>
      <c r="C15" s="616" t="s">
        <v>2645</v>
      </c>
      <c r="D15" s="86">
        <v>130169432.64046299</v>
      </c>
      <c r="E15" s="86">
        <v>129709946.197759</v>
      </c>
      <c r="F15" s="86">
        <v>129439883.547557</v>
      </c>
      <c r="G15" s="86">
        <v>128980397.10485299</v>
      </c>
      <c r="H15" s="86">
        <v>128520910.66214901</v>
      </c>
      <c r="I15" s="86">
        <v>128250848.01194701</v>
      </c>
      <c r="J15" s="86">
        <v>127791361.569243</v>
      </c>
      <c r="K15" s="86">
        <v>127331875.12653901</v>
      </c>
      <c r="L15" s="86">
        <v>127061812.476337</v>
      </c>
      <c r="M15" s="86">
        <v>126612180.693141</v>
      </c>
      <c r="N15" s="86">
        <v>126162548.90994501</v>
      </c>
      <c r="O15" s="86">
        <v>125813239.54886299</v>
      </c>
      <c r="P15" s="86">
        <v>125363607.76566699</v>
      </c>
      <c r="Q15" s="86">
        <f t="shared" si="0"/>
        <v>127785234.17342022</v>
      </c>
      <c r="R15" s="584"/>
      <c r="S15" s="624">
        <v>0.94067565256622832</v>
      </c>
      <c r="T15" s="625"/>
      <c r="U15" s="626">
        <v>1</v>
      </c>
      <c r="W15" s="86">
        <f t="shared" si="1"/>
        <v>120204458.54000001</v>
      </c>
      <c r="X15" s="593"/>
      <c r="Y15" s="198"/>
    </row>
    <row r="16" spans="1:25" ht="18.95" customHeight="1">
      <c r="A16" s="636">
        <f t="shared" ref="A16:A19" si="2">A15+1</f>
        <v>3</v>
      </c>
      <c r="B16" s="582">
        <v>183</v>
      </c>
      <c r="C16" s="616" t="s">
        <v>2646</v>
      </c>
      <c r="D16" s="86">
        <v>4177727.75</v>
      </c>
      <c r="E16" s="86">
        <v>4177727.75</v>
      </c>
      <c r="F16" s="86">
        <v>4177727.75</v>
      </c>
      <c r="G16" s="86">
        <v>4177727.75</v>
      </c>
      <c r="H16" s="86">
        <v>4177727.75</v>
      </c>
      <c r="I16" s="86">
        <v>4177727.75</v>
      </c>
      <c r="J16" s="86">
        <v>4177727.75</v>
      </c>
      <c r="K16" s="86">
        <v>4177727.75</v>
      </c>
      <c r="L16" s="86">
        <v>4177727.75</v>
      </c>
      <c r="M16" s="86">
        <v>4177727.75</v>
      </c>
      <c r="N16" s="86">
        <v>4177727.75</v>
      </c>
      <c r="O16" s="86">
        <v>4177727.75</v>
      </c>
      <c r="P16" s="86">
        <v>4177727.75</v>
      </c>
      <c r="Q16" s="86">
        <f>AVERAGE(D16:P16)</f>
        <v>4177727.75</v>
      </c>
      <c r="R16" s="595"/>
      <c r="S16" s="624">
        <v>0.93817524378396067</v>
      </c>
      <c r="T16" s="627"/>
      <c r="U16" s="626">
        <v>1</v>
      </c>
      <c r="W16" s="86">
        <f t="shared" si="1"/>
        <v>3919440.75</v>
      </c>
      <c r="X16" s="593"/>
      <c r="Y16" s="198"/>
    </row>
    <row r="17" spans="1:25" ht="18.95" customHeight="1">
      <c r="A17" s="636">
        <f t="shared" si="2"/>
        <v>4</v>
      </c>
      <c r="B17" s="636">
        <v>184</v>
      </c>
      <c r="C17" s="616" t="s">
        <v>2666</v>
      </c>
      <c r="D17" s="86">
        <v>3774532.3400000012</v>
      </c>
      <c r="E17" s="86">
        <v>3774532.3400000012</v>
      </c>
      <c r="F17" s="86">
        <v>3774532.3400000012</v>
      </c>
      <c r="G17" s="86">
        <v>3774532.3400000012</v>
      </c>
      <c r="H17" s="86">
        <v>3774532.3400000012</v>
      </c>
      <c r="I17" s="86">
        <v>3774532.3400000012</v>
      </c>
      <c r="J17" s="86">
        <v>3774532.3400000012</v>
      </c>
      <c r="K17" s="86">
        <v>3774532.3400000012</v>
      </c>
      <c r="L17" s="86">
        <v>3774532.3400000012</v>
      </c>
      <c r="M17" s="86">
        <v>3774532.3400000012</v>
      </c>
      <c r="N17" s="86">
        <v>3774532.3400000012</v>
      </c>
      <c r="O17" s="86">
        <v>3774532.3400000012</v>
      </c>
      <c r="P17" s="86">
        <v>3774532.3400000012</v>
      </c>
      <c r="Q17" s="86">
        <f t="shared" ref="Q17" si="3">AVERAGE(D17:P17)</f>
        <v>3774532.3400000017</v>
      </c>
      <c r="R17" s="595"/>
      <c r="S17" s="624">
        <v>0.94067565256622832</v>
      </c>
      <c r="T17" s="625"/>
      <c r="U17" s="626">
        <v>1</v>
      </c>
      <c r="W17" s="86">
        <f t="shared" si="1"/>
        <v>3550610.67</v>
      </c>
      <c r="X17" s="593"/>
      <c r="Y17" s="198"/>
    </row>
    <row r="18" spans="1:25" ht="18.95" customHeight="1">
      <c r="A18" s="636">
        <f t="shared" si="2"/>
        <v>5</v>
      </c>
      <c r="B18" s="582">
        <v>186</v>
      </c>
      <c r="C18" s="616" t="s">
        <v>2647</v>
      </c>
      <c r="D18" s="86">
        <v>19321838.131558001</v>
      </c>
      <c r="E18" s="86">
        <v>18438773.839013103</v>
      </c>
      <c r="F18" s="86">
        <v>18911701.3780597</v>
      </c>
      <c r="G18" s="86">
        <v>19412748.808189698</v>
      </c>
      <c r="H18" s="86">
        <v>19926259.987299401</v>
      </c>
      <c r="I18" s="86">
        <v>20341909.1133691</v>
      </c>
      <c r="J18" s="86">
        <v>20749057.941222798</v>
      </c>
      <c r="K18" s="86">
        <v>21286986.3980693</v>
      </c>
      <c r="L18" s="86">
        <v>21760183.379903398</v>
      </c>
      <c r="M18" s="86">
        <v>22508078.4972881</v>
      </c>
      <c r="N18" s="86">
        <v>22827901.119197</v>
      </c>
      <c r="O18" s="86">
        <v>8275984.7449352397</v>
      </c>
      <c r="P18" s="86">
        <v>4757509.1288919905</v>
      </c>
      <c r="Q18" s="86">
        <f t="shared" si="0"/>
        <v>18347610.189768989</v>
      </c>
      <c r="R18" s="595"/>
      <c r="S18" s="624">
        <v>0.94067565256622832</v>
      </c>
      <c r="T18" s="625"/>
      <c r="U18" s="626">
        <v>1</v>
      </c>
      <c r="W18" s="86">
        <f t="shared" si="1"/>
        <v>17259150.190000001</v>
      </c>
      <c r="X18" s="593"/>
      <c r="Y18" s="198"/>
    </row>
    <row r="19" spans="1:25" ht="18.95" customHeight="1">
      <c r="A19" s="636">
        <f t="shared" si="2"/>
        <v>6</v>
      </c>
      <c r="B19" s="582">
        <v>188</v>
      </c>
      <c r="C19" s="616" t="s">
        <v>2648</v>
      </c>
      <c r="D19" s="86">
        <v>866939.40999999992</v>
      </c>
      <c r="E19" s="86">
        <v>840726.84999999905</v>
      </c>
      <c r="F19" s="86">
        <v>814514.28999999911</v>
      </c>
      <c r="G19" s="86">
        <v>788301.72999999905</v>
      </c>
      <c r="H19" s="86">
        <v>762089.16999999899</v>
      </c>
      <c r="I19" s="86">
        <v>735876.60999999905</v>
      </c>
      <c r="J19" s="86">
        <v>709664.049999999</v>
      </c>
      <c r="K19" s="86">
        <v>683451.48999999906</v>
      </c>
      <c r="L19" s="86">
        <v>657238.929999999</v>
      </c>
      <c r="M19" s="86">
        <v>631026.36999999906</v>
      </c>
      <c r="N19" s="86">
        <v>604813.80999999901</v>
      </c>
      <c r="O19" s="86">
        <v>578601.24999999907</v>
      </c>
      <c r="P19" s="86">
        <v>552388.68999999901</v>
      </c>
      <c r="Q19" s="131">
        <f t="shared" si="0"/>
        <v>709664.04999999912</v>
      </c>
      <c r="R19" s="595"/>
      <c r="S19" s="624">
        <v>0.94067565256622832</v>
      </c>
      <c r="T19" s="625"/>
      <c r="U19" s="626">
        <v>1</v>
      </c>
      <c r="W19" s="131">
        <f t="shared" si="1"/>
        <v>667563.68999999994</v>
      </c>
      <c r="X19" s="593"/>
      <c r="Y19" s="198"/>
    </row>
    <row r="20" spans="1:25" ht="18.95" customHeight="1">
      <c r="Y20" s="198"/>
    </row>
    <row r="21" spans="1:25" ht="18.95" customHeight="1" thickBot="1">
      <c r="A21" s="582">
        <f>A19+1</f>
        <v>7</v>
      </c>
      <c r="C21" s="581" t="s">
        <v>2649</v>
      </c>
      <c r="Q21" s="94">
        <f>SUM(Q14:Q19)</f>
        <v>179403061.77703536</v>
      </c>
      <c r="R21" s="584"/>
      <c r="T21" s="625"/>
      <c r="W21" s="94">
        <f>SUM(W14:W19)</f>
        <v>168749646.16999999</v>
      </c>
      <c r="X21" s="596"/>
      <c r="Y21" s="198"/>
    </row>
    <row r="22" spans="1:25" ht="18.95" customHeight="1" thickTop="1">
      <c r="Y22" s="198"/>
    </row>
    <row r="23" spans="1:25" ht="18.95" customHeight="1">
      <c r="A23" s="619"/>
      <c r="Y23" s="198"/>
    </row>
    <row r="24" spans="1:25" ht="38.25">
      <c r="A24" s="159" t="s">
        <v>131</v>
      </c>
      <c r="B24" s="159" t="s">
        <v>134</v>
      </c>
      <c r="C24" s="159" t="s">
        <v>205</v>
      </c>
      <c r="D24" s="620" t="str">
        <f t="shared" ref="D24:P24" si="4">D10</f>
        <v>Apr 2019</v>
      </c>
      <c r="E24" s="620" t="str">
        <f t="shared" si="4"/>
        <v>May 2019</v>
      </c>
      <c r="F24" s="620" t="str">
        <f t="shared" si="4"/>
        <v>Jun 2019</v>
      </c>
      <c r="G24" s="620" t="str">
        <f t="shared" si="4"/>
        <v>Jul 2019</v>
      </c>
      <c r="H24" s="620" t="str">
        <f t="shared" si="4"/>
        <v>Aug 2019</v>
      </c>
      <c r="I24" s="620" t="str">
        <f t="shared" si="4"/>
        <v>Sep 2019</v>
      </c>
      <c r="J24" s="620" t="str">
        <f t="shared" si="4"/>
        <v>Oct 2019</v>
      </c>
      <c r="K24" s="620" t="str">
        <f t="shared" si="4"/>
        <v>Nov 2019</v>
      </c>
      <c r="L24" s="620" t="str">
        <f t="shared" si="4"/>
        <v>Dec 2019</v>
      </c>
      <c r="M24" s="620" t="str">
        <f t="shared" si="4"/>
        <v>Jan 2020</v>
      </c>
      <c r="N24" s="620" t="str">
        <f t="shared" si="4"/>
        <v>Feb 2020</v>
      </c>
      <c r="O24" s="620" t="str">
        <f t="shared" si="4"/>
        <v>Mar 2020</v>
      </c>
      <c r="P24" s="620" t="str">
        <f t="shared" si="4"/>
        <v>Apr 2020</v>
      </c>
      <c r="Q24" s="159" t="s">
        <v>2641</v>
      </c>
      <c r="R24" s="159"/>
      <c r="S24" s="159" t="s">
        <v>224</v>
      </c>
      <c r="T24" s="621"/>
      <c r="U24" s="622" t="s">
        <v>2642</v>
      </c>
      <c r="V24" s="159"/>
      <c r="W24" s="159" t="s">
        <v>1422</v>
      </c>
      <c r="X24" s="623"/>
    </row>
    <row r="25" spans="1:25" ht="18.95" customHeight="1">
      <c r="Y25" s="198"/>
    </row>
    <row r="26" spans="1:25" ht="18.95" customHeight="1">
      <c r="C26" s="616" t="s">
        <v>2650</v>
      </c>
      <c r="Y26" s="198"/>
    </row>
    <row r="27" spans="1:25" ht="18.95" customHeight="1">
      <c r="Y27" s="198"/>
    </row>
    <row r="28" spans="1:25" ht="18.95" customHeight="1">
      <c r="A28" s="582">
        <f>A21+1</f>
        <v>8</v>
      </c>
      <c r="B28" s="582">
        <v>228.2</v>
      </c>
      <c r="C28" s="616" t="s">
        <v>2651</v>
      </c>
      <c r="D28" s="86">
        <v>-3198333.0800000005</v>
      </c>
      <c r="E28" s="86">
        <v>-3198333.0800000005</v>
      </c>
      <c r="F28" s="86">
        <v>-3198333.0800000005</v>
      </c>
      <c r="G28" s="86">
        <v>-3198333.0800000005</v>
      </c>
      <c r="H28" s="86">
        <v>-3198333.0800000005</v>
      </c>
      <c r="I28" s="86">
        <v>-3198333.0800000005</v>
      </c>
      <c r="J28" s="86">
        <v>-3198333.0800000005</v>
      </c>
      <c r="K28" s="86">
        <v>-3198333.0800000005</v>
      </c>
      <c r="L28" s="86">
        <v>-3198333.0800000005</v>
      </c>
      <c r="M28" s="86">
        <v>-3198333.0800000005</v>
      </c>
      <c r="N28" s="86">
        <v>-3198333.0800000005</v>
      </c>
      <c r="O28" s="86">
        <v>-3198333.0800000005</v>
      </c>
      <c r="P28" s="86">
        <v>-3198333.0800000005</v>
      </c>
      <c r="Q28" s="86">
        <f>AVERAGE(D28:P28)</f>
        <v>-3198333.0800000005</v>
      </c>
      <c r="R28" s="584"/>
      <c r="S28" s="624">
        <v>0.94067565256622832</v>
      </c>
      <c r="T28" s="625"/>
      <c r="U28" s="626">
        <v>1</v>
      </c>
      <c r="W28" s="86">
        <f t="shared" ref="W28:W34" si="5">ROUND($Q28*$S28*$U28,2)</f>
        <v>-3008594.06</v>
      </c>
      <c r="X28" s="593"/>
      <c r="Y28" s="198"/>
    </row>
    <row r="29" spans="1:25" ht="18.95" customHeight="1">
      <c r="A29" s="582">
        <f t="shared" ref="A29:A34" si="6">A28+1</f>
        <v>9</v>
      </c>
      <c r="B29" s="582">
        <v>228.3</v>
      </c>
      <c r="C29" s="616" t="s">
        <v>2652</v>
      </c>
      <c r="D29" s="86">
        <v>-27932084.096666601</v>
      </c>
      <c r="E29" s="86">
        <v>-27983160.013333302</v>
      </c>
      <c r="F29" s="86">
        <v>-26744469.68</v>
      </c>
      <c r="G29" s="86">
        <v>-26795545.596666601</v>
      </c>
      <c r="H29" s="86">
        <v>-26846621.513333298</v>
      </c>
      <c r="I29" s="86">
        <v>-25607931.18</v>
      </c>
      <c r="J29" s="86">
        <v>-25659007.096666601</v>
      </c>
      <c r="K29" s="86">
        <v>-25710083.013333302</v>
      </c>
      <c r="L29" s="86">
        <v>-24471392.68</v>
      </c>
      <c r="M29" s="86">
        <v>-24518321.68</v>
      </c>
      <c r="N29" s="86">
        <v>-24565250.68</v>
      </c>
      <c r="O29" s="86">
        <v>-23299402.68</v>
      </c>
      <c r="P29" s="86">
        <v>-23346331.68</v>
      </c>
      <c r="Q29" s="86">
        <f t="shared" ref="Q29:Q34" si="7">AVERAGE(D29:P29)</f>
        <v>-25652277.045384593</v>
      </c>
      <c r="R29" s="584"/>
      <c r="S29" s="624">
        <v>0.94067565256622832</v>
      </c>
      <c r="T29" s="625"/>
      <c r="U29" s="626">
        <v>1</v>
      </c>
      <c r="W29" s="86">
        <f t="shared" si="5"/>
        <v>-24130472.449999999</v>
      </c>
      <c r="X29" s="593"/>
      <c r="Y29" s="198"/>
    </row>
    <row r="30" spans="1:25" ht="18.95" customHeight="1">
      <c r="A30" s="582">
        <f t="shared" si="6"/>
        <v>10</v>
      </c>
      <c r="B30" s="582">
        <v>242</v>
      </c>
      <c r="C30" s="616" t="s">
        <v>2653</v>
      </c>
      <c r="D30" s="86">
        <v>-18870550.530080914</v>
      </c>
      <c r="E30" s="86">
        <v>-18945393.056926444</v>
      </c>
      <c r="F30" s="86">
        <v>-18998281.831429817</v>
      </c>
      <c r="G30" s="86">
        <v>-19068455.076913461</v>
      </c>
      <c r="H30" s="86">
        <v>-19144375.808218062</v>
      </c>
      <c r="I30" s="86">
        <v>-19207190.23549803</v>
      </c>
      <c r="J30" s="86">
        <v>-19286718.063394494</v>
      </c>
      <c r="K30" s="86">
        <v>-19343286.012912739</v>
      </c>
      <c r="L30" s="86">
        <v>-19397787.48360971</v>
      </c>
      <c r="M30" s="86">
        <v>-19486414.709200215</v>
      </c>
      <c r="N30" s="86">
        <v>-19555716.15506798</v>
      </c>
      <c r="O30" s="86">
        <v>-18382657.459085189</v>
      </c>
      <c r="P30" s="86">
        <v>-18458439.94427133</v>
      </c>
      <c r="Q30" s="86">
        <f t="shared" si="7"/>
        <v>-19088097.412816029</v>
      </c>
      <c r="R30" s="584"/>
      <c r="S30" s="624">
        <v>0.94067565256622832</v>
      </c>
      <c r="T30" s="625"/>
      <c r="U30" s="626">
        <v>1</v>
      </c>
      <c r="W30" s="86">
        <f t="shared" si="5"/>
        <v>-17955708.489999998</v>
      </c>
      <c r="X30" s="593"/>
      <c r="Y30" s="198"/>
    </row>
    <row r="31" spans="1:25" ht="18.95" customHeight="1">
      <c r="A31" s="582">
        <f t="shared" si="6"/>
        <v>11</v>
      </c>
      <c r="B31" s="582">
        <v>253</v>
      </c>
      <c r="C31" s="616" t="s">
        <v>2654</v>
      </c>
      <c r="D31" s="86">
        <v>-1739959.09</v>
      </c>
      <c r="E31" s="86">
        <v>-1739959.09</v>
      </c>
      <c r="F31" s="86">
        <v>-1739959.09</v>
      </c>
      <c r="G31" s="86">
        <v>-1739959.09</v>
      </c>
      <c r="H31" s="86">
        <v>-1739959.09</v>
      </c>
      <c r="I31" s="86">
        <v>-1739959.09</v>
      </c>
      <c r="J31" s="86">
        <v>-1739959.09</v>
      </c>
      <c r="K31" s="86">
        <v>-1739959.09</v>
      </c>
      <c r="L31" s="86">
        <v>-1739959.09</v>
      </c>
      <c r="M31" s="86">
        <v>-1739959.09</v>
      </c>
      <c r="N31" s="86">
        <v>-1739959.09</v>
      </c>
      <c r="O31" s="86">
        <v>-1739959.09</v>
      </c>
      <c r="P31" s="86">
        <v>-1739959.09</v>
      </c>
      <c r="Q31" s="86">
        <f t="shared" si="7"/>
        <v>-1739959.09</v>
      </c>
      <c r="R31" s="595"/>
      <c r="S31" s="624">
        <v>0.93817524378396067</v>
      </c>
      <c r="T31" s="627"/>
      <c r="U31" s="626">
        <v>1</v>
      </c>
      <c r="W31" s="86">
        <f t="shared" si="5"/>
        <v>-1632386.54</v>
      </c>
      <c r="X31" s="593"/>
      <c r="Y31" s="198"/>
    </row>
    <row r="32" spans="1:25" ht="18.95" customHeight="1">
      <c r="A32" s="582">
        <f t="shared" si="6"/>
        <v>12</v>
      </c>
      <c r="B32" s="582">
        <v>254</v>
      </c>
      <c r="C32" s="616" t="s">
        <v>2661</v>
      </c>
      <c r="D32" s="86">
        <v>-29116514.5</v>
      </c>
      <c r="E32" s="86">
        <v>-29113495.25</v>
      </c>
      <c r="F32" s="86">
        <v>-29110476</v>
      </c>
      <c r="G32" s="86">
        <v>-29107456.749999899</v>
      </c>
      <c r="H32" s="86">
        <v>-29104437.499999903</v>
      </c>
      <c r="I32" s="86">
        <v>-29101418.249999899</v>
      </c>
      <c r="J32" s="86">
        <v>-29098398.999999899</v>
      </c>
      <c r="K32" s="86">
        <v>-29095379.749999899</v>
      </c>
      <c r="L32" s="86">
        <v>-29092360.499999899</v>
      </c>
      <c r="M32" s="86">
        <v>-29091310.666666597</v>
      </c>
      <c r="N32" s="86">
        <v>-29090260.833333302</v>
      </c>
      <c r="O32" s="86">
        <v>-29089210.999999899</v>
      </c>
      <c r="P32" s="86">
        <v>-29088161.166666601</v>
      </c>
      <c r="Q32" s="86">
        <f t="shared" ref="Q32" si="8">AVERAGE(D32:P32)</f>
        <v>-29099913.935897373</v>
      </c>
      <c r="R32" s="584"/>
      <c r="S32" s="624">
        <v>0.94067565256622832</v>
      </c>
      <c r="T32" s="625"/>
      <c r="U32" s="626">
        <v>1</v>
      </c>
      <c r="W32" s="86">
        <f t="shared" si="5"/>
        <v>-27373580.530000001</v>
      </c>
      <c r="X32" s="593"/>
      <c r="Y32" s="198"/>
    </row>
    <row r="33" spans="1:32" ht="18.95" customHeight="1">
      <c r="A33" s="582">
        <f t="shared" si="6"/>
        <v>13</v>
      </c>
      <c r="B33" s="628" t="s">
        <v>2655</v>
      </c>
      <c r="C33" s="616" t="s">
        <v>2656</v>
      </c>
      <c r="D33" s="86">
        <v>-49730999.865671322</v>
      </c>
      <c r="E33" s="86">
        <v>-35434234.161332808</v>
      </c>
      <c r="F33" s="86">
        <v>-38861343.914094679</v>
      </c>
      <c r="G33" s="86">
        <v>-30421581.90774592</v>
      </c>
      <c r="H33" s="86">
        <v>-32788440.167127267</v>
      </c>
      <c r="I33" s="86">
        <v>-37240214.411123715</v>
      </c>
      <c r="J33" s="86">
        <v>-36356781.19811172</v>
      </c>
      <c r="K33" s="86">
        <v>-54535948.016629688</v>
      </c>
      <c r="L33" s="86">
        <v>-67580269.308654144</v>
      </c>
      <c r="M33" s="86">
        <v>-75095759.245107621</v>
      </c>
      <c r="N33" s="86">
        <v>-80695828.280199662</v>
      </c>
      <c r="O33" s="86">
        <v>-54953924.732909948</v>
      </c>
      <c r="P33" s="86">
        <v>-84076470.174022466</v>
      </c>
      <c r="Q33" s="86">
        <f t="shared" si="7"/>
        <v>-52136291.952517755</v>
      </c>
      <c r="R33" s="595"/>
      <c r="S33" s="624">
        <v>0.93817524378396067</v>
      </c>
      <c r="T33" s="629"/>
      <c r="U33" s="630">
        <v>1</v>
      </c>
      <c r="W33" s="86">
        <f t="shared" si="5"/>
        <v>-48912978.409999996</v>
      </c>
      <c r="X33" s="593"/>
      <c r="Y33" s="624"/>
    </row>
    <row r="34" spans="1:32" ht="18.95" customHeight="1">
      <c r="A34" s="582">
        <f t="shared" si="6"/>
        <v>14</v>
      </c>
      <c r="B34" s="628" t="s">
        <v>2655</v>
      </c>
      <c r="C34" s="616" t="s">
        <v>2657</v>
      </c>
      <c r="D34" s="86">
        <v>-4871335.3217548812</v>
      </c>
      <c r="E34" s="86">
        <v>-2729593.7958723647</v>
      </c>
      <c r="F34" s="86">
        <v>-1892323.2355174082</v>
      </c>
      <c r="G34" s="86">
        <v>-2706786.0259449161</v>
      </c>
      <c r="H34" s="86">
        <v>-3226370.9488539458</v>
      </c>
      <c r="I34" s="86">
        <v>-2730342.0469898302</v>
      </c>
      <c r="J34" s="86">
        <v>-1610460.448056848</v>
      </c>
      <c r="K34" s="86">
        <v>-1585086.8559455676</v>
      </c>
      <c r="L34" s="86">
        <v>-4724496.6876342064</v>
      </c>
      <c r="M34" s="86">
        <v>-2254492.9650819926</v>
      </c>
      <c r="N34" s="86">
        <v>-2275362.862067665</v>
      </c>
      <c r="O34" s="86">
        <v>-1120359.2916403033</v>
      </c>
      <c r="P34" s="86">
        <v>-1971746.4109112876</v>
      </c>
      <c r="Q34" s="131">
        <f t="shared" si="7"/>
        <v>-2592212.0689439401</v>
      </c>
      <c r="R34" s="595"/>
      <c r="S34" s="624">
        <v>0.93817524378396067</v>
      </c>
      <c r="T34" s="625"/>
      <c r="U34" s="626">
        <v>1</v>
      </c>
      <c r="W34" s="131">
        <f t="shared" si="5"/>
        <v>-2431949.19</v>
      </c>
      <c r="X34" s="593"/>
      <c r="Y34" s="624"/>
    </row>
    <row r="35" spans="1:32" ht="18.95" customHeight="1">
      <c r="X35" s="593"/>
    </row>
    <row r="36" spans="1:32" ht="18.95" customHeight="1" thickBot="1">
      <c r="A36" s="582">
        <f>A34+1</f>
        <v>15</v>
      </c>
      <c r="C36" s="581" t="s">
        <v>2658</v>
      </c>
      <c r="Q36" s="94">
        <f>SUM(Q28:Q34)</f>
        <v>-133507084.5855597</v>
      </c>
      <c r="R36" s="584"/>
      <c r="T36" s="625"/>
      <c r="W36" s="94">
        <f>SUM(W28:W34)</f>
        <v>-125445669.66999999</v>
      </c>
      <c r="X36" s="596"/>
    </row>
    <row r="37" spans="1:32" ht="18.95" customHeight="1" thickTop="1">
      <c r="W37" s="593"/>
      <c r="X37" s="593"/>
    </row>
    <row r="38" spans="1:32" ht="18.95" customHeight="1" thickBot="1">
      <c r="A38" s="582">
        <f>A36+1</f>
        <v>16</v>
      </c>
      <c r="B38" s="581" t="s">
        <v>3410</v>
      </c>
      <c r="C38" s="581"/>
      <c r="Q38" s="94">
        <f>Q21+Q36</f>
        <v>45895977.19147566</v>
      </c>
      <c r="R38" s="584"/>
      <c r="T38" s="625"/>
      <c r="W38" s="94">
        <f>W21+W36</f>
        <v>43303976.5</v>
      </c>
      <c r="X38" s="596"/>
    </row>
    <row r="39" spans="1:32" ht="13.5" thickTop="1"/>
    <row r="41" spans="1:32" ht="15" customHeight="1">
      <c r="B41" s="582"/>
      <c r="D41" s="86"/>
      <c r="E41" s="86"/>
      <c r="F41" s="86"/>
      <c r="G41" s="86"/>
      <c r="H41" s="86"/>
      <c r="I41" s="86"/>
      <c r="J41" s="86"/>
      <c r="K41" s="86"/>
      <c r="L41" s="86"/>
      <c r="M41" s="86"/>
      <c r="N41" s="86"/>
      <c r="O41" s="86"/>
      <c r="P41" s="86"/>
      <c r="Q41" s="86"/>
      <c r="R41" s="584"/>
      <c r="S41" s="624"/>
      <c r="T41" s="633"/>
      <c r="U41" s="630"/>
      <c r="W41" s="593"/>
      <c r="X41" s="593"/>
      <c r="Y41" s="198"/>
      <c r="AB41" s="582"/>
      <c r="AC41" s="582"/>
      <c r="AD41" s="582"/>
    </row>
    <row r="42" spans="1:32" ht="15" customHeight="1">
      <c r="B42" s="582"/>
      <c r="D42" s="86"/>
      <c r="E42" s="86"/>
      <c r="F42" s="86"/>
      <c r="G42" s="86"/>
      <c r="H42" s="86"/>
      <c r="I42" s="86"/>
      <c r="J42" s="86"/>
      <c r="K42" s="86"/>
      <c r="L42" s="86"/>
      <c r="M42" s="86"/>
      <c r="N42" s="86"/>
      <c r="O42" s="86"/>
      <c r="P42" s="86"/>
      <c r="Q42" s="86"/>
      <c r="R42" s="584"/>
      <c r="S42" s="624"/>
      <c r="T42" s="633"/>
      <c r="U42" s="630"/>
      <c r="W42" s="593"/>
      <c r="X42" s="593"/>
      <c r="Y42" s="198"/>
      <c r="AA42" s="628"/>
      <c r="AB42" s="628"/>
      <c r="AD42" s="628"/>
      <c r="AE42" s="628"/>
    </row>
    <row r="43" spans="1:32">
      <c r="D43" s="86"/>
      <c r="E43" s="86"/>
      <c r="F43" s="86"/>
      <c r="G43" s="86"/>
      <c r="H43" s="86"/>
      <c r="I43" s="86"/>
      <c r="J43" s="86"/>
      <c r="K43" s="86"/>
      <c r="L43" s="86"/>
      <c r="M43" s="86"/>
      <c r="N43" s="86"/>
      <c r="O43" s="86"/>
      <c r="P43" s="86"/>
      <c r="Q43" s="86"/>
      <c r="T43" s="634"/>
      <c r="U43" s="635"/>
      <c r="AA43" s="582"/>
      <c r="AB43" s="582"/>
      <c r="AD43" s="582"/>
      <c r="AE43" s="582"/>
    </row>
    <row r="44" spans="1:32">
      <c r="D44" s="86"/>
      <c r="E44" s="86"/>
      <c r="F44" s="86"/>
      <c r="G44" s="86"/>
      <c r="H44" s="86"/>
      <c r="I44" s="86"/>
      <c r="J44" s="86"/>
      <c r="K44" s="86"/>
      <c r="L44" s="86"/>
      <c r="M44" s="86"/>
      <c r="N44" s="86"/>
      <c r="O44" s="86"/>
      <c r="P44" s="86"/>
      <c r="Q44" s="86"/>
      <c r="T44" s="634"/>
      <c r="U44" s="635"/>
      <c r="AB44" s="582"/>
      <c r="AC44" s="582"/>
      <c r="AD44" s="582"/>
      <c r="AF44" s="582"/>
    </row>
    <row r="45" spans="1:32" ht="15" customHeight="1">
      <c r="B45" s="582"/>
      <c r="D45" s="86"/>
      <c r="E45" s="86"/>
      <c r="F45" s="86"/>
      <c r="G45" s="86"/>
      <c r="H45" s="86"/>
      <c r="I45" s="86"/>
      <c r="J45" s="86"/>
      <c r="K45" s="86"/>
      <c r="L45" s="86"/>
      <c r="M45" s="86"/>
      <c r="N45" s="86"/>
      <c r="O45" s="86"/>
      <c r="P45" s="86"/>
      <c r="Q45" s="86"/>
      <c r="R45" s="584"/>
      <c r="S45" s="624"/>
      <c r="T45" s="633"/>
      <c r="U45" s="630"/>
      <c r="W45" s="593"/>
      <c r="X45" s="593"/>
      <c r="Y45" s="198"/>
      <c r="AA45" s="593"/>
      <c r="AB45" s="593"/>
      <c r="AC45" s="631"/>
      <c r="AD45" s="593"/>
      <c r="AE45" s="593"/>
      <c r="AF45" s="632"/>
    </row>
    <row r="46" spans="1:32">
      <c r="D46" s="86"/>
      <c r="E46" s="86"/>
      <c r="F46" s="86"/>
      <c r="G46" s="86"/>
      <c r="H46" s="86"/>
      <c r="I46" s="86"/>
      <c r="J46" s="86"/>
      <c r="K46" s="86"/>
      <c r="L46" s="86"/>
      <c r="M46" s="86"/>
      <c r="N46" s="86"/>
      <c r="O46" s="86"/>
      <c r="P46" s="86"/>
      <c r="Q46" s="86"/>
      <c r="T46" s="634"/>
      <c r="U46" s="635"/>
      <c r="AA46" s="593"/>
      <c r="AB46" s="593"/>
      <c r="AC46" s="631"/>
      <c r="AD46" s="593"/>
      <c r="AE46" s="593"/>
      <c r="AF46" s="632"/>
    </row>
    <row r="47" spans="1:32">
      <c r="D47" s="86"/>
      <c r="E47" s="86"/>
      <c r="F47" s="86"/>
      <c r="G47" s="86"/>
      <c r="H47" s="86"/>
      <c r="I47" s="86"/>
      <c r="J47" s="86"/>
      <c r="K47" s="86"/>
      <c r="L47" s="86"/>
      <c r="M47" s="86"/>
      <c r="N47" s="86"/>
      <c r="O47" s="86"/>
      <c r="P47" s="86"/>
      <c r="Q47" s="86"/>
    </row>
    <row r="49" spans="1:24" ht="18.95" customHeight="1">
      <c r="A49" s="774" t="str">
        <f>$A1</f>
        <v>KENTUCKY UTILITIES COMPANY</v>
      </c>
      <c r="B49" s="777"/>
      <c r="C49" s="777"/>
      <c r="D49" s="777"/>
      <c r="E49" s="777"/>
      <c r="F49" s="777"/>
      <c r="G49" s="777"/>
      <c r="H49" s="777"/>
      <c r="I49" s="777"/>
      <c r="J49" s="777"/>
      <c r="K49" s="777"/>
      <c r="L49" s="777"/>
      <c r="M49" s="777"/>
      <c r="N49" s="777"/>
      <c r="O49" s="777"/>
      <c r="P49" s="777"/>
      <c r="Q49" s="777"/>
      <c r="R49" s="777"/>
      <c r="S49" s="777"/>
      <c r="T49" s="778"/>
      <c r="U49" s="778"/>
      <c r="V49" s="777"/>
      <c r="W49" s="777"/>
      <c r="X49" s="611"/>
    </row>
    <row r="50" spans="1:24" ht="18.95" customHeight="1">
      <c r="A50" s="774" t="str">
        <f>$A2</f>
        <v>CASE NO. 2018-00294 - RESPONSE TO PSC 2-65 (SLIPPAGE FACTOR 96.027%)</v>
      </c>
      <c r="B50" s="777"/>
      <c r="C50" s="777"/>
      <c r="D50" s="777"/>
      <c r="E50" s="777"/>
      <c r="F50" s="777"/>
      <c r="G50" s="777"/>
      <c r="H50" s="777"/>
      <c r="I50" s="777"/>
      <c r="J50" s="777"/>
      <c r="K50" s="777"/>
      <c r="L50" s="777"/>
      <c r="M50" s="777"/>
      <c r="N50" s="777"/>
      <c r="O50" s="777"/>
      <c r="P50" s="777"/>
      <c r="Q50" s="777"/>
      <c r="R50" s="777"/>
      <c r="S50" s="777"/>
      <c r="T50" s="778"/>
      <c r="U50" s="778"/>
      <c r="V50" s="777"/>
      <c r="W50" s="777"/>
      <c r="X50" s="611"/>
    </row>
    <row r="51" spans="1:24" ht="18.95" customHeight="1">
      <c r="A51" s="774" t="s">
        <v>1436</v>
      </c>
      <c r="B51" s="775"/>
      <c r="C51" s="775"/>
      <c r="D51" s="775"/>
      <c r="E51" s="775"/>
      <c r="F51" s="775"/>
      <c r="G51" s="775"/>
      <c r="H51" s="775"/>
      <c r="I51" s="775"/>
      <c r="J51" s="775"/>
      <c r="K51" s="775"/>
      <c r="L51" s="775"/>
      <c r="M51" s="775"/>
      <c r="N51" s="775"/>
      <c r="O51" s="775"/>
      <c r="P51" s="775"/>
      <c r="Q51" s="775"/>
      <c r="R51" s="775"/>
      <c r="S51" s="775"/>
      <c r="T51" s="776"/>
      <c r="U51" s="776"/>
      <c r="V51" s="775"/>
      <c r="W51" s="775"/>
      <c r="X51" s="612"/>
    </row>
    <row r="52" spans="1:24" ht="18.95" customHeight="1">
      <c r="A52" s="774" t="str">
        <f>$A4</f>
        <v>FORECAST PERIOD FOR THE 12 MONTHS ENDED APRIL 30, 2020</v>
      </c>
      <c r="B52" s="777"/>
      <c r="C52" s="777"/>
      <c r="D52" s="777"/>
      <c r="E52" s="777"/>
      <c r="F52" s="777"/>
      <c r="G52" s="777"/>
      <c r="H52" s="777"/>
      <c r="I52" s="777"/>
      <c r="J52" s="777"/>
      <c r="K52" s="777"/>
      <c r="L52" s="777"/>
      <c r="M52" s="777"/>
      <c r="N52" s="777"/>
      <c r="O52" s="777"/>
      <c r="P52" s="777"/>
      <c r="Q52" s="777"/>
      <c r="R52" s="777"/>
      <c r="S52" s="777"/>
      <c r="T52" s="778"/>
      <c r="U52" s="778"/>
      <c r="V52" s="777"/>
      <c r="W52" s="777"/>
      <c r="X52" s="612"/>
    </row>
    <row r="53" spans="1:24" ht="18.95" customHeight="1">
      <c r="A53" s="613"/>
      <c r="B53" s="614"/>
      <c r="C53" s="614"/>
      <c r="D53" s="614"/>
      <c r="E53" s="614"/>
      <c r="F53" s="614"/>
      <c r="G53" s="614"/>
      <c r="H53" s="614"/>
      <c r="I53" s="614"/>
      <c r="J53" s="614"/>
      <c r="K53" s="614"/>
      <c r="L53" s="614"/>
      <c r="M53" s="614"/>
      <c r="N53" s="614"/>
      <c r="O53" s="614"/>
      <c r="P53" s="614"/>
      <c r="Q53" s="614"/>
      <c r="R53" s="614"/>
      <c r="S53" s="614"/>
      <c r="T53" s="615"/>
      <c r="U53" s="615"/>
      <c r="V53" s="614"/>
      <c r="W53" s="614"/>
      <c r="X53" s="612"/>
    </row>
    <row r="54" spans="1:24" ht="18.95" customHeight="1">
      <c r="A54" s="67" t="str">
        <f>A6</f>
        <v>DATA:____BASE  PERIOD__X__FORECASTED  PERIOD</v>
      </c>
      <c r="B54" s="614"/>
      <c r="C54" s="614"/>
      <c r="D54" s="614"/>
      <c r="E54" s="614"/>
      <c r="F54" s="614"/>
      <c r="G54" s="614"/>
      <c r="H54" s="614"/>
      <c r="I54" s="614"/>
      <c r="J54" s="614"/>
      <c r="K54" s="614"/>
      <c r="L54" s="614"/>
      <c r="M54" s="614"/>
      <c r="N54" s="614"/>
      <c r="O54" s="614"/>
      <c r="P54" s="614"/>
      <c r="Q54" s="614"/>
      <c r="R54" s="614"/>
      <c r="S54" s="614"/>
      <c r="T54" s="615"/>
      <c r="U54" s="615"/>
      <c r="V54" s="614"/>
      <c r="W54" s="74" t="s">
        <v>1437</v>
      </c>
      <c r="X54" s="612"/>
    </row>
    <row r="55" spans="1:24" ht="18.95" customHeight="1">
      <c r="A55" s="68" t="str">
        <f>A7</f>
        <v>TYPE OF FILING: __X__ ORIGINAL  _____ UPDATED  _____ REVISED</v>
      </c>
      <c r="B55" s="614"/>
      <c r="C55" s="614"/>
      <c r="D55" s="614"/>
      <c r="E55" s="614"/>
      <c r="F55" s="614"/>
      <c r="G55" s="614"/>
      <c r="H55" s="614"/>
      <c r="I55" s="614"/>
      <c r="J55" s="614"/>
      <c r="K55" s="614"/>
      <c r="L55" s="614"/>
      <c r="M55" s="614"/>
      <c r="N55" s="614"/>
      <c r="O55" s="614"/>
      <c r="P55" s="614"/>
      <c r="Q55" s="614"/>
      <c r="R55" s="614"/>
      <c r="S55" s="614"/>
      <c r="T55" s="615"/>
      <c r="U55" s="615"/>
      <c r="V55" s="614"/>
      <c r="W55" s="74" t="s">
        <v>170</v>
      </c>
      <c r="X55" s="612"/>
    </row>
    <row r="56" spans="1:24" ht="18.95" customHeight="1">
      <c r="A56" s="67" t="s">
        <v>1198</v>
      </c>
      <c r="W56" s="75" t="str">
        <f>W8</f>
        <v>WITNESS:   C. M. GARRETT</v>
      </c>
    </row>
    <row r="57" spans="1:24" ht="18.95" customHeight="1">
      <c r="A57" s="619"/>
    </row>
    <row r="58" spans="1:24" ht="38.25">
      <c r="A58" s="159" t="s">
        <v>131</v>
      </c>
      <c r="B58" s="159"/>
      <c r="C58" s="159" t="s">
        <v>205</v>
      </c>
      <c r="D58" s="620" t="s">
        <v>2529</v>
      </c>
      <c r="E58" s="620" t="s">
        <v>2530</v>
      </c>
      <c r="F58" s="620" t="s">
        <v>2531</v>
      </c>
      <c r="G58" s="620" t="s">
        <v>2532</v>
      </c>
      <c r="H58" s="620" t="s">
        <v>2533</v>
      </c>
      <c r="I58" s="620" t="s">
        <v>2534</v>
      </c>
      <c r="J58" s="620" t="s">
        <v>2535</v>
      </c>
      <c r="K58" s="620" t="s">
        <v>2536</v>
      </c>
      <c r="L58" s="620" t="s">
        <v>2537</v>
      </c>
      <c r="M58" s="620" t="s">
        <v>2538</v>
      </c>
      <c r="N58" s="620" t="s">
        <v>2539</v>
      </c>
      <c r="O58" s="620" t="s">
        <v>2540</v>
      </c>
      <c r="P58" s="620" t="s">
        <v>2541</v>
      </c>
      <c r="Q58" s="159" t="s">
        <v>1202</v>
      </c>
      <c r="R58" s="159"/>
      <c r="S58" s="159" t="s">
        <v>224</v>
      </c>
      <c r="T58" s="621"/>
      <c r="U58" s="622" t="s">
        <v>2642</v>
      </c>
      <c r="V58" s="159"/>
      <c r="W58" s="159" t="s">
        <v>1422</v>
      </c>
      <c r="X58" s="623"/>
    </row>
    <row r="59" spans="1:24" ht="18.95" customHeight="1"/>
    <row r="60" spans="1:24" ht="18.95" customHeight="1">
      <c r="A60" s="70">
        <v>1</v>
      </c>
      <c r="C60" s="78" t="s">
        <v>2662</v>
      </c>
      <c r="E60" s="86">
        <f>'ECR EXP F'!B24*1000</f>
        <v>1557225</v>
      </c>
      <c r="F60" s="86">
        <f>'ECR EXP F'!C24*1000</f>
        <v>1633544</v>
      </c>
      <c r="G60" s="86">
        <f>'ECR EXP F'!D24*1000</f>
        <v>1724141.9999999998</v>
      </c>
      <c r="H60" s="86">
        <f>'ECR EXP F'!E24*1000</f>
        <v>1801824</v>
      </c>
      <c r="I60" s="86">
        <f>'ECR EXP F'!F24*1000</f>
        <v>1604930.0000000002</v>
      </c>
      <c r="J60" s="86">
        <f>'ECR EXP F'!G24*1000</f>
        <v>1607086.0000000002</v>
      </c>
      <c r="K60" s="86">
        <f>'ECR EXP F'!H24*1000</f>
        <v>1269076.9999999991</v>
      </c>
      <c r="L60" s="86">
        <f>'ECR EXP F'!I24*1000</f>
        <v>1696142</v>
      </c>
      <c r="M60" s="86">
        <f>'ECR EXP F'!J24*1000</f>
        <v>1851579</v>
      </c>
      <c r="N60" s="86">
        <f>'ECR EXP F'!K24*1000</f>
        <v>1834867</v>
      </c>
      <c r="O60" s="86">
        <f>'ECR EXP F'!L24*1000</f>
        <v>1649113.9999999991</v>
      </c>
      <c r="P60" s="86">
        <f>'ECR EXP F'!M24*1000</f>
        <v>1758555.9999999991</v>
      </c>
      <c r="Q60" s="86">
        <f>SUM(E60:P60)</f>
        <v>19988086</v>
      </c>
      <c r="S60" s="585">
        <v>1</v>
      </c>
      <c r="W60" s="86">
        <f>Q60*S60</f>
        <v>19988086</v>
      </c>
    </row>
    <row r="61" spans="1:24" ht="18.95" customHeight="1">
      <c r="A61" s="70"/>
      <c r="C61" s="78"/>
      <c r="Q61" s="86"/>
      <c r="W61" s="86"/>
    </row>
    <row r="62" spans="1:24" ht="18.95" customHeight="1">
      <c r="A62" s="70">
        <v>2</v>
      </c>
      <c r="C62" s="78" t="s">
        <v>1438</v>
      </c>
      <c r="E62" s="86">
        <v>0</v>
      </c>
      <c r="F62" s="86">
        <v>0</v>
      </c>
      <c r="G62" s="86">
        <v>0</v>
      </c>
      <c r="H62" s="86">
        <v>0</v>
      </c>
      <c r="I62" s="86">
        <v>0</v>
      </c>
      <c r="J62" s="86">
        <v>0</v>
      </c>
      <c r="K62" s="86">
        <v>0</v>
      </c>
      <c r="L62" s="86">
        <v>0</v>
      </c>
      <c r="M62" s="86">
        <v>0</v>
      </c>
      <c r="N62" s="86">
        <v>0</v>
      </c>
      <c r="O62" s="86">
        <v>0</v>
      </c>
      <c r="P62" s="86">
        <v>0</v>
      </c>
      <c r="Q62" s="131">
        <f>SUM(E62:P62)</f>
        <v>0</v>
      </c>
      <c r="S62" s="585">
        <v>1</v>
      </c>
      <c r="W62" s="131">
        <f>Q62*S62</f>
        <v>0</v>
      </c>
    </row>
    <row r="63" spans="1:24" ht="18.95" customHeight="1">
      <c r="A63" s="70"/>
      <c r="C63" s="78"/>
      <c r="Q63" s="86"/>
      <c r="W63" s="86"/>
    </row>
    <row r="64" spans="1:24" ht="18.95" customHeight="1" thickBot="1">
      <c r="A64" s="70">
        <v>3</v>
      </c>
      <c r="C64" s="78" t="s">
        <v>1439</v>
      </c>
      <c r="Q64" s="94">
        <f>Q60-Q62</f>
        <v>19988086</v>
      </c>
      <c r="W64" s="94">
        <f>W60-W62</f>
        <v>19988086</v>
      </c>
    </row>
    <row r="65" spans="1:32" ht="18.95" customHeight="1" thickTop="1">
      <c r="A65" s="70"/>
      <c r="C65" s="78"/>
      <c r="Q65" s="86"/>
      <c r="W65" s="86"/>
    </row>
    <row r="66" spans="1:32" ht="18.95" customHeight="1" thickBot="1">
      <c r="A66" s="70">
        <v>4</v>
      </c>
      <c r="C66" s="78" t="s">
        <v>2659</v>
      </c>
      <c r="Q66" s="94">
        <f>Q64*0.125</f>
        <v>2498510.75</v>
      </c>
      <c r="W66" s="94">
        <f>W64*0.125</f>
        <v>2498510.75</v>
      </c>
    </row>
    <row r="67" spans="1:32" s="582" customFormat="1" ht="18.95" customHeight="1" thickTop="1">
      <c r="B67" s="581"/>
      <c r="C67" s="616"/>
      <c r="D67" s="581"/>
      <c r="E67" s="581"/>
      <c r="F67" s="581"/>
      <c r="G67" s="581"/>
      <c r="H67" s="581"/>
      <c r="I67" s="581"/>
      <c r="J67" s="581"/>
      <c r="K67" s="581"/>
      <c r="L67" s="581"/>
      <c r="M67" s="581"/>
      <c r="N67" s="581"/>
      <c r="O67" s="581"/>
      <c r="P67" s="581"/>
      <c r="Q67" s="581"/>
      <c r="R67" s="581"/>
      <c r="S67" s="585"/>
      <c r="T67" s="617"/>
      <c r="U67" s="618"/>
      <c r="V67" s="585"/>
      <c r="W67" s="581"/>
      <c r="X67" s="581"/>
      <c r="Y67" s="581"/>
      <c r="Z67" s="581"/>
      <c r="AA67" s="581"/>
      <c r="AB67" s="581"/>
      <c r="AC67" s="581"/>
      <c r="AD67" s="581"/>
      <c r="AE67" s="581"/>
      <c r="AF67" s="581"/>
    </row>
    <row r="68" spans="1:32" s="582" customFormat="1" ht="18.95" customHeight="1">
      <c r="B68" s="581"/>
      <c r="C68" s="616"/>
      <c r="D68" s="581"/>
      <c r="E68" s="581"/>
      <c r="F68" s="581"/>
      <c r="G68" s="581"/>
      <c r="H68" s="581"/>
      <c r="I68" s="581"/>
      <c r="J68" s="581"/>
      <c r="K68" s="581"/>
      <c r="L68" s="581"/>
      <c r="M68" s="581"/>
      <c r="N68" s="581"/>
      <c r="O68" s="581"/>
      <c r="P68" s="581"/>
      <c r="Q68" s="581"/>
      <c r="R68" s="581"/>
      <c r="S68" s="585"/>
      <c r="T68" s="617"/>
      <c r="U68" s="618"/>
      <c r="V68" s="585"/>
      <c r="W68" s="581"/>
      <c r="X68" s="581"/>
      <c r="Y68" s="581"/>
      <c r="Z68" s="581"/>
      <c r="AA68" s="581"/>
      <c r="AB68" s="581"/>
      <c r="AC68" s="581"/>
      <c r="AD68" s="581"/>
      <c r="AE68" s="581"/>
      <c r="AF68" s="581"/>
    </row>
    <row r="69" spans="1:32" s="582" customFormat="1" ht="18.95" customHeight="1">
      <c r="B69" s="581"/>
      <c r="C69" s="616"/>
      <c r="D69" s="581"/>
      <c r="E69" s="581"/>
      <c r="F69" s="581"/>
      <c r="G69" s="581"/>
      <c r="H69" s="581"/>
      <c r="I69" s="581"/>
      <c r="J69" s="581"/>
      <c r="K69" s="581"/>
      <c r="L69" s="581"/>
      <c r="M69" s="581"/>
      <c r="N69" s="581"/>
      <c r="O69" s="581"/>
      <c r="P69" s="581"/>
      <c r="Q69" s="581"/>
      <c r="R69" s="581"/>
      <c r="S69" s="585"/>
      <c r="T69" s="617"/>
      <c r="U69" s="618"/>
      <c r="V69" s="585"/>
      <c r="W69" s="581"/>
      <c r="X69" s="581"/>
      <c r="Y69" s="581"/>
      <c r="Z69" s="581"/>
      <c r="AA69" s="581"/>
      <c r="AB69" s="581"/>
      <c r="AC69" s="581"/>
      <c r="AD69" s="581"/>
      <c r="AE69" s="581"/>
      <c r="AF69" s="581"/>
    </row>
    <row r="70" spans="1:32" s="582" customFormat="1" ht="18.95" customHeight="1">
      <c r="B70" s="581"/>
      <c r="C70" s="616"/>
      <c r="D70" s="581"/>
      <c r="E70" s="581"/>
      <c r="F70" s="581"/>
      <c r="G70" s="581"/>
      <c r="H70" s="581"/>
      <c r="I70" s="581"/>
      <c r="J70" s="581"/>
      <c r="K70" s="581"/>
      <c r="L70" s="581"/>
      <c r="M70" s="581"/>
      <c r="N70" s="581"/>
      <c r="O70" s="581"/>
      <c r="P70" s="581"/>
      <c r="Q70" s="581"/>
      <c r="R70" s="581"/>
      <c r="S70" s="585"/>
      <c r="T70" s="617"/>
      <c r="U70" s="618"/>
      <c r="V70" s="585"/>
      <c r="W70" s="581"/>
      <c r="X70" s="581"/>
      <c r="Y70" s="581"/>
      <c r="Z70" s="581"/>
      <c r="AA70" s="581"/>
      <c r="AB70" s="581"/>
      <c r="AC70" s="581"/>
      <c r="AD70" s="581"/>
      <c r="AE70" s="581"/>
      <c r="AF70" s="581"/>
    </row>
    <row r="71" spans="1:32" s="582" customFormat="1" ht="18.95" customHeight="1">
      <c r="B71" s="581"/>
      <c r="C71" s="616"/>
      <c r="D71" s="581"/>
      <c r="E71" s="581"/>
      <c r="F71" s="581"/>
      <c r="G71" s="581"/>
      <c r="H71" s="581"/>
      <c r="I71" s="581"/>
      <c r="J71" s="581"/>
      <c r="K71" s="581"/>
      <c r="L71" s="581"/>
      <c r="M71" s="581"/>
      <c r="N71" s="581"/>
      <c r="O71" s="581"/>
      <c r="P71" s="581"/>
      <c r="Q71" s="581"/>
      <c r="R71" s="581"/>
      <c r="S71" s="585"/>
      <c r="T71" s="617"/>
      <c r="U71" s="618"/>
      <c r="V71" s="585"/>
      <c r="W71" s="581"/>
      <c r="X71" s="581"/>
      <c r="Y71" s="581"/>
      <c r="Z71" s="581"/>
      <c r="AA71" s="581"/>
      <c r="AB71" s="581"/>
      <c r="AC71" s="581"/>
      <c r="AD71" s="581"/>
      <c r="AE71" s="581"/>
      <c r="AF71" s="581"/>
    </row>
    <row r="72" spans="1:32" s="582" customFormat="1" ht="18.95" customHeight="1">
      <c r="B72" s="581"/>
      <c r="C72" s="616"/>
      <c r="D72" s="581"/>
      <c r="E72" s="581"/>
      <c r="F72" s="581"/>
      <c r="G72" s="581"/>
      <c r="H72" s="581"/>
      <c r="I72" s="581"/>
      <c r="J72" s="581"/>
      <c r="K72" s="581"/>
      <c r="L72" s="581"/>
      <c r="M72" s="581"/>
      <c r="N72" s="581"/>
      <c r="O72" s="581"/>
      <c r="P72" s="581"/>
      <c r="Q72" s="581"/>
      <c r="R72" s="581"/>
      <c r="S72" s="585"/>
      <c r="T72" s="617"/>
      <c r="U72" s="618"/>
      <c r="V72" s="585"/>
      <c r="W72" s="581"/>
      <c r="X72" s="581"/>
      <c r="Y72" s="581"/>
      <c r="Z72" s="581"/>
      <c r="AA72" s="581"/>
      <c r="AB72" s="581"/>
      <c r="AC72" s="581"/>
      <c r="AD72" s="581"/>
      <c r="AE72" s="581"/>
      <c r="AF72" s="581"/>
    </row>
    <row r="73" spans="1:32" s="582" customFormat="1" ht="18.95" customHeight="1">
      <c r="B73" s="581"/>
      <c r="C73" s="616"/>
      <c r="D73" s="581"/>
      <c r="E73" s="581"/>
      <c r="F73" s="581"/>
      <c r="G73" s="581"/>
      <c r="H73" s="581"/>
      <c r="I73" s="581"/>
      <c r="J73" s="581"/>
      <c r="K73" s="581"/>
      <c r="L73" s="581"/>
      <c r="M73" s="581"/>
      <c r="N73" s="581"/>
      <c r="O73" s="581"/>
      <c r="P73" s="581"/>
      <c r="Q73" s="581"/>
      <c r="R73" s="581"/>
      <c r="S73" s="585"/>
      <c r="T73" s="617"/>
      <c r="U73" s="618"/>
      <c r="V73" s="585"/>
      <c r="W73" s="581"/>
      <c r="X73" s="581"/>
      <c r="Y73" s="581"/>
      <c r="Z73" s="581"/>
      <c r="AA73" s="581"/>
      <c r="AB73" s="581"/>
      <c r="AC73" s="581"/>
      <c r="AD73" s="581"/>
      <c r="AE73" s="581"/>
      <c r="AF73" s="581"/>
    </row>
    <row r="74" spans="1:32" s="582" customFormat="1" ht="18.95" customHeight="1">
      <c r="B74" s="581"/>
      <c r="C74" s="616"/>
      <c r="D74" s="581"/>
      <c r="E74" s="581"/>
      <c r="F74" s="581"/>
      <c r="G74" s="581"/>
      <c r="H74" s="581"/>
      <c r="I74" s="581"/>
      <c r="J74" s="581"/>
      <c r="K74" s="581"/>
      <c r="L74" s="581"/>
      <c r="M74" s="581"/>
      <c r="N74" s="581"/>
      <c r="O74" s="581"/>
      <c r="P74" s="581"/>
      <c r="Q74" s="581"/>
      <c r="R74" s="581"/>
      <c r="S74" s="585"/>
      <c r="T74" s="617"/>
      <c r="U74" s="618"/>
      <c r="V74" s="585"/>
      <c r="W74" s="581"/>
      <c r="X74" s="581"/>
      <c r="Y74" s="581"/>
      <c r="Z74" s="581"/>
      <c r="AA74" s="581"/>
      <c r="AB74" s="581"/>
      <c r="AC74" s="581"/>
      <c r="AD74" s="581"/>
      <c r="AE74" s="581"/>
      <c r="AF74" s="581"/>
    </row>
    <row r="75" spans="1:32" s="582" customFormat="1" ht="18.95" customHeight="1">
      <c r="B75" s="581"/>
      <c r="C75" s="616"/>
      <c r="D75" s="581"/>
      <c r="E75" s="581"/>
      <c r="F75" s="581"/>
      <c r="G75" s="581"/>
      <c r="H75" s="581"/>
      <c r="I75" s="581"/>
      <c r="J75" s="581"/>
      <c r="K75" s="581"/>
      <c r="L75" s="581"/>
      <c r="M75" s="581"/>
      <c r="N75" s="581"/>
      <c r="O75" s="581"/>
      <c r="P75" s="581"/>
      <c r="Q75" s="581"/>
      <c r="R75" s="581"/>
      <c r="S75" s="585"/>
      <c r="T75" s="617"/>
      <c r="U75" s="618"/>
      <c r="V75" s="585"/>
      <c r="W75" s="581"/>
      <c r="X75" s="581"/>
      <c r="Y75" s="581"/>
      <c r="Z75" s="581"/>
      <c r="AA75" s="581"/>
      <c r="AB75" s="581"/>
      <c r="AC75" s="581"/>
      <c r="AD75" s="581"/>
      <c r="AE75" s="581"/>
      <c r="AF75" s="581"/>
    </row>
    <row r="76" spans="1:32" s="582" customFormat="1" ht="18.95" customHeight="1">
      <c r="B76" s="581"/>
      <c r="C76" s="616"/>
      <c r="D76" s="581"/>
      <c r="E76" s="581"/>
      <c r="F76" s="581"/>
      <c r="G76" s="581"/>
      <c r="H76" s="581"/>
      <c r="I76" s="581"/>
      <c r="J76" s="581"/>
      <c r="K76" s="581"/>
      <c r="L76" s="581"/>
      <c r="M76" s="581"/>
      <c r="N76" s="581"/>
      <c r="O76" s="581"/>
      <c r="P76" s="581"/>
      <c r="Q76" s="581"/>
      <c r="R76" s="581"/>
      <c r="S76" s="585"/>
      <c r="T76" s="617"/>
      <c r="U76" s="618"/>
      <c r="V76" s="585"/>
      <c r="W76" s="581"/>
      <c r="X76" s="581"/>
      <c r="Y76" s="581"/>
      <c r="Z76" s="581"/>
      <c r="AA76" s="581"/>
      <c r="AB76" s="581"/>
      <c r="AC76" s="581"/>
      <c r="AD76" s="581"/>
      <c r="AE76" s="581"/>
      <c r="AF76" s="581"/>
    </row>
    <row r="77" spans="1:32" s="582" customFormat="1" ht="18.95" customHeight="1">
      <c r="B77" s="581"/>
      <c r="C77" s="616"/>
      <c r="D77" s="581"/>
      <c r="E77" s="581"/>
      <c r="F77" s="581"/>
      <c r="G77" s="581"/>
      <c r="H77" s="581"/>
      <c r="I77" s="581"/>
      <c r="J77" s="581"/>
      <c r="K77" s="581"/>
      <c r="L77" s="581"/>
      <c r="M77" s="581"/>
      <c r="N77" s="581"/>
      <c r="O77" s="581"/>
      <c r="P77" s="581"/>
      <c r="Q77" s="581"/>
      <c r="R77" s="581"/>
      <c r="S77" s="585"/>
      <c r="T77" s="617"/>
      <c r="U77" s="618"/>
      <c r="V77" s="585"/>
      <c r="W77" s="581"/>
      <c r="X77" s="581"/>
      <c r="Y77" s="581"/>
      <c r="Z77" s="581"/>
      <c r="AA77" s="581"/>
      <c r="AB77" s="581"/>
      <c r="AC77" s="581"/>
      <c r="AD77" s="581"/>
      <c r="AE77" s="581"/>
      <c r="AF77" s="581"/>
    </row>
    <row r="78" spans="1:32" s="582" customFormat="1" ht="18.95" customHeight="1">
      <c r="B78" s="581"/>
      <c r="C78" s="616"/>
      <c r="D78" s="581"/>
      <c r="E78" s="581"/>
      <c r="F78" s="581"/>
      <c r="G78" s="581"/>
      <c r="H78" s="581"/>
      <c r="I78" s="581"/>
      <c r="J78" s="581"/>
      <c r="K78" s="581"/>
      <c r="L78" s="581"/>
      <c r="M78" s="581"/>
      <c r="N78" s="581"/>
      <c r="O78" s="581"/>
      <c r="P78" s="581"/>
      <c r="Q78" s="581"/>
      <c r="R78" s="581"/>
      <c r="S78" s="585"/>
      <c r="T78" s="617"/>
      <c r="U78" s="618"/>
      <c r="V78" s="585"/>
      <c r="W78" s="581"/>
      <c r="X78" s="581"/>
      <c r="Y78" s="581"/>
      <c r="Z78" s="581"/>
      <c r="AA78" s="581"/>
      <c r="AB78" s="581"/>
      <c r="AC78" s="581"/>
      <c r="AD78" s="581"/>
      <c r="AE78" s="581"/>
      <c r="AF78" s="581"/>
    </row>
    <row r="79" spans="1:32" s="582" customFormat="1" ht="18.95" customHeight="1">
      <c r="B79" s="581"/>
      <c r="C79" s="616"/>
      <c r="D79" s="581"/>
      <c r="E79" s="581"/>
      <c r="F79" s="581"/>
      <c r="G79" s="581"/>
      <c r="H79" s="581"/>
      <c r="I79" s="581"/>
      <c r="J79" s="581"/>
      <c r="K79" s="581"/>
      <c r="L79" s="581"/>
      <c r="M79" s="581"/>
      <c r="N79" s="581"/>
      <c r="O79" s="581"/>
      <c r="P79" s="581"/>
      <c r="Q79" s="581"/>
      <c r="R79" s="581"/>
      <c r="S79" s="585"/>
      <c r="T79" s="617"/>
      <c r="U79" s="618"/>
      <c r="V79" s="585"/>
      <c r="W79" s="581"/>
      <c r="X79" s="581"/>
      <c r="Y79" s="581"/>
      <c r="Z79" s="581"/>
      <c r="AA79" s="581"/>
      <c r="AB79" s="581"/>
      <c r="AC79" s="581"/>
      <c r="AD79" s="581"/>
      <c r="AE79" s="581"/>
      <c r="AF79" s="581"/>
    </row>
    <row r="80" spans="1:32" s="582" customFormat="1" ht="18.95" customHeight="1">
      <c r="B80" s="581"/>
      <c r="C80" s="616"/>
      <c r="D80" s="581"/>
      <c r="E80" s="581"/>
      <c r="F80" s="581"/>
      <c r="G80" s="581"/>
      <c r="H80" s="581"/>
      <c r="I80" s="581"/>
      <c r="J80" s="581"/>
      <c r="K80" s="581"/>
      <c r="L80" s="581"/>
      <c r="M80" s="581"/>
      <c r="N80" s="581"/>
      <c r="O80" s="581"/>
      <c r="P80" s="581"/>
      <c r="Q80" s="581"/>
      <c r="R80" s="581"/>
      <c r="S80" s="585"/>
      <c r="T80" s="617"/>
      <c r="U80" s="618"/>
      <c r="V80" s="585"/>
      <c r="W80" s="581"/>
      <c r="X80" s="581"/>
      <c r="Y80" s="581"/>
      <c r="Z80" s="581"/>
      <c r="AA80" s="581"/>
      <c r="AB80" s="581"/>
      <c r="AC80" s="581"/>
      <c r="AD80" s="581"/>
      <c r="AE80" s="581"/>
      <c r="AF80" s="581"/>
    </row>
    <row r="81" spans="2:32" s="582" customFormat="1" ht="18.95" customHeight="1">
      <c r="B81" s="581"/>
      <c r="C81" s="616"/>
      <c r="D81" s="581"/>
      <c r="E81" s="581"/>
      <c r="F81" s="581"/>
      <c r="G81" s="581"/>
      <c r="H81" s="581"/>
      <c r="I81" s="581"/>
      <c r="J81" s="581"/>
      <c r="K81" s="581"/>
      <c r="L81" s="581"/>
      <c r="M81" s="581"/>
      <c r="N81" s="581"/>
      <c r="O81" s="581"/>
      <c r="P81" s="581"/>
      <c r="Q81" s="581"/>
      <c r="R81" s="581"/>
      <c r="S81" s="585"/>
      <c r="T81" s="617"/>
      <c r="U81" s="618"/>
      <c r="V81" s="585"/>
      <c r="W81" s="581"/>
      <c r="X81" s="581"/>
      <c r="Y81" s="581"/>
      <c r="Z81" s="581"/>
      <c r="AA81" s="581"/>
      <c r="AB81" s="581"/>
      <c r="AC81" s="581"/>
      <c r="AD81" s="581"/>
      <c r="AE81" s="581"/>
      <c r="AF81" s="581"/>
    </row>
    <row r="82" spans="2:32" s="582" customFormat="1" ht="18.95" customHeight="1">
      <c r="B82" s="581"/>
      <c r="C82" s="616"/>
      <c r="D82" s="581"/>
      <c r="E82" s="581"/>
      <c r="F82" s="581"/>
      <c r="G82" s="581"/>
      <c r="H82" s="581"/>
      <c r="I82" s="581"/>
      <c r="J82" s="581"/>
      <c r="K82" s="581"/>
      <c r="L82" s="581"/>
      <c r="M82" s="581"/>
      <c r="N82" s="581"/>
      <c r="O82" s="581"/>
      <c r="P82" s="581"/>
      <c r="Q82" s="581"/>
      <c r="R82" s="581"/>
      <c r="S82" s="585"/>
      <c r="T82" s="617"/>
      <c r="U82" s="618"/>
      <c r="V82" s="585"/>
      <c r="W82" s="581"/>
      <c r="X82" s="581"/>
      <c r="Y82" s="581"/>
      <c r="Z82" s="581"/>
      <c r="AA82" s="581"/>
      <c r="AB82" s="581"/>
      <c r="AC82" s="581"/>
      <c r="AD82" s="581"/>
      <c r="AE82" s="581"/>
      <c r="AF82" s="581"/>
    </row>
    <row r="83" spans="2:32" s="582" customFormat="1" ht="18.95" customHeight="1">
      <c r="B83" s="581"/>
      <c r="C83" s="616"/>
      <c r="D83" s="581"/>
      <c r="E83" s="581"/>
      <c r="F83" s="581"/>
      <c r="G83" s="581"/>
      <c r="H83" s="581"/>
      <c r="I83" s="581"/>
      <c r="J83" s="581"/>
      <c r="K83" s="581"/>
      <c r="L83" s="581"/>
      <c r="M83" s="581"/>
      <c r="N83" s="581"/>
      <c r="O83" s="581"/>
      <c r="P83" s="581"/>
      <c r="Q83" s="581"/>
      <c r="R83" s="581"/>
      <c r="S83" s="585"/>
      <c r="T83" s="617"/>
      <c r="U83" s="618"/>
      <c r="V83" s="585"/>
      <c r="W83" s="581"/>
      <c r="X83" s="581"/>
      <c r="Y83" s="581"/>
      <c r="Z83" s="581"/>
      <c r="AA83" s="581"/>
      <c r="AB83" s="581"/>
      <c r="AC83" s="581"/>
      <c r="AD83" s="581"/>
      <c r="AE83" s="581"/>
      <c r="AF83" s="581"/>
    </row>
    <row r="84" spans="2:32" s="582" customFormat="1" ht="18.95" customHeight="1">
      <c r="B84" s="581"/>
      <c r="C84" s="616"/>
      <c r="D84" s="581"/>
      <c r="E84" s="581"/>
      <c r="F84" s="581"/>
      <c r="G84" s="581"/>
      <c r="H84" s="581"/>
      <c r="I84" s="581"/>
      <c r="J84" s="581"/>
      <c r="K84" s="581"/>
      <c r="L84" s="581"/>
      <c r="M84" s="581"/>
      <c r="N84" s="581"/>
      <c r="O84" s="581"/>
      <c r="P84" s="581"/>
      <c r="Q84" s="581"/>
      <c r="R84" s="581"/>
      <c r="S84" s="585"/>
      <c r="T84" s="617"/>
      <c r="U84" s="618"/>
      <c r="V84" s="585"/>
      <c r="W84" s="581"/>
      <c r="X84" s="581"/>
      <c r="Y84" s="581"/>
      <c r="Z84" s="581"/>
      <c r="AA84" s="581"/>
      <c r="AB84" s="581"/>
      <c r="AC84" s="581"/>
      <c r="AD84" s="581"/>
      <c r="AE84" s="581"/>
      <c r="AF84" s="581"/>
    </row>
    <row r="85" spans="2:32" s="582" customFormat="1" ht="18.95" customHeight="1">
      <c r="B85" s="581"/>
      <c r="C85" s="616"/>
      <c r="D85" s="581"/>
      <c r="E85" s="581"/>
      <c r="F85" s="581"/>
      <c r="G85" s="581"/>
      <c r="H85" s="581"/>
      <c r="I85" s="581"/>
      <c r="J85" s="581"/>
      <c r="K85" s="581"/>
      <c r="L85" s="581"/>
      <c r="M85" s="581"/>
      <c r="N85" s="581"/>
      <c r="O85" s="581"/>
      <c r="P85" s="581"/>
      <c r="Q85" s="581"/>
      <c r="R85" s="581"/>
      <c r="S85" s="585"/>
      <c r="T85" s="617"/>
      <c r="U85" s="618"/>
      <c r="V85" s="585"/>
      <c r="W85" s="581"/>
      <c r="X85" s="581"/>
      <c r="Y85" s="581"/>
      <c r="Z85" s="581"/>
      <c r="AA85" s="581"/>
      <c r="AB85" s="581"/>
      <c r="AC85" s="581"/>
      <c r="AD85" s="581"/>
      <c r="AE85" s="581"/>
      <c r="AF85" s="581"/>
    </row>
    <row r="86" spans="2:32" s="582" customFormat="1" ht="18.95" customHeight="1">
      <c r="B86" s="581"/>
      <c r="C86" s="616"/>
      <c r="D86" s="581"/>
      <c r="E86" s="581"/>
      <c r="F86" s="581"/>
      <c r="G86" s="581"/>
      <c r="H86" s="581"/>
      <c r="I86" s="581"/>
      <c r="J86" s="581"/>
      <c r="K86" s="581"/>
      <c r="L86" s="581"/>
      <c r="M86" s="581"/>
      <c r="N86" s="581"/>
      <c r="O86" s="581"/>
      <c r="P86" s="581"/>
      <c r="Q86" s="581"/>
      <c r="R86" s="581"/>
      <c r="S86" s="585"/>
      <c r="T86" s="617"/>
      <c r="U86" s="618"/>
      <c r="V86" s="585"/>
      <c r="W86" s="581"/>
      <c r="X86" s="581"/>
      <c r="Y86" s="581"/>
      <c r="Z86" s="581"/>
      <c r="AA86" s="581"/>
      <c r="AB86" s="581"/>
      <c r="AC86" s="581"/>
      <c r="AD86" s="581"/>
      <c r="AE86" s="581"/>
      <c r="AF86" s="581"/>
    </row>
    <row r="87" spans="2:32" s="582" customFormat="1" ht="18.95" customHeight="1">
      <c r="B87" s="581"/>
      <c r="C87" s="616"/>
      <c r="D87" s="581"/>
      <c r="E87" s="581"/>
      <c r="F87" s="581"/>
      <c r="G87" s="581"/>
      <c r="H87" s="581"/>
      <c r="I87" s="581"/>
      <c r="J87" s="581"/>
      <c r="K87" s="581"/>
      <c r="L87" s="581"/>
      <c r="M87" s="581"/>
      <c r="N87" s="581"/>
      <c r="O87" s="581"/>
      <c r="P87" s="581"/>
      <c r="Q87" s="581"/>
      <c r="R87" s="581"/>
      <c r="S87" s="585"/>
      <c r="T87" s="617"/>
      <c r="U87" s="618"/>
      <c r="V87" s="585"/>
      <c r="W87" s="581"/>
      <c r="X87" s="581"/>
      <c r="Y87" s="581"/>
      <c r="Z87" s="581"/>
      <c r="AA87" s="581"/>
      <c r="AB87" s="581"/>
      <c r="AC87" s="581"/>
      <c r="AD87" s="581"/>
      <c r="AE87" s="581"/>
      <c r="AF87" s="581"/>
    </row>
    <row r="88" spans="2:32" s="582" customFormat="1" ht="18.95" customHeight="1">
      <c r="B88" s="581"/>
      <c r="C88" s="616"/>
      <c r="D88" s="581"/>
      <c r="E88" s="581"/>
      <c r="F88" s="581"/>
      <c r="G88" s="581"/>
      <c r="H88" s="581"/>
      <c r="I88" s="581"/>
      <c r="J88" s="581"/>
      <c r="K88" s="581"/>
      <c r="L88" s="581"/>
      <c r="M88" s="581"/>
      <c r="N88" s="581"/>
      <c r="O88" s="581"/>
      <c r="P88" s="581"/>
      <c r="Q88" s="581"/>
      <c r="R88" s="581"/>
      <c r="S88" s="585"/>
      <c r="T88" s="617"/>
      <c r="U88" s="618"/>
      <c r="V88" s="585"/>
      <c r="W88" s="581"/>
      <c r="X88" s="581"/>
      <c r="Y88" s="581"/>
      <c r="Z88" s="581"/>
      <c r="AA88" s="581"/>
      <c r="AB88" s="581"/>
      <c r="AC88" s="581"/>
      <c r="AD88" s="581"/>
      <c r="AE88" s="581"/>
      <c r="AF88" s="581"/>
    </row>
    <row r="89" spans="2:32" s="582" customFormat="1" ht="18.95" customHeight="1">
      <c r="B89" s="581"/>
      <c r="C89" s="616"/>
      <c r="D89" s="581"/>
      <c r="E89" s="581"/>
      <c r="F89" s="581"/>
      <c r="G89" s="581"/>
      <c r="H89" s="581"/>
      <c r="I89" s="581"/>
      <c r="J89" s="581"/>
      <c r="K89" s="581"/>
      <c r="L89" s="581"/>
      <c r="M89" s="581"/>
      <c r="N89" s="581"/>
      <c r="O89" s="581"/>
      <c r="P89" s="581"/>
      <c r="Q89" s="581"/>
      <c r="R89" s="581"/>
      <c r="S89" s="585"/>
      <c r="T89" s="617"/>
      <c r="U89" s="618"/>
      <c r="V89" s="585"/>
      <c r="W89" s="581"/>
      <c r="X89" s="581"/>
      <c r="Y89" s="581"/>
      <c r="Z89" s="581"/>
      <c r="AA89" s="581"/>
      <c r="AB89" s="581"/>
      <c r="AC89" s="581"/>
      <c r="AD89" s="581"/>
      <c r="AE89" s="581"/>
      <c r="AF89" s="581"/>
    </row>
    <row r="90" spans="2:32" s="582" customFormat="1" ht="18.95" customHeight="1">
      <c r="B90" s="581"/>
      <c r="C90" s="616"/>
      <c r="D90" s="581"/>
      <c r="E90" s="581"/>
      <c r="F90" s="581"/>
      <c r="G90" s="581"/>
      <c r="H90" s="581"/>
      <c r="I90" s="581"/>
      <c r="J90" s="581"/>
      <c r="K90" s="581"/>
      <c r="L90" s="581"/>
      <c r="M90" s="581"/>
      <c r="N90" s="581"/>
      <c r="O90" s="581"/>
      <c r="P90" s="581"/>
      <c r="Q90" s="581"/>
      <c r="R90" s="581"/>
      <c r="S90" s="585"/>
      <c r="T90" s="617"/>
      <c r="U90" s="618"/>
      <c r="V90" s="585"/>
      <c r="W90" s="581"/>
      <c r="X90" s="581"/>
      <c r="Y90" s="581"/>
      <c r="Z90" s="581"/>
      <c r="AA90" s="581"/>
      <c r="AB90" s="581"/>
      <c r="AC90" s="581"/>
      <c r="AD90" s="581"/>
      <c r="AE90" s="581"/>
      <c r="AF90" s="581"/>
    </row>
    <row r="91" spans="2:32" s="582" customFormat="1" ht="18.95" customHeight="1">
      <c r="B91" s="581"/>
      <c r="C91" s="616"/>
      <c r="D91" s="581"/>
      <c r="E91" s="581"/>
      <c r="F91" s="581"/>
      <c r="G91" s="581"/>
      <c r="H91" s="581"/>
      <c r="I91" s="581"/>
      <c r="J91" s="581"/>
      <c r="K91" s="581"/>
      <c r="L91" s="581"/>
      <c r="M91" s="581"/>
      <c r="N91" s="581"/>
      <c r="O91" s="581"/>
      <c r="P91" s="581"/>
      <c r="Q91" s="581"/>
      <c r="R91" s="581"/>
      <c r="S91" s="585"/>
      <c r="T91" s="617"/>
      <c r="U91" s="618"/>
      <c r="V91" s="585"/>
      <c r="W91" s="581"/>
      <c r="X91" s="581"/>
      <c r="Y91" s="581"/>
      <c r="Z91" s="581"/>
      <c r="AA91" s="581"/>
      <c r="AB91" s="581"/>
      <c r="AC91" s="581"/>
      <c r="AD91" s="581"/>
      <c r="AE91" s="581"/>
      <c r="AF91" s="581"/>
    </row>
  </sheetData>
  <mergeCells count="8">
    <mergeCell ref="A51:W51"/>
    <mergeCell ref="A52:W52"/>
    <mergeCell ref="A1:W1"/>
    <mergeCell ref="A2:W2"/>
    <mergeCell ref="A3:W3"/>
    <mergeCell ref="A4:W4"/>
    <mergeCell ref="A49:W49"/>
    <mergeCell ref="A50:W50"/>
  </mergeCells>
  <printOptions horizontalCentered="1"/>
  <pageMargins left="1" right="0.5" top="1" bottom="0.5" header="0.3" footer="0.3"/>
  <pageSetup scale="7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H43"/>
  <sheetViews>
    <sheetView zoomScaleNormal="100" workbookViewId="0">
      <selection sqref="A1:H1"/>
    </sheetView>
  </sheetViews>
  <sheetFormatPr defaultColWidth="9" defaultRowHeight="12.75"/>
  <cols>
    <col min="1" max="1" width="6" style="69" customWidth="1"/>
    <col min="2" max="2" width="16.33203125" style="69" customWidth="1"/>
    <col min="3" max="3" width="34.21875" style="69" customWidth="1"/>
    <col min="4" max="4" width="16.77734375" style="69" customWidth="1"/>
    <col min="5" max="5" width="13.6640625" style="69" customWidth="1"/>
    <col min="6" max="6" width="15.77734375" style="69" customWidth="1"/>
    <col min="7" max="7" width="14.77734375" style="69" customWidth="1"/>
    <col min="8" max="8" width="13.6640625" style="69" customWidth="1"/>
    <col min="9" max="9" width="1.6640625" style="69" customWidth="1"/>
    <col min="10" max="16384" width="9" style="69"/>
  </cols>
  <sheetData>
    <row r="1" spans="1:8" s="68" customFormat="1" ht="20.100000000000001" customHeight="1">
      <c r="A1" s="769" t="str">
        <f>'Rate Case Constants'!C9</f>
        <v>KENTUCKY UTILITIES COMPANY</v>
      </c>
      <c r="B1" s="769"/>
      <c r="C1" s="769"/>
      <c r="D1" s="769"/>
      <c r="E1" s="769"/>
      <c r="F1" s="769"/>
      <c r="G1" s="769"/>
      <c r="H1" s="769"/>
    </row>
    <row r="2" spans="1:8" s="68" customFormat="1" ht="20.100000000000001" customHeight="1">
      <c r="A2" s="769" t="str">
        <f>'Rate Case Constants'!C10</f>
        <v>CASE NO. 2018-00294 - RESPONSE TO PSC 2-65 (SLIPPAGE FACTOR 96.027%)</v>
      </c>
      <c r="B2" s="769"/>
      <c r="C2" s="769"/>
      <c r="D2" s="769"/>
      <c r="E2" s="769"/>
      <c r="F2" s="769"/>
      <c r="G2" s="769"/>
      <c r="H2" s="769"/>
    </row>
    <row r="3" spans="1:8" s="68" customFormat="1" ht="20.100000000000001" customHeight="1">
      <c r="A3" s="769" t="s">
        <v>1441</v>
      </c>
      <c r="B3" s="769"/>
      <c r="C3" s="769"/>
      <c r="D3" s="769"/>
      <c r="E3" s="769"/>
      <c r="F3" s="769"/>
      <c r="G3" s="769"/>
      <c r="H3" s="769"/>
    </row>
    <row r="4" spans="1:8" s="68" customFormat="1" ht="20.100000000000001" customHeight="1">
      <c r="A4" s="769" t="str">
        <f>'Rate Case Constants'!C12</f>
        <v>AS OF DECEMBER 31, 2018</v>
      </c>
      <c r="B4" s="769"/>
      <c r="C4" s="769"/>
      <c r="D4" s="769"/>
      <c r="E4" s="769"/>
      <c r="F4" s="769"/>
      <c r="G4" s="769"/>
      <c r="H4" s="769"/>
    </row>
    <row r="5" spans="1:8" s="68" customFormat="1" ht="20.100000000000001" customHeight="1">
      <c r="A5" s="138"/>
      <c r="B5" s="138"/>
      <c r="C5" s="138"/>
      <c r="D5" s="138"/>
      <c r="E5" s="138"/>
      <c r="F5" s="138"/>
      <c r="G5" s="138"/>
      <c r="H5" s="138"/>
    </row>
    <row r="6" spans="1:8" s="68" customFormat="1" ht="20.100000000000001" customHeight="1">
      <c r="A6" s="67" t="s">
        <v>133</v>
      </c>
      <c r="B6" s="67"/>
      <c r="G6" s="74"/>
      <c r="H6" s="74" t="s">
        <v>1440</v>
      </c>
    </row>
    <row r="7" spans="1:8" s="68" customFormat="1" ht="20.100000000000001" customHeight="1">
      <c r="A7" s="68" t="str">
        <f>'Rate Case Constants'!C29</f>
        <v>TYPE OF FILING: __X__ ORIGINAL  _____ UPDATED  _____ REVISED</v>
      </c>
      <c r="G7" s="74"/>
      <c r="H7" s="74" t="s">
        <v>177</v>
      </c>
    </row>
    <row r="8" spans="1:8" s="68" customFormat="1" ht="20.100000000000001" customHeight="1">
      <c r="A8" s="67" t="s">
        <v>1416</v>
      </c>
      <c r="B8" s="67"/>
      <c r="F8" s="67"/>
      <c r="G8" s="75"/>
      <c r="H8" s="75" t="str">
        <f>'Rate Case Constants'!C36</f>
        <v>WITNESS:   C. M. GARRETT</v>
      </c>
    </row>
    <row r="9" spans="1:8" s="68" customFormat="1" ht="20.100000000000001" customHeight="1"/>
    <row r="10" spans="1:8" ht="58.5" customHeight="1">
      <c r="A10" s="76" t="s">
        <v>131</v>
      </c>
      <c r="B10" s="76" t="s">
        <v>134</v>
      </c>
      <c r="C10" s="79" t="s">
        <v>205</v>
      </c>
      <c r="D10" s="76" t="s">
        <v>223</v>
      </c>
      <c r="E10" s="76" t="s">
        <v>224</v>
      </c>
      <c r="F10" s="76" t="s">
        <v>225</v>
      </c>
      <c r="G10" s="76" t="s">
        <v>226</v>
      </c>
      <c r="H10" s="76" t="s">
        <v>227</v>
      </c>
    </row>
    <row r="11" spans="1:8" ht="23.1" customHeight="1">
      <c r="A11" s="80"/>
      <c r="B11" s="80"/>
      <c r="C11" s="81"/>
      <c r="D11" s="82" t="s">
        <v>142</v>
      </c>
      <c r="E11" s="82"/>
      <c r="F11" s="82" t="s">
        <v>142</v>
      </c>
      <c r="G11" s="82" t="s">
        <v>142</v>
      </c>
      <c r="H11" s="82" t="s">
        <v>142</v>
      </c>
    </row>
    <row r="12" spans="1:8" ht="23.1" customHeight="1">
      <c r="A12" s="73">
        <v>1</v>
      </c>
      <c r="B12" s="73">
        <v>252</v>
      </c>
      <c r="C12" s="78" t="s">
        <v>1191</v>
      </c>
      <c r="D12" s="86">
        <f>'JURISSEP B'!$E$372</f>
        <v>980981.37</v>
      </c>
      <c r="E12" s="130">
        <f>F12/D12</f>
        <v>0.97009645926567778</v>
      </c>
      <c r="F12" s="86">
        <f>'JURISSEP B'!$G$372</f>
        <v>951646.55364259379</v>
      </c>
      <c r="G12" s="86">
        <v>0</v>
      </c>
      <c r="H12" s="86">
        <f>SUM(F12:G12)</f>
        <v>951646.55364259379</v>
      </c>
    </row>
    <row r="13" spans="1:8" ht="18.95" customHeight="1">
      <c r="A13" s="70"/>
      <c r="B13" s="71"/>
      <c r="C13" s="78"/>
      <c r="D13" s="86"/>
      <c r="E13" s="130"/>
      <c r="F13" s="86"/>
      <c r="G13" s="86"/>
      <c r="H13" s="86"/>
    </row>
    <row r="14" spans="1:8" ht="18.95" customHeight="1">
      <c r="A14" s="70">
        <v>2</v>
      </c>
      <c r="B14" s="71">
        <v>255</v>
      </c>
      <c r="C14" s="78" t="s">
        <v>1442</v>
      </c>
      <c r="D14" s="86">
        <f>'JURISSEP B'!$E$370</f>
        <v>91624046.000000015</v>
      </c>
      <c r="E14" s="130">
        <f>F14/D14</f>
        <v>0.87037751928017859</v>
      </c>
      <c r="F14" s="86">
        <f>'JURISSEP B'!$G$370</f>
        <v>79747509.863892987</v>
      </c>
      <c r="G14" s="86">
        <v>0</v>
      </c>
      <c r="H14" s="86">
        <f t="shared" ref="H14" si="0">SUM(F14:G14)</f>
        <v>79747509.863892987</v>
      </c>
    </row>
    <row r="15" spans="1:8" ht="18.95" customHeight="1">
      <c r="A15" s="70"/>
      <c r="B15" s="71"/>
      <c r="C15" s="78"/>
      <c r="D15" s="86"/>
      <c r="E15" s="130"/>
      <c r="F15" s="86"/>
      <c r="G15" s="86"/>
      <c r="H15" s="86"/>
    </row>
    <row r="16" spans="1:8" ht="18.95" customHeight="1">
      <c r="A16" s="70">
        <v>3</v>
      </c>
      <c r="B16" s="70" t="s">
        <v>1452</v>
      </c>
      <c r="C16" s="78" t="s">
        <v>2015</v>
      </c>
      <c r="D16" s="86">
        <f>'JURISSEP B'!$E$361</f>
        <v>1380494542</v>
      </c>
      <c r="E16" s="130">
        <f>F16/D16</f>
        <v>0.8948437909552559</v>
      </c>
      <c r="F16" s="86">
        <f>'JURISSEP B'!$G$361</f>
        <v>1235326969.3563197</v>
      </c>
      <c r="G16" s="86">
        <f>'ECR DEFTAX'!$M4+'DSM DEFTAX'!$M2</f>
        <v>-296291209.83449155</v>
      </c>
      <c r="H16" s="86">
        <f t="shared" ref="H16" si="1">SUM(F16:G16)</f>
        <v>939035759.52182817</v>
      </c>
    </row>
    <row r="17" spans="1:8" ht="18.95" customHeight="1">
      <c r="A17" s="70"/>
      <c r="B17" s="71"/>
      <c r="C17" s="78"/>
      <c r="D17" s="86"/>
      <c r="E17" s="466"/>
      <c r="F17" s="86"/>
      <c r="G17" s="86"/>
      <c r="H17" s="86"/>
    </row>
    <row r="18" spans="1:8" ht="18.75" customHeight="1">
      <c r="A18" s="70">
        <v>4</v>
      </c>
      <c r="B18" s="70" t="s">
        <v>2263</v>
      </c>
      <c r="C18" s="78" t="s">
        <v>2264</v>
      </c>
      <c r="D18" s="86">
        <f>-'JURISSEP B'!$E$332</f>
        <v>-69633622.427637115</v>
      </c>
      <c r="E18" s="130">
        <f>F18/D18</f>
        <v>0.89459223616774031</v>
      </c>
      <c r="F18" s="86">
        <f>-'JURISSEP B'!$G$332</f>
        <v>-62293698</v>
      </c>
      <c r="G18" s="86">
        <f>-F18</f>
        <v>62293698</v>
      </c>
      <c r="H18" s="86">
        <f t="shared" ref="H18" si="2">SUM(F18:G18)</f>
        <v>0</v>
      </c>
    </row>
    <row r="19" spans="1:8" ht="18.95" customHeight="1">
      <c r="A19" s="70"/>
      <c r="B19" s="70"/>
      <c r="C19" s="78"/>
      <c r="D19" s="86"/>
      <c r="E19" s="130"/>
      <c r="F19" s="86"/>
      <c r="G19" s="86"/>
      <c r="H19" s="86"/>
    </row>
    <row r="20" spans="1:8" ht="18.95" customHeight="1">
      <c r="A20" s="70"/>
      <c r="B20" s="70"/>
      <c r="C20" s="67" t="s">
        <v>2265</v>
      </c>
      <c r="D20" s="86"/>
      <c r="E20" s="86"/>
      <c r="F20" s="86"/>
      <c r="G20" s="86"/>
      <c r="H20" s="86"/>
    </row>
    <row r="21" spans="1:8" ht="18.95" customHeight="1">
      <c r="A21" s="70"/>
      <c r="B21" s="70"/>
      <c r="C21" s="78"/>
      <c r="D21" s="86"/>
      <c r="E21" s="86"/>
      <c r="F21" s="86"/>
      <c r="G21" s="86"/>
      <c r="H21" s="86"/>
    </row>
    <row r="22" spans="1:8" s="68" customFormat="1" ht="20.100000000000001" customHeight="1">
      <c r="A22" s="769" t="str">
        <f>$A$1</f>
        <v>KENTUCKY UTILITIES COMPANY</v>
      </c>
      <c r="B22" s="769"/>
      <c r="C22" s="769"/>
      <c r="D22" s="769"/>
      <c r="E22" s="769"/>
      <c r="F22" s="769"/>
      <c r="G22" s="769"/>
      <c r="H22" s="769"/>
    </row>
    <row r="23" spans="1:8" s="68" customFormat="1" ht="20.100000000000001" customHeight="1">
      <c r="A23" s="769" t="str">
        <f>$A$2</f>
        <v>CASE NO. 2018-00294 - RESPONSE TO PSC 2-65 (SLIPPAGE FACTOR 96.027%)</v>
      </c>
      <c r="B23" s="769"/>
      <c r="C23" s="769"/>
      <c r="D23" s="769"/>
      <c r="E23" s="769"/>
      <c r="F23" s="769"/>
      <c r="G23" s="769"/>
      <c r="H23" s="769"/>
    </row>
    <row r="24" spans="1:8" s="68" customFormat="1" ht="20.100000000000001" customHeight="1">
      <c r="A24" s="769" t="str">
        <f>A3</f>
        <v>CERTAIN DEFERRED CREDITS AND ACCUMULATED DEFERRED INCOME TAXES</v>
      </c>
      <c r="B24" s="769"/>
      <c r="C24" s="769"/>
      <c r="D24" s="769"/>
      <c r="E24" s="769"/>
      <c r="F24" s="769"/>
      <c r="G24" s="769"/>
      <c r="H24" s="769"/>
    </row>
    <row r="25" spans="1:8" s="68" customFormat="1" ht="20.100000000000001" customHeight="1">
      <c r="A25" s="768" t="str">
        <f>'Rate Case Constants'!C20</f>
        <v>FROM MAY 1, 2019 TO APRIL 30, 2020</v>
      </c>
      <c r="B25" s="772"/>
      <c r="C25" s="772"/>
      <c r="D25" s="772"/>
      <c r="E25" s="772"/>
      <c r="F25" s="772"/>
      <c r="G25" s="772"/>
      <c r="H25" s="772"/>
    </row>
    <row r="26" spans="1:8" s="68" customFormat="1" ht="20.100000000000001" customHeight="1">
      <c r="A26" s="138"/>
      <c r="B26" s="138"/>
      <c r="C26" s="138"/>
      <c r="D26" s="138"/>
      <c r="E26" s="138"/>
      <c r="F26" s="138"/>
      <c r="G26" s="138"/>
      <c r="H26" s="138"/>
    </row>
    <row r="27" spans="1:8" s="68" customFormat="1" ht="20.100000000000001" customHeight="1">
      <c r="A27" s="67" t="s">
        <v>161</v>
      </c>
      <c r="B27" s="67"/>
      <c r="G27" s="74"/>
      <c r="H27" s="74" t="s">
        <v>1440</v>
      </c>
    </row>
    <row r="28" spans="1:8" s="68" customFormat="1" ht="20.100000000000001" customHeight="1">
      <c r="A28" s="68" t="str">
        <f>$A$7</f>
        <v>TYPE OF FILING: __X__ ORIGINAL  _____ UPDATED  _____ REVISED</v>
      </c>
      <c r="G28" s="74"/>
      <c r="H28" s="74" t="s">
        <v>185</v>
      </c>
    </row>
    <row r="29" spans="1:8" s="68" customFormat="1" ht="20.100000000000001" customHeight="1">
      <c r="A29" s="67" t="s">
        <v>1416</v>
      </c>
      <c r="B29" s="67"/>
      <c r="F29" s="67"/>
      <c r="G29" s="75"/>
      <c r="H29" s="75" t="str">
        <f>$H$8</f>
        <v>WITNESS:   C. M. GARRETT</v>
      </c>
    </row>
    <row r="30" spans="1:8" s="68" customFormat="1" ht="20.100000000000001" customHeight="1"/>
    <row r="31" spans="1:8" s="68" customFormat="1" ht="21.75" customHeight="1">
      <c r="A31" s="96"/>
      <c r="B31" s="96"/>
      <c r="C31" s="96"/>
      <c r="D31" s="771" t="s">
        <v>2261</v>
      </c>
      <c r="E31" s="771"/>
      <c r="F31" s="771"/>
      <c r="G31" s="771"/>
      <c r="H31" s="771"/>
    </row>
    <row r="32" spans="1:8" ht="53.25" customHeight="1">
      <c r="A32" s="98" t="s">
        <v>131</v>
      </c>
      <c r="B32" s="98" t="s">
        <v>134</v>
      </c>
      <c r="C32" s="161" t="s">
        <v>205</v>
      </c>
      <c r="D32" s="98" t="s">
        <v>3415</v>
      </c>
      <c r="E32" s="98" t="s">
        <v>224</v>
      </c>
      <c r="F32" s="98" t="s">
        <v>225</v>
      </c>
      <c r="G32" s="98" t="s">
        <v>226</v>
      </c>
      <c r="H32" s="98" t="s">
        <v>227</v>
      </c>
    </row>
    <row r="33" spans="1:8" ht="23.1" customHeight="1">
      <c r="A33" s="73"/>
      <c r="B33" s="73"/>
      <c r="C33" s="132"/>
      <c r="D33" s="95" t="s">
        <v>142</v>
      </c>
      <c r="E33" s="95"/>
      <c r="F33" s="95" t="s">
        <v>142</v>
      </c>
      <c r="G33" s="95" t="s">
        <v>142</v>
      </c>
      <c r="H33" s="95" t="s">
        <v>142</v>
      </c>
    </row>
    <row r="34" spans="1:8" ht="23.1" customHeight="1">
      <c r="A34" s="73">
        <v>1</v>
      </c>
      <c r="B34" s="73">
        <v>252</v>
      </c>
      <c r="C34" s="78" t="s">
        <v>1191</v>
      </c>
      <c r="D34" s="86">
        <f>'JURISSEP F'!$E$372</f>
        <v>980981.36999999965</v>
      </c>
      <c r="E34" s="130">
        <f>F34/D34</f>
        <v>0.97009645926567778</v>
      </c>
      <c r="F34" s="86">
        <f>'JURISSEP F'!$G$372</f>
        <v>951646.55364259344</v>
      </c>
      <c r="G34" s="86">
        <v>0</v>
      </c>
      <c r="H34" s="86">
        <f>SUM(F34:G34)</f>
        <v>951646.55364259344</v>
      </c>
    </row>
    <row r="35" spans="1:8" ht="18.95" customHeight="1">
      <c r="A35" s="70"/>
      <c r="B35" s="71"/>
      <c r="C35" s="78"/>
      <c r="D35" s="86"/>
      <c r="E35" s="130"/>
      <c r="F35" s="86"/>
      <c r="G35" s="86"/>
      <c r="H35" s="86"/>
    </row>
    <row r="36" spans="1:8" ht="18.95" customHeight="1">
      <c r="A36" s="70">
        <v>2</v>
      </c>
      <c r="B36" s="71">
        <v>255</v>
      </c>
      <c r="C36" s="78" t="s">
        <v>1442</v>
      </c>
      <c r="D36" s="86">
        <f>'JURISSEP F'!$E$370</f>
        <v>89931576</v>
      </c>
      <c r="E36" s="130">
        <f>F36/D36</f>
        <v>0.93564668452359978</v>
      </c>
      <c r="F36" s="86">
        <f>'JURISSEP F'!$G$370</f>
        <v>84144180.918382138</v>
      </c>
      <c r="G36" s="86">
        <v>0</v>
      </c>
      <c r="H36" s="86">
        <f t="shared" ref="H36" si="3">SUM(F36:G36)</f>
        <v>84144180.918382138</v>
      </c>
    </row>
    <row r="37" spans="1:8" ht="18.95" customHeight="1">
      <c r="A37" s="70"/>
      <c r="B37" s="71"/>
      <c r="C37" s="78"/>
      <c r="D37" s="86"/>
      <c r="E37" s="130"/>
      <c r="F37" s="86"/>
      <c r="G37" s="86"/>
      <c r="H37" s="86"/>
    </row>
    <row r="38" spans="1:8" ht="18.95" customHeight="1">
      <c r="A38" s="70">
        <v>3</v>
      </c>
      <c r="B38" s="70" t="s">
        <v>1452</v>
      </c>
      <c r="C38" s="78" t="s">
        <v>2015</v>
      </c>
      <c r="D38" s="86">
        <f>'JURISSEP F'!$E$361</f>
        <v>1404439676</v>
      </c>
      <c r="E38" s="130">
        <f>F38/D38</f>
        <v>0.93812446272605776</v>
      </c>
      <c r="F38" s="86">
        <f>'JURISSEP F'!$G$361</f>
        <v>1317539216.4786587</v>
      </c>
      <c r="G38" s="86">
        <f>'ECR DEFTAX'!$AD4+'DSM DEFTAX'!$AD2</f>
        <v>-341814950.53195548</v>
      </c>
      <c r="H38" s="86">
        <f t="shared" ref="H38" si="4">SUM(F38:G38)</f>
        <v>975724265.9467032</v>
      </c>
    </row>
    <row r="39" spans="1:8" ht="18.95" customHeight="1">
      <c r="A39" s="70"/>
      <c r="B39" s="71"/>
      <c r="C39" s="78"/>
      <c r="D39" s="86"/>
      <c r="E39" s="466"/>
      <c r="F39" s="86"/>
      <c r="G39" s="86"/>
      <c r="H39" s="86"/>
    </row>
    <row r="40" spans="1:8" ht="18.75" customHeight="1">
      <c r="A40" s="70">
        <v>4</v>
      </c>
      <c r="B40" s="70" t="s">
        <v>2263</v>
      </c>
      <c r="C40" s="78" t="s">
        <v>2264</v>
      </c>
      <c r="D40" s="86">
        <f>-'JURISSEP F'!$E$332</f>
        <v>-101937692.82886787</v>
      </c>
      <c r="E40" s="130">
        <f>F40/D40</f>
        <v>0.94512239120166086</v>
      </c>
      <c r="F40" s="86">
        <f>-'JURISSEP F'!$G$332</f>
        <v>-96343596</v>
      </c>
      <c r="G40" s="86">
        <f>-F40</f>
        <v>96343596</v>
      </c>
      <c r="H40" s="86">
        <f t="shared" ref="H40" si="5">SUM(F40:G40)</f>
        <v>0</v>
      </c>
    </row>
    <row r="41" spans="1:8" ht="18.95" customHeight="1">
      <c r="A41" s="70"/>
      <c r="B41" s="70"/>
      <c r="C41" s="78"/>
      <c r="D41" s="86"/>
      <c r="E41" s="130"/>
      <c r="F41" s="86"/>
      <c r="G41" s="86"/>
      <c r="H41" s="86"/>
    </row>
    <row r="42" spans="1:8" ht="18.95" customHeight="1">
      <c r="A42" s="70"/>
      <c r="B42" s="70"/>
      <c r="C42" s="67" t="s">
        <v>2265</v>
      </c>
      <c r="D42" s="86"/>
      <c r="E42" s="86"/>
      <c r="F42" s="86"/>
      <c r="G42" s="86"/>
      <c r="H42" s="86"/>
    </row>
    <row r="43" spans="1:8" ht="18.95" customHeight="1">
      <c r="A43" s="70"/>
      <c r="B43" s="70"/>
      <c r="C43" s="78"/>
      <c r="D43" s="86"/>
      <c r="E43" s="86"/>
      <c r="F43" s="86"/>
      <c r="G43" s="86"/>
      <c r="H43" s="86"/>
    </row>
  </sheetData>
  <mergeCells count="9">
    <mergeCell ref="A1:H1"/>
    <mergeCell ref="A2:H2"/>
    <mergeCell ref="A3:H3"/>
    <mergeCell ref="A4:H4"/>
    <mergeCell ref="D31:H31"/>
    <mergeCell ref="A22:H22"/>
    <mergeCell ref="A23:H23"/>
    <mergeCell ref="A24:H24"/>
    <mergeCell ref="A25:H25"/>
  </mergeCells>
  <pageMargins left="0.95" right="0.5" top="0.75" bottom="0.75" header="0.3" footer="0.3"/>
  <pageSetup scale="69" fitToHeight="0" orientation="portrait" r:id="rId1"/>
  <rowBreaks count="1" manualBreakCount="1">
    <brk id="2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3"/>
  <sheetViews>
    <sheetView zoomScaleNormal="100" workbookViewId="0">
      <selection sqref="A1:F1"/>
    </sheetView>
  </sheetViews>
  <sheetFormatPr defaultColWidth="9" defaultRowHeight="12.75"/>
  <cols>
    <col min="1" max="1" width="6" style="69" customWidth="1"/>
    <col min="2" max="2" width="16.109375" style="69" customWidth="1"/>
    <col min="3" max="3" width="42.44140625" style="69" customWidth="1"/>
    <col min="4" max="4" width="13.6640625" style="69" customWidth="1"/>
    <col min="5" max="5" width="18.21875" style="378" customWidth="1"/>
    <col min="6" max="6" width="69.77734375" style="69" customWidth="1"/>
    <col min="7" max="7" width="1.6640625" style="69" customWidth="1"/>
    <col min="8" max="16384" width="9" style="69"/>
  </cols>
  <sheetData>
    <row r="1" spans="1:6" s="68" customFormat="1" ht="20.100000000000001" customHeight="1">
      <c r="A1" s="769" t="str">
        <f>'Rate Case Constants'!C9</f>
        <v>KENTUCKY UTILITIES COMPANY</v>
      </c>
      <c r="B1" s="769"/>
      <c r="C1" s="769"/>
      <c r="D1" s="769"/>
      <c r="E1" s="769"/>
      <c r="F1" s="769"/>
    </row>
    <row r="2" spans="1:6" s="68" customFormat="1" ht="20.100000000000001" customHeight="1">
      <c r="A2" s="769" t="str">
        <f>'Rate Case Constants'!C10</f>
        <v>CASE NO. 2018-00294 - RESPONSE TO PSC 2-65 (SLIPPAGE FACTOR 96.027%)</v>
      </c>
      <c r="B2" s="769"/>
      <c r="C2" s="769"/>
      <c r="D2" s="769"/>
      <c r="E2" s="769"/>
      <c r="F2" s="769"/>
    </row>
    <row r="3" spans="1:6" s="68" customFormat="1" ht="20.100000000000001" customHeight="1">
      <c r="A3" s="769" t="s">
        <v>1455</v>
      </c>
      <c r="B3" s="769"/>
      <c r="C3" s="769"/>
      <c r="D3" s="769"/>
      <c r="E3" s="769"/>
      <c r="F3" s="769"/>
    </row>
    <row r="4" spans="1:6" s="68" customFormat="1" ht="20.100000000000001" customHeight="1">
      <c r="A4" s="768" t="str">
        <f>'Rate Case Constants'!C15</f>
        <v>BASE YEAR FOR THE 12 MONTHS ENDED DECEMBER 31, 2018</v>
      </c>
      <c r="B4" s="768"/>
      <c r="C4" s="768"/>
      <c r="D4" s="768"/>
      <c r="E4" s="768"/>
      <c r="F4" s="768"/>
    </row>
    <row r="5" spans="1:6" s="68" customFormat="1" ht="20.100000000000001" customHeight="1">
      <c r="A5" s="379"/>
      <c r="B5" s="379"/>
      <c r="C5" s="379"/>
      <c r="D5" s="379"/>
      <c r="E5" s="379"/>
      <c r="F5" s="379"/>
    </row>
    <row r="6" spans="1:6" s="68" customFormat="1" ht="20.100000000000001" customHeight="1">
      <c r="A6" s="67" t="s">
        <v>133</v>
      </c>
      <c r="B6" s="67"/>
      <c r="E6" s="380"/>
      <c r="F6" s="74" t="s">
        <v>1454</v>
      </c>
    </row>
    <row r="7" spans="1:6" s="68" customFormat="1" ht="20.100000000000001" customHeight="1">
      <c r="A7" s="68" t="str">
        <f>'Rate Case Constants'!C29</f>
        <v>TYPE OF FILING: __X__ ORIGINAL  _____ UPDATED  _____ REVISED</v>
      </c>
      <c r="E7" s="380"/>
      <c r="F7" s="74" t="s">
        <v>2172</v>
      </c>
    </row>
    <row r="8" spans="1:6" s="68" customFormat="1" ht="20.100000000000001" customHeight="1">
      <c r="A8" s="67" t="s">
        <v>1416</v>
      </c>
      <c r="B8" s="67"/>
      <c r="E8" s="380"/>
      <c r="F8" s="75" t="str">
        <f>'Rate Case Constants'!C37</f>
        <v>WITNESS:   C. M. GARRETT</v>
      </c>
    </row>
    <row r="9" spans="1:6" s="68" customFormat="1" ht="20.100000000000001" customHeight="1">
      <c r="E9" s="380"/>
    </row>
    <row r="10" spans="1:6" ht="58.5" customHeight="1">
      <c r="A10" s="76" t="s">
        <v>131</v>
      </c>
      <c r="B10" s="76" t="s">
        <v>134</v>
      </c>
      <c r="C10" s="79" t="s">
        <v>2101</v>
      </c>
      <c r="D10" s="76" t="s">
        <v>224</v>
      </c>
      <c r="E10" s="76" t="s">
        <v>2103</v>
      </c>
      <c r="F10" s="76" t="s">
        <v>1453</v>
      </c>
    </row>
    <row r="11" spans="1:6" ht="23.1" customHeight="1">
      <c r="A11" s="80"/>
      <c r="B11" s="80"/>
      <c r="C11" s="81"/>
      <c r="D11" s="82"/>
      <c r="E11" s="82"/>
      <c r="F11" s="82"/>
    </row>
    <row r="12" spans="1:6" ht="23.1" customHeight="1">
      <c r="A12" s="73">
        <v>1</v>
      </c>
      <c r="B12" s="73"/>
      <c r="C12" s="381" t="s">
        <v>2116</v>
      </c>
      <c r="D12" s="95"/>
      <c r="E12" s="95"/>
      <c r="F12" s="95"/>
    </row>
    <row r="13" spans="1:6" ht="18.95" customHeight="1">
      <c r="A13" s="73">
        <f>A12+1</f>
        <v>2</v>
      </c>
      <c r="B13" s="73"/>
      <c r="C13" s="381" t="s">
        <v>56</v>
      </c>
      <c r="D13" s="130"/>
      <c r="E13" s="377"/>
      <c r="F13" s="86"/>
    </row>
    <row r="14" spans="1:6" ht="18.95" customHeight="1">
      <c r="A14" s="70">
        <f>A13+1</f>
        <v>3</v>
      </c>
      <c r="B14" s="71" t="s">
        <v>1620</v>
      </c>
      <c r="C14" s="78" t="s">
        <v>1621</v>
      </c>
      <c r="D14" s="130">
        <f>'JURISSEP B'!G1245</f>
        <v>0.8901856511254731</v>
      </c>
      <c r="E14" s="363" t="s">
        <v>296</v>
      </c>
      <c r="F14" s="376" t="s">
        <v>2104</v>
      </c>
    </row>
    <row r="15" spans="1:6" ht="18.95" customHeight="1">
      <c r="A15" s="70">
        <f t="shared" ref="A15:A48" si="0">A14+1</f>
        <v>4</v>
      </c>
      <c r="B15" s="71" t="s">
        <v>1622</v>
      </c>
      <c r="C15" s="78" t="s">
        <v>1623</v>
      </c>
      <c r="D15" s="130">
        <v>1</v>
      </c>
      <c r="E15" s="363" t="s">
        <v>298</v>
      </c>
      <c r="F15" s="376" t="s">
        <v>2115</v>
      </c>
    </row>
    <row r="16" spans="1:6" ht="18.95" customHeight="1">
      <c r="A16" s="70">
        <f t="shared" si="0"/>
        <v>5</v>
      </c>
      <c r="B16" s="71" t="s">
        <v>1624</v>
      </c>
      <c r="C16" s="78" t="s">
        <v>1625</v>
      </c>
      <c r="D16" s="130">
        <f>D14</f>
        <v>0.8901856511254731</v>
      </c>
      <c r="E16" s="363" t="s">
        <v>296</v>
      </c>
      <c r="F16" s="376" t="s">
        <v>2104</v>
      </c>
    </row>
    <row r="17" spans="1:6" ht="18.95" customHeight="1">
      <c r="A17" s="70"/>
      <c r="B17" s="70"/>
      <c r="D17" s="130"/>
      <c r="E17" s="363"/>
      <c r="F17" s="86"/>
    </row>
    <row r="18" spans="1:6" ht="18.95" customHeight="1">
      <c r="A18" s="70">
        <f>A16+1</f>
        <v>6</v>
      </c>
      <c r="B18" s="70"/>
      <c r="C18" s="386" t="s">
        <v>72</v>
      </c>
      <c r="D18" s="130"/>
    </row>
    <row r="19" spans="1:6" ht="18.95" customHeight="1">
      <c r="A19" s="70">
        <f t="shared" si="0"/>
        <v>7</v>
      </c>
      <c r="B19" s="71" t="s">
        <v>1626</v>
      </c>
      <c r="C19" s="78" t="s">
        <v>154</v>
      </c>
      <c r="D19" s="130">
        <f>'JURISSEP B'!G1153</f>
        <v>0.87673530496058716</v>
      </c>
      <c r="E19" s="363" t="s">
        <v>304</v>
      </c>
      <c r="F19" s="376" t="s">
        <v>2107</v>
      </c>
    </row>
    <row r="20" spans="1:6" ht="18.95" customHeight="1">
      <c r="A20" s="70">
        <f t="shared" si="0"/>
        <v>8</v>
      </c>
      <c r="B20" s="71" t="s">
        <v>1627</v>
      </c>
      <c r="C20" s="78" t="s">
        <v>148</v>
      </c>
      <c r="D20" s="130">
        <f>D$19</f>
        <v>0.87673530496058716</v>
      </c>
      <c r="E20" s="363" t="s">
        <v>304</v>
      </c>
      <c r="F20" s="376" t="s">
        <v>2107</v>
      </c>
    </row>
    <row r="21" spans="1:6" ht="18.95" customHeight="1">
      <c r="A21" s="70">
        <f t="shared" si="0"/>
        <v>9</v>
      </c>
      <c r="B21" s="71" t="s">
        <v>1628</v>
      </c>
      <c r="C21" s="78" t="s">
        <v>1629</v>
      </c>
      <c r="D21" s="130">
        <f t="shared" ref="D21:D26" si="1">D$19</f>
        <v>0.87673530496058716</v>
      </c>
      <c r="E21" s="363" t="s">
        <v>304</v>
      </c>
      <c r="F21" s="376" t="s">
        <v>2107</v>
      </c>
    </row>
    <row r="22" spans="1:6" ht="18.95" customHeight="1">
      <c r="A22" s="70">
        <f>A20+1</f>
        <v>9</v>
      </c>
      <c r="B22" s="71">
        <v>313</v>
      </c>
      <c r="C22" s="78" t="s">
        <v>144</v>
      </c>
      <c r="D22" s="130">
        <f t="shared" si="1"/>
        <v>0.87673530496058716</v>
      </c>
      <c r="E22" s="363" t="s">
        <v>304</v>
      </c>
      <c r="F22" s="376" t="s">
        <v>2107</v>
      </c>
    </row>
    <row r="23" spans="1:6" ht="18.95" customHeight="1">
      <c r="A23" s="70">
        <f>A21+1</f>
        <v>10</v>
      </c>
      <c r="B23" s="71" t="s">
        <v>1630</v>
      </c>
      <c r="C23" s="78" t="s">
        <v>1631</v>
      </c>
      <c r="D23" s="130">
        <f t="shared" si="1"/>
        <v>0.87673530496058716</v>
      </c>
      <c r="E23" s="363" t="s">
        <v>304</v>
      </c>
      <c r="F23" s="376" t="s">
        <v>2107</v>
      </c>
    </row>
    <row r="24" spans="1:6" ht="18.95" customHeight="1">
      <c r="A24" s="70">
        <f t="shared" si="0"/>
        <v>11</v>
      </c>
      <c r="B24" s="71" t="s">
        <v>1632</v>
      </c>
      <c r="C24" s="78" t="s">
        <v>1633</v>
      </c>
      <c r="D24" s="130">
        <f t="shared" si="1"/>
        <v>0.87673530496058716</v>
      </c>
      <c r="E24" s="363" t="s">
        <v>304</v>
      </c>
      <c r="F24" s="376" t="s">
        <v>2107</v>
      </c>
    </row>
    <row r="25" spans="1:6" ht="18.95" customHeight="1">
      <c r="A25" s="70">
        <f t="shared" si="0"/>
        <v>12</v>
      </c>
      <c r="B25" s="71" t="s">
        <v>1634</v>
      </c>
      <c r="C25" s="78" t="s">
        <v>1635</v>
      </c>
      <c r="D25" s="130">
        <f t="shared" si="1"/>
        <v>0.87673530496058716</v>
      </c>
      <c r="E25" s="363" t="s">
        <v>304</v>
      </c>
      <c r="F25" s="376" t="s">
        <v>2107</v>
      </c>
    </row>
    <row r="26" spans="1:6" ht="18.95" customHeight="1">
      <c r="A26" s="70">
        <f>A25+1</f>
        <v>13</v>
      </c>
      <c r="B26" s="71" t="s">
        <v>1636</v>
      </c>
      <c r="C26" s="78" t="s">
        <v>1655</v>
      </c>
      <c r="D26" s="130">
        <f t="shared" si="1"/>
        <v>0.87673530496058716</v>
      </c>
      <c r="E26" s="363" t="s">
        <v>304</v>
      </c>
      <c r="F26" s="376" t="s">
        <v>2107</v>
      </c>
    </row>
    <row r="27" spans="1:6" ht="18.95" customHeight="1">
      <c r="A27" s="70">
        <f>A26+1</f>
        <v>14</v>
      </c>
      <c r="B27" s="384" t="s">
        <v>2122</v>
      </c>
      <c r="C27" s="78" t="s">
        <v>2102</v>
      </c>
      <c r="D27" s="130">
        <v>0</v>
      </c>
      <c r="E27" s="363" t="s">
        <v>312</v>
      </c>
      <c r="F27" s="694" t="s">
        <v>2105</v>
      </c>
    </row>
    <row r="28" spans="1:6" ht="18.95" customHeight="1">
      <c r="A28" s="70"/>
      <c r="C28" s="78"/>
      <c r="D28" s="130"/>
    </row>
    <row r="29" spans="1:6" ht="18.95" customHeight="1">
      <c r="A29" s="70">
        <f>A27+1</f>
        <v>15</v>
      </c>
      <c r="C29" s="386" t="s">
        <v>47</v>
      </c>
      <c r="D29" s="130"/>
    </row>
    <row r="30" spans="1:6" ht="18.95" customHeight="1">
      <c r="A30" s="70">
        <f t="shared" si="0"/>
        <v>16</v>
      </c>
      <c r="B30" s="71" t="s">
        <v>1637</v>
      </c>
      <c r="C30" s="78" t="s">
        <v>154</v>
      </c>
      <c r="D30" s="130">
        <f t="shared" ref="D30:D37" si="2">D$19</f>
        <v>0.87673530496058716</v>
      </c>
      <c r="E30" s="363" t="s">
        <v>304</v>
      </c>
      <c r="F30" s="376" t="s">
        <v>2107</v>
      </c>
    </row>
    <row r="31" spans="1:6" ht="18.95" customHeight="1">
      <c r="A31" s="70">
        <f t="shared" si="0"/>
        <v>17</v>
      </c>
      <c r="B31" s="71" t="s">
        <v>1638</v>
      </c>
      <c r="C31" s="78" t="s">
        <v>148</v>
      </c>
      <c r="D31" s="130">
        <f t="shared" si="2"/>
        <v>0.87673530496058716</v>
      </c>
      <c r="E31" s="363" t="s">
        <v>304</v>
      </c>
      <c r="F31" s="376" t="s">
        <v>2107</v>
      </c>
    </row>
    <row r="32" spans="1:6" ht="18.95" customHeight="1">
      <c r="A32" s="70">
        <f t="shared" si="0"/>
        <v>18</v>
      </c>
      <c r="B32" s="71" t="s">
        <v>1639</v>
      </c>
      <c r="C32" s="78" t="s">
        <v>1640</v>
      </c>
      <c r="D32" s="130">
        <f t="shared" si="2"/>
        <v>0.87673530496058716</v>
      </c>
      <c r="E32" s="363" t="s">
        <v>304</v>
      </c>
      <c r="F32" s="376" t="s">
        <v>2107</v>
      </c>
    </row>
    <row r="33" spans="1:6" ht="18.95" customHeight="1">
      <c r="A33" s="70">
        <f t="shared" si="0"/>
        <v>19</v>
      </c>
      <c r="B33" s="71" t="s">
        <v>1641</v>
      </c>
      <c r="C33" s="78" t="s">
        <v>1642</v>
      </c>
      <c r="D33" s="130">
        <f t="shared" si="2"/>
        <v>0.87673530496058716</v>
      </c>
      <c r="E33" s="363" t="s">
        <v>304</v>
      </c>
      <c r="F33" s="376" t="s">
        <v>2107</v>
      </c>
    </row>
    <row r="34" spans="1:6" ht="18.95" customHeight="1">
      <c r="A34" s="70">
        <f t="shared" si="0"/>
        <v>20</v>
      </c>
      <c r="B34" s="71" t="s">
        <v>1643</v>
      </c>
      <c r="C34" s="78" t="s">
        <v>1633</v>
      </c>
      <c r="D34" s="130">
        <f t="shared" si="2"/>
        <v>0.87673530496058716</v>
      </c>
      <c r="E34" s="363" t="s">
        <v>304</v>
      </c>
      <c r="F34" s="376" t="s">
        <v>2107</v>
      </c>
    </row>
    <row r="35" spans="1:6" ht="18.95" customHeight="1">
      <c r="A35" s="70">
        <f t="shared" si="0"/>
        <v>21</v>
      </c>
      <c r="B35" s="71" t="s">
        <v>1644</v>
      </c>
      <c r="C35" s="78" t="s">
        <v>1645</v>
      </c>
      <c r="D35" s="130">
        <f t="shared" si="2"/>
        <v>0.87673530496058716</v>
      </c>
      <c r="E35" s="363" t="s">
        <v>304</v>
      </c>
      <c r="F35" s="376" t="s">
        <v>2107</v>
      </c>
    </row>
    <row r="36" spans="1:6" ht="18.95" customHeight="1">
      <c r="A36" s="70">
        <f t="shared" si="0"/>
        <v>22</v>
      </c>
      <c r="B36" s="71" t="s">
        <v>1646</v>
      </c>
      <c r="C36" s="78" t="s">
        <v>1647</v>
      </c>
      <c r="D36" s="130">
        <f t="shared" si="2"/>
        <v>0.87673530496058716</v>
      </c>
      <c r="E36" s="363" t="s">
        <v>304</v>
      </c>
      <c r="F36" s="376" t="s">
        <v>2107</v>
      </c>
    </row>
    <row r="37" spans="1:6" ht="18.95" customHeight="1">
      <c r="A37" s="70">
        <f t="shared" si="0"/>
        <v>23</v>
      </c>
      <c r="B37" s="71" t="s">
        <v>1648</v>
      </c>
      <c r="C37" s="78" t="s">
        <v>1656</v>
      </c>
      <c r="D37" s="130">
        <f t="shared" si="2"/>
        <v>0.87673530496058716</v>
      </c>
      <c r="E37" s="363" t="s">
        <v>304</v>
      </c>
      <c r="F37" s="376" t="s">
        <v>2107</v>
      </c>
    </row>
    <row r="38" spans="1:6" ht="18.95" customHeight="1">
      <c r="A38" s="70">
        <f>A37+1</f>
        <v>24</v>
      </c>
      <c r="B38" s="384" t="s">
        <v>2123</v>
      </c>
      <c r="C38" s="78" t="s">
        <v>2102</v>
      </c>
      <c r="D38" s="130">
        <v>0</v>
      </c>
      <c r="E38" s="363" t="s">
        <v>312</v>
      </c>
      <c r="F38" s="694" t="s">
        <v>2105</v>
      </c>
    </row>
    <row r="39" spans="1:6" ht="18.95" customHeight="1">
      <c r="A39" s="70"/>
      <c r="B39" s="71"/>
      <c r="C39" s="78"/>
      <c r="D39" s="130"/>
    </row>
    <row r="40" spans="1:6" ht="18.95" customHeight="1">
      <c r="A40" s="70">
        <f>A38+1</f>
        <v>25</v>
      </c>
      <c r="C40" s="386" t="s">
        <v>61</v>
      </c>
      <c r="D40" s="130"/>
    </row>
    <row r="41" spans="1:6" ht="18.95" customHeight="1">
      <c r="A41" s="70">
        <f t="shared" si="0"/>
        <v>26</v>
      </c>
      <c r="B41" s="71" t="s">
        <v>1649</v>
      </c>
      <c r="C41" s="78" t="s">
        <v>154</v>
      </c>
      <c r="D41" s="130">
        <f t="shared" ref="D41:D48" si="3">D$19</f>
        <v>0.87673530496058716</v>
      </c>
      <c r="E41" s="363" t="s">
        <v>304</v>
      </c>
      <c r="F41" s="376" t="s">
        <v>2107</v>
      </c>
    </row>
    <row r="42" spans="1:6" ht="18.95" customHeight="1">
      <c r="A42" s="70">
        <f t="shared" si="0"/>
        <v>27</v>
      </c>
      <c r="B42" s="71" t="s">
        <v>1650</v>
      </c>
      <c r="C42" s="78" t="s">
        <v>148</v>
      </c>
      <c r="D42" s="130">
        <f t="shared" si="3"/>
        <v>0.87673530496058716</v>
      </c>
      <c r="E42" s="363" t="s">
        <v>304</v>
      </c>
      <c r="F42" s="376" t="s">
        <v>2107</v>
      </c>
    </row>
    <row r="43" spans="1:6" ht="18.95" customHeight="1">
      <c r="A43" s="70">
        <f t="shared" si="0"/>
        <v>28</v>
      </c>
      <c r="B43" s="71" t="s">
        <v>1651</v>
      </c>
      <c r="C43" s="78" t="s">
        <v>1652</v>
      </c>
      <c r="D43" s="130">
        <f t="shared" si="3"/>
        <v>0.87673530496058716</v>
      </c>
      <c r="E43" s="363" t="s">
        <v>304</v>
      </c>
      <c r="F43" s="376" t="s">
        <v>2107</v>
      </c>
    </row>
    <row r="44" spans="1:6" ht="18.95" customHeight="1">
      <c r="A44" s="70">
        <f t="shared" si="0"/>
        <v>29</v>
      </c>
      <c r="B44" s="71" t="s">
        <v>1653</v>
      </c>
      <c r="C44" s="78" t="s">
        <v>1654</v>
      </c>
      <c r="D44" s="130">
        <f t="shared" si="3"/>
        <v>0.87673530496058716</v>
      </c>
      <c r="E44" s="363" t="s">
        <v>304</v>
      </c>
      <c r="F44" s="376" t="s">
        <v>2107</v>
      </c>
    </row>
    <row r="45" spans="1:6" ht="18.95" customHeight="1">
      <c r="A45" s="70">
        <f>A44+1</f>
        <v>30</v>
      </c>
      <c r="B45" s="71" t="s">
        <v>1657</v>
      </c>
      <c r="C45" s="78" t="s">
        <v>1658</v>
      </c>
      <c r="D45" s="130">
        <f t="shared" si="3"/>
        <v>0.87673530496058716</v>
      </c>
      <c r="E45" s="363" t="s">
        <v>304</v>
      </c>
      <c r="F45" s="376" t="s">
        <v>2107</v>
      </c>
    </row>
    <row r="46" spans="1:6" ht="18.95" customHeight="1">
      <c r="A46" s="70">
        <f t="shared" si="0"/>
        <v>31</v>
      </c>
      <c r="B46" s="71" t="s">
        <v>1659</v>
      </c>
      <c r="C46" s="78" t="s">
        <v>1633</v>
      </c>
      <c r="D46" s="130">
        <f t="shared" si="3"/>
        <v>0.87673530496058716</v>
      </c>
      <c r="E46" s="363" t="s">
        <v>304</v>
      </c>
      <c r="F46" s="376" t="s">
        <v>2107</v>
      </c>
    </row>
    <row r="47" spans="1:6" ht="18.95" customHeight="1">
      <c r="A47" s="70">
        <f t="shared" si="0"/>
        <v>32</v>
      </c>
      <c r="B47" s="71" t="s">
        <v>1660</v>
      </c>
      <c r="C47" s="78" t="s">
        <v>1645</v>
      </c>
      <c r="D47" s="130">
        <f t="shared" si="3"/>
        <v>0.87673530496058716</v>
      </c>
      <c r="E47" s="363" t="s">
        <v>304</v>
      </c>
      <c r="F47" s="376" t="s">
        <v>2107</v>
      </c>
    </row>
    <row r="48" spans="1:6" ht="18.95" customHeight="1">
      <c r="A48" s="70">
        <f t="shared" si="0"/>
        <v>33</v>
      </c>
      <c r="B48" s="71" t="s">
        <v>1661</v>
      </c>
      <c r="C48" s="78" t="s">
        <v>1696</v>
      </c>
      <c r="D48" s="130">
        <f t="shared" si="3"/>
        <v>0.87673530496058716</v>
      </c>
      <c r="E48" s="363" t="s">
        <v>304</v>
      </c>
      <c r="F48" s="376" t="s">
        <v>2107</v>
      </c>
    </row>
    <row r="49" spans="1:6" ht="18.95" customHeight="1">
      <c r="A49" s="70">
        <f>A48+1</f>
        <v>34</v>
      </c>
      <c r="B49" s="384" t="s">
        <v>2124</v>
      </c>
      <c r="C49" s="78" t="s">
        <v>2102</v>
      </c>
      <c r="D49" s="130">
        <v>0</v>
      </c>
      <c r="E49" s="363" t="s">
        <v>312</v>
      </c>
      <c r="F49" s="694" t="s">
        <v>2105</v>
      </c>
    </row>
    <row r="50" spans="1:6" ht="18.95" customHeight="1">
      <c r="D50" s="130"/>
    </row>
    <row r="51" spans="1:6" ht="18.95" customHeight="1">
      <c r="A51" s="70">
        <f>A49+1</f>
        <v>35</v>
      </c>
      <c r="C51" s="386" t="s">
        <v>84</v>
      </c>
      <c r="D51" s="130"/>
    </row>
    <row r="52" spans="1:6" ht="18.95" customHeight="1">
      <c r="A52" s="70">
        <f>A51+1</f>
        <v>36</v>
      </c>
      <c r="C52" s="387" t="s">
        <v>2106</v>
      </c>
      <c r="D52" s="130"/>
    </row>
    <row r="53" spans="1:6" ht="18.95" customHeight="1">
      <c r="A53" s="70">
        <f>A52+1</f>
        <v>37</v>
      </c>
      <c r="B53" s="71" t="s">
        <v>1662</v>
      </c>
      <c r="C53" s="78" t="s">
        <v>154</v>
      </c>
      <c r="D53" s="130">
        <f>'JURISSEP B'!G1162</f>
        <v>0.95621085870522038</v>
      </c>
      <c r="E53" s="363" t="s">
        <v>341</v>
      </c>
      <c r="F53" s="376" t="s">
        <v>2108</v>
      </c>
    </row>
    <row r="54" spans="1:6" ht="18.95" customHeight="1">
      <c r="A54" s="70">
        <f t="shared" ref="A54:A98" si="4">A53+1</f>
        <v>38</v>
      </c>
      <c r="B54" s="71" t="s">
        <v>1663</v>
      </c>
      <c r="C54" s="78" t="s">
        <v>148</v>
      </c>
      <c r="D54" s="130">
        <f>D$53</f>
        <v>0.95621085870522038</v>
      </c>
      <c r="E54" s="363" t="s">
        <v>341</v>
      </c>
      <c r="F54" s="376" t="s">
        <v>2108</v>
      </c>
    </row>
    <row r="55" spans="1:6" ht="18.95" customHeight="1">
      <c r="A55" s="70">
        <f t="shared" si="4"/>
        <v>39</v>
      </c>
      <c r="B55" s="71" t="s">
        <v>1664</v>
      </c>
      <c r="C55" s="78" t="s">
        <v>149</v>
      </c>
      <c r="D55" s="130">
        <f t="shared" ref="D55:D60" si="5">D$53</f>
        <v>0.95621085870522038</v>
      </c>
      <c r="E55" s="363" t="s">
        <v>341</v>
      </c>
      <c r="F55" s="376" t="s">
        <v>2108</v>
      </c>
    </row>
    <row r="56" spans="1:6" ht="18.95" customHeight="1">
      <c r="A56" s="70">
        <f t="shared" si="4"/>
        <v>40</v>
      </c>
      <c r="B56" s="71" t="s">
        <v>1665</v>
      </c>
      <c r="C56" s="78" t="s">
        <v>1666</v>
      </c>
      <c r="D56" s="130">
        <f t="shared" si="5"/>
        <v>0.95621085870522038</v>
      </c>
      <c r="E56" s="363" t="s">
        <v>341</v>
      </c>
      <c r="F56" s="376" t="s">
        <v>2108</v>
      </c>
    </row>
    <row r="57" spans="1:6" ht="18.95" customHeight="1">
      <c r="A57" s="70">
        <f t="shared" si="4"/>
        <v>41</v>
      </c>
      <c r="B57" s="71" t="s">
        <v>1667</v>
      </c>
      <c r="C57" s="78" t="s">
        <v>1668</v>
      </c>
      <c r="D57" s="130">
        <f t="shared" si="5"/>
        <v>0.95621085870522038</v>
      </c>
      <c r="E57" s="363" t="s">
        <v>341</v>
      </c>
      <c r="F57" s="376" t="s">
        <v>2108</v>
      </c>
    </row>
    <row r="58" spans="1:6" ht="18.95" customHeight="1">
      <c r="A58" s="70">
        <f t="shared" si="4"/>
        <v>42</v>
      </c>
      <c r="B58" s="71" t="s">
        <v>1669</v>
      </c>
      <c r="C58" s="78" t="s">
        <v>1670</v>
      </c>
      <c r="D58" s="130">
        <f t="shared" si="5"/>
        <v>0.95621085870522038</v>
      </c>
      <c r="E58" s="363" t="s">
        <v>341</v>
      </c>
      <c r="F58" s="376" t="s">
        <v>2108</v>
      </c>
    </row>
    <row r="59" spans="1:6" ht="18.95" customHeight="1">
      <c r="A59" s="70">
        <f t="shared" si="4"/>
        <v>43</v>
      </c>
      <c r="B59" s="71" t="s">
        <v>1671</v>
      </c>
      <c r="C59" s="78" t="s">
        <v>1672</v>
      </c>
      <c r="D59" s="130">
        <f t="shared" si="5"/>
        <v>0.95621085870522038</v>
      </c>
      <c r="E59" s="363" t="s">
        <v>341</v>
      </c>
      <c r="F59" s="376" t="s">
        <v>2108</v>
      </c>
    </row>
    <row r="60" spans="1:6" ht="18.95" customHeight="1">
      <c r="A60" s="70">
        <f t="shared" si="4"/>
        <v>44</v>
      </c>
      <c r="B60" s="71" t="s">
        <v>1673</v>
      </c>
      <c r="C60" s="78" t="s">
        <v>1674</v>
      </c>
      <c r="D60" s="130">
        <f t="shared" si="5"/>
        <v>0.95621085870522038</v>
      </c>
      <c r="E60" s="363" t="s">
        <v>341</v>
      </c>
      <c r="F60" s="376" t="s">
        <v>2108</v>
      </c>
    </row>
    <row r="61" spans="1:6" s="68" customFormat="1" ht="20.100000000000001" customHeight="1">
      <c r="A61" s="769" t="str">
        <f>A$1</f>
        <v>KENTUCKY UTILITIES COMPANY</v>
      </c>
      <c r="B61" s="769"/>
      <c r="C61" s="769"/>
      <c r="D61" s="769"/>
      <c r="E61" s="769"/>
      <c r="F61" s="769"/>
    </row>
    <row r="62" spans="1:6" s="68" customFormat="1" ht="20.100000000000001" customHeight="1">
      <c r="A62" s="769" t="str">
        <f>A$2</f>
        <v>CASE NO. 2018-00294 - RESPONSE TO PSC 2-65 (SLIPPAGE FACTOR 96.027%)</v>
      </c>
      <c r="B62" s="769"/>
      <c r="C62" s="769"/>
      <c r="D62" s="769"/>
      <c r="E62" s="769"/>
      <c r="F62" s="769"/>
    </row>
    <row r="63" spans="1:6" s="68" customFormat="1" ht="20.100000000000001" customHeight="1">
      <c r="A63" s="769" t="s">
        <v>1455</v>
      </c>
      <c r="B63" s="769"/>
      <c r="C63" s="769"/>
      <c r="D63" s="769"/>
      <c r="E63" s="769"/>
      <c r="F63" s="769"/>
    </row>
    <row r="64" spans="1:6" s="68" customFormat="1" ht="20.100000000000001" customHeight="1">
      <c r="A64" s="768" t="str">
        <f>A$4</f>
        <v>BASE YEAR FOR THE 12 MONTHS ENDED DECEMBER 31, 2018</v>
      </c>
      <c r="B64" s="769"/>
      <c r="C64" s="769"/>
      <c r="D64" s="769"/>
      <c r="E64" s="769"/>
      <c r="F64" s="769"/>
    </row>
    <row r="65" spans="1:6" s="68" customFormat="1" ht="20.100000000000001" customHeight="1">
      <c r="A65" s="379"/>
      <c r="B65" s="379"/>
      <c r="C65" s="379"/>
      <c r="D65" s="379"/>
      <c r="E65" s="379"/>
      <c r="F65" s="379"/>
    </row>
    <row r="66" spans="1:6" s="68" customFormat="1" ht="20.100000000000001" customHeight="1">
      <c r="A66" s="67" t="str">
        <f>A$6</f>
        <v>DATA:__X__BASE  PERIOD____FORECASTED  PERIOD</v>
      </c>
      <c r="B66" s="67"/>
      <c r="E66" s="380"/>
      <c r="F66" s="74" t="s">
        <v>1454</v>
      </c>
    </row>
    <row r="67" spans="1:6" s="68" customFormat="1" ht="20.100000000000001" customHeight="1">
      <c r="A67" s="67" t="str">
        <f>A$7</f>
        <v>TYPE OF FILING: __X__ ORIGINAL  _____ UPDATED  _____ REVISED</v>
      </c>
      <c r="E67" s="380"/>
      <c r="F67" s="74" t="s">
        <v>2173</v>
      </c>
    </row>
    <row r="68" spans="1:6" s="68" customFormat="1" ht="20.100000000000001" customHeight="1">
      <c r="A68" s="67" t="str">
        <f>A$8</f>
        <v xml:space="preserve">WORKPAPER REFERENCE NO(S).: </v>
      </c>
      <c r="B68" s="67"/>
      <c r="E68" s="380"/>
      <c r="F68" s="75" t="str">
        <f>F$8</f>
        <v>WITNESS:   C. M. GARRETT</v>
      </c>
    </row>
    <row r="69" spans="1:6" s="68" customFormat="1" ht="20.100000000000001" customHeight="1">
      <c r="E69" s="380"/>
    </row>
    <row r="70" spans="1:6" ht="58.5" customHeight="1">
      <c r="A70" s="76" t="s">
        <v>131</v>
      </c>
      <c r="B70" s="76" t="s">
        <v>134</v>
      </c>
      <c r="C70" s="79" t="s">
        <v>2101</v>
      </c>
      <c r="D70" s="76" t="s">
        <v>224</v>
      </c>
      <c r="E70" s="76" t="s">
        <v>2103</v>
      </c>
      <c r="F70" s="76" t="s">
        <v>1453</v>
      </c>
    </row>
    <row r="71" spans="1:6" ht="23.1" customHeight="1">
      <c r="A71" s="80"/>
      <c r="B71" s="80"/>
      <c r="C71" s="81"/>
      <c r="D71" s="82"/>
      <c r="E71" s="82"/>
      <c r="F71" s="82"/>
    </row>
    <row r="72" spans="1:6" ht="18.95" customHeight="1">
      <c r="A72" s="70">
        <f>A60+1</f>
        <v>45</v>
      </c>
      <c r="B72" s="71" t="s">
        <v>1675</v>
      </c>
      <c r="C72" s="78" t="s">
        <v>152</v>
      </c>
      <c r="D72" s="130">
        <f t="shared" ref="D72" si="6">D$53</f>
        <v>0.95621085870522038</v>
      </c>
      <c r="E72" s="363" t="s">
        <v>341</v>
      </c>
      <c r="F72" s="376" t="s">
        <v>2108</v>
      </c>
    </row>
    <row r="73" spans="1:6" ht="18.95" customHeight="1">
      <c r="A73" s="70">
        <f>A72+1</f>
        <v>46</v>
      </c>
      <c r="B73" s="384" t="s">
        <v>2125</v>
      </c>
      <c r="C73" s="78" t="s">
        <v>2102</v>
      </c>
      <c r="D73" s="130">
        <v>0</v>
      </c>
      <c r="E73" s="363" t="s">
        <v>312</v>
      </c>
      <c r="F73" s="694" t="s">
        <v>2105</v>
      </c>
    </row>
    <row r="74" spans="1:6" ht="18.95" customHeight="1">
      <c r="A74" s="70"/>
      <c r="B74" s="71"/>
      <c r="D74" s="130"/>
    </row>
    <row r="75" spans="1:6" ht="18.95" customHeight="1">
      <c r="A75" s="70">
        <f>A73+1</f>
        <v>47</v>
      </c>
      <c r="C75" s="387" t="s">
        <v>2110</v>
      </c>
      <c r="D75" s="130"/>
    </row>
    <row r="76" spans="1:6" ht="18.95" customHeight="1">
      <c r="A76" s="70">
        <f>A75+1</f>
        <v>48</v>
      </c>
      <c r="B76" s="71" t="s">
        <v>1662</v>
      </c>
      <c r="C76" s="78" t="s">
        <v>154</v>
      </c>
      <c r="D76" s="130">
        <v>0</v>
      </c>
      <c r="E76" s="363" t="s">
        <v>733</v>
      </c>
      <c r="F76" s="376" t="s">
        <v>2109</v>
      </c>
    </row>
    <row r="77" spans="1:6" ht="18.95" customHeight="1">
      <c r="A77" s="70">
        <f t="shared" si="4"/>
        <v>49</v>
      </c>
      <c r="B77" s="71" t="s">
        <v>1663</v>
      </c>
      <c r="C77" s="78" t="s">
        <v>148</v>
      </c>
      <c r="D77" s="130">
        <v>0</v>
      </c>
      <c r="E77" s="363" t="s">
        <v>733</v>
      </c>
      <c r="F77" s="376" t="s">
        <v>2109</v>
      </c>
    </row>
    <row r="78" spans="1:6" ht="18.95" customHeight="1">
      <c r="A78" s="70">
        <f t="shared" si="4"/>
        <v>50</v>
      </c>
      <c r="B78" s="71" t="s">
        <v>1664</v>
      </c>
      <c r="C78" s="78" t="s">
        <v>149</v>
      </c>
      <c r="D78" s="130">
        <v>0</v>
      </c>
      <c r="E78" s="363" t="s">
        <v>733</v>
      </c>
      <c r="F78" s="376" t="s">
        <v>2109</v>
      </c>
    </row>
    <row r="79" spans="1:6" ht="18.95" customHeight="1">
      <c r="A79" s="70">
        <f t="shared" si="4"/>
        <v>51</v>
      </c>
      <c r="B79" s="71" t="s">
        <v>1665</v>
      </c>
      <c r="C79" s="78" t="s">
        <v>1666</v>
      </c>
      <c r="D79" s="130">
        <v>0</v>
      </c>
      <c r="E79" s="363" t="s">
        <v>733</v>
      </c>
      <c r="F79" s="376" t="s">
        <v>2109</v>
      </c>
    </row>
    <row r="80" spans="1:6" ht="18.95" customHeight="1">
      <c r="A80" s="70">
        <f t="shared" si="4"/>
        <v>52</v>
      </c>
      <c r="B80" s="71" t="s">
        <v>1667</v>
      </c>
      <c r="C80" s="78" t="s">
        <v>1668</v>
      </c>
      <c r="D80" s="130">
        <v>0</v>
      </c>
      <c r="E80" s="363" t="s">
        <v>733</v>
      </c>
      <c r="F80" s="376" t="s">
        <v>2109</v>
      </c>
    </row>
    <row r="81" spans="1:6" ht="18.95" customHeight="1">
      <c r="A81" s="70">
        <f t="shared" si="4"/>
        <v>53</v>
      </c>
      <c r="B81" s="71" t="s">
        <v>1669</v>
      </c>
      <c r="C81" s="78" t="s">
        <v>1670</v>
      </c>
      <c r="D81" s="130">
        <v>0</v>
      </c>
      <c r="E81" s="363" t="s">
        <v>733</v>
      </c>
      <c r="F81" s="376" t="s">
        <v>2109</v>
      </c>
    </row>
    <row r="82" spans="1:6" ht="18.95" customHeight="1">
      <c r="A82" s="70">
        <f>A81+1</f>
        <v>54</v>
      </c>
      <c r="B82" s="384" t="s">
        <v>2126</v>
      </c>
      <c r="C82" s="78" t="s">
        <v>2102</v>
      </c>
      <c r="D82" s="130">
        <v>0</v>
      </c>
      <c r="E82" s="363" t="s">
        <v>733</v>
      </c>
      <c r="F82" s="376" t="s">
        <v>2109</v>
      </c>
    </row>
    <row r="83" spans="1:6" ht="18.95" customHeight="1">
      <c r="A83" s="70"/>
      <c r="B83" s="71"/>
      <c r="D83" s="130"/>
    </row>
    <row r="84" spans="1:6" ht="18.95" customHeight="1">
      <c r="A84" s="70">
        <f>A73+1</f>
        <v>47</v>
      </c>
      <c r="B84" s="71" t="s">
        <v>251</v>
      </c>
      <c r="C84" s="386" t="s">
        <v>16</v>
      </c>
      <c r="D84" s="130"/>
    </row>
    <row r="85" spans="1:6" ht="18.95" customHeight="1">
      <c r="A85" s="70">
        <f>A84+1</f>
        <v>48</v>
      </c>
      <c r="C85" s="387" t="s">
        <v>2106</v>
      </c>
      <c r="D85" s="130"/>
    </row>
    <row r="86" spans="1:6" ht="18.95" customHeight="1">
      <c r="A86" s="70">
        <f>A85+1</f>
        <v>49</v>
      </c>
      <c r="B86" s="71" t="s">
        <v>1676</v>
      </c>
      <c r="C86" s="78" t="s">
        <v>154</v>
      </c>
      <c r="D86" s="130">
        <f>'JURISSEP B'!G1167</f>
        <v>0.99899635577586265</v>
      </c>
      <c r="E86" s="363" t="s">
        <v>733</v>
      </c>
      <c r="F86" s="376" t="s">
        <v>2113</v>
      </c>
    </row>
    <row r="87" spans="1:6" ht="18.95" customHeight="1">
      <c r="A87" s="70">
        <f t="shared" si="4"/>
        <v>50</v>
      </c>
      <c r="B87" s="71" t="s">
        <v>1677</v>
      </c>
      <c r="C87" s="78" t="s">
        <v>148</v>
      </c>
      <c r="D87" s="130">
        <f>'JURISSEP B'!G1168</f>
        <v>0.9821874980581865</v>
      </c>
      <c r="E87" s="363" t="s">
        <v>733</v>
      </c>
      <c r="F87" s="376" t="s">
        <v>2113</v>
      </c>
    </row>
    <row r="88" spans="1:6" ht="18.95" customHeight="1">
      <c r="A88" s="70">
        <f t="shared" si="4"/>
        <v>51</v>
      </c>
      <c r="B88" s="71" t="s">
        <v>1678</v>
      </c>
      <c r="C88" s="78" t="s">
        <v>1679</v>
      </c>
      <c r="D88" s="130">
        <f>'JURISSEP B'!G1169</f>
        <v>0.98593409012156785</v>
      </c>
      <c r="E88" s="363" t="s">
        <v>733</v>
      </c>
      <c r="F88" s="376" t="s">
        <v>2113</v>
      </c>
    </row>
    <row r="89" spans="1:6" ht="18.95" customHeight="1">
      <c r="A89" s="70">
        <f t="shared" si="4"/>
        <v>52</v>
      </c>
      <c r="B89" s="71" t="s">
        <v>1680</v>
      </c>
      <c r="C89" s="78" t="s">
        <v>1681</v>
      </c>
      <c r="D89" s="130">
        <f>'JURISSEP B'!G1170</f>
        <v>1</v>
      </c>
      <c r="E89" s="363" t="s">
        <v>733</v>
      </c>
      <c r="F89" s="376" t="s">
        <v>2112</v>
      </c>
    </row>
    <row r="90" spans="1:6" ht="18.95" customHeight="1">
      <c r="A90" s="70">
        <f t="shared" si="4"/>
        <v>53</v>
      </c>
      <c r="B90" s="71" t="s">
        <v>1682</v>
      </c>
      <c r="C90" s="78" t="s">
        <v>1670</v>
      </c>
      <c r="D90" s="130">
        <f>'JURISSEP B'!G1171</f>
        <v>1</v>
      </c>
      <c r="E90" s="363" t="s">
        <v>733</v>
      </c>
      <c r="F90" s="376" t="s">
        <v>2112</v>
      </c>
    </row>
    <row r="91" spans="1:6" ht="18.95" customHeight="1">
      <c r="A91" s="70">
        <f t="shared" si="4"/>
        <v>54</v>
      </c>
      <c r="B91" s="71" t="s">
        <v>1683</v>
      </c>
      <c r="C91" s="78" t="s">
        <v>1672</v>
      </c>
      <c r="D91" s="130">
        <f>'JURISSEP B'!G1172</f>
        <v>1</v>
      </c>
      <c r="E91" s="363" t="s">
        <v>733</v>
      </c>
      <c r="F91" s="376" t="s">
        <v>2112</v>
      </c>
    </row>
    <row r="92" spans="1:6" ht="18.95" customHeight="1">
      <c r="A92" s="70">
        <f t="shared" si="4"/>
        <v>55</v>
      </c>
      <c r="B92" s="71" t="s">
        <v>1684</v>
      </c>
      <c r="C92" s="78" t="s">
        <v>1674</v>
      </c>
      <c r="D92" s="130">
        <f>'JURISSEP B'!G1173</f>
        <v>1</v>
      </c>
      <c r="E92" s="363" t="s">
        <v>733</v>
      </c>
      <c r="F92" s="376" t="s">
        <v>2112</v>
      </c>
    </row>
    <row r="93" spans="1:6" ht="18.95" customHeight="1">
      <c r="A93" s="70">
        <f t="shared" si="4"/>
        <v>56</v>
      </c>
      <c r="B93" s="71" t="s">
        <v>1685</v>
      </c>
      <c r="C93" s="78" t="s">
        <v>1686</v>
      </c>
      <c r="D93" s="130">
        <f>'JURISSEP B'!G171/'JURISSEP B'!E171</f>
        <v>1</v>
      </c>
      <c r="E93" s="363" t="s">
        <v>733</v>
      </c>
      <c r="F93" s="376" t="s">
        <v>2112</v>
      </c>
    </row>
    <row r="94" spans="1:6" ht="18.95" customHeight="1">
      <c r="A94" s="70">
        <f t="shared" si="4"/>
        <v>57</v>
      </c>
      <c r="B94" s="71" t="s">
        <v>1687</v>
      </c>
      <c r="C94" s="78" t="s">
        <v>1688</v>
      </c>
      <c r="D94" s="130">
        <f>'JURISSEP B'!G172/'JURISSEP B'!E172</f>
        <v>1</v>
      </c>
      <c r="E94" s="363" t="s">
        <v>733</v>
      </c>
      <c r="F94" s="376" t="s">
        <v>2112</v>
      </c>
    </row>
    <row r="95" spans="1:6" ht="18.95" customHeight="1">
      <c r="A95" s="70">
        <f>A94+1</f>
        <v>58</v>
      </c>
      <c r="B95" s="71" t="s">
        <v>1689</v>
      </c>
      <c r="C95" s="78" t="s">
        <v>1690</v>
      </c>
      <c r="D95" s="130">
        <f>'JURISSEP B'!G173/'JURISSEP B'!E173</f>
        <v>0.99557977328043035</v>
      </c>
      <c r="E95" s="363" t="s">
        <v>733</v>
      </c>
      <c r="F95" s="376" t="s">
        <v>2113</v>
      </c>
    </row>
    <row r="96" spans="1:6" ht="18.95" customHeight="1">
      <c r="A96" s="70">
        <f t="shared" si="4"/>
        <v>59</v>
      </c>
      <c r="B96" s="71" t="s">
        <v>1691</v>
      </c>
      <c r="C96" s="78" t="s">
        <v>1692</v>
      </c>
      <c r="D96" s="130">
        <f>'JURISSEP B'!G174/'JURISSEP B'!E174</f>
        <v>1</v>
      </c>
      <c r="E96" s="363" t="s">
        <v>733</v>
      </c>
      <c r="F96" s="376" t="s">
        <v>2112</v>
      </c>
    </row>
    <row r="97" spans="1:6" ht="18.95" customHeight="1">
      <c r="A97" s="70">
        <f t="shared" si="4"/>
        <v>60</v>
      </c>
      <c r="B97" s="71" t="s">
        <v>1693</v>
      </c>
      <c r="C97" s="78" t="s">
        <v>1694</v>
      </c>
      <c r="D97" s="130">
        <f>'JURISSEP B'!G175/'JURISSEP B'!E175</f>
        <v>1</v>
      </c>
      <c r="E97" s="363" t="s">
        <v>733</v>
      </c>
      <c r="F97" s="376" t="s">
        <v>2112</v>
      </c>
    </row>
    <row r="98" spans="1:6" ht="18.95" customHeight="1">
      <c r="A98" s="70">
        <f t="shared" si="4"/>
        <v>61</v>
      </c>
      <c r="B98" s="71" t="s">
        <v>1695</v>
      </c>
      <c r="C98" s="78" t="s">
        <v>151</v>
      </c>
      <c r="D98" s="130">
        <f>'JURISSEP B'!G176/'JURISSEP B'!E176</f>
        <v>1</v>
      </c>
      <c r="E98" s="363" t="s">
        <v>733</v>
      </c>
      <c r="F98" s="376" t="s">
        <v>2112</v>
      </c>
    </row>
    <row r="99" spans="1:6" ht="18.95" customHeight="1">
      <c r="A99" s="70"/>
      <c r="B99" s="71"/>
      <c r="C99" s="78"/>
      <c r="D99" s="130"/>
    </row>
    <row r="100" spans="1:6" ht="18.95" customHeight="1">
      <c r="A100" s="70">
        <f>A98+1</f>
        <v>62</v>
      </c>
      <c r="C100" s="387" t="s">
        <v>2110</v>
      </c>
      <c r="D100" s="130"/>
    </row>
    <row r="101" spans="1:6" ht="18.95" customHeight="1">
      <c r="A101" s="70">
        <f>A100+1</f>
        <v>63</v>
      </c>
      <c r="B101" s="71" t="s">
        <v>1676</v>
      </c>
      <c r="C101" s="78" t="s">
        <v>154</v>
      </c>
      <c r="D101" s="130">
        <v>0</v>
      </c>
      <c r="E101" s="363" t="s">
        <v>733</v>
      </c>
      <c r="F101" s="376" t="s">
        <v>2109</v>
      </c>
    </row>
    <row r="102" spans="1:6" ht="18.95" customHeight="1">
      <c r="A102" s="70">
        <f t="shared" ref="A102:A112" si="7">A101+1</f>
        <v>64</v>
      </c>
      <c r="B102" s="71" t="s">
        <v>1677</v>
      </c>
      <c r="C102" s="78" t="s">
        <v>148</v>
      </c>
      <c r="D102" s="130">
        <v>0</v>
      </c>
      <c r="E102" s="363" t="s">
        <v>733</v>
      </c>
      <c r="F102" s="376" t="s">
        <v>2109</v>
      </c>
    </row>
    <row r="103" spans="1:6" ht="18.95" customHeight="1">
      <c r="A103" s="70">
        <f t="shared" si="7"/>
        <v>65</v>
      </c>
      <c r="B103" s="71" t="s">
        <v>1678</v>
      </c>
      <c r="C103" s="78" t="s">
        <v>1679</v>
      </c>
      <c r="D103" s="130">
        <v>0</v>
      </c>
      <c r="E103" s="363" t="s">
        <v>733</v>
      </c>
      <c r="F103" s="376" t="s">
        <v>2109</v>
      </c>
    </row>
    <row r="104" spans="1:6" ht="18.95" customHeight="1">
      <c r="A104" s="70">
        <f t="shared" si="7"/>
        <v>66</v>
      </c>
      <c r="B104" s="71" t="s">
        <v>1680</v>
      </c>
      <c r="C104" s="78" t="s">
        <v>1681</v>
      </c>
      <c r="D104" s="130">
        <v>0</v>
      </c>
      <c r="E104" s="363" t="s">
        <v>733</v>
      </c>
      <c r="F104" s="376" t="s">
        <v>2109</v>
      </c>
    </row>
    <row r="105" spans="1:6" ht="18.95" customHeight="1">
      <c r="A105" s="70">
        <f t="shared" si="7"/>
        <v>67</v>
      </c>
      <c r="B105" s="71" t="s">
        <v>1682</v>
      </c>
      <c r="C105" s="78" t="s">
        <v>1670</v>
      </c>
      <c r="D105" s="130">
        <v>0</v>
      </c>
      <c r="E105" s="363" t="s">
        <v>733</v>
      </c>
      <c r="F105" s="376" t="s">
        <v>2109</v>
      </c>
    </row>
    <row r="106" spans="1:6" ht="18.95" customHeight="1">
      <c r="A106" s="70">
        <f t="shared" si="7"/>
        <v>68</v>
      </c>
      <c r="B106" s="71" t="s">
        <v>1683</v>
      </c>
      <c r="C106" s="78" t="s">
        <v>1672</v>
      </c>
      <c r="D106" s="130">
        <v>0</v>
      </c>
      <c r="E106" s="363" t="s">
        <v>733</v>
      </c>
      <c r="F106" s="376" t="s">
        <v>2109</v>
      </c>
    </row>
    <row r="107" spans="1:6" ht="18.95" customHeight="1">
      <c r="A107" s="70">
        <f t="shared" si="7"/>
        <v>69</v>
      </c>
      <c r="B107" s="71" t="s">
        <v>1684</v>
      </c>
      <c r="C107" s="78" t="s">
        <v>1674</v>
      </c>
      <c r="D107" s="130">
        <v>0</v>
      </c>
      <c r="E107" s="363" t="s">
        <v>733</v>
      </c>
      <c r="F107" s="376" t="s">
        <v>2109</v>
      </c>
    </row>
    <row r="108" spans="1:6" ht="18.95" customHeight="1">
      <c r="A108" s="70">
        <f t="shared" si="7"/>
        <v>70</v>
      </c>
      <c r="B108" s="71" t="s">
        <v>1685</v>
      </c>
      <c r="C108" s="78" t="s">
        <v>1686</v>
      </c>
      <c r="D108" s="130">
        <v>0</v>
      </c>
      <c r="E108" s="363" t="s">
        <v>733</v>
      </c>
      <c r="F108" s="376" t="s">
        <v>2109</v>
      </c>
    </row>
    <row r="109" spans="1:6" ht="18.95" customHeight="1">
      <c r="A109" s="70">
        <f t="shared" si="7"/>
        <v>71</v>
      </c>
      <c r="B109" s="71" t="s">
        <v>1687</v>
      </c>
      <c r="C109" s="78" t="s">
        <v>1688</v>
      </c>
      <c r="D109" s="130">
        <v>0</v>
      </c>
      <c r="E109" s="363" t="s">
        <v>733</v>
      </c>
      <c r="F109" s="376" t="s">
        <v>2109</v>
      </c>
    </row>
    <row r="110" spans="1:6" ht="18.95" customHeight="1">
      <c r="A110" s="70">
        <f>A109+1</f>
        <v>72</v>
      </c>
      <c r="B110" s="71" t="s">
        <v>1689</v>
      </c>
      <c r="C110" s="78" t="s">
        <v>1690</v>
      </c>
      <c r="D110" s="130">
        <v>0</v>
      </c>
      <c r="E110" s="363" t="s">
        <v>733</v>
      </c>
      <c r="F110" s="376" t="s">
        <v>2109</v>
      </c>
    </row>
    <row r="111" spans="1:6" ht="18.95" customHeight="1">
      <c r="A111" s="70">
        <f t="shared" si="7"/>
        <v>73</v>
      </c>
      <c r="B111" s="71" t="s">
        <v>1691</v>
      </c>
      <c r="C111" s="78" t="s">
        <v>1692</v>
      </c>
      <c r="D111" s="130">
        <v>0</v>
      </c>
      <c r="E111" s="363" t="s">
        <v>733</v>
      </c>
      <c r="F111" s="376" t="s">
        <v>2109</v>
      </c>
    </row>
    <row r="112" spans="1:6" ht="18.95" customHeight="1">
      <c r="A112" s="70">
        <f t="shared" si="7"/>
        <v>74</v>
      </c>
      <c r="B112" s="71" t="s">
        <v>1693</v>
      </c>
      <c r="C112" s="78" t="s">
        <v>1694</v>
      </c>
      <c r="D112" s="130">
        <v>0</v>
      </c>
      <c r="E112" s="363" t="s">
        <v>733</v>
      </c>
      <c r="F112" s="376" t="s">
        <v>2109</v>
      </c>
    </row>
    <row r="113" spans="1:6" ht="18.95" customHeight="1">
      <c r="A113" s="70"/>
      <c r="B113" s="71"/>
      <c r="C113" s="78"/>
      <c r="D113" s="130"/>
    </row>
    <row r="114" spans="1:6" ht="18.95" customHeight="1">
      <c r="A114" s="70">
        <f>A112+1</f>
        <v>75</v>
      </c>
      <c r="C114" s="387" t="s">
        <v>2111</v>
      </c>
      <c r="D114" s="130"/>
    </row>
    <row r="115" spans="1:6" ht="18.95" customHeight="1">
      <c r="A115" s="70">
        <f>A114+1</f>
        <v>76</v>
      </c>
      <c r="B115" s="71" t="s">
        <v>1676</v>
      </c>
      <c r="C115" s="78" t="s">
        <v>154</v>
      </c>
      <c r="D115" s="130">
        <v>0</v>
      </c>
      <c r="E115" s="363" t="s">
        <v>733</v>
      </c>
      <c r="F115" s="376" t="s">
        <v>2114</v>
      </c>
    </row>
    <row r="116" spans="1:6" ht="18.95" customHeight="1">
      <c r="A116" s="70">
        <f t="shared" ref="A116:A136" si="8">A115+1</f>
        <v>77</v>
      </c>
      <c r="B116" s="71" t="s">
        <v>1677</v>
      </c>
      <c r="C116" s="78" t="s">
        <v>148</v>
      </c>
      <c r="D116" s="130">
        <v>0</v>
      </c>
      <c r="E116" s="363" t="s">
        <v>733</v>
      </c>
      <c r="F116" s="376" t="s">
        <v>2114</v>
      </c>
    </row>
    <row r="117" spans="1:6" ht="18.95" customHeight="1">
      <c r="A117" s="70">
        <f t="shared" si="8"/>
        <v>78</v>
      </c>
      <c r="B117" s="71" t="s">
        <v>1678</v>
      </c>
      <c r="C117" s="78" t="s">
        <v>1679</v>
      </c>
      <c r="D117" s="130">
        <v>0</v>
      </c>
      <c r="E117" s="363" t="s">
        <v>733</v>
      </c>
      <c r="F117" s="376" t="s">
        <v>2114</v>
      </c>
    </row>
    <row r="118" spans="1:6" ht="18.95" customHeight="1">
      <c r="A118" s="70">
        <f t="shared" si="8"/>
        <v>79</v>
      </c>
      <c r="B118" s="71" t="s">
        <v>1680</v>
      </c>
      <c r="C118" s="78" t="s">
        <v>1681</v>
      </c>
      <c r="D118" s="130">
        <v>0</v>
      </c>
      <c r="E118" s="363" t="s">
        <v>733</v>
      </c>
      <c r="F118" s="376" t="s">
        <v>2114</v>
      </c>
    </row>
    <row r="119" spans="1:6" ht="18.95" customHeight="1">
      <c r="A119" s="70">
        <f t="shared" si="8"/>
        <v>80</v>
      </c>
      <c r="B119" s="71" t="s">
        <v>1682</v>
      </c>
      <c r="C119" s="78" t="s">
        <v>1670</v>
      </c>
      <c r="D119" s="130">
        <v>0</v>
      </c>
      <c r="E119" s="363" t="s">
        <v>733</v>
      </c>
      <c r="F119" s="376" t="s">
        <v>2114</v>
      </c>
    </row>
    <row r="120" spans="1:6" ht="18.95" customHeight="1">
      <c r="A120" s="70">
        <f t="shared" si="8"/>
        <v>81</v>
      </c>
      <c r="B120" s="71" t="s">
        <v>1683</v>
      </c>
      <c r="C120" s="78" t="s">
        <v>1672</v>
      </c>
      <c r="D120" s="130">
        <v>0</v>
      </c>
      <c r="E120" s="363" t="s">
        <v>733</v>
      </c>
      <c r="F120" s="376" t="s">
        <v>2114</v>
      </c>
    </row>
    <row r="121" spans="1:6" ht="18.95" customHeight="1">
      <c r="A121" s="70">
        <f t="shared" si="8"/>
        <v>82</v>
      </c>
      <c r="B121" s="71" t="s">
        <v>1684</v>
      </c>
      <c r="C121" s="78" t="s">
        <v>1674</v>
      </c>
      <c r="D121" s="130">
        <v>0</v>
      </c>
      <c r="E121" s="363" t="s">
        <v>733</v>
      </c>
      <c r="F121" s="376" t="s">
        <v>2114</v>
      </c>
    </row>
    <row r="122" spans="1:6" s="68" customFormat="1" ht="20.100000000000001" customHeight="1">
      <c r="A122" s="769" t="str">
        <f>A$1</f>
        <v>KENTUCKY UTILITIES COMPANY</v>
      </c>
      <c r="B122" s="769"/>
      <c r="C122" s="769"/>
      <c r="D122" s="769"/>
      <c r="E122" s="769"/>
      <c r="F122" s="769"/>
    </row>
    <row r="123" spans="1:6" s="68" customFormat="1" ht="20.100000000000001" customHeight="1">
      <c r="A123" s="769" t="str">
        <f>A$2</f>
        <v>CASE NO. 2018-00294 - RESPONSE TO PSC 2-65 (SLIPPAGE FACTOR 96.027%)</v>
      </c>
      <c r="B123" s="769"/>
      <c r="C123" s="769"/>
      <c r="D123" s="769"/>
      <c r="E123" s="769"/>
      <c r="F123" s="769"/>
    </row>
    <row r="124" spans="1:6" s="68" customFormat="1" ht="20.100000000000001" customHeight="1">
      <c r="A124" s="769" t="s">
        <v>1455</v>
      </c>
      <c r="B124" s="769"/>
      <c r="C124" s="769"/>
      <c r="D124" s="769"/>
      <c r="E124" s="769"/>
      <c r="F124" s="769"/>
    </row>
    <row r="125" spans="1:6" s="68" customFormat="1" ht="20.100000000000001" customHeight="1">
      <c r="A125" s="768" t="str">
        <f>A$4</f>
        <v>BASE YEAR FOR THE 12 MONTHS ENDED DECEMBER 31, 2018</v>
      </c>
      <c r="B125" s="769"/>
      <c r="C125" s="769"/>
      <c r="D125" s="769"/>
      <c r="E125" s="769"/>
      <c r="F125" s="769"/>
    </row>
    <row r="126" spans="1:6" s="68" customFormat="1" ht="20.100000000000001" customHeight="1">
      <c r="A126" s="379"/>
      <c r="B126" s="379"/>
      <c r="C126" s="379"/>
      <c r="D126" s="379"/>
      <c r="E126" s="379"/>
      <c r="F126" s="379"/>
    </row>
    <row r="127" spans="1:6" s="68" customFormat="1" ht="20.100000000000001" customHeight="1">
      <c r="A127" s="67" t="str">
        <f>A$6</f>
        <v>DATA:__X__BASE  PERIOD____FORECASTED  PERIOD</v>
      </c>
      <c r="B127" s="67"/>
      <c r="E127" s="380"/>
      <c r="F127" s="74" t="s">
        <v>1454</v>
      </c>
    </row>
    <row r="128" spans="1:6" s="68" customFormat="1" ht="20.100000000000001" customHeight="1">
      <c r="A128" s="67" t="str">
        <f>A$7</f>
        <v>TYPE OF FILING: __X__ ORIGINAL  _____ UPDATED  _____ REVISED</v>
      </c>
      <c r="E128" s="380"/>
      <c r="F128" s="74" t="s">
        <v>2174</v>
      </c>
    </row>
    <row r="129" spans="1:6" s="68" customFormat="1" ht="20.100000000000001" customHeight="1">
      <c r="A129" s="67" t="str">
        <f>A$8</f>
        <v xml:space="preserve">WORKPAPER REFERENCE NO(S).: </v>
      </c>
      <c r="B129" s="67"/>
      <c r="E129" s="380"/>
      <c r="F129" s="75" t="str">
        <f>F$8</f>
        <v>WITNESS:   C. M. GARRETT</v>
      </c>
    </row>
    <row r="130" spans="1:6" s="68" customFormat="1" ht="20.100000000000001" customHeight="1">
      <c r="E130" s="380"/>
    </row>
    <row r="131" spans="1:6" ht="58.5" customHeight="1">
      <c r="A131" s="76" t="s">
        <v>131</v>
      </c>
      <c r="B131" s="76" t="s">
        <v>134</v>
      </c>
      <c r="C131" s="79" t="s">
        <v>2101</v>
      </c>
      <c r="D131" s="76" t="s">
        <v>224</v>
      </c>
      <c r="E131" s="76" t="s">
        <v>2103</v>
      </c>
      <c r="F131" s="76" t="s">
        <v>1453</v>
      </c>
    </row>
    <row r="132" spans="1:6" ht="23.1" customHeight="1">
      <c r="A132" s="80"/>
      <c r="B132" s="80"/>
      <c r="C132" s="81"/>
      <c r="D132" s="82"/>
      <c r="E132" s="82"/>
      <c r="F132" s="82"/>
    </row>
    <row r="133" spans="1:6" ht="18.95" customHeight="1">
      <c r="A133" s="70">
        <f>A121+1</f>
        <v>83</v>
      </c>
      <c r="B133" s="71" t="s">
        <v>1685</v>
      </c>
      <c r="C133" s="78" t="s">
        <v>1686</v>
      </c>
      <c r="D133" s="130">
        <v>0</v>
      </c>
      <c r="E133" s="363" t="s">
        <v>733</v>
      </c>
      <c r="F133" s="376" t="s">
        <v>2114</v>
      </c>
    </row>
    <row r="134" spans="1:6" ht="18.95" customHeight="1">
      <c r="A134" s="70">
        <f t="shared" si="8"/>
        <v>84</v>
      </c>
      <c r="B134" s="71" t="s">
        <v>1687</v>
      </c>
      <c r="C134" s="78" t="s">
        <v>1688</v>
      </c>
      <c r="D134" s="130">
        <v>0</v>
      </c>
      <c r="E134" s="363" t="s">
        <v>733</v>
      </c>
      <c r="F134" s="376" t="s">
        <v>2114</v>
      </c>
    </row>
    <row r="135" spans="1:6" ht="18.95" customHeight="1">
      <c r="A135" s="70">
        <f>A134+1</f>
        <v>85</v>
      </c>
      <c r="B135" s="71" t="s">
        <v>1689</v>
      </c>
      <c r="C135" s="78" t="s">
        <v>1690</v>
      </c>
      <c r="D135" s="130">
        <v>0</v>
      </c>
      <c r="E135" s="363" t="s">
        <v>733</v>
      </c>
      <c r="F135" s="376" t="s">
        <v>2114</v>
      </c>
    </row>
    <row r="136" spans="1:6" ht="18.95" customHeight="1">
      <c r="A136" s="70">
        <f t="shared" si="8"/>
        <v>86</v>
      </c>
      <c r="B136" s="71" t="s">
        <v>1691</v>
      </c>
      <c r="C136" s="78" t="s">
        <v>1692</v>
      </c>
      <c r="D136" s="130">
        <v>0</v>
      </c>
      <c r="E136" s="363" t="s">
        <v>733</v>
      </c>
      <c r="F136" s="376" t="s">
        <v>2114</v>
      </c>
    </row>
    <row r="137" spans="1:6" ht="18.95" customHeight="1">
      <c r="A137" s="70"/>
      <c r="B137" s="71"/>
      <c r="C137" s="78"/>
      <c r="D137" s="130"/>
      <c r="E137" s="363"/>
    </row>
    <row r="138" spans="1:6" ht="18.95" customHeight="1">
      <c r="A138" s="70">
        <f>A136+1</f>
        <v>87</v>
      </c>
      <c r="C138" s="386" t="s">
        <v>32</v>
      </c>
      <c r="D138" s="130"/>
      <c r="E138" s="363"/>
    </row>
    <row r="139" spans="1:6" ht="18.95" customHeight="1">
      <c r="A139" s="70">
        <f t="shared" ref="A139:A147" si="9">A138+1</f>
        <v>88</v>
      </c>
      <c r="B139" s="71" t="s">
        <v>1697</v>
      </c>
      <c r="C139" s="78" t="s">
        <v>154</v>
      </c>
      <c r="D139" s="130">
        <f>'JURISSEP B'!G213/'JURISSEP B'!E213</f>
        <v>0.90502527949833711</v>
      </c>
      <c r="E139" s="363" t="s">
        <v>419</v>
      </c>
      <c r="F139" s="376" t="s">
        <v>2117</v>
      </c>
    </row>
    <row r="140" spans="1:6" ht="18.95" customHeight="1">
      <c r="A140" s="70">
        <f t="shared" si="9"/>
        <v>89</v>
      </c>
      <c r="B140" s="71" t="s">
        <v>1698</v>
      </c>
      <c r="C140" s="78" t="s">
        <v>148</v>
      </c>
      <c r="D140" s="130">
        <f>'JURISSEP B'!G214/'JURISSEP B'!E214</f>
        <v>0.90502527949833711</v>
      </c>
      <c r="E140" s="363" t="s">
        <v>419</v>
      </c>
      <c r="F140" s="376" t="s">
        <v>2117</v>
      </c>
    </row>
    <row r="141" spans="1:6" ht="18.95" customHeight="1">
      <c r="A141" s="70">
        <f t="shared" si="9"/>
        <v>90</v>
      </c>
      <c r="B141" s="71" t="s">
        <v>1699</v>
      </c>
      <c r="C141" s="78" t="s">
        <v>156</v>
      </c>
      <c r="D141" s="130">
        <f>'JURISSEP B'!G215/'JURISSEP B'!E215</f>
        <v>0.90502527949833711</v>
      </c>
      <c r="E141" s="363" t="s">
        <v>419</v>
      </c>
      <c r="F141" s="376" t="s">
        <v>2117</v>
      </c>
    </row>
    <row r="142" spans="1:6" ht="18.95" customHeight="1">
      <c r="A142" s="70">
        <f t="shared" si="9"/>
        <v>91</v>
      </c>
      <c r="B142" s="71" t="s">
        <v>1700</v>
      </c>
      <c r="C142" s="78" t="s">
        <v>155</v>
      </c>
      <c r="D142" s="130">
        <f>'JURISSEP B'!G216/'JURISSEP B'!E216</f>
        <v>0.90502527949833711</v>
      </c>
      <c r="E142" s="363" t="s">
        <v>419</v>
      </c>
      <c r="F142" s="376" t="s">
        <v>2117</v>
      </c>
    </row>
    <row r="143" spans="1:6" ht="18.95" customHeight="1">
      <c r="A143" s="70">
        <f t="shared" si="9"/>
        <v>92</v>
      </c>
      <c r="B143" s="71" t="s">
        <v>1701</v>
      </c>
      <c r="C143" s="78" t="s">
        <v>1702</v>
      </c>
      <c r="D143" s="130">
        <f>'JURISSEP B'!G217/'JURISSEP B'!E217</f>
        <v>0.90502527949833722</v>
      </c>
      <c r="E143" s="363" t="s">
        <v>419</v>
      </c>
      <c r="F143" s="376" t="s">
        <v>2117</v>
      </c>
    </row>
    <row r="144" spans="1:6" ht="18.95" customHeight="1">
      <c r="A144" s="70">
        <f t="shared" si="9"/>
        <v>93</v>
      </c>
      <c r="B144" s="71" t="s">
        <v>1703</v>
      </c>
      <c r="C144" s="78" t="s">
        <v>1704</v>
      </c>
      <c r="D144" s="130">
        <f>'JURISSEP B'!G218/'JURISSEP B'!E218</f>
        <v>0.90502527949833722</v>
      </c>
      <c r="E144" s="363" t="s">
        <v>419</v>
      </c>
      <c r="F144" s="376" t="s">
        <v>2117</v>
      </c>
    </row>
    <row r="145" spans="1:6" ht="18.95" customHeight="1">
      <c r="A145" s="70">
        <f t="shared" si="9"/>
        <v>94</v>
      </c>
      <c r="B145" s="71" t="s">
        <v>1705</v>
      </c>
      <c r="C145" s="78" t="s">
        <v>1706</v>
      </c>
      <c r="D145" s="130">
        <f>D139</f>
        <v>0.90502527949833711</v>
      </c>
      <c r="E145" s="363" t="s">
        <v>419</v>
      </c>
      <c r="F145" s="376" t="s">
        <v>2117</v>
      </c>
    </row>
    <row r="146" spans="1:6" ht="18.95" customHeight="1">
      <c r="A146" s="70">
        <f>A145+1</f>
        <v>95</v>
      </c>
      <c r="B146" s="71" t="s">
        <v>1707</v>
      </c>
      <c r="C146" s="78" t="s">
        <v>1708</v>
      </c>
      <c r="D146" s="130">
        <f>'JURISSEP B'!G220/'JURISSEP B'!E220</f>
        <v>0.90502527949833711</v>
      </c>
      <c r="E146" s="363" t="s">
        <v>419</v>
      </c>
      <c r="F146" s="376" t="s">
        <v>2117</v>
      </c>
    </row>
    <row r="147" spans="1:6" ht="18.95" customHeight="1">
      <c r="A147" s="70">
        <f t="shared" si="9"/>
        <v>96</v>
      </c>
      <c r="B147" s="71" t="s">
        <v>1709</v>
      </c>
      <c r="C147" s="78" t="s">
        <v>157</v>
      </c>
      <c r="D147" s="130">
        <f>'JURISSEP B'!G224/'JURISSEP B'!E224</f>
        <v>0.91622141514107258</v>
      </c>
      <c r="E147" s="363" t="s">
        <v>2118</v>
      </c>
      <c r="F147" s="376" t="s">
        <v>2119</v>
      </c>
    </row>
    <row r="148" spans="1:6" ht="18.95" customHeight="1">
      <c r="A148" s="70">
        <f>A147+1</f>
        <v>97</v>
      </c>
      <c r="B148" s="71" t="s">
        <v>1710</v>
      </c>
      <c r="C148" s="78" t="s">
        <v>1711</v>
      </c>
      <c r="D148" s="130">
        <f>D139</f>
        <v>0.90502527949833711</v>
      </c>
      <c r="E148" s="363" t="s">
        <v>419</v>
      </c>
      <c r="F148" s="376" t="s">
        <v>2117</v>
      </c>
    </row>
    <row r="149" spans="1:6" ht="18.95" customHeight="1">
      <c r="A149" s="70"/>
      <c r="B149" s="71"/>
      <c r="C149" s="78"/>
      <c r="D149" s="130"/>
      <c r="E149" s="363"/>
      <c r="F149" s="376"/>
    </row>
    <row r="150" spans="1:6" ht="18.95" customHeight="1">
      <c r="A150" s="70">
        <f>A148+1</f>
        <v>98</v>
      </c>
      <c r="B150" s="71"/>
      <c r="C150" s="381" t="s">
        <v>1200</v>
      </c>
      <c r="D150" s="130"/>
      <c r="E150" s="363"/>
      <c r="F150" s="376"/>
    </row>
    <row r="151" spans="1:6" ht="18.95" customHeight="1">
      <c r="A151" s="70">
        <f>A150+1</f>
        <v>99</v>
      </c>
      <c r="B151" s="71">
        <v>302</v>
      </c>
      <c r="C151" s="78" t="s">
        <v>1623</v>
      </c>
      <c r="D151" s="130">
        <f>'JURISSEP B'!G275/'JURISSEP B'!E275</f>
        <v>1</v>
      </c>
      <c r="E151" s="363" t="s">
        <v>470</v>
      </c>
      <c r="F151" s="376" t="s">
        <v>2120</v>
      </c>
    </row>
    <row r="152" spans="1:6" ht="18.95" customHeight="1">
      <c r="A152" s="70">
        <f t="shared" ref="A152" si="10">A151+1</f>
        <v>100</v>
      </c>
      <c r="B152" s="71">
        <v>303</v>
      </c>
      <c r="C152" s="78" t="s">
        <v>1625</v>
      </c>
      <c r="D152" s="130">
        <f>'JURISSEP B'!G276/'JURISSEP B'!E276</f>
        <v>0.89018565112547321</v>
      </c>
      <c r="E152" s="363" t="s">
        <v>472</v>
      </c>
      <c r="F152" s="376" t="s">
        <v>2121</v>
      </c>
    </row>
    <row r="153" spans="1:6" ht="18.95" customHeight="1">
      <c r="A153" s="70">
        <f>A152+1</f>
        <v>101</v>
      </c>
      <c r="B153" s="384" t="s">
        <v>2127</v>
      </c>
      <c r="C153" s="388" t="s">
        <v>72</v>
      </c>
      <c r="D153" s="130">
        <f>'JURISSEP B'!G$1249</f>
        <v>0.87673530496058727</v>
      </c>
      <c r="E153" s="363" t="s">
        <v>444</v>
      </c>
      <c r="F153" s="376" t="s">
        <v>2128</v>
      </c>
    </row>
    <row r="154" spans="1:6" ht="18.95" customHeight="1">
      <c r="A154" s="70">
        <f>A153+1</f>
        <v>102</v>
      </c>
      <c r="B154" s="384" t="s">
        <v>2130</v>
      </c>
      <c r="C154" s="388" t="s">
        <v>47</v>
      </c>
      <c r="D154" s="130">
        <f>'JURISSEP B'!G1250</f>
        <v>0.87673530496058716</v>
      </c>
      <c r="E154" s="363" t="s">
        <v>449</v>
      </c>
      <c r="F154" s="376" t="s">
        <v>2131</v>
      </c>
    </row>
    <row r="155" spans="1:6" ht="18.95" customHeight="1">
      <c r="A155" s="70">
        <f>A154+1</f>
        <v>103</v>
      </c>
      <c r="B155" s="384" t="s">
        <v>2133</v>
      </c>
      <c r="C155" s="388" t="s">
        <v>61</v>
      </c>
      <c r="D155" s="130">
        <f>'JURISSEP B'!G1251</f>
        <v>0.87673530496058716</v>
      </c>
      <c r="E155" s="363" t="s">
        <v>452</v>
      </c>
      <c r="F155" s="376" t="s">
        <v>2132</v>
      </c>
    </row>
    <row r="156" spans="1:6" ht="18.95" customHeight="1">
      <c r="A156" s="70">
        <f t="shared" ref="A156:A159" si="11">A155+1</f>
        <v>104</v>
      </c>
      <c r="B156" s="384" t="s">
        <v>2136</v>
      </c>
      <c r="C156" s="388" t="s">
        <v>2134</v>
      </c>
      <c r="D156" s="130">
        <f>'JURISSEP B'!G1252</f>
        <v>0.95220182510103646</v>
      </c>
      <c r="E156" s="363" t="s">
        <v>1006</v>
      </c>
      <c r="F156" s="376" t="s">
        <v>2138</v>
      </c>
    </row>
    <row r="157" spans="1:6" ht="18.95" customHeight="1">
      <c r="A157" s="70">
        <f t="shared" si="11"/>
        <v>105</v>
      </c>
      <c r="B157" s="384" t="s">
        <v>2137</v>
      </c>
      <c r="C157" s="388" t="s">
        <v>2135</v>
      </c>
      <c r="D157" s="130">
        <f>'JURISSEP B'!G1272</f>
        <v>0.12278103043301647</v>
      </c>
      <c r="E157" s="363" t="s">
        <v>459</v>
      </c>
      <c r="F157" s="376" t="s">
        <v>2156</v>
      </c>
    </row>
    <row r="158" spans="1:6" ht="18.95" customHeight="1">
      <c r="A158" s="70">
        <f t="shared" si="11"/>
        <v>106</v>
      </c>
      <c r="B158" s="384" t="s">
        <v>2142</v>
      </c>
      <c r="C158" s="388" t="s">
        <v>2140</v>
      </c>
      <c r="D158" s="130">
        <f>'JURISSEP B'!G270/'JURISSEP B'!E270</f>
        <v>0.99785930021039748</v>
      </c>
      <c r="E158" s="363" t="s">
        <v>2143</v>
      </c>
      <c r="F158" s="376" t="s">
        <v>2144</v>
      </c>
    </row>
    <row r="159" spans="1:6" ht="18.95" customHeight="1">
      <c r="A159" s="70">
        <f t="shared" si="11"/>
        <v>107</v>
      </c>
      <c r="B159" s="384" t="s">
        <v>2141</v>
      </c>
      <c r="C159" s="388" t="s">
        <v>2139</v>
      </c>
      <c r="D159" s="130">
        <v>0</v>
      </c>
      <c r="E159" s="363" t="s">
        <v>464</v>
      </c>
      <c r="F159" s="376" t="s">
        <v>2145</v>
      </c>
    </row>
    <row r="160" spans="1:6" ht="18.95" customHeight="1">
      <c r="A160" s="70">
        <f>A159+1</f>
        <v>108</v>
      </c>
      <c r="B160" s="384" t="s">
        <v>2146</v>
      </c>
      <c r="C160" s="388" t="s">
        <v>2147</v>
      </c>
      <c r="D160" s="130">
        <f>'JURISSEP B'!G273/'JURISSEP B'!E273</f>
        <v>0.90848118081575679</v>
      </c>
      <c r="E160" s="363" t="s">
        <v>468</v>
      </c>
      <c r="F160" s="376" t="s">
        <v>2148</v>
      </c>
    </row>
    <row r="161" spans="1:6" ht="18.95" customHeight="1">
      <c r="A161" s="70">
        <f>A160+1</f>
        <v>109</v>
      </c>
      <c r="B161" s="384" t="s">
        <v>2129</v>
      </c>
      <c r="C161" s="78" t="s">
        <v>2102</v>
      </c>
      <c r="D161" s="130">
        <v>0</v>
      </c>
      <c r="E161" s="363" t="s">
        <v>312</v>
      </c>
      <c r="F161" s="694" t="s">
        <v>2105</v>
      </c>
    </row>
    <row r="162" spans="1:6" ht="18.95" customHeight="1">
      <c r="A162" s="70"/>
      <c r="B162" s="384"/>
      <c r="C162" s="388"/>
      <c r="D162" s="130"/>
      <c r="E162" s="363"/>
      <c r="F162" s="376"/>
    </row>
    <row r="163" spans="1:6" ht="18.95" customHeight="1">
      <c r="A163" s="70">
        <f>A161+1</f>
        <v>110</v>
      </c>
      <c r="B163" s="384"/>
      <c r="C163" s="381" t="s">
        <v>476</v>
      </c>
      <c r="D163" s="130"/>
      <c r="E163" s="363"/>
      <c r="F163" s="376"/>
    </row>
    <row r="164" spans="1:6" ht="18.95" customHeight="1">
      <c r="A164" s="70">
        <f>A163+1</f>
        <v>111</v>
      </c>
      <c r="B164" s="384" t="s">
        <v>2153</v>
      </c>
      <c r="C164" s="78" t="s">
        <v>2149</v>
      </c>
      <c r="D164" s="130">
        <f>'JURISSEP B'!G1260</f>
        <v>0.87673530496058716</v>
      </c>
      <c r="E164" s="363" t="s">
        <v>478</v>
      </c>
      <c r="F164" s="376" t="s">
        <v>2151</v>
      </c>
    </row>
    <row r="165" spans="1:6" ht="18.95" customHeight="1">
      <c r="A165" s="70">
        <f t="shared" ref="A165:A170" si="12">A164+1</f>
        <v>112</v>
      </c>
      <c r="B165" s="384" t="s">
        <v>2136</v>
      </c>
      <c r="C165" s="388" t="s">
        <v>2134</v>
      </c>
      <c r="D165" s="130">
        <f>'JURISSEP B'!G$1344</f>
        <v>0.95534054258746137</v>
      </c>
      <c r="E165" s="363" t="s">
        <v>1006</v>
      </c>
      <c r="F165" s="376" t="s">
        <v>2138</v>
      </c>
    </row>
    <row r="166" spans="1:6" ht="18.95" customHeight="1">
      <c r="A166" s="70">
        <f t="shared" si="12"/>
        <v>113</v>
      </c>
      <c r="B166" s="384" t="s">
        <v>2137</v>
      </c>
      <c r="C166" s="388" t="s">
        <v>2135</v>
      </c>
      <c r="D166" s="130">
        <v>0</v>
      </c>
      <c r="E166" s="363" t="s">
        <v>484</v>
      </c>
      <c r="F166" s="376" t="s">
        <v>2155</v>
      </c>
    </row>
    <row r="167" spans="1:6" ht="18.95" customHeight="1">
      <c r="A167" s="70">
        <f t="shared" si="12"/>
        <v>114</v>
      </c>
      <c r="B167" s="384" t="s">
        <v>2142</v>
      </c>
      <c r="C167" s="388" t="s">
        <v>2140</v>
      </c>
      <c r="D167" s="130">
        <f>'JURISSEP B'!G1275</f>
        <v>1</v>
      </c>
      <c r="E167" s="363" t="s">
        <v>489</v>
      </c>
      <c r="F167" s="376" t="s">
        <v>2154</v>
      </c>
    </row>
    <row r="168" spans="1:6" ht="18.95" customHeight="1">
      <c r="A168" s="70">
        <f t="shared" si="12"/>
        <v>115</v>
      </c>
      <c r="B168" s="384" t="s">
        <v>2141</v>
      </c>
      <c r="C168" s="388" t="s">
        <v>2139</v>
      </c>
      <c r="D168" s="130">
        <v>0</v>
      </c>
      <c r="E168" s="363" t="s">
        <v>487</v>
      </c>
      <c r="F168" s="376" t="s">
        <v>2152</v>
      </c>
    </row>
    <row r="169" spans="1:6" ht="18.95" customHeight="1">
      <c r="A169" s="70">
        <f t="shared" si="12"/>
        <v>116</v>
      </c>
      <c r="B169" s="384" t="s">
        <v>2146</v>
      </c>
      <c r="C169" s="388" t="s">
        <v>2147</v>
      </c>
      <c r="D169" s="130">
        <f>'JURISSEP B'!G1257</f>
        <v>0.90848118081575679</v>
      </c>
      <c r="E169" s="363" t="s">
        <v>468</v>
      </c>
      <c r="F169" s="376" t="s">
        <v>2148</v>
      </c>
    </row>
    <row r="170" spans="1:6" ht="18.95" customHeight="1">
      <c r="A170" s="70">
        <f t="shared" si="12"/>
        <v>117</v>
      </c>
      <c r="B170" s="71" t="s">
        <v>2129</v>
      </c>
      <c r="C170" s="78" t="s">
        <v>2102</v>
      </c>
      <c r="D170" s="130">
        <v>0</v>
      </c>
      <c r="E170" s="363" t="s">
        <v>312</v>
      </c>
      <c r="F170" s="694" t="s">
        <v>2105</v>
      </c>
    </row>
    <row r="171" spans="1:6" ht="18.95" customHeight="1">
      <c r="A171" s="70"/>
      <c r="B171" s="71"/>
      <c r="C171" s="78"/>
      <c r="D171" s="130"/>
      <c r="E171" s="363"/>
      <c r="F171" s="376"/>
    </row>
    <row r="172" spans="1:6" ht="18.95" customHeight="1">
      <c r="A172" s="70">
        <f>A170+1</f>
        <v>118</v>
      </c>
      <c r="B172" s="71"/>
      <c r="C172" s="381" t="s">
        <v>492</v>
      </c>
      <c r="D172" s="130"/>
      <c r="E172" s="363"/>
      <c r="F172" s="376"/>
    </row>
    <row r="173" spans="1:6" ht="18.95" customHeight="1">
      <c r="A173" s="70">
        <f>A172+1</f>
        <v>119</v>
      </c>
      <c r="B173" s="71">
        <v>151</v>
      </c>
      <c r="C173" s="78" t="s">
        <v>2157</v>
      </c>
      <c r="D173" s="130">
        <f>'JURISSEP B'!G1210</f>
        <v>0.88026422050572484</v>
      </c>
      <c r="E173" s="363" t="s">
        <v>495</v>
      </c>
      <c r="F173" s="376" t="s">
        <v>2158</v>
      </c>
    </row>
    <row r="174" spans="1:6" ht="18.95" customHeight="1">
      <c r="A174" s="70">
        <f t="shared" ref="A174:A177" si="13">A173+1</f>
        <v>120</v>
      </c>
      <c r="B174" s="71">
        <v>154</v>
      </c>
      <c r="C174" s="78" t="s">
        <v>2159</v>
      </c>
      <c r="D174" s="130">
        <f>'JURISSEP B'!G$1264</f>
        <v>0.88826203624083977</v>
      </c>
      <c r="E174" s="363" t="s">
        <v>2160</v>
      </c>
      <c r="F174" s="376" t="s">
        <v>2161</v>
      </c>
    </row>
    <row r="175" spans="1:6" ht="18.95" customHeight="1">
      <c r="A175" s="70">
        <f t="shared" si="13"/>
        <v>121</v>
      </c>
      <c r="B175" s="71">
        <v>158</v>
      </c>
      <c r="C175" s="78" t="s">
        <v>2162</v>
      </c>
      <c r="D175" s="130">
        <f t="shared" ref="D175" si="14">D$19</f>
        <v>0.87673530496058716</v>
      </c>
      <c r="E175" s="363" t="s">
        <v>304</v>
      </c>
      <c r="F175" s="376" t="s">
        <v>2107</v>
      </c>
    </row>
    <row r="176" spans="1:6" ht="18.95" customHeight="1">
      <c r="A176" s="70">
        <f t="shared" si="13"/>
        <v>122</v>
      </c>
      <c r="B176" s="71">
        <v>163</v>
      </c>
      <c r="C176" s="78" t="s">
        <v>2163</v>
      </c>
      <c r="D176" s="130">
        <f>'JURISSEP B'!G$1264</f>
        <v>0.88826203624083977</v>
      </c>
      <c r="E176" s="363" t="s">
        <v>2164</v>
      </c>
      <c r="F176" s="376" t="s">
        <v>2165</v>
      </c>
    </row>
    <row r="177" spans="1:6" ht="18.95" customHeight="1">
      <c r="A177" s="70">
        <f t="shared" si="13"/>
        <v>123</v>
      </c>
      <c r="B177" s="71">
        <v>165</v>
      </c>
      <c r="C177" s="78" t="s">
        <v>1521</v>
      </c>
      <c r="D177" s="130">
        <f>'JURISSEP B'!G1265</f>
        <v>0.89636376987090383</v>
      </c>
      <c r="E177" s="363" t="s">
        <v>2166</v>
      </c>
      <c r="F177" s="376" t="s">
        <v>2167</v>
      </c>
    </row>
    <row r="178" spans="1:6" ht="18.95" customHeight="1">
      <c r="A178" s="70"/>
      <c r="B178" s="71"/>
      <c r="C178" s="78"/>
      <c r="D178" s="130"/>
      <c r="E178" s="363"/>
      <c r="F178" s="376"/>
    </row>
    <row r="179" spans="1:6" ht="36.75" customHeight="1">
      <c r="A179" s="70">
        <f>A177+1</f>
        <v>124</v>
      </c>
      <c r="B179" s="71"/>
      <c r="C179" s="381" t="s">
        <v>2268</v>
      </c>
      <c r="D179" s="130"/>
      <c r="E179" s="363"/>
      <c r="F179" s="376"/>
    </row>
    <row r="180" spans="1:6" ht="18.95" customHeight="1">
      <c r="A180" s="70">
        <f>A179+1</f>
        <v>125</v>
      </c>
      <c r="B180" s="70" t="s">
        <v>1452</v>
      </c>
      <c r="C180" s="78" t="s">
        <v>2149</v>
      </c>
      <c r="D180" s="130">
        <f>D164</f>
        <v>0.87673530496058716</v>
      </c>
      <c r="E180" s="363" t="s">
        <v>478</v>
      </c>
      <c r="F180" s="376" t="s">
        <v>2151</v>
      </c>
    </row>
    <row r="181" spans="1:6" ht="18.95" customHeight="1">
      <c r="A181" s="70">
        <f t="shared" ref="A181:A197" si="15">A180+1</f>
        <v>126</v>
      </c>
      <c r="B181" s="70" t="s">
        <v>1452</v>
      </c>
      <c r="C181" s="388" t="s">
        <v>2134</v>
      </c>
      <c r="D181" s="130">
        <f>D165</f>
        <v>0.95534054258746137</v>
      </c>
      <c r="E181" s="363" t="s">
        <v>1006</v>
      </c>
      <c r="F181" s="376" t="s">
        <v>2138</v>
      </c>
    </row>
    <row r="182" spans="1:6" ht="18.95" customHeight="1">
      <c r="A182" s="70">
        <f t="shared" si="15"/>
        <v>127</v>
      </c>
      <c r="B182" s="70" t="s">
        <v>1452</v>
      </c>
      <c r="C182" s="388" t="s">
        <v>2135</v>
      </c>
      <c r="D182" s="130">
        <v>0</v>
      </c>
      <c r="E182" s="363" t="s">
        <v>484</v>
      </c>
      <c r="F182" s="376" t="s">
        <v>2155</v>
      </c>
    </row>
    <row r="183" spans="1:6" s="68" customFormat="1" ht="20.100000000000001" customHeight="1">
      <c r="A183" s="769" t="str">
        <f>A$1</f>
        <v>KENTUCKY UTILITIES COMPANY</v>
      </c>
      <c r="B183" s="769"/>
      <c r="C183" s="769"/>
      <c r="D183" s="769"/>
      <c r="E183" s="769"/>
      <c r="F183" s="769"/>
    </row>
    <row r="184" spans="1:6" s="68" customFormat="1" ht="20.100000000000001" customHeight="1">
      <c r="A184" s="769" t="str">
        <f>A$2</f>
        <v>CASE NO. 2018-00294 - RESPONSE TO PSC 2-65 (SLIPPAGE FACTOR 96.027%)</v>
      </c>
      <c r="B184" s="769"/>
      <c r="C184" s="769"/>
      <c r="D184" s="769"/>
      <c r="E184" s="769"/>
      <c r="F184" s="769"/>
    </row>
    <row r="185" spans="1:6" s="68" customFormat="1" ht="20.100000000000001" customHeight="1">
      <c r="A185" s="769" t="s">
        <v>1455</v>
      </c>
      <c r="B185" s="769"/>
      <c r="C185" s="769"/>
      <c r="D185" s="769"/>
      <c r="E185" s="769"/>
      <c r="F185" s="769"/>
    </row>
    <row r="186" spans="1:6" s="68" customFormat="1" ht="20.100000000000001" customHeight="1">
      <c r="A186" s="768" t="str">
        <f>A$4</f>
        <v>BASE YEAR FOR THE 12 MONTHS ENDED DECEMBER 31, 2018</v>
      </c>
      <c r="B186" s="769"/>
      <c r="C186" s="769"/>
      <c r="D186" s="769"/>
      <c r="E186" s="769"/>
      <c r="F186" s="769"/>
    </row>
    <row r="187" spans="1:6" s="68" customFormat="1" ht="20.100000000000001" customHeight="1">
      <c r="A187" s="379"/>
      <c r="B187" s="379"/>
      <c r="C187" s="379"/>
      <c r="D187" s="379"/>
      <c r="E187" s="379"/>
      <c r="F187" s="379"/>
    </row>
    <row r="188" spans="1:6" s="68" customFormat="1" ht="20.100000000000001" customHeight="1">
      <c r="A188" s="67" t="str">
        <f>A$6</f>
        <v>DATA:__X__BASE  PERIOD____FORECASTED  PERIOD</v>
      </c>
      <c r="B188" s="67"/>
      <c r="E188" s="380"/>
      <c r="F188" s="74" t="s">
        <v>1454</v>
      </c>
    </row>
    <row r="189" spans="1:6" s="68" customFormat="1" ht="20.100000000000001" customHeight="1">
      <c r="A189" s="67" t="str">
        <f>A$7</f>
        <v>TYPE OF FILING: __X__ ORIGINAL  _____ UPDATED  _____ REVISED</v>
      </c>
      <c r="E189" s="380"/>
      <c r="F189" s="74" t="s">
        <v>2175</v>
      </c>
    </row>
    <row r="190" spans="1:6" s="68" customFormat="1" ht="20.100000000000001" customHeight="1">
      <c r="A190" s="67" t="str">
        <f>A$8</f>
        <v xml:space="preserve">WORKPAPER REFERENCE NO(S).: </v>
      </c>
      <c r="B190" s="67"/>
      <c r="E190" s="380"/>
      <c r="F190" s="75" t="str">
        <f>F$8</f>
        <v>WITNESS:   C. M. GARRETT</v>
      </c>
    </row>
    <row r="191" spans="1:6" s="68" customFormat="1" ht="20.100000000000001" customHeight="1">
      <c r="E191" s="380"/>
    </row>
    <row r="192" spans="1:6" ht="58.5" customHeight="1">
      <c r="A192" s="76" t="s">
        <v>131</v>
      </c>
      <c r="B192" s="76" t="s">
        <v>134</v>
      </c>
      <c r="C192" s="79" t="s">
        <v>2101</v>
      </c>
      <c r="D192" s="76" t="s">
        <v>224</v>
      </c>
      <c r="E192" s="76" t="s">
        <v>2103</v>
      </c>
      <c r="F192" s="76" t="s">
        <v>1453</v>
      </c>
    </row>
    <row r="193" spans="1:6" ht="23.1" customHeight="1">
      <c r="A193" s="80"/>
      <c r="B193" s="80"/>
      <c r="C193" s="81"/>
      <c r="D193" s="82"/>
      <c r="E193" s="82"/>
      <c r="F193" s="82"/>
    </row>
    <row r="194" spans="1:6" ht="18.95" customHeight="1">
      <c r="A194" s="70">
        <f>A182+1</f>
        <v>128</v>
      </c>
      <c r="B194" s="70" t="s">
        <v>1452</v>
      </c>
      <c r="C194" s="388" t="s">
        <v>2169</v>
      </c>
      <c r="D194" s="130">
        <f>D167</f>
        <v>1</v>
      </c>
      <c r="E194" s="363" t="s">
        <v>489</v>
      </c>
      <c r="F194" s="376" t="s">
        <v>2154</v>
      </c>
    </row>
    <row r="195" spans="1:6" ht="18.95" customHeight="1">
      <c r="A195" s="70">
        <f t="shared" si="15"/>
        <v>129</v>
      </c>
      <c r="B195" s="70" t="s">
        <v>1452</v>
      </c>
      <c r="C195" s="388" t="s">
        <v>2168</v>
      </c>
      <c r="D195" s="130">
        <v>0</v>
      </c>
      <c r="E195" s="363" t="s">
        <v>487</v>
      </c>
      <c r="F195" s="376" t="s">
        <v>2170</v>
      </c>
    </row>
    <row r="196" spans="1:6" ht="18.95" customHeight="1">
      <c r="A196" s="70">
        <f t="shared" si="15"/>
        <v>130</v>
      </c>
      <c r="B196" s="70" t="s">
        <v>1452</v>
      </c>
      <c r="C196" s="388" t="s">
        <v>2147</v>
      </c>
      <c r="D196" s="130">
        <f>D169</f>
        <v>0.90848118081575679</v>
      </c>
      <c r="E196" s="363" t="s">
        <v>468</v>
      </c>
      <c r="F196" s="376" t="s">
        <v>2148</v>
      </c>
    </row>
    <row r="197" spans="1:6" ht="18.95" customHeight="1">
      <c r="A197" s="70">
        <f t="shared" si="15"/>
        <v>131</v>
      </c>
      <c r="B197" s="70" t="s">
        <v>1452</v>
      </c>
      <c r="C197" s="78" t="s">
        <v>2102</v>
      </c>
      <c r="D197" s="130">
        <v>0</v>
      </c>
      <c r="E197" s="363" t="s">
        <v>312</v>
      </c>
      <c r="F197" s="694" t="s">
        <v>2105</v>
      </c>
    </row>
    <row r="198" spans="1:6" ht="18.95" customHeight="1">
      <c r="A198" s="70"/>
      <c r="B198" s="71"/>
      <c r="C198" s="78"/>
      <c r="D198" s="130"/>
      <c r="E198" s="363"/>
      <c r="F198" s="376"/>
    </row>
    <row r="199" spans="1:6" ht="18.95" customHeight="1">
      <c r="A199" s="70">
        <f>A197+1</f>
        <v>132</v>
      </c>
      <c r="B199" s="73">
        <v>252</v>
      </c>
      <c r="C199" s="78" t="s">
        <v>1191</v>
      </c>
      <c r="D199" s="130">
        <f>'JURISSEP B'!G1221</f>
        <v>0.97009645926567778</v>
      </c>
      <c r="E199" s="363" t="s">
        <v>537</v>
      </c>
      <c r="F199" s="376" t="s">
        <v>2171</v>
      </c>
    </row>
    <row r="200" spans="1:6" ht="18.95" customHeight="1">
      <c r="A200" s="70"/>
      <c r="B200" s="71"/>
      <c r="C200" s="78"/>
      <c r="D200" s="130"/>
      <c r="E200" s="363"/>
      <c r="F200" s="376"/>
    </row>
    <row r="201" spans="1:6" ht="18.95" customHeight="1">
      <c r="A201" s="70">
        <f>A199+1</f>
        <v>133</v>
      </c>
      <c r="B201" s="71">
        <v>255</v>
      </c>
      <c r="C201" s="78" t="s">
        <v>1442</v>
      </c>
      <c r="D201" s="130">
        <f>'JURISSEP B'!G1261</f>
        <v>0.87037751928017881</v>
      </c>
      <c r="E201" s="363" t="s">
        <v>498</v>
      </c>
      <c r="F201" s="376" t="s">
        <v>2150</v>
      </c>
    </row>
    <row r="202" spans="1:6" ht="18.95" customHeight="1">
      <c r="A202" s="70"/>
      <c r="B202" s="71"/>
      <c r="C202" s="78"/>
      <c r="D202" s="130"/>
      <c r="E202" s="363"/>
      <c r="F202" s="376"/>
    </row>
    <row r="203" spans="1:6" ht="18.95" customHeight="1">
      <c r="A203" s="70">
        <f>A201+1</f>
        <v>134</v>
      </c>
      <c r="B203" s="70" t="s">
        <v>2263</v>
      </c>
      <c r="C203" s="78" t="s">
        <v>2267</v>
      </c>
      <c r="D203" s="130">
        <f t="shared" ref="D203" si="16">D$19</f>
        <v>0.87673530496058716</v>
      </c>
      <c r="E203" s="363" t="s">
        <v>304</v>
      </c>
      <c r="F203" s="376" t="s">
        <v>2107</v>
      </c>
    </row>
    <row r="204" spans="1:6" ht="18.95" customHeight="1">
      <c r="A204" s="70"/>
      <c r="B204" s="71"/>
      <c r="C204" s="78"/>
      <c r="D204" s="130"/>
      <c r="E204" s="363"/>
      <c r="F204" s="376"/>
    </row>
    <row r="205" spans="1:6" ht="18.95" customHeight="1">
      <c r="A205" s="70"/>
      <c r="B205" s="71"/>
      <c r="C205" s="78"/>
      <c r="D205" s="130"/>
      <c r="E205" s="363"/>
      <c r="F205" s="376"/>
    </row>
    <row r="206" spans="1:6" ht="18.95" customHeight="1">
      <c r="A206" s="70"/>
      <c r="B206" s="71"/>
      <c r="C206" s="78"/>
      <c r="D206" s="130"/>
      <c r="E206" s="363"/>
      <c r="F206" s="376"/>
    </row>
    <row r="207" spans="1:6" ht="18.95" customHeight="1">
      <c r="A207" s="70"/>
      <c r="B207" s="71"/>
      <c r="C207" s="78"/>
      <c r="D207" s="130"/>
      <c r="E207" s="363"/>
      <c r="F207" s="376"/>
    </row>
    <row r="208" spans="1:6" ht="18.95" customHeight="1">
      <c r="A208" s="70"/>
      <c r="B208" s="71"/>
      <c r="C208" s="78"/>
      <c r="D208" s="130"/>
      <c r="E208" s="363"/>
      <c r="F208" s="376"/>
    </row>
    <row r="209" spans="1:6" ht="18.95" customHeight="1">
      <c r="A209" s="70"/>
      <c r="B209" s="71"/>
      <c r="C209" s="78"/>
      <c r="D209" s="130"/>
      <c r="E209" s="363"/>
      <c r="F209" s="376"/>
    </row>
    <row r="210" spans="1:6" ht="18.95" customHeight="1">
      <c r="A210" s="70"/>
      <c r="B210" s="71"/>
      <c r="C210" s="78"/>
      <c r="D210" s="130"/>
      <c r="E210" s="363"/>
      <c r="F210" s="376"/>
    </row>
    <row r="211" spans="1:6" ht="18.95" customHeight="1">
      <c r="A211" s="70"/>
      <c r="B211" s="71"/>
      <c r="C211" s="78"/>
      <c r="D211" s="130"/>
      <c r="E211" s="363"/>
      <c r="F211" s="376"/>
    </row>
    <row r="212" spans="1:6" ht="18.95" customHeight="1">
      <c r="A212" s="70"/>
      <c r="B212" s="71"/>
      <c r="C212" s="78"/>
      <c r="D212" s="130"/>
      <c r="E212" s="363"/>
      <c r="F212" s="376"/>
    </row>
    <row r="213" spans="1:6" ht="18.95" customHeight="1">
      <c r="A213" s="70"/>
      <c r="B213" s="71"/>
      <c r="C213" s="78"/>
      <c r="D213" s="130"/>
      <c r="E213" s="363"/>
      <c r="F213" s="376"/>
    </row>
    <row r="214" spans="1:6" ht="18.95" customHeight="1">
      <c r="A214" s="70"/>
      <c r="B214" s="71"/>
      <c r="C214" s="78"/>
      <c r="D214" s="130"/>
      <c r="E214" s="363"/>
      <c r="F214" s="376"/>
    </row>
    <row r="215" spans="1:6" ht="18.95" customHeight="1">
      <c r="A215" s="70"/>
      <c r="B215" s="71"/>
      <c r="C215" s="78"/>
      <c r="D215" s="130"/>
      <c r="E215" s="363"/>
      <c r="F215" s="376"/>
    </row>
    <row r="216" spans="1:6" ht="18.95" customHeight="1">
      <c r="A216" s="70"/>
      <c r="B216" s="71"/>
      <c r="C216" s="78"/>
      <c r="D216" s="130"/>
      <c r="E216" s="363"/>
      <c r="F216" s="376"/>
    </row>
    <row r="217" spans="1:6" ht="18.95" customHeight="1">
      <c r="A217" s="70"/>
      <c r="B217" s="71"/>
      <c r="C217" s="78"/>
      <c r="D217" s="130"/>
      <c r="E217" s="363"/>
      <c r="F217" s="376"/>
    </row>
    <row r="218" spans="1:6" ht="18.95" customHeight="1">
      <c r="A218" s="70"/>
      <c r="B218" s="71"/>
      <c r="C218" s="78"/>
      <c r="D218" s="130"/>
      <c r="E218" s="363"/>
      <c r="F218" s="376"/>
    </row>
    <row r="219" spans="1:6" ht="18.95" customHeight="1">
      <c r="A219" s="70"/>
      <c r="B219" s="71"/>
      <c r="C219" s="78"/>
      <c r="D219" s="130"/>
      <c r="E219" s="363"/>
      <c r="F219" s="376"/>
    </row>
    <row r="220" spans="1:6" ht="18.95" customHeight="1">
      <c r="A220" s="70"/>
      <c r="B220" s="71"/>
      <c r="C220" s="78"/>
      <c r="D220" s="130"/>
      <c r="E220" s="363"/>
      <c r="F220" s="376"/>
    </row>
    <row r="221" spans="1:6" ht="18.95" customHeight="1">
      <c r="A221" s="70"/>
      <c r="B221" s="71"/>
      <c r="C221" s="78"/>
      <c r="D221" s="130"/>
      <c r="E221" s="363"/>
      <c r="F221" s="376"/>
    </row>
    <row r="222" spans="1:6" ht="18.95" customHeight="1">
      <c r="A222" s="70"/>
      <c r="B222" s="71"/>
      <c r="C222" s="78"/>
      <c r="D222" s="130"/>
      <c r="E222" s="363"/>
      <c r="F222" s="376"/>
    </row>
    <row r="223" spans="1:6" ht="18.95" customHeight="1">
      <c r="A223" s="70"/>
      <c r="B223" s="71"/>
      <c r="C223" s="78"/>
      <c r="D223" s="130"/>
      <c r="E223" s="363"/>
      <c r="F223" s="376"/>
    </row>
    <row r="224" spans="1:6" ht="18.95" customHeight="1">
      <c r="A224" s="70"/>
      <c r="B224" s="71"/>
      <c r="C224" s="78"/>
      <c r="D224" s="130"/>
      <c r="E224" s="363"/>
      <c r="F224" s="376"/>
    </row>
    <row r="225" spans="1:6" ht="18.95" customHeight="1">
      <c r="A225" s="70"/>
      <c r="B225" s="71"/>
      <c r="C225" s="78"/>
      <c r="D225" s="130"/>
      <c r="E225" s="363"/>
      <c r="F225" s="376"/>
    </row>
    <row r="226" spans="1:6" ht="18.95" customHeight="1">
      <c r="A226" s="70"/>
      <c r="B226" s="71"/>
      <c r="C226" s="78"/>
      <c r="D226" s="130"/>
      <c r="E226" s="363"/>
      <c r="F226" s="376"/>
    </row>
    <row r="227" spans="1:6" ht="18.95" customHeight="1">
      <c r="A227" s="70"/>
      <c r="B227" s="71"/>
      <c r="C227" s="78"/>
      <c r="D227" s="130"/>
      <c r="E227" s="363"/>
      <c r="F227" s="376"/>
    </row>
    <row r="228" spans="1:6" ht="18.95" customHeight="1">
      <c r="A228" s="70"/>
      <c r="B228" s="71"/>
      <c r="C228" s="78"/>
      <c r="D228" s="130"/>
      <c r="E228" s="363"/>
      <c r="F228" s="376"/>
    </row>
    <row r="229" spans="1:6" ht="18.95" customHeight="1">
      <c r="A229" s="70"/>
      <c r="B229" s="71"/>
      <c r="C229" s="78"/>
      <c r="D229" s="130"/>
      <c r="E229" s="363"/>
      <c r="F229" s="376"/>
    </row>
    <row r="230" spans="1:6" ht="18.95" customHeight="1">
      <c r="A230" s="70"/>
      <c r="B230" s="71"/>
      <c r="C230" s="78"/>
      <c r="D230" s="130"/>
      <c r="E230" s="363"/>
      <c r="F230" s="376"/>
    </row>
    <row r="231" spans="1:6" ht="18.95" customHeight="1">
      <c r="A231" s="70"/>
      <c r="B231" s="71"/>
      <c r="C231" s="78"/>
      <c r="D231" s="130"/>
      <c r="E231" s="363"/>
      <c r="F231" s="376"/>
    </row>
    <row r="232" spans="1:6" ht="18.95" customHeight="1">
      <c r="A232" s="70"/>
      <c r="B232" s="71"/>
      <c r="C232" s="78"/>
      <c r="D232" s="130"/>
      <c r="E232" s="363"/>
      <c r="F232" s="376"/>
    </row>
    <row r="233" spans="1:6" ht="18.95" customHeight="1">
      <c r="A233" s="70"/>
      <c r="B233" s="71"/>
      <c r="C233" s="78"/>
      <c r="D233" s="130"/>
      <c r="E233" s="363"/>
      <c r="F233" s="376"/>
    </row>
    <row r="234" spans="1:6" ht="18.95" customHeight="1">
      <c r="A234" s="70"/>
      <c r="B234" s="71"/>
      <c r="C234" s="78"/>
      <c r="D234" s="130"/>
      <c r="E234" s="363"/>
      <c r="F234" s="376"/>
    </row>
    <row r="235" spans="1:6" ht="18.95" customHeight="1">
      <c r="A235" s="70"/>
      <c r="B235" s="71"/>
      <c r="C235" s="78"/>
      <c r="D235" s="130"/>
      <c r="E235" s="363"/>
      <c r="F235" s="376"/>
    </row>
    <row r="236" spans="1:6" ht="18.95" customHeight="1">
      <c r="A236" s="70"/>
      <c r="B236" s="71"/>
      <c r="C236" s="78"/>
      <c r="D236" s="130"/>
      <c r="E236" s="363"/>
      <c r="F236" s="376"/>
    </row>
    <row r="237" spans="1:6" ht="18.95" customHeight="1">
      <c r="A237" s="70"/>
      <c r="B237" s="71"/>
      <c r="C237" s="78"/>
      <c r="D237" s="130"/>
      <c r="E237" s="363"/>
      <c r="F237" s="376"/>
    </row>
    <row r="238" spans="1:6" ht="18.95" customHeight="1">
      <c r="A238" s="70"/>
      <c r="B238" s="71"/>
      <c r="C238" s="78"/>
      <c r="D238" s="130"/>
      <c r="E238" s="363"/>
      <c r="F238" s="376"/>
    </row>
    <row r="239" spans="1:6" ht="18.95" customHeight="1">
      <c r="A239" s="70"/>
      <c r="B239" s="71"/>
      <c r="C239" s="78"/>
      <c r="D239" s="130"/>
      <c r="E239" s="363"/>
      <c r="F239" s="376"/>
    </row>
    <row r="240" spans="1:6" ht="18.95" customHeight="1">
      <c r="A240" s="70"/>
      <c r="B240" s="71"/>
      <c r="C240" s="78"/>
      <c r="D240" s="130"/>
      <c r="E240" s="363"/>
      <c r="F240" s="376"/>
    </row>
    <row r="241" spans="1:6" ht="18.95" customHeight="1">
      <c r="A241" s="70"/>
      <c r="B241" s="71"/>
      <c r="C241" s="78"/>
      <c r="D241" s="130"/>
      <c r="E241" s="363"/>
      <c r="F241" s="376"/>
    </row>
    <row r="242" spans="1:6" ht="18.95" customHeight="1">
      <c r="A242" s="70"/>
      <c r="B242" s="71"/>
      <c r="C242" s="78"/>
      <c r="D242" s="130"/>
      <c r="E242" s="363"/>
      <c r="F242" s="376"/>
    </row>
    <row r="243" spans="1:6" ht="18.95" customHeight="1">
      <c r="A243" s="70"/>
      <c r="B243" s="71"/>
      <c r="C243" s="78"/>
      <c r="D243" s="130"/>
      <c r="E243" s="363"/>
      <c r="F243" s="376"/>
    </row>
    <row r="244" spans="1:6" ht="18.95" customHeight="1">
      <c r="A244" s="70"/>
      <c r="B244" s="71"/>
      <c r="C244" s="78"/>
      <c r="D244" s="130"/>
      <c r="E244" s="363"/>
      <c r="F244" s="376"/>
    </row>
    <row r="245" spans="1:6" ht="18.95" customHeight="1">
      <c r="A245" s="70"/>
      <c r="B245" s="71"/>
      <c r="C245" s="78"/>
      <c r="D245" s="130"/>
      <c r="E245" s="363"/>
      <c r="F245" s="376"/>
    </row>
    <row r="246" spans="1:6" ht="18.95" customHeight="1">
      <c r="A246" s="70"/>
      <c r="B246" s="71"/>
      <c r="C246" s="78"/>
      <c r="D246" s="130"/>
      <c r="E246" s="363"/>
      <c r="F246" s="376"/>
    </row>
    <row r="247" spans="1:6" ht="18.95" customHeight="1">
      <c r="A247" s="70"/>
      <c r="B247" s="71"/>
      <c r="C247" s="78"/>
      <c r="D247" s="130"/>
      <c r="E247" s="363"/>
      <c r="F247" s="376"/>
    </row>
    <row r="248" spans="1:6" ht="18.95" customHeight="1">
      <c r="A248" s="70"/>
      <c r="B248" s="71"/>
      <c r="C248" s="78"/>
      <c r="D248" s="130"/>
      <c r="E248" s="363"/>
      <c r="F248" s="376"/>
    </row>
    <row r="249" spans="1:6" ht="18.95" customHeight="1">
      <c r="A249" s="70"/>
      <c r="B249" s="71"/>
      <c r="C249" s="78"/>
      <c r="D249" s="130"/>
      <c r="E249" s="363"/>
      <c r="F249" s="376"/>
    </row>
    <row r="250" spans="1:6" ht="18.95" customHeight="1">
      <c r="A250" s="70"/>
      <c r="B250" s="71"/>
      <c r="C250" s="78"/>
      <c r="D250" s="130"/>
      <c r="E250" s="363"/>
      <c r="F250" s="376"/>
    </row>
    <row r="251" spans="1:6" ht="18.95" customHeight="1">
      <c r="A251" s="70"/>
      <c r="B251" s="71"/>
      <c r="C251" s="78"/>
      <c r="D251" s="130"/>
      <c r="E251" s="363"/>
      <c r="F251" s="376"/>
    </row>
    <row r="252" spans="1:6" ht="18.95" customHeight="1">
      <c r="A252" s="70"/>
      <c r="B252" s="71"/>
      <c r="C252" s="78"/>
      <c r="D252" s="130"/>
      <c r="E252" s="363"/>
      <c r="F252" s="376"/>
    </row>
    <row r="253" spans="1:6" ht="18.95" customHeight="1">
      <c r="A253" s="70"/>
      <c r="B253" s="71"/>
      <c r="C253" s="78"/>
      <c r="D253" s="130"/>
      <c r="E253" s="363"/>
      <c r="F253" s="376"/>
    </row>
    <row r="254" spans="1:6" ht="18.95" customHeight="1">
      <c r="A254" s="70"/>
      <c r="B254" s="71"/>
      <c r="C254" s="78"/>
      <c r="D254" s="130"/>
      <c r="E254" s="363"/>
      <c r="F254" s="376"/>
    </row>
    <row r="255" spans="1:6" ht="18.95" customHeight="1">
      <c r="A255" s="70"/>
      <c r="B255" s="71"/>
      <c r="C255" s="78"/>
      <c r="D255" s="130"/>
      <c r="E255" s="363"/>
      <c r="F255" s="376"/>
    </row>
    <row r="256" spans="1:6" ht="18.95" customHeight="1">
      <c r="A256" s="70"/>
      <c r="B256" s="71"/>
      <c r="C256" s="78"/>
      <c r="D256" s="130"/>
      <c r="E256" s="363"/>
      <c r="F256" s="376"/>
    </row>
    <row r="257" spans="1:6" ht="18.95" customHeight="1">
      <c r="A257" s="70"/>
      <c r="B257" s="71"/>
      <c r="C257" s="78"/>
      <c r="D257" s="130"/>
      <c r="E257" s="363"/>
      <c r="F257" s="376"/>
    </row>
    <row r="258" spans="1:6" ht="18.95" customHeight="1">
      <c r="A258" s="70"/>
      <c r="B258" s="71"/>
      <c r="C258" s="78"/>
      <c r="D258" s="130"/>
      <c r="E258" s="363"/>
      <c r="F258" s="376"/>
    </row>
    <row r="259" spans="1:6" ht="18.95" customHeight="1">
      <c r="A259" s="70"/>
      <c r="B259" s="71"/>
      <c r="C259" s="78"/>
      <c r="D259" s="130"/>
      <c r="E259" s="363"/>
      <c r="F259" s="376"/>
    </row>
    <row r="260" spans="1:6" ht="18.95" customHeight="1">
      <c r="A260" s="70"/>
      <c r="B260" s="71"/>
      <c r="C260" s="78"/>
      <c r="D260" s="130"/>
      <c r="E260" s="363"/>
      <c r="F260" s="376"/>
    </row>
    <row r="261" spans="1:6" ht="18.95" customHeight="1">
      <c r="A261" s="70"/>
      <c r="B261" s="71"/>
      <c r="C261" s="78"/>
      <c r="D261" s="130"/>
      <c r="E261" s="363"/>
      <c r="F261" s="376"/>
    </row>
    <row r="262" spans="1:6">
      <c r="D262" s="130"/>
    </row>
    <row r="263" spans="1:6">
      <c r="D263" s="130"/>
    </row>
  </sheetData>
  <mergeCells count="16">
    <mergeCell ref="A124:F124"/>
    <mergeCell ref="A1:F1"/>
    <mergeCell ref="A2:F2"/>
    <mergeCell ref="A3:F3"/>
    <mergeCell ref="A4:F4"/>
    <mergeCell ref="A61:F61"/>
    <mergeCell ref="A62:F62"/>
    <mergeCell ref="A63:F63"/>
    <mergeCell ref="A64:F64"/>
    <mergeCell ref="A122:F122"/>
    <mergeCell ref="A123:F123"/>
    <mergeCell ref="A125:F125"/>
    <mergeCell ref="A183:F183"/>
    <mergeCell ref="A184:F184"/>
    <mergeCell ref="A185:F185"/>
    <mergeCell ref="A186:F186"/>
  </mergeCells>
  <pageMargins left="0.95" right="0.5" top="0.75" bottom="0.75" header="0.3" footer="0.3"/>
  <pageSetup scale="55" fitToHeight="0" orientation="portrait" r:id="rId1"/>
  <rowBreaks count="3" manualBreakCount="3">
    <brk id="60" max="5" man="1"/>
    <brk id="121" max="5" man="1"/>
    <brk id="182" max="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F261"/>
  <sheetViews>
    <sheetView zoomScaleNormal="100" workbookViewId="0">
      <selection sqref="A1:F1"/>
    </sheetView>
  </sheetViews>
  <sheetFormatPr defaultColWidth="9" defaultRowHeight="12.75"/>
  <cols>
    <col min="1" max="1" width="6" style="69" customWidth="1"/>
    <col min="2" max="2" width="16.21875" style="69" customWidth="1"/>
    <col min="3" max="3" width="42.44140625" style="69" customWidth="1"/>
    <col min="4" max="4" width="13.6640625" style="69" customWidth="1"/>
    <col min="5" max="5" width="18.21875" style="378" customWidth="1"/>
    <col min="6" max="6" width="69.77734375" style="69" customWidth="1"/>
    <col min="7" max="7" width="1.6640625" style="69" customWidth="1"/>
    <col min="8" max="16384" width="9" style="69"/>
  </cols>
  <sheetData>
    <row r="1" spans="1:6" s="68" customFormat="1" ht="20.100000000000001" customHeight="1">
      <c r="A1" s="769" t="str">
        <f>'Rate Case Constants'!C9</f>
        <v>KENTUCKY UTILITIES COMPANY</v>
      </c>
      <c r="B1" s="769"/>
      <c r="C1" s="769"/>
      <c r="D1" s="769"/>
      <c r="E1" s="769"/>
      <c r="F1" s="769"/>
    </row>
    <row r="2" spans="1:6" s="68" customFormat="1" ht="20.100000000000001" customHeight="1">
      <c r="A2" s="769" t="str">
        <f>'Rate Case Constants'!C10</f>
        <v>CASE NO. 2018-00294 - RESPONSE TO PSC 2-65 (SLIPPAGE FACTOR 96.027%)</v>
      </c>
      <c r="B2" s="769"/>
      <c r="C2" s="769"/>
      <c r="D2" s="769"/>
      <c r="E2" s="769"/>
      <c r="F2" s="769"/>
    </row>
    <row r="3" spans="1:6" s="68" customFormat="1" ht="20.100000000000001" customHeight="1">
      <c r="A3" s="769" t="s">
        <v>1455</v>
      </c>
      <c r="B3" s="769"/>
      <c r="C3" s="769"/>
      <c r="D3" s="769"/>
      <c r="E3" s="769"/>
      <c r="F3" s="769"/>
    </row>
    <row r="4" spans="1:6" s="68" customFormat="1" ht="20.100000000000001" customHeight="1">
      <c r="A4" s="768" t="str">
        <f>'Rate Case Constants'!C21</f>
        <v>FORECAST PERIOD FOR THE 12 MONTHS ENDED APRIL 30, 2020</v>
      </c>
      <c r="B4" s="768"/>
      <c r="C4" s="768"/>
      <c r="D4" s="768"/>
      <c r="E4" s="768"/>
      <c r="F4" s="768"/>
    </row>
    <row r="5" spans="1:6" s="68" customFormat="1" ht="20.100000000000001" customHeight="1">
      <c r="A5" s="138"/>
      <c r="B5" s="138"/>
      <c r="C5" s="138"/>
      <c r="D5" s="138"/>
      <c r="E5" s="372"/>
      <c r="F5" s="138"/>
    </row>
    <row r="6" spans="1:6" s="68" customFormat="1" ht="20.100000000000001" customHeight="1">
      <c r="A6" s="67" t="s">
        <v>161</v>
      </c>
      <c r="B6" s="67"/>
      <c r="E6" s="373"/>
      <c r="F6" s="74" t="s">
        <v>1454</v>
      </c>
    </row>
    <row r="7" spans="1:6" s="68" customFormat="1" ht="20.100000000000001" customHeight="1">
      <c r="A7" s="68" t="str">
        <f>'Rate Case Constants'!C29</f>
        <v>TYPE OF FILING: __X__ ORIGINAL  _____ UPDATED  _____ REVISED</v>
      </c>
      <c r="E7" s="373"/>
      <c r="F7" s="74" t="s">
        <v>2177</v>
      </c>
    </row>
    <row r="8" spans="1:6" s="68" customFormat="1" ht="20.100000000000001" customHeight="1">
      <c r="A8" s="67" t="s">
        <v>1416</v>
      </c>
      <c r="B8" s="67"/>
      <c r="E8" s="373"/>
      <c r="F8" s="75" t="str">
        <f>'Rate Case Constants'!C37</f>
        <v>WITNESS:   C. M. GARRETT</v>
      </c>
    </row>
    <row r="9" spans="1:6" s="68" customFormat="1" ht="20.100000000000001" customHeight="1">
      <c r="E9" s="373"/>
    </row>
    <row r="10" spans="1:6" ht="58.5" customHeight="1">
      <c r="A10" s="76" t="s">
        <v>131</v>
      </c>
      <c r="B10" s="76" t="s">
        <v>134</v>
      </c>
      <c r="C10" s="79" t="s">
        <v>2101</v>
      </c>
      <c r="D10" s="76" t="s">
        <v>224</v>
      </c>
      <c r="E10" s="76" t="s">
        <v>2103</v>
      </c>
      <c r="F10" s="76" t="s">
        <v>1453</v>
      </c>
    </row>
    <row r="11" spans="1:6" ht="23.1" customHeight="1">
      <c r="A11" s="80"/>
      <c r="B11" s="80"/>
      <c r="C11" s="81"/>
      <c r="D11" s="82"/>
      <c r="E11" s="82"/>
      <c r="F11" s="82"/>
    </row>
    <row r="12" spans="1:6" ht="23.1" customHeight="1">
      <c r="A12" s="73">
        <v>1</v>
      </c>
      <c r="B12" s="73"/>
      <c r="C12" s="381" t="s">
        <v>2116</v>
      </c>
      <c r="D12" s="95"/>
      <c r="E12" s="95"/>
      <c r="F12" s="95"/>
    </row>
    <row r="13" spans="1:6" ht="18.95" customHeight="1">
      <c r="A13" s="73">
        <f>A12+1</f>
        <v>2</v>
      </c>
      <c r="B13" s="73"/>
      <c r="C13" s="381" t="s">
        <v>56</v>
      </c>
      <c r="D13" s="130"/>
      <c r="E13" s="377"/>
      <c r="F13" s="86"/>
    </row>
    <row r="14" spans="1:6" ht="18.95" customHeight="1">
      <c r="A14" s="70">
        <f>A13+1</f>
        <v>3</v>
      </c>
      <c r="B14" s="71" t="s">
        <v>1620</v>
      </c>
      <c r="C14" s="78" t="s">
        <v>1621</v>
      </c>
      <c r="D14" s="130">
        <f>'JURISSEP F'!G1245</f>
        <v>0.93497392644131894</v>
      </c>
      <c r="E14" s="363" t="s">
        <v>296</v>
      </c>
      <c r="F14" s="376" t="s">
        <v>2104</v>
      </c>
    </row>
    <row r="15" spans="1:6" ht="18.95" customHeight="1">
      <c r="A15" s="70">
        <f t="shared" ref="A15:A48" si="0">A14+1</f>
        <v>4</v>
      </c>
      <c r="B15" s="71" t="s">
        <v>1622</v>
      </c>
      <c r="C15" s="78" t="s">
        <v>1623</v>
      </c>
      <c r="D15" s="130">
        <v>1</v>
      </c>
      <c r="E15" s="363" t="s">
        <v>298</v>
      </c>
      <c r="F15" s="376" t="s">
        <v>2115</v>
      </c>
    </row>
    <row r="16" spans="1:6" ht="18.95" customHeight="1">
      <c r="A16" s="70">
        <f t="shared" si="0"/>
        <v>5</v>
      </c>
      <c r="B16" s="71" t="s">
        <v>1624</v>
      </c>
      <c r="C16" s="78" t="s">
        <v>1625</v>
      </c>
      <c r="D16" s="130">
        <f>D14</f>
        <v>0.93497392644131894</v>
      </c>
      <c r="E16" s="363" t="s">
        <v>296</v>
      </c>
      <c r="F16" s="376" t="s">
        <v>2104</v>
      </c>
    </row>
    <row r="17" spans="1:6" ht="18.95" customHeight="1">
      <c r="A17" s="70"/>
      <c r="B17" s="70"/>
      <c r="D17" s="130"/>
      <c r="E17" s="363"/>
      <c r="F17" s="86"/>
    </row>
    <row r="18" spans="1:6" ht="18.95" customHeight="1">
      <c r="A18" s="70">
        <f>A16+1</f>
        <v>6</v>
      </c>
      <c r="B18" s="70"/>
      <c r="C18" s="382" t="s">
        <v>72</v>
      </c>
      <c r="D18" s="130"/>
    </row>
    <row r="19" spans="1:6" ht="18.95" customHeight="1">
      <c r="A19" s="70">
        <f t="shared" si="0"/>
        <v>7</v>
      </c>
      <c r="B19" s="71" t="s">
        <v>1626</v>
      </c>
      <c r="C19" s="78" t="s">
        <v>154</v>
      </c>
      <c r="D19" s="130">
        <f>'JURISSEP F'!G1153</f>
        <v>0.93741603079505242</v>
      </c>
      <c r="E19" s="363" t="s">
        <v>304</v>
      </c>
      <c r="F19" s="376" t="s">
        <v>2107</v>
      </c>
    </row>
    <row r="20" spans="1:6" ht="18.95" customHeight="1">
      <c r="A20" s="70">
        <f t="shared" si="0"/>
        <v>8</v>
      </c>
      <c r="B20" s="71" t="s">
        <v>1627</v>
      </c>
      <c r="C20" s="78" t="s">
        <v>148</v>
      </c>
      <c r="D20" s="130">
        <f>D$19</f>
        <v>0.93741603079505242</v>
      </c>
      <c r="E20" s="363" t="s">
        <v>304</v>
      </c>
      <c r="F20" s="376" t="s">
        <v>2107</v>
      </c>
    </row>
    <row r="21" spans="1:6" ht="18.95" customHeight="1">
      <c r="A21" s="70">
        <f t="shared" si="0"/>
        <v>9</v>
      </c>
      <c r="B21" s="71" t="s">
        <v>1628</v>
      </c>
      <c r="C21" s="78" t="s">
        <v>1629</v>
      </c>
      <c r="D21" s="130">
        <f t="shared" ref="D21:D26" si="1">D$19</f>
        <v>0.93741603079505242</v>
      </c>
      <c r="E21" s="363" t="s">
        <v>304</v>
      </c>
      <c r="F21" s="376" t="s">
        <v>2107</v>
      </c>
    </row>
    <row r="22" spans="1:6" ht="18.95" customHeight="1">
      <c r="A22" s="70">
        <f>A20+1</f>
        <v>9</v>
      </c>
      <c r="B22" s="71">
        <v>313</v>
      </c>
      <c r="C22" s="78" t="s">
        <v>144</v>
      </c>
      <c r="D22" s="130">
        <f t="shared" si="1"/>
        <v>0.93741603079505242</v>
      </c>
      <c r="E22" s="363" t="s">
        <v>304</v>
      </c>
      <c r="F22" s="376" t="s">
        <v>2107</v>
      </c>
    </row>
    <row r="23" spans="1:6" ht="18.95" customHeight="1">
      <c r="A23" s="70">
        <f>A21+1</f>
        <v>10</v>
      </c>
      <c r="B23" s="71" t="s">
        <v>1630</v>
      </c>
      <c r="C23" s="78" t="s">
        <v>1631</v>
      </c>
      <c r="D23" s="130">
        <f t="shared" si="1"/>
        <v>0.93741603079505242</v>
      </c>
      <c r="E23" s="363" t="s">
        <v>304</v>
      </c>
      <c r="F23" s="376" t="s">
        <v>2107</v>
      </c>
    </row>
    <row r="24" spans="1:6" ht="18.95" customHeight="1">
      <c r="A24" s="70">
        <f t="shared" si="0"/>
        <v>11</v>
      </c>
      <c r="B24" s="71" t="s">
        <v>1632</v>
      </c>
      <c r="C24" s="78" t="s">
        <v>1633</v>
      </c>
      <c r="D24" s="130">
        <f t="shared" si="1"/>
        <v>0.93741603079505242</v>
      </c>
      <c r="E24" s="363" t="s">
        <v>304</v>
      </c>
      <c r="F24" s="376" t="s">
        <v>2107</v>
      </c>
    </row>
    <row r="25" spans="1:6" ht="18.95" customHeight="1">
      <c r="A25" s="70">
        <f t="shared" si="0"/>
        <v>12</v>
      </c>
      <c r="B25" s="71" t="s">
        <v>1634</v>
      </c>
      <c r="C25" s="78" t="s">
        <v>1635</v>
      </c>
      <c r="D25" s="130">
        <f t="shared" si="1"/>
        <v>0.93741603079505242</v>
      </c>
      <c r="E25" s="363" t="s">
        <v>304</v>
      </c>
      <c r="F25" s="376" t="s">
        <v>2107</v>
      </c>
    </row>
    <row r="26" spans="1:6" ht="18.95" customHeight="1">
      <c r="A26" s="70">
        <f>A25+1</f>
        <v>13</v>
      </c>
      <c r="B26" s="71" t="s">
        <v>1636</v>
      </c>
      <c r="C26" s="78" t="s">
        <v>1655</v>
      </c>
      <c r="D26" s="130">
        <f t="shared" si="1"/>
        <v>0.93741603079505242</v>
      </c>
      <c r="E26" s="363" t="s">
        <v>304</v>
      </c>
      <c r="F26" s="376" t="s">
        <v>2107</v>
      </c>
    </row>
    <row r="27" spans="1:6" ht="18.95" customHeight="1">
      <c r="A27" s="70">
        <f>A26+1</f>
        <v>14</v>
      </c>
      <c r="B27" s="384" t="s">
        <v>2122</v>
      </c>
      <c r="C27" s="78" t="s">
        <v>2102</v>
      </c>
      <c r="D27" s="130">
        <f>('JURISSEP F'!G$86+'JURISSEP F'!G$87)/('JURISSEP F'!E$86+'JURISSEP F'!E$87)</f>
        <v>0.67590013410172234</v>
      </c>
      <c r="E27" s="363" t="s">
        <v>312</v>
      </c>
      <c r="F27" s="694" t="s">
        <v>3404</v>
      </c>
    </row>
    <row r="28" spans="1:6" ht="18.95" customHeight="1">
      <c r="A28" s="70"/>
      <c r="C28" s="78"/>
      <c r="D28" s="130"/>
    </row>
    <row r="29" spans="1:6" ht="18.95" customHeight="1">
      <c r="A29" s="70">
        <f>A27+1</f>
        <v>15</v>
      </c>
      <c r="C29" s="382" t="s">
        <v>47</v>
      </c>
      <c r="D29" s="130"/>
    </row>
    <row r="30" spans="1:6" ht="18.95" customHeight="1">
      <c r="A30" s="70">
        <f t="shared" si="0"/>
        <v>16</v>
      </c>
      <c r="B30" s="71" t="s">
        <v>1637</v>
      </c>
      <c r="C30" s="78" t="s">
        <v>154</v>
      </c>
      <c r="D30" s="130">
        <f t="shared" ref="D30:D37" si="2">D$19</f>
        <v>0.93741603079505242</v>
      </c>
      <c r="E30" s="363" t="s">
        <v>304</v>
      </c>
      <c r="F30" s="376" t="s">
        <v>2107</v>
      </c>
    </row>
    <row r="31" spans="1:6" ht="18.95" customHeight="1">
      <c r="A31" s="70">
        <f t="shared" si="0"/>
        <v>17</v>
      </c>
      <c r="B31" s="71" t="s">
        <v>1638</v>
      </c>
      <c r="C31" s="78" t="s">
        <v>148</v>
      </c>
      <c r="D31" s="130">
        <f t="shared" si="2"/>
        <v>0.93741603079505242</v>
      </c>
      <c r="E31" s="363" t="s">
        <v>304</v>
      </c>
      <c r="F31" s="376" t="s">
        <v>2107</v>
      </c>
    </row>
    <row r="32" spans="1:6" ht="18.95" customHeight="1">
      <c r="A32" s="70">
        <f t="shared" si="0"/>
        <v>18</v>
      </c>
      <c r="B32" s="71" t="s">
        <v>1639</v>
      </c>
      <c r="C32" s="78" t="s">
        <v>1640</v>
      </c>
      <c r="D32" s="130">
        <f t="shared" si="2"/>
        <v>0.93741603079505242</v>
      </c>
      <c r="E32" s="363" t="s">
        <v>304</v>
      </c>
      <c r="F32" s="376" t="s">
        <v>2107</v>
      </c>
    </row>
    <row r="33" spans="1:6" ht="18.95" customHeight="1">
      <c r="A33" s="70">
        <f t="shared" si="0"/>
        <v>19</v>
      </c>
      <c r="B33" s="71" t="s">
        <v>1641</v>
      </c>
      <c r="C33" s="78" t="s">
        <v>1642</v>
      </c>
      <c r="D33" s="130">
        <f t="shared" si="2"/>
        <v>0.93741603079505242</v>
      </c>
      <c r="E33" s="363" t="s">
        <v>304</v>
      </c>
      <c r="F33" s="376" t="s">
        <v>2107</v>
      </c>
    </row>
    <row r="34" spans="1:6" ht="18.95" customHeight="1">
      <c r="A34" s="70">
        <f t="shared" si="0"/>
        <v>20</v>
      </c>
      <c r="B34" s="71" t="s">
        <v>1643</v>
      </c>
      <c r="C34" s="78" t="s">
        <v>1633</v>
      </c>
      <c r="D34" s="130">
        <f t="shared" si="2"/>
        <v>0.93741603079505242</v>
      </c>
      <c r="E34" s="363" t="s">
        <v>304</v>
      </c>
      <c r="F34" s="376" t="s">
        <v>2107</v>
      </c>
    </row>
    <row r="35" spans="1:6" ht="18.95" customHeight="1">
      <c r="A35" s="70">
        <f t="shared" si="0"/>
        <v>21</v>
      </c>
      <c r="B35" s="71" t="s">
        <v>1644</v>
      </c>
      <c r="C35" s="78" t="s">
        <v>1645</v>
      </c>
      <c r="D35" s="130">
        <f t="shared" si="2"/>
        <v>0.93741603079505242</v>
      </c>
      <c r="E35" s="363" t="s">
        <v>304</v>
      </c>
      <c r="F35" s="376" t="s">
        <v>2107</v>
      </c>
    </row>
    <row r="36" spans="1:6" ht="18.95" customHeight="1">
      <c r="A36" s="70">
        <f t="shared" si="0"/>
        <v>22</v>
      </c>
      <c r="B36" s="71" t="s">
        <v>1646</v>
      </c>
      <c r="C36" s="78" t="s">
        <v>1647</v>
      </c>
      <c r="D36" s="130">
        <f t="shared" si="2"/>
        <v>0.93741603079505242</v>
      </c>
      <c r="E36" s="363" t="s">
        <v>304</v>
      </c>
      <c r="F36" s="376" t="s">
        <v>2107</v>
      </c>
    </row>
    <row r="37" spans="1:6" ht="18.95" customHeight="1">
      <c r="A37" s="70">
        <f t="shared" si="0"/>
        <v>23</v>
      </c>
      <c r="B37" s="71" t="s">
        <v>1648</v>
      </c>
      <c r="C37" s="78" t="s">
        <v>1656</v>
      </c>
      <c r="D37" s="130">
        <f t="shared" si="2"/>
        <v>0.93741603079505242</v>
      </c>
      <c r="E37" s="363" t="s">
        <v>304</v>
      </c>
      <c r="F37" s="376" t="s">
        <v>2107</v>
      </c>
    </row>
    <row r="38" spans="1:6" ht="18.95" customHeight="1">
      <c r="A38" s="70">
        <f>A37+1</f>
        <v>24</v>
      </c>
      <c r="B38" s="384" t="s">
        <v>2123</v>
      </c>
      <c r="C38" s="78" t="s">
        <v>2102</v>
      </c>
      <c r="D38" s="130">
        <f>('JURISSEP F'!G$99+'JURISSEP F'!G$100)/('JURISSEP F'!E$99+'JURISSEP F'!E$100)</f>
        <v>0.77686310131920888</v>
      </c>
      <c r="E38" s="363" t="s">
        <v>312</v>
      </c>
      <c r="F38" s="694" t="s">
        <v>3404</v>
      </c>
    </row>
    <row r="39" spans="1:6" ht="18.95" customHeight="1">
      <c r="A39" s="70"/>
      <c r="B39" s="71"/>
      <c r="C39" s="78"/>
      <c r="D39" s="130"/>
    </row>
    <row r="40" spans="1:6" ht="18.95" customHeight="1">
      <c r="A40" s="70">
        <f>A38+1</f>
        <v>25</v>
      </c>
      <c r="C40" s="382" t="s">
        <v>61</v>
      </c>
      <c r="D40" s="130"/>
    </row>
    <row r="41" spans="1:6" ht="18.95" customHeight="1">
      <c r="A41" s="70">
        <f t="shared" si="0"/>
        <v>26</v>
      </c>
      <c r="B41" s="71" t="s">
        <v>1649</v>
      </c>
      <c r="C41" s="78" t="s">
        <v>154</v>
      </c>
      <c r="D41" s="130">
        <f t="shared" ref="D41:D48" si="3">D$19</f>
        <v>0.93741603079505242</v>
      </c>
      <c r="E41" s="363" t="s">
        <v>304</v>
      </c>
      <c r="F41" s="376" t="s">
        <v>2107</v>
      </c>
    </row>
    <row r="42" spans="1:6" ht="18.95" customHeight="1">
      <c r="A42" s="70">
        <f t="shared" si="0"/>
        <v>27</v>
      </c>
      <c r="B42" s="71" t="s">
        <v>1650</v>
      </c>
      <c r="C42" s="78" t="s">
        <v>148</v>
      </c>
      <c r="D42" s="130">
        <f t="shared" si="3"/>
        <v>0.93741603079505242</v>
      </c>
      <c r="E42" s="363" t="s">
        <v>304</v>
      </c>
      <c r="F42" s="376" t="s">
        <v>2107</v>
      </c>
    </row>
    <row r="43" spans="1:6" ht="18.95" customHeight="1">
      <c r="A43" s="70">
        <f t="shared" si="0"/>
        <v>28</v>
      </c>
      <c r="B43" s="71" t="s">
        <v>1651</v>
      </c>
      <c r="C43" s="78" t="s">
        <v>1652</v>
      </c>
      <c r="D43" s="130">
        <f t="shared" si="3"/>
        <v>0.93741603079505242</v>
      </c>
      <c r="E43" s="363" t="s">
        <v>304</v>
      </c>
      <c r="F43" s="376" t="s">
        <v>2107</v>
      </c>
    </row>
    <row r="44" spans="1:6" ht="18.95" customHeight="1">
      <c r="A44" s="70">
        <f t="shared" si="0"/>
        <v>29</v>
      </c>
      <c r="B44" s="71" t="s">
        <v>1653</v>
      </c>
      <c r="C44" s="78" t="s">
        <v>1654</v>
      </c>
      <c r="D44" s="130">
        <f t="shared" si="3"/>
        <v>0.93741603079505242</v>
      </c>
      <c r="E44" s="363" t="s">
        <v>304</v>
      </c>
      <c r="F44" s="376" t="s">
        <v>2107</v>
      </c>
    </row>
    <row r="45" spans="1:6" ht="18.95" customHeight="1">
      <c r="A45" s="70">
        <f>A44+1</f>
        <v>30</v>
      </c>
      <c r="B45" s="71" t="s">
        <v>1657</v>
      </c>
      <c r="C45" s="78" t="s">
        <v>1658</v>
      </c>
      <c r="D45" s="130">
        <f t="shared" si="3"/>
        <v>0.93741603079505242</v>
      </c>
      <c r="E45" s="363" t="s">
        <v>304</v>
      </c>
      <c r="F45" s="376" t="s">
        <v>2107</v>
      </c>
    </row>
    <row r="46" spans="1:6" ht="18.95" customHeight="1">
      <c r="A46" s="70">
        <f t="shared" si="0"/>
        <v>31</v>
      </c>
      <c r="B46" s="71" t="s">
        <v>1659</v>
      </c>
      <c r="C46" s="78" t="s">
        <v>1633</v>
      </c>
      <c r="D46" s="130">
        <f t="shared" si="3"/>
        <v>0.93741603079505242</v>
      </c>
      <c r="E46" s="363" t="s">
        <v>304</v>
      </c>
      <c r="F46" s="376" t="s">
        <v>2107</v>
      </c>
    </row>
    <row r="47" spans="1:6" ht="18.95" customHeight="1">
      <c r="A47" s="70">
        <f t="shared" si="0"/>
        <v>32</v>
      </c>
      <c r="B47" s="71" t="s">
        <v>1660</v>
      </c>
      <c r="C47" s="78" t="s">
        <v>1645</v>
      </c>
      <c r="D47" s="130">
        <f t="shared" si="3"/>
        <v>0.93741603079505242</v>
      </c>
      <c r="E47" s="363" t="s">
        <v>304</v>
      </c>
      <c r="F47" s="376" t="s">
        <v>2107</v>
      </c>
    </row>
    <row r="48" spans="1:6" ht="18.95" customHeight="1">
      <c r="A48" s="70">
        <f t="shared" si="0"/>
        <v>33</v>
      </c>
      <c r="B48" s="71" t="s">
        <v>1661</v>
      </c>
      <c r="C48" s="78" t="s">
        <v>1696</v>
      </c>
      <c r="D48" s="130">
        <f t="shared" si="3"/>
        <v>0.93741603079505242</v>
      </c>
      <c r="E48" s="363" t="s">
        <v>304</v>
      </c>
      <c r="F48" s="376" t="s">
        <v>2107</v>
      </c>
    </row>
    <row r="49" spans="1:6" ht="18.95" customHeight="1">
      <c r="A49" s="70">
        <f>A48+1</f>
        <v>34</v>
      </c>
      <c r="B49" s="384" t="s">
        <v>2124</v>
      </c>
      <c r="C49" s="78" t="s">
        <v>2102</v>
      </c>
      <c r="D49" s="130">
        <f>('JURISSEP F'!G$112+'JURISSEP F'!G$113)/('JURISSEP F'!E$112+'JURISSEP F'!E$113)</f>
        <v>0.77872407589598425</v>
      </c>
      <c r="E49" s="363" t="s">
        <v>312</v>
      </c>
      <c r="F49" s="694" t="s">
        <v>3404</v>
      </c>
    </row>
    <row r="50" spans="1:6" ht="18.95" customHeight="1">
      <c r="D50" s="130"/>
    </row>
    <row r="51" spans="1:6" ht="18.95" customHeight="1">
      <c r="A51" s="70">
        <f>A49+1</f>
        <v>35</v>
      </c>
      <c r="C51" s="382" t="s">
        <v>84</v>
      </c>
      <c r="D51" s="130"/>
    </row>
    <row r="52" spans="1:6" ht="18.95" customHeight="1">
      <c r="A52" s="70">
        <f>A51+1</f>
        <v>36</v>
      </c>
      <c r="C52" s="383" t="s">
        <v>2106</v>
      </c>
      <c r="D52" s="130"/>
    </row>
    <row r="53" spans="1:6" ht="18.95" customHeight="1">
      <c r="A53" s="70">
        <f>A52+1</f>
        <v>37</v>
      </c>
      <c r="B53" s="71" t="s">
        <v>1662</v>
      </c>
      <c r="C53" s="78" t="s">
        <v>154</v>
      </c>
      <c r="D53" s="130">
        <f>'JURISSEP F'!G1162</f>
        <v>0.95621085870522038</v>
      </c>
      <c r="E53" s="363" t="s">
        <v>341</v>
      </c>
      <c r="F53" s="376" t="s">
        <v>2108</v>
      </c>
    </row>
    <row r="54" spans="1:6" ht="18.95" customHeight="1">
      <c r="A54" s="70">
        <f t="shared" ref="A54:A98" si="4">A53+1</f>
        <v>38</v>
      </c>
      <c r="B54" s="71" t="s">
        <v>1663</v>
      </c>
      <c r="C54" s="78" t="s">
        <v>148</v>
      </c>
      <c r="D54" s="130">
        <f>D$53</f>
        <v>0.95621085870522038</v>
      </c>
      <c r="E54" s="363" t="s">
        <v>341</v>
      </c>
      <c r="F54" s="376" t="s">
        <v>2108</v>
      </c>
    </row>
    <row r="55" spans="1:6" ht="18.95" customHeight="1">
      <c r="A55" s="70">
        <f t="shared" si="4"/>
        <v>39</v>
      </c>
      <c r="B55" s="71" t="s">
        <v>1664</v>
      </c>
      <c r="C55" s="78" t="s">
        <v>149</v>
      </c>
      <c r="D55" s="130">
        <f t="shared" ref="D55:D60" si="5">D$53</f>
        <v>0.95621085870522038</v>
      </c>
      <c r="E55" s="363" t="s">
        <v>341</v>
      </c>
      <c r="F55" s="376" t="s">
        <v>2108</v>
      </c>
    </row>
    <row r="56" spans="1:6" ht="18.95" customHeight="1">
      <c r="A56" s="70">
        <f t="shared" si="4"/>
        <v>40</v>
      </c>
      <c r="B56" s="71" t="s">
        <v>1665</v>
      </c>
      <c r="C56" s="78" t="s">
        <v>1666</v>
      </c>
      <c r="D56" s="130">
        <f t="shared" si="5"/>
        <v>0.95621085870522038</v>
      </c>
      <c r="E56" s="363" t="s">
        <v>341</v>
      </c>
      <c r="F56" s="376" t="s">
        <v>2108</v>
      </c>
    </row>
    <row r="57" spans="1:6" ht="18.95" customHeight="1">
      <c r="A57" s="70">
        <f t="shared" si="4"/>
        <v>41</v>
      </c>
      <c r="B57" s="71" t="s">
        <v>1667</v>
      </c>
      <c r="C57" s="78" t="s">
        <v>1668</v>
      </c>
      <c r="D57" s="130">
        <f t="shared" si="5"/>
        <v>0.95621085870522038</v>
      </c>
      <c r="E57" s="363" t="s">
        <v>341</v>
      </c>
      <c r="F57" s="376" t="s">
        <v>2108</v>
      </c>
    </row>
    <row r="58" spans="1:6" ht="18.95" customHeight="1">
      <c r="A58" s="70">
        <f t="shared" si="4"/>
        <v>42</v>
      </c>
      <c r="B58" s="71" t="s">
        <v>1669</v>
      </c>
      <c r="C58" s="78" t="s">
        <v>1670</v>
      </c>
      <c r="D58" s="130">
        <f t="shared" si="5"/>
        <v>0.95621085870522038</v>
      </c>
      <c r="E58" s="363" t="s">
        <v>341</v>
      </c>
      <c r="F58" s="376" t="s">
        <v>2108</v>
      </c>
    </row>
    <row r="59" spans="1:6" ht="18.95" customHeight="1">
      <c r="A59" s="70">
        <f t="shared" si="4"/>
        <v>43</v>
      </c>
      <c r="B59" s="71" t="s">
        <v>1671</v>
      </c>
      <c r="C59" s="78" t="s">
        <v>1672</v>
      </c>
      <c r="D59" s="130">
        <f t="shared" si="5"/>
        <v>0.95621085870522038</v>
      </c>
      <c r="E59" s="363" t="s">
        <v>341</v>
      </c>
      <c r="F59" s="376" t="s">
        <v>2108</v>
      </c>
    </row>
    <row r="60" spans="1:6" ht="18.95" customHeight="1">
      <c r="A60" s="70">
        <f t="shared" si="4"/>
        <v>44</v>
      </c>
      <c r="B60" s="71" t="s">
        <v>1673</v>
      </c>
      <c r="C60" s="78" t="s">
        <v>1674</v>
      </c>
      <c r="D60" s="130">
        <f t="shared" si="5"/>
        <v>0.95621085870522038</v>
      </c>
      <c r="E60" s="363" t="s">
        <v>341</v>
      </c>
      <c r="F60" s="376" t="s">
        <v>2108</v>
      </c>
    </row>
    <row r="61" spans="1:6" s="68" customFormat="1" ht="20.100000000000001" customHeight="1">
      <c r="A61" s="769" t="str">
        <f>A$1</f>
        <v>KENTUCKY UTILITIES COMPANY</v>
      </c>
      <c r="B61" s="769"/>
      <c r="C61" s="769"/>
      <c r="D61" s="769"/>
      <c r="E61" s="769"/>
      <c r="F61" s="769"/>
    </row>
    <row r="62" spans="1:6" s="68" customFormat="1" ht="20.100000000000001" customHeight="1">
      <c r="A62" s="769" t="str">
        <f>A$2</f>
        <v>CASE NO. 2018-00294 - RESPONSE TO PSC 2-65 (SLIPPAGE FACTOR 96.027%)</v>
      </c>
      <c r="B62" s="769"/>
      <c r="C62" s="769"/>
      <c r="D62" s="769"/>
      <c r="E62" s="769"/>
      <c r="F62" s="769"/>
    </row>
    <row r="63" spans="1:6" s="68" customFormat="1" ht="20.100000000000001" customHeight="1">
      <c r="A63" s="769" t="s">
        <v>1455</v>
      </c>
      <c r="B63" s="769"/>
      <c r="C63" s="769"/>
      <c r="D63" s="769"/>
      <c r="E63" s="769"/>
      <c r="F63" s="769"/>
    </row>
    <row r="64" spans="1:6" s="68" customFormat="1" ht="20.100000000000001" customHeight="1">
      <c r="A64" s="768" t="str">
        <f>A$4</f>
        <v>FORECAST PERIOD FOR THE 12 MONTHS ENDED APRIL 30, 2020</v>
      </c>
      <c r="B64" s="769"/>
      <c r="C64" s="769"/>
      <c r="D64" s="769"/>
      <c r="E64" s="769"/>
      <c r="F64" s="769"/>
    </row>
    <row r="65" spans="1:6" s="68" customFormat="1" ht="20.100000000000001" customHeight="1">
      <c r="A65" s="374"/>
      <c r="B65" s="374"/>
      <c r="C65" s="374"/>
      <c r="D65" s="374"/>
      <c r="E65" s="374"/>
      <c r="F65" s="374"/>
    </row>
    <row r="66" spans="1:6" s="68" customFormat="1" ht="20.100000000000001" customHeight="1">
      <c r="A66" s="67" t="str">
        <f>A$6</f>
        <v>DATA:____BASE  PERIOD__X__FORECASTED  PERIOD</v>
      </c>
      <c r="B66" s="67"/>
      <c r="E66" s="375"/>
      <c r="F66" s="74" t="s">
        <v>1454</v>
      </c>
    </row>
    <row r="67" spans="1:6" s="68" customFormat="1" ht="20.100000000000001" customHeight="1">
      <c r="A67" s="67" t="str">
        <f>A$7</f>
        <v>TYPE OF FILING: __X__ ORIGINAL  _____ UPDATED  _____ REVISED</v>
      </c>
      <c r="E67" s="375"/>
      <c r="F67" s="74" t="s">
        <v>2176</v>
      </c>
    </row>
    <row r="68" spans="1:6" s="68" customFormat="1" ht="20.100000000000001" customHeight="1">
      <c r="A68" s="67" t="str">
        <f>A$8</f>
        <v xml:space="preserve">WORKPAPER REFERENCE NO(S).: </v>
      </c>
      <c r="B68" s="67"/>
      <c r="E68" s="375"/>
      <c r="F68" s="75" t="str">
        <f>F$8</f>
        <v>WITNESS:   C. M. GARRETT</v>
      </c>
    </row>
    <row r="69" spans="1:6" s="68" customFormat="1" ht="20.100000000000001" customHeight="1">
      <c r="E69" s="375"/>
    </row>
    <row r="70" spans="1:6" ht="58.5" customHeight="1">
      <c r="A70" s="76" t="s">
        <v>131</v>
      </c>
      <c r="B70" s="76" t="s">
        <v>134</v>
      </c>
      <c r="C70" s="79" t="s">
        <v>2101</v>
      </c>
      <c r="D70" s="76" t="s">
        <v>224</v>
      </c>
      <c r="E70" s="76" t="s">
        <v>2103</v>
      </c>
      <c r="F70" s="76" t="s">
        <v>1453</v>
      </c>
    </row>
    <row r="71" spans="1:6" ht="23.1" customHeight="1">
      <c r="A71" s="80"/>
      <c r="B71" s="80"/>
      <c r="C71" s="81"/>
      <c r="D71" s="82"/>
      <c r="E71" s="82"/>
      <c r="F71" s="82"/>
    </row>
    <row r="72" spans="1:6" ht="18.95" customHeight="1">
      <c r="A72" s="70">
        <f>A60+1</f>
        <v>45</v>
      </c>
      <c r="B72" s="71" t="s">
        <v>1675</v>
      </c>
      <c r="C72" s="78" t="s">
        <v>152</v>
      </c>
      <c r="D72" s="130">
        <f t="shared" ref="D72" si="6">D$53</f>
        <v>0.95621085870522038</v>
      </c>
      <c r="E72" s="363" t="s">
        <v>341</v>
      </c>
      <c r="F72" s="376" t="s">
        <v>2108</v>
      </c>
    </row>
    <row r="73" spans="1:6" ht="18.95" customHeight="1">
      <c r="A73" s="70">
        <f>A72+1</f>
        <v>46</v>
      </c>
      <c r="B73" s="384" t="s">
        <v>2125</v>
      </c>
      <c r="C73" s="78" t="s">
        <v>2102</v>
      </c>
      <c r="D73" s="130">
        <f>('JURISSEP F'!G$131+'JURISSEP F'!G$132)/('JURISSEP F'!E$131+'JURISSEP F'!E$132)</f>
        <v>0.61030438797161957</v>
      </c>
      <c r="E73" s="363" t="s">
        <v>312</v>
      </c>
      <c r="F73" s="694" t="s">
        <v>3404</v>
      </c>
    </row>
    <row r="74" spans="1:6" ht="18.95" customHeight="1">
      <c r="A74" s="70"/>
      <c r="B74" s="71"/>
      <c r="D74" s="130"/>
    </row>
    <row r="75" spans="1:6" ht="18.95" customHeight="1">
      <c r="A75" s="70">
        <f>A73+1</f>
        <v>47</v>
      </c>
      <c r="C75" s="383" t="s">
        <v>2110</v>
      </c>
      <c r="D75" s="130"/>
    </row>
    <row r="76" spans="1:6" ht="18.95" customHeight="1">
      <c r="A76" s="70">
        <f>A75+1</f>
        <v>48</v>
      </c>
      <c r="B76" s="71" t="s">
        <v>1662</v>
      </c>
      <c r="C76" s="78" t="s">
        <v>154</v>
      </c>
      <c r="D76" s="130">
        <v>0</v>
      </c>
      <c r="E76" s="363" t="s">
        <v>733</v>
      </c>
      <c r="F76" s="376" t="s">
        <v>2109</v>
      </c>
    </row>
    <row r="77" spans="1:6" ht="18.95" customHeight="1">
      <c r="A77" s="70">
        <f t="shared" si="4"/>
        <v>49</v>
      </c>
      <c r="B77" s="71" t="s">
        <v>1663</v>
      </c>
      <c r="C77" s="78" t="s">
        <v>148</v>
      </c>
      <c r="D77" s="130">
        <v>0</v>
      </c>
      <c r="E77" s="363" t="s">
        <v>733</v>
      </c>
      <c r="F77" s="376" t="s">
        <v>2109</v>
      </c>
    </row>
    <row r="78" spans="1:6" ht="18.95" customHeight="1">
      <c r="A78" s="70">
        <f t="shared" si="4"/>
        <v>50</v>
      </c>
      <c r="B78" s="71" t="s">
        <v>1664</v>
      </c>
      <c r="C78" s="78" t="s">
        <v>149</v>
      </c>
      <c r="D78" s="130">
        <v>0</v>
      </c>
      <c r="E78" s="363" t="s">
        <v>733</v>
      </c>
      <c r="F78" s="376" t="s">
        <v>2109</v>
      </c>
    </row>
    <row r="79" spans="1:6" ht="18.95" customHeight="1">
      <c r="A79" s="70">
        <f t="shared" si="4"/>
        <v>51</v>
      </c>
      <c r="B79" s="71" t="s">
        <v>1665</v>
      </c>
      <c r="C79" s="78" t="s">
        <v>1666</v>
      </c>
      <c r="D79" s="130">
        <v>0</v>
      </c>
      <c r="E79" s="363" t="s">
        <v>733</v>
      </c>
      <c r="F79" s="376" t="s">
        <v>2109</v>
      </c>
    </row>
    <row r="80" spans="1:6" ht="18.95" customHeight="1">
      <c r="A80" s="70">
        <f t="shared" si="4"/>
        <v>52</v>
      </c>
      <c r="B80" s="71" t="s">
        <v>1667</v>
      </c>
      <c r="C80" s="78" t="s">
        <v>1668</v>
      </c>
      <c r="D80" s="130">
        <v>0</v>
      </c>
      <c r="E80" s="363" t="s">
        <v>733</v>
      </c>
      <c r="F80" s="376" t="s">
        <v>2109</v>
      </c>
    </row>
    <row r="81" spans="1:6" ht="18.95" customHeight="1">
      <c r="A81" s="70">
        <f t="shared" si="4"/>
        <v>53</v>
      </c>
      <c r="B81" s="71" t="s">
        <v>1669</v>
      </c>
      <c r="C81" s="78" t="s">
        <v>1670</v>
      </c>
      <c r="D81" s="130">
        <v>0</v>
      </c>
      <c r="E81" s="363" t="s">
        <v>733</v>
      </c>
      <c r="F81" s="376" t="s">
        <v>2109</v>
      </c>
    </row>
    <row r="82" spans="1:6" ht="18.95" customHeight="1">
      <c r="A82" s="70">
        <f>A81+1</f>
        <v>54</v>
      </c>
      <c r="B82" s="384" t="s">
        <v>2126</v>
      </c>
      <c r="C82" s="78" t="s">
        <v>2102</v>
      </c>
      <c r="D82" s="130">
        <v>0</v>
      </c>
      <c r="E82" s="363" t="s">
        <v>733</v>
      </c>
      <c r="F82" s="376" t="s">
        <v>2109</v>
      </c>
    </row>
    <row r="83" spans="1:6" ht="18.95" customHeight="1">
      <c r="A83" s="70"/>
      <c r="B83" s="71"/>
      <c r="D83" s="130"/>
    </row>
    <row r="84" spans="1:6" ht="18.95" customHeight="1">
      <c r="A84" s="70">
        <f>A73+1</f>
        <v>47</v>
      </c>
      <c r="B84" s="71" t="s">
        <v>251</v>
      </c>
      <c r="C84" s="382" t="s">
        <v>16</v>
      </c>
      <c r="D84" s="130"/>
    </row>
    <row r="85" spans="1:6" ht="18.95" customHeight="1">
      <c r="A85" s="70">
        <f>A84+1</f>
        <v>48</v>
      </c>
      <c r="C85" s="383" t="s">
        <v>2106</v>
      </c>
      <c r="D85" s="130"/>
    </row>
    <row r="86" spans="1:6" ht="18.95" customHeight="1">
      <c r="A86" s="70">
        <f>A85+1</f>
        <v>49</v>
      </c>
      <c r="B86" s="71" t="s">
        <v>1676</v>
      </c>
      <c r="C86" s="78" t="s">
        <v>154</v>
      </c>
      <c r="D86" s="130">
        <f>'JURISSEP F'!G1167</f>
        <v>0.99900839798395258</v>
      </c>
      <c r="E86" s="363" t="s">
        <v>733</v>
      </c>
      <c r="F86" s="376" t="s">
        <v>2113</v>
      </c>
    </row>
    <row r="87" spans="1:6" ht="18.95" customHeight="1">
      <c r="A87" s="70">
        <f t="shared" si="4"/>
        <v>50</v>
      </c>
      <c r="B87" s="71" t="s">
        <v>1677</v>
      </c>
      <c r="C87" s="78" t="s">
        <v>148</v>
      </c>
      <c r="D87" s="130">
        <f>'JURISSEP F'!G1168</f>
        <v>0.98720392608566176</v>
      </c>
      <c r="E87" s="363" t="s">
        <v>733</v>
      </c>
      <c r="F87" s="376" t="s">
        <v>2113</v>
      </c>
    </row>
    <row r="88" spans="1:6" ht="18.95" customHeight="1">
      <c r="A88" s="70">
        <f t="shared" si="4"/>
        <v>51</v>
      </c>
      <c r="B88" s="71" t="s">
        <v>1678</v>
      </c>
      <c r="C88" s="78" t="s">
        <v>1679</v>
      </c>
      <c r="D88" s="130">
        <f>'JURISSEP F'!G1169</f>
        <v>0.98673170906015362</v>
      </c>
      <c r="E88" s="363" t="s">
        <v>733</v>
      </c>
      <c r="F88" s="376" t="s">
        <v>2113</v>
      </c>
    </row>
    <row r="89" spans="1:6" ht="18.95" customHeight="1">
      <c r="A89" s="70">
        <f t="shared" si="4"/>
        <v>52</v>
      </c>
      <c r="B89" s="71" t="s">
        <v>1680</v>
      </c>
      <c r="C89" s="78" t="s">
        <v>1681</v>
      </c>
      <c r="D89" s="130">
        <f>'JURISSEP F'!G1170</f>
        <v>1</v>
      </c>
      <c r="E89" s="363" t="s">
        <v>733</v>
      </c>
      <c r="F89" s="376" t="s">
        <v>2112</v>
      </c>
    </row>
    <row r="90" spans="1:6" ht="18.95" customHeight="1">
      <c r="A90" s="70">
        <f t="shared" si="4"/>
        <v>53</v>
      </c>
      <c r="B90" s="71" t="s">
        <v>1682</v>
      </c>
      <c r="C90" s="78" t="s">
        <v>1670</v>
      </c>
      <c r="D90" s="130">
        <f>'JURISSEP F'!G1171</f>
        <v>1</v>
      </c>
      <c r="E90" s="363" t="s">
        <v>733</v>
      </c>
      <c r="F90" s="376" t="s">
        <v>2112</v>
      </c>
    </row>
    <row r="91" spans="1:6" ht="18.95" customHeight="1">
      <c r="A91" s="70">
        <f t="shared" si="4"/>
        <v>54</v>
      </c>
      <c r="B91" s="71" t="s">
        <v>1683</v>
      </c>
      <c r="C91" s="78" t="s">
        <v>1672</v>
      </c>
      <c r="D91" s="130">
        <f>'JURISSEP F'!G1172</f>
        <v>1</v>
      </c>
      <c r="E91" s="363" t="s">
        <v>733</v>
      </c>
      <c r="F91" s="376" t="s">
        <v>2112</v>
      </c>
    </row>
    <row r="92" spans="1:6" ht="18.95" customHeight="1">
      <c r="A92" s="70">
        <f t="shared" si="4"/>
        <v>55</v>
      </c>
      <c r="B92" s="71" t="s">
        <v>1684</v>
      </c>
      <c r="C92" s="78" t="s">
        <v>1674</v>
      </c>
      <c r="D92" s="130">
        <f>'JURISSEP F'!G1173</f>
        <v>1</v>
      </c>
      <c r="E92" s="363" t="s">
        <v>733</v>
      </c>
      <c r="F92" s="376" t="s">
        <v>2112</v>
      </c>
    </row>
    <row r="93" spans="1:6" ht="18.95" customHeight="1">
      <c r="A93" s="70">
        <f t="shared" si="4"/>
        <v>56</v>
      </c>
      <c r="B93" s="71" t="s">
        <v>1685</v>
      </c>
      <c r="C93" s="78" t="s">
        <v>1686</v>
      </c>
      <c r="D93" s="130">
        <f>'JURISSEP F'!G171/'JURISSEP F'!E171</f>
        <v>1</v>
      </c>
      <c r="E93" s="363" t="s">
        <v>733</v>
      </c>
      <c r="F93" s="376" t="s">
        <v>2112</v>
      </c>
    </row>
    <row r="94" spans="1:6" ht="18.95" customHeight="1">
      <c r="A94" s="70">
        <f t="shared" si="4"/>
        <v>57</v>
      </c>
      <c r="B94" s="71" t="s">
        <v>1687</v>
      </c>
      <c r="C94" s="78" t="s">
        <v>1688</v>
      </c>
      <c r="D94" s="130">
        <f>'JURISSEP F'!G172/'JURISSEP F'!E172</f>
        <v>1</v>
      </c>
      <c r="E94" s="363" t="s">
        <v>733</v>
      </c>
      <c r="F94" s="376" t="s">
        <v>2112</v>
      </c>
    </row>
    <row r="95" spans="1:6" ht="18.95" customHeight="1">
      <c r="A95" s="70">
        <f>A94+1</f>
        <v>58</v>
      </c>
      <c r="B95" s="71" t="s">
        <v>1689</v>
      </c>
      <c r="C95" s="78" t="s">
        <v>1690</v>
      </c>
      <c r="D95" s="130">
        <f>'JURISSEP F'!G173/'JURISSEP F'!E173</f>
        <v>0.99939957498329324</v>
      </c>
      <c r="E95" s="363" t="s">
        <v>733</v>
      </c>
      <c r="F95" s="376" t="s">
        <v>2113</v>
      </c>
    </row>
    <row r="96" spans="1:6" ht="18.95" customHeight="1">
      <c r="A96" s="70">
        <f t="shared" si="4"/>
        <v>59</v>
      </c>
      <c r="B96" s="71" t="s">
        <v>1691</v>
      </c>
      <c r="C96" s="78" t="s">
        <v>1692</v>
      </c>
      <c r="D96" s="130">
        <f>'JURISSEP F'!G174/'JURISSEP F'!E174</f>
        <v>1</v>
      </c>
      <c r="E96" s="363" t="s">
        <v>733</v>
      </c>
      <c r="F96" s="376" t="s">
        <v>2112</v>
      </c>
    </row>
    <row r="97" spans="1:6" ht="18.95" customHeight="1">
      <c r="A97" s="70">
        <f t="shared" si="4"/>
        <v>60</v>
      </c>
      <c r="B97" s="71" t="s">
        <v>1693</v>
      </c>
      <c r="C97" s="78" t="s">
        <v>1694</v>
      </c>
      <c r="D97" s="130">
        <f>'JURISSEP F'!G175/'JURISSEP F'!E175</f>
        <v>1</v>
      </c>
      <c r="E97" s="363" t="s">
        <v>733</v>
      </c>
      <c r="F97" s="376" t="s">
        <v>2112</v>
      </c>
    </row>
    <row r="98" spans="1:6" ht="18.95" customHeight="1">
      <c r="A98" s="70">
        <f t="shared" si="4"/>
        <v>61</v>
      </c>
      <c r="B98" s="71" t="s">
        <v>1695</v>
      </c>
      <c r="C98" s="78" t="s">
        <v>151</v>
      </c>
      <c r="D98" s="130">
        <f>'JURISSEP F'!G176/'JURISSEP F'!E176</f>
        <v>1</v>
      </c>
      <c r="E98" s="363" t="s">
        <v>733</v>
      </c>
      <c r="F98" s="376" t="s">
        <v>2112</v>
      </c>
    </row>
    <row r="99" spans="1:6" ht="18.95" customHeight="1">
      <c r="A99" s="70"/>
      <c r="B99" s="71"/>
      <c r="C99" s="78"/>
      <c r="D99" s="130"/>
    </row>
    <row r="100" spans="1:6" ht="18.95" customHeight="1">
      <c r="A100" s="70">
        <f>A98+1</f>
        <v>62</v>
      </c>
      <c r="C100" s="383" t="s">
        <v>2110</v>
      </c>
      <c r="D100" s="130"/>
    </row>
    <row r="101" spans="1:6" ht="18.95" customHeight="1">
      <c r="A101" s="70">
        <f>A100+1</f>
        <v>63</v>
      </c>
      <c r="B101" s="71" t="s">
        <v>1676</v>
      </c>
      <c r="C101" s="78" t="s">
        <v>154</v>
      </c>
      <c r="D101" s="130">
        <v>0</v>
      </c>
      <c r="E101" s="363" t="s">
        <v>733</v>
      </c>
      <c r="F101" s="376" t="s">
        <v>2109</v>
      </c>
    </row>
    <row r="102" spans="1:6" ht="18.95" customHeight="1">
      <c r="A102" s="70">
        <f t="shared" ref="A102:A112" si="7">A101+1</f>
        <v>64</v>
      </c>
      <c r="B102" s="71" t="s">
        <v>1677</v>
      </c>
      <c r="C102" s="78" t="s">
        <v>148</v>
      </c>
      <c r="D102" s="130">
        <v>0</v>
      </c>
      <c r="E102" s="363" t="s">
        <v>733</v>
      </c>
      <c r="F102" s="376" t="s">
        <v>2109</v>
      </c>
    </row>
    <row r="103" spans="1:6" ht="18.95" customHeight="1">
      <c r="A103" s="70">
        <f t="shared" si="7"/>
        <v>65</v>
      </c>
      <c r="B103" s="71" t="s">
        <v>1678</v>
      </c>
      <c r="C103" s="78" t="s">
        <v>1679</v>
      </c>
      <c r="D103" s="130">
        <v>0</v>
      </c>
      <c r="E103" s="363" t="s">
        <v>733</v>
      </c>
      <c r="F103" s="376" t="s">
        <v>2109</v>
      </c>
    </row>
    <row r="104" spans="1:6" ht="18.95" customHeight="1">
      <c r="A104" s="70">
        <f t="shared" si="7"/>
        <v>66</v>
      </c>
      <c r="B104" s="71" t="s">
        <v>1680</v>
      </c>
      <c r="C104" s="78" t="s">
        <v>1681</v>
      </c>
      <c r="D104" s="130">
        <v>0</v>
      </c>
      <c r="E104" s="363" t="s">
        <v>733</v>
      </c>
      <c r="F104" s="376" t="s">
        <v>2109</v>
      </c>
    </row>
    <row r="105" spans="1:6" ht="18.95" customHeight="1">
      <c r="A105" s="70">
        <f t="shared" si="7"/>
        <v>67</v>
      </c>
      <c r="B105" s="71" t="s">
        <v>1682</v>
      </c>
      <c r="C105" s="78" t="s">
        <v>1670</v>
      </c>
      <c r="D105" s="130">
        <v>0</v>
      </c>
      <c r="E105" s="363" t="s">
        <v>733</v>
      </c>
      <c r="F105" s="376" t="s">
        <v>2109</v>
      </c>
    </row>
    <row r="106" spans="1:6" ht="18.95" customHeight="1">
      <c r="A106" s="70">
        <f t="shared" si="7"/>
        <v>68</v>
      </c>
      <c r="B106" s="71" t="s">
        <v>1683</v>
      </c>
      <c r="C106" s="78" t="s">
        <v>1672</v>
      </c>
      <c r="D106" s="130">
        <v>0</v>
      </c>
      <c r="E106" s="363" t="s">
        <v>733</v>
      </c>
      <c r="F106" s="376" t="s">
        <v>2109</v>
      </c>
    </row>
    <row r="107" spans="1:6" ht="18.95" customHeight="1">
      <c r="A107" s="70">
        <f t="shared" si="7"/>
        <v>69</v>
      </c>
      <c r="B107" s="71" t="s">
        <v>1684</v>
      </c>
      <c r="C107" s="78" t="s">
        <v>1674</v>
      </c>
      <c r="D107" s="130">
        <v>0</v>
      </c>
      <c r="E107" s="363" t="s">
        <v>733</v>
      </c>
      <c r="F107" s="376" t="s">
        <v>2109</v>
      </c>
    </row>
    <row r="108" spans="1:6" ht="18.95" customHeight="1">
      <c r="A108" s="70">
        <f t="shared" si="7"/>
        <v>70</v>
      </c>
      <c r="B108" s="71" t="s">
        <v>1685</v>
      </c>
      <c r="C108" s="78" t="s">
        <v>1686</v>
      </c>
      <c r="D108" s="130">
        <v>0</v>
      </c>
      <c r="E108" s="363" t="s">
        <v>733</v>
      </c>
      <c r="F108" s="376" t="s">
        <v>2109</v>
      </c>
    </row>
    <row r="109" spans="1:6" ht="18.95" customHeight="1">
      <c r="A109" s="70">
        <f t="shared" si="7"/>
        <v>71</v>
      </c>
      <c r="B109" s="71" t="s">
        <v>1687</v>
      </c>
      <c r="C109" s="78" t="s">
        <v>1688</v>
      </c>
      <c r="D109" s="130">
        <v>0</v>
      </c>
      <c r="E109" s="363" t="s">
        <v>733</v>
      </c>
      <c r="F109" s="376" t="s">
        <v>2109</v>
      </c>
    </row>
    <row r="110" spans="1:6" ht="18.95" customHeight="1">
      <c r="A110" s="70">
        <f>A109+1</f>
        <v>72</v>
      </c>
      <c r="B110" s="71" t="s">
        <v>1689</v>
      </c>
      <c r="C110" s="78" t="s">
        <v>1690</v>
      </c>
      <c r="D110" s="130">
        <v>0</v>
      </c>
      <c r="E110" s="363" t="s">
        <v>733</v>
      </c>
      <c r="F110" s="376" t="s">
        <v>2109</v>
      </c>
    </row>
    <row r="111" spans="1:6" ht="18.95" customHeight="1">
      <c r="A111" s="70">
        <f t="shared" si="7"/>
        <v>73</v>
      </c>
      <c r="B111" s="71" t="s">
        <v>1691</v>
      </c>
      <c r="C111" s="78" t="s">
        <v>1692</v>
      </c>
      <c r="D111" s="130">
        <v>0</v>
      </c>
      <c r="E111" s="363" t="s">
        <v>733</v>
      </c>
      <c r="F111" s="376" t="s">
        <v>2109</v>
      </c>
    </row>
    <row r="112" spans="1:6" ht="18.95" customHeight="1">
      <c r="A112" s="70">
        <f t="shared" si="7"/>
        <v>74</v>
      </c>
      <c r="B112" s="71" t="s">
        <v>1693</v>
      </c>
      <c r="C112" s="78" t="s">
        <v>1694</v>
      </c>
      <c r="D112" s="130">
        <v>0</v>
      </c>
      <c r="E112" s="363" t="s">
        <v>733</v>
      </c>
      <c r="F112" s="376" t="s">
        <v>2109</v>
      </c>
    </row>
    <row r="113" spans="1:6" ht="18.95" customHeight="1">
      <c r="A113" s="70"/>
      <c r="B113" s="71"/>
      <c r="C113" s="78"/>
      <c r="D113" s="130"/>
    </row>
    <row r="114" spans="1:6" ht="18.95" customHeight="1">
      <c r="A114" s="70">
        <f>A112+1</f>
        <v>75</v>
      </c>
      <c r="C114" s="383" t="s">
        <v>2111</v>
      </c>
      <c r="D114" s="130"/>
    </row>
    <row r="115" spans="1:6" ht="18.95" customHeight="1">
      <c r="A115" s="70">
        <f>A114+1</f>
        <v>76</v>
      </c>
      <c r="B115" s="71" t="s">
        <v>1676</v>
      </c>
      <c r="C115" s="78" t="s">
        <v>154</v>
      </c>
      <c r="D115" s="130">
        <v>0</v>
      </c>
      <c r="E115" s="363" t="s">
        <v>733</v>
      </c>
      <c r="F115" s="376" t="s">
        <v>2114</v>
      </c>
    </row>
    <row r="116" spans="1:6" ht="18.95" customHeight="1">
      <c r="A116" s="70">
        <f t="shared" ref="A116:A136" si="8">A115+1</f>
        <v>77</v>
      </c>
      <c r="B116" s="71" t="s">
        <v>1677</v>
      </c>
      <c r="C116" s="78" t="s">
        <v>148</v>
      </c>
      <c r="D116" s="130">
        <v>0</v>
      </c>
      <c r="E116" s="363" t="s">
        <v>733</v>
      </c>
      <c r="F116" s="376" t="s">
        <v>2114</v>
      </c>
    </row>
    <row r="117" spans="1:6" ht="18.95" customHeight="1">
      <c r="A117" s="70">
        <f t="shared" si="8"/>
        <v>78</v>
      </c>
      <c r="B117" s="71" t="s">
        <v>1678</v>
      </c>
      <c r="C117" s="78" t="s">
        <v>1679</v>
      </c>
      <c r="D117" s="130">
        <v>0</v>
      </c>
      <c r="E117" s="363" t="s">
        <v>733</v>
      </c>
      <c r="F117" s="376" t="s">
        <v>2114</v>
      </c>
    </row>
    <row r="118" spans="1:6" ht="18.95" customHeight="1">
      <c r="A118" s="70">
        <f t="shared" si="8"/>
        <v>79</v>
      </c>
      <c r="B118" s="71" t="s">
        <v>1680</v>
      </c>
      <c r="C118" s="78" t="s">
        <v>1681</v>
      </c>
      <c r="D118" s="130">
        <v>0</v>
      </c>
      <c r="E118" s="363" t="s">
        <v>733</v>
      </c>
      <c r="F118" s="376" t="s">
        <v>2114</v>
      </c>
    </row>
    <row r="119" spans="1:6" ht="18.95" customHeight="1">
      <c r="A119" s="70">
        <f t="shared" si="8"/>
        <v>80</v>
      </c>
      <c r="B119" s="71" t="s">
        <v>1682</v>
      </c>
      <c r="C119" s="78" t="s">
        <v>1670</v>
      </c>
      <c r="D119" s="130">
        <v>0</v>
      </c>
      <c r="E119" s="363" t="s">
        <v>733</v>
      </c>
      <c r="F119" s="376" t="s">
        <v>2114</v>
      </c>
    </row>
    <row r="120" spans="1:6" ht="18.95" customHeight="1">
      <c r="A120" s="70">
        <f t="shared" si="8"/>
        <v>81</v>
      </c>
      <c r="B120" s="71" t="s">
        <v>1683</v>
      </c>
      <c r="C120" s="78" t="s">
        <v>1672</v>
      </c>
      <c r="D120" s="130">
        <v>0</v>
      </c>
      <c r="E120" s="363" t="s">
        <v>733</v>
      </c>
      <c r="F120" s="376" t="s">
        <v>2114</v>
      </c>
    </row>
    <row r="121" spans="1:6" ht="18.95" customHeight="1">
      <c r="A121" s="70">
        <f t="shared" si="8"/>
        <v>82</v>
      </c>
      <c r="B121" s="71" t="s">
        <v>1684</v>
      </c>
      <c r="C121" s="78" t="s">
        <v>1674</v>
      </c>
      <c r="D121" s="130">
        <v>0</v>
      </c>
      <c r="E121" s="363" t="s">
        <v>733</v>
      </c>
      <c r="F121" s="376" t="s">
        <v>2114</v>
      </c>
    </row>
    <row r="122" spans="1:6" s="68" customFormat="1" ht="20.100000000000001" customHeight="1">
      <c r="A122" s="769" t="str">
        <f>A$1</f>
        <v>KENTUCKY UTILITIES COMPANY</v>
      </c>
      <c r="B122" s="769"/>
      <c r="C122" s="769"/>
      <c r="D122" s="769"/>
      <c r="E122" s="769"/>
      <c r="F122" s="769"/>
    </row>
    <row r="123" spans="1:6" s="68" customFormat="1" ht="20.100000000000001" customHeight="1">
      <c r="A123" s="769" t="str">
        <f>A$2</f>
        <v>CASE NO. 2018-00294 - RESPONSE TO PSC 2-65 (SLIPPAGE FACTOR 96.027%)</v>
      </c>
      <c r="B123" s="769"/>
      <c r="C123" s="769"/>
      <c r="D123" s="769"/>
      <c r="E123" s="769"/>
      <c r="F123" s="769"/>
    </row>
    <row r="124" spans="1:6" s="68" customFormat="1" ht="20.100000000000001" customHeight="1">
      <c r="A124" s="769" t="s">
        <v>1455</v>
      </c>
      <c r="B124" s="769"/>
      <c r="C124" s="769"/>
      <c r="D124" s="769"/>
      <c r="E124" s="769"/>
      <c r="F124" s="769"/>
    </row>
    <row r="125" spans="1:6" s="68" customFormat="1" ht="20.100000000000001" customHeight="1">
      <c r="A125" s="768" t="str">
        <f>A$4</f>
        <v>FORECAST PERIOD FOR THE 12 MONTHS ENDED APRIL 30, 2020</v>
      </c>
      <c r="B125" s="769"/>
      <c r="C125" s="769"/>
      <c r="D125" s="769"/>
      <c r="E125" s="769"/>
      <c r="F125" s="769"/>
    </row>
    <row r="126" spans="1:6" s="68" customFormat="1" ht="20.100000000000001" customHeight="1">
      <c r="A126" s="374"/>
      <c r="B126" s="374"/>
      <c r="C126" s="374"/>
      <c r="D126" s="374"/>
      <c r="E126" s="374"/>
      <c r="F126" s="374"/>
    </row>
    <row r="127" spans="1:6" s="68" customFormat="1" ht="20.100000000000001" customHeight="1">
      <c r="A127" s="67" t="str">
        <f>A$6</f>
        <v>DATA:____BASE  PERIOD__X__FORECASTED  PERIOD</v>
      </c>
      <c r="B127" s="67"/>
      <c r="E127" s="375"/>
      <c r="F127" s="74" t="s">
        <v>1454</v>
      </c>
    </row>
    <row r="128" spans="1:6" s="68" customFormat="1" ht="20.100000000000001" customHeight="1">
      <c r="A128" s="67" t="str">
        <f>A$7</f>
        <v>TYPE OF FILING: __X__ ORIGINAL  _____ UPDATED  _____ REVISED</v>
      </c>
      <c r="E128" s="375"/>
      <c r="F128" s="74" t="s">
        <v>2178</v>
      </c>
    </row>
    <row r="129" spans="1:6" s="68" customFormat="1" ht="20.100000000000001" customHeight="1">
      <c r="A129" s="67" t="str">
        <f>A$8</f>
        <v xml:space="preserve">WORKPAPER REFERENCE NO(S).: </v>
      </c>
      <c r="B129" s="67"/>
      <c r="E129" s="375"/>
      <c r="F129" s="75" t="str">
        <f>F$8</f>
        <v>WITNESS:   C. M. GARRETT</v>
      </c>
    </row>
    <row r="130" spans="1:6" s="68" customFormat="1" ht="20.100000000000001" customHeight="1">
      <c r="E130" s="375"/>
    </row>
    <row r="131" spans="1:6" ht="58.5" customHeight="1">
      <c r="A131" s="76" t="s">
        <v>131</v>
      </c>
      <c r="B131" s="76" t="s">
        <v>134</v>
      </c>
      <c r="C131" s="79" t="s">
        <v>2101</v>
      </c>
      <c r="D131" s="76" t="s">
        <v>224</v>
      </c>
      <c r="E131" s="76" t="s">
        <v>2103</v>
      </c>
      <c r="F131" s="76" t="s">
        <v>1453</v>
      </c>
    </row>
    <row r="132" spans="1:6" ht="23.1" customHeight="1">
      <c r="A132" s="80"/>
      <c r="B132" s="80"/>
      <c r="C132" s="81"/>
      <c r="D132" s="82"/>
      <c r="E132" s="82"/>
      <c r="F132" s="82"/>
    </row>
    <row r="133" spans="1:6" ht="18.95" customHeight="1">
      <c r="A133" s="70">
        <f>A121+1</f>
        <v>83</v>
      </c>
      <c r="B133" s="71" t="s">
        <v>1685</v>
      </c>
      <c r="C133" s="78" t="s">
        <v>1686</v>
      </c>
      <c r="D133" s="130">
        <v>0</v>
      </c>
      <c r="E133" s="363" t="s">
        <v>733</v>
      </c>
      <c r="F133" s="376" t="s">
        <v>2114</v>
      </c>
    </row>
    <row r="134" spans="1:6" ht="18.95" customHeight="1">
      <c r="A134" s="70">
        <f t="shared" si="8"/>
        <v>84</v>
      </c>
      <c r="B134" s="71" t="s">
        <v>1687</v>
      </c>
      <c r="C134" s="78" t="s">
        <v>1688</v>
      </c>
      <c r="D134" s="130">
        <v>0</v>
      </c>
      <c r="E134" s="363" t="s">
        <v>733</v>
      </c>
      <c r="F134" s="376" t="s">
        <v>2114</v>
      </c>
    </row>
    <row r="135" spans="1:6" ht="18.95" customHeight="1">
      <c r="A135" s="70">
        <f>A134+1</f>
        <v>85</v>
      </c>
      <c r="B135" s="71" t="s">
        <v>1689</v>
      </c>
      <c r="C135" s="78" t="s">
        <v>1690</v>
      </c>
      <c r="D135" s="130">
        <v>0</v>
      </c>
      <c r="E135" s="363" t="s">
        <v>733</v>
      </c>
      <c r="F135" s="376" t="s">
        <v>2114</v>
      </c>
    </row>
    <row r="136" spans="1:6" ht="18.95" customHeight="1">
      <c r="A136" s="70">
        <f t="shared" si="8"/>
        <v>86</v>
      </c>
      <c r="B136" s="71" t="s">
        <v>1691</v>
      </c>
      <c r="C136" s="78" t="s">
        <v>1692</v>
      </c>
      <c r="D136" s="130">
        <v>0</v>
      </c>
      <c r="E136" s="363" t="s">
        <v>733</v>
      </c>
      <c r="F136" s="376" t="s">
        <v>2114</v>
      </c>
    </row>
    <row r="137" spans="1:6" ht="18.95" customHeight="1">
      <c r="A137" s="70"/>
      <c r="B137" s="71"/>
      <c r="C137" s="78"/>
      <c r="D137" s="130"/>
      <c r="E137" s="363"/>
    </row>
    <row r="138" spans="1:6" ht="18.95" customHeight="1">
      <c r="A138" s="70">
        <f>A136+1</f>
        <v>87</v>
      </c>
      <c r="C138" s="382" t="s">
        <v>32</v>
      </c>
      <c r="D138" s="130"/>
      <c r="E138" s="363"/>
    </row>
    <row r="139" spans="1:6" ht="18.95" customHeight="1">
      <c r="A139" s="70">
        <f t="shared" ref="A139:A147" si="9">A138+1</f>
        <v>88</v>
      </c>
      <c r="B139" s="71" t="s">
        <v>1697</v>
      </c>
      <c r="C139" s="78" t="s">
        <v>154</v>
      </c>
      <c r="D139" s="130">
        <f>'JURISSEP F'!G213/'JURISSEP F'!E213</f>
        <v>0.94067565256622832</v>
      </c>
      <c r="E139" s="363" t="s">
        <v>419</v>
      </c>
      <c r="F139" s="376" t="s">
        <v>2117</v>
      </c>
    </row>
    <row r="140" spans="1:6" ht="18.95" customHeight="1">
      <c r="A140" s="70">
        <f t="shared" si="9"/>
        <v>89</v>
      </c>
      <c r="B140" s="71" t="s">
        <v>1698</v>
      </c>
      <c r="C140" s="78" t="s">
        <v>148</v>
      </c>
      <c r="D140" s="130">
        <f>'JURISSEP F'!G214/'JURISSEP F'!E214</f>
        <v>0.94067565256622832</v>
      </c>
      <c r="E140" s="363" t="s">
        <v>419</v>
      </c>
      <c r="F140" s="376" t="s">
        <v>2117</v>
      </c>
    </row>
    <row r="141" spans="1:6" ht="18.95" customHeight="1">
      <c r="A141" s="70">
        <f t="shared" si="9"/>
        <v>90</v>
      </c>
      <c r="B141" s="71" t="s">
        <v>1699</v>
      </c>
      <c r="C141" s="78" t="s">
        <v>156</v>
      </c>
      <c r="D141" s="130">
        <f>'JURISSEP F'!G215/'JURISSEP F'!E215</f>
        <v>0.94067565256622832</v>
      </c>
      <c r="E141" s="363" t="s">
        <v>419</v>
      </c>
      <c r="F141" s="376" t="s">
        <v>2117</v>
      </c>
    </row>
    <row r="142" spans="1:6" ht="18.95" customHeight="1">
      <c r="A142" s="70">
        <f t="shared" si="9"/>
        <v>91</v>
      </c>
      <c r="B142" s="71" t="s">
        <v>1700</v>
      </c>
      <c r="C142" s="78" t="s">
        <v>155</v>
      </c>
      <c r="D142" s="130">
        <f>'JURISSEP F'!G216/'JURISSEP F'!E216</f>
        <v>0.94067565256622843</v>
      </c>
      <c r="E142" s="363" t="s">
        <v>419</v>
      </c>
      <c r="F142" s="376" t="s">
        <v>2117</v>
      </c>
    </row>
    <row r="143" spans="1:6" ht="18.95" customHeight="1">
      <c r="A143" s="70">
        <f t="shared" si="9"/>
        <v>92</v>
      </c>
      <c r="B143" s="71" t="s">
        <v>1701</v>
      </c>
      <c r="C143" s="78" t="s">
        <v>1702</v>
      </c>
      <c r="D143" s="130">
        <f>'JURISSEP F'!G217/'JURISSEP F'!E217</f>
        <v>0.94067565256622832</v>
      </c>
      <c r="E143" s="363" t="s">
        <v>419</v>
      </c>
      <c r="F143" s="376" t="s">
        <v>2117</v>
      </c>
    </row>
    <row r="144" spans="1:6" ht="18.95" customHeight="1">
      <c r="A144" s="70">
        <f t="shared" si="9"/>
        <v>93</v>
      </c>
      <c r="B144" s="71" t="s">
        <v>1703</v>
      </c>
      <c r="C144" s="78" t="s">
        <v>1704</v>
      </c>
      <c r="D144" s="130">
        <f>'JURISSEP F'!G218/'JURISSEP F'!E218</f>
        <v>0.94067565256622832</v>
      </c>
      <c r="E144" s="363" t="s">
        <v>419</v>
      </c>
      <c r="F144" s="376" t="s">
        <v>2117</v>
      </c>
    </row>
    <row r="145" spans="1:6" ht="18.95" customHeight="1">
      <c r="A145" s="70">
        <f t="shared" si="9"/>
        <v>94</v>
      </c>
      <c r="B145" s="71" t="s">
        <v>1705</v>
      </c>
      <c r="C145" s="78" t="s">
        <v>1706</v>
      </c>
      <c r="D145" s="130">
        <f>D139</f>
        <v>0.94067565256622832</v>
      </c>
      <c r="E145" s="363" t="s">
        <v>419</v>
      </c>
      <c r="F145" s="376" t="s">
        <v>2117</v>
      </c>
    </row>
    <row r="146" spans="1:6" ht="18.95" customHeight="1">
      <c r="A146" s="70">
        <f>A145+1</f>
        <v>95</v>
      </c>
      <c r="B146" s="71" t="s">
        <v>1707</v>
      </c>
      <c r="C146" s="78" t="s">
        <v>1708</v>
      </c>
      <c r="D146" s="130">
        <f>'JURISSEP F'!G220/'JURISSEP F'!E220</f>
        <v>0.94067565256622832</v>
      </c>
      <c r="E146" s="363" t="s">
        <v>419</v>
      </c>
      <c r="F146" s="376" t="s">
        <v>2117</v>
      </c>
    </row>
    <row r="147" spans="1:6" ht="18.95" customHeight="1">
      <c r="A147" s="70">
        <f t="shared" si="9"/>
        <v>96</v>
      </c>
      <c r="B147" s="71" t="s">
        <v>1709</v>
      </c>
      <c r="C147" s="78" t="s">
        <v>157</v>
      </c>
      <c r="D147" s="130">
        <f>'JURISSEP F'!G224/'JURISSEP F'!E224</f>
        <v>0.94768839965425578</v>
      </c>
      <c r="E147" s="363" t="s">
        <v>2118</v>
      </c>
      <c r="F147" s="376" t="s">
        <v>2119</v>
      </c>
    </row>
    <row r="148" spans="1:6" ht="18.95" customHeight="1">
      <c r="A148" s="70">
        <f>A147+1</f>
        <v>97</v>
      </c>
      <c r="B148" s="71" t="s">
        <v>1710</v>
      </c>
      <c r="C148" s="78" t="s">
        <v>1711</v>
      </c>
      <c r="D148" s="130">
        <f>D139</f>
        <v>0.94067565256622832</v>
      </c>
      <c r="E148" s="363" t="s">
        <v>419</v>
      </c>
      <c r="F148" s="376" t="s">
        <v>2117</v>
      </c>
    </row>
    <row r="149" spans="1:6" ht="18.95" customHeight="1">
      <c r="A149" s="70"/>
      <c r="B149" s="71"/>
      <c r="C149" s="78"/>
      <c r="D149" s="130"/>
      <c r="E149" s="363"/>
      <c r="F149" s="376"/>
    </row>
    <row r="150" spans="1:6" ht="18.95" customHeight="1">
      <c r="A150" s="70">
        <f>A148+1</f>
        <v>98</v>
      </c>
      <c r="B150" s="71"/>
      <c r="C150" s="381" t="s">
        <v>1200</v>
      </c>
      <c r="D150" s="130"/>
      <c r="E150" s="363"/>
      <c r="F150" s="376"/>
    </row>
    <row r="151" spans="1:6" ht="18.95" customHeight="1">
      <c r="A151" s="70">
        <f>A150+1</f>
        <v>99</v>
      </c>
      <c r="B151" s="71">
        <v>302</v>
      </c>
      <c r="C151" s="78" t="s">
        <v>1623</v>
      </c>
      <c r="D151" s="130">
        <f>'JURISSEP F'!G275/'JURISSEP F'!E275</f>
        <v>1</v>
      </c>
      <c r="E151" s="363"/>
      <c r="F151" s="376" t="s">
        <v>2120</v>
      </c>
    </row>
    <row r="152" spans="1:6" ht="18.95" customHeight="1">
      <c r="A152" s="70">
        <f t="shared" ref="A152" si="10">A151+1</f>
        <v>100</v>
      </c>
      <c r="B152" s="71">
        <v>303</v>
      </c>
      <c r="C152" s="78" t="s">
        <v>1625</v>
      </c>
      <c r="D152" s="130">
        <f>'JURISSEP F'!G276/'JURISSEP F'!E276</f>
        <v>0.93497392644131883</v>
      </c>
      <c r="E152" s="363"/>
      <c r="F152" s="376" t="s">
        <v>2121</v>
      </c>
    </row>
    <row r="153" spans="1:6" ht="18.95" customHeight="1">
      <c r="A153" s="70">
        <f>A152+1</f>
        <v>101</v>
      </c>
      <c r="B153" s="384" t="s">
        <v>2127</v>
      </c>
      <c r="C153" s="385" t="s">
        <v>72</v>
      </c>
      <c r="D153" s="130">
        <f>'JURISSEP F'!G$1249</f>
        <v>0.93741603079505242</v>
      </c>
      <c r="E153" s="363" t="s">
        <v>444</v>
      </c>
      <c r="F153" s="376" t="s">
        <v>2128</v>
      </c>
    </row>
    <row r="154" spans="1:6" ht="18.95" customHeight="1">
      <c r="A154" s="70">
        <f>A153+1</f>
        <v>102</v>
      </c>
      <c r="B154" s="384" t="s">
        <v>2130</v>
      </c>
      <c r="C154" s="385" t="s">
        <v>47</v>
      </c>
      <c r="D154" s="130">
        <f>'JURISSEP F'!G1250</f>
        <v>0.93741603079505242</v>
      </c>
      <c r="E154" s="363" t="s">
        <v>449</v>
      </c>
      <c r="F154" s="376" t="s">
        <v>2131</v>
      </c>
    </row>
    <row r="155" spans="1:6" ht="18.95" customHeight="1">
      <c r="A155" s="70">
        <f>A154+1</f>
        <v>103</v>
      </c>
      <c r="B155" s="384" t="s">
        <v>2133</v>
      </c>
      <c r="C155" s="385" t="s">
        <v>61</v>
      </c>
      <c r="D155" s="130">
        <f>'JURISSEP F'!G1251</f>
        <v>0.93741603079505242</v>
      </c>
      <c r="E155" s="363" t="s">
        <v>452</v>
      </c>
      <c r="F155" s="376" t="s">
        <v>2132</v>
      </c>
    </row>
    <row r="156" spans="1:6" ht="18.95" customHeight="1">
      <c r="A156" s="70">
        <f t="shared" ref="A156:A159" si="11">A155+1</f>
        <v>104</v>
      </c>
      <c r="B156" s="384" t="s">
        <v>2136</v>
      </c>
      <c r="C156" s="385" t="s">
        <v>2134</v>
      </c>
      <c r="D156" s="130">
        <f>'JURISSEP F'!G1252</f>
        <v>0.95484303469782972</v>
      </c>
      <c r="E156" s="363" t="s">
        <v>1006</v>
      </c>
      <c r="F156" s="376" t="s">
        <v>2138</v>
      </c>
    </row>
    <row r="157" spans="1:6" ht="18.95" customHeight="1">
      <c r="A157" s="70">
        <f t="shared" si="11"/>
        <v>105</v>
      </c>
      <c r="B157" s="384" t="s">
        <v>2137</v>
      </c>
      <c r="C157" s="385" t="s">
        <v>2135</v>
      </c>
      <c r="D157" s="130">
        <f>'JURISSEP F'!G1272</f>
        <v>0.12118051552446073</v>
      </c>
      <c r="E157" s="363" t="s">
        <v>459</v>
      </c>
      <c r="F157" s="376" t="s">
        <v>2156</v>
      </c>
    </row>
    <row r="158" spans="1:6" ht="18.95" customHeight="1">
      <c r="A158" s="70">
        <f t="shared" si="11"/>
        <v>106</v>
      </c>
      <c r="B158" s="384" t="s">
        <v>2142</v>
      </c>
      <c r="C158" s="385" t="s">
        <v>2140</v>
      </c>
      <c r="D158" s="130">
        <f>'JURISSEP F'!G270/'JURISSEP F'!E270</f>
        <v>0.99809893542499251</v>
      </c>
      <c r="E158" s="363" t="s">
        <v>2143</v>
      </c>
      <c r="F158" s="376" t="s">
        <v>2144</v>
      </c>
    </row>
    <row r="159" spans="1:6" ht="18.95" customHeight="1">
      <c r="A159" s="70">
        <f t="shared" si="11"/>
        <v>107</v>
      </c>
      <c r="B159" s="384" t="s">
        <v>2141</v>
      </c>
      <c r="C159" s="385" t="s">
        <v>2139</v>
      </c>
      <c r="D159" s="130">
        <v>0</v>
      </c>
      <c r="E159" s="363" t="s">
        <v>464</v>
      </c>
      <c r="F159" s="376" t="s">
        <v>2145</v>
      </c>
    </row>
    <row r="160" spans="1:6" ht="18.95" customHeight="1">
      <c r="A160" s="70">
        <f>A159+1</f>
        <v>108</v>
      </c>
      <c r="B160" s="384" t="s">
        <v>2146</v>
      </c>
      <c r="C160" s="385" t="s">
        <v>2147</v>
      </c>
      <c r="D160" s="130">
        <f>'JURISSEP F'!G273/'JURISSEP F'!E273</f>
        <v>0.94275660489659019</v>
      </c>
      <c r="E160" s="363" t="s">
        <v>468</v>
      </c>
      <c r="F160" s="376" t="s">
        <v>2148</v>
      </c>
    </row>
    <row r="161" spans="1:6" ht="18.95" customHeight="1">
      <c r="A161" s="70">
        <f>A160+1</f>
        <v>109</v>
      </c>
      <c r="B161" s="384" t="s">
        <v>2129</v>
      </c>
      <c r="C161" s="78" t="s">
        <v>2102</v>
      </c>
      <c r="D161" s="130">
        <f>SUM('JURISSEP F'!G244,'JURISSEP F'!G245,'JURISSEP F'!G250,'JURISSEP F'!G251,'JURISSEP F'!G256,'JURISSEP F'!G257,'JURISSEP F'!G265,'JURISSEP F'!G266)/SUM('JURISSEP F'!E244,'JURISSEP F'!E245,'JURISSEP F'!E250,'JURISSEP F'!E251,'JURISSEP F'!E256,'JURISSEP F'!E257,'JURISSEP F'!E265,'JURISSEP F'!E266)</f>
        <v>0.6057984824119973</v>
      </c>
      <c r="E161" s="363" t="s">
        <v>312</v>
      </c>
      <c r="F161" s="694" t="s">
        <v>3404</v>
      </c>
    </row>
    <row r="162" spans="1:6" ht="18.95" customHeight="1">
      <c r="A162" s="70"/>
      <c r="B162" s="384"/>
      <c r="C162" s="385"/>
      <c r="D162" s="130"/>
      <c r="E162" s="363"/>
      <c r="F162" s="376"/>
    </row>
    <row r="163" spans="1:6" ht="18.95" customHeight="1">
      <c r="A163" s="70">
        <f>A161+1</f>
        <v>110</v>
      </c>
      <c r="B163" s="384"/>
      <c r="C163" s="381" t="s">
        <v>476</v>
      </c>
      <c r="D163" s="130"/>
      <c r="E163" s="363"/>
      <c r="F163" s="376"/>
    </row>
    <row r="164" spans="1:6" ht="18.95" customHeight="1">
      <c r="A164" s="70">
        <f>A163+1</f>
        <v>111</v>
      </c>
      <c r="B164" s="384" t="s">
        <v>2153</v>
      </c>
      <c r="C164" s="78" t="s">
        <v>2149</v>
      </c>
      <c r="D164" s="130">
        <f>'JURISSEP F'!G1260</f>
        <v>0.93741603079505231</v>
      </c>
      <c r="E164" s="363" t="s">
        <v>478</v>
      </c>
      <c r="F164" s="376" t="s">
        <v>2151</v>
      </c>
    </row>
    <row r="165" spans="1:6" ht="18.95" customHeight="1">
      <c r="A165" s="70">
        <f t="shared" ref="A165:A170" si="12">A164+1</f>
        <v>112</v>
      </c>
      <c r="B165" s="384" t="s">
        <v>2136</v>
      </c>
      <c r="C165" s="385" t="s">
        <v>2134</v>
      </c>
      <c r="D165" s="130">
        <f>'JURISSEP F'!G$1344</f>
        <v>0.95549789727752465</v>
      </c>
      <c r="E165" s="363" t="s">
        <v>457</v>
      </c>
      <c r="F165" s="376" t="s">
        <v>2138</v>
      </c>
    </row>
    <row r="166" spans="1:6" ht="18.95" customHeight="1">
      <c r="A166" s="70">
        <f t="shared" si="12"/>
        <v>113</v>
      </c>
      <c r="B166" s="384" t="s">
        <v>2137</v>
      </c>
      <c r="C166" s="385" t="s">
        <v>2135</v>
      </c>
      <c r="D166" s="130">
        <v>0</v>
      </c>
      <c r="E166" s="363" t="s">
        <v>484</v>
      </c>
      <c r="F166" s="376" t="s">
        <v>2155</v>
      </c>
    </row>
    <row r="167" spans="1:6" ht="18.95" customHeight="1">
      <c r="A167" s="70">
        <f t="shared" si="12"/>
        <v>114</v>
      </c>
      <c r="B167" s="384" t="s">
        <v>2142</v>
      </c>
      <c r="C167" s="385" t="s">
        <v>2140</v>
      </c>
      <c r="D167" s="130">
        <f>'JURISSEP F'!G1275</f>
        <v>1</v>
      </c>
      <c r="E167" s="363" t="s">
        <v>489</v>
      </c>
      <c r="F167" s="376" t="s">
        <v>2154</v>
      </c>
    </row>
    <row r="168" spans="1:6" ht="18.95" customHeight="1">
      <c r="A168" s="70">
        <f t="shared" si="12"/>
        <v>115</v>
      </c>
      <c r="B168" s="384" t="s">
        <v>2141</v>
      </c>
      <c r="C168" s="385" t="s">
        <v>2139</v>
      </c>
      <c r="D168" s="130">
        <v>0</v>
      </c>
      <c r="E168" s="363" t="s">
        <v>487</v>
      </c>
      <c r="F168" s="376" t="s">
        <v>2152</v>
      </c>
    </row>
    <row r="169" spans="1:6" ht="18.95" customHeight="1">
      <c r="A169" s="70">
        <f t="shared" si="12"/>
        <v>116</v>
      </c>
      <c r="B169" s="384" t="s">
        <v>2146</v>
      </c>
      <c r="C169" s="385" t="s">
        <v>2147</v>
      </c>
      <c r="D169" s="130">
        <f>'JURISSEP F'!G1257</f>
        <v>0.94275660489659019</v>
      </c>
      <c r="E169" s="363" t="s">
        <v>468</v>
      </c>
      <c r="F169" s="376" t="s">
        <v>2148</v>
      </c>
    </row>
    <row r="170" spans="1:6" ht="18.95" customHeight="1">
      <c r="A170" s="70">
        <f t="shared" si="12"/>
        <v>117</v>
      </c>
      <c r="B170" s="71" t="s">
        <v>2129</v>
      </c>
      <c r="C170" s="78" t="s">
        <v>2102</v>
      </c>
      <c r="D170" s="130">
        <f>('JURISSEP F'!G$290)/('JURISSEP F'!E$290)</f>
        <v>0.7788225176236363</v>
      </c>
      <c r="E170" s="363" t="s">
        <v>312</v>
      </c>
      <c r="F170" s="694" t="s">
        <v>3404</v>
      </c>
    </row>
    <row r="171" spans="1:6" ht="18.95" customHeight="1">
      <c r="A171" s="70"/>
      <c r="B171" s="71"/>
      <c r="C171" s="78"/>
      <c r="D171" s="130"/>
      <c r="E171" s="363"/>
      <c r="F171" s="376"/>
    </row>
    <row r="172" spans="1:6" ht="18.95" customHeight="1">
      <c r="A172" s="70">
        <f>A170+1</f>
        <v>118</v>
      </c>
      <c r="B172" s="71"/>
      <c r="C172" s="381" t="s">
        <v>492</v>
      </c>
      <c r="D172" s="130"/>
      <c r="E172" s="363"/>
      <c r="F172" s="376"/>
    </row>
    <row r="173" spans="1:6" ht="18.95" customHeight="1">
      <c r="A173" s="70">
        <f>A172+1</f>
        <v>119</v>
      </c>
      <c r="B173" s="71">
        <v>151</v>
      </c>
      <c r="C173" s="78" t="s">
        <v>2157</v>
      </c>
      <c r="D173" s="130">
        <f>'JURISSEP F'!G1210</f>
        <v>0.9410091595713157</v>
      </c>
      <c r="E173" s="363" t="s">
        <v>495</v>
      </c>
      <c r="F173" s="376" t="s">
        <v>2158</v>
      </c>
    </row>
    <row r="174" spans="1:6" ht="18.95" customHeight="1">
      <c r="A174" s="70">
        <f t="shared" ref="A174:A177" si="13">A173+1</f>
        <v>120</v>
      </c>
      <c r="B174" s="71">
        <v>154</v>
      </c>
      <c r="C174" s="78" t="s">
        <v>2159</v>
      </c>
      <c r="D174" s="130">
        <f>'JURISSEP F'!G$1264</f>
        <v>0.93152869719073295</v>
      </c>
      <c r="E174" s="363" t="s">
        <v>2160</v>
      </c>
      <c r="F174" s="376" t="s">
        <v>2161</v>
      </c>
    </row>
    <row r="175" spans="1:6" ht="18.95" customHeight="1">
      <c r="A175" s="70">
        <f t="shared" si="13"/>
        <v>121</v>
      </c>
      <c r="B175" s="71">
        <v>158</v>
      </c>
      <c r="C175" s="78" t="s">
        <v>2162</v>
      </c>
      <c r="D175" s="130">
        <f t="shared" ref="D175" si="14">D$19</f>
        <v>0.93741603079505242</v>
      </c>
      <c r="E175" s="363" t="s">
        <v>304</v>
      </c>
      <c r="F175" s="376" t="s">
        <v>2107</v>
      </c>
    </row>
    <row r="176" spans="1:6" ht="18.95" customHeight="1">
      <c r="A176" s="70">
        <f t="shared" si="13"/>
        <v>122</v>
      </c>
      <c r="B176" s="71">
        <v>163</v>
      </c>
      <c r="C176" s="78" t="s">
        <v>2163</v>
      </c>
      <c r="D176" s="130">
        <f>'JURISSEP F'!G$1264</f>
        <v>0.93152869719073295</v>
      </c>
      <c r="E176" s="363" t="s">
        <v>2164</v>
      </c>
      <c r="F176" s="376" t="s">
        <v>2165</v>
      </c>
    </row>
    <row r="177" spans="1:6" ht="18.95" customHeight="1">
      <c r="A177" s="70">
        <f t="shared" si="13"/>
        <v>123</v>
      </c>
      <c r="B177" s="71">
        <v>165</v>
      </c>
      <c r="C177" s="78" t="s">
        <v>1521</v>
      </c>
      <c r="D177" s="130">
        <f>'JURISSEP F'!G1265</f>
        <v>0.93752244198386425</v>
      </c>
      <c r="E177" s="363" t="s">
        <v>2166</v>
      </c>
      <c r="F177" s="376" t="s">
        <v>2167</v>
      </c>
    </row>
    <row r="178" spans="1:6" ht="18.95" customHeight="1">
      <c r="A178" s="70"/>
      <c r="B178" s="71"/>
      <c r="C178" s="78"/>
      <c r="D178" s="130"/>
      <c r="E178" s="363"/>
      <c r="F178" s="376"/>
    </row>
    <row r="179" spans="1:6" ht="33.75" customHeight="1">
      <c r="A179" s="70">
        <f>A177+1</f>
        <v>124</v>
      </c>
      <c r="B179" s="71"/>
      <c r="C179" s="381" t="s">
        <v>2268</v>
      </c>
      <c r="D179" s="130"/>
      <c r="E179" s="363"/>
      <c r="F179" s="376"/>
    </row>
    <row r="180" spans="1:6" ht="18.95" customHeight="1">
      <c r="A180" s="70">
        <f>A179+1</f>
        <v>125</v>
      </c>
      <c r="B180" s="70" t="s">
        <v>1452</v>
      </c>
      <c r="C180" s="78" t="s">
        <v>2149</v>
      </c>
      <c r="D180" s="130">
        <f>D164</f>
        <v>0.93741603079505231</v>
      </c>
      <c r="E180" s="363" t="s">
        <v>478</v>
      </c>
      <c r="F180" s="376" t="s">
        <v>2151</v>
      </c>
    </row>
    <row r="181" spans="1:6" ht="18.95" customHeight="1">
      <c r="A181" s="70">
        <f t="shared" ref="A181:A197" si="15">A180+1</f>
        <v>126</v>
      </c>
      <c r="B181" s="70" t="s">
        <v>1452</v>
      </c>
      <c r="C181" s="385" t="s">
        <v>2134</v>
      </c>
      <c r="D181" s="130">
        <f>D165</f>
        <v>0.95549789727752465</v>
      </c>
      <c r="E181" s="363" t="s">
        <v>457</v>
      </c>
      <c r="F181" s="376" t="s">
        <v>2138</v>
      </c>
    </row>
    <row r="182" spans="1:6" ht="18.95" customHeight="1">
      <c r="A182" s="70">
        <f t="shared" si="15"/>
        <v>127</v>
      </c>
      <c r="B182" s="70" t="s">
        <v>1452</v>
      </c>
      <c r="C182" s="385" t="s">
        <v>2135</v>
      </c>
      <c r="D182" s="130">
        <v>0</v>
      </c>
      <c r="E182" s="363" t="s">
        <v>484</v>
      </c>
      <c r="F182" s="376" t="s">
        <v>2155</v>
      </c>
    </row>
    <row r="183" spans="1:6" s="68" customFormat="1" ht="20.100000000000001" customHeight="1">
      <c r="A183" s="769" t="str">
        <f>A$1</f>
        <v>KENTUCKY UTILITIES COMPANY</v>
      </c>
      <c r="B183" s="769"/>
      <c r="C183" s="769"/>
      <c r="D183" s="769"/>
      <c r="E183" s="769"/>
      <c r="F183" s="769"/>
    </row>
    <row r="184" spans="1:6" s="68" customFormat="1" ht="20.100000000000001" customHeight="1">
      <c r="A184" s="769" t="str">
        <f>A$2</f>
        <v>CASE NO. 2018-00294 - RESPONSE TO PSC 2-65 (SLIPPAGE FACTOR 96.027%)</v>
      </c>
      <c r="B184" s="769"/>
      <c r="C184" s="769"/>
      <c r="D184" s="769"/>
      <c r="E184" s="769"/>
      <c r="F184" s="769"/>
    </row>
    <row r="185" spans="1:6" s="68" customFormat="1" ht="20.100000000000001" customHeight="1">
      <c r="A185" s="769" t="s">
        <v>1455</v>
      </c>
      <c r="B185" s="769"/>
      <c r="C185" s="769"/>
      <c r="D185" s="769"/>
      <c r="E185" s="769"/>
      <c r="F185" s="769"/>
    </row>
    <row r="186" spans="1:6" s="68" customFormat="1" ht="20.100000000000001" customHeight="1">
      <c r="A186" s="768" t="str">
        <f>A$4</f>
        <v>FORECAST PERIOD FOR THE 12 MONTHS ENDED APRIL 30, 2020</v>
      </c>
      <c r="B186" s="769"/>
      <c r="C186" s="769"/>
      <c r="D186" s="769"/>
      <c r="E186" s="769"/>
      <c r="F186" s="769"/>
    </row>
    <row r="187" spans="1:6" s="68" customFormat="1" ht="20.100000000000001" customHeight="1">
      <c r="A187" s="374"/>
      <c r="B187" s="374"/>
      <c r="C187" s="374"/>
      <c r="D187" s="374"/>
      <c r="E187" s="374"/>
      <c r="F187" s="374"/>
    </row>
    <row r="188" spans="1:6" s="68" customFormat="1" ht="20.100000000000001" customHeight="1">
      <c r="A188" s="67" t="str">
        <f>A$6</f>
        <v>DATA:____BASE  PERIOD__X__FORECASTED  PERIOD</v>
      </c>
      <c r="B188" s="67"/>
      <c r="E188" s="375"/>
      <c r="F188" s="74" t="s">
        <v>1454</v>
      </c>
    </row>
    <row r="189" spans="1:6" s="68" customFormat="1" ht="20.100000000000001" customHeight="1">
      <c r="A189" s="67" t="str">
        <f>A$7</f>
        <v>TYPE OF FILING: __X__ ORIGINAL  _____ UPDATED  _____ REVISED</v>
      </c>
      <c r="E189" s="375"/>
      <c r="F189" s="74" t="s">
        <v>2179</v>
      </c>
    </row>
    <row r="190" spans="1:6" s="68" customFormat="1" ht="20.100000000000001" customHeight="1">
      <c r="A190" s="67" t="str">
        <f>A$8</f>
        <v xml:space="preserve">WORKPAPER REFERENCE NO(S).: </v>
      </c>
      <c r="B190" s="67"/>
      <c r="E190" s="375"/>
      <c r="F190" s="75" t="str">
        <f>F$8</f>
        <v>WITNESS:   C. M. GARRETT</v>
      </c>
    </row>
    <row r="191" spans="1:6" s="68" customFormat="1" ht="20.100000000000001" customHeight="1">
      <c r="E191" s="375"/>
    </row>
    <row r="192" spans="1:6" ht="58.5" customHeight="1">
      <c r="A192" s="76" t="s">
        <v>131</v>
      </c>
      <c r="B192" s="76" t="s">
        <v>134</v>
      </c>
      <c r="C192" s="79" t="s">
        <v>2101</v>
      </c>
      <c r="D192" s="76" t="s">
        <v>224</v>
      </c>
      <c r="E192" s="76" t="s">
        <v>2103</v>
      </c>
      <c r="F192" s="76" t="s">
        <v>1453</v>
      </c>
    </row>
    <row r="193" spans="1:6" ht="23.1" customHeight="1">
      <c r="A193" s="80"/>
      <c r="B193" s="80"/>
      <c r="C193" s="81"/>
      <c r="D193" s="82"/>
      <c r="E193" s="82"/>
      <c r="F193" s="82"/>
    </row>
    <row r="194" spans="1:6" ht="18.95" customHeight="1">
      <c r="A194" s="70">
        <f>A182+1</f>
        <v>128</v>
      </c>
      <c r="B194" s="70" t="s">
        <v>1452</v>
      </c>
      <c r="C194" s="385" t="s">
        <v>2169</v>
      </c>
      <c r="D194" s="130">
        <f>D167</f>
        <v>1</v>
      </c>
      <c r="E194" s="363" t="s">
        <v>489</v>
      </c>
      <c r="F194" s="376" t="s">
        <v>2154</v>
      </c>
    </row>
    <row r="195" spans="1:6" ht="18.95" customHeight="1">
      <c r="A195" s="70">
        <f t="shared" si="15"/>
        <v>129</v>
      </c>
      <c r="B195" s="70" t="s">
        <v>1452</v>
      </c>
      <c r="C195" s="385" t="s">
        <v>2168</v>
      </c>
      <c r="D195" s="130">
        <v>0</v>
      </c>
      <c r="E195" s="363" t="s">
        <v>487</v>
      </c>
      <c r="F195" s="376" t="s">
        <v>2170</v>
      </c>
    </row>
    <row r="196" spans="1:6" ht="18.95" customHeight="1">
      <c r="A196" s="70">
        <f t="shared" si="15"/>
        <v>130</v>
      </c>
      <c r="B196" s="70" t="s">
        <v>1452</v>
      </c>
      <c r="C196" s="385" t="s">
        <v>2147</v>
      </c>
      <c r="D196" s="130">
        <f>D169</f>
        <v>0.94275660489659019</v>
      </c>
      <c r="E196" s="363" t="s">
        <v>468</v>
      </c>
      <c r="F196" s="376" t="s">
        <v>2148</v>
      </c>
    </row>
    <row r="197" spans="1:6" ht="18.95" customHeight="1">
      <c r="A197" s="70">
        <f t="shared" si="15"/>
        <v>131</v>
      </c>
      <c r="B197" s="70" t="s">
        <v>1452</v>
      </c>
      <c r="C197" s="78" t="s">
        <v>2102</v>
      </c>
      <c r="D197" s="130">
        <f>SUM('JURISSEP F'!G343,'JURISSEP F'!G344,'JURISSEP F'!G351,'JURISSEP F'!G352)/SUM('JURISSEP F'!E343,'JURISSEP F'!E344,'JURISSEP F'!E351,'JURISSEP F'!E352)</f>
        <v>0.77645703997269588</v>
      </c>
      <c r="E197" s="363" t="s">
        <v>312</v>
      </c>
      <c r="F197" s="694" t="s">
        <v>3404</v>
      </c>
    </row>
    <row r="198" spans="1:6" ht="18.95" customHeight="1">
      <c r="A198" s="70"/>
      <c r="B198" s="71"/>
      <c r="C198" s="78"/>
      <c r="D198" s="130"/>
      <c r="E198" s="363"/>
      <c r="F198" s="376"/>
    </row>
    <row r="199" spans="1:6" ht="18.95" customHeight="1">
      <c r="A199" s="70">
        <f>A197+1</f>
        <v>132</v>
      </c>
      <c r="B199" s="73">
        <v>252</v>
      </c>
      <c r="C199" s="78" t="s">
        <v>1191</v>
      </c>
      <c r="D199" s="130">
        <f>'JURISSEP F'!G1221</f>
        <v>0.97009645926567778</v>
      </c>
      <c r="E199" s="363" t="s">
        <v>537</v>
      </c>
      <c r="F199" s="376" t="s">
        <v>2171</v>
      </c>
    </row>
    <row r="200" spans="1:6" ht="18.95" customHeight="1">
      <c r="A200" s="70"/>
      <c r="B200" s="71"/>
      <c r="C200" s="78"/>
      <c r="D200" s="130"/>
      <c r="E200" s="363"/>
      <c r="F200" s="376"/>
    </row>
    <row r="201" spans="1:6" ht="18.95" customHeight="1">
      <c r="A201" s="70">
        <f>A199+1</f>
        <v>133</v>
      </c>
      <c r="B201" s="71">
        <v>255</v>
      </c>
      <c r="C201" s="78" t="s">
        <v>1442</v>
      </c>
      <c r="D201" s="130">
        <f>'JURISSEP F'!G1261</f>
        <v>0.93564668452359978</v>
      </c>
      <c r="E201" s="363" t="s">
        <v>498</v>
      </c>
      <c r="F201" s="376" t="s">
        <v>2150</v>
      </c>
    </row>
    <row r="202" spans="1:6" ht="18.95" customHeight="1">
      <c r="A202" s="70"/>
      <c r="B202" s="71"/>
      <c r="C202" s="78"/>
      <c r="D202" s="130"/>
      <c r="E202" s="363"/>
      <c r="F202" s="376"/>
    </row>
    <row r="203" spans="1:6" ht="18.95" customHeight="1">
      <c r="A203" s="70">
        <f>A201+1</f>
        <v>134</v>
      </c>
      <c r="B203" s="70" t="s">
        <v>2263</v>
      </c>
      <c r="C203" s="78" t="s">
        <v>2267</v>
      </c>
      <c r="D203" s="130">
        <f t="shared" ref="D203" si="16">D$19</f>
        <v>0.93741603079505242</v>
      </c>
      <c r="E203" s="363" t="s">
        <v>444</v>
      </c>
      <c r="F203" s="376" t="s">
        <v>2128</v>
      </c>
    </row>
    <row r="204" spans="1:6" ht="18.95" customHeight="1">
      <c r="A204" s="70"/>
      <c r="B204" s="71"/>
      <c r="C204" s="78"/>
      <c r="D204" s="130"/>
      <c r="E204" s="363"/>
      <c r="F204" s="376"/>
    </row>
    <row r="205" spans="1:6" ht="18.95" customHeight="1">
      <c r="A205" s="70"/>
      <c r="B205" s="71"/>
      <c r="C205" s="78"/>
      <c r="D205" s="130"/>
      <c r="E205" s="363"/>
      <c r="F205" s="376"/>
    </row>
    <row r="206" spans="1:6" ht="18.95" customHeight="1">
      <c r="A206" s="70"/>
      <c r="B206" s="71"/>
      <c r="C206" s="78"/>
      <c r="D206" s="130"/>
      <c r="E206" s="363"/>
      <c r="F206" s="376"/>
    </row>
    <row r="207" spans="1:6" ht="18.95" customHeight="1">
      <c r="A207" s="70"/>
      <c r="B207" s="71"/>
      <c r="C207" s="78"/>
      <c r="D207" s="130"/>
      <c r="E207" s="363"/>
      <c r="F207" s="376"/>
    </row>
    <row r="208" spans="1:6" ht="18.95" customHeight="1">
      <c r="A208" s="70"/>
      <c r="B208" s="71"/>
      <c r="C208" s="78"/>
      <c r="D208" s="130"/>
      <c r="E208" s="363"/>
      <c r="F208" s="376"/>
    </row>
    <row r="209" spans="1:6" ht="18.95" customHeight="1">
      <c r="A209" s="70"/>
      <c r="B209" s="71"/>
      <c r="C209" s="78"/>
      <c r="D209" s="130"/>
      <c r="E209" s="363"/>
      <c r="F209" s="376"/>
    </row>
    <row r="210" spans="1:6" ht="18.95" customHeight="1">
      <c r="A210" s="70"/>
      <c r="B210" s="71"/>
      <c r="C210" s="78"/>
      <c r="D210" s="130"/>
      <c r="E210" s="363"/>
      <c r="F210" s="376"/>
    </row>
    <row r="211" spans="1:6" ht="18.95" customHeight="1">
      <c r="A211" s="70"/>
      <c r="B211" s="71"/>
      <c r="C211" s="78"/>
      <c r="D211" s="130"/>
      <c r="E211" s="363"/>
      <c r="F211" s="376"/>
    </row>
    <row r="212" spans="1:6" ht="18.95" customHeight="1">
      <c r="A212" s="70"/>
      <c r="B212" s="71"/>
      <c r="C212" s="78"/>
      <c r="D212" s="130"/>
      <c r="E212" s="363"/>
      <c r="F212" s="376"/>
    </row>
    <row r="213" spans="1:6" ht="18.95" customHeight="1">
      <c r="A213" s="70"/>
      <c r="B213" s="71"/>
      <c r="C213" s="78"/>
      <c r="D213" s="130"/>
      <c r="E213" s="363"/>
      <c r="F213" s="376"/>
    </row>
    <row r="214" spans="1:6" ht="18.95" customHeight="1">
      <c r="A214" s="70"/>
      <c r="B214" s="71"/>
      <c r="C214" s="78"/>
      <c r="D214" s="130"/>
      <c r="E214" s="363"/>
      <c r="F214" s="376"/>
    </row>
    <row r="215" spans="1:6" ht="18.95" customHeight="1">
      <c r="A215" s="70"/>
      <c r="B215" s="71"/>
      <c r="C215" s="78"/>
      <c r="D215" s="130"/>
      <c r="E215" s="363"/>
      <c r="F215" s="376"/>
    </row>
    <row r="216" spans="1:6" ht="18.95" customHeight="1">
      <c r="A216" s="70"/>
      <c r="B216" s="71"/>
      <c r="C216" s="78"/>
      <c r="D216" s="130"/>
      <c r="E216" s="363"/>
      <c r="F216" s="376"/>
    </row>
    <row r="217" spans="1:6" ht="18.95" customHeight="1">
      <c r="A217" s="70"/>
      <c r="B217" s="71"/>
      <c r="C217" s="78"/>
      <c r="D217" s="130"/>
      <c r="E217" s="363"/>
      <c r="F217" s="376"/>
    </row>
    <row r="218" spans="1:6" ht="18.95" customHeight="1">
      <c r="A218" s="70"/>
      <c r="B218" s="71"/>
      <c r="C218" s="78"/>
      <c r="D218" s="130"/>
      <c r="E218" s="363"/>
      <c r="F218" s="376"/>
    </row>
    <row r="219" spans="1:6" ht="18.95" customHeight="1">
      <c r="A219" s="70"/>
      <c r="B219" s="71"/>
      <c r="C219" s="78"/>
      <c r="D219" s="130"/>
      <c r="E219" s="363"/>
      <c r="F219" s="376"/>
    </row>
    <row r="220" spans="1:6" ht="18.95" customHeight="1">
      <c r="A220" s="70"/>
      <c r="B220" s="71"/>
      <c r="C220" s="78"/>
      <c r="D220" s="130"/>
      <c r="E220" s="363"/>
      <c r="F220" s="376"/>
    </row>
    <row r="221" spans="1:6" ht="18.95" customHeight="1">
      <c r="A221" s="70"/>
      <c r="B221" s="71"/>
      <c r="C221" s="78"/>
      <c r="D221" s="130"/>
      <c r="E221" s="363"/>
      <c r="F221" s="376"/>
    </row>
    <row r="222" spans="1:6" ht="18.95" customHeight="1">
      <c r="A222" s="70"/>
      <c r="B222" s="71"/>
      <c r="C222" s="78"/>
      <c r="D222" s="130"/>
      <c r="E222" s="363"/>
      <c r="F222" s="376"/>
    </row>
    <row r="223" spans="1:6" ht="18.95" customHeight="1">
      <c r="A223" s="70"/>
      <c r="B223" s="71"/>
      <c r="C223" s="78"/>
      <c r="D223" s="130"/>
      <c r="E223" s="363"/>
      <c r="F223" s="376"/>
    </row>
    <row r="224" spans="1:6" ht="18.95" customHeight="1">
      <c r="A224" s="70"/>
      <c r="B224" s="71"/>
      <c r="C224" s="78"/>
      <c r="D224" s="130"/>
      <c r="E224" s="363"/>
      <c r="F224" s="376"/>
    </row>
    <row r="225" spans="1:6" ht="18.95" customHeight="1">
      <c r="A225" s="70"/>
      <c r="B225" s="71"/>
      <c r="C225" s="78"/>
      <c r="D225" s="130"/>
      <c r="E225" s="363"/>
      <c r="F225" s="376"/>
    </row>
    <row r="226" spans="1:6" ht="18.95" customHeight="1">
      <c r="A226" s="70"/>
      <c r="B226" s="71"/>
      <c r="C226" s="78"/>
      <c r="D226" s="130"/>
      <c r="E226" s="363"/>
      <c r="F226" s="376"/>
    </row>
    <row r="227" spans="1:6" ht="18.95" customHeight="1">
      <c r="A227" s="70"/>
      <c r="B227" s="71"/>
      <c r="C227" s="78"/>
      <c r="D227" s="130"/>
      <c r="E227" s="363"/>
      <c r="F227" s="376"/>
    </row>
    <row r="228" spans="1:6" ht="18.95" customHeight="1">
      <c r="A228" s="70"/>
      <c r="B228" s="71"/>
      <c r="C228" s="78"/>
      <c r="D228" s="130"/>
      <c r="E228" s="363"/>
      <c r="F228" s="376"/>
    </row>
    <row r="229" spans="1:6" ht="18.95" customHeight="1">
      <c r="A229" s="70"/>
      <c r="B229" s="71"/>
      <c r="C229" s="78"/>
      <c r="D229" s="130"/>
      <c r="E229" s="363"/>
      <c r="F229" s="376"/>
    </row>
    <row r="230" spans="1:6" ht="18.95" customHeight="1">
      <c r="A230" s="70"/>
      <c r="B230" s="71"/>
      <c r="C230" s="78"/>
      <c r="D230" s="130"/>
      <c r="E230" s="363"/>
      <c r="F230" s="376"/>
    </row>
    <row r="231" spans="1:6" ht="18.95" customHeight="1">
      <c r="A231" s="70"/>
      <c r="B231" s="71"/>
      <c r="C231" s="78"/>
      <c r="D231" s="130"/>
      <c r="E231" s="363"/>
      <c r="F231" s="376"/>
    </row>
    <row r="232" spans="1:6" ht="18.95" customHeight="1">
      <c r="A232" s="70"/>
      <c r="B232" s="71"/>
      <c r="C232" s="78"/>
      <c r="D232" s="130"/>
      <c r="E232" s="363"/>
      <c r="F232" s="376"/>
    </row>
    <row r="233" spans="1:6" ht="18.95" customHeight="1">
      <c r="A233" s="70"/>
      <c r="B233" s="71"/>
      <c r="C233" s="78"/>
      <c r="D233" s="130"/>
      <c r="E233" s="363"/>
      <c r="F233" s="376"/>
    </row>
    <row r="234" spans="1:6" ht="18.95" customHeight="1">
      <c r="A234" s="70"/>
      <c r="B234" s="71"/>
      <c r="C234" s="78"/>
      <c r="D234" s="130"/>
      <c r="E234" s="363"/>
      <c r="F234" s="376"/>
    </row>
    <row r="235" spans="1:6" ht="18.95" customHeight="1">
      <c r="A235" s="70"/>
      <c r="B235" s="71"/>
      <c r="C235" s="78"/>
      <c r="D235" s="130"/>
      <c r="E235" s="363"/>
      <c r="F235" s="376"/>
    </row>
    <row r="236" spans="1:6" ht="18.95" customHeight="1">
      <c r="A236" s="70"/>
      <c r="B236" s="71"/>
      <c r="C236" s="78"/>
      <c r="D236" s="130"/>
      <c r="E236" s="363"/>
      <c r="F236" s="376"/>
    </row>
    <row r="237" spans="1:6" ht="18.95" customHeight="1">
      <c r="A237" s="70"/>
      <c r="B237" s="71"/>
      <c r="C237" s="78"/>
      <c r="D237" s="130"/>
      <c r="E237" s="363"/>
      <c r="F237" s="376"/>
    </row>
    <row r="238" spans="1:6" ht="18.95" customHeight="1">
      <c r="A238" s="70"/>
      <c r="B238" s="71"/>
      <c r="C238" s="78"/>
      <c r="D238" s="130"/>
      <c r="E238" s="363"/>
      <c r="F238" s="376"/>
    </row>
    <row r="239" spans="1:6" ht="18.95" customHeight="1">
      <c r="A239" s="70"/>
      <c r="B239" s="71"/>
      <c r="C239" s="78"/>
      <c r="D239" s="130"/>
      <c r="E239" s="363"/>
      <c r="F239" s="376"/>
    </row>
    <row r="240" spans="1:6" ht="18.95" customHeight="1">
      <c r="A240" s="70"/>
      <c r="B240" s="71"/>
      <c r="C240" s="78"/>
      <c r="D240" s="130"/>
      <c r="E240" s="363"/>
      <c r="F240" s="376"/>
    </row>
    <row r="241" spans="1:6" ht="18.95" customHeight="1">
      <c r="A241" s="70"/>
      <c r="B241" s="71"/>
      <c r="C241" s="78"/>
      <c r="D241" s="130"/>
      <c r="E241" s="363"/>
      <c r="F241" s="376"/>
    </row>
    <row r="242" spans="1:6" ht="18.95" customHeight="1">
      <c r="A242" s="70"/>
      <c r="B242" s="71"/>
      <c r="C242" s="78"/>
      <c r="D242" s="130"/>
      <c r="E242" s="363"/>
      <c r="F242" s="376"/>
    </row>
    <row r="243" spans="1:6" ht="18.95" customHeight="1">
      <c r="A243" s="70"/>
      <c r="B243" s="71"/>
      <c r="C243" s="78"/>
      <c r="D243" s="130"/>
      <c r="E243" s="363"/>
      <c r="F243" s="376"/>
    </row>
    <row r="244" spans="1:6" ht="18.95" customHeight="1">
      <c r="A244" s="70"/>
      <c r="B244" s="71"/>
      <c r="C244" s="78"/>
      <c r="D244" s="130"/>
      <c r="E244" s="363"/>
      <c r="F244" s="376"/>
    </row>
    <row r="245" spans="1:6" ht="18.95" customHeight="1">
      <c r="A245" s="70"/>
      <c r="B245" s="71"/>
      <c r="C245" s="78"/>
      <c r="D245" s="130"/>
      <c r="E245" s="363"/>
      <c r="F245" s="376"/>
    </row>
    <row r="246" spans="1:6" ht="18.95" customHeight="1">
      <c r="A246" s="70"/>
      <c r="B246" s="71"/>
      <c r="C246" s="78"/>
      <c r="D246" s="130"/>
      <c r="E246" s="363"/>
      <c r="F246" s="376"/>
    </row>
    <row r="247" spans="1:6" ht="18.95" customHeight="1">
      <c r="A247" s="70"/>
      <c r="B247" s="71"/>
      <c r="C247" s="78"/>
      <c r="D247" s="130"/>
      <c r="E247" s="363"/>
      <c r="F247" s="376"/>
    </row>
    <row r="248" spans="1:6" ht="18.95" customHeight="1">
      <c r="A248" s="70"/>
      <c r="B248" s="71"/>
      <c r="C248" s="78"/>
      <c r="D248" s="130"/>
      <c r="E248" s="363"/>
      <c r="F248" s="376"/>
    </row>
    <row r="249" spans="1:6" ht="18.95" customHeight="1">
      <c r="A249" s="70"/>
      <c r="B249" s="71"/>
      <c r="C249" s="78"/>
      <c r="D249" s="130"/>
      <c r="E249" s="363"/>
      <c r="F249" s="376"/>
    </row>
    <row r="250" spans="1:6" ht="18.95" customHeight="1">
      <c r="A250" s="70"/>
      <c r="B250" s="71"/>
      <c r="C250" s="78"/>
      <c r="D250" s="130"/>
      <c r="E250" s="363"/>
      <c r="F250" s="376"/>
    </row>
    <row r="251" spans="1:6" ht="18.95" customHeight="1">
      <c r="A251" s="70"/>
      <c r="B251" s="71"/>
      <c r="C251" s="78"/>
      <c r="D251" s="130"/>
      <c r="E251" s="363"/>
      <c r="F251" s="376"/>
    </row>
    <row r="252" spans="1:6" ht="18.95" customHeight="1">
      <c r="A252" s="70"/>
      <c r="B252" s="71"/>
      <c r="C252" s="78"/>
      <c r="D252" s="130"/>
      <c r="E252" s="363"/>
      <c r="F252" s="376"/>
    </row>
    <row r="253" spans="1:6" ht="18.95" customHeight="1">
      <c r="A253" s="70"/>
      <c r="B253" s="71"/>
      <c r="C253" s="78"/>
      <c r="D253" s="130"/>
      <c r="E253" s="363"/>
      <c r="F253" s="376"/>
    </row>
    <row r="254" spans="1:6" ht="18.95" customHeight="1">
      <c r="A254" s="70"/>
      <c r="B254" s="71"/>
      <c r="C254" s="78"/>
      <c r="D254" s="130"/>
      <c r="E254" s="363"/>
      <c r="F254" s="376"/>
    </row>
    <row r="255" spans="1:6" ht="18.95" customHeight="1">
      <c r="A255" s="70"/>
      <c r="B255" s="71"/>
      <c r="C255" s="78"/>
      <c r="D255" s="130"/>
      <c r="E255" s="363"/>
      <c r="F255" s="376"/>
    </row>
    <row r="256" spans="1:6" ht="18.95" customHeight="1">
      <c r="A256" s="70"/>
      <c r="B256" s="71"/>
      <c r="C256" s="78"/>
      <c r="D256" s="130"/>
      <c r="E256" s="363"/>
      <c r="F256" s="376"/>
    </row>
    <row r="257" spans="1:6" ht="18.95" customHeight="1">
      <c r="A257" s="70"/>
      <c r="B257" s="71"/>
      <c r="C257" s="78"/>
      <c r="D257" s="130"/>
      <c r="E257" s="363"/>
      <c r="F257" s="376"/>
    </row>
    <row r="258" spans="1:6" ht="18.95" customHeight="1">
      <c r="A258" s="70"/>
      <c r="B258" s="71"/>
      <c r="C258" s="78"/>
      <c r="D258" s="130"/>
      <c r="E258" s="363"/>
      <c r="F258" s="376"/>
    </row>
    <row r="259" spans="1:6" ht="18.95" customHeight="1">
      <c r="A259" s="70"/>
      <c r="B259" s="71"/>
      <c r="C259" s="78"/>
      <c r="D259" s="130"/>
      <c r="E259" s="363"/>
      <c r="F259" s="376"/>
    </row>
    <row r="260" spans="1:6">
      <c r="D260" s="130"/>
    </row>
    <row r="261" spans="1:6">
      <c r="D261" s="130"/>
    </row>
  </sheetData>
  <mergeCells count="16">
    <mergeCell ref="A4:F4"/>
    <mergeCell ref="A1:F1"/>
    <mergeCell ref="A2:F2"/>
    <mergeCell ref="A3:F3"/>
    <mergeCell ref="A61:F61"/>
    <mergeCell ref="A62:F62"/>
    <mergeCell ref="A63:F63"/>
    <mergeCell ref="A64:F64"/>
    <mergeCell ref="A122:F122"/>
    <mergeCell ref="A185:F185"/>
    <mergeCell ref="A186:F186"/>
    <mergeCell ref="A123:F123"/>
    <mergeCell ref="A124:F124"/>
    <mergeCell ref="A125:F125"/>
    <mergeCell ref="A183:F183"/>
    <mergeCell ref="A184:F184"/>
  </mergeCells>
  <pageMargins left="0.95" right="0.5" top="0.75" bottom="0.75" header="0.3" footer="0.3"/>
  <pageSetup scale="55" fitToHeight="0" orientation="portrait" r:id="rId1"/>
  <rowBreaks count="3" manualBreakCount="3">
    <brk id="60" max="5" man="1"/>
    <brk id="121" max="5" man="1"/>
    <brk id="182"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zoomScaleNormal="100" workbookViewId="0">
      <selection activeCell="F18" sqref="F18"/>
    </sheetView>
  </sheetViews>
  <sheetFormatPr defaultColWidth="9" defaultRowHeight="12.75"/>
  <cols>
    <col min="1" max="1" width="6" style="69" customWidth="1"/>
    <col min="2" max="2" width="37.77734375" style="69" customWidth="1"/>
    <col min="3" max="3" width="15.77734375" style="69" customWidth="1"/>
    <col min="4" max="6" width="16.77734375" style="69" customWidth="1"/>
    <col min="7" max="7" width="15.21875" style="69" customWidth="1"/>
    <col min="8" max="8" width="1.6640625" style="69" customWidth="1"/>
    <col min="9" max="16384" width="9" style="69"/>
  </cols>
  <sheetData>
    <row r="1" spans="1:9" s="68" customFormat="1" ht="20.100000000000001" customHeight="1">
      <c r="A1" s="769" t="str">
        <f>'Rate Case Constants'!C9</f>
        <v>KENTUCKY UTILITIES COMPANY</v>
      </c>
      <c r="B1" s="769"/>
      <c r="C1" s="769"/>
      <c r="D1" s="769"/>
      <c r="E1" s="769"/>
      <c r="F1" s="769"/>
      <c r="G1" s="769"/>
    </row>
    <row r="2" spans="1:9" s="68" customFormat="1" ht="20.100000000000001" customHeight="1">
      <c r="A2" s="769" t="str">
        <f>'Rate Case Constants'!C10</f>
        <v>CASE NO. 2018-00294 - RESPONSE TO PSC 2-65 (SLIPPAGE FACTOR 96.027%)</v>
      </c>
      <c r="B2" s="769"/>
      <c r="C2" s="769"/>
      <c r="D2" s="769"/>
      <c r="E2" s="769"/>
      <c r="F2" s="769"/>
      <c r="G2" s="769"/>
    </row>
    <row r="3" spans="1:9" s="68" customFormat="1" ht="20.100000000000001" customHeight="1">
      <c r="A3" s="769" t="s">
        <v>1469</v>
      </c>
      <c r="B3" s="769"/>
      <c r="C3" s="769"/>
      <c r="D3" s="769"/>
      <c r="E3" s="769"/>
      <c r="F3" s="769"/>
      <c r="G3" s="769"/>
    </row>
    <row r="4" spans="1:9" s="68" customFormat="1" ht="20.100000000000001" customHeight="1">
      <c r="A4" s="768" t="str">
        <f>'Rate Case Constants'!C15</f>
        <v>BASE YEAR FOR THE 12 MONTHS ENDED DECEMBER 31, 2018</v>
      </c>
      <c r="B4" s="768"/>
      <c r="C4" s="768"/>
      <c r="D4" s="768"/>
      <c r="E4" s="768"/>
      <c r="F4" s="768"/>
      <c r="G4" s="768"/>
    </row>
    <row r="5" spans="1:9" s="68" customFormat="1" ht="20.100000000000001" customHeight="1">
      <c r="A5" s="366"/>
      <c r="B5" s="366"/>
      <c r="C5" s="366"/>
      <c r="D5" s="366"/>
      <c r="E5" s="366"/>
      <c r="F5" s="366"/>
      <c r="G5" s="366"/>
    </row>
    <row r="6" spans="1:9" s="68" customFormat="1" ht="20.100000000000001" customHeight="1">
      <c r="A6" s="67" t="s">
        <v>133</v>
      </c>
      <c r="G6" s="74" t="s">
        <v>1468</v>
      </c>
    </row>
    <row r="7" spans="1:9" s="68" customFormat="1" ht="20.100000000000001" customHeight="1">
      <c r="A7" s="68" t="str">
        <f>'Rate Case Constants'!C29</f>
        <v>TYPE OF FILING: __X__ ORIGINAL  _____ UPDATED  _____ REVISED</v>
      </c>
      <c r="G7" s="74" t="s">
        <v>177</v>
      </c>
    </row>
    <row r="8" spans="1:9" s="68" customFormat="1" ht="20.100000000000001" customHeight="1">
      <c r="A8" s="67" t="s">
        <v>1416</v>
      </c>
      <c r="G8" s="75" t="str">
        <f>'Rate Case Constants'!C37</f>
        <v>WITNESS:   C. M. GARRETT</v>
      </c>
    </row>
    <row r="9" spans="1:9" s="68" customFormat="1" ht="20.100000000000001" customHeight="1"/>
    <row r="10" spans="1:9" ht="65.099999999999994" customHeight="1">
      <c r="A10" s="76" t="s">
        <v>131</v>
      </c>
      <c r="B10" s="79" t="s">
        <v>1177</v>
      </c>
      <c r="C10" s="76" t="s">
        <v>1470</v>
      </c>
      <c r="D10" s="76" t="s">
        <v>1471</v>
      </c>
      <c r="E10" s="76" t="s">
        <v>1472</v>
      </c>
      <c r="F10" s="76" t="s">
        <v>2099</v>
      </c>
      <c r="G10" s="76" t="s">
        <v>1474</v>
      </c>
    </row>
    <row r="11" spans="1:9" ht="23.1" customHeight="1">
      <c r="A11" s="80" t="s">
        <v>1220</v>
      </c>
      <c r="B11" s="80" t="s">
        <v>1221</v>
      </c>
      <c r="C11" s="80" t="s">
        <v>1224</v>
      </c>
      <c r="D11" s="80" t="s">
        <v>1232</v>
      </c>
      <c r="E11" s="80" t="s">
        <v>1473</v>
      </c>
      <c r="F11" s="80" t="s">
        <v>1234</v>
      </c>
      <c r="G11" s="80" t="s">
        <v>1475</v>
      </c>
    </row>
    <row r="12" spans="1:9" ht="18.95" customHeight="1">
      <c r="A12" s="73"/>
      <c r="B12" s="73"/>
      <c r="C12" s="73"/>
      <c r="D12" s="73"/>
      <c r="E12" s="73"/>
      <c r="F12" s="73"/>
      <c r="G12" s="73"/>
    </row>
    <row r="13" spans="1:9" ht="18.95" customHeight="1">
      <c r="A13" s="70">
        <v>1</v>
      </c>
      <c r="B13" s="78" t="s">
        <v>15</v>
      </c>
      <c r="C13" s="86">
        <f>'SCH B-2.1 B'!D113</f>
        <v>9774385941.0813599</v>
      </c>
      <c r="D13" s="86">
        <f>'SCH B-2.2'!D30</f>
        <v>-1624952953.7999995</v>
      </c>
      <c r="E13" s="86">
        <f>C13+D13</f>
        <v>8149432987.2813606</v>
      </c>
      <c r="F13" s="86">
        <f>'SCH B-1'!D14</f>
        <v>7284469938.5791378</v>
      </c>
      <c r="G13" s="130">
        <f>F13/E13</f>
        <v>0.89386218034406184</v>
      </c>
      <c r="I13" s="130"/>
    </row>
    <row r="14" spans="1:9" ht="18.95" customHeight="1">
      <c r="A14" s="70">
        <v>2</v>
      </c>
      <c r="B14" s="78" t="s">
        <v>1184</v>
      </c>
      <c r="C14" s="86">
        <f>SUM('SCH B-2.6'!D13:D18)</f>
        <v>1912919.75</v>
      </c>
      <c r="D14" s="86">
        <v>0</v>
      </c>
      <c r="E14" s="86">
        <f t="shared" ref="E14:E15" si="0">C14+D14</f>
        <v>1912919.75</v>
      </c>
      <c r="F14" s="86">
        <f>SUM('SCH B-2.6'!G13:G18)</f>
        <v>1538143.9378618286</v>
      </c>
      <c r="G14" s="130">
        <f t="shared" ref="G14:G18" si="1">F14/E14</f>
        <v>0.80408179060403795</v>
      </c>
      <c r="I14" s="130"/>
    </row>
    <row r="15" spans="1:9" ht="18.95" customHeight="1">
      <c r="A15" s="70">
        <v>3</v>
      </c>
      <c r="B15" s="78" t="s">
        <v>1181</v>
      </c>
      <c r="C15" s="131">
        <f>'SCH B-3 B'!E116</f>
        <v>-3458722481.2983646</v>
      </c>
      <c r="D15" s="131">
        <f>'SCH B-3.1'!D29</f>
        <v>255066869.46095124</v>
      </c>
      <c r="E15" s="131">
        <f t="shared" si="0"/>
        <v>-3203655611.8374133</v>
      </c>
      <c r="F15" s="131">
        <f>'SCH B-1'!D16</f>
        <v>-2834452828.5468431</v>
      </c>
      <c r="G15" s="130">
        <f t="shared" si="1"/>
        <v>0.88475578276067601</v>
      </c>
      <c r="I15" s="130"/>
    </row>
    <row r="16" spans="1:9" ht="18.95" customHeight="1">
      <c r="A16" s="70">
        <v>4</v>
      </c>
      <c r="B16" s="78" t="s">
        <v>1208</v>
      </c>
      <c r="C16" s="86">
        <f>SUM(C13:C15)</f>
        <v>6317576379.5329952</v>
      </c>
      <c r="D16" s="86">
        <f>SUM(D13:D15)</f>
        <v>-1369886084.3390481</v>
      </c>
      <c r="E16" s="86">
        <f>SUM(E13:E15)</f>
        <v>4947690295.1939468</v>
      </c>
      <c r="F16" s="86">
        <f>SUM(F13:F15)</f>
        <v>4451555253.9701557</v>
      </c>
      <c r="G16" s="130">
        <f t="shared" si="1"/>
        <v>0.89972390921361356</v>
      </c>
      <c r="I16" s="130"/>
    </row>
    <row r="17" spans="1:9" ht="18.95" customHeight="1">
      <c r="A17" s="70">
        <v>5</v>
      </c>
      <c r="B17" s="78" t="s">
        <v>1182</v>
      </c>
      <c r="C17" s="131">
        <f>'SCH B-4'!F22</f>
        <v>319262340.03939527</v>
      </c>
      <c r="D17" s="131">
        <f>'SCH B-4.1'!C12</f>
        <v>-250332183.44501829</v>
      </c>
      <c r="E17" s="131">
        <f>C17+D17</f>
        <v>68930156.594376981</v>
      </c>
      <c r="F17" s="131">
        <f>'SCH B-1'!D18</f>
        <v>63194588.983071715</v>
      </c>
      <c r="G17" s="130">
        <f t="shared" si="1"/>
        <v>0.91679160624780665</v>
      </c>
      <c r="I17" s="130"/>
    </row>
    <row r="18" spans="1:9" ht="18.95" customHeight="1">
      <c r="A18" s="70">
        <v>6</v>
      </c>
      <c r="B18" s="78" t="s">
        <v>1209</v>
      </c>
      <c r="C18" s="86">
        <f>SUM(C16:C17)</f>
        <v>6636838719.5723906</v>
      </c>
      <c r="D18" s="86">
        <f>SUM(D16:D17)</f>
        <v>-1620218267.7840664</v>
      </c>
      <c r="E18" s="86">
        <f>SUM(E16:E17)</f>
        <v>5016620451.7883234</v>
      </c>
      <c r="F18" s="86">
        <f>SUM(F16:F17)</f>
        <v>4514749842.953227</v>
      </c>
      <c r="G18" s="130">
        <f t="shared" si="1"/>
        <v>0.89995842546625393</v>
      </c>
      <c r="I18" s="130"/>
    </row>
    <row r="19" spans="1:9" ht="18.95" customHeight="1">
      <c r="A19" s="70"/>
      <c r="B19" s="78"/>
      <c r="C19" s="86"/>
      <c r="D19" s="86"/>
      <c r="E19" s="86"/>
      <c r="F19" s="86"/>
    </row>
    <row r="20" spans="1:9" ht="18.95" customHeight="1">
      <c r="A20" s="70">
        <v>7</v>
      </c>
      <c r="B20" s="78" t="s">
        <v>1183</v>
      </c>
      <c r="C20" s="86">
        <f>'SUPP SCH B-1.1 B'!R38</f>
        <v>69078890.627454564</v>
      </c>
      <c r="D20" s="86">
        <f ca="1">-'ECR EXP B'!O26*1000</f>
        <v>-2900008.3762499969</v>
      </c>
      <c r="E20" s="86">
        <f t="shared" ref="E20:E25" ca="1" si="2">C20+D20</f>
        <v>66178882.251204565</v>
      </c>
      <c r="F20" s="86">
        <f ca="1">'SCH B-1'!D21</f>
        <v>53045772.520828605</v>
      </c>
      <c r="G20" s="130">
        <f t="shared" ref="G20:G24" ca="1" si="3">F20/E20</f>
        <v>0.8015513516755276</v>
      </c>
      <c r="I20" s="130"/>
    </row>
    <row r="21" spans="1:9" ht="18.95" customHeight="1">
      <c r="A21" s="70">
        <v>8</v>
      </c>
      <c r="B21" s="78" t="s">
        <v>1190</v>
      </c>
      <c r="C21" s="86">
        <f>'SUPP SCH B-1.1 B'!R35+'SUPP SCH B-1.1 B'!R36+'SUPP SCH B-1.1 B'!R37</f>
        <v>139755415.63695264</v>
      </c>
      <c r="D21" s="86">
        <f>-'ECR ALLOW'!N5*1000</f>
        <v>-129522.07999999999</v>
      </c>
      <c r="E21" s="86">
        <f t="shared" si="2"/>
        <v>139625893.55695263</v>
      </c>
      <c r="F21" s="86">
        <f>'SCH B-1'!D22</f>
        <v>124397129.53519586</v>
      </c>
      <c r="G21" s="130">
        <f t="shared" si="3"/>
        <v>0.89093166293295711</v>
      </c>
      <c r="I21" s="130"/>
    </row>
    <row r="22" spans="1:9" ht="18.95" customHeight="1">
      <c r="A22" s="70">
        <v>9</v>
      </c>
      <c r="B22" s="78" t="s">
        <v>1191</v>
      </c>
      <c r="C22" s="86">
        <f>-'SUPP SCH B-1.1 B'!R26</f>
        <v>-980981.37</v>
      </c>
      <c r="D22" s="86">
        <v>0</v>
      </c>
      <c r="E22" s="86">
        <f t="shared" si="2"/>
        <v>-980981.37</v>
      </c>
      <c r="F22" s="86">
        <f>'SCH B-1'!D23</f>
        <v>-951646.55364259379</v>
      </c>
      <c r="G22" s="130">
        <f t="shared" si="3"/>
        <v>0.97009645926567778</v>
      </c>
      <c r="I22" s="130"/>
    </row>
    <row r="23" spans="1:9" ht="18.95" customHeight="1">
      <c r="A23" s="70">
        <v>10</v>
      </c>
      <c r="B23" s="78" t="s">
        <v>1193</v>
      </c>
      <c r="C23" s="86">
        <f>-'SUPP SCH B-1.1 B'!R27</f>
        <v>-1380494542</v>
      </c>
      <c r="D23" s="86">
        <f>-'ECR DEFTAX'!M2</f>
        <v>335914909.39955503</v>
      </c>
      <c r="E23" s="86">
        <f t="shared" si="2"/>
        <v>-1044579632.600445</v>
      </c>
      <c r="F23" s="86">
        <f>'SCH B-1'!D24</f>
        <v>-939035759.52182817</v>
      </c>
      <c r="G23" s="130">
        <f t="shared" si="3"/>
        <v>0.89896043366663292</v>
      </c>
      <c r="I23" s="130"/>
    </row>
    <row r="24" spans="1:9" ht="18.95" customHeight="1">
      <c r="A24" s="70">
        <v>11</v>
      </c>
      <c r="B24" s="78" t="s">
        <v>1194</v>
      </c>
      <c r="C24" s="86">
        <f>-'SUPP SCH B-1.1 B'!R28</f>
        <v>-91624046.000000015</v>
      </c>
      <c r="D24" s="86">
        <v>0</v>
      </c>
      <c r="E24" s="86">
        <f t="shared" si="2"/>
        <v>-91624046.000000015</v>
      </c>
      <c r="F24" s="86">
        <f>'SCH B-1'!D25</f>
        <v>-79747509.863892987</v>
      </c>
      <c r="G24" s="130">
        <f t="shared" si="3"/>
        <v>0.87037751928017859</v>
      </c>
      <c r="I24" s="130"/>
    </row>
    <row r="25" spans="1:9" ht="18.95" customHeight="1">
      <c r="A25" s="70">
        <v>12</v>
      </c>
      <c r="B25" s="78" t="s">
        <v>1195</v>
      </c>
      <c r="C25" s="131">
        <f>-'SCH B-6'!D18</f>
        <v>69633622.427637115</v>
      </c>
      <c r="D25" s="131">
        <f>-C25</f>
        <v>-69633622.427637115</v>
      </c>
      <c r="E25" s="131">
        <f t="shared" si="2"/>
        <v>0</v>
      </c>
      <c r="F25" s="131">
        <f>'SCH B-1'!F26</f>
        <v>0</v>
      </c>
      <c r="G25" s="130">
        <v>0</v>
      </c>
      <c r="I25" s="130"/>
    </row>
    <row r="26" spans="1:9" ht="18.95" customHeight="1">
      <c r="A26" s="70"/>
      <c r="B26" s="78"/>
      <c r="C26" s="86"/>
      <c r="D26" s="86"/>
      <c r="E26" s="86"/>
      <c r="F26" s="86"/>
    </row>
    <row r="27" spans="1:9" ht="18.95" customHeight="1" thickBot="1">
      <c r="A27" s="70">
        <v>13</v>
      </c>
      <c r="B27" s="78" t="s">
        <v>1196</v>
      </c>
      <c r="C27" s="94">
        <f>SUM(C18:C25)</f>
        <v>5442207078.8944349</v>
      </c>
      <c r="D27" s="94">
        <f ca="1">SUM(D18:D25)</f>
        <v>-1356966511.2683985</v>
      </c>
      <c r="E27" s="94">
        <f ca="1">SUM(E18:E25)</f>
        <v>4085240567.6260357</v>
      </c>
      <c r="F27" s="94">
        <f ca="1">SUM(F18:F25)</f>
        <v>3672457829.0698881</v>
      </c>
      <c r="G27" s="130">
        <f ca="1">F27/E27</f>
        <v>0.89895754442778908</v>
      </c>
      <c r="I27" s="130"/>
    </row>
    <row r="28" spans="1:9" ht="18.95" customHeight="1" thickTop="1">
      <c r="C28" s="86"/>
      <c r="D28" s="86"/>
      <c r="E28" s="86"/>
      <c r="F28" s="86"/>
    </row>
    <row r="29" spans="1:9" ht="18.95" customHeight="1">
      <c r="C29" s="86"/>
      <c r="D29" s="86"/>
      <c r="E29" s="86"/>
      <c r="F29" s="86">
        <f ca="1">'SUPP SCH B-1.1 B'!N43</f>
        <v>3672457829.0698905</v>
      </c>
    </row>
    <row r="30" spans="1:9" ht="18.95" customHeight="1">
      <c r="C30" s="86"/>
      <c r="D30" s="86"/>
      <c r="E30" s="86"/>
      <c r="F30" s="86"/>
    </row>
    <row r="31" spans="1:9" ht="18.95" customHeight="1">
      <c r="C31" s="86"/>
      <c r="D31" s="86"/>
      <c r="E31" s="86"/>
      <c r="F31" s="86"/>
    </row>
    <row r="32" spans="1:9">
      <c r="C32" s="86"/>
      <c r="D32" s="86"/>
      <c r="E32" s="86"/>
      <c r="F32" s="86"/>
    </row>
    <row r="33" spans="3:6">
      <c r="C33" s="86"/>
      <c r="D33" s="86"/>
      <c r="E33" s="86"/>
      <c r="F33" s="86"/>
    </row>
    <row r="34" spans="3:6">
      <c r="C34" s="86"/>
      <c r="D34" s="86"/>
      <c r="E34" s="86"/>
      <c r="F34" s="86"/>
    </row>
    <row r="35" spans="3:6">
      <c r="C35" s="86"/>
      <c r="D35" s="86"/>
      <c r="E35" s="86"/>
      <c r="F35" s="86"/>
    </row>
    <row r="36" spans="3:6">
      <c r="C36" s="86"/>
      <c r="D36" s="86"/>
      <c r="E36" s="86"/>
      <c r="F36" s="86"/>
    </row>
    <row r="37" spans="3:6">
      <c r="C37" s="86"/>
      <c r="D37" s="86"/>
      <c r="E37" s="86"/>
      <c r="F37" s="86"/>
    </row>
    <row r="38" spans="3:6">
      <c r="C38" s="86"/>
      <c r="D38" s="86"/>
      <c r="E38" s="86"/>
      <c r="F38" s="86"/>
    </row>
    <row r="39" spans="3:6">
      <c r="C39" s="86"/>
      <c r="D39" s="86"/>
      <c r="E39" s="86"/>
      <c r="F39" s="86"/>
    </row>
    <row r="40" spans="3:6">
      <c r="C40" s="86"/>
      <c r="D40" s="86"/>
      <c r="E40" s="86"/>
      <c r="F40" s="86"/>
    </row>
    <row r="41" spans="3:6">
      <c r="C41" s="86"/>
      <c r="D41" s="86"/>
      <c r="E41" s="86"/>
      <c r="F41" s="86"/>
    </row>
    <row r="42" spans="3:6">
      <c r="C42" s="86"/>
      <c r="D42" s="86"/>
      <c r="E42" s="86"/>
      <c r="F42" s="86"/>
    </row>
  </sheetData>
  <mergeCells count="4">
    <mergeCell ref="A1:G1"/>
    <mergeCell ref="A2:G2"/>
    <mergeCell ref="A3:G3"/>
    <mergeCell ref="A4:G4"/>
  </mergeCells>
  <pageMargins left="0.95" right="0.5" top="0.75" bottom="0.75" header="0.3" footer="0.3"/>
  <pageSetup scale="72"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topLeftCell="A4" zoomScaleNormal="100" workbookViewId="0">
      <selection activeCell="E13" sqref="E13"/>
    </sheetView>
  </sheetViews>
  <sheetFormatPr defaultColWidth="9" defaultRowHeight="12.75"/>
  <cols>
    <col min="1" max="1" width="6" style="69" customWidth="1"/>
    <col min="2" max="2" width="37.77734375" style="69" customWidth="1"/>
    <col min="3" max="3" width="15.77734375" style="69" customWidth="1"/>
    <col min="4" max="6" width="16.77734375" style="69" customWidth="1"/>
    <col min="7" max="7" width="15.21875" style="69" customWidth="1"/>
    <col min="8" max="8" width="1.6640625" style="69" customWidth="1"/>
    <col min="9" max="16384" width="9" style="69"/>
  </cols>
  <sheetData>
    <row r="1" spans="1:9" s="68" customFormat="1" ht="20.100000000000001" customHeight="1">
      <c r="A1" s="769" t="str">
        <f>'Rate Case Constants'!C9</f>
        <v>KENTUCKY UTILITIES COMPANY</v>
      </c>
      <c r="B1" s="769"/>
      <c r="C1" s="769"/>
      <c r="D1" s="769"/>
      <c r="E1" s="769"/>
      <c r="F1" s="769"/>
      <c r="G1" s="769"/>
    </row>
    <row r="2" spans="1:9" s="68" customFormat="1" ht="20.100000000000001" customHeight="1">
      <c r="A2" s="769" t="str">
        <f>'Rate Case Constants'!C10</f>
        <v>CASE NO. 2018-00294 - RESPONSE TO PSC 2-65 (SLIPPAGE FACTOR 96.027%)</v>
      </c>
      <c r="B2" s="769"/>
      <c r="C2" s="769"/>
      <c r="D2" s="769"/>
      <c r="E2" s="769"/>
      <c r="F2" s="769"/>
      <c r="G2" s="769"/>
    </row>
    <row r="3" spans="1:9" s="68" customFormat="1" ht="20.100000000000001" customHeight="1">
      <c r="A3" s="769" t="s">
        <v>1469</v>
      </c>
      <c r="B3" s="769"/>
      <c r="C3" s="769"/>
      <c r="D3" s="769"/>
      <c r="E3" s="769"/>
      <c r="F3" s="769"/>
      <c r="G3" s="769"/>
    </row>
    <row r="4" spans="1:9" s="68" customFormat="1" ht="20.100000000000001" customHeight="1">
      <c r="A4" s="768" t="str">
        <f>'Rate Case Constants'!C21</f>
        <v>FORECAST PERIOD FOR THE 12 MONTHS ENDED APRIL 30, 2020</v>
      </c>
      <c r="B4" s="772"/>
      <c r="C4" s="772"/>
      <c r="D4" s="772"/>
      <c r="E4" s="772"/>
      <c r="F4" s="772"/>
      <c r="G4" s="772"/>
    </row>
    <row r="5" spans="1:9" s="68" customFormat="1" ht="20.100000000000001" customHeight="1">
      <c r="A5" s="366"/>
      <c r="B5" s="366"/>
      <c r="C5" s="366"/>
      <c r="D5" s="366"/>
      <c r="E5" s="366"/>
      <c r="F5" s="366"/>
      <c r="G5" s="366"/>
    </row>
    <row r="6" spans="1:9" s="68" customFormat="1" ht="20.100000000000001" customHeight="1">
      <c r="A6" s="67" t="s">
        <v>161</v>
      </c>
      <c r="G6" s="74" t="s">
        <v>1468</v>
      </c>
    </row>
    <row r="7" spans="1:9" s="68" customFormat="1" ht="20.100000000000001" customHeight="1">
      <c r="A7" s="68" t="str">
        <f>'Rate Case Constants'!C29</f>
        <v>TYPE OF FILING: __X__ ORIGINAL  _____ UPDATED  _____ REVISED</v>
      </c>
      <c r="G7" s="74" t="s">
        <v>185</v>
      </c>
    </row>
    <row r="8" spans="1:9" s="68" customFormat="1" ht="20.100000000000001" customHeight="1">
      <c r="A8" s="67" t="s">
        <v>1416</v>
      </c>
      <c r="G8" s="75" t="str">
        <f>'Rate Case Constants'!C37</f>
        <v>WITNESS:   C. M. GARRETT</v>
      </c>
    </row>
    <row r="9" spans="1:9" s="68" customFormat="1" ht="20.100000000000001" customHeight="1"/>
    <row r="10" spans="1:9" ht="65.099999999999994" customHeight="1">
      <c r="A10" s="76" t="s">
        <v>131</v>
      </c>
      <c r="B10" s="79" t="s">
        <v>1177</v>
      </c>
      <c r="C10" s="76" t="s">
        <v>1470</v>
      </c>
      <c r="D10" s="76" t="s">
        <v>1471</v>
      </c>
      <c r="E10" s="76" t="s">
        <v>1472</v>
      </c>
      <c r="F10" s="76" t="s">
        <v>2099</v>
      </c>
      <c r="G10" s="76" t="s">
        <v>1474</v>
      </c>
    </row>
    <row r="11" spans="1:9" ht="23.1" customHeight="1">
      <c r="A11" s="80" t="s">
        <v>1220</v>
      </c>
      <c r="B11" s="80" t="s">
        <v>1221</v>
      </c>
      <c r="C11" s="80" t="s">
        <v>1224</v>
      </c>
      <c r="D11" s="80" t="s">
        <v>1232</v>
      </c>
      <c r="E11" s="80" t="s">
        <v>1473</v>
      </c>
      <c r="F11" s="80" t="s">
        <v>1234</v>
      </c>
      <c r="G11" s="80" t="s">
        <v>1475</v>
      </c>
    </row>
    <row r="12" spans="1:9" ht="18.95" customHeight="1">
      <c r="A12" s="73"/>
      <c r="B12" s="73"/>
      <c r="C12" s="73"/>
      <c r="D12" s="73"/>
      <c r="E12" s="73"/>
      <c r="F12" s="73"/>
      <c r="G12" s="73"/>
    </row>
    <row r="13" spans="1:9" ht="18.95" customHeight="1">
      <c r="A13" s="70">
        <v>1</v>
      </c>
      <c r="B13" s="78" t="s">
        <v>15</v>
      </c>
      <c r="C13" s="86">
        <f>'SCH B-2.1 F'!D113</f>
        <v>10060481774.420282</v>
      </c>
      <c r="D13" s="86">
        <f>'SCH B-2.2'!D61</f>
        <v>-1820961795.5784624</v>
      </c>
      <c r="E13" s="86">
        <f>C13+D13</f>
        <v>8239519978.8418198</v>
      </c>
      <c r="F13" s="86">
        <f>'SCH B-1'!F14</f>
        <v>7701726106.7455273</v>
      </c>
      <c r="G13" s="130">
        <f>F13/E13</f>
        <v>0.93472995108000367</v>
      </c>
      <c r="I13" s="130"/>
    </row>
    <row r="14" spans="1:9" ht="18.95" customHeight="1">
      <c r="A14" s="70">
        <v>2</v>
      </c>
      <c r="B14" s="78" t="s">
        <v>1184</v>
      </c>
      <c r="C14" s="86">
        <f>SUM('SCH B-2.6'!D34:D39)</f>
        <v>1912919.75</v>
      </c>
      <c r="D14" s="86">
        <v>0</v>
      </c>
      <c r="E14" s="86">
        <f t="shared" ref="E14:E15" si="0">C14+D14</f>
        <v>1912919.75</v>
      </c>
      <c r="F14" s="86">
        <f>SUM('SCH B-2.6'!G34:G39)</f>
        <v>1561631.3929954083</v>
      </c>
      <c r="G14" s="130">
        <f t="shared" ref="G14:G18" si="1">F14/E14</f>
        <v>0.81636011808410058</v>
      </c>
      <c r="I14" s="130"/>
    </row>
    <row r="15" spans="1:9" ht="18.95" customHeight="1">
      <c r="A15" s="70">
        <v>3</v>
      </c>
      <c r="B15" s="78" t="s">
        <v>1181</v>
      </c>
      <c r="C15" s="131">
        <f>'SCH B-3 F'!E116</f>
        <v>-3499029088.7600813</v>
      </c>
      <c r="D15" s="131">
        <f>'SCH B-3.1'!D59</f>
        <v>294842674.10810292</v>
      </c>
      <c r="E15" s="131">
        <f t="shared" si="0"/>
        <v>-3204186414.6519785</v>
      </c>
      <c r="F15" s="131">
        <f>'SCH B-1'!F16</f>
        <v>-2975782642.5156536</v>
      </c>
      <c r="G15" s="130">
        <f t="shared" si="1"/>
        <v>0.92871707741725351</v>
      </c>
      <c r="I15" s="130"/>
    </row>
    <row r="16" spans="1:9" ht="18.95" customHeight="1">
      <c r="A16" s="70">
        <v>4</v>
      </c>
      <c r="B16" s="78" t="s">
        <v>1208</v>
      </c>
      <c r="C16" s="86">
        <f>SUM(C13:C15)</f>
        <v>6563365605.4102011</v>
      </c>
      <c r="D16" s="86">
        <f>SUM(D13:D15)</f>
        <v>-1526119121.4703593</v>
      </c>
      <c r="E16" s="86">
        <f>SUM(E13:E15)</f>
        <v>5037246483.9398413</v>
      </c>
      <c r="F16" s="86">
        <f>SUM(F13:F15)</f>
        <v>4727505095.6228695</v>
      </c>
      <c r="G16" s="130">
        <f t="shared" si="1"/>
        <v>0.93850978122581163</v>
      </c>
      <c r="I16" s="130"/>
    </row>
    <row r="17" spans="1:9" ht="18.95" customHeight="1">
      <c r="A17" s="70">
        <v>5</v>
      </c>
      <c r="B17" s="78" t="s">
        <v>1182</v>
      </c>
      <c r="C17" s="131">
        <f>'SCH B-4'!F47</f>
        <v>233249501.75412571</v>
      </c>
      <c r="D17" s="131">
        <f>'SCH B-4.1'!C35</f>
        <v>-94313350.284252077</v>
      </c>
      <c r="E17" s="131">
        <f>C17+D17</f>
        <v>138936151.46987364</v>
      </c>
      <c r="F17" s="131">
        <f>'SCH B-1'!F18</f>
        <v>129485976.26643489</v>
      </c>
      <c r="G17" s="130">
        <f t="shared" si="1"/>
        <v>0.93198188445943908</v>
      </c>
      <c r="I17" s="130"/>
    </row>
    <row r="18" spans="1:9" ht="18.95" customHeight="1">
      <c r="A18" s="70">
        <v>6</v>
      </c>
      <c r="B18" s="78" t="s">
        <v>1209</v>
      </c>
      <c r="C18" s="86">
        <f>SUM(C16:C17)</f>
        <v>6796615107.1643267</v>
      </c>
      <c r="D18" s="86">
        <f>SUM(D16:D17)</f>
        <v>-1620432471.7546115</v>
      </c>
      <c r="E18" s="86">
        <f>SUM(E16:E17)</f>
        <v>5176182635.4097147</v>
      </c>
      <c r="F18" s="86">
        <f>SUM(F16:F17)</f>
        <v>4856991071.8893042</v>
      </c>
      <c r="G18" s="130">
        <f t="shared" si="1"/>
        <v>0.93833456313213237</v>
      </c>
      <c r="I18" s="130"/>
    </row>
    <row r="19" spans="1:9" ht="18.95" customHeight="1">
      <c r="A19" s="70"/>
      <c r="B19" s="78"/>
      <c r="C19" s="86"/>
      <c r="D19" s="86"/>
      <c r="E19" s="86"/>
      <c r="F19" s="86"/>
    </row>
    <row r="20" spans="1:9" ht="18.95" customHeight="1">
      <c r="A20" s="70">
        <v>7</v>
      </c>
      <c r="B20" s="78" t="s">
        <v>1183</v>
      </c>
      <c r="C20" s="86">
        <f>'SUPP SCH B-1.1 F'!R38</f>
        <v>107314039.5445969</v>
      </c>
      <c r="D20" s="86">
        <f>-'ECR EXP F'!N25*1000</f>
        <v>-2498510.7499999995</v>
      </c>
      <c r="E20" s="86">
        <f t="shared" ref="E20:E25" si="2">C20+D20</f>
        <v>104815528.7945969</v>
      </c>
      <c r="F20" s="86">
        <f>'SCH B-1'!F21</f>
        <v>95798185.522287518</v>
      </c>
      <c r="G20" s="130">
        <f t="shared" ref="G20:G24" si="3">F20/E20</f>
        <v>0.91396939579458369</v>
      </c>
      <c r="I20" s="130"/>
    </row>
    <row r="21" spans="1:9" ht="18.95" customHeight="1">
      <c r="A21" s="70">
        <v>8</v>
      </c>
      <c r="B21" s="78" t="s">
        <v>1190</v>
      </c>
      <c r="C21" s="86">
        <f>'SUPP SCH B-1.1 F'!R35+'SUPP SCH B-1.1 F'!R36+'SUPP SCH B-1.1 F'!R37</f>
        <v>139117567.36388355</v>
      </c>
      <c r="D21" s="86">
        <f>-'ECR ALLOW'!AF5*1000</f>
        <v>-129522.07999999999</v>
      </c>
      <c r="E21" s="86">
        <f t="shared" si="2"/>
        <v>138988045.28388354</v>
      </c>
      <c r="F21" s="86">
        <f>'SCH B-1'!F22</f>
        <v>130928906.67087542</v>
      </c>
      <c r="G21" s="130">
        <f t="shared" si="3"/>
        <v>0.94201559856067252</v>
      </c>
      <c r="I21" s="130"/>
    </row>
    <row r="22" spans="1:9" ht="18.95" customHeight="1">
      <c r="A22" s="70">
        <v>9</v>
      </c>
      <c r="B22" s="78" t="s">
        <v>1191</v>
      </c>
      <c r="C22" s="86">
        <f>-'SUPP SCH B-1.1 F'!R26</f>
        <v>-980981.36999999965</v>
      </c>
      <c r="D22" s="86">
        <v>0</v>
      </c>
      <c r="E22" s="86">
        <f t="shared" si="2"/>
        <v>-980981.36999999965</v>
      </c>
      <c r="F22" s="86">
        <f>'SCH B-1'!F23</f>
        <v>-951646.55364259344</v>
      </c>
      <c r="G22" s="130">
        <f t="shared" si="3"/>
        <v>0.97009645926567778</v>
      </c>
      <c r="I22" s="130"/>
    </row>
    <row r="23" spans="1:9" ht="18.95" customHeight="1">
      <c r="A23" s="70">
        <v>10</v>
      </c>
      <c r="B23" s="78" t="s">
        <v>1193</v>
      </c>
      <c r="C23" s="86">
        <f>-'SUPP SCH B-1.1 F'!R27</f>
        <v>-1404439676</v>
      </c>
      <c r="D23" s="86">
        <f>-'ECR DEFTAX'!AD2</f>
        <v>362896950.06479907</v>
      </c>
      <c r="E23" s="86">
        <f t="shared" si="2"/>
        <v>-1041542725.9352009</v>
      </c>
      <c r="F23" s="86">
        <f>'SCH B-1'!F24</f>
        <v>-975724265.9467032</v>
      </c>
      <c r="G23" s="130">
        <f t="shared" si="3"/>
        <v>0.93680675948324699</v>
      </c>
      <c r="I23" s="130"/>
    </row>
    <row r="24" spans="1:9" ht="18.95" customHeight="1">
      <c r="A24" s="70">
        <v>11</v>
      </c>
      <c r="B24" s="78" t="s">
        <v>1194</v>
      </c>
      <c r="C24" s="86">
        <f>-'SUPP SCH B-1.1 F'!R28</f>
        <v>-89931576</v>
      </c>
      <c r="D24" s="86">
        <v>0</v>
      </c>
      <c r="E24" s="86">
        <f t="shared" si="2"/>
        <v>-89931576</v>
      </c>
      <c r="F24" s="86">
        <f>'SCH B-1'!F25</f>
        <v>-84144180.918382138</v>
      </c>
      <c r="G24" s="130">
        <f t="shared" si="3"/>
        <v>0.93564668452359978</v>
      </c>
      <c r="I24" s="130"/>
    </row>
    <row r="25" spans="1:9" ht="18.95" customHeight="1">
      <c r="A25" s="70">
        <v>12</v>
      </c>
      <c r="B25" s="78" t="s">
        <v>1195</v>
      </c>
      <c r="C25" s="131">
        <f>-'SCH B-6'!D40</f>
        <v>101937692.82886787</v>
      </c>
      <c r="D25" s="131">
        <f>-C25</f>
        <v>-101937692.82886787</v>
      </c>
      <c r="E25" s="131">
        <f t="shared" si="2"/>
        <v>0</v>
      </c>
      <c r="F25" s="131">
        <f>'SCH B-1'!F26</f>
        <v>0</v>
      </c>
      <c r="G25" s="130">
        <v>0</v>
      </c>
      <c r="I25" s="130"/>
    </row>
    <row r="26" spans="1:9" ht="18.95" customHeight="1">
      <c r="A26" s="70"/>
      <c r="B26" s="78"/>
      <c r="C26" s="86"/>
      <c r="D26" s="86"/>
      <c r="E26" s="86"/>
      <c r="F26" s="86"/>
    </row>
    <row r="27" spans="1:9" ht="18.95" customHeight="1" thickBot="1">
      <c r="A27" s="70">
        <v>13</v>
      </c>
      <c r="B27" s="78" t="s">
        <v>1196</v>
      </c>
      <c r="C27" s="94">
        <f>SUM(C18:C25)</f>
        <v>5649632173.5316753</v>
      </c>
      <c r="D27" s="94">
        <f>SUM(D18:D25)</f>
        <v>-1362101247.3486803</v>
      </c>
      <c r="E27" s="94">
        <f>SUM(E18:E25)</f>
        <v>4287530926.1829939</v>
      </c>
      <c r="F27" s="94">
        <f>SUM(F18:F25)</f>
        <v>4022898070.6637397</v>
      </c>
      <c r="G27" s="130">
        <f>F27/E27</f>
        <v>0.93827849639446315</v>
      </c>
      <c r="I27" s="130"/>
    </row>
    <row r="28" spans="1:9" ht="18.95" customHeight="1" thickTop="1">
      <c r="C28" s="86"/>
      <c r="D28" s="86"/>
      <c r="E28" s="86"/>
      <c r="F28" s="86"/>
    </row>
    <row r="29" spans="1:9" ht="18.95" customHeight="1">
      <c r="C29" s="86"/>
      <c r="D29" s="86"/>
      <c r="E29" s="86"/>
      <c r="F29" s="86">
        <f>'SUPP SCH B-1.1 F'!N43</f>
        <v>4022898070.6637383</v>
      </c>
    </row>
    <row r="30" spans="1:9" ht="18.95" customHeight="1">
      <c r="C30" s="86"/>
      <c r="D30" s="86"/>
      <c r="E30" s="86"/>
      <c r="F30" s="86"/>
    </row>
    <row r="31" spans="1:9" ht="18.95" customHeight="1">
      <c r="C31" s="86"/>
      <c r="D31" s="86"/>
      <c r="E31" s="86"/>
      <c r="F31" s="86"/>
    </row>
    <row r="32" spans="1:9">
      <c r="C32" s="86"/>
      <c r="D32" s="86"/>
      <c r="E32" s="86"/>
      <c r="F32" s="86"/>
    </row>
    <row r="33" spans="3:6">
      <c r="C33" s="86"/>
      <c r="D33" s="86"/>
      <c r="E33" s="86"/>
      <c r="F33" s="86"/>
    </row>
    <row r="34" spans="3:6">
      <c r="C34" s="86"/>
      <c r="D34" s="86"/>
      <c r="E34" s="86"/>
      <c r="F34" s="86"/>
    </row>
    <row r="35" spans="3:6">
      <c r="C35" s="86"/>
      <c r="D35" s="86"/>
      <c r="E35" s="86"/>
      <c r="F35" s="86"/>
    </row>
    <row r="36" spans="3:6">
      <c r="C36" s="86"/>
      <c r="D36" s="86"/>
      <c r="E36" s="86"/>
      <c r="F36" s="86"/>
    </row>
    <row r="37" spans="3:6">
      <c r="C37" s="86"/>
      <c r="D37" s="86"/>
      <c r="E37" s="86"/>
      <c r="F37" s="86"/>
    </row>
    <row r="38" spans="3:6">
      <c r="C38" s="86"/>
      <c r="D38" s="86"/>
      <c r="E38" s="86"/>
      <c r="F38" s="86"/>
    </row>
    <row r="39" spans="3:6">
      <c r="C39" s="86"/>
      <c r="D39" s="86"/>
      <c r="E39" s="86"/>
      <c r="F39" s="86"/>
    </row>
    <row r="40" spans="3:6">
      <c r="C40" s="86"/>
      <c r="D40" s="86"/>
      <c r="E40" s="86"/>
      <c r="F40" s="86"/>
    </row>
    <row r="41" spans="3:6">
      <c r="C41" s="86"/>
      <c r="D41" s="86"/>
      <c r="E41" s="86"/>
      <c r="F41" s="86"/>
    </row>
    <row r="42" spans="3:6">
      <c r="C42" s="86"/>
      <c r="D42" s="86"/>
      <c r="E42" s="86"/>
      <c r="F42" s="86"/>
    </row>
  </sheetData>
  <mergeCells count="4">
    <mergeCell ref="A1:G1"/>
    <mergeCell ref="A2:G2"/>
    <mergeCell ref="A3:G3"/>
    <mergeCell ref="A4:G4"/>
  </mergeCells>
  <pageMargins left="0.95" right="0.5" top="0.75" bottom="0.75" header="0.3" footer="0.3"/>
  <pageSetup scale="72"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E18"/>
  <sheetViews>
    <sheetView zoomScaleNormal="100" workbookViewId="0">
      <selection activeCell="E9" sqref="E9"/>
    </sheetView>
  </sheetViews>
  <sheetFormatPr defaultColWidth="9" defaultRowHeight="12.75"/>
  <cols>
    <col min="1" max="1" width="6" style="69" customWidth="1"/>
    <col min="2" max="2" width="8.77734375" style="69" customWidth="1"/>
    <col min="3" max="3" width="38.77734375" style="69" customWidth="1"/>
    <col min="4" max="4" width="25.77734375" style="69" customWidth="1"/>
    <col min="5" max="5" width="30.77734375" style="69" customWidth="1"/>
    <col min="6" max="6" width="1.6640625" style="69" customWidth="1"/>
    <col min="7" max="16384" width="9" style="69"/>
  </cols>
  <sheetData>
    <row r="1" spans="1:5" s="68" customFormat="1" ht="20.100000000000001" customHeight="1">
      <c r="A1" s="769" t="str">
        <f>'Rate Case Constants'!C9</f>
        <v>KENTUCKY UTILITIES COMPANY</v>
      </c>
      <c r="B1" s="769"/>
      <c r="C1" s="769"/>
      <c r="D1" s="769"/>
      <c r="E1" s="769"/>
    </row>
    <row r="2" spans="1:5" s="68" customFormat="1" ht="20.100000000000001" customHeight="1">
      <c r="A2" s="769" t="str">
        <f>'Rate Case Constants'!C10</f>
        <v>CASE NO. 2018-00294 - RESPONSE TO PSC 2-65 (SLIPPAGE FACTOR 96.027%)</v>
      </c>
      <c r="B2" s="769"/>
      <c r="C2" s="769"/>
      <c r="D2" s="769"/>
      <c r="E2" s="769"/>
    </row>
    <row r="3" spans="1:5" s="68" customFormat="1" ht="20.100000000000001" customHeight="1">
      <c r="A3" s="769" t="s">
        <v>1478</v>
      </c>
      <c r="B3" s="769"/>
      <c r="C3" s="769"/>
      <c r="D3" s="769"/>
      <c r="E3" s="769"/>
    </row>
    <row r="4" spans="1:5" s="68" customFormat="1" ht="20.100000000000001" customHeight="1">
      <c r="A4" s="768" t="str">
        <f>'Rate Case Constants'!C15</f>
        <v>BASE YEAR FOR THE 12 MONTHS ENDED DECEMBER 31, 2018</v>
      </c>
      <c r="B4" s="768"/>
      <c r="C4" s="768"/>
      <c r="D4" s="768"/>
      <c r="E4" s="768"/>
    </row>
    <row r="5" spans="1:5" s="68" customFormat="1" ht="20.100000000000001" customHeight="1">
      <c r="A5" s="768"/>
      <c r="B5" s="768"/>
      <c r="C5" s="768"/>
      <c r="D5" s="768"/>
      <c r="E5" s="768"/>
    </row>
    <row r="6" spans="1:5" s="68" customFormat="1" ht="20.100000000000001" customHeight="1">
      <c r="A6" s="158"/>
      <c r="B6" s="158"/>
      <c r="C6" s="158"/>
      <c r="D6" s="158"/>
      <c r="E6" s="158"/>
    </row>
    <row r="7" spans="1:5" s="68" customFormat="1" ht="20.100000000000001" customHeight="1">
      <c r="A7" s="67" t="s">
        <v>133</v>
      </c>
      <c r="B7" s="67"/>
      <c r="D7" s="74"/>
      <c r="E7" s="74" t="s">
        <v>1479</v>
      </c>
    </row>
    <row r="8" spans="1:5" s="68" customFormat="1" ht="20.100000000000001" customHeight="1">
      <c r="A8" s="68" t="str">
        <f>'Rate Case Constants'!C29</f>
        <v>TYPE OF FILING: __X__ ORIGINAL  _____ UPDATED  _____ REVISED</v>
      </c>
      <c r="D8" s="74"/>
      <c r="E8" s="74" t="s">
        <v>177</v>
      </c>
    </row>
    <row r="9" spans="1:5" s="68" customFormat="1" ht="20.100000000000001" customHeight="1">
      <c r="A9" s="67" t="s">
        <v>1416</v>
      </c>
      <c r="B9" s="67"/>
      <c r="D9" s="75"/>
      <c r="E9" s="75" t="str">
        <f>'Rate Case Constants'!C37</f>
        <v>WITNESS:   C. M. GARRETT</v>
      </c>
    </row>
    <row r="10" spans="1:5" s="68" customFormat="1" ht="20.100000000000001" customHeight="1"/>
    <row r="11" spans="1:5" ht="58.5" customHeight="1">
      <c r="A11" s="76" t="s">
        <v>131</v>
      </c>
      <c r="B11" s="76" t="s">
        <v>134</v>
      </c>
      <c r="C11" s="79" t="s">
        <v>205</v>
      </c>
      <c r="D11" s="76" t="s">
        <v>1476</v>
      </c>
      <c r="E11" s="76" t="s">
        <v>1477</v>
      </c>
    </row>
    <row r="12" spans="1:5" ht="23.1" customHeight="1">
      <c r="A12" s="80"/>
      <c r="B12" s="80"/>
      <c r="C12" s="81"/>
      <c r="D12" s="82"/>
      <c r="E12" s="82"/>
    </row>
    <row r="13" spans="1:5" s="68" customFormat="1" ht="20.100000000000001" customHeight="1">
      <c r="A13" s="769" t="s">
        <v>2100</v>
      </c>
      <c r="B13" s="769"/>
      <c r="C13" s="769"/>
      <c r="D13" s="769"/>
      <c r="E13" s="769"/>
    </row>
    <row r="14" spans="1:5" ht="18.95" customHeight="1">
      <c r="A14" s="70"/>
      <c r="B14" s="71"/>
      <c r="C14" s="78"/>
      <c r="D14" s="86"/>
      <c r="E14" s="86"/>
    </row>
    <row r="15" spans="1:5" ht="18.95" customHeight="1">
      <c r="A15" s="70"/>
      <c r="B15" s="71"/>
      <c r="C15" s="78"/>
      <c r="D15" s="86"/>
      <c r="E15" s="86"/>
    </row>
    <row r="16" spans="1:5" ht="18.95" customHeight="1">
      <c r="A16" s="70"/>
      <c r="B16" s="71"/>
      <c r="C16" s="78"/>
      <c r="D16" s="86"/>
      <c r="E16" s="86"/>
    </row>
    <row r="17" spans="1:5" ht="18.95" customHeight="1">
      <c r="A17" s="70"/>
      <c r="B17" s="70"/>
      <c r="C17" s="78"/>
      <c r="D17" s="86"/>
      <c r="E17" s="86"/>
    </row>
    <row r="18" spans="1:5" ht="18.95" customHeight="1">
      <c r="A18" s="70"/>
      <c r="B18" s="70"/>
      <c r="C18" s="78"/>
      <c r="D18" s="86"/>
      <c r="E18" s="86"/>
    </row>
  </sheetData>
  <mergeCells count="6">
    <mergeCell ref="A13:E13"/>
    <mergeCell ref="A1:E1"/>
    <mergeCell ref="A2:E2"/>
    <mergeCell ref="A3:E3"/>
    <mergeCell ref="A4:E4"/>
    <mergeCell ref="A5:E5"/>
  </mergeCells>
  <pageMargins left="0.95" right="0.5" top="0.75" bottom="0.75" header="0.3" footer="0.3"/>
  <pageSetup scale="82"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
  <sheetViews>
    <sheetView zoomScale="85" zoomScaleNormal="85" workbookViewId="0">
      <selection activeCell="D17" sqref="D17"/>
    </sheetView>
  </sheetViews>
  <sheetFormatPr defaultColWidth="9" defaultRowHeight="12.75"/>
  <cols>
    <col min="1" max="1" width="6" style="69" customWidth="1"/>
    <col min="2" max="2" width="8.77734375" style="69" customWidth="1"/>
    <col min="3" max="3" width="38.77734375" style="69" customWidth="1"/>
    <col min="4" max="4" width="25.77734375" style="69" customWidth="1"/>
    <col min="5" max="5" width="30.77734375" style="69" customWidth="1"/>
    <col min="6" max="6" width="1.6640625" style="69" customWidth="1"/>
    <col min="7" max="16384" width="9" style="69"/>
  </cols>
  <sheetData>
    <row r="1" spans="1:5" s="68" customFormat="1" ht="20.100000000000001" customHeight="1">
      <c r="A1" s="769" t="str">
        <f>'Rate Case Constants'!C9</f>
        <v>KENTUCKY UTILITIES COMPANY</v>
      </c>
      <c r="B1" s="769"/>
      <c r="C1" s="769"/>
      <c r="D1" s="769"/>
      <c r="E1" s="769"/>
    </row>
    <row r="2" spans="1:5" s="68" customFormat="1" ht="20.100000000000001" customHeight="1">
      <c r="A2" s="769" t="str">
        <f>'Rate Case Constants'!C10</f>
        <v>CASE NO. 2018-00294 - RESPONSE TO PSC 2-65 (SLIPPAGE FACTOR 96.027%)</v>
      </c>
      <c r="B2" s="769"/>
      <c r="C2" s="769"/>
      <c r="D2" s="769"/>
      <c r="E2" s="769"/>
    </row>
    <row r="3" spans="1:5" s="68" customFormat="1" ht="20.100000000000001" customHeight="1">
      <c r="A3" s="769" t="s">
        <v>1478</v>
      </c>
      <c r="B3" s="769"/>
      <c r="C3" s="769"/>
      <c r="D3" s="769"/>
      <c r="E3" s="769"/>
    </row>
    <row r="4" spans="1:5" s="68" customFormat="1" ht="20.100000000000001" customHeight="1">
      <c r="A4" s="768" t="str">
        <f>'Rate Case Constants'!C21</f>
        <v>FORECAST PERIOD FOR THE 12 MONTHS ENDED APRIL 30, 2020</v>
      </c>
      <c r="B4" s="772"/>
      <c r="C4" s="772"/>
      <c r="D4" s="772"/>
      <c r="E4" s="772"/>
    </row>
    <row r="5" spans="1:5" s="68" customFormat="1" ht="20.100000000000001" customHeight="1">
      <c r="A5" s="768"/>
      <c r="B5" s="768"/>
      <c r="C5" s="768"/>
      <c r="D5" s="768"/>
      <c r="E5" s="768"/>
    </row>
    <row r="6" spans="1:5" s="68" customFormat="1" ht="20.100000000000001" customHeight="1">
      <c r="A6" s="644"/>
      <c r="B6" s="644"/>
      <c r="C6" s="644"/>
      <c r="D6" s="644"/>
      <c r="E6" s="644"/>
    </row>
    <row r="7" spans="1:5" s="68" customFormat="1" ht="20.100000000000001" customHeight="1">
      <c r="A7" s="67" t="s">
        <v>161</v>
      </c>
      <c r="B7" s="67"/>
      <c r="D7" s="74"/>
      <c r="E7" s="74" t="s">
        <v>1479</v>
      </c>
    </row>
    <row r="8" spans="1:5" s="68" customFormat="1" ht="20.100000000000001" customHeight="1">
      <c r="A8" s="68" t="str">
        <f>'Rate Case Constants'!C29</f>
        <v>TYPE OF FILING: __X__ ORIGINAL  _____ UPDATED  _____ REVISED</v>
      </c>
      <c r="D8" s="74"/>
      <c r="E8" s="74" t="s">
        <v>185</v>
      </c>
    </row>
    <row r="9" spans="1:5" s="68" customFormat="1" ht="20.100000000000001" customHeight="1">
      <c r="A9" s="67" t="s">
        <v>1416</v>
      </c>
      <c r="B9" s="67"/>
      <c r="D9" s="75"/>
      <c r="E9" s="75" t="str">
        <f>'Rate Case Constants'!C37</f>
        <v>WITNESS:   C. M. GARRETT</v>
      </c>
    </row>
    <row r="10" spans="1:5" s="68" customFormat="1" ht="20.100000000000001" customHeight="1"/>
    <row r="11" spans="1:5" ht="58.5" customHeight="1">
      <c r="A11" s="76" t="s">
        <v>131</v>
      </c>
      <c r="B11" s="76" t="s">
        <v>134</v>
      </c>
      <c r="C11" s="79" t="s">
        <v>205</v>
      </c>
      <c r="D11" s="76" t="s">
        <v>1476</v>
      </c>
      <c r="E11" s="76" t="s">
        <v>1477</v>
      </c>
    </row>
    <row r="12" spans="1:5" ht="23.1" customHeight="1">
      <c r="A12" s="80"/>
      <c r="B12" s="80"/>
      <c r="C12" s="81"/>
      <c r="D12" s="82"/>
      <c r="E12" s="82"/>
    </row>
    <row r="13" spans="1:5" ht="91.5" customHeight="1">
      <c r="A13" s="697">
        <v>1</v>
      </c>
      <c r="B13" s="695" t="str">
        <f>'SCH B-7 F'!B27</f>
        <v>311-316</v>
      </c>
      <c r="C13" s="696" t="s">
        <v>3406</v>
      </c>
      <c r="D13" s="72" t="s">
        <v>3405</v>
      </c>
      <c r="E13" s="72" t="s">
        <v>3407</v>
      </c>
    </row>
    <row r="14" spans="1:5" ht="18.95" customHeight="1">
      <c r="A14" s="70"/>
      <c r="B14" s="71"/>
      <c r="C14" s="78"/>
      <c r="D14" s="86"/>
      <c r="E14" s="86"/>
    </row>
    <row r="15" spans="1:5" ht="91.5" customHeight="1">
      <c r="A15" s="697">
        <v>2</v>
      </c>
      <c r="B15" s="695" t="str">
        <f>'SCH B-7 F'!B38</f>
        <v>332-335</v>
      </c>
      <c r="C15" s="696" t="s">
        <v>3406</v>
      </c>
      <c r="D15" s="72" t="s">
        <v>3405</v>
      </c>
      <c r="E15" s="72" t="s">
        <v>3407</v>
      </c>
    </row>
    <row r="16" spans="1:5" ht="18.95" customHeight="1">
      <c r="A16" s="70"/>
      <c r="B16" s="71"/>
      <c r="C16" s="78"/>
      <c r="D16" s="86"/>
      <c r="E16" s="86"/>
    </row>
    <row r="17" spans="1:5" ht="91.5" customHeight="1">
      <c r="A17" s="697">
        <v>3</v>
      </c>
      <c r="B17" s="695" t="str">
        <f>'SCH B-7 F'!B49</f>
        <v>341-346</v>
      </c>
      <c r="C17" s="696" t="s">
        <v>3406</v>
      </c>
      <c r="D17" s="72" t="s">
        <v>3405</v>
      </c>
      <c r="E17" s="72" t="s">
        <v>3407</v>
      </c>
    </row>
    <row r="18" spans="1:5" ht="18.95" customHeight="1">
      <c r="A18" s="70"/>
      <c r="B18" s="70"/>
      <c r="C18" s="78"/>
      <c r="D18" s="86"/>
      <c r="E18" s="86"/>
    </row>
    <row r="19" spans="1:5" ht="91.5" customHeight="1">
      <c r="A19" s="697">
        <v>4</v>
      </c>
      <c r="B19" s="695" t="str">
        <f>'SCH B-7 F'!B73</f>
        <v>350-358</v>
      </c>
      <c r="C19" s="696" t="s">
        <v>3406</v>
      </c>
      <c r="D19" s="72" t="s">
        <v>3405</v>
      </c>
      <c r="E19" s="72" t="s">
        <v>3407</v>
      </c>
    </row>
    <row r="20" spans="1:5" ht="18.95" customHeight="1">
      <c r="A20" s="70"/>
      <c r="B20" s="70"/>
      <c r="C20" s="78"/>
      <c r="D20" s="86"/>
      <c r="E20" s="86"/>
    </row>
    <row r="21" spans="1:5" ht="91.5" customHeight="1">
      <c r="A21" s="697">
        <v>5</v>
      </c>
      <c r="B21" s="695" t="str">
        <f>'SCH B-7 F'!B197</f>
        <v>190, 282, 283</v>
      </c>
      <c r="C21" s="696" t="s">
        <v>3406</v>
      </c>
      <c r="D21" s="72" t="s">
        <v>3405</v>
      </c>
      <c r="E21" s="72" t="s">
        <v>3407</v>
      </c>
    </row>
  </sheetData>
  <mergeCells count="5">
    <mergeCell ref="A1:E1"/>
    <mergeCell ref="A2:E2"/>
    <mergeCell ref="A3:E3"/>
    <mergeCell ref="A4:E4"/>
    <mergeCell ref="A5:E5"/>
  </mergeCells>
  <pageMargins left="0.95" right="0.5" top="0.75" bottom="0.75" header="0.3" footer="0.3"/>
  <pageSetup scale="82"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2192"/>
  <sheetViews>
    <sheetView showRuler="0" zoomScale="70" zoomScaleNormal="70" workbookViewId="0">
      <selection activeCell="K61" sqref="K61"/>
    </sheetView>
  </sheetViews>
  <sheetFormatPr defaultColWidth="9" defaultRowHeight="12.75"/>
  <cols>
    <col min="1" max="1" width="5.33203125" style="167" customWidth="1"/>
    <col min="2" max="2" width="17.44140625" style="167" customWidth="1"/>
    <col min="3" max="3" width="24.77734375" style="167" customWidth="1"/>
    <col min="4" max="4" width="16.33203125" style="167" customWidth="1"/>
    <col min="5" max="5" width="11.6640625" style="167" customWidth="1"/>
    <col min="6" max="6" width="16.33203125" style="167" customWidth="1"/>
    <col min="7" max="7" width="11.6640625" style="167" customWidth="1"/>
    <col min="8" max="8" width="15.6640625" style="167" customWidth="1"/>
    <col min="9" max="9" width="11.6640625" style="167" customWidth="1"/>
    <col min="10" max="10" width="15.6640625" style="167" customWidth="1"/>
    <col min="11" max="11" width="11.6640625" style="167" customWidth="1"/>
    <col min="12" max="12" width="15.6640625" style="167" customWidth="1"/>
    <col min="13" max="13" width="11.6640625" style="167" customWidth="1"/>
    <col min="14" max="14" width="14.77734375" style="167" customWidth="1"/>
    <col min="15" max="15" width="11.6640625" style="167" customWidth="1"/>
    <col min="16" max="16" width="15.6640625" style="167" customWidth="1"/>
    <col min="17" max="17" width="13.21875" style="167" customWidth="1"/>
    <col min="18" max="19" width="16.77734375" style="167" bestFit="1" customWidth="1"/>
    <col min="20" max="22" width="9" style="167"/>
    <col min="23" max="24" width="16.77734375" style="167" bestFit="1" customWidth="1"/>
    <col min="25" max="25" width="9" style="167"/>
    <col min="26" max="26" width="16.77734375" style="167" bestFit="1" customWidth="1"/>
    <col min="27" max="27" width="17.109375" style="167" bestFit="1" customWidth="1"/>
    <col min="28" max="16384" width="9" style="167"/>
  </cols>
  <sheetData>
    <row r="1" spans="1:46" s="166" customFormat="1" ht="15" customHeight="1">
      <c r="A1" s="165" t="str">
        <f>'Rate Case Constants'!C9</f>
        <v>KENTUCKY UTILITIES COMPANY</v>
      </c>
      <c r="B1" s="165"/>
      <c r="C1" s="165"/>
      <c r="D1" s="165"/>
      <c r="E1" s="165"/>
      <c r="F1" s="165"/>
      <c r="G1" s="165"/>
      <c r="H1" s="165"/>
      <c r="I1" s="165"/>
      <c r="J1" s="165"/>
      <c r="K1" s="165"/>
      <c r="L1" s="165"/>
      <c r="M1" s="165"/>
      <c r="N1" s="165"/>
      <c r="O1" s="165"/>
      <c r="P1" s="165"/>
    </row>
    <row r="2" spans="1:46" s="166" customFormat="1" ht="15" customHeight="1">
      <c r="A2" s="165" t="str">
        <f>'Rate Case Constants'!C10</f>
        <v>CASE NO. 2018-00294 - RESPONSE TO PSC 2-65 (SLIPPAGE FACTOR 96.027%)</v>
      </c>
      <c r="B2" s="165"/>
      <c r="C2" s="165"/>
      <c r="D2" s="165"/>
      <c r="E2" s="165"/>
      <c r="F2" s="165"/>
      <c r="G2" s="165"/>
      <c r="H2" s="165"/>
      <c r="I2" s="165"/>
      <c r="J2" s="165"/>
      <c r="K2" s="165"/>
      <c r="L2" s="165"/>
      <c r="M2" s="165"/>
      <c r="N2" s="165"/>
      <c r="O2" s="165"/>
      <c r="P2" s="165"/>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row>
    <row r="3" spans="1:46" s="166" customFormat="1" ht="15" customHeight="1">
      <c r="A3" s="165" t="s">
        <v>2095</v>
      </c>
      <c r="B3" s="165"/>
      <c r="C3" s="165"/>
      <c r="D3" s="165"/>
      <c r="E3" s="165"/>
      <c r="F3" s="165"/>
      <c r="G3" s="165"/>
      <c r="H3" s="165"/>
      <c r="I3" s="165"/>
      <c r="J3" s="165"/>
      <c r="K3" s="165"/>
      <c r="L3" s="165"/>
      <c r="M3" s="165"/>
      <c r="N3" s="165"/>
      <c r="O3" s="165"/>
      <c r="P3" s="165"/>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row>
    <row r="4" spans="1:46" s="166" customFormat="1" ht="15" customHeight="1">
      <c r="A4" s="168" t="s">
        <v>2673</v>
      </c>
      <c r="B4" s="165"/>
      <c r="C4" s="165"/>
      <c r="D4" s="165"/>
      <c r="E4" s="165"/>
      <c r="F4" s="165"/>
      <c r="G4" s="165"/>
      <c r="H4" s="165"/>
      <c r="I4" s="165"/>
      <c r="J4" s="165"/>
      <c r="K4" s="165"/>
      <c r="L4" s="165"/>
      <c r="M4" s="165"/>
      <c r="N4" s="165"/>
      <c r="O4" s="165"/>
      <c r="P4" s="165"/>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row>
    <row r="5" spans="1:46" s="170" customFormat="1">
      <c r="B5" s="171"/>
      <c r="D5" s="172"/>
      <c r="E5" s="172"/>
      <c r="F5" s="172"/>
      <c r="G5" s="172"/>
      <c r="H5" s="172"/>
      <c r="I5" s="172"/>
      <c r="J5" s="172"/>
      <c r="K5" s="172"/>
      <c r="L5" s="172"/>
    </row>
    <row r="6" spans="1:46" s="166" customFormat="1" ht="15" customHeight="1">
      <c r="A6" s="67" t="s">
        <v>174</v>
      </c>
      <c r="B6" s="167"/>
      <c r="C6" s="167"/>
      <c r="D6" s="167"/>
      <c r="E6" s="167"/>
      <c r="F6" s="167"/>
      <c r="G6" s="167"/>
      <c r="H6" s="167"/>
      <c r="I6" s="167"/>
      <c r="J6" s="167"/>
      <c r="K6" s="167"/>
      <c r="L6" s="167"/>
      <c r="M6" s="167"/>
      <c r="N6" s="167"/>
      <c r="O6" s="167"/>
      <c r="P6" s="169" t="s">
        <v>1461</v>
      </c>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row>
    <row r="7" spans="1:46" s="166" customFormat="1" ht="15" customHeight="1">
      <c r="A7" s="167" t="str">
        <f>'Rate Case Constants'!C29</f>
        <v>TYPE OF FILING: __X__ ORIGINAL  _____ UPDATED  _____ REVISED</v>
      </c>
      <c r="B7" s="167"/>
      <c r="C7" s="167"/>
      <c r="D7" s="167"/>
      <c r="E7" s="167"/>
      <c r="F7" s="167"/>
      <c r="G7" s="167"/>
      <c r="H7" s="167"/>
      <c r="I7" s="167"/>
      <c r="J7" s="167"/>
      <c r="K7" s="167"/>
      <c r="L7" s="167"/>
      <c r="M7" s="167"/>
      <c r="N7" s="167"/>
      <c r="O7" s="167"/>
      <c r="P7" s="169" t="s">
        <v>2062</v>
      </c>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row>
    <row r="8" spans="1:46" s="166" customFormat="1" ht="15" customHeight="1">
      <c r="A8" s="167" t="s">
        <v>1457</v>
      </c>
      <c r="B8" s="167"/>
      <c r="C8" s="167"/>
      <c r="D8" s="167"/>
      <c r="E8" s="167"/>
      <c r="F8" s="167"/>
      <c r="G8" s="167"/>
      <c r="H8" s="167"/>
      <c r="I8" s="167"/>
      <c r="J8" s="167"/>
      <c r="K8" s="167"/>
      <c r="L8" s="167"/>
      <c r="M8" s="167"/>
      <c r="N8" s="167"/>
      <c r="O8" s="167"/>
      <c r="P8" s="169" t="str">
        <f>'Rate Case Constants'!C36</f>
        <v>WITNESS:   C. M. GARRETT</v>
      </c>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row>
    <row r="9" spans="1:46" ht="15" customHeight="1" thickBot="1"/>
    <row r="10" spans="1:46" s="166" customFormat="1" ht="15" customHeight="1">
      <c r="A10" s="173"/>
      <c r="B10" s="173"/>
      <c r="C10" s="173"/>
      <c r="D10" s="176" t="s">
        <v>1480</v>
      </c>
      <c r="E10" s="173"/>
      <c r="F10" s="173"/>
      <c r="G10" s="173"/>
      <c r="H10" s="173"/>
      <c r="I10" s="173"/>
      <c r="J10" s="173"/>
      <c r="K10" s="173"/>
      <c r="L10" s="173"/>
      <c r="M10" s="173"/>
      <c r="N10" s="173"/>
      <c r="O10" s="173"/>
      <c r="P10" s="173"/>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row>
    <row r="11" spans="1:46" s="166" customFormat="1" ht="15" customHeight="1">
      <c r="A11" s="174" t="s">
        <v>1466</v>
      </c>
      <c r="B11" s="167"/>
      <c r="C11" s="167"/>
      <c r="D11" s="174" t="s">
        <v>1462</v>
      </c>
      <c r="E11" s="167"/>
      <c r="F11" s="174" t="s">
        <v>1465</v>
      </c>
      <c r="G11" s="167"/>
      <c r="H11" s="167"/>
      <c r="I11" s="167"/>
      <c r="J11" s="167"/>
      <c r="K11" s="167"/>
      <c r="L11" s="167"/>
      <c r="M11" s="167"/>
      <c r="N11" s="167"/>
      <c r="O11" s="167"/>
      <c r="P11" s="175"/>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row>
    <row r="12" spans="1:46" s="166" customFormat="1" ht="15" customHeight="1" thickBot="1">
      <c r="A12" s="174" t="s">
        <v>1467</v>
      </c>
      <c r="B12" s="174" t="s">
        <v>205</v>
      </c>
      <c r="C12" s="167"/>
      <c r="D12" s="174" t="s">
        <v>1463</v>
      </c>
      <c r="E12" s="174" t="s">
        <v>1464</v>
      </c>
      <c r="F12" s="174" t="s">
        <v>1463</v>
      </c>
      <c r="G12" s="174" t="s">
        <v>1464</v>
      </c>
      <c r="H12" s="175">
        <v>2017</v>
      </c>
      <c r="I12" s="174" t="s">
        <v>1464</v>
      </c>
      <c r="J12" s="175">
        <v>2016</v>
      </c>
      <c r="K12" s="174" t="s">
        <v>1464</v>
      </c>
      <c r="L12" s="175">
        <v>2015</v>
      </c>
      <c r="M12" s="174" t="s">
        <v>1464</v>
      </c>
      <c r="N12" s="175">
        <v>2014</v>
      </c>
      <c r="O12" s="174" t="s">
        <v>1464</v>
      </c>
      <c r="P12" s="175">
        <v>2013</v>
      </c>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row>
    <row r="13" spans="1:46" s="166" customFormat="1" ht="15" customHeight="1">
      <c r="A13" s="176"/>
      <c r="B13" s="177"/>
      <c r="C13" s="177"/>
      <c r="D13" s="177"/>
      <c r="E13" s="177"/>
      <c r="F13" s="177"/>
      <c r="G13" s="177"/>
      <c r="H13" s="177"/>
      <c r="I13" s="177"/>
      <c r="J13" s="177"/>
      <c r="K13" s="177"/>
      <c r="L13" s="177"/>
      <c r="M13" s="177"/>
      <c r="N13" s="177"/>
      <c r="O13" s="177"/>
      <c r="P13" s="17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row>
    <row r="14" spans="1:46" s="166" customFormat="1" ht="15" customHeight="1">
      <c r="A14" s="174">
        <v>1</v>
      </c>
      <c r="B14" s="780" t="s">
        <v>1499</v>
      </c>
      <c r="C14" s="780"/>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row>
    <row r="15" spans="1:46" s="166" customFormat="1" ht="15" customHeight="1">
      <c r="A15" s="189"/>
      <c r="B15" s="190"/>
      <c r="C15" s="190"/>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row>
    <row r="16" spans="1:46" s="166" customFormat="1" ht="15" customHeight="1">
      <c r="A16" s="174">
        <f>A14+1</f>
        <v>2</v>
      </c>
      <c r="B16" s="178" t="s">
        <v>1443</v>
      </c>
      <c r="C16" s="167"/>
      <c r="D16" s="191"/>
      <c r="E16" s="192"/>
      <c r="F16" s="191"/>
      <c r="G16" s="192"/>
      <c r="H16" s="191"/>
      <c r="I16" s="192"/>
      <c r="J16" s="191"/>
      <c r="K16" s="192"/>
      <c r="L16" s="191"/>
      <c r="M16" s="192"/>
      <c r="N16" s="191"/>
      <c r="O16" s="192"/>
      <c r="P16" s="191"/>
      <c r="Q16" s="180"/>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row>
    <row r="17" spans="1:46" s="166" customFormat="1" ht="15" customHeight="1">
      <c r="A17" s="187">
        <f t="shared" ref="A17:A21" si="0">A16+1</f>
        <v>3</v>
      </c>
      <c r="B17" s="167" t="s">
        <v>1458</v>
      </c>
      <c r="C17" s="167"/>
      <c r="D17" s="204">
        <f>BS!AF$16*1000-D18</f>
        <v>10092253684.731005</v>
      </c>
      <c r="E17" s="179">
        <f t="shared" ref="E17:O21" si="1">(+D17-F17)/F17</f>
        <v>3.2318449824088644E-2</v>
      </c>
      <c r="F17" s="204">
        <f>BS!N$16*1000-F18</f>
        <v>9776298860.5413055</v>
      </c>
      <c r="G17" s="179">
        <f t="shared" si="1"/>
        <v>5.3800266638598292E-2</v>
      </c>
      <c r="H17" s="204">
        <f>9598351833.34-H18</f>
        <v>9277183893.4200001</v>
      </c>
      <c r="I17" s="179">
        <f t="shared" si="1"/>
        <v>2.1069145244668231E-2</v>
      </c>
      <c r="J17" s="204">
        <f>9266547925.93-J18</f>
        <v>9085754805.7600002</v>
      </c>
      <c r="K17" s="179">
        <f t="shared" si="1"/>
        <v>3.0717348500220926E-2</v>
      </c>
      <c r="L17" s="204">
        <f>9082008901.23-L18</f>
        <v>8814981933.6800003</v>
      </c>
      <c r="M17" s="179">
        <f t="shared" si="1"/>
        <v>0.13191963759175729</v>
      </c>
      <c r="N17" s="204">
        <f>8667708179.24-N18</f>
        <v>7787639370.2600002</v>
      </c>
      <c r="O17" s="179">
        <f t="shared" si="1"/>
        <v>0.11730955883619387</v>
      </c>
      <c r="P17" s="204">
        <f>8108605484.28-P18</f>
        <v>6969992611.8699999</v>
      </c>
      <c r="Q17" s="181"/>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row>
    <row r="18" spans="1:46" s="166" customFormat="1" ht="15" customHeight="1">
      <c r="A18" s="187">
        <f t="shared" si="0"/>
        <v>4</v>
      </c>
      <c r="B18" s="167" t="s">
        <v>1182</v>
      </c>
      <c r="C18" s="167"/>
      <c r="D18" s="205">
        <f>'SCH B-4'!F47</f>
        <v>233249501.75412571</v>
      </c>
      <c r="E18" s="179">
        <f t="shared" si="1"/>
        <v>-0.26941116285326994</v>
      </c>
      <c r="F18" s="205">
        <f>'SCH B-4'!F22</f>
        <v>319262340.03939527</v>
      </c>
      <c r="G18" s="179">
        <f t="shared" si="1"/>
        <v>-5.9333440351468812E-3</v>
      </c>
      <c r="H18" s="205">
        <v>321167939.92000002</v>
      </c>
      <c r="I18" s="179">
        <f t="shared" si="1"/>
        <v>0.77643894644887712</v>
      </c>
      <c r="J18" s="205">
        <v>180793120.16999999</v>
      </c>
      <c r="K18" s="179">
        <f t="shared" si="1"/>
        <v>-0.32294059349587223</v>
      </c>
      <c r="L18" s="205">
        <v>267026967.55000001</v>
      </c>
      <c r="M18" s="179">
        <f t="shared" si="1"/>
        <v>-0.69658398885936623</v>
      </c>
      <c r="N18" s="205">
        <v>880068808.98000002</v>
      </c>
      <c r="O18" s="179">
        <f t="shared" si="1"/>
        <v>-0.22706933119661907</v>
      </c>
      <c r="P18" s="205">
        <v>1138612872.4100001</v>
      </c>
      <c r="Q18" s="181"/>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row>
    <row r="19" spans="1:46" s="166" customFormat="1" ht="15" customHeight="1">
      <c r="A19" s="187">
        <f t="shared" si="0"/>
        <v>5</v>
      </c>
      <c r="B19" s="167" t="s">
        <v>1500</v>
      </c>
      <c r="C19" s="167"/>
      <c r="D19" s="196">
        <f>D17+D18</f>
        <v>10325503186.48513</v>
      </c>
      <c r="E19" s="179">
        <f t="shared" si="1"/>
        <v>2.2776543209029731E-2</v>
      </c>
      <c r="F19" s="196">
        <f>F17+F18</f>
        <v>10095561200.5807</v>
      </c>
      <c r="G19" s="179">
        <f t="shared" si="1"/>
        <v>5.1801535917201595E-2</v>
      </c>
      <c r="H19" s="196">
        <f>H17+H18</f>
        <v>9598351833.3400002</v>
      </c>
      <c r="I19" s="179">
        <f t="shared" si="1"/>
        <v>3.5806635875862011E-2</v>
      </c>
      <c r="J19" s="196">
        <f>J17+J18</f>
        <v>9266547925.9300003</v>
      </c>
      <c r="K19" s="179">
        <f t="shared" si="1"/>
        <v>2.0319185623679379E-2</v>
      </c>
      <c r="L19" s="196">
        <f>L17+L18</f>
        <v>9082008901.2299995</v>
      </c>
      <c r="M19" s="179">
        <f t="shared" si="1"/>
        <v>4.7798185336037281E-2</v>
      </c>
      <c r="N19" s="196">
        <f>N17+N18</f>
        <v>8667708179.2399998</v>
      </c>
      <c r="O19" s="179">
        <f t="shared" si="1"/>
        <v>6.8951769332460666E-2</v>
      </c>
      <c r="P19" s="196">
        <f>P17+P18</f>
        <v>8108605484.2799997</v>
      </c>
      <c r="Q19" s="181"/>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row>
    <row r="20" spans="1:46" s="166" customFormat="1" ht="15" customHeight="1">
      <c r="A20" s="187">
        <f t="shared" si="0"/>
        <v>6</v>
      </c>
      <c r="B20" s="167" t="s">
        <v>1501</v>
      </c>
      <c r="C20" s="167"/>
      <c r="D20" s="201">
        <f>-BS!AF28*1000</f>
        <v>3504152398.3116226</v>
      </c>
      <c r="E20" s="179">
        <f t="shared" si="1"/>
        <v>1.3134883520639245E-2</v>
      </c>
      <c r="F20" s="201">
        <f>-BS!N28*1000</f>
        <v>3458722481.38837</v>
      </c>
      <c r="G20" s="179">
        <f t="shared" si="1"/>
        <v>6.8119531021186897E-2</v>
      </c>
      <c r="H20" s="201">
        <v>3238141781.8299999</v>
      </c>
      <c r="I20" s="179">
        <f t="shared" si="1"/>
        <v>6.1269042899723895E-2</v>
      </c>
      <c r="J20" s="201">
        <v>3051197812.1799998</v>
      </c>
      <c r="K20" s="179">
        <f t="shared" si="1"/>
        <v>7.0651326398491088E-2</v>
      </c>
      <c r="L20" s="201">
        <v>2849851989.1100001</v>
      </c>
      <c r="M20" s="179">
        <f t="shared" si="1"/>
        <v>1.8179285510378371E-2</v>
      </c>
      <c r="N20" s="201">
        <v>2798968737.3000002</v>
      </c>
      <c r="O20" s="179">
        <f t="shared" si="1"/>
        <v>5.7247563564010367E-2</v>
      </c>
      <c r="P20" s="201">
        <v>2647410912.79</v>
      </c>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row>
    <row r="21" spans="1:46" s="166" customFormat="1" ht="15" customHeight="1">
      <c r="A21" s="187">
        <f t="shared" si="0"/>
        <v>7</v>
      </c>
      <c r="B21" s="167" t="s">
        <v>1502</v>
      </c>
      <c r="C21" s="167"/>
      <c r="D21" s="197">
        <f>D19-D20</f>
        <v>6821350788.1735077</v>
      </c>
      <c r="E21" s="179">
        <f t="shared" si="1"/>
        <v>2.7801198249342497E-2</v>
      </c>
      <c r="F21" s="197">
        <f>F19-F20</f>
        <v>6636838719.1923294</v>
      </c>
      <c r="G21" s="179">
        <f t="shared" si="1"/>
        <v>4.349363707204195E-2</v>
      </c>
      <c r="H21" s="197">
        <f>H19-H20</f>
        <v>6360210051.5100002</v>
      </c>
      <c r="I21" s="179">
        <f t="shared" si="1"/>
        <v>2.3306802530646133E-2</v>
      </c>
      <c r="J21" s="197">
        <f>J19-J20</f>
        <v>6215350113.75</v>
      </c>
      <c r="K21" s="179">
        <f t="shared" si="1"/>
        <v>-2.696786779760612E-3</v>
      </c>
      <c r="L21" s="197">
        <f>L19-L20</f>
        <v>6232156912.1199989</v>
      </c>
      <c r="M21" s="179">
        <f t="shared" si="1"/>
        <v>6.1924280976404407E-2</v>
      </c>
      <c r="N21" s="197">
        <f>N19-N20</f>
        <v>5868739441.9399996</v>
      </c>
      <c r="O21" s="179">
        <f t="shared" si="1"/>
        <v>7.4625590631320002E-2</v>
      </c>
      <c r="P21" s="197">
        <f>P19-P20</f>
        <v>5461194571.4899998</v>
      </c>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row>
    <row r="22" spans="1:46" s="166" customFormat="1" ht="15" customHeight="1">
      <c r="A22" s="174"/>
      <c r="B22" s="167"/>
      <c r="C22" s="167"/>
      <c r="D22" s="198"/>
      <c r="E22" s="194"/>
      <c r="F22" s="198"/>
      <c r="G22" s="194"/>
      <c r="H22" s="198"/>
      <c r="I22" s="194"/>
      <c r="J22" s="185"/>
      <c r="K22" s="194"/>
      <c r="L22" s="198"/>
      <c r="M22" s="194"/>
      <c r="N22" s="185"/>
      <c r="O22" s="194"/>
      <c r="P22" s="198"/>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row>
    <row r="23" spans="1:46" s="166" customFormat="1" ht="15" customHeight="1">
      <c r="A23" s="174">
        <f>A21+1</f>
        <v>8</v>
      </c>
      <c r="B23" s="178" t="s">
        <v>1503</v>
      </c>
      <c r="C23" s="167"/>
      <c r="D23" s="199"/>
      <c r="E23" s="194"/>
      <c r="F23" s="199"/>
      <c r="G23" s="194"/>
      <c r="H23" s="199"/>
      <c r="I23" s="194"/>
      <c r="J23" s="193"/>
      <c r="K23" s="194"/>
      <c r="L23" s="199"/>
      <c r="M23" s="194"/>
      <c r="N23" s="193"/>
      <c r="O23" s="194"/>
      <c r="P23" s="199"/>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row>
    <row r="24" spans="1:46" s="166" customFormat="1" ht="15" customHeight="1">
      <c r="A24" s="187">
        <f t="shared" ref="A24:A28" si="2">A23+1</f>
        <v>9</v>
      </c>
      <c r="B24" s="167" t="s">
        <v>1504</v>
      </c>
      <c r="C24" s="167"/>
      <c r="D24" s="204">
        <f>BS!AF39*1000</f>
        <v>178713.88999999998</v>
      </c>
      <c r="E24" s="179">
        <f t="shared" ref="E24:O28" si="3">(+D24-F24)/F24</f>
        <v>0</v>
      </c>
      <c r="F24" s="204">
        <f>BS!N39*1000</f>
        <v>178713.88999999998</v>
      </c>
      <c r="G24" s="179">
        <f t="shared" si="3"/>
        <v>-1.6285153021252965E-16</v>
      </c>
      <c r="H24" s="204">
        <v>178713.89</v>
      </c>
      <c r="I24" s="179">
        <f t="shared" si="3"/>
        <v>-0.8160079484153977</v>
      </c>
      <c r="J24" s="204">
        <v>971313.1</v>
      </c>
      <c r="K24" s="179">
        <f t="shared" si="3"/>
        <v>0</v>
      </c>
      <c r="L24" s="204">
        <v>971313.1</v>
      </c>
      <c r="M24" s="179">
        <f t="shared" si="3"/>
        <v>0</v>
      </c>
      <c r="N24" s="204">
        <v>971313.1</v>
      </c>
      <c r="O24" s="179">
        <f t="shared" si="3"/>
        <v>-4.1889632524348349E-4</v>
      </c>
      <c r="P24" s="204">
        <v>971720.15</v>
      </c>
      <c r="Q24" s="181"/>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row>
    <row r="25" spans="1:46" s="166" customFormat="1" ht="15" customHeight="1">
      <c r="A25" s="187">
        <f t="shared" si="2"/>
        <v>10</v>
      </c>
      <c r="B25" s="167" t="s">
        <v>1505</v>
      </c>
      <c r="C25" s="167"/>
      <c r="D25" s="201">
        <v>0</v>
      </c>
      <c r="E25" s="179">
        <v>0</v>
      </c>
      <c r="F25" s="201">
        <v>0</v>
      </c>
      <c r="G25" s="179">
        <v>0</v>
      </c>
      <c r="H25" s="201">
        <v>0</v>
      </c>
      <c r="I25" s="179">
        <v>0</v>
      </c>
      <c r="J25" s="201">
        <v>0</v>
      </c>
      <c r="K25" s="179">
        <v>0</v>
      </c>
      <c r="L25" s="201">
        <v>0</v>
      </c>
      <c r="M25" s="179">
        <v>0</v>
      </c>
      <c r="N25" s="201">
        <v>0</v>
      </c>
      <c r="O25" s="179">
        <v>0</v>
      </c>
      <c r="P25" s="201">
        <v>0</v>
      </c>
      <c r="Q25" s="181"/>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row>
    <row r="26" spans="1:46" s="166" customFormat="1" ht="15" customHeight="1">
      <c r="A26" s="187">
        <f t="shared" si="2"/>
        <v>11</v>
      </c>
      <c r="B26" s="167" t="s">
        <v>1506</v>
      </c>
      <c r="C26" s="167"/>
      <c r="D26" s="201">
        <f>BS!AF35*1000</f>
        <v>250000</v>
      </c>
      <c r="E26" s="179">
        <f t="shared" si="3"/>
        <v>0</v>
      </c>
      <c r="F26" s="201">
        <f>BS!N35*1000</f>
        <v>250000</v>
      </c>
      <c r="G26" s="179">
        <f t="shared" si="3"/>
        <v>0</v>
      </c>
      <c r="H26" s="201">
        <v>250000</v>
      </c>
      <c r="I26" s="179">
        <f t="shared" si="3"/>
        <v>0</v>
      </c>
      <c r="J26" s="201">
        <v>250000</v>
      </c>
      <c r="K26" s="179">
        <f t="shared" si="3"/>
        <v>0</v>
      </c>
      <c r="L26" s="201">
        <v>250000</v>
      </c>
      <c r="M26" s="179">
        <f t="shared" si="3"/>
        <v>0</v>
      </c>
      <c r="N26" s="201">
        <v>250000</v>
      </c>
      <c r="O26" s="179">
        <f t="shared" si="3"/>
        <v>0</v>
      </c>
      <c r="P26" s="201">
        <v>250000</v>
      </c>
      <c r="Q26" s="181"/>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row>
    <row r="27" spans="1:46" s="166" customFormat="1" ht="15" customHeight="1">
      <c r="A27" s="187">
        <f t="shared" si="2"/>
        <v>12</v>
      </c>
      <c r="B27" s="167" t="s">
        <v>1507</v>
      </c>
      <c r="C27" s="167"/>
      <c r="D27" s="205">
        <f>BS!AF43*1000</f>
        <v>24608293.273846127</v>
      </c>
      <c r="E27" s="179">
        <f t="shared" si="3"/>
        <v>0.35008356515231015</v>
      </c>
      <c r="F27" s="205">
        <f>BS!N43*1000</f>
        <v>18227237.120000001</v>
      </c>
      <c r="G27" s="179">
        <v>1</v>
      </c>
      <c r="H27" s="205">
        <v>0</v>
      </c>
      <c r="I27" s="179">
        <v>0</v>
      </c>
      <c r="J27" s="205">
        <v>0</v>
      </c>
      <c r="K27" s="179">
        <v>0</v>
      </c>
      <c r="L27" s="205">
        <v>0</v>
      </c>
      <c r="M27" s="179">
        <v>0</v>
      </c>
      <c r="N27" s="205">
        <v>0</v>
      </c>
      <c r="O27" s="179">
        <v>0</v>
      </c>
      <c r="P27" s="205">
        <v>0</v>
      </c>
      <c r="Q27" s="181"/>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row>
    <row r="28" spans="1:46" s="166" customFormat="1" ht="15" customHeight="1">
      <c r="A28" s="187">
        <f t="shared" si="2"/>
        <v>13</v>
      </c>
      <c r="B28" s="167" t="s">
        <v>1508</v>
      </c>
      <c r="C28" s="167"/>
      <c r="D28" s="200">
        <f>SUM(D24:D27)</f>
        <v>25037007.163846128</v>
      </c>
      <c r="E28" s="179">
        <f t="shared" si="3"/>
        <v>0.34203864227697311</v>
      </c>
      <c r="F28" s="200">
        <f>SUM(F24:F27)</f>
        <v>18655951.010000002</v>
      </c>
      <c r="G28" s="179">
        <f t="shared" si="3"/>
        <v>42.516087174129119</v>
      </c>
      <c r="H28" s="200">
        <f>SUM(H24:H27)</f>
        <v>428713.89</v>
      </c>
      <c r="I28" s="179">
        <f t="shared" si="3"/>
        <v>-0.64897298653391999</v>
      </c>
      <c r="J28" s="200">
        <f>SUM(J24:J27)</f>
        <v>1221313.1000000001</v>
      </c>
      <c r="K28" s="179">
        <f t="shared" si="3"/>
        <v>0</v>
      </c>
      <c r="L28" s="200">
        <f>SUM(L24:L27)</f>
        <v>1221313.1000000001</v>
      </c>
      <c r="M28" s="179">
        <f t="shared" si="3"/>
        <v>0</v>
      </c>
      <c r="N28" s="200">
        <f>SUM(N24:N27)</f>
        <v>1221313.1000000001</v>
      </c>
      <c r="O28" s="179">
        <f t="shared" si="3"/>
        <v>-3.3317777397697315E-4</v>
      </c>
      <c r="P28" s="200">
        <f>SUM(P24:P27)</f>
        <v>1221720.1499999999</v>
      </c>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row>
    <row r="29" spans="1:46" s="166" customFormat="1" ht="15" customHeight="1">
      <c r="A29" s="174"/>
      <c r="B29" s="167"/>
      <c r="C29" s="167"/>
      <c r="D29" s="199"/>
      <c r="E29" s="194"/>
      <c r="F29" s="199"/>
      <c r="G29" s="194"/>
      <c r="H29" s="199"/>
      <c r="I29" s="194"/>
      <c r="J29" s="193"/>
      <c r="K29" s="194"/>
      <c r="L29" s="199"/>
      <c r="M29" s="194"/>
      <c r="N29" s="193"/>
      <c r="O29" s="194"/>
      <c r="P29" s="199"/>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row>
    <row r="30" spans="1:46" s="166" customFormat="1" ht="15" customHeight="1">
      <c r="A30" s="187">
        <f>A28+1</f>
        <v>14</v>
      </c>
      <c r="B30" s="178" t="s">
        <v>1444</v>
      </c>
      <c r="C30" s="167"/>
      <c r="D30" s="198"/>
      <c r="E30" s="192"/>
      <c r="F30" s="198"/>
      <c r="G30" s="192"/>
      <c r="H30" s="198"/>
      <c r="I30" s="192"/>
      <c r="J30" s="193"/>
      <c r="K30" s="192"/>
      <c r="L30" s="198"/>
      <c r="M30" s="192"/>
      <c r="N30" s="193"/>
      <c r="O30" s="192"/>
      <c r="P30" s="198"/>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row>
    <row r="31" spans="1:46" s="166" customFormat="1" ht="15" customHeight="1">
      <c r="A31" s="187">
        <f t="shared" ref="A31:A47" si="4">A30+1</f>
        <v>15</v>
      </c>
      <c r="B31" s="167" t="s">
        <v>1509</v>
      </c>
      <c r="C31" s="167"/>
      <c r="D31" s="204">
        <f>BS!AF49*1000</f>
        <v>5000000</v>
      </c>
      <c r="E31" s="179">
        <f t="shared" ref="E31:O47" si="5">(+D31-F31)/F31</f>
        <v>0</v>
      </c>
      <c r="F31" s="204">
        <f>BS!N49*1000</f>
        <v>5000000</v>
      </c>
      <c r="G31" s="179">
        <f t="shared" si="5"/>
        <v>-0.60988834518360036</v>
      </c>
      <c r="H31" s="204">
        <v>12816843.43</v>
      </c>
      <c r="I31" s="179">
        <f t="shared" si="5"/>
        <v>0.75993167998248323</v>
      </c>
      <c r="J31" s="204">
        <v>7282580.0999999996</v>
      </c>
      <c r="K31" s="179">
        <f t="shared" si="5"/>
        <v>1.9828146878648433E-2</v>
      </c>
      <c r="L31" s="204">
        <v>7140987.5499999998</v>
      </c>
      <c r="M31" s="179">
        <f t="shared" si="5"/>
        <v>1.8850603852090291E-2</v>
      </c>
      <c r="N31" s="204">
        <v>7008866.1900000004</v>
      </c>
      <c r="O31" s="179">
        <f t="shared" si="5"/>
        <v>0.4029194035117975</v>
      </c>
      <c r="P31" s="204">
        <v>4995915.07</v>
      </c>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row>
    <row r="32" spans="1:46" s="166" customFormat="1" ht="15" customHeight="1">
      <c r="A32" s="187">
        <f t="shared" si="4"/>
        <v>16</v>
      </c>
      <c r="B32" s="167" t="s">
        <v>1510</v>
      </c>
      <c r="C32" s="167"/>
      <c r="D32" s="201">
        <v>0</v>
      </c>
      <c r="E32" s="179">
        <v>0</v>
      </c>
      <c r="F32" s="201">
        <v>0</v>
      </c>
      <c r="G32" s="179">
        <v>0</v>
      </c>
      <c r="H32" s="201">
        <v>0</v>
      </c>
      <c r="I32" s="179">
        <v>0</v>
      </c>
      <c r="J32" s="201">
        <v>0</v>
      </c>
      <c r="K32" s="179">
        <v>0</v>
      </c>
      <c r="L32" s="201">
        <v>0</v>
      </c>
      <c r="M32" s="179">
        <v>0</v>
      </c>
      <c r="N32" s="201">
        <v>0</v>
      </c>
      <c r="O32" s="179">
        <v>1</v>
      </c>
      <c r="P32" s="201">
        <v>0</v>
      </c>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row>
    <row r="33" spans="1:46" s="166" customFormat="1" ht="15" customHeight="1">
      <c r="A33" s="187">
        <f t="shared" si="4"/>
        <v>17</v>
      </c>
      <c r="B33" s="167" t="s">
        <v>1511</v>
      </c>
      <c r="C33" s="167"/>
      <c r="D33" s="201">
        <f>BS!AF50*1000</f>
        <v>61029.999999999978</v>
      </c>
      <c r="E33" s="179">
        <f t="shared" si="5"/>
        <v>-3.5765808360724687E-16</v>
      </c>
      <c r="F33" s="201">
        <f>BS!N50*1000</f>
        <v>61030</v>
      </c>
      <c r="G33" s="179">
        <f t="shared" si="5"/>
        <v>0</v>
      </c>
      <c r="H33" s="201">
        <v>61030</v>
      </c>
      <c r="I33" s="179">
        <f t="shared" si="5"/>
        <v>0</v>
      </c>
      <c r="J33" s="201">
        <v>61030</v>
      </c>
      <c r="K33" s="179">
        <f t="shared" si="5"/>
        <v>0</v>
      </c>
      <c r="L33" s="201">
        <v>61030</v>
      </c>
      <c r="M33" s="179">
        <f t="shared" si="5"/>
        <v>0</v>
      </c>
      <c r="N33" s="201">
        <v>61030</v>
      </c>
      <c r="O33" s="179">
        <f t="shared" si="5"/>
        <v>0.58396055022060733</v>
      </c>
      <c r="P33" s="201">
        <v>38530</v>
      </c>
      <c r="Q33" s="181"/>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row>
    <row r="34" spans="1:46" s="166" customFormat="1" ht="15" customHeight="1">
      <c r="A34" s="187">
        <f t="shared" si="4"/>
        <v>18</v>
      </c>
      <c r="B34" s="167" t="s">
        <v>1512</v>
      </c>
      <c r="C34" s="167"/>
      <c r="D34" s="201">
        <f>BS!AF54*1000</f>
        <v>1116225.1536259043</v>
      </c>
      <c r="E34" s="179">
        <v>1</v>
      </c>
      <c r="F34" s="201">
        <f>BS!N54*1000</f>
        <v>8.2991391536779702E-9</v>
      </c>
      <c r="G34" s="179">
        <f t="shared" si="5"/>
        <v>-0.99999999999999545</v>
      </c>
      <c r="H34" s="201">
        <v>1864128.22</v>
      </c>
      <c r="I34" s="179">
        <f t="shared" si="5"/>
        <v>12.081395913495816</v>
      </c>
      <c r="J34" s="201">
        <v>142502.24</v>
      </c>
      <c r="K34" s="179">
        <f t="shared" si="5"/>
        <v>-0.96649375978540242</v>
      </c>
      <c r="L34" s="201">
        <v>4253005.9800000004</v>
      </c>
      <c r="M34" s="179">
        <f t="shared" si="5"/>
        <v>4.5795500060173251E-2</v>
      </c>
      <c r="N34" s="201">
        <v>4066766.38</v>
      </c>
      <c r="O34" s="179">
        <f t="shared" si="5"/>
        <v>-0.74020110453364574</v>
      </c>
      <c r="P34" s="201">
        <v>15653516.82</v>
      </c>
      <c r="Q34" s="181"/>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row>
    <row r="35" spans="1:46" s="166" customFormat="1" ht="15" customHeight="1">
      <c r="A35" s="187">
        <f t="shared" si="4"/>
        <v>19</v>
      </c>
      <c r="B35" s="167" t="s">
        <v>1513</v>
      </c>
      <c r="C35" s="167"/>
      <c r="D35" s="201">
        <f>BS!AF58*1000</f>
        <v>137603246.91014352</v>
      </c>
      <c r="E35" s="179">
        <f t="shared" si="5"/>
        <v>1.2408505580851674E-2</v>
      </c>
      <c r="F35" s="201">
        <f>BS!N58*1000</f>
        <v>135916723.48820901</v>
      </c>
      <c r="G35" s="179">
        <f t="shared" si="5"/>
        <v>3.771287045291366E-2</v>
      </c>
      <c r="H35" s="201">
        <v>130977197.40999998</v>
      </c>
      <c r="I35" s="179">
        <f t="shared" si="5"/>
        <v>2.9351256870624891E-2</v>
      </c>
      <c r="J35" s="201">
        <v>127242470.95999999</v>
      </c>
      <c r="K35" s="179">
        <f t="shared" si="5"/>
        <v>7.1525461161309811E-2</v>
      </c>
      <c r="L35" s="201">
        <v>118748901.05</v>
      </c>
      <c r="M35" s="179">
        <f t="shared" si="5"/>
        <v>-6.2803479028231649E-2</v>
      </c>
      <c r="N35" s="201">
        <v>126706510.73999999</v>
      </c>
      <c r="O35" s="179">
        <f t="shared" si="5"/>
        <v>2.9193640704457704E-2</v>
      </c>
      <c r="P35" s="201">
        <v>123112411.23999999</v>
      </c>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row>
    <row r="36" spans="1:46" s="166" customFormat="1" ht="15" customHeight="1">
      <c r="A36" s="187">
        <f t="shared" si="4"/>
        <v>20</v>
      </c>
      <c r="B36" s="167" t="s">
        <v>1514</v>
      </c>
      <c r="C36" s="167"/>
      <c r="D36" s="201">
        <f>SUM(BS!AF59:AF62)*1000</f>
        <v>30273407.7099999</v>
      </c>
      <c r="E36" s="179">
        <f t="shared" si="5"/>
        <v>0</v>
      </c>
      <c r="F36" s="201">
        <f>SUM(BS!N59:N62)*1000</f>
        <v>30273407.7099999</v>
      </c>
      <c r="G36" s="179">
        <f t="shared" si="5"/>
        <v>1.9249566915247734E-2</v>
      </c>
      <c r="H36" s="201">
        <v>29701663.550000001</v>
      </c>
      <c r="I36" s="179">
        <f t="shared" si="5"/>
        <v>5.4296722526738552</v>
      </c>
      <c r="J36" s="201">
        <v>4619467.74</v>
      </c>
      <c r="K36" s="179">
        <f t="shared" si="5"/>
        <v>-0.41455422035373657</v>
      </c>
      <c r="L36" s="201">
        <v>7890513.3500000006</v>
      </c>
      <c r="M36" s="179">
        <f t="shared" si="5"/>
        <v>0.40691647635198858</v>
      </c>
      <c r="N36" s="201">
        <v>5608373.6900000004</v>
      </c>
      <c r="O36" s="179">
        <f t="shared" si="5"/>
        <v>-0.49861301130818281</v>
      </c>
      <c r="P36" s="201">
        <v>11185718.449999999</v>
      </c>
      <c r="Q36" s="181"/>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row>
    <row r="37" spans="1:46" s="166" customFormat="1" ht="15" customHeight="1">
      <c r="A37" s="187">
        <f t="shared" si="4"/>
        <v>21</v>
      </c>
      <c r="B37" s="167" t="s">
        <v>1515</v>
      </c>
      <c r="C37" s="183"/>
      <c r="D37" s="201">
        <f>-(BS!AF63+BS!AF64)*1000</f>
        <v>1300650.54999999</v>
      </c>
      <c r="E37" s="179">
        <f t="shared" si="5"/>
        <v>1.7901091392601299E-16</v>
      </c>
      <c r="F37" s="201">
        <f>-(BS!N63+BS!N64)*1000</f>
        <v>1300650.5499999898</v>
      </c>
      <c r="G37" s="179">
        <f t="shared" si="5"/>
        <v>-0.12006363195945824</v>
      </c>
      <c r="H37" s="201">
        <v>1478118.87</v>
      </c>
      <c r="I37" s="179">
        <f t="shared" si="5"/>
        <v>-0.16422364797895506</v>
      </c>
      <c r="J37" s="201">
        <v>1768557.9000000001</v>
      </c>
      <c r="K37" s="179">
        <f t="shared" si="5"/>
        <v>-3.4635068085447994E-2</v>
      </c>
      <c r="L37" s="201">
        <v>1832009.68</v>
      </c>
      <c r="M37" s="179">
        <f t="shared" si="5"/>
        <v>-0.24222989452127502</v>
      </c>
      <c r="N37" s="201">
        <v>2417632.56</v>
      </c>
      <c r="O37" s="179">
        <f t="shared" si="5"/>
        <v>-0.44852872634620761</v>
      </c>
      <c r="P37" s="201">
        <v>4383968.26</v>
      </c>
      <c r="Q37" s="181"/>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row>
    <row r="38" spans="1:46" s="166" customFormat="1" ht="15" customHeight="1">
      <c r="A38" s="187">
        <f t="shared" si="4"/>
        <v>22</v>
      </c>
      <c r="B38" s="167" t="s">
        <v>1516</v>
      </c>
      <c r="C38" s="167"/>
      <c r="D38" s="201">
        <f>BS!AF74*1000</f>
        <v>4612765.0292307669</v>
      </c>
      <c r="E38" s="179">
        <f t="shared" si="5"/>
        <v>1.1409518502510849</v>
      </c>
      <c r="F38" s="201">
        <f>BS!N74*1000</f>
        <v>2154539.3599999901</v>
      </c>
      <c r="G38" s="179">
        <v>1</v>
      </c>
      <c r="H38" s="201">
        <v>0</v>
      </c>
      <c r="I38" s="179">
        <f t="shared" si="5"/>
        <v>-1</v>
      </c>
      <c r="J38" s="201">
        <v>-38000.730000000003</v>
      </c>
      <c r="K38" s="179">
        <f t="shared" si="5"/>
        <v>-1.0448129140412601</v>
      </c>
      <c r="L38" s="201">
        <v>847986.14</v>
      </c>
      <c r="M38" s="179">
        <f t="shared" si="5"/>
        <v>-0.98581147079927456</v>
      </c>
      <c r="N38" s="201">
        <v>59765612.630000003</v>
      </c>
      <c r="O38" s="179">
        <f t="shared" si="5"/>
        <v>914.1563533157904</v>
      </c>
      <c r="P38" s="201">
        <v>65306.45</v>
      </c>
      <c r="Q38" s="181"/>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row>
    <row r="39" spans="1:46" s="166" customFormat="1" ht="15" customHeight="1">
      <c r="A39" s="187">
        <f t="shared" si="4"/>
        <v>23</v>
      </c>
      <c r="B39" s="167" t="s">
        <v>1517</v>
      </c>
      <c r="C39" s="167"/>
      <c r="D39" s="201">
        <f>BS!AF77*1000</f>
        <v>62955456.353642762</v>
      </c>
      <c r="E39" s="179">
        <f t="shared" si="5"/>
        <v>9.6831016433134471E-5</v>
      </c>
      <c r="F39" s="201">
        <f>BS!N77*1000</f>
        <v>62949360.903042704</v>
      </c>
      <c r="G39" s="179">
        <f t="shared" si="5"/>
        <v>1.1266611981108303E-2</v>
      </c>
      <c r="H39" s="201">
        <v>62248036.43</v>
      </c>
      <c r="I39" s="179">
        <f t="shared" si="5"/>
        <v>-0.36791001623922881</v>
      </c>
      <c r="J39" s="201">
        <v>98479707.049999997</v>
      </c>
      <c r="K39" s="179">
        <f t="shared" si="5"/>
        <v>1.4720668761336791E-2</v>
      </c>
      <c r="L39" s="201">
        <v>97051050.680000007</v>
      </c>
      <c r="M39" s="179">
        <f t="shared" si="5"/>
        <v>-2.2471382010771836E-2</v>
      </c>
      <c r="N39" s="201">
        <v>99282055.680000007</v>
      </c>
      <c r="O39" s="179">
        <f t="shared" si="5"/>
        <v>0.27598264542840378</v>
      </c>
      <c r="P39" s="201">
        <v>77808311.920000002</v>
      </c>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row>
    <row r="40" spans="1:46" s="166" customFormat="1" ht="15" customHeight="1">
      <c r="A40" s="187">
        <f t="shared" si="4"/>
        <v>24</v>
      </c>
      <c r="B40" s="167" t="s">
        <v>1518</v>
      </c>
      <c r="C40" s="167"/>
      <c r="D40" s="201">
        <f>BS!AF78*1000</f>
        <v>48204763.562307701</v>
      </c>
      <c r="E40" s="179">
        <f t="shared" si="5"/>
        <v>-4.4535266459683504E-2</v>
      </c>
      <c r="F40" s="201">
        <f>BS!N78*1000</f>
        <v>50451640.829999998</v>
      </c>
      <c r="G40" s="179">
        <f t="shared" si="5"/>
        <v>2.3625179456200771E-2</v>
      </c>
      <c r="H40" s="201">
        <v>49287221.380000003</v>
      </c>
      <c r="I40" s="179">
        <f t="shared" si="5"/>
        <v>9.6691573698314284E-2</v>
      </c>
      <c r="J40" s="201">
        <v>44941734.359999999</v>
      </c>
      <c r="K40" s="179">
        <f t="shared" si="5"/>
        <v>9.1263192215432859E-2</v>
      </c>
      <c r="L40" s="201">
        <v>41183222.049999997</v>
      </c>
      <c r="M40" s="179">
        <f t="shared" si="5"/>
        <v>6.5390564097772538E-2</v>
      </c>
      <c r="N40" s="201">
        <v>38655516.049999997</v>
      </c>
      <c r="O40" s="179">
        <f t="shared" si="5"/>
        <v>6.1811791620693363E-2</v>
      </c>
      <c r="P40" s="201">
        <v>36405242.770000003</v>
      </c>
      <c r="Q40" s="181"/>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row>
    <row r="41" spans="1:46" s="166" customFormat="1" ht="15" customHeight="1">
      <c r="A41" s="187">
        <f t="shared" si="4"/>
        <v>25</v>
      </c>
      <c r="B41" s="167" t="s">
        <v>1519</v>
      </c>
      <c r="C41" s="167"/>
      <c r="D41" s="201">
        <f>BS!AF79*1000</f>
        <v>129522.07999999999</v>
      </c>
      <c r="E41" s="179">
        <f t="shared" si="5"/>
        <v>0</v>
      </c>
      <c r="F41" s="201">
        <f>BS!N79*1000</f>
        <v>129522.07999999999</v>
      </c>
      <c r="G41" s="179">
        <f t="shared" si="5"/>
        <v>-1.3072841171513886E-2</v>
      </c>
      <c r="H41" s="201">
        <v>131237.73000000001</v>
      </c>
      <c r="I41" s="179">
        <f t="shared" si="5"/>
        <v>-2.9165270383332321E-2</v>
      </c>
      <c r="J41" s="201">
        <v>135180.29999999999</v>
      </c>
      <c r="K41" s="179">
        <f t="shared" si="5"/>
        <v>-3.6872771731231366E-2</v>
      </c>
      <c r="L41" s="201">
        <v>140355.6</v>
      </c>
      <c r="M41" s="179">
        <f t="shared" si="5"/>
        <v>-0.11654967212932109</v>
      </c>
      <c r="N41" s="201">
        <v>158872.09</v>
      </c>
      <c r="O41" s="179">
        <f t="shared" si="5"/>
        <v>-0.45871560664518279</v>
      </c>
      <c r="P41" s="201">
        <v>293509.46000000002</v>
      </c>
      <c r="Q41" s="181"/>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row>
    <row r="42" spans="1:46" s="166" customFormat="1" ht="15" customHeight="1">
      <c r="A42" s="187">
        <f t="shared" si="4"/>
        <v>26</v>
      </c>
      <c r="B42" s="167" t="s">
        <v>1520</v>
      </c>
      <c r="C42" s="167"/>
      <c r="D42" s="201">
        <f>BS!AF80*1000</f>
        <v>12000185.019999899</v>
      </c>
      <c r="E42" s="179">
        <f t="shared" si="5"/>
        <v>-1.5521803589916419E-16</v>
      </c>
      <c r="F42" s="201">
        <f>BS!N80*1000</f>
        <v>12000185.019999901</v>
      </c>
      <c r="G42" s="179">
        <f t="shared" si="5"/>
        <v>3.4659889900615852E-2</v>
      </c>
      <c r="H42" s="201">
        <v>11598192.93</v>
      </c>
      <c r="I42" s="179">
        <f t="shared" si="5"/>
        <v>6.6360233962273571E-2</v>
      </c>
      <c r="J42" s="201">
        <v>10876430.460000001</v>
      </c>
      <c r="K42" s="179">
        <f t="shared" si="5"/>
        <v>0.16056980693610842</v>
      </c>
      <c r="L42" s="201">
        <v>9371629.6899999995</v>
      </c>
      <c r="M42" s="179">
        <f t="shared" si="5"/>
        <v>-0.11371137450939604</v>
      </c>
      <c r="N42" s="201">
        <v>10574015.529999999</v>
      </c>
      <c r="O42" s="179">
        <f t="shared" si="5"/>
        <v>3.5277330661142886E-2</v>
      </c>
      <c r="P42" s="201">
        <v>10213703.34</v>
      </c>
      <c r="Q42" s="181"/>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row>
    <row r="43" spans="1:46" s="166" customFormat="1" ht="15" customHeight="1">
      <c r="A43" s="187">
        <f t="shared" si="4"/>
        <v>27</v>
      </c>
      <c r="B43" s="167" t="s">
        <v>1521</v>
      </c>
      <c r="C43" s="167"/>
      <c r="D43" s="201">
        <f>BS!AF87*1000</f>
        <v>18099151.508893799</v>
      </c>
      <c r="E43" s="179">
        <f t="shared" si="5"/>
        <v>0.11032279186200677</v>
      </c>
      <c r="F43" s="201">
        <f>BS!N87*1000</f>
        <v>16300801.5700926</v>
      </c>
      <c r="G43" s="179">
        <f t="shared" si="5"/>
        <v>1.9099970861341884E-3</v>
      </c>
      <c r="H43" s="201">
        <v>16269726.439999999</v>
      </c>
      <c r="I43" s="179">
        <f t="shared" si="5"/>
        <v>5.212355894724895E-3</v>
      </c>
      <c r="J43" s="201">
        <v>16185362.57</v>
      </c>
      <c r="K43" s="179">
        <f t="shared" si="5"/>
        <v>1.1542247488416546</v>
      </c>
      <c r="L43" s="201">
        <v>7513311.96</v>
      </c>
      <c r="M43" s="179">
        <f t="shared" si="5"/>
        <v>-1.521250399233286E-2</v>
      </c>
      <c r="N43" s="201">
        <v>7629373.8399999999</v>
      </c>
      <c r="O43" s="179">
        <f t="shared" si="5"/>
        <v>0.2901349430921274</v>
      </c>
      <c r="P43" s="201">
        <v>5913624.6799999997</v>
      </c>
      <c r="Q43" s="181"/>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row>
    <row r="44" spans="1:46" s="166" customFormat="1" ht="15" customHeight="1">
      <c r="A44" s="187">
        <f t="shared" si="4"/>
        <v>28</v>
      </c>
      <c r="B44" s="167" t="s">
        <v>1716</v>
      </c>
      <c r="C44" s="167"/>
      <c r="D44" s="201">
        <f>SUM(BS!AF65:AF66)*1000</f>
        <v>607158.39000000025</v>
      </c>
      <c r="E44" s="179">
        <f t="shared" si="5"/>
        <v>3.8347595534975579E-16</v>
      </c>
      <c r="F44" s="201">
        <f>SUM(BS!N65:N66)*1000</f>
        <v>607158.39</v>
      </c>
      <c r="G44" s="179">
        <f t="shared" si="5"/>
        <v>-9.678794621967568E-2</v>
      </c>
      <c r="H44" s="201">
        <v>672221.30999999994</v>
      </c>
      <c r="I44" s="179">
        <f t="shared" si="5"/>
        <v>4.7275349187954126E-2</v>
      </c>
      <c r="J44" s="201">
        <v>641876.38</v>
      </c>
      <c r="K44" s="179">
        <f t="shared" si="5"/>
        <v>-0.20303462901610236</v>
      </c>
      <c r="L44" s="201">
        <v>805400.59</v>
      </c>
      <c r="M44" s="179">
        <f t="shared" si="5"/>
        <v>-0.38268341009328133</v>
      </c>
      <c r="N44" s="201">
        <v>1304679.97</v>
      </c>
      <c r="O44" s="179">
        <f t="shared" si="5"/>
        <v>0.38624694837970402</v>
      </c>
      <c r="P44" s="201">
        <v>941159.85</v>
      </c>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row>
    <row r="45" spans="1:46" s="166" customFormat="1" ht="15" customHeight="1">
      <c r="A45" s="187">
        <f t="shared" si="4"/>
        <v>29</v>
      </c>
      <c r="B45" s="167" t="s">
        <v>1522</v>
      </c>
      <c r="C45" s="167"/>
      <c r="D45" s="206">
        <f>BS!AF67*1000</f>
        <v>91861789.297443658</v>
      </c>
      <c r="E45" s="179">
        <f t="shared" si="5"/>
        <v>-0.11790953703262616</v>
      </c>
      <c r="F45" s="206">
        <f>BS!N67*1000</f>
        <v>104141007.24818899</v>
      </c>
      <c r="G45" s="179">
        <f t="shared" si="5"/>
        <v>-7.5507363292615842E-2</v>
      </c>
      <c r="H45" s="206">
        <v>112646659.49000001</v>
      </c>
      <c r="I45" s="179">
        <f t="shared" si="5"/>
        <v>0.18653097437891</v>
      </c>
      <c r="J45" s="206">
        <v>94937816.140000001</v>
      </c>
      <c r="K45" s="179">
        <f t="shared" si="5"/>
        <v>0.18548208274739872</v>
      </c>
      <c r="L45" s="206">
        <v>80083720.810000002</v>
      </c>
      <c r="M45" s="179">
        <f t="shared" si="5"/>
        <v>-0.12061726685082533</v>
      </c>
      <c r="N45" s="206">
        <v>91068106.969999999</v>
      </c>
      <c r="O45" s="179">
        <f t="shared" si="5"/>
        <v>-3.5718183430606766E-2</v>
      </c>
      <c r="P45" s="206">
        <v>94441381.560000002</v>
      </c>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row>
    <row r="46" spans="1:46" s="166" customFormat="1" ht="15" customHeight="1">
      <c r="A46" s="187">
        <f t="shared" si="4"/>
        <v>30</v>
      </c>
      <c r="B46" s="167" t="s">
        <v>1523</v>
      </c>
      <c r="C46" s="167"/>
      <c r="D46" s="206">
        <f>BS!AF91*1000</f>
        <v>0</v>
      </c>
      <c r="E46" s="179">
        <v>0</v>
      </c>
      <c r="F46" s="206">
        <f>BS!N91*1000</f>
        <v>0</v>
      </c>
      <c r="G46" s="179">
        <v>0</v>
      </c>
      <c r="H46" s="206">
        <v>0</v>
      </c>
      <c r="I46" s="179">
        <v>0</v>
      </c>
      <c r="J46" s="206">
        <v>0</v>
      </c>
      <c r="K46" s="179">
        <v>0</v>
      </c>
      <c r="L46" s="206">
        <v>0</v>
      </c>
      <c r="M46" s="179">
        <v>0</v>
      </c>
      <c r="N46" s="206">
        <v>0</v>
      </c>
      <c r="O46" s="179">
        <v>1</v>
      </c>
      <c r="P46" s="206">
        <v>0</v>
      </c>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row>
    <row r="47" spans="1:46" s="166" customFormat="1" ht="15" customHeight="1">
      <c r="A47" s="187">
        <f t="shared" si="4"/>
        <v>31</v>
      </c>
      <c r="B47" s="167" t="s">
        <v>1445</v>
      </c>
      <c r="C47" s="167"/>
      <c r="D47" s="200">
        <f>SUM(D31:D36)-D37+SUM(D38:D41)+SUM(D42:D46)</f>
        <v>411224050.46528792</v>
      </c>
      <c r="E47" s="179">
        <f t="shared" si="5"/>
        <v>-1.7819316349654845E-2</v>
      </c>
      <c r="F47" s="200">
        <f>SUM(F31:F36)-F37+SUM(F38:F41)+SUM(F42:F46)</f>
        <v>418684726.04953313</v>
      </c>
      <c r="G47" s="179">
        <f t="shared" si="5"/>
        <v>-1.9005128095658245E-2</v>
      </c>
      <c r="H47" s="200">
        <f>SUM(H31:H36)-H37+SUM(H38:H41)+SUM(H42:H46)</f>
        <v>426796039.44999999</v>
      </c>
      <c r="I47" s="179">
        <f t="shared" si="5"/>
        <v>5.7107204244630318E-2</v>
      </c>
      <c r="J47" s="200">
        <f>SUM(J31:J36)-J37+SUM(J38:J41)+SUM(J42:J46)</f>
        <v>403739599.67000002</v>
      </c>
      <c r="K47" s="179">
        <f t="shared" si="5"/>
        <v>8.166041612600837E-2</v>
      </c>
      <c r="L47" s="200">
        <f>SUM(L31:L36)-L37+SUM(L38:L41)+SUM(L42:L46)</f>
        <v>373259105.77000004</v>
      </c>
      <c r="M47" s="179">
        <f t="shared" si="5"/>
        <v>-0.16956121064402174</v>
      </c>
      <c r="N47" s="200">
        <f>SUM(N31:N36)-N37+SUM(N38:N41)+SUM(N42:N46)</f>
        <v>449472147.19999999</v>
      </c>
      <c r="O47" s="179">
        <f t="shared" si="5"/>
        <v>0.19323282549525017</v>
      </c>
      <c r="P47" s="200">
        <f>SUM(P31:P36)-P37+SUM(P38:P41)+SUM(P42:P46)</f>
        <v>376684363.35000002</v>
      </c>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row>
    <row r="48" spans="1:46" s="166" customFormat="1" ht="15" customHeight="1">
      <c r="A48" s="174"/>
      <c r="B48" s="178"/>
      <c r="C48" s="167"/>
      <c r="D48" s="202"/>
      <c r="E48" s="194"/>
      <c r="F48" s="202"/>
      <c r="G48" s="194"/>
      <c r="H48" s="202"/>
      <c r="I48" s="194"/>
      <c r="J48" s="202"/>
      <c r="K48" s="194"/>
      <c r="L48" s="202"/>
      <c r="M48" s="194"/>
      <c r="N48" s="202"/>
      <c r="O48" s="194"/>
      <c r="P48" s="202"/>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row>
    <row r="49" spans="1:46" s="166" customFormat="1" ht="15" customHeight="1">
      <c r="A49" s="187">
        <f>A47+1</f>
        <v>32</v>
      </c>
      <c r="B49" s="178" t="s">
        <v>1524</v>
      </c>
      <c r="C49" s="167"/>
      <c r="D49" s="202"/>
      <c r="E49" s="194"/>
      <c r="F49" s="202"/>
      <c r="G49" s="194"/>
      <c r="H49" s="202"/>
      <c r="I49" s="194"/>
      <c r="J49" s="202"/>
      <c r="K49" s="194"/>
      <c r="L49" s="202"/>
      <c r="M49" s="194"/>
      <c r="N49" s="202"/>
      <c r="O49" s="194"/>
      <c r="P49" s="202"/>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row>
    <row r="50" spans="1:46" s="166" customFormat="1" ht="15" customHeight="1">
      <c r="A50" s="187">
        <f t="shared" ref="A50:A57" si="6">A49+1</f>
        <v>33</v>
      </c>
      <c r="B50" s="167" t="s">
        <v>1525</v>
      </c>
      <c r="C50" s="167"/>
      <c r="D50" s="204">
        <f>(BS!AF98+BS!AF97)*1000</f>
        <v>18230961.764450576</v>
      </c>
      <c r="E50" s="179">
        <f t="shared" ref="E50:O57" si="7">(+D50-F50)/F50</f>
        <v>0.10186321911424751</v>
      </c>
      <c r="F50" s="204">
        <f>(BS!N98+BS!N97)*1000</f>
        <v>16545576.11888149</v>
      </c>
      <c r="G50" s="179">
        <f t="shared" si="7"/>
        <v>-8.3606612059589178E-2</v>
      </c>
      <c r="H50" s="204">
        <v>18055102.030000001</v>
      </c>
      <c r="I50" s="179">
        <f t="shared" si="7"/>
        <v>-6.0696951265631044E-2</v>
      </c>
      <c r="J50" s="204">
        <v>19221807.120000001</v>
      </c>
      <c r="K50" s="179">
        <f t="shared" si="7"/>
        <v>-8.1380596966082797E-2</v>
      </c>
      <c r="L50" s="204">
        <v>20924669.190000001</v>
      </c>
      <c r="M50" s="179">
        <f t="shared" si="7"/>
        <v>0.12408616554664349</v>
      </c>
      <c r="N50" s="204">
        <v>18614826.719999999</v>
      </c>
      <c r="O50" s="179">
        <f t="shared" si="7"/>
        <v>-6.3511006348200325E-2</v>
      </c>
      <c r="P50" s="204">
        <v>19877250.93</v>
      </c>
      <c r="Q50" s="181"/>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row>
    <row r="51" spans="1:46" s="166" customFormat="1" ht="15" customHeight="1">
      <c r="A51" s="187">
        <f t="shared" si="6"/>
        <v>34</v>
      </c>
      <c r="B51" s="167" t="s">
        <v>1526</v>
      </c>
      <c r="C51" s="167"/>
      <c r="D51" s="201">
        <f>BS!AF115*1000</f>
        <v>432888268.82860124</v>
      </c>
      <c r="E51" s="179">
        <f t="shared" si="7"/>
        <v>2.0638816842161168E-2</v>
      </c>
      <c r="F51" s="201">
        <f>BS!N115*1000</f>
        <v>424134631.84552401</v>
      </c>
      <c r="G51" s="179">
        <f t="shared" si="7"/>
        <v>1.7237193780110849E-2</v>
      </c>
      <c r="H51" s="201">
        <v>416947624.83999997</v>
      </c>
      <c r="I51" s="179">
        <f t="shared" si="7"/>
        <v>-5.9300970714439585E-2</v>
      </c>
      <c r="J51" s="201">
        <v>443231694.57999998</v>
      </c>
      <c r="K51" s="179">
        <f t="shared" si="7"/>
        <v>0.16901056541173906</v>
      </c>
      <c r="L51" s="201">
        <v>379151145.16000003</v>
      </c>
      <c r="M51" s="179">
        <f t="shared" si="7"/>
        <v>0.15079563739056759</v>
      </c>
      <c r="N51" s="201">
        <v>329468702.20999998</v>
      </c>
      <c r="O51" s="179">
        <f t="shared" si="7"/>
        <v>0.38677822700636583</v>
      </c>
      <c r="P51" s="201">
        <v>237578508.08000001</v>
      </c>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row>
    <row r="52" spans="1:46" s="166" customFormat="1" ht="15" customHeight="1">
      <c r="A52" s="187">
        <f t="shared" si="6"/>
        <v>35</v>
      </c>
      <c r="B52" s="167" t="s">
        <v>1527</v>
      </c>
      <c r="C52" s="167"/>
      <c r="D52" s="201">
        <f>(BS!AF118+BS!AF119)*1000</f>
        <v>4177727.75</v>
      </c>
      <c r="E52" s="179">
        <f t="shared" si="7"/>
        <v>0</v>
      </c>
      <c r="F52" s="201">
        <f>(BS!N118+BS!N119)*1000</f>
        <v>4177727.75</v>
      </c>
      <c r="G52" s="179">
        <f t="shared" si="7"/>
        <v>-0.13840439286810888</v>
      </c>
      <c r="H52" s="201">
        <v>4848826.66</v>
      </c>
      <c r="I52" s="179">
        <f t="shared" si="7"/>
        <v>-0.21206985412135626</v>
      </c>
      <c r="J52" s="201">
        <v>6153878.8499999996</v>
      </c>
      <c r="K52" s="179">
        <f t="shared" si="7"/>
        <v>-8.9892132835600241E-2</v>
      </c>
      <c r="L52" s="201">
        <v>6761702.7300000004</v>
      </c>
      <c r="M52" s="179">
        <f t="shared" si="7"/>
        <v>0.1814078226998258</v>
      </c>
      <c r="N52" s="201">
        <v>5723428.0999999996</v>
      </c>
      <c r="O52" s="179">
        <f t="shared" si="7"/>
        <v>1.414006776816042</v>
      </c>
      <c r="P52" s="201">
        <v>2370924.62</v>
      </c>
      <c r="Q52" s="181"/>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row>
    <row r="53" spans="1:46" s="166" customFormat="1" ht="15" customHeight="1">
      <c r="A53" s="187">
        <f t="shared" si="6"/>
        <v>36</v>
      </c>
      <c r="B53" s="167" t="s">
        <v>1528</v>
      </c>
      <c r="C53" s="167"/>
      <c r="D53" s="201">
        <f>SUM(BS!AF120:AF126)*1000</f>
        <v>4132826.3538461695</v>
      </c>
      <c r="E53" s="179">
        <f t="shared" si="7"/>
        <v>1.6536062861725841E-2</v>
      </c>
      <c r="F53" s="201">
        <f>SUM(BS!N120:N126)*1000</f>
        <v>4065597.3800000213</v>
      </c>
      <c r="G53" s="179">
        <v>1</v>
      </c>
      <c r="H53" s="201">
        <v>0</v>
      </c>
      <c r="I53" s="179">
        <v>0</v>
      </c>
      <c r="J53" s="201">
        <v>0</v>
      </c>
      <c r="K53" s="179">
        <v>0</v>
      </c>
      <c r="L53" s="201">
        <v>0</v>
      </c>
      <c r="M53" s="179">
        <v>0</v>
      </c>
      <c r="N53" s="201">
        <v>0</v>
      </c>
      <c r="O53" s="179">
        <v>0</v>
      </c>
      <c r="P53" s="201">
        <v>0</v>
      </c>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row>
    <row r="54" spans="1:46" s="166" customFormat="1" ht="15" customHeight="1">
      <c r="A54" s="187">
        <f t="shared" si="6"/>
        <v>37</v>
      </c>
      <c r="B54" s="167" t="s">
        <v>1529</v>
      </c>
      <c r="C54" s="167"/>
      <c r="D54" s="201">
        <f>SUM(BS!AF127:AF129)*1000</f>
        <v>54886441.919768944</v>
      </c>
      <c r="E54" s="179">
        <f t="shared" si="7"/>
        <v>2.0016863725047618E-2</v>
      </c>
      <c r="F54" s="201">
        <f>SUM(BS!N127:N129)*1000</f>
        <v>53809347.542869598</v>
      </c>
      <c r="G54" s="179">
        <f t="shared" si="7"/>
        <v>0.16385999973669738</v>
      </c>
      <c r="H54" s="201">
        <v>46233522.550000004</v>
      </c>
      <c r="I54" s="179">
        <f t="shared" si="7"/>
        <v>-2.9968269475776237E-2</v>
      </c>
      <c r="J54" s="201">
        <v>47661866.199999996</v>
      </c>
      <c r="K54" s="179">
        <f t="shared" si="7"/>
        <v>0.1621923297451775</v>
      </c>
      <c r="L54" s="201">
        <v>41010308.689999998</v>
      </c>
      <c r="M54" s="179">
        <f t="shared" si="7"/>
        <v>5.2572889200582909E-2</v>
      </c>
      <c r="N54" s="201">
        <v>38961965.590000004</v>
      </c>
      <c r="O54" s="179">
        <f t="shared" si="7"/>
        <v>-9.6424747834439662E-5</v>
      </c>
      <c r="P54" s="201">
        <v>38965722.850000001</v>
      </c>
      <c r="Q54" s="181"/>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row>
    <row r="55" spans="1:46" s="166" customFormat="1" ht="15" customHeight="1">
      <c r="A55" s="187">
        <f t="shared" si="6"/>
        <v>38</v>
      </c>
      <c r="B55" s="167" t="s">
        <v>1530</v>
      </c>
      <c r="C55" s="167"/>
      <c r="D55" s="201">
        <f>BS!AF99*1000</f>
        <v>8076267.1091383277</v>
      </c>
      <c r="E55" s="179">
        <f t="shared" si="7"/>
        <v>-4.365387407255588E-2</v>
      </c>
      <c r="F55" s="201">
        <f>BS!N99*1000</f>
        <v>8444920.6099999994</v>
      </c>
      <c r="G55" s="179">
        <f t="shared" si="7"/>
        <v>-4.3183754016081446E-2</v>
      </c>
      <c r="H55" s="201">
        <v>8826063.1500000004</v>
      </c>
      <c r="I55" s="179">
        <f t="shared" si="7"/>
        <v>-6.4645574080719401E-2</v>
      </c>
      <c r="J55" s="201">
        <v>9436062.8499999996</v>
      </c>
      <c r="K55" s="179">
        <f t="shared" si="7"/>
        <v>5.9371457006506353E-2</v>
      </c>
      <c r="L55" s="201">
        <v>8907227.7599999998</v>
      </c>
      <c r="M55" s="179">
        <f t="shared" si="7"/>
        <v>-7.1267480398505098E-2</v>
      </c>
      <c r="N55" s="201">
        <v>9590735.3000000007</v>
      </c>
      <c r="O55" s="179">
        <f t="shared" si="7"/>
        <v>-4.9365834994208376E-3</v>
      </c>
      <c r="P55" s="201">
        <v>9638315.6500000004</v>
      </c>
      <c r="Q55" s="181"/>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row>
    <row r="56" spans="1:46" s="166" customFormat="1" ht="15" customHeight="1">
      <c r="A56" s="187">
        <f t="shared" si="6"/>
        <v>39</v>
      </c>
      <c r="B56" s="167" t="s">
        <v>1531</v>
      </c>
      <c r="C56" s="167"/>
      <c r="D56" s="201">
        <f>BS!AF106*1000</f>
        <v>349065730.10999995</v>
      </c>
      <c r="E56" s="179">
        <f t="shared" si="7"/>
        <v>-1.7075478809279731E-16</v>
      </c>
      <c r="F56" s="201">
        <f>BS!N106*1000</f>
        <v>349065730.11000001</v>
      </c>
      <c r="G56" s="179">
        <f t="shared" si="7"/>
        <v>-3.6717725500958545E-2</v>
      </c>
      <c r="H56" s="201">
        <v>362371175.45999998</v>
      </c>
      <c r="I56" s="179">
        <f t="shared" si="7"/>
        <v>0.1346571340696292</v>
      </c>
      <c r="J56" s="201">
        <v>319366233.70999998</v>
      </c>
      <c r="K56" s="179">
        <f t="shared" si="7"/>
        <v>-0.10801186206074034</v>
      </c>
      <c r="L56" s="201">
        <v>358038655.58999997</v>
      </c>
      <c r="M56" s="179">
        <f t="shared" si="7"/>
        <v>0.61503532074173162</v>
      </c>
      <c r="N56" s="201">
        <v>221690913.5</v>
      </c>
      <c r="O56" s="179">
        <f t="shared" si="7"/>
        <v>6.4254584490070876E-2</v>
      </c>
      <c r="P56" s="201">
        <v>208306280.03</v>
      </c>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row>
    <row r="57" spans="1:46" s="166" customFormat="1" ht="15" customHeight="1">
      <c r="A57" s="187">
        <f t="shared" si="6"/>
        <v>40</v>
      </c>
      <c r="B57" s="167" t="s">
        <v>1459</v>
      </c>
      <c r="C57" s="167"/>
      <c r="D57" s="200">
        <f>SUM(D50:D56)</f>
        <v>871458223.83580518</v>
      </c>
      <c r="E57" s="179">
        <f t="shared" si="7"/>
        <v>1.3036648425400806E-2</v>
      </c>
      <c r="F57" s="200">
        <f>SUM(F50:F56)</f>
        <v>860243531.35727513</v>
      </c>
      <c r="G57" s="179">
        <f t="shared" si="7"/>
        <v>3.4541907800184472E-3</v>
      </c>
      <c r="H57" s="200">
        <f>SUM(H50:H56)</f>
        <v>857282314.69000006</v>
      </c>
      <c r="I57" s="179">
        <f t="shared" si="7"/>
        <v>1.4449393636156084E-2</v>
      </c>
      <c r="J57" s="200">
        <f>SUM(J50:J56)</f>
        <v>845071543.30999994</v>
      </c>
      <c r="K57" s="179">
        <f t="shared" si="7"/>
        <v>3.7160122680255897E-2</v>
      </c>
      <c r="L57" s="200">
        <f>SUM(L50:L56)</f>
        <v>814793709.12</v>
      </c>
      <c r="M57" s="179">
        <f t="shared" si="7"/>
        <v>0.3056533339372996</v>
      </c>
      <c r="N57" s="200">
        <f>SUM(N50:N56)</f>
        <v>624050571.42000008</v>
      </c>
      <c r="O57" s="179">
        <f t="shared" si="7"/>
        <v>0.20767541091778066</v>
      </c>
      <c r="P57" s="200">
        <f>SUM(P50:P56)</f>
        <v>516737002.15999997</v>
      </c>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row>
    <row r="58" spans="1:46" s="166" customFormat="1" ht="15" customHeight="1">
      <c r="A58" s="174"/>
      <c r="B58" s="167"/>
      <c r="C58" s="167"/>
      <c r="D58" s="202"/>
      <c r="E58" s="182"/>
      <c r="F58" s="202"/>
      <c r="G58" s="182"/>
      <c r="H58" s="202"/>
      <c r="I58" s="182"/>
      <c r="J58" s="202"/>
      <c r="K58" s="182"/>
      <c r="L58" s="202"/>
      <c r="M58" s="182"/>
      <c r="N58" s="202"/>
      <c r="O58" s="182"/>
      <c r="P58" s="202"/>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row>
    <row r="59" spans="1:46" s="166" customFormat="1" ht="15" customHeight="1" thickBot="1">
      <c r="A59" s="174">
        <f>A57+1</f>
        <v>41</v>
      </c>
      <c r="B59" s="167" t="s">
        <v>1460</v>
      </c>
      <c r="D59" s="203">
        <f>D21+D28+D47+D57</f>
        <v>8129070069.6384468</v>
      </c>
      <c r="E59" s="179">
        <f t="shared" ref="E59:O59" si="8">(+D59-F59)/F59</f>
        <v>2.4531984720905453E-2</v>
      </c>
      <c r="F59" s="203">
        <f>F21+F28+F47+F57</f>
        <v>7934422927.6091375</v>
      </c>
      <c r="G59" s="179">
        <f t="shared" si="8"/>
        <v>3.7896210355337363E-2</v>
      </c>
      <c r="H59" s="203">
        <f>H21+H28+H47+H57</f>
        <v>7644717119.5400009</v>
      </c>
      <c r="I59" s="179">
        <f t="shared" si="8"/>
        <v>2.4022151314086609E-2</v>
      </c>
      <c r="J59" s="203">
        <f>J21+J28+J47+J57</f>
        <v>7465382569.8299999</v>
      </c>
      <c r="K59" s="179">
        <f t="shared" si="8"/>
        <v>5.9222445755352359E-3</v>
      </c>
      <c r="L59" s="203">
        <f>L21+L28+L47+L57</f>
        <v>7421431040.1099997</v>
      </c>
      <c r="M59" s="179">
        <f t="shared" si="8"/>
        <v>6.8833974799981407E-2</v>
      </c>
      <c r="N59" s="203">
        <f>N21+N28+N47+N57</f>
        <v>6943483473.6599998</v>
      </c>
      <c r="O59" s="179">
        <f t="shared" si="8"/>
        <v>9.2457650463889374E-2</v>
      </c>
      <c r="P59" s="203">
        <f>P21+P28+P47+P57</f>
        <v>6355837657.1499996</v>
      </c>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row>
    <row r="60" spans="1:46" s="166" customFormat="1" ht="15" customHeight="1" thickTop="1">
      <c r="A60" s="174"/>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row>
    <row r="61" spans="1:46" s="166" customFormat="1" ht="15" customHeight="1">
      <c r="A61" s="174"/>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row>
    <row r="62" spans="1:46" s="166" customFormat="1" ht="15" customHeight="1">
      <c r="A62" s="165" t="str">
        <f>+A1</f>
        <v>KENTUCKY UTILITIES COMPANY</v>
      </c>
      <c r="B62" s="165"/>
      <c r="C62" s="165"/>
      <c r="D62" s="165"/>
      <c r="E62" s="165"/>
      <c r="F62" s="165"/>
      <c r="G62" s="165"/>
      <c r="H62" s="165"/>
      <c r="I62" s="165"/>
      <c r="J62" s="165"/>
      <c r="K62" s="165"/>
      <c r="L62" s="165"/>
      <c r="M62" s="165"/>
      <c r="N62" s="165"/>
      <c r="O62" s="165"/>
      <c r="P62" s="165"/>
    </row>
    <row r="63" spans="1:46" s="166" customFormat="1" ht="15" customHeight="1">
      <c r="A63" s="165" t="str">
        <f>+A2</f>
        <v>CASE NO. 2018-00294 - RESPONSE TO PSC 2-65 (SLIPPAGE FACTOR 96.027%)</v>
      </c>
      <c r="B63" s="165"/>
      <c r="C63" s="165"/>
      <c r="D63" s="165"/>
      <c r="E63" s="165"/>
      <c r="F63" s="165"/>
      <c r="G63" s="165"/>
      <c r="H63" s="165"/>
      <c r="I63" s="165"/>
      <c r="J63" s="165"/>
      <c r="K63" s="165"/>
      <c r="L63" s="165"/>
      <c r="M63" s="165"/>
      <c r="N63" s="165"/>
      <c r="O63" s="165"/>
      <c r="P63" s="165"/>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row>
    <row r="64" spans="1:46" s="166" customFormat="1" ht="15" customHeight="1">
      <c r="A64" s="165" t="str">
        <f>+A3</f>
        <v>COMPARATIVE BALANCE SHEETS - TOTAL COMPANY</v>
      </c>
      <c r="B64" s="165"/>
      <c r="C64" s="165"/>
      <c r="D64" s="165"/>
      <c r="E64" s="165"/>
      <c r="F64" s="165"/>
      <c r="G64" s="165"/>
      <c r="H64" s="165"/>
      <c r="I64" s="165"/>
      <c r="J64" s="165"/>
      <c r="K64" s="165"/>
      <c r="L64" s="165"/>
      <c r="M64" s="165"/>
      <c r="N64" s="165"/>
      <c r="O64" s="165"/>
      <c r="P64" s="165"/>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row>
    <row r="65" spans="1:46" s="166" customFormat="1" ht="15" customHeight="1">
      <c r="A65" s="165" t="str">
        <f>+A4</f>
        <v>AS OF  DECEMBER 31, 2013 - 2017 AND BASE AND FORECASTED PERIODS</v>
      </c>
      <c r="B65" s="165"/>
      <c r="C65" s="165"/>
      <c r="D65" s="165"/>
      <c r="E65" s="165"/>
      <c r="F65" s="165"/>
      <c r="G65" s="165"/>
      <c r="H65" s="165"/>
      <c r="I65" s="165"/>
      <c r="J65" s="165"/>
      <c r="K65" s="165"/>
      <c r="L65" s="165"/>
      <c r="M65" s="165"/>
      <c r="N65" s="165"/>
      <c r="O65" s="165"/>
      <c r="P65" s="165"/>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row>
    <row r="66" spans="1:46" s="166" customFormat="1" ht="15" customHeight="1">
      <c r="A66" s="168"/>
      <c r="B66" s="165"/>
      <c r="C66" s="165"/>
      <c r="D66" s="165"/>
      <c r="E66" s="165"/>
      <c r="F66" s="165"/>
      <c r="G66" s="165"/>
      <c r="H66" s="165"/>
      <c r="I66" s="165"/>
      <c r="J66" s="165"/>
      <c r="K66" s="165"/>
      <c r="L66" s="165"/>
      <c r="M66" s="165"/>
      <c r="N66" s="165"/>
      <c r="O66" s="165"/>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row>
    <row r="67" spans="1:46" s="166" customFormat="1" ht="15" customHeight="1">
      <c r="A67" s="184" t="str">
        <f>+A6</f>
        <v>DATA:__X__BASE  PERIOD__X__FORECASTED  PERIOD</v>
      </c>
      <c r="B67" s="167"/>
      <c r="C67" s="167"/>
      <c r="D67" s="167"/>
      <c r="E67" s="167"/>
      <c r="F67" s="167"/>
      <c r="G67" s="167"/>
      <c r="H67" s="167"/>
      <c r="I67" s="167"/>
      <c r="J67" s="167"/>
      <c r="K67" s="167"/>
      <c r="L67" s="167"/>
      <c r="M67" s="167"/>
      <c r="N67" s="167"/>
      <c r="O67" s="167"/>
      <c r="P67" s="169" t="s">
        <v>1461</v>
      </c>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row>
    <row r="68" spans="1:46" s="166" customFormat="1" ht="15" customHeight="1">
      <c r="A68" s="184" t="str">
        <f>+A7</f>
        <v>TYPE OF FILING: __X__ ORIGINAL  _____ UPDATED  _____ REVISED</v>
      </c>
      <c r="B68" s="167"/>
      <c r="C68" s="167"/>
      <c r="D68" s="167"/>
      <c r="E68" s="167"/>
      <c r="F68" s="167"/>
      <c r="G68" s="167"/>
      <c r="H68" s="167"/>
      <c r="I68" s="167"/>
      <c r="J68" s="167"/>
      <c r="K68" s="167"/>
      <c r="L68" s="167"/>
      <c r="M68" s="167"/>
      <c r="N68" s="167"/>
      <c r="O68" s="167"/>
      <c r="P68" s="169" t="s">
        <v>2063</v>
      </c>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row>
    <row r="69" spans="1:46" s="166" customFormat="1" ht="15" customHeight="1">
      <c r="A69" s="184" t="str">
        <f>+A8</f>
        <v xml:space="preserve">WORKPAPER REFERENCE NO(S).:  </v>
      </c>
      <c r="B69" s="167"/>
      <c r="C69" s="167"/>
      <c r="D69" s="167"/>
      <c r="E69" s="167"/>
      <c r="F69" s="167"/>
      <c r="G69" s="167"/>
      <c r="H69" s="167"/>
      <c r="I69" s="167"/>
      <c r="J69" s="167"/>
      <c r="K69" s="167"/>
      <c r="L69" s="167"/>
      <c r="M69" s="167"/>
      <c r="N69" s="167"/>
      <c r="O69" s="167"/>
      <c r="P69" s="169" t="str">
        <f>P8</f>
        <v>WITNESS:   C. M. GARRETT</v>
      </c>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row>
    <row r="70" spans="1:46" ht="15" customHeight="1" thickBot="1"/>
    <row r="71" spans="1:46" s="166" customFormat="1" ht="15" customHeight="1">
      <c r="A71" s="173"/>
      <c r="B71" s="173"/>
      <c r="C71" s="173"/>
      <c r="D71" s="176" t="s">
        <v>1480</v>
      </c>
      <c r="E71" s="173"/>
      <c r="F71" s="173"/>
      <c r="G71" s="173"/>
      <c r="H71" s="173"/>
      <c r="I71" s="173"/>
      <c r="J71" s="173"/>
      <c r="K71" s="173"/>
      <c r="L71" s="173"/>
      <c r="M71" s="173"/>
      <c r="N71" s="173"/>
      <c r="O71" s="173"/>
      <c r="P71" s="173"/>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row>
    <row r="72" spans="1:46" s="166" customFormat="1" ht="15" customHeight="1">
      <c r="A72" s="174" t="s">
        <v>1466</v>
      </c>
      <c r="B72" s="167"/>
      <c r="C72" s="167"/>
      <c r="D72" s="174" t="s">
        <v>1462</v>
      </c>
      <c r="E72" s="167"/>
      <c r="F72" s="174" t="s">
        <v>1465</v>
      </c>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row>
    <row r="73" spans="1:46" s="166" customFormat="1" ht="15" customHeight="1" thickBot="1">
      <c r="A73" s="174" t="s">
        <v>1467</v>
      </c>
      <c r="B73" s="174" t="s">
        <v>205</v>
      </c>
      <c r="C73" s="167"/>
      <c r="D73" s="174" t="s">
        <v>1463</v>
      </c>
      <c r="E73" s="174" t="s">
        <v>1464</v>
      </c>
      <c r="F73" s="174" t="s">
        <v>1463</v>
      </c>
      <c r="G73" s="174" t="s">
        <v>1464</v>
      </c>
      <c r="H73" s="175">
        <f>+H12</f>
        <v>2017</v>
      </c>
      <c r="I73" s="174" t="s">
        <v>1464</v>
      </c>
      <c r="J73" s="175">
        <f>+J12</f>
        <v>2016</v>
      </c>
      <c r="K73" s="174" t="s">
        <v>1464</v>
      </c>
      <c r="L73" s="175">
        <f>+L12</f>
        <v>2015</v>
      </c>
      <c r="M73" s="174" t="s">
        <v>1464</v>
      </c>
      <c r="N73" s="175">
        <f>+N12</f>
        <v>2014</v>
      </c>
      <c r="O73" s="174" t="s">
        <v>1464</v>
      </c>
      <c r="P73" s="175">
        <f>+P12</f>
        <v>2013</v>
      </c>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row>
    <row r="74" spans="1:46" s="166" customFormat="1" ht="15" customHeight="1">
      <c r="A74" s="176"/>
      <c r="B74" s="177"/>
      <c r="C74" s="177"/>
      <c r="D74" s="177"/>
      <c r="E74" s="177"/>
      <c r="F74" s="177"/>
      <c r="G74" s="177"/>
      <c r="H74" s="177"/>
      <c r="I74" s="177"/>
      <c r="J74" s="177"/>
      <c r="K74" s="177"/>
      <c r="L74" s="177"/>
      <c r="M74" s="177"/>
      <c r="N74" s="177"/>
      <c r="O74" s="177"/>
      <c r="P74" s="17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row>
    <row r="75" spans="1:46" s="166" customFormat="1" ht="15" customHeight="1">
      <c r="A75" s="174">
        <v>1</v>
      </c>
      <c r="B75" s="780" t="s">
        <v>1532</v>
      </c>
      <c r="C75" s="780"/>
      <c r="D75" s="167"/>
      <c r="E75" s="167"/>
      <c r="F75" s="167"/>
      <c r="G75" s="167"/>
      <c r="H75" s="167"/>
      <c r="I75" s="167"/>
      <c r="J75" s="167"/>
      <c r="K75" s="167"/>
      <c r="L75" s="167"/>
      <c r="M75" s="167"/>
      <c r="N75" s="167"/>
      <c r="O75" s="167"/>
      <c r="P75" s="167"/>
      <c r="Q75" s="180"/>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row>
    <row r="76" spans="1:46" s="166" customFormat="1" ht="15" customHeight="1">
      <c r="A76" s="189"/>
      <c r="B76" s="190"/>
      <c r="C76" s="190"/>
      <c r="D76" s="167"/>
      <c r="E76" s="167"/>
      <c r="F76" s="167"/>
      <c r="G76" s="167"/>
      <c r="H76" s="167"/>
      <c r="I76" s="167"/>
      <c r="J76" s="167"/>
      <c r="K76" s="167"/>
      <c r="L76" s="167"/>
      <c r="M76" s="167"/>
      <c r="N76" s="167"/>
      <c r="O76" s="167"/>
      <c r="P76" s="167"/>
      <c r="Q76" s="180"/>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row>
    <row r="77" spans="1:46" s="166" customFormat="1" ht="15" customHeight="1">
      <c r="A77" s="174">
        <f>A75+1</f>
        <v>2</v>
      </c>
      <c r="B77" s="178" t="s">
        <v>1446</v>
      </c>
      <c r="C77" s="167"/>
      <c r="D77" s="207"/>
      <c r="E77" s="192"/>
      <c r="F77" s="207"/>
      <c r="G77" s="192"/>
      <c r="H77" s="207"/>
      <c r="I77" s="192"/>
      <c r="J77" s="207"/>
      <c r="K77" s="192"/>
      <c r="L77" s="207"/>
      <c r="M77" s="192"/>
      <c r="N77" s="207"/>
      <c r="O77" s="192"/>
      <c r="P77" s="207"/>
      <c r="Q77" s="181"/>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row>
    <row r="78" spans="1:46" s="166" customFormat="1" ht="15" customHeight="1">
      <c r="A78" s="174">
        <f>A77+1</f>
        <v>3</v>
      </c>
      <c r="B78" s="167" t="s">
        <v>1533</v>
      </c>
      <c r="C78" s="167"/>
      <c r="D78" s="204">
        <f>BS!AF142*1000</f>
        <v>308139977.56</v>
      </c>
      <c r="E78" s="179">
        <f t="shared" ref="E78:O84" si="9">(+D78-F78)/F78</f>
        <v>0</v>
      </c>
      <c r="F78" s="204">
        <f>BS!N142*1000</f>
        <v>308139977.56</v>
      </c>
      <c r="G78" s="179">
        <f t="shared" si="9"/>
        <v>0</v>
      </c>
      <c r="H78" s="204">
        <v>308139977.56</v>
      </c>
      <c r="I78" s="179">
        <f t="shared" si="9"/>
        <v>0</v>
      </c>
      <c r="J78" s="204">
        <v>308139977.56</v>
      </c>
      <c r="K78" s="179">
        <f t="shared" si="9"/>
        <v>0</v>
      </c>
      <c r="L78" s="204">
        <v>308139977.56</v>
      </c>
      <c r="M78" s="179">
        <f t="shared" si="9"/>
        <v>0</v>
      </c>
      <c r="N78" s="204">
        <v>308139977.56</v>
      </c>
      <c r="O78" s="179">
        <f t="shared" si="9"/>
        <v>0</v>
      </c>
      <c r="P78" s="204">
        <v>308139977.56</v>
      </c>
      <c r="Q78" s="181"/>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row>
    <row r="79" spans="1:46" s="166" customFormat="1" ht="15" customHeight="1">
      <c r="A79" s="189">
        <f t="shared" ref="A79:A84" si="10">A78+1</f>
        <v>4</v>
      </c>
      <c r="B79" s="167" t="s">
        <v>1534</v>
      </c>
      <c r="C79" s="167"/>
      <c r="D79" s="195">
        <f>BS!AF150*1000</f>
        <v>760742885.42763603</v>
      </c>
      <c r="E79" s="179">
        <f t="shared" si="9"/>
        <v>9.8840166885432568E-2</v>
      </c>
      <c r="F79" s="195">
        <f>BS!N150*1000</f>
        <v>692314413.28168404</v>
      </c>
      <c r="G79" s="179">
        <f t="shared" si="9"/>
        <v>0.18575803511087821</v>
      </c>
      <c r="H79" s="195">
        <v>583858083</v>
      </c>
      <c r="I79" s="179">
        <f t="shared" si="9"/>
        <v>0</v>
      </c>
      <c r="J79" s="195">
        <v>583858083</v>
      </c>
      <c r="K79" s="179">
        <f t="shared" si="9"/>
        <v>3.5469918057377571E-2</v>
      </c>
      <c r="L79" s="195">
        <v>563858083</v>
      </c>
      <c r="M79" s="179">
        <f t="shared" si="9"/>
        <v>0</v>
      </c>
      <c r="N79" s="195">
        <v>563858083</v>
      </c>
      <c r="O79" s="179">
        <f t="shared" si="9"/>
        <v>0.19244674728337044</v>
      </c>
      <c r="P79" s="195">
        <v>472858083</v>
      </c>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row>
    <row r="80" spans="1:46" s="166" customFormat="1" ht="15" customHeight="1">
      <c r="A80" s="189">
        <f t="shared" si="10"/>
        <v>5</v>
      </c>
      <c r="B80" s="167" t="s">
        <v>1535</v>
      </c>
      <c r="C80" s="167"/>
      <c r="D80" s="195">
        <f>-BS!AF146*1000</f>
        <v>321288.86999999994</v>
      </c>
      <c r="E80" s="179">
        <f t="shared" si="9"/>
        <v>-1.8116924160325692E-16</v>
      </c>
      <c r="F80" s="195">
        <f>-BS!N146*1000</f>
        <v>321288.87</v>
      </c>
      <c r="G80" s="179">
        <f t="shared" si="9"/>
        <v>0</v>
      </c>
      <c r="H80" s="195">
        <v>321288.87</v>
      </c>
      <c r="I80" s="179">
        <f t="shared" si="9"/>
        <v>0</v>
      </c>
      <c r="J80" s="195">
        <v>321288.87</v>
      </c>
      <c r="K80" s="179">
        <f t="shared" si="9"/>
        <v>0</v>
      </c>
      <c r="L80" s="195">
        <v>321288.87</v>
      </c>
      <c r="M80" s="179">
        <f t="shared" si="9"/>
        <v>0</v>
      </c>
      <c r="N80" s="195">
        <v>321288.87</v>
      </c>
      <c r="O80" s="179">
        <f t="shared" si="9"/>
        <v>0</v>
      </c>
      <c r="P80" s="195">
        <v>321288.87</v>
      </c>
      <c r="Q80" s="181"/>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row>
    <row r="81" spans="1:46" s="166" customFormat="1" ht="15" customHeight="1">
      <c r="A81" s="189">
        <f t="shared" si="10"/>
        <v>6</v>
      </c>
      <c r="B81" s="167" t="s">
        <v>1536</v>
      </c>
      <c r="C81" s="167"/>
      <c r="D81" s="201">
        <f>BS!AF159*1000</f>
        <v>0.01</v>
      </c>
      <c r="E81" s="179">
        <f t="shared" si="9"/>
        <v>0</v>
      </c>
      <c r="F81" s="201">
        <f>BS!N159*1000</f>
        <v>0.01</v>
      </c>
      <c r="G81" s="179">
        <v>0</v>
      </c>
      <c r="H81" s="201">
        <v>0</v>
      </c>
      <c r="I81" s="179">
        <f t="shared" si="9"/>
        <v>-1</v>
      </c>
      <c r="J81" s="201">
        <v>-1813203.72</v>
      </c>
      <c r="K81" s="179">
        <f t="shared" si="9"/>
        <v>0.11429857973559387</v>
      </c>
      <c r="L81" s="201">
        <v>-1627215.32</v>
      </c>
      <c r="M81" s="179">
        <f t="shared" si="9"/>
        <v>0.3202458542057921</v>
      </c>
      <c r="N81" s="201">
        <v>-1232509.32</v>
      </c>
      <c r="O81" s="179">
        <f t="shared" si="9"/>
        <v>0.34403743918017599</v>
      </c>
      <c r="P81" s="201">
        <v>-917020.08</v>
      </c>
      <c r="Q81" s="181"/>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row>
    <row r="82" spans="1:46" s="166" customFormat="1" ht="15" customHeight="1">
      <c r="A82" s="189">
        <f t="shared" si="10"/>
        <v>7</v>
      </c>
      <c r="B82" s="167" t="s">
        <v>1537</v>
      </c>
      <c r="C82" s="167"/>
      <c r="D82" s="195">
        <f>BS!AF154*1000</f>
        <v>1921651258.0156155</v>
      </c>
      <c r="E82" s="179">
        <f t="shared" si="9"/>
        <v>1.7934610542535531E-2</v>
      </c>
      <c r="F82" s="195">
        <f>BS!N154*1000</f>
        <v>1887794400.6554801</v>
      </c>
      <c r="G82" s="179">
        <f t="shared" si="9"/>
        <v>1.6134095394426208E-2</v>
      </c>
      <c r="H82" s="195">
        <v>1857820153.0799999</v>
      </c>
      <c r="I82" s="179">
        <f t="shared" si="9"/>
        <v>1.7029924023486308E-2</v>
      </c>
      <c r="J82" s="195">
        <v>1826711396.78</v>
      </c>
      <c r="K82" s="179">
        <f t="shared" si="9"/>
        <v>9.6214994331803097E-3</v>
      </c>
      <c r="L82" s="195">
        <v>1809303187.1900001</v>
      </c>
      <c r="M82" s="179">
        <f t="shared" si="9"/>
        <v>4.645323908454918E-2</v>
      </c>
      <c r="N82" s="195">
        <v>1728986178.8499999</v>
      </c>
      <c r="O82" s="179">
        <f t="shared" si="9"/>
        <v>4.3106317689122077E-2</v>
      </c>
      <c r="P82" s="195">
        <v>1657535909.3599999</v>
      </c>
      <c r="Q82" s="181"/>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row>
    <row r="83" spans="1:46" s="166" customFormat="1" ht="15" customHeight="1">
      <c r="A83" s="189">
        <f t="shared" si="10"/>
        <v>8</v>
      </c>
      <c r="B83" s="167" t="s">
        <v>1538</v>
      </c>
      <c r="C83" s="167"/>
      <c r="D83" s="206">
        <v>0</v>
      </c>
      <c r="E83" s="179">
        <v>0</v>
      </c>
      <c r="F83" s="206">
        <v>0</v>
      </c>
      <c r="G83" s="179">
        <v>0</v>
      </c>
      <c r="H83" s="206">
        <v>0</v>
      </c>
      <c r="I83" s="179">
        <v>0</v>
      </c>
      <c r="J83" s="206">
        <v>0</v>
      </c>
      <c r="K83" s="179">
        <v>0</v>
      </c>
      <c r="L83" s="206">
        <v>0</v>
      </c>
      <c r="M83" s="179">
        <v>0</v>
      </c>
      <c r="N83" s="206">
        <v>0</v>
      </c>
      <c r="O83" s="179">
        <v>0</v>
      </c>
      <c r="P83" s="206">
        <v>0</v>
      </c>
      <c r="Q83" s="181"/>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row>
    <row r="84" spans="1:46" s="166" customFormat="1" ht="15" customHeight="1">
      <c r="A84" s="189">
        <f t="shared" si="10"/>
        <v>9</v>
      </c>
      <c r="B84" s="167" t="s">
        <v>1539</v>
      </c>
      <c r="C84" s="167"/>
      <c r="D84" s="200">
        <f>SUM(D78,D79,-D80,D81,D82,D83)</f>
        <v>2990212832.1432514</v>
      </c>
      <c r="E84" s="179">
        <f t="shared" si="9"/>
        <v>3.5418246965231492E-2</v>
      </c>
      <c r="F84" s="200">
        <f>SUM(F78,F79,-F80,F81,F82,F83)</f>
        <v>2887927502.6371641</v>
      </c>
      <c r="G84" s="179">
        <f t="shared" si="9"/>
        <v>5.0347602363201072E-2</v>
      </c>
      <c r="H84" s="200">
        <f>SUM(H78,H79,-H80,H81,H82,H83)</f>
        <v>2749496924.77</v>
      </c>
      <c r="I84" s="179">
        <f t="shared" si="9"/>
        <v>1.2118921968726054E-2</v>
      </c>
      <c r="J84" s="200">
        <f>SUM(J78,J79,-J80,J81,J82,J83)</f>
        <v>2716574964.75</v>
      </c>
      <c r="K84" s="179">
        <f t="shared" si="9"/>
        <v>1.3892243669470587E-2</v>
      </c>
      <c r="L84" s="200">
        <f>SUM(L78,L79,-L80,L81,L82,L83)</f>
        <v>2679352743.5599999</v>
      </c>
      <c r="M84" s="179">
        <f t="shared" si="9"/>
        <v>3.074608232351466E-2</v>
      </c>
      <c r="N84" s="200">
        <f>SUM(N78,N79,-N80,N81,N82,N83)</f>
        <v>2599430441.2199998</v>
      </c>
      <c r="O84" s="179">
        <f t="shared" si="9"/>
        <v>6.6522409589599513E-2</v>
      </c>
      <c r="P84" s="200">
        <f>SUM(P78,P79,-P80,P81,P82,P83)</f>
        <v>2437295660.9699998</v>
      </c>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row>
    <row r="85" spans="1:46" s="166" customFormat="1" ht="15" customHeight="1">
      <c r="A85" s="174"/>
      <c r="B85" s="167"/>
      <c r="C85" s="167"/>
      <c r="D85" s="185"/>
      <c r="E85" s="194"/>
      <c r="F85" s="185"/>
      <c r="G85" s="194"/>
      <c r="H85" s="185"/>
      <c r="I85" s="194"/>
      <c r="J85" s="185"/>
      <c r="K85" s="194"/>
      <c r="L85" s="185"/>
      <c r="M85" s="194"/>
      <c r="N85" s="185"/>
      <c r="O85" s="194"/>
      <c r="P85" s="185"/>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row>
    <row r="86" spans="1:46" s="166" customFormat="1" ht="15" customHeight="1">
      <c r="A86" s="189">
        <f>A84+1</f>
        <v>10</v>
      </c>
      <c r="B86" s="178" t="s">
        <v>1447</v>
      </c>
      <c r="C86" s="167"/>
      <c r="D86" s="193"/>
      <c r="E86" s="192"/>
      <c r="F86" s="193"/>
      <c r="G86" s="192"/>
      <c r="H86" s="193"/>
      <c r="I86" s="192"/>
      <c r="J86" s="193"/>
      <c r="K86" s="192"/>
      <c r="L86" s="193"/>
      <c r="M86" s="192"/>
      <c r="N86" s="193"/>
      <c r="O86" s="192"/>
      <c r="P86" s="193"/>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row>
    <row r="87" spans="1:46" s="166" customFormat="1" ht="15" customHeight="1">
      <c r="A87" s="189">
        <f t="shared" ref="A87:A89" si="11">A86+1</f>
        <v>11</v>
      </c>
      <c r="B87" s="167" t="s">
        <v>1540</v>
      </c>
      <c r="C87" s="167"/>
      <c r="D87" s="204">
        <f>(BS!AF167+BS!AF166)*1000</f>
        <v>2618775481.9230771</v>
      </c>
      <c r="E87" s="179">
        <f t="shared" ref="E87:O90" si="12">(+D87-F87)/F87</f>
        <v>0.11824958581156916</v>
      </c>
      <c r="F87" s="204">
        <f>(BS!N167+BS!N166)*1000</f>
        <v>2341852405</v>
      </c>
      <c r="G87" s="179">
        <f t="shared" si="12"/>
        <v>-3.797463930904227E-3</v>
      </c>
      <c r="H87" s="204">
        <v>2350779405</v>
      </c>
      <c r="I87" s="179">
        <f t="shared" si="12"/>
        <v>0</v>
      </c>
      <c r="J87" s="204">
        <v>2350779405</v>
      </c>
      <c r="K87" s="179">
        <f t="shared" si="12"/>
        <v>0</v>
      </c>
      <c r="L87" s="204">
        <v>2350779405</v>
      </c>
      <c r="M87" s="179">
        <f t="shared" si="12"/>
        <v>0.11900345148328413</v>
      </c>
      <c r="N87" s="204">
        <v>2100779405</v>
      </c>
      <c r="O87" s="179">
        <f t="shared" si="12"/>
        <v>0</v>
      </c>
      <c r="P87" s="204">
        <v>2100779405</v>
      </c>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row>
    <row r="88" spans="1:46" s="166" customFormat="1" ht="15" customHeight="1">
      <c r="A88" s="189">
        <f t="shared" si="11"/>
        <v>12</v>
      </c>
      <c r="B88" s="167" t="s">
        <v>1562</v>
      </c>
      <c r="C88" s="167"/>
      <c r="D88" s="201">
        <v>0</v>
      </c>
      <c r="E88" s="179">
        <v>0</v>
      </c>
      <c r="F88" s="201">
        <v>0</v>
      </c>
      <c r="G88" s="179">
        <v>0</v>
      </c>
      <c r="H88" s="201">
        <v>0</v>
      </c>
      <c r="I88" s="179">
        <v>0</v>
      </c>
      <c r="J88" s="201">
        <v>0</v>
      </c>
      <c r="K88" s="179">
        <v>0</v>
      </c>
      <c r="L88" s="201">
        <v>0</v>
      </c>
      <c r="M88" s="179">
        <v>0</v>
      </c>
      <c r="N88" s="201">
        <v>0</v>
      </c>
      <c r="O88" s="179">
        <v>0</v>
      </c>
      <c r="P88" s="201">
        <v>0</v>
      </c>
      <c r="Q88" s="181"/>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row>
    <row r="89" spans="1:46" s="166" customFormat="1" ht="15" customHeight="1">
      <c r="A89" s="189">
        <f t="shared" si="11"/>
        <v>13</v>
      </c>
      <c r="B89" s="167" t="s">
        <v>1541</v>
      </c>
      <c r="C89" s="167"/>
      <c r="D89" s="195">
        <f>BS!AF168*1000</f>
        <v>-7580273.4030769216</v>
      </c>
      <c r="E89" s="179">
        <f t="shared" si="12"/>
        <v>-5.5782090234250639E-2</v>
      </c>
      <c r="F89" s="195">
        <f>BS!N168*1000</f>
        <v>-8028097.46</v>
      </c>
      <c r="G89" s="179">
        <f t="shared" si="12"/>
        <v>-6.3236529723906573E-2</v>
      </c>
      <c r="H89" s="195">
        <v>-8570036.8499999996</v>
      </c>
      <c r="I89" s="179">
        <f t="shared" si="12"/>
        <v>-5.8794972499293587E-2</v>
      </c>
      <c r="J89" s="195">
        <v>-9105387.8800000008</v>
      </c>
      <c r="K89" s="179">
        <f t="shared" si="12"/>
        <v>-5.6319434590674573E-2</v>
      </c>
      <c r="L89" s="195">
        <v>-9648803.0099999998</v>
      </c>
      <c r="M89" s="179">
        <f t="shared" si="12"/>
        <v>-3.6204327663368903E-2</v>
      </c>
      <c r="N89" s="195">
        <v>-10011253.720000001</v>
      </c>
      <c r="O89" s="179">
        <f t="shared" si="12"/>
        <v>-6.5228171418287184E-2</v>
      </c>
      <c r="P89" s="195">
        <v>-10709836.789999999</v>
      </c>
      <c r="Q89" s="181"/>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row>
    <row r="90" spans="1:46" s="166" customFormat="1" ht="15" customHeight="1">
      <c r="A90" s="189">
        <f t="shared" ref="A90" si="13">A89+1</f>
        <v>14</v>
      </c>
      <c r="B90" s="167" t="s">
        <v>1542</v>
      </c>
      <c r="C90" s="167"/>
      <c r="D90" s="200">
        <f>SUM(D87:D89)</f>
        <v>2611195208.52</v>
      </c>
      <c r="E90" s="179">
        <f t="shared" si="12"/>
        <v>0.11884823552650657</v>
      </c>
      <c r="F90" s="200">
        <f>SUM(F87:F89)</f>
        <v>2333824307.54</v>
      </c>
      <c r="G90" s="179">
        <f t="shared" si="12"/>
        <v>-3.579979110331667E-3</v>
      </c>
      <c r="H90" s="200">
        <f>SUM(H87:H89)</f>
        <v>2342209368.1500001</v>
      </c>
      <c r="I90" s="179">
        <f t="shared" si="12"/>
        <v>2.2861893930848341E-4</v>
      </c>
      <c r="J90" s="200">
        <f>SUM(J87:J89)</f>
        <v>2341674017.1199999</v>
      </c>
      <c r="K90" s="179">
        <f t="shared" si="12"/>
        <v>2.3211653785491616E-4</v>
      </c>
      <c r="L90" s="200">
        <f>SUM(L87:L89)</f>
        <v>2341130601.9899998</v>
      </c>
      <c r="M90" s="179">
        <f t="shared" si="12"/>
        <v>0.11974663501389388</v>
      </c>
      <c r="N90" s="200">
        <f>SUM(N87:N89)</f>
        <v>2090768151.28</v>
      </c>
      <c r="O90" s="179">
        <f t="shared" si="12"/>
        <v>3.3423914716782432E-4</v>
      </c>
      <c r="P90" s="200">
        <f>SUM(P87:P89)</f>
        <v>2090069568.21</v>
      </c>
      <c r="Q90" s="181"/>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row>
    <row r="91" spans="1:46" s="166" customFormat="1" ht="15" customHeight="1">
      <c r="A91" s="174"/>
      <c r="B91" s="167"/>
      <c r="C91" s="167"/>
      <c r="D91" s="195"/>
      <c r="E91" s="192"/>
      <c r="F91" s="195"/>
      <c r="G91" s="192"/>
      <c r="H91" s="195"/>
      <c r="I91" s="192"/>
      <c r="J91" s="195"/>
      <c r="K91" s="192"/>
      <c r="L91" s="195"/>
      <c r="M91" s="192"/>
      <c r="N91" s="195"/>
      <c r="O91" s="192"/>
      <c r="P91" s="195"/>
      <c r="Q91" s="181"/>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row>
    <row r="92" spans="1:46" s="166" customFormat="1" ht="15" customHeight="1">
      <c r="A92" s="189">
        <f>A90+1</f>
        <v>15</v>
      </c>
      <c r="B92" s="178" t="s">
        <v>1543</v>
      </c>
      <c r="C92" s="167"/>
      <c r="D92" s="195"/>
      <c r="E92" s="192"/>
      <c r="F92" s="195"/>
      <c r="G92" s="192"/>
      <c r="H92" s="195"/>
      <c r="I92" s="192"/>
      <c r="J92" s="195"/>
      <c r="K92" s="192"/>
      <c r="L92" s="195"/>
      <c r="M92" s="192"/>
      <c r="N92" s="195"/>
      <c r="O92" s="192"/>
      <c r="P92" s="195"/>
      <c r="Q92" s="181"/>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row>
    <row r="93" spans="1:46" s="166" customFormat="1" ht="15" customHeight="1">
      <c r="A93" s="189">
        <f>A92+1</f>
        <v>16</v>
      </c>
      <c r="B93" s="167" t="s">
        <v>1544</v>
      </c>
      <c r="C93" s="167"/>
      <c r="D93" s="204">
        <f>(BS!AF256+BS!AF257)*1000</f>
        <v>3198333.08</v>
      </c>
      <c r="E93" s="179">
        <f t="shared" ref="E93:O95" si="14">(+D93-F93)/F93</f>
        <v>-1.4559499453625986E-16</v>
      </c>
      <c r="F93" s="204">
        <f>(BS!N256+BS!N257)*1000</f>
        <v>3198333.0800000005</v>
      </c>
      <c r="G93" s="179">
        <f t="shared" si="14"/>
        <v>-6.5196643992748618E-2</v>
      </c>
      <c r="H93" s="204">
        <v>3421396.6599999997</v>
      </c>
      <c r="I93" s="179">
        <f t="shared" si="14"/>
        <v>0.71980971850672526</v>
      </c>
      <c r="J93" s="204">
        <v>1989404.19</v>
      </c>
      <c r="K93" s="179">
        <f t="shared" si="14"/>
        <v>-0.15093019276784669</v>
      </c>
      <c r="L93" s="204">
        <v>2343039.6100000003</v>
      </c>
      <c r="M93" s="179">
        <f t="shared" si="14"/>
        <v>0.14295078992710858</v>
      </c>
      <c r="N93" s="204">
        <v>2049991.6799999999</v>
      </c>
      <c r="O93" s="179">
        <f t="shared" si="14"/>
        <v>-6.1491539094426756E-2</v>
      </c>
      <c r="P93" s="204">
        <v>2184308.15</v>
      </c>
      <c r="Q93" s="181"/>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row>
    <row r="94" spans="1:46" s="166" customFormat="1" ht="15" customHeight="1">
      <c r="A94" s="189">
        <f t="shared" ref="A94:A95" si="15">A93+1</f>
        <v>17</v>
      </c>
      <c r="B94" s="167" t="s">
        <v>1545</v>
      </c>
      <c r="C94" s="167"/>
      <c r="D94" s="195">
        <f>BS!AF267*1000</f>
        <v>25652277.045384593</v>
      </c>
      <c r="E94" s="179">
        <f t="shared" si="14"/>
        <v>-0.11597360975160863</v>
      </c>
      <c r="F94" s="195">
        <f>BS!N267*1000</f>
        <v>29017546.68</v>
      </c>
      <c r="G94" s="179">
        <f t="shared" si="14"/>
        <v>-0.61198261529746345</v>
      </c>
      <c r="H94" s="195">
        <v>74784140.670000002</v>
      </c>
      <c r="I94" s="179">
        <f t="shared" si="14"/>
        <v>-0.30446138876141976</v>
      </c>
      <c r="J94" s="195">
        <v>107519754.42</v>
      </c>
      <c r="K94" s="179">
        <f t="shared" si="14"/>
        <v>0.14746134454913398</v>
      </c>
      <c r="L94" s="195">
        <v>93702288.909999996</v>
      </c>
      <c r="M94" s="179">
        <f t="shared" si="14"/>
        <v>-0.2032624376175117</v>
      </c>
      <c r="N94" s="195">
        <v>117607469.93000001</v>
      </c>
      <c r="O94" s="179">
        <f t="shared" si="14"/>
        <v>0.95470795097563455</v>
      </c>
      <c r="P94" s="195">
        <v>60166261.600000001</v>
      </c>
      <c r="Q94" s="181"/>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row>
    <row r="95" spans="1:46" s="166" customFormat="1" ht="15" customHeight="1">
      <c r="A95" s="189">
        <f t="shared" si="15"/>
        <v>18</v>
      </c>
      <c r="B95" s="167" t="s">
        <v>1546</v>
      </c>
      <c r="C95" s="167"/>
      <c r="D95" s="200">
        <f>SUM(D93:D94)</f>
        <v>28850610.125384592</v>
      </c>
      <c r="E95" s="179">
        <f t="shared" si="14"/>
        <v>-0.10445996383416506</v>
      </c>
      <c r="F95" s="200">
        <f>SUM(F93:F94)</f>
        <v>32215879.760000002</v>
      </c>
      <c r="G95" s="179">
        <f t="shared" si="14"/>
        <v>-0.5880613974422263</v>
      </c>
      <c r="H95" s="200">
        <f>SUM(H93:H94)</f>
        <v>78205537.329999998</v>
      </c>
      <c r="I95" s="179">
        <f t="shared" si="14"/>
        <v>-0.28585391100924284</v>
      </c>
      <c r="J95" s="200">
        <f>SUM(J93:J94)</f>
        <v>109509158.61</v>
      </c>
      <c r="K95" s="179">
        <f t="shared" si="14"/>
        <v>0.14018204005826648</v>
      </c>
      <c r="L95" s="200">
        <f>SUM(L93:L94)</f>
        <v>96045328.519999996</v>
      </c>
      <c r="M95" s="179">
        <f t="shared" si="14"/>
        <v>-0.19733105459782463</v>
      </c>
      <c r="N95" s="200">
        <f>SUM(N93:N94)</f>
        <v>119657461.61000001</v>
      </c>
      <c r="O95" s="179">
        <f t="shared" si="14"/>
        <v>0.91910774977320897</v>
      </c>
      <c r="P95" s="200">
        <f>SUM(P93:P94)</f>
        <v>62350569.75</v>
      </c>
      <c r="Q95" s="181"/>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row>
    <row r="96" spans="1:46" s="166" customFormat="1" ht="15" customHeight="1">
      <c r="A96" s="174"/>
      <c r="B96" s="167"/>
      <c r="C96" s="167"/>
      <c r="D96" s="195"/>
      <c r="E96" s="192"/>
      <c r="F96" s="195"/>
      <c r="G96" s="192"/>
      <c r="H96" s="195"/>
      <c r="I96" s="192"/>
      <c r="J96" s="195"/>
      <c r="K96" s="192"/>
      <c r="L96" s="195"/>
      <c r="M96" s="192"/>
      <c r="N96" s="195"/>
      <c r="O96" s="192"/>
      <c r="P96" s="195"/>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row>
    <row r="97" spans="1:46" s="166" customFormat="1" ht="15" customHeight="1">
      <c r="A97" s="189">
        <f>A95+1</f>
        <v>19</v>
      </c>
      <c r="B97" s="178" t="s">
        <v>1448</v>
      </c>
      <c r="C97" s="167"/>
      <c r="D97" s="193"/>
      <c r="E97" s="194"/>
      <c r="F97" s="193"/>
      <c r="G97" s="194"/>
      <c r="H97" s="193"/>
      <c r="I97" s="194"/>
      <c r="J97" s="193"/>
      <c r="K97" s="194"/>
      <c r="L97" s="193"/>
      <c r="M97" s="194"/>
      <c r="N97" s="193"/>
      <c r="O97" s="194"/>
      <c r="P97" s="193"/>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row>
    <row r="98" spans="1:46" s="166" customFormat="1" ht="15" customHeight="1">
      <c r="A98" s="189">
        <f>A97+1</f>
        <v>20</v>
      </c>
      <c r="B98" s="167" t="s">
        <v>1560</v>
      </c>
      <c r="C98" s="167"/>
      <c r="D98" s="204">
        <f>BS!AF182*1000</f>
        <v>59408365.001400508</v>
      </c>
      <c r="E98" s="179">
        <f t="shared" ref="E98:O107" si="16">(+D98-F98)/F98</f>
        <v>-0.76455650864800662</v>
      </c>
      <c r="F98" s="204">
        <f>BS!N182*1000</f>
        <v>252325365.46352699</v>
      </c>
      <c r="G98" s="179">
        <f t="shared" si="16"/>
        <v>4.6125402919230201</v>
      </c>
      <c r="H98" s="204">
        <v>44957426.109999999</v>
      </c>
      <c r="I98" s="179">
        <f t="shared" si="16"/>
        <v>1.8099743601348477</v>
      </c>
      <c r="J98" s="204">
        <v>15999230.01</v>
      </c>
      <c r="K98" s="179">
        <f t="shared" si="16"/>
        <v>-0.66666270788747328</v>
      </c>
      <c r="L98" s="204">
        <v>47997120</v>
      </c>
      <c r="M98" s="179">
        <f t="shared" si="16"/>
        <v>-0.79627044045226514</v>
      </c>
      <c r="N98" s="204">
        <v>235592322.03</v>
      </c>
      <c r="O98" s="179">
        <v>1</v>
      </c>
      <c r="P98" s="204">
        <v>149967365.53999999</v>
      </c>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row>
    <row r="99" spans="1:46" s="166" customFormat="1" ht="15" customHeight="1">
      <c r="A99" s="189">
        <f>A98+1</f>
        <v>21</v>
      </c>
      <c r="B99" s="167" t="s">
        <v>1547</v>
      </c>
      <c r="C99" s="167"/>
      <c r="D99" s="195">
        <f>BS!AF188*1000</f>
        <v>133585772.48117499</v>
      </c>
      <c r="E99" s="179">
        <f t="shared" si="16"/>
        <v>-8.4177057014822962E-2</v>
      </c>
      <c r="F99" s="195">
        <f>BS!N188*1000</f>
        <v>145864190.78533298</v>
      </c>
      <c r="G99" s="179">
        <f t="shared" si="16"/>
        <v>-8.4308401167448546E-2</v>
      </c>
      <c r="H99" s="195">
        <v>159294014.46000001</v>
      </c>
      <c r="I99" s="179">
        <f t="shared" si="16"/>
        <v>0.75728980304405591</v>
      </c>
      <c r="J99" s="195">
        <v>90647549.530000001</v>
      </c>
      <c r="K99" s="179">
        <f t="shared" si="16"/>
        <v>-0.16347824875466788</v>
      </c>
      <c r="L99" s="195">
        <v>108362453.69</v>
      </c>
      <c r="M99" s="179">
        <f t="shared" si="16"/>
        <v>-0.29194376821920826</v>
      </c>
      <c r="N99" s="195">
        <v>153042157.99000001</v>
      </c>
      <c r="O99" s="179">
        <f t="shared" si="16"/>
        <v>-0.11358173959083834</v>
      </c>
      <c r="P99" s="195">
        <v>172652307.41</v>
      </c>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row>
    <row r="100" spans="1:46" s="166" customFormat="1" ht="15" customHeight="1">
      <c r="A100" s="189">
        <f>A99+1</f>
        <v>22</v>
      </c>
      <c r="B100" s="167" t="s">
        <v>1561</v>
      </c>
      <c r="C100" s="167"/>
      <c r="D100" s="201">
        <f>BS!AF178*1000</f>
        <v>0</v>
      </c>
      <c r="E100" s="179">
        <v>0</v>
      </c>
      <c r="F100" s="201">
        <f>BS!N178*1000</f>
        <v>0</v>
      </c>
      <c r="G100" s="179">
        <v>0</v>
      </c>
      <c r="H100" s="201">
        <v>0</v>
      </c>
      <c r="I100" s="179">
        <v>0</v>
      </c>
      <c r="J100" s="201">
        <v>0</v>
      </c>
      <c r="K100" s="179">
        <v>0</v>
      </c>
      <c r="L100" s="201">
        <v>0</v>
      </c>
      <c r="M100" s="179">
        <v>0</v>
      </c>
      <c r="N100" s="201">
        <v>0</v>
      </c>
      <c r="O100" s="179">
        <v>0</v>
      </c>
      <c r="P100" s="201">
        <v>0</v>
      </c>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row>
    <row r="101" spans="1:46" s="166" customFormat="1" ht="15" customHeight="1">
      <c r="A101" s="189">
        <f>A100+1</f>
        <v>23</v>
      </c>
      <c r="B101" s="167" t="s">
        <v>1548</v>
      </c>
      <c r="C101" s="167"/>
      <c r="D101" s="201">
        <f>BS!AF193*1000</f>
        <v>45844751.013320431</v>
      </c>
      <c r="E101" s="179">
        <f t="shared" si="16"/>
        <v>-4.8983421880859267E-2</v>
      </c>
      <c r="F101" s="201">
        <f>BS!N193*1000</f>
        <v>48206048.209999897</v>
      </c>
      <c r="G101" s="179">
        <f t="shared" si="16"/>
        <v>-9.4031150673139913E-2</v>
      </c>
      <c r="H101" s="201">
        <v>53209388.210000001</v>
      </c>
      <c r="I101" s="179">
        <f t="shared" si="16"/>
        <v>-5.3106289124657417E-2</v>
      </c>
      <c r="J101" s="201">
        <v>56193623</v>
      </c>
      <c r="K101" s="179">
        <f t="shared" si="16"/>
        <v>0.43425486650817324</v>
      </c>
      <c r="L101" s="201">
        <v>39179663.469999999</v>
      </c>
      <c r="M101" s="179">
        <f t="shared" si="16"/>
        <v>-0.15905558799538055</v>
      </c>
      <c r="N101" s="201">
        <v>46590075.289999999</v>
      </c>
      <c r="O101" s="179">
        <f t="shared" si="16"/>
        <v>0.8380856384713673</v>
      </c>
      <c r="P101" s="201">
        <v>25347064.530000001</v>
      </c>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row>
    <row r="102" spans="1:46" s="166" customFormat="1" ht="15" customHeight="1">
      <c r="A102" s="189">
        <f t="shared" ref="A102:A107" si="17">A101+1</f>
        <v>24</v>
      </c>
      <c r="B102" s="167" t="s">
        <v>1549</v>
      </c>
      <c r="C102" s="167"/>
      <c r="D102" s="195">
        <f>BS!AF195*1000</f>
        <v>30898393.370000001</v>
      </c>
      <c r="E102" s="179">
        <f t="shared" si="16"/>
        <v>0</v>
      </c>
      <c r="F102" s="195">
        <f>BS!N195*1000</f>
        <v>30898393.370000001</v>
      </c>
      <c r="G102" s="179">
        <f t="shared" si="16"/>
        <v>1.0262650830178232E-2</v>
      </c>
      <c r="H102" s="195">
        <v>30584515.170000002</v>
      </c>
      <c r="I102" s="179">
        <f t="shared" si="16"/>
        <v>5.9107238070708452E-2</v>
      </c>
      <c r="J102" s="195">
        <v>28877637.760000002</v>
      </c>
      <c r="K102" s="179">
        <f t="shared" si="16"/>
        <v>0.10012130500036097</v>
      </c>
      <c r="L102" s="195">
        <v>26249503.239999998</v>
      </c>
      <c r="M102" s="179">
        <f t="shared" si="16"/>
        <v>-3.6923760250806487E-2</v>
      </c>
      <c r="N102" s="195">
        <v>27255893.309999999</v>
      </c>
      <c r="O102" s="179">
        <f t="shared" si="16"/>
        <v>6.2401885378133619E-2</v>
      </c>
      <c r="P102" s="195">
        <v>25654974.530000001</v>
      </c>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row>
    <row r="103" spans="1:46" s="166" customFormat="1" ht="15" customHeight="1">
      <c r="A103" s="189">
        <f t="shared" si="17"/>
        <v>25</v>
      </c>
      <c r="B103" s="167" t="s">
        <v>1550</v>
      </c>
      <c r="C103" s="167"/>
      <c r="D103" s="195">
        <f>BS!AF197*1000</f>
        <v>23042722.66145825</v>
      </c>
      <c r="E103" s="179">
        <f t="shared" si="16"/>
        <v>0.26106706713635813</v>
      </c>
      <c r="F103" s="195">
        <f>BS!N197*1000</f>
        <v>18272400.621629</v>
      </c>
      <c r="G103" s="179">
        <f t="shared" si="16"/>
        <v>-2.9897805880552856E-2</v>
      </c>
      <c r="H103" s="195">
        <v>18835542</v>
      </c>
      <c r="I103" s="179">
        <f t="shared" si="16"/>
        <v>-0.5825836338739796</v>
      </c>
      <c r="J103" s="195">
        <v>45124109.950000003</v>
      </c>
      <c r="K103" s="179">
        <f t="shared" si="16"/>
        <v>1.2089821542340453</v>
      </c>
      <c r="L103" s="195">
        <v>20427557.489999998</v>
      </c>
      <c r="M103" s="179">
        <f t="shared" si="16"/>
        <v>0.4618219778261376</v>
      </c>
      <c r="N103" s="195">
        <v>13974039.109999999</v>
      </c>
      <c r="O103" s="179">
        <f t="shared" si="16"/>
        <v>-0.57021536042342857</v>
      </c>
      <c r="P103" s="195">
        <v>32514049.649999999</v>
      </c>
      <c r="Q103" s="181"/>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row>
    <row r="104" spans="1:46" s="166" customFormat="1" ht="15" customHeight="1">
      <c r="A104" s="189">
        <f t="shared" si="17"/>
        <v>26</v>
      </c>
      <c r="B104" s="167" t="s">
        <v>1551</v>
      </c>
      <c r="C104" s="167"/>
      <c r="D104" s="195">
        <f>BS!AF201*1000</f>
        <v>29561778.474134583</v>
      </c>
      <c r="E104" s="179">
        <f t="shared" si="16"/>
        <v>0.83600197801128384</v>
      </c>
      <c r="F104" s="195">
        <f>BS!N201*1000</f>
        <v>16101169.1861875</v>
      </c>
      <c r="G104" s="179">
        <f t="shared" si="16"/>
        <v>-3.7169539383982188E-3</v>
      </c>
      <c r="H104" s="195">
        <v>16161239.77</v>
      </c>
      <c r="I104" s="179">
        <f t="shared" si="16"/>
        <v>8.7109722619894778E-3</v>
      </c>
      <c r="J104" s="195">
        <v>16021675.4</v>
      </c>
      <c r="K104" s="179">
        <f t="shared" si="16"/>
        <v>1.6549515220289284E-2</v>
      </c>
      <c r="L104" s="195">
        <v>15760841.119999999</v>
      </c>
      <c r="M104" s="179">
        <f t="shared" si="16"/>
        <v>0.35585115014418323</v>
      </c>
      <c r="N104" s="195">
        <v>11624315.189999999</v>
      </c>
      <c r="O104" s="179">
        <f t="shared" si="16"/>
        <v>8.6758968976810048E-3</v>
      </c>
      <c r="P104" s="195">
        <v>11524331.279999999</v>
      </c>
      <c r="Q104" s="181"/>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row>
    <row r="105" spans="1:46" s="166" customFormat="1" ht="15" customHeight="1">
      <c r="A105" s="189">
        <f t="shared" si="17"/>
        <v>27</v>
      </c>
      <c r="B105" s="167" t="s">
        <v>1552</v>
      </c>
      <c r="C105" s="167"/>
      <c r="D105" s="195">
        <f>(BS!AF206+BS!AF207)*1000</f>
        <v>4248290.9599999981</v>
      </c>
      <c r="E105" s="179">
        <f t="shared" si="16"/>
        <v>-2.1922287889045123E-16</v>
      </c>
      <c r="F105" s="195">
        <f>(BS!N206+BS!N207)*1000</f>
        <v>4248290.959999999</v>
      </c>
      <c r="G105" s="179">
        <f t="shared" si="16"/>
        <v>2.3628412173349073E-2</v>
      </c>
      <c r="H105" s="195">
        <v>4150227.6700000009</v>
      </c>
      <c r="I105" s="179">
        <f t="shared" si="16"/>
        <v>-6.2560195862942383E-2</v>
      </c>
      <c r="J105" s="195">
        <v>4427193.7800000012</v>
      </c>
      <c r="K105" s="179">
        <f t="shared" si="16"/>
        <v>0.10976360573170063</v>
      </c>
      <c r="L105" s="195">
        <v>3989312.4600000004</v>
      </c>
      <c r="M105" s="179">
        <f t="shared" si="16"/>
        <v>-0.23627862720017798</v>
      </c>
      <c r="N105" s="195">
        <v>5223518.16</v>
      </c>
      <c r="O105" s="179">
        <f t="shared" si="16"/>
        <v>0.1369851611251473</v>
      </c>
      <c r="P105" s="195">
        <v>4594183.2300000004</v>
      </c>
      <c r="Q105" s="181"/>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row>
    <row r="106" spans="1:46" s="166" customFormat="1" ht="15" customHeight="1">
      <c r="A106" s="189">
        <f t="shared" si="17"/>
        <v>28</v>
      </c>
      <c r="B106" s="167" t="s">
        <v>1553</v>
      </c>
      <c r="C106" s="167"/>
      <c r="D106" s="195">
        <f>(BS!AF203+BS!AF208+BS!AF209+BS!AF210+BS!AF211+BS!AF212+BS!AF213)*1000</f>
        <v>24943027.112816028</v>
      </c>
      <c r="E106" s="179">
        <f t="shared" si="16"/>
        <v>0.25741558493946454</v>
      </c>
      <c r="F106" s="195">
        <f>(BS!N203+BS!N208+BS!N209+BS!N210+BS!N211+BS!N212+BS!N213)*1000</f>
        <v>19836740.860832304</v>
      </c>
      <c r="G106" s="179">
        <f t="shared" si="16"/>
        <v>6.4732991799844236E-2</v>
      </c>
      <c r="H106" s="195">
        <v>18630718.699999999</v>
      </c>
      <c r="I106" s="179">
        <f t="shared" si="16"/>
        <v>3.4030626568105495E-2</v>
      </c>
      <c r="J106" s="195">
        <v>18017569.52</v>
      </c>
      <c r="K106" s="179">
        <f t="shared" si="16"/>
        <v>-5.7057636984188684E-2</v>
      </c>
      <c r="L106" s="195">
        <v>19107816.369999997</v>
      </c>
      <c r="M106" s="179">
        <f t="shared" si="16"/>
        <v>-0.6421325271958791</v>
      </c>
      <c r="N106" s="195">
        <v>53393554.379999995</v>
      </c>
      <c r="O106" s="179">
        <f t="shared" si="16"/>
        <v>2.1722481716382309</v>
      </c>
      <c r="P106" s="195">
        <v>16831455.640000001</v>
      </c>
      <c r="Q106" s="181"/>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row>
    <row r="107" spans="1:46" s="166" customFormat="1" ht="15" customHeight="1">
      <c r="A107" s="189">
        <f t="shared" si="17"/>
        <v>29</v>
      </c>
      <c r="B107" s="167" t="s">
        <v>1449</v>
      </c>
      <c r="C107" s="167"/>
      <c r="D107" s="200">
        <f>SUM(D98:D106)</f>
        <v>351533101.07430476</v>
      </c>
      <c r="E107" s="179">
        <f t="shared" si="16"/>
        <v>-0.34385180504908525</v>
      </c>
      <c r="F107" s="200">
        <f>SUM(F98:F106)</f>
        <v>535752599.45750868</v>
      </c>
      <c r="G107" s="179">
        <f t="shared" si="16"/>
        <v>0.54921010972362139</v>
      </c>
      <c r="H107" s="200">
        <f>SUM(H98:H106)</f>
        <v>345823072.08999997</v>
      </c>
      <c r="I107" s="179">
        <f t="shared" si="16"/>
        <v>0.2561288894361608</v>
      </c>
      <c r="J107" s="200">
        <f>SUM(J98:J106)</f>
        <v>275308588.94999999</v>
      </c>
      <c r="K107" s="179">
        <f t="shared" si="16"/>
        <v>-2.0513008658914752E-2</v>
      </c>
      <c r="L107" s="200">
        <f>SUM(L98:L106)</f>
        <v>281074267.84000003</v>
      </c>
      <c r="M107" s="179">
        <f t="shared" si="16"/>
        <v>-0.48586722443534269</v>
      </c>
      <c r="N107" s="200">
        <f>SUM(N98:N106)</f>
        <v>546695875.46000004</v>
      </c>
      <c r="O107" s="179">
        <f t="shared" si="16"/>
        <v>0.2450777510041362</v>
      </c>
      <c r="P107" s="200">
        <f>SUM(P98:P106)</f>
        <v>439085731.80999994</v>
      </c>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row>
    <row r="108" spans="1:46" s="166" customFormat="1" ht="15" customHeight="1">
      <c r="A108" s="174"/>
      <c r="B108" s="167"/>
      <c r="C108" s="167"/>
      <c r="D108" s="185"/>
      <c r="E108" s="194"/>
      <c r="F108" s="185"/>
      <c r="G108" s="194"/>
      <c r="H108" s="185"/>
      <c r="I108" s="194"/>
      <c r="J108" s="185"/>
      <c r="K108" s="194"/>
      <c r="L108" s="185"/>
      <c r="M108" s="194"/>
      <c r="N108" s="185"/>
      <c r="O108" s="194"/>
      <c r="P108" s="185"/>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row>
    <row r="109" spans="1:46" s="166" customFormat="1" ht="15" customHeight="1">
      <c r="A109" s="189">
        <f>A107+1</f>
        <v>30</v>
      </c>
      <c r="B109" s="178" t="s">
        <v>1450</v>
      </c>
      <c r="C109" s="167"/>
      <c r="D109" s="193"/>
      <c r="E109" s="192"/>
      <c r="F109" s="193"/>
      <c r="G109" s="192"/>
      <c r="H109" s="193"/>
      <c r="I109" s="192"/>
      <c r="J109" s="193"/>
      <c r="K109" s="192"/>
      <c r="L109" s="193"/>
      <c r="M109" s="192"/>
      <c r="N109" s="193"/>
      <c r="O109" s="192"/>
      <c r="P109" s="193"/>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row>
    <row r="110" spans="1:46" s="166" customFormat="1" ht="15" customHeight="1">
      <c r="A110" s="189">
        <f>A109+1</f>
        <v>31</v>
      </c>
      <c r="B110" s="167" t="s">
        <v>1191</v>
      </c>
      <c r="C110" s="167"/>
      <c r="D110" s="204">
        <f>BS!AF241*1000</f>
        <v>980981.36999999965</v>
      </c>
      <c r="E110" s="179">
        <f t="shared" ref="E110:O117" si="18">(+D110-F110)/F110</f>
        <v>-3.5601691954741652E-16</v>
      </c>
      <c r="F110" s="204">
        <f>BS!N241*1000</f>
        <v>980981.37</v>
      </c>
      <c r="G110" s="179">
        <f t="shared" si="18"/>
        <v>0.16478998140955128</v>
      </c>
      <c r="H110" s="204">
        <v>842195.92</v>
      </c>
      <c r="I110" s="179">
        <f t="shared" si="18"/>
        <v>-0.44632966097967158</v>
      </c>
      <c r="J110" s="204">
        <v>1521114.39</v>
      </c>
      <c r="K110" s="179">
        <f t="shared" si="18"/>
        <v>-0.22734505680885256</v>
      </c>
      <c r="L110" s="204">
        <v>1968685.25</v>
      </c>
      <c r="M110" s="179">
        <f t="shared" si="18"/>
        <v>-0.11258336288556092</v>
      </c>
      <c r="N110" s="204">
        <v>2218445.2799999998</v>
      </c>
      <c r="O110" s="179">
        <f t="shared" si="18"/>
        <v>-0.23033642687551509</v>
      </c>
      <c r="P110" s="204">
        <v>2882357.12</v>
      </c>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row>
    <row r="111" spans="1:46" s="166" customFormat="1" ht="15" customHeight="1">
      <c r="A111" s="189">
        <f t="shared" ref="A111:A117" si="19">A110+1</f>
        <v>32</v>
      </c>
      <c r="B111" s="167" t="s">
        <v>1554</v>
      </c>
      <c r="C111" s="167"/>
      <c r="D111" s="195">
        <f>BS!AF228*1000</f>
        <v>89931576.236666575</v>
      </c>
      <c r="E111" s="179">
        <f t="shared" si="18"/>
        <v>-1.8471890460679319E-2</v>
      </c>
      <c r="F111" s="195">
        <f>BS!N228*1000</f>
        <v>91624045.569999903</v>
      </c>
      <c r="G111" s="179">
        <f t="shared" si="18"/>
        <v>-2.3799905016303149E-2</v>
      </c>
      <c r="H111" s="195">
        <v>93857853.569999993</v>
      </c>
      <c r="I111" s="179">
        <f t="shared" si="18"/>
        <v>-2.0007363254209244E-2</v>
      </c>
      <c r="J111" s="195">
        <v>95774039.569999993</v>
      </c>
      <c r="K111" s="179">
        <f t="shared" si="18"/>
        <v>2.9618721434295996E-2</v>
      </c>
      <c r="L111" s="195">
        <v>93018937.569999993</v>
      </c>
      <c r="M111" s="179">
        <f t="shared" si="18"/>
        <v>-1.9461332248794164E-2</v>
      </c>
      <c r="N111" s="195">
        <v>94865139.569999993</v>
      </c>
      <c r="O111" s="179">
        <f t="shared" si="18"/>
        <v>-1.9343907860101064E-2</v>
      </c>
      <c r="P111" s="195">
        <v>96736399.569999993</v>
      </c>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row>
    <row r="112" spans="1:46" s="166" customFormat="1" ht="15" customHeight="1">
      <c r="A112" s="189">
        <f t="shared" si="19"/>
        <v>33</v>
      </c>
      <c r="B112" s="167" t="s">
        <v>1555</v>
      </c>
      <c r="C112" s="167"/>
      <c r="D112" s="195">
        <f>BS!AF253*1000</f>
        <v>1739959.09</v>
      </c>
      <c r="E112" s="179">
        <f t="shared" si="18"/>
        <v>0</v>
      </c>
      <c r="F112" s="195">
        <f>BS!N253*1000</f>
        <v>1739959.09</v>
      </c>
      <c r="G112" s="179">
        <f t="shared" si="18"/>
        <v>0.25906866613980417</v>
      </c>
      <c r="H112" s="195">
        <v>1381941.38</v>
      </c>
      <c r="I112" s="179">
        <f t="shared" si="18"/>
        <v>-0.10427393082148953</v>
      </c>
      <c r="J112" s="195">
        <v>1542816.97</v>
      </c>
      <c r="K112" s="179">
        <f t="shared" si="18"/>
        <v>-0.82225466250166501</v>
      </c>
      <c r="L112" s="195">
        <v>8679929.3399999999</v>
      </c>
      <c r="M112" s="179">
        <f t="shared" si="18"/>
        <v>-0.77451802752254273</v>
      </c>
      <c r="N112" s="195">
        <v>38495003.590000004</v>
      </c>
      <c r="O112" s="179">
        <f t="shared" si="18"/>
        <v>0.11375633934418464</v>
      </c>
      <c r="P112" s="195">
        <v>34563218.390000001</v>
      </c>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row>
    <row r="113" spans="1:46" s="166" customFormat="1" ht="15" customHeight="1">
      <c r="A113" s="189">
        <f t="shared" si="19"/>
        <v>34</v>
      </c>
      <c r="B113" s="167" t="s">
        <v>1556</v>
      </c>
      <c r="C113" s="167"/>
      <c r="D113" s="195">
        <f>BS!AF236*1000</f>
        <v>730344632.56531262</v>
      </c>
      <c r="E113" s="179">
        <f t="shared" si="18"/>
        <v>-4.2797688257727465E-2</v>
      </c>
      <c r="F113" s="195">
        <f>BS!N236*1000</f>
        <v>762999236.00890601</v>
      </c>
      <c r="G113" s="179">
        <f t="shared" si="18"/>
        <v>2.5109684131981669E-2</v>
      </c>
      <c r="H113" s="195">
        <v>744309850.75999999</v>
      </c>
      <c r="I113" s="179">
        <f t="shared" si="18"/>
        <v>4.1260355545416587</v>
      </c>
      <c r="J113" s="195">
        <v>145201850.99000001</v>
      </c>
      <c r="K113" s="179">
        <f t="shared" si="18"/>
        <v>-5.3386775151581974E-2</v>
      </c>
      <c r="L113" s="195">
        <v>153390896.28</v>
      </c>
      <c r="M113" s="179">
        <f t="shared" si="18"/>
        <v>0.12705487359787984</v>
      </c>
      <c r="N113" s="195">
        <v>136098871.38</v>
      </c>
      <c r="O113" s="179">
        <f t="shared" si="18"/>
        <v>-9.5347009410507222E-2</v>
      </c>
      <c r="P113" s="195">
        <v>150443178.53999999</v>
      </c>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row>
    <row r="114" spans="1:46" s="166" customFormat="1" ht="15" customHeight="1">
      <c r="A114" s="189">
        <f t="shared" si="19"/>
        <v>35</v>
      </c>
      <c r="B114" s="167" t="s">
        <v>1557</v>
      </c>
      <c r="C114" s="167"/>
      <c r="D114" s="195">
        <f>BS!AF246*1000</f>
        <v>165695113.09615386</v>
      </c>
      <c r="E114" s="179">
        <f t="shared" si="18"/>
        <v>-0.15540085766817827</v>
      </c>
      <c r="F114" s="195">
        <f>BS!N246*1000</f>
        <v>196181957.56</v>
      </c>
      <c r="G114" s="179">
        <f t="shared" si="18"/>
        <v>-0.1649292734057711</v>
      </c>
      <c r="H114" s="195">
        <v>234928553.13</v>
      </c>
      <c r="I114" s="179">
        <f t="shared" si="18"/>
        <v>-0.18618113143573209</v>
      </c>
      <c r="J114" s="195">
        <v>288674251.98000002</v>
      </c>
      <c r="K114" s="179">
        <f t="shared" si="18"/>
        <v>-0.2028731368117315</v>
      </c>
      <c r="L114" s="195">
        <v>362143424.48000002</v>
      </c>
      <c r="M114" s="179">
        <f t="shared" si="18"/>
        <v>0.71658912883492887</v>
      </c>
      <c r="N114" s="195">
        <v>210966863.53</v>
      </c>
      <c r="O114" s="179">
        <f t="shared" si="18"/>
        <v>0.17950253961158044</v>
      </c>
      <c r="P114" s="195">
        <v>178860881.13</v>
      </c>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row>
    <row r="115" spans="1:46" s="166" customFormat="1" ht="15" customHeight="1">
      <c r="A115" s="189">
        <f t="shared" si="19"/>
        <v>36</v>
      </c>
      <c r="B115" s="167" t="s">
        <v>1558</v>
      </c>
      <c r="C115" s="167"/>
      <c r="D115" s="201">
        <f>BS!AF258*1000</f>
        <v>18947980.463076863</v>
      </c>
      <c r="E115" s="179">
        <v>1</v>
      </c>
      <c r="F115" s="201">
        <f>BS!N258*1000</f>
        <v>0</v>
      </c>
      <c r="G115" s="179">
        <v>0</v>
      </c>
      <c r="H115" s="201">
        <v>0</v>
      </c>
      <c r="I115" s="179">
        <v>0</v>
      </c>
      <c r="J115" s="201">
        <v>0</v>
      </c>
      <c r="K115" s="179">
        <v>0</v>
      </c>
      <c r="L115" s="201">
        <v>0</v>
      </c>
      <c r="M115" s="179">
        <v>0</v>
      </c>
      <c r="N115" s="201">
        <v>0</v>
      </c>
      <c r="O115" s="179">
        <v>0</v>
      </c>
      <c r="P115" s="201">
        <v>0</v>
      </c>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row>
    <row r="116" spans="1:46" s="166" customFormat="1" ht="15" customHeight="1">
      <c r="A116" s="189">
        <f t="shared" si="19"/>
        <v>37</v>
      </c>
      <c r="B116" s="167" t="s">
        <v>1531</v>
      </c>
      <c r="C116" s="167"/>
      <c r="D116" s="195">
        <f>BS!AF223*1000</f>
        <v>1139638074.9543929</v>
      </c>
      <c r="E116" s="179">
        <f t="shared" si="18"/>
        <v>4.4412263438835441E-2</v>
      </c>
      <c r="F116" s="195">
        <f>BS!N223*1000</f>
        <v>1091176458.61608</v>
      </c>
      <c r="G116" s="179">
        <f t="shared" si="18"/>
        <v>3.5604057561093069E-2</v>
      </c>
      <c r="H116" s="195">
        <v>1053661822.4400001</v>
      </c>
      <c r="I116" s="179">
        <f t="shared" si="18"/>
        <v>-0.29265536189869973</v>
      </c>
      <c r="J116" s="195">
        <v>1489601766.5</v>
      </c>
      <c r="K116" s="179">
        <f t="shared" si="18"/>
        <v>6.0496906358886257E-2</v>
      </c>
      <c r="L116" s="195">
        <v>1404626225.28</v>
      </c>
      <c r="M116" s="179">
        <f t="shared" si="18"/>
        <v>0.2719754416235462</v>
      </c>
      <c r="N116" s="195">
        <v>1104287220.74</v>
      </c>
      <c r="O116" s="179">
        <f t="shared" si="18"/>
        <v>0.2787761027472439</v>
      </c>
      <c r="P116" s="195">
        <v>863550091.65999997</v>
      </c>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row>
    <row r="117" spans="1:46" s="166" customFormat="1" ht="15" customHeight="1">
      <c r="A117" s="189">
        <f t="shared" si="19"/>
        <v>38</v>
      </c>
      <c r="B117" s="167" t="s">
        <v>1451</v>
      </c>
      <c r="C117" s="167"/>
      <c r="D117" s="200">
        <f>SUM(D110:D116)</f>
        <v>2147278317.7756028</v>
      </c>
      <c r="E117" s="179">
        <f t="shared" si="18"/>
        <v>1.2009494998153599E-3</v>
      </c>
      <c r="F117" s="200">
        <f>SUM(F110:F116)</f>
        <v>2144702638.2149858</v>
      </c>
      <c r="G117" s="179">
        <f t="shared" si="18"/>
        <v>7.3840076671288597E-3</v>
      </c>
      <c r="H117" s="200">
        <f>SUM(H110:H116)</f>
        <v>2128982217.2</v>
      </c>
      <c r="I117" s="179">
        <f t="shared" si="18"/>
        <v>5.274466760785599E-2</v>
      </c>
      <c r="J117" s="200">
        <f>SUM(J110:J116)</f>
        <v>2022315840.4000001</v>
      </c>
      <c r="K117" s="179">
        <f t="shared" si="18"/>
        <v>-7.472264078875868E-4</v>
      </c>
      <c r="L117" s="200">
        <f>SUM(L110:L116)</f>
        <v>2023828098.2</v>
      </c>
      <c r="M117" s="179">
        <f t="shared" si="18"/>
        <v>0.27530901111461054</v>
      </c>
      <c r="N117" s="200">
        <f>SUM(N110:N116)</f>
        <v>1586931544.0900002</v>
      </c>
      <c r="O117" s="179">
        <f t="shared" si="18"/>
        <v>0.19584652784328441</v>
      </c>
      <c r="P117" s="200">
        <f>SUM(P110:P116)</f>
        <v>1327036126.4099998</v>
      </c>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row>
    <row r="118" spans="1:46" s="166" customFormat="1" ht="15" customHeight="1">
      <c r="A118" s="189"/>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row>
    <row r="119" spans="1:46" s="166" customFormat="1" ht="15" customHeight="1" thickBot="1">
      <c r="A119" s="189">
        <f>A117+1</f>
        <v>39</v>
      </c>
      <c r="B119" s="167" t="s">
        <v>1559</v>
      </c>
      <c r="C119" s="167"/>
      <c r="D119" s="203">
        <f>D84+D90+D95+D107+D117</f>
        <v>8129070069.6385441</v>
      </c>
      <c r="E119" s="179">
        <f t="shared" ref="E119:O119" si="20">(+D119-F119)/F119</f>
        <v>2.4531984720850355E-2</v>
      </c>
      <c r="F119" s="203">
        <f>F84+F90+F95+F107+F117</f>
        <v>7934422927.6096592</v>
      </c>
      <c r="G119" s="179">
        <f t="shared" si="20"/>
        <v>3.7896210355405732E-2</v>
      </c>
      <c r="H119" s="203">
        <f>H84+H90+H95+H107+H117</f>
        <v>7644717119.54</v>
      </c>
      <c r="I119" s="179">
        <f t="shared" si="20"/>
        <v>2.4022151314086481E-2</v>
      </c>
      <c r="J119" s="203">
        <f>J84+J90+J95+J107+J117</f>
        <v>7465382569.8299999</v>
      </c>
      <c r="K119" s="179">
        <f t="shared" si="20"/>
        <v>5.9222445755352359E-3</v>
      </c>
      <c r="L119" s="203">
        <f>L84+L90+L95+L107+L117</f>
        <v>7421431040.1099997</v>
      </c>
      <c r="M119" s="179">
        <f t="shared" si="20"/>
        <v>6.8833974799981407E-2</v>
      </c>
      <c r="N119" s="203">
        <f>N84+N90+N95+N107+N117</f>
        <v>6943483473.6599998</v>
      </c>
      <c r="O119" s="179">
        <f t="shared" si="20"/>
        <v>9.2457650463889374E-2</v>
      </c>
      <c r="P119" s="203">
        <f>P84+P90+P95+P107+P117</f>
        <v>6355837657.1499996</v>
      </c>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row>
    <row r="120" spans="1:46" s="166" customFormat="1" ht="15" customHeight="1" thickTop="1">
      <c r="A120" s="174"/>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row>
    <row r="121" spans="1:46" s="166" customFormat="1" ht="15" customHeight="1">
      <c r="A121" s="174"/>
      <c r="B121" s="167"/>
      <c r="C121" s="167"/>
      <c r="D121" s="167">
        <f>D59-D119</f>
        <v>-9.72747802734375E-5</v>
      </c>
      <c r="E121" s="167"/>
      <c r="F121" s="167">
        <f>F59-F119</f>
        <v>-5.2165985107421875E-4</v>
      </c>
      <c r="G121" s="167"/>
      <c r="H121" s="167">
        <f>H59-H119</f>
        <v>0</v>
      </c>
      <c r="I121" s="167"/>
      <c r="J121" s="167">
        <f>J59-J119</f>
        <v>0</v>
      </c>
      <c r="K121" s="167"/>
      <c r="L121" s="167">
        <f>L59-L119</f>
        <v>0</v>
      </c>
      <c r="M121" s="167"/>
      <c r="N121" s="167">
        <f>N59-N119</f>
        <v>0</v>
      </c>
      <c r="O121" s="167"/>
      <c r="P121" s="167">
        <f>P59-P119</f>
        <v>0</v>
      </c>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row>
    <row r="122" spans="1:46" s="166" customFormat="1" ht="15" customHeight="1">
      <c r="A122" s="174"/>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row>
    <row r="123" spans="1:46" s="166" customFormat="1" ht="15" customHeight="1">
      <c r="A123" s="174"/>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row>
    <row r="124" spans="1:46" s="166" customFormat="1" ht="15" customHeight="1">
      <c r="A124" s="174"/>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row>
    <row r="125" spans="1:46" s="166" customFormat="1" ht="15" customHeight="1">
      <c r="A125" s="174"/>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row>
    <row r="126" spans="1:46" s="166" customFormat="1" ht="15" customHeight="1">
      <c r="A126" s="174"/>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row>
    <row r="127" spans="1:46" s="166" customFormat="1" ht="15" customHeight="1">
      <c r="A127" s="174"/>
      <c r="B127" s="167"/>
      <c r="C127" s="167"/>
      <c r="D127" s="222"/>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row>
    <row r="128" spans="1:46" s="166" customFormat="1" ht="15" customHeight="1">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row>
    <row r="129" spans="1:46" ht="15" customHeight="1"/>
    <row r="130" spans="1:46" ht="15" customHeight="1"/>
    <row r="131" spans="1:46" ht="15" customHeight="1"/>
    <row r="132" spans="1:46" ht="15" customHeight="1"/>
    <row r="133" spans="1:46" ht="15" customHeight="1"/>
    <row r="134" spans="1:46" ht="15" customHeight="1"/>
    <row r="135" spans="1:46" ht="15" customHeight="1"/>
    <row r="136" spans="1:46" ht="15" customHeight="1"/>
    <row r="137" spans="1:46" ht="15" customHeight="1"/>
    <row r="138" spans="1:46" ht="15" customHeight="1"/>
    <row r="139" spans="1:46" ht="15" customHeight="1"/>
    <row r="140" spans="1:46" s="166" customFormat="1" ht="15" customHeight="1">
      <c r="A140" s="167"/>
      <c r="B140" s="167"/>
      <c r="C140" s="186"/>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row>
    <row r="141" spans="1:46" ht="15" customHeight="1"/>
    <row r="142" spans="1:46" ht="15" customHeight="1"/>
    <row r="143" spans="1:46" ht="15" customHeight="1"/>
    <row r="144" spans="1:46"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3" ht="15" customHeight="1"/>
    <row r="178" spans="1:13" ht="15" customHeight="1"/>
    <row r="179" spans="1:13" ht="15" customHeight="1"/>
    <row r="180" spans="1:13" ht="15" customHeight="1"/>
    <row r="181" spans="1:13" ht="15" customHeight="1"/>
    <row r="182" spans="1:13" ht="15" customHeight="1"/>
    <row r="183" spans="1:13" ht="15" customHeight="1"/>
    <row r="184" spans="1:13" ht="15" customHeight="1"/>
    <row r="185" spans="1:13" ht="15" customHeight="1"/>
    <row r="186" spans="1:13" ht="15" customHeight="1"/>
    <row r="187" spans="1:13" ht="15" customHeight="1"/>
    <row r="188" spans="1:13" ht="15" customHeight="1"/>
    <row r="189" spans="1:13" ht="15" customHeight="1">
      <c r="A189" s="779"/>
      <c r="B189" s="779"/>
      <c r="C189" s="779"/>
      <c r="D189" s="779"/>
      <c r="E189" s="779"/>
      <c r="F189" s="779"/>
      <c r="G189" s="779"/>
      <c r="H189" s="779"/>
      <c r="I189" s="779"/>
      <c r="J189" s="779"/>
      <c r="K189" s="779"/>
      <c r="L189" s="779"/>
      <c r="M189" s="779"/>
    </row>
    <row r="190" spans="1:13" ht="15" customHeight="1"/>
    <row r="191" spans="1:13" ht="15" customHeight="1"/>
    <row r="192" spans="1:13" ht="15" customHeight="1">
      <c r="A192" s="165"/>
      <c r="B192" s="165"/>
      <c r="C192" s="165"/>
      <c r="D192" s="165"/>
      <c r="E192" s="165"/>
      <c r="F192" s="165"/>
      <c r="G192" s="165"/>
      <c r="H192" s="165"/>
      <c r="I192" s="165"/>
      <c r="J192" s="165"/>
      <c r="K192" s="165"/>
      <c r="L192" s="165"/>
      <c r="M192" s="165"/>
    </row>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sheetData>
  <mergeCells count="3">
    <mergeCell ref="A189:M189"/>
    <mergeCell ref="B14:C14"/>
    <mergeCell ref="B75:C75"/>
  </mergeCells>
  <printOptions horizontalCentered="1"/>
  <pageMargins left="0.25" right="0.25" top="1" bottom="0.75" header="0.5" footer="0.5"/>
  <pageSetup scale="48" orientation="landscape" r:id="rId1"/>
  <headerFooter alignWithMargins="0"/>
  <rowBreaks count="1" manualBreakCount="1">
    <brk id="61"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48"/>
  <sheetViews>
    <sheetView zoomScale="85" zoomScaleNormal="85" workbookViewId="0">
      <selection activeCell="C22" sqref="C22"/>
    </sheetView>
  </sheetViews>
  <sheetFormatPr defaultColWidth="9" defaultRowHeight="12.75"/>
  <cols>
    <col min="1" max="1" width="34.21875" style="459" bestFit="1" customWidth="1"/>
    <col min="2" max="2" width="1.44140625" style="459" customWidth="1"/>
    <col min="3" max="3" width="50.21875" style="459" bestFit="1" customWidth="1"/>
    <col min="4" max="16384" width="9" style="65"/>
  </cols>
  <sheetData>
    <row r="1" spans="1:3" ht="15.75">
      <c r="A1" s="766" t="s">
        <v>0</v>
      </c>
      <c r="B1" s="766"/>
      <c r="C1" s="766"/>
    </row>
    <row r="2" spans="1:3" ht="15.75">
      <c r="A2" s="766" t="s">
        <v>120</v>
      </c>
      <c r="B2" s="766"/>
      <c r="C2" s="766"/>
    </row>
    <row r="3" spans="1:3" ht="15.75">
      <c r="A3" s="766" t="s">
        <v>2467</v>
      </c>
      <c r="B3" s="766"/>
      <c r="C3" s="766"/>
    </row>
    <row r="8" spans="1:3">
      <c r="A8" s="460" t="s">
        <v>121</v>
      </c>
    </row>
    <row r="9" spans="1:3">
      <c r="A9" s="459" t="s">
        <v>122</v>
      </c>
      <c r="C9" s="461" t="s">
        <v>0</v>
      </c>
    </row>
    <row r="10" spans="1:3">
      <c r="A10" s="459" t="s">
        <v>123</v>
      </c>
      <c r="C10" s="461" t="s">
        <v>3444</v>
      </c>
    </row>
    <row r="11" spans="1:3">
      <c r="A11" s="459" t="s">
        <v>124</v>
      </c>
      <c r="C11" s="461" t="s">
        <v>2455</v>
      </c>
    </row>
    <row r="12" spans="1:3">
      <c r="C12" s="461" t="s">
        <v>2456</v>
      </c>
    </row>
    <row r="13" spans="1:3">
      <c r="C13" s="461" t="s">
        <v>2457</v>
      </c>
    </row>
    <row r="14" spans="1:3">
      <c r="C14" s="461" t="s">
        <v>2458</v>
      </c>
    </row>
    <row r="15" spans="1:3">
      <c r="C15" s="461" t="s">
        <v>2459</v>
      </c>
    </row>
    <row r="16" spans="1:3">
      <c r="C16" s="461" t="s">
        <v>2460</v>
      </c>
    </row>
    <row r="17" spans="1:3">
      <c r="A17" s="459" t="s">
        <v>125</v>
      </c>
      <c r="C17" s="495" t="s">
        <v>2461</v>
      </c>
    </row>
    <row r="18" spans="1:3">
      <c r="C18" s="461" t="s">
        <v>2462</v>
      </c>
    </row>
    <row r="19" spans="1:3">
      <c r="C19" s="461" t="s">
        <v>2463</v>
      </c>
    </row>
    <row r="20" spans="1:3">
      <c r="C20" s="461" t="s">
        <v>2464</v>
      </c>
    </row>
    <row r="21" spans="1:3">
      <c r="C21" s="461" t="s">
        <v>2465</v>
      </c>
    </row>
    <row r="22" spans="1:3">
      <c r="C22" s="461" t="s">
        <v>2466</v>
      </c>
    </row>
    <row r="24" spans="1:3">
      <c r="C24" s="462"/>
    </row>
    <row r="25" spans="1:3">
      <c r="C25" s="462"/>
    </row>
    <row r="26" spans="1:3">
      <c r="C26" s="462"/>
    </row>
    <row r="28" spans="1:3">
      <c r="A28" s="460" t="s">
        <v>126</v>
      </c>
      <c r="C28" s="463"/>
    </row>
    <row r="29" spans="1:3">
      <c r="A29" s="459" t="s">
        <v>127</v>
      </c>
      <c r="C29" s="459" t="s">
        <v>165</v>
      </c>
    </row>
    <row r="30" spans="1:3">
      <c r="A30" s="459" t="s">
        <v>128</v>
      </c>
      <c r="C30" s="459" t="s">
        <v>166</v>
      </c>
    </row>
    <row r="31" spans="1:3">
      <c r="A31" s="459" t="s">
        <v>129</v>
      </c>
      <c r="C31" s="459" t="s">
        <v>167</v>
      </c>
    </row>
    <row r="35" spans="1:4">
      <c r="A35" s="460" t="s">
        <v>130</v>
      </c>
    </row>
    <row r="36" spans="1:4">
      <c r="A36" s="459" t="s">
        <v>2228</v>
      </c>
      <c r="C36" s="459" t="str">
        <f>CONCATENATE($A$35,"   ", A36)</f>
        <v>WITNESS:   C. M. GARRETT</v>
      </c>
    </row>
    <row r="37" spans="1:4">
      <c r="A37" s="459" t="s">
        <v>2228</v>
      </c>
      <c r="C37" s="459" t="str">
        <f t="shared" ref="C37:C48" si="0">CONCATENATE($A$35,"   ", A37)</f>
        <v>WITNESS:   C. M. GARRETT</v>
      </c>
      <c r="D37" s="65" t="s">
        <v>1839</v>
      </c>
    </row>
    <row r="38" spans="1:4">
      <c r="A38" s="459" t="s">
        <v>2228</v>
      </c>
      <c r="C38" s="459" t="str">
        <f t="shared" si="0"/>
        <v>WITNESS:   C. M. GARRETT</v>
      </c>
      <c r="D38" s="65" t="s">
        <v>2454</v>
      </c>
    </row>
    <row r="39" spans="1:4">
      <c r="C39" s="459" t="str">
        <f t="shared" si="0"/>
        <v xml:space="preserve">WITNESS:   </v>
      </c>
    </row>
    <row r="40" spans="1:4">
      <c r="C40" s="459" t="str">
        <f t="shared" si="0"/>
        <v xml:space="preserve">WITNESS:   </v>
      </c>
    </row>
    <row r="41" spans="1:4">
      <c r="C41" s="459" t="str">
        <f t="shared" si="0"/>
        <v xml:space="preserve">WITNESS:   </v>
      </c>
    </row>
    <row r="42" spans="1:4">
      <c r="C42" s="459" t="str">
        <f t="shared" si="0"/>
        <v xml:space="preserve">WITNESS:   </v>
      </c>
    </row>
    <row r="43" spans="1:4">
      <c r="C43" s="459" t="str">
        <f t="shared" si="0"/>
        <v xml:space="preserve">WITNESS:   </v>
      </c>
    </row>
    <row r="44" spans="1:4">
      <c r="C44" s="459" t="str">
        <f t="shared" si="0"/>
        <v xml:space="preserve">WITNESS:   </v>
      </c>
    </row>
    <row r="45" spans="1:4">
      <c r="C45" s="459" t="str">
        <f t="shared" si="0"/>
        <v xml:space="preserve">WITNESS:   </v>
      </c>
    </row>
    <row r="46" spans="1:4">
      <c r="C46" s="459" t="str">
        <f t="shared" si="0"/>
        <v xml:space="preserve">WITNESS:   </v>
      </c>
    </row>
    <row r="47" spans="1:4">
      <c r="C47" s="459" t="str">
        <f t="shared" si="0"/>
        <v xml:space="preserve">WITNESS:   </v>
      </c>
    </row>
    <row r="48" spans="1:4">
      <c r="C48" s="459" t="str">
        <f t="shared" si="0"/>
        <v xml:space="preserve">WITNESS:   </v>
      </c>
    </row>
  </sheetData>
  <mergeCells count="3">
    <mergeCell ref="A1:C1"/>
    <mergeCell ref="A2:C2"/>
    <mergeCell ref="A3:C3"/>
  </mergeCells>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192"/>
  <sheetViews>
    <sheetView showRuler="0" zoomScale="70" zoomScaleNormal="70" workbookViewId="0"/>
  </sheetViews>
  <sheetFormatPr defaultColWidth="9" defaultRowHeight="12.75"/>
  <cols>
    <col min="1" max="1" width="5.33203125" style="167" customWidth="1"/>
    <col min="2" max="2" width="17.44140625" style="167" customWidth="1"/>
    <col min="3" max="3" width="24.77734375" style="167" customWidth="1"/>
    <col min="4" max="4" width="16.21875" style="167" customWidth="1"/>
    <col min="5" max="5" width="11.6640625" style="167" customWidth="1"/>
    <col min="6" max="6" width="14.77734375" style="167" customWidth="1"/>
    <col min="7" max="7" width="11.6640625" style="167" customWidth="1"/>
    <col min="8" max="8" width="15.6640625" style="167" customWidth="1"/>
    <col min="9" max="9" width="11.6640625" style="167" customWidth="1"/>
    <col min="10" max="10" width="15.6640625" style="167" customWidth="1"/>
    <col min="11" max="11" width="11.6640625" style="167" customWidth="1"/>
    <col min="12" max="12" width="15.6640625" style="167" customWidth="1"/>
    <col min="13" max="13" width="11.6640625" style="167" customWidth="1"/>
    <col min="14" max="14" width="14.77734375" style="167" customWidth="1"/>
    <col min="15" max="15" width="11.6640625" style="167" customWidth="1"/>
    <col min="16" max="16" width="15.6640625" style="167" customWidth="1"/>
    <col min="17" max="17" width="13.21875" style="167" customWidth="1"/>
    <col min="18" max="18" width="13.33203125" style="167" customWidth="1"/>
    <col min="19" max="19" width="13.44140625" style="167" customWidth="1"/>
    <col min="20" max="20" width="13" style="167" customWidth="1"/>
    <col min="21" max="21" width="12.33203125" style="167" customWidth="1"/>
    <col min="22" max="22" width="11.88671875" style="167" customWidth="1"/>
    <col min="23" max="23" width="12.44140625" style="167" customWidth="1"/>
    <col min="24" max="24" width="11.88671875" style="167" customWidth="1"/>
    <col min="25" max="25" width="9" style="167"/>
    <col min="26" max="26" width="16.77734375" style="167" bestFit="1" customWidth="1"/>
    <col min="27" max="27" width="17.109375" style="167" bestFit="1" customWidth="1"/>
    <col min="28" max="16384" width="9" style="167"/>
  </cols>
  <sheetData>
    <row r="1" spans="1:46" s="166" customFormat="1" ht="15" customHeight="1">
      <c r="A1" s="165" t="str">
        <f>'Rate Case Constants'!C9</f>
        <v>KENTUCKY UTILITIES COMPANY</v>
      </c>
      <c r="B1" s="165"/>
      <c r="C1" s="165"/>
      <c r="D1" s="165"/>
      <c r="E1" s="165"/>
      <c r="F1" s="165"/>
      <c r="G1" s="165"/>
      <c r="H1" s="165"/>
      <c r="I1" s="165"/>
      <c r="J1" s="165"/>
      <c r="K1" s="165"/>
      <c r="L1" s="165"/>
      <c r="M1" s="165"/>
      <c r="N1" s="165"/>
      <c r="O1" s="165"/>
      <c r="P1" s="165"/>
    </row>
    <row r="2" spans="1:46" s="166" customFormat="1" ht="15" customHeight="1">
      <c r="A2" s="165" t="str">
        <f>'Rate Case Constants'!C10</f>
        <v>CASE NO. 2018-00294 - RESPONSE TO PSC 2-65 (SLIPPAGE FACTOR 96.027%)</v>
      </c>
      <c r="B2" s="165"/>
      <c r="C2" s="165"/>
      <c r="D2" s="165"/>
      <c r="E2" s="165"/>
      <c r="F2" s="165"/>
      <c r="G2" s="165"/>
      <c r="H2" s="165"/>
      <c r="I2" s="165"/>
      <c r="J2" s="165"/>
      <c r="K2" s="165"/>
      <c r="L2" s="165"/>
      <c r="M2" s="165"/>
      <c r="N2" s="165"/>
      <c r="O2" s="165"/>
      <c r="P2" s="165"/>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row>
    <row r="3" spans="1:46" s="166" customFormat="1" ht="15" customHeight="1">
      <c r="A3" s="165" t="s">
        <v>2096</v>
      </c>
      <c r="B3" s="165"/>
      <c r="C3" s="165"/>
      <c r="D3" s="165"/>
      <c r="E3" s="165"/>
      <c r="F3" s="165"/>
      <c r="G3" s="165"/>
      <c r="H3" s="165"/>
      <c r="I3" s="165"/>
      <c r="J3" s="165"/>
      <c r="K3" s="165"/>
      <c r="L3" s="165"/>
      <c r="M3" s="165"/>
      <c r="N3" s="165"/>
      <c r="O3" s="165"/>
      <c r="P3" s="165"/>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row>
    <row r="4" spans="1:46" s="166" customFormat="1" ht="15" customHeight="1">
      <c r="A4" s="168" t="s">
        <v>2673</v>
      </c>
      <c r="B4" s="165"/>
      <c r="C4" s="165"/>
      <c r="D4" s="165"/>
      <c r="E4" s="165"/>
      <c r="F4" s="165"/>
      <c r="G4" s="165"/>
      <c r="H4" s="165"/>
      <c r="I4" s="165"/>
      <c r="J4" s="165"/>
      <c r="K4" s="165"/>
      <c r="L4" s="165"/>
      <c r="M4" s="165"/>
      <c r="N4" s="165"/>
      <c r="O4" s="165"/>
      <c r="P4" s="165"/>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row>
    <row r="5" spans="1:46" s="170" customFormat="1">
      <c r="B5" s="171"/>
      <c r="D5" s="172"/>
      <c r="E5" s="172"/>
      <c r="F5" s="172"/>
      <c r="G5" s="172"/>
      <c r="H5" s="172"/>
      <c r="I5" s="172"/>
      <c r="J5" s="172"/>
      <c r="K5" s="172"/>
      <c r="L5" s="172"/>
    </row>
    <row r="6" spans="1:46" s="166" customFormat="1" ht="15" customHeight="1">
      <c r="A6" s="67" t="s">
        <v>174</v>
      </c>
      <c r="B6" s="167"/>
      <c r="C6" s="167"/>
      <c r="D6" s="167"/>
      <c r="E6" s="167"/>
      <c r="F6" s="167"/>
      <c r="G6" s="167"/>
      <c r="H6" s="167"/>
      <c r="I6" s="167"/>
      <c r="J6" s="167"/>
      <c r="K6" s="167"/>
      <c r="L6" s="167"/>
      <c r="M6" s="167"/>
      <c r="N6" s="167"/>
      <c r="O6" s="167"/>
      <c r="P6" s="169" t="s">
        <v>1461</v>
      </c>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row>
    <row r="7" spans="1:46" s="166" customFormat="1" ht="15" customHeight="1">
      <c r="A7" s="167" t="str">
        <f>'Rate Case Constants'!C29</f>
        <v>TYPE OF FILING: __X__ ORIGINAL  _____ UPDATED  _____ REVISED</v>
      </c>
      <c r="B7" s="167"/>
      <c r="C7" s="167"/>
      <c r="D7" s="167"/>
      <c r="E7" s="167"/>
      <c r="F7" s="167"/>
      <c r="G7" s="167"/>
      <c r="H7" s="167"/>
      <c r="I7" s="167"/>
      <c r="J7" s="167"/>
      <c r="K7" s="167"/>
      <c r="L7" s="167"/>
      <c r="M7" s="167"/>
      <c r="N7" s="167"/>
      <c r="O7" s="167"/>
      <c r="P7" s="169" t="s">
        <v>2064</v>
      </c>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row>
    <row r="8" spans="1:46" s="166" customFormat="1" ht="15" customHeight="1">
      <c r="A8" s="167" t="s">
        <v>1457</v>
      </c>
      <c r="B8" s="167"/>
      <c r="C8" s="167"/>
      <c r="D8" s="167"/>
      <c r="E8" s="167"/>
      <c r="F8" s="167"/>
      <c r="G8" s="167"/>
      <c r="H8" s="167"/>
      <c r="I8" s="167"/>
      <c r="J8" s="167"/>
      <c r="K8" s="167"/>
      <c r="L8" s="167"/>
      <c r="M8" s="167"/>
      <c r="N8" s="167"/>
      <c r="O8" s="167"/>
      <c r="P8" s="169" t="str">
        <f>'Rate Case Constants'!C36</f>
        <v>WITNESS:   C. M. GARRETT</v>
      </c>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row>
    <row r="9" spans="1:46" ht="15" customHeight="1" thickBot="1"/>
    <row r="10" spans="1:46" s="166" customFormat="1" ht="15" customHeight="1">
      <c r="A10" s="173"/>
      <c r="B10" s="173"/>
      <c r="C10" s="173"/>
      <c r="D10" s="176" t="s">
        <v>1480</v>
      </c>
      <c r="E10" s="173"/>
      <c r="F10" s="173"/>
      <c r="G10" s="173"/>
      <c r="H10" s="173"/>
      <c r="I10" s="173"/>
      <c r="J10" s="173"/>
      <c r="K10" s="173"/>
      <c r="L10" s="173"/>
      <c r="M10" s="173"/>
      <c r="N10" s="173"/>
      <c r="O10" s="173"/>
      <c r="P10" s="173"/>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row>
    <row r="11" spans="1:46" s="166" customFormat="1" ht="15" customHeight="1">
      <c r="A11" s="364" t="s">
        <v>1466</v>
      </c>
      <c r="B11" s="167"/>
      <c r="C11" s="167"/>
      <c r="D11" s="639" t="s">
        <v>1462</v>
      </c>
      <c r="E11" s="167"/>
      <c r="F11" s="639" t="s">
        <v>1465</v>
      </c>
      <c r="G11" s="167"/>
      <c r="H11" s="167"/>
      <c r="I11" s="167"/>
      <c r="J11" s="167"/>
      <c r="K11" s="167"/>
      <c r="L11" s="167"/>
      <c r="M11" s="167"/>
      <c r="N11" s="167"/>
      <c r="O11" s="167"/>
      <c r="P11" s="175"/>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row>
    <row r="12" spans="1:46" s="166" customFormat="1" ht="15" customHeight="1" thickBot="1">
      <c r="A12" s="364" t="s">
        <v>1467</v>
      </c>
      <c r="B12" s="364" t="s">
        <v>205</v>
      </c>
      <c r="C12" s="167"/>
      <c r="D12" s="639" t="s">
        <v>1463</v>
      </c>
      <c r="E12" s="639" t="s">
        <v>1464</v>
      </c>
      <c r="F12" s="639" t="s">
        <v>1463</v>
      </c>
      <c r="G12" s="364" t="s">
        <v>1464</v>
      </c>
      <c r="H12" s="175">
        <v>2017</v>
      </c>
      <c r="I12" s="364" t="s">
        <v>1464</v>
      </c>
      <c r="J12" s="175">
        <v>2016</v>
      </c>
      <c r="K12" s="364" t="s">
        <v>1464</v>
      </c>
      <c r="L12" s="175">
        <v>2015</v>
      </c>
      <c r="M12" s="364" t="s">
        <v>1464</v>
      </c>
      <c r="N12" s="175">
        <v>2014</v>
      </c>
      <c r="O12" s="364" t="s">
        <v>1464</v>
      </c>
      <c r="P12" s="175">
        <v>2013</v>
      </c>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row>
    <row r="13" spans="1:46" s="166" customFormat="1" ht="15" customHeight="1">
      <c r="A13" s="176"/>
      <c r="B13" s="177"/>
      <c r="C13" s="177"/>
      <c r="D13" s="177"/>
      <c r="E13" s="177"/>
      <c r="F13" s="177"/>
      <c r="G13" s="177"/>
      <c r="H13" s="177"/>
      <c r="I13" s="177"/>
      <c r="J13" s="177"/>
      <c r="K13" s="177"/>
      <c r="L13" s="177"/>
      <c r="M13" s="177"/>
      <c r="N13" s="177"/>
      <c r="O13" s="177"/>
      <c r="P13" s="17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row>
    <row r="14" spans="1:46" s="166" customFormat="1" ht="15" customHeight="1">
      <c r="A14" s="364">
        <v>1</v>
      </c>
      <c r="B14" s="780" t="s">
        <v>1499</v>
      </c>
      <c r="C14" s="780"/>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row>
    <row r="15" spans="1:46" s="166" customFormat="1" ht="15" customHeight="1">
      <c r="A15" s="364"/>
      <c r="B15" s="365"/>
      <c r="C15" s="365"/>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row>
    <row r="16" spans="1:46" s="166" customFormat="1" ht="15" customHeight="1">
      <c r="A16" s="364">
        <f>A14+1</f>
        <v>2</v>
      </c>
      <c r="B16" s="178" t="s">
        <v>1443</v>
      </c>
      <c r="C16" s="167"/>
      <c r="D16" s="191"/>
      <c r="E16" s="192"/>
      <c r="F16" s="191"/>
      <c r="G16" s="192"/>
      <c r="H16" s="191"/>
      <c r="I16" s="192"/>
      <c r="J16" s="191"/>
      <c r="K16" s="192"/>
      <c r="L16" s="191"/>
      <c r="M16" s="192"/>
      <c r="N16" s="191"/>
      <c r="O16" s="192"/>
      <c r="P16" s="191"/>
      <c r="Q16" s="180"/>
      <c r="R16" s="167" t="s">
        <v>1462</v>
      </c>
      <c r="S16" s="167" t="s">
        <v>1465</v>
      </c>
      <c r="T16" s="464" t="s">
        <v>2668</v>
      </c>
      <c r="U16" s="464" t="s">
        <v>2667</v>
      </c>
      <c r="V16" s="464" t="s">
        <v>2259</v>
      </c>
      <c r="W16" s="464" t="s">
        <v>2260</v>
      </c>
      <c r="X16" s="167" t="s">
        <v>2098</v>
      </c>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row>
    <row r="17" spans="1:46" s="166" customFormat="1" ht="15" customHeight="1">
      <c r="A17" s="364">
        <f t="shared" ref="A17:A21" si="0">A16+1</f>
        <v>3</v>
      </c>
      <c r="B17" s="167" t="s">
        <v>1458</v>
      </c>
      <c r="C17" s="167"/>
      <c r="D17" s="204">
        <f>R17</f>
        <v>9425469471</v>
      </c>
      <c r="E17" s="179">
        <f t="shared" ref="E17:O21" si="1">(+D17-F17)/F17</f>
        <v>8.2231160780801033E-2</v>
      </c>
      <c r="F17" s="204">
        <f>S17</f>
        <v>8709294107</v>
      </c>
      <c r="G17" s="179">
        <f t="shared" si="1"/>
        <v>5.6971060895551234E-2</v>
      </c>
      <c r="H17" s="204">
        <f>T17</f>
        <v>8239860512</v>
      </c>
      <c r="I17" s="179">
        <f t="shared" si="1"/>
        <v>2.148132107415112E-2</v>
      </c>
      <c r="J17" s="204">
        <f>U17</f>
        <v>8066579723</v>
      </c>
      <c r="K17" s="179">
        <f t="shared" si="1"/>
        <v>3.2891312237256887E-2</v>
      </c>
      <c r="L17" s="204">
        <f>V17</f>
        <v>7809708173</v>
      </c>
      <c r="M17" s="179">
        <f t="shared" si="1"/>
        <v>0.13065338915573552</v>
      </c>
      <c r="N17" s="204">
        <f>W17</f>
        <v>6907252256</v>
      </c>
      <c r="O17" s="179">
        <f t="shared" si="1"/>
        <v>0.13059533342384314</v>
      </c>
      <c r="P17" s="204">
        <f>X17</f>
        <v>6109393920</v>
      </c>
      <c r="Q17" s="181"/>
      <c r="R17" s="167">
        <v>9425469471</v>
      </c>
      <c r="S17" s="167">
        <v>8709294107</v>
      </c>
      <c r="T17" s="167">
        <v>8239860512</v>
      </c>
      <c r="U17" s="167">
        <v>8066579723</v>
      </c>
      <c r="V17" s="167">
        <v>7809708173</v>
      </c>
      <c r="W17" s="167">
        <v>6907252256</v>
      </c>
      <c r="X17" s="167">
        <v>6109393920</v>
      </c>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row>
    <row r="18" spans="1:46" s="166" customFormat="1" ht="15" customHeight="1">
      <c r="A18" s="364">
        <f t="shared" si="0"/>
        <v>4</v>
      </c>
      <c r="B18" s="167" t="s">
        <v>1182</v>
      </c>
      <c r="C18" s="167"/>
      <c r="D18" s="205">
        <f>R18</f>
        <v>222778375</v>
      </c>
      <c r="E18" s="179">
        <f t="shared" si="1"/>
        <v>-0.21493498519716309</v>
      </c>
      <c r="F18" s="205">
        <f>S18</f>
        <v>283770606</v>
      </c>
      <c r="G18" s="179">
        <f t="shared" si="1"/>
        <v>-2.4735821665464123E-2</v>
      </c>
      <c r="H18" s="205">
        <f>T18</f>
        <v>290967937</v>
      </c>
      <c r="I18" s="179">
        <f t="shared" si="1"/>
        <v>0.81296843956406573</v>
      </c>
      <c r="J18" s="205">
        <f>U18</f>
        <v>160492555</v>
      </c>
      <c r="K18" s="179">
        <f t="shared" si="1"/>
        <v>-0.32982766276372483</v>
      </c>
      <c r="L18" s="205">
        <f>V18</f>
        <v>239479528</v>
      </c>
      <c r="M18" s="179">
        <f t="shared" si="1"/>
        <v>-0.69052900334414513</v>
      </c>
      <c r="N18" s="205">
        <f>W18</f>
        <v>773835127</v>
      </c>
      <c r="O18" s="179">
        <f t="shared" si="1"/>
        <v>-0.22110358148449008</v>
      </c>
      <c r="P18" s="205">
        <f>X18</f>
        <v>993501971</v>
      </c>
      <c r="Q18" s="181"/>
      <c r="R18" s="167">
        <v>222778375</v>
      </c>
      <c r="S18" s="167">
        <v>283770606</v>
      </c>
      <c r="T18" s="167">
        <v>290967937</v>
      </c>
      <c r="U18" s="167">
        <v>160492555</v>
      </c>
      <c r="V18" s="167">
        <v>239479528</v>
      </c>
      <c r="W18" s="167">
        <v>773835127</v>
      </c>
      <c r="X18" s="167">
        <v>993501971</v>
      </c>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row>
    <row r="19" spans="1:46" s="166" customFormat="1" ht="15" customHeight="1">
      <c r="A19" s="364">
        <f t="shared" si="0"/>
        <v>5</v>
      </c>
      <c r="B19" s="167" t="s">
        <v>1500</v>
      </c>
      <c r="C19" s="167"/>
      <c r="D19" s="196">
        <f>D17+D18</f>
        <v>9648247846</v>
      </c>
      <c r="E19" s="179">
        <f t="shared" si="1"/>
        <v>7.2854266471906348E-2</v>
      </c>
      <c r="F19" s="196">
        <f>F17+F18</f>
        <v>8993064713</v>
      </c>
      <c r="G19" s="179">
        <f t="shared" si="1"/>
        <v>5.4184217484080838E-2</v>
      </c>
      <c r="H19" s="196">
        <f>H17+H18</f>
        <v>8530828449</v>
      </c>
      <c r="I19" s="179">
        <f t="shared" si="1"/>
        <v>3.6921539125440023E-2</v>
      </c>
      <c r="J19" s="196">
        <f>J17+J18</f>
        <v>8227072278</v>
      </c>
      <c r="K19" s="179">
        <f t="shared" si="1"/>
        <v>2.20996929886354E-2</v>
      </c>
      <c r="L19" s="196">
        <f>L17+L18</f>
        <v>8049187701</v>
      </c>
      <c r="M19" s="179">
        <f t="shared" si="1"/>
        <v>4.7922943672622453E-2</v>
      </c>
      <c r="N19" s="196">
        <f>N17+N18</f>
        <v>7681087383</v>
      </c>
      <c r="O19" s="179">
        <f t="shared" si="1"/>
        <v>8.1402219724580227E-2</v>
      </c>
      <c r="P19" s="196">
        <f>P17+P18</f>
        <v>7102895891</v>
      </c>
      <c r="Q19" s="181"/>
      <c r="R19" s="167">
        <v>9648247846</v>
      </c>
      <c r="S19" s="167">
        <v>8993064713</v>
      </c>
      <c r="T19" s="167">
        <v>8530828449</v>
      </c>
      <c r="U19" s="167">
        <v>8227072278</v>
      </c>
      <c r="V19" s="167">
        <v>8049187701</v>
      </c>
      <c r="W19" s="167">
        <v>7681087383</v>
      </c>
      <c r="X19" s="167">
        <v>7102895891</v>
      </c>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row>
    <row r="20" spans="1:46" s="166" customFormat="1" ht="15" customHeight="1">
      <c r="A20" s="364">
        <f t="shared" si="0"/>
        <v>6</v>
      </c>
      <c r="B20" s="167" t="s">
        <v>1501</v>
      </c>
      <c r="C20" s="167"/>
      <c r="D20" s="201">
        <f>R20</f>
        <v>3249389114</v>
      </c>
      <c r="E20" s="179">
        <f t="shared" si="1"/>
        <v>6.3640854731888297E-2</v>
      </c>
      <c r="F20" s="201">
        <f>S20</f>
        <v>3054968319</v>
      </c>
      <c r="G20" s="179">
        <f t="shared" si="1"/>
        <v>6.8223112227938518E-2</v>
      </c>
      <c r="H20" s="201">
        <f>T20</f>
        <v>2859859784</v>
      </c>
      <c r="I20" s="179">
        <f t="shared" si="1"/>
        <v>6.1085517941219351E-2</v>
      </c>
      <c r="J20" s="201">
        <f>U20</f>
        <v>2695220824</v>
      </c>
      <c r="K20" s="179">
        <f t="shared" si="1"/>
        <v>7.149242325442437E-2</v>
      </c>
      <c r="L20" s="201">
        <f>V20</f>
        <v>2515389531</v>
      </c>
      <c r="M20" s="179">
        <f t="shared" si="1"/>
        <v>1.7997400857353095E-2</v>
      </c>
      <c r="N20" s="201">
        <f>W20</f>
        <v>2470919404</v>
      </c>
      <c r="O20" s="179">
        <f t="shared" si="1"/>
        <v>7.2344495094606456E-2</v>
      </c>
      <c r="P20" s="201">
        <f>X20</f>
        <v>2304221652</v>
      </c>
      <c r="Q20" s="167"/>
      <c r="R20" s="167">
        <v>3249389114</v>
      </c>
      <c r="S20" s="167">
        <v>3054968319</v>
      </c>
      <c r="T20" s="167">
        <v>2859859784</v>
      </c>
      <c r="U20" s="167">
        <v>2695220824</v>
      </c>
      <c r="V20" s="167">
        <v>2515389531</v>
      </c>
      <c r="W20" s="167">
        <v>2470919404</v>
      </c>
      <c r="X20" s="167">
        <v>2304221652</v>
      </c>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row>
    <row r="21" spans="1:46" s="166" customFormat="1" ht="15" customHeight="1">
      <c r="A21" s="364">
        <f t="shared" si="0"/>
        <v>7</v>
      </c>
      <c r="B21" s="167" t="s">
        <v>1502</v>
      </c>
      <c r="C21" s="167"/>
      <c r="D21" s="197">
        <f>D19-D20</f>
        <v>6398858732</v>
      </c>
      <c r="E21" s="179">
        <f t="shared" si="1"/>
        <v>7.7594283997404576E-2</v>
      </c>
      <c r="F21" s="197">
        <f>F19-F20</f>
        <v>5938096394</v>
      </c>
      <c r="G21" s="179">
        <f t="shared" si="1"/>
        <v>4.7104426911870445E-2</v>
      </c>
      <c r="H21" s="197">
        <f>H19-H20</f>
        <v>5670968665</v>
      </c>
      <c r="I21" s="179">
        <f t="shared" si="1"/>
        <v>2.514839961933656E-2</v>
      </c>
      <c r="J21" s="197">
        <f>J19-J20</f>
        <v>5531851454</v>
      </c>
      <c r="K21" s="179">
        <f t="shared" si="1"/>
        <v>-3.5178659217345473E-4</v>
      </c>
      <c r="L21" s="197">
        <f>L19-L20</f>
        <v>5533798170</v>
      </c>
      <c r="M21" s="179">
        <f t="shared" si="1"/>
        <v>6.2115116499970334E-2</v>
      </c>
      <c r="N21" s="197">
        <f>N19-N20</f>
        <v>5210167979</v>
      </c>
      <c r="O21" s="179">
        <f t="shared" si="1"/>
        <v>8.5751547095172589E-2</v>
      </c>
      <c r="P21" s="197">
        <f>P19-P20</f>
        <v>4798674239</v>
      </c>
      <c r="Q21" s="167"/>
      <c r="R21" s="167">
        <v>6398858732</v>
      </c>
      <c r="S21" s="167">
        <v>5938096394</v>
      </c>
      <c r="T21" s="167">
        <v>5670968665</v>
      </c>
      <c r="U21" s="167">
        <v>5531851454</v>
      </c>
      <c r="V21" s="167">
        <v>5533798170</v>
      </c>
      <c r="W21" s="167">
        <v>5210167979</v>
      </c>
      <c r="X21" s="167">
        <v>4798674239</v>
      </c>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row>
    <row r="22" spans="1:46" s="166" customFormat="1" ht="15" customHeight="1">
      <c r="A22" s="364"/>
      <c r="B22" s="167"/>
      <c r="C22" s="167"/>
      <c r="D22" s="198"/>
      <c r="E22" s="194"/>
      <c r="F22" s="198"/>
      <c r="G22" s="194"/>
      <c r="H22" s="198"/>
      <c r="I22" s="194"/>
      <c r="J22" s="185"/>
      <c r="K22" s="194"/>
      <c r="L22" s="185"/>
      <c r="M22" s="194"/>
      <c r="N22" s="185"/>
      <c r="O22" s="194"/>
      <c r="P22" s="185"/>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row>
    <row r="23" spans="1:46" s="166" customFormat="1" ht="15" customHeight="1">
      <c r="A23" s="364">
        <f>A21+1</f>
        <v>8</v>
      </c>
      <c r="B23" s="178" t="s">
        <v>1503</v>
      </c>
      <c r="C23" s="167"/>
      <c r="D23" s="199"/>
      <c r="E23" s="194"/>
      <c r="F23" s="199"/>
      <c r="G23" s="194"/>
      <c r="H23" s="199"/>
      <c r="I23" s="194"/>
      <c r="J23" s="193"/>
      <c r="K23" s="194"/>
      <c r="L23" s="193"/>
      <c r="M23" s="194"/>
      <c r="N23" s="193"/>
      <c r="O23" s="194"/>
      <c r="P23" s="193"/>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row>
    <row r="24" spans="1:46" s="166" customFormat="1" ht="15" customHeight="1">
      <c r="A24" s="364">
        <f t="shared" ref="A24:A28" si="2">A23+1</f>
        <v>9</v>
      </c>
      <c r="B24" s="167" t="s">
        <v>1504</v>
      </c>
      <c r="C24" s="167"/>
      <c r="D24" s="204">
        <f>R24</f>
        <v>0</v>
      </c>
      <c r="E24" s="179">
        <v>0</v>
      </c>
      <c r="F24" s="204">
        <f>S24</f>
        <v>0</v>
      </c>
      <c r="G24" s="179">
        <v>0</v>
      </c>
      <c r="H24" s="204">
        <f t="shared" ref="H24:H27" si="3">T24</f>
        <v>0</v>
      </c>
      <c r="I24" s="179">
        <v>0</v>
      </c>
      <c r="J24" s="204">
        <f t="shared" ref="J24:J27" si="4">U24</f>
        <v>0</v>
      </c>
      <c r="K24" s="179">
        <v>0</v>
      </c>
      <c r="L24" s="204">
        <f t="shared" ref="L24:L27" si="5">V24</f>
        <v>0</v>
      </c>
      <c r="M24" s="179">
        <v>0</v>
      </c>
      <c r="N24" s="204">
        <f t="shared" ref="N24:N27" si="6">W24</f>
        <v>0</v>
      </c>
      <c r="O24" s="179">
        <v>0</v>
      </c>
      <c r="P24" s="204">
        <f t="shared" ref="P24:P27" si="7">X24</f>
        <v>0</v>
      </c>
      <c r="Q24" s="181"/>
      <c r="R24" s="167">
        <v>0</v>
      </c>
      <c r="S24" s="167">
        <v>0</v>
      </c>
      <c r="T24" s="167">
        <v>0</v>
      </c>
      <c r="U24" s="167">
        <v>0</v>
      </c>
      <c r="V24" s="167">
        <v>0</v>
      </c>
      <c r="W24" s="167">
        <v>0</v>
      </c>
      <c r="X24" s="167">
        <v>0</v>
      </c>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row>
    <row r="25" spans="1:46" s="166" customFormat="1" ht="15" customHeight="1">
      <c r="A25" s="364">
        <f t="shared" si="2"/>
        <v>10</v>
      </c>
      <c r="B25" s="167" t="s">
        <v>1505</v>
      </c>
      <c r="C25" s="167"/>
      <c r="D25" s="201">
        <f>R25</f>
        <v>0</v>
      </c>
      <c r="E25" s="179">
        <v>0</v>
      </c>
      <c r="F25" s="201">
        <f>S25</f>
        <v>0</v>
      </c>
      <c r="G25" s="179">
        <v>0</v>
      </c>
      <c r="H25" s="201">
        <f t="shared" si="3"/>
        <v>0</v>
      </c>
      <c r="I25" s="179">
        <v>0</v>
      </c>
      <c r="J25" s="201">
        <f t="shared" si="4"/>
        <v>0</v>
      </c>
      <c r="K25" s="179">
        <v>0</v>
      </c>
      <c r="L25" s="201">
        <f t="shared" si="5"/>
        <v>0</v>
      </c>
      <c r="M25" s="179">
        <v>0</v>
      </c>
      <c r="N25" s="201">
        <f t="shared" si="6"/>
        <v>0</v>
      </c>
      <c r="O25" s="179">
        <v>0</v>
      </c>
      <c r="P25" s="201">
        <f t="shared" si="7"/>
        <v>0</v>
      </c>
      <c r="Q25" s="181"/>
      <c r="R25" s="167">
        <v>0</v>
      </c>
      <c r="S25" s="167">
        <v>0</v>
      </c>
      <c r="T25" s="167">
        <v>0</v>
      </c>
      <c r="U25" s="167">
        <v>0</v>
      </c>
      <c r="V25" s="167">
        <v>0</v>
      </c>
      <c r="W25" s="167">
        <v>0</v>
      </c>
      <c r="X25" s="167">
        <v>0</v>
      </c>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row>
    <row r="26" spans="1:46" s="166" customFormat="1" ht="15" customHeight="1">
      <c r="A26" s="364">
        <f t="shared" si="2"/>
        <v>11</v>
      </c>
      <c r="B26" s="167" t="s">
        <v>1506</v>
      </c>
      <c r="C26" s="167"/>
      <c r="D26" s="201">
        <f>R26</f>
        <v>0</v>
      </c>
      <c r="E26" s="179">
        <v>0</v>
      </c>
      <c r="F26" s="201">
        <f>S26</f>
        <v>0</v>
      </c>
      <c r="G26" s="179">
        <v>0</v>
      </c>
      <c r="H26" s="201">
        <f t="shared" si="3"/>
        <v>0</v>
      </c>
      <c r="I26" s="179">
        <v>0</v>
      </c>
      <c r="J26" s="201">
        <f t="shared" si="4"/>
        <v>0</v>
      </c>
      <c r="K26" s="179">
        <v>0</v>
      </c>
      <c r="L26" s="201">
        <f t="shared" si="5"/>
        <v>0</v>
      </c>
      <c r="M26" s="179">
        <v>0</v>
      </c>
      <c r="N26" s="201">
        <f t="shared" si="6"/>
        <v>0</v>
      </c>
      <c r="O26" s="179">
        <v>0</v>
      </c>
      <c r="P26" s="201">
        <f t="shared" si="7"/>
        <v>0</v>
      </c>
      <c r="Q26" s="181"/>
      <c r="R26" s="167">
        <v>0</v>
      </c>
      <c r="S26" s="167">
        <v>0</v>
      </c>
      <c r="T26" s="167">
        <v>0</v>
      </c>
      <c r="U26" s="167">
        <v>0</v>
      </c>
      <c r="V26" s="167">
        <v>0</v>
      </c>
      <c r="W26" s="167">
        <v>0</v>
      </c>
      <c r="X26" s="167">
        <v>0</v>
      </c>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row>
    <row r="27" spans="1:46" s="166" customFormat="1" ht="15" customHeight="1">
      <c r="A27" s="364">
        <f t="shared" si="2"/>
        <v>12</v>
      </c>
      <c r="B27" s="167" t="s">
        <v>1507</v>
      </c>
      <c r="C27" s="167"/>
      <c r="D27" s="205">
        <f>R27</f>
        <v>23148988</v>
      </c>
      <c r="E27" s="179">
        <f t="shared" ref="E27" si="8">(+D27-F27)/F27</f>
        <v>0.40328662275975802</v>
      </c>
      <c r="F27" s="205">
        <f>S27</f>
        <v>16496265</v>
      </c>
      <c r="G27" s="179">
        <v>1</v>
      </c>
      <c r="H27" s="205">
        <f t="shared" si="3"/>
        <v>0</v>
      </c>
      <c r="I27" s="179">
        <v>0</v>
      </c>
      <c r="J27" s="205">
        <f t="shared" si="4"/>
        <v>0</v>
      </c>
      <c r="K27" s="179">
        <v>0</v>
      </c>
      <c r="L27" s="205">
        <f t="shared" si="5"/>
        <v>0</v>
      </c>
      <c r="M27" s="179">
        <v>0</v>
      </c>
      <c r="N27" s="205">
        <f t="shared" si="6"/>
        <v>0</v>
      </c>
      <c r="O27" s="179">
        <v>0</v>
      </c>
      <c r="P27" s="205">
        <f t="shared" si="7"/>
        <v>0</v>
      </c>
      <c r="Q27" s="181"/>
      <c r="R27" s="167">
        <v>23148988</v>
      </c>
      <c r="S27" s="167">
        <v>16496265</v>
      </c>
      <c r="T27" s="167">
        <v>0</v>
      </c>
      <c r="U27" s="167">
        <v>0</v>
      </c>
      <c r="V27" s="167">
        <v>0</v>
      </c>
      <c r="W27" s="167">
        <v>0</v>
      </c>
      <c r="X27" s="167">
        <v>0</v>
      </c>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row>
    <row r="28" spans="1:46" s="166" customFormat="1" ht="15" customHeight="1">
      <c r="A28" s="364">
        <f t="shared" si="2"/>
        <v>13</v>
      </c>
      <c r="B28" s="167" t="s">
        <v>1508</v>
      </c>
      <c r="C28" s="167"/>
      <c r="D28" s="200">
        <f>SUM(D24:D27)</f>
        <v>23148988</v>
      </c>
      <c r="E28" s="179">
        <v>0</v>
      </c>
      <c r="F28" s="200">
        <f>SUM(F24:F27)</f>
        <v>16496265</v>
      </c>
      <c r="G28" s="179">
        <v>0</v>
      </c>
      <c r="H28" s="200">
        <f>SUM(H24:H27)</f>
        <v>0</v>
      </c>
      <c r="I28" s="179">
        <v>0</v>
      </c>
      <c r="J28" s="200">
        <f>SUM(J24:J27)</f>
        <v>0</v>
      </c>
      <c r="K28" s="179">
        <v>0</v>
      </c>
      <c r="L28" s="200">
        <f>SUM(L24:L27)</f>
        <v>0</v>
      </c>
      <c r="M28" s="179">
        <v>0</v>
      </c>
      <c r="N28" s="200">
        <f>SUM(N24:N27)</f>
        <v>0</v>
      </c>
      <c r="O28" s="179">
        <v>0</v>
      </c>
      <c r="P28" s="200">
        <f>SUM(P24:P27)</f>
        <v>0</v>
      </c>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row>
    <row r="29" spans="1:46" s="166" customFormat="1" ht="15" customHeight="1">
      <c r="A29" s="364"/>
      <c r="B29" s="167"/>
      <c r="C29" s="167"/>
      <c r="D29" s="199"/>
      <c r="E29" s="194"/>
      <c r="F29" s="199"/>
      <c r="G29" s="194"/>
      <c r="H29" s="199"/>
      <c r="I29" s="194"/>
      <c r="J29" s="193"/>
      <c r="K29" s="194"/>
      <c r="L29" s="193"/>
      <c r="M29" s="194"/>
      <c r="N29" s="193"/>
      <c r="O29" s="194"/>
      <c r="P29" s="193"/>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row>
    <row r="30" spans="1:46" s="166" customFormat="1" ht="15" customHeight="1">
      <c r="A30" s="364">
        <f>A28+1</f>
        <v>14</v>
      </c>
      <c r="B30" s="178" t="s">
        <v>1444</v>
      </c>
      <c r="C30" s="167"/>
      <c r="D30" s="198"/>
      <c r="E30" s="192"/>
      <c r="F30" s="198"/>
      <c r="G30" s="192"/>
      <c r="H30" s="198"/>
      <c r="I30" s="192"/>
      <c r="J30" s="193"/>
      <c r="K30" s="192"/>
      <c r="L30" s="193"/>
      <c r="M30" s="192"/>
      <c r="N30" s="193"/>
      <c r="O30" s="192"/>
      <c r="P30" s="193"/>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row>
    <row r="31" spans="1:46" s="166" customFormat="1" ht="15" customHeight="1">
      <c r="A31" s="364">
        <f t="shared" ref="A31:A47" si="9">A30+1</f>
        <v>15</v>
      </c>
      <c r="B31" s="167" t="s">
        <v>1509</v>
      </c>
      <c r="C31" s="167"/>
      <c r="D31" s="204">
        <f t="shared" ref="D31:D46" si="10">R31</f>
        <v>4688500</v>
      </c>
      <c r="E31" s="179">
        <f t="shared" ref="E31:O47" si="11">(+D31-F31)/F31</f>
        <v>5.0879748963353136E-2</v>
      </c>
      <c r="F31" s="204">
        <f t="shared" ref="F31:F46" si="12">S31</f>
        <v>4461500</v>
      </c>
      <c r="G31" s="179">
        <f t="shared" si="11"/>
        <v>-0.60969919587449029</v>
      </c>
      <c r="H31" s="204">
        <f t="shared" ref="H31:H46" si="13">T31</f>
        <v>11430927</v>
      </c>
      <c r="I31" s="179">
        <f t="shared" si="11"/>
        <v>0.76013221940216713</v>
      </c>
      <c r="J31" s="204">
        <f t="shared" ref="J31:J46" si="14">U31</f>
        <v>6494357</v>
      </c>
      <c r="K31" s="179">
        <f t="shared" si="11"/>
        <v>2.2311259823109261E-2</v>
      </c>
      <c r="L31" s="204">
        <f t="shared" ref="L31:L46" si="15">V31</f>
        <v>6352622</v>
      </c>
      <c r="M31" s="179">
        <f t="shared" si="11"/>
        <v>1.9548800743144919E-2</v>
      </c>
      <c r="N31" s="204">
        <f t="shared" ref="N31:N46" si="16">W31</f>
        <v>6230817</v>
      </c>
      <c r="O31" s="179">
        <f t="shared" si="11"/>
        <v>0.4176006512372461</v>
      </c>
      <c r="P31" s="204">
        <f t="shared" ref="P31:P46" si="17">X31</f>
        <v>4395326</v>
      </c>
      <c r="Q31" s="167"/>
      <c r="R31" s="167">
        <v>4688500</v>
      </c>
      <c r="S31" s="167">
        <v>4461500</v>
      </c>
      <c r="T31" s="167">
        <v>11430927</v>
      </c>
      <c r="U31" s="167">
        <v>6494357</v>
      </c>
      <c r="V31" s="167">
        <v>6352622</v>
      </c>
      <c r="W31" s="167">
        <v>6230817</v>
      </c>
      <c r="X31" s="167">
        <v>4395326</v>
      </c>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row>
    <row r="32" spans="1:46" s="166" customFormat="1" ht="15" customHeight="1">
      <c r="A32" s="364">
        <f t="shared" si="9"/>
        <v>16</v>
      </c>
      <c r="B32" s="167" t="s">
        <v>1510</v>
      </c>
      <c r="C32" s="167"/>
      <c r="D32" s="201">
        <f t="shared" si="10"/>
        <v>0</v>
      </c>
      <c r="E32" s="179">
        <v>0</v>
      </c>
      <c r="F32" s="201">
        <f t="shared" si="12"/>
        <v>0</v>
      </c>
      <c r="G32" s="179">
        <v>0</v>
      </c>
      <c r="H32" s="201">
        <f t="shared" si="13"/>
        <v>0</v>
      </c>
      <c r="I32" s="179">
        <v>0</v>
      </c>
      <c r="J32" s="201">
        <f t="shared" si="14"/>
        <v>0</v>
      </c>
      <c r="K32" s="179">
        <v>0</v>
      </c>
      <c r="L32" s="201">
        <f t="shared" si="15"/>
        <v>0</v>
      </c>
      <c r="M32" s="179">
        <v>0</v>
      </c>
      <c r="N32" s="201">
        <f t="shared" si="16"/>
        <v>0</v>
      </c>
      <c r="O32" s="179">
        <v>-1</v>
      </c>
      <c r="P32" s="201">
        <f t="shared" si="17"/>
        <v>0</v>
      </c>
      <c r="Q32" s="167"/>
      <c r="R32" s="167">
        <v>0</v>
      </c>
      <c r="S32" s="167">
        <v>0</v>
      </c>
      <c r="T32" s="167">
        <v>0</v>
      </c>
      <c r="U32" s="167">
        <v>0</v>
      </c>
      <c r="V32" s="167">
        <v>0</v>
      </c>
      <c r="W32" s="167">
        <v>0</v>
      </c>
      <c r="X32" s="167">
        <v>0</v>
      </c>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row>
    <row r="33" spans="1:46" s="166" customFormat="1" ht="15" customHeight="1">
      <c r="A33" s="364">
        <f t="shared" si="9"/>
        <v>17</v>
      </c>
      <c r="B33" s="167" t="s">
        <v>1511</v>
      </c>
      <c r="C33" s="167"/>
      <c r="D33" s="201">
        <f t="shared" si="10"/>
        <v>57228</v>
      </c>
      <c r="E33" s="179">
        <f t="shared" si="11"/>
        <v>5.0884183851479151E-2</v>
      </c>
      <c r="F33" s="201">
        <f t="shared" si="12"/>
        <v>54457</v>
      </c>
      <c r="G33" s="179">
        <f t="shared" si="11"/>
        <v>4.7766897540004778E-4</v>
      </c>
      <c r="H33" s="201">
        <f t="shared" si="13"/>
        <v>54431</v>
      </c>
      <c r="I33" s="179">
        <f t="shared" si="11"/>
        <v>1.2861972659120976E-4</v>
      </c>
      <c r="J33" s="201">
        <f t="shared" si="14"/>
        <v>54424</v>
      </c>
      <c r="K33" s="179">
        <f t="shared" si="11"/>
        <v>2.4312974287187799E-3</v>
      </c>
      <c r="L33" s="201">
        <f t="shared" si="15"/>
        <v>54292</v>
      </c>
      <c r="M33" s="179">
        <f t="shared" si="11"/>
        <v>6.8196479587134828E-4</v>
      </c>
      <c r="N33" s="201">
        <f t="shared" si="16"/>
        <v>54255</v>
      </c>
      <c r="O33" s="179">
        <f t="shared" si="11"/>
        <v>0.6005369048321435</v>
      </c>
      <c r="P33" s="201">
        <f t="shared" si="17"/>
        <v>33898</v>
      </c>
      <c r="Q33" s="181"/>
      <c r="R33" s="167">
        <v>57228</v>
      </c>
      <c r="S33" s="167">
        <v>54457</v>
      </c>
      <c r="T33" s="167">
        <v>54431</v>
      </c>
      <c r="U33" s="167">
        <v>54424</v>
      </c>
      <c r="V33" s="167">
        <v>54292</v>
      </c>
      <c r="W33" s="167">
        <v>54255</v>
      </c>
      <c r="X33" s="167">
        <v>33898</v>
      </c>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row>
    <row r="34" spans="1:46" s="166" customFormat="1" ht="15" customHeight="1">
      <c r="A34" s="364">
        <f t="shared" si="9"/>
        <v>18</v>
      </c>
      <c r="B34" s="167" t="s">
        <v>1512</v>
      </c>
      <c r="C34" s="167"/>
      <c r="D34" s="201">
        <f t="shared" si="10"/>
        <v>175319</v>
      </c>
      <c r="E34" s="179">
        <v>1</v>
      </c>
      <c r="F34" s="201">
        <f t="shared" si="12"/>
        <v>0</v>
      </c>
      <c r="G34" s="179">
        <f t="shared" si="11"/>
        <v>-1</v>
      </c>
      <c r="H34" s="201">
        <f t="shared" si="13"/>
        <v>1662555</v>
      </c>
      <c r="I34" s="179">
        <f t="shared" si="11"/>
        <v>12.082846103604844</v>
      </c>
      <c r="J34" s="201">
        <f t="shared" si="14"/>
        <v>127079</v>
      </c>
      <c r="K34" s="179">
        <f t="shared" si="11"/>
        <v>-0.96641208582376936</v>
      </c>
      <c r="L34" s="201">
        <f t="shared" si="15"/>
        <v>3783474</v>
      </c>
      <c r="M34" s="179">
        <f t="shared" si="11"/>
        <v>4.6512380518776084E-2</v>
      </c>
      <c r="N34" s="201">
        <f t="shared" si="16"/>
        <v>3615317</v>
      </c>
      <c r="O34" s="179">
        <f t="shared" si="11"/>
        <v>-0.73748240324206582</v>
      </c>
      <c r="P34" s="201">
        <f t="shared" si="17"/>
        <v>13771713</v>
      </c>
      <c r="Q34" s="181"/>
      <c r="R34" s="167">
        <v>175319</v>
      </c>
      <c r="S34" s="167">
        <v>0</v>
      </c>
      <c r="T34" s="167">
        <v>1662555</v>
      </c>
      <c r="U34" s="167">
        <v>127079</v>
      </c>
      <c r="V34" s="167">
        <v>3783474</v>
      </c>
      <c r="W34" s="167">
        <v>3615317</v>
      </c>
      <c r="X34" s="167">
        <v>13771713</v>
      </c>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row>
    <row r="35" spans="1:46" s="166" customFormat="1" ht="15" customHeight="1">
      <c r="A35" s="364">
        <f t="shared" si="9"/>
        <v>19</v>
      </c>
      <c r="B35" s="167" t="s">
        <v>1513</v>
      </c>
      <c r="C35" s="167"/>
      <c r="D35" s="201">
        <f t="shared" si="10"/>
        <v>129032391</v>
      </c>
      <c r="E35" s="179">
        <f t="shared" si="11"/>
        <v>6.3928728468849658E-2</v>
      </c>
      <c r="F35" s="201">
        <f t="shared" si="12"/>
        <v>121279168</v>
      </c>
      <c r="G35" s="179">
        <f t="shared" si="11"/>
        <v>7.0746565946023632E-2</v>
      </c>
      <c r="H35" s="201">
        <f t="shared" si="13"/>
        <v>113265988.28999998</v>
      </c>
      <c r="I35" s="179">
        <f t="shared" si="11"/>
        <v>2.7131593807059019E-2</v>
      </c>
      <c r="J35" s="201">
        <f t="shared" si="14"/>
        <v>110274076.83</v>
      </c>
      <c r="K35" s="179">
        <f t="shared" si="11"/>
        <v>6.4514003374441603E-2</v>
      </c>
      <c r="L35" s="201">
        <f t="shared" si="15"/>
        <v>103591006.3</v>
      </c>
      <c r="M35" s="179">
        <f t="shared" si="11"/>
        <v>-0.14755848374727956</v>
      </c>
      <c r="N35" s="201">
        <f t="shared" si="16"/>
        <v>121522713.67</v>
      </c>
      <c r="O35" s="179">
        <f t="shared" si="11"/>
        <v>0.14422278450481338</v>
      </c>
      <c r="P35" s="201">
        <f t="shared" si="17"/>
        <v>106205465.68000001</v>
      </c>
      <c r="Q35" s="167"/>
      <c r="R35" s="167">
        <v>129032391</v>
      </c>
      <c r="S35" s="167">
        <v>121279168</v>
      </c>
      <c r="T35" s="167">
        <v>113265988.28999998</v>
      </c>
      <c r="U35" s="167">
        <v>110274076.83</v>
      </c>
      <c r="V35" s="167">
        <v>103591006.3</v>
      </c>
      <c r="W35" s="167">
        <v>121522713.67</v>
      </c>
      <c r="X35" s="167">
        <v>106205465.68000001</v>
      </c>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row>
    <row r="36" spans="1:46" s="166" customFormat="1" ht="15" customHeight="1">
      <c r="A36" s="364">
        <f t="shared" si="9"/>
        <v>20</v>
      </c>
      <c r="B36" s="167" t="s">
        <v>1514</v>
      </c>
      <c r="C36" s="167"/>
      <c r="D36" s="201">
        <f t="shared" si="10"/>
        <v>28387374</v>
      </c>
      <c r="E36" s="179">
        <f t="shared" si="11"/>
        <v>5.0879722112665761E-2</v>
      </c>
      <c r="F36" s="201">
        <f t="shared" si="12"/>
        <v>27012962</v>
      </c>
      <c r="G36" s="179">
        <f t="shared" si="11"/>
        <v>1.9743789625876983E-2</v>
      </c>
      <c r="H36" s="201">
        <f t="shared" si="13"/>
        <v>26489950</v>
      </c>
      <c r="I36" s="179">
        <f t="shared" si="11"/>
        <v>5.430404875950483</v>
      </c>
      <c r="J36" s="201">
        <f t="shared" si="14"/>
        <v>4119484</v>
      </c>
      <c r="K36" s="179">
        <f t="shared" si="11"/>
        <v>-0.41312875744365618</v>
      </c>
      <c r="L36" s="201">
        <f t="shared" si="15"/>
        <v>7019400</v>
      </c>
      <c r="M36" s="179">
        <f t="shared" si="11"/>
        <v>0.40788063360846183</v>
      </c>
      <c r="N36" s="201">
        <f t="shared" si="16"/>
        <v>4985792</v>
      </c>
      <c r="O36" s="179">
        <f t="shared" si="11"/>
        <v>-0.49336608063294285</v>
      </c>
      <c r="P36" s="201">
        <f t="shared" si="17"/>
        <v>9841015</v>
      </c>
      <c r="Q36" s="181"/>
      <c r="R36" s="167">
        <v>28387374</v>
      </c>
      <c r="S36" s="167">
        <v>27012962</v>
      </c>
      <c r="T36" s="167">
        <v>26489950</v>
      </c>
      <c r="U36" s="167">
        <v>4119484</v>
      </c>
      <c r="V36" s="167">
        <v>7019400</v>
      </c>
      <c r="W36" s="167">
        <v>4985792</v>
      </c>
      <c r="X36" s="167">
        <v>9841015</v>
      </c>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row>
    <row r="37" spans="1:46" s="166" customFormat="1" ht="15" customHeight="1">
      <c r="A37" s="364">
        <f t="shared" si="9"/>
        <v>21</v>
      </c>
      <c r="B37" s="167" t="s">
        <v>1515</v>
      </c>
      <c r="C37" s="183"/>
      <c r="D37" s="201">
        <f t="shared" si="10"/>
        <v>1219620</v>
      </c>
      <c r="E37" s="179">
        <f t="shared" si="11"/>
        <v>5.0880170950481231E-2</v>
      </c>
      <c r="F37" s="201">
        <f t="shared" si="12"/>
        <v>1160570</v>
      </c>
      <c r="G37" s="179">
        <f t="shared" si="11"/>
        <v>-0.11963716522818266</v>
      </c>
      <c r="H37" s="201">
        <f t="shared" si="13"/>
        <v>1318286</v>
      </c>
      <c r="I37" s="179">
        <f t="shared" si="11"/>
        <v>-0.16412873936365827</v>
      </c>
      <c r="J37" s="201">
        <f t="shared" si="14"/>
        <v>1577140</v>
      </c>
      <c r="K37" s="179">
        <f t="shared" si="11"/>
        <v>-3.2284587386087242E-2</v>
      </c>
      <c r="L37" s="201">
        <f t="shared" si="15"/>
        <v>1629756</v>
      </c>
      <c r="M37" s="179">
        <f t="shared" si="11"/>
        <v>-0.24171049197093131</v>
      </c>
      <c r="N37" s="201">
        <f t="shared" si="16"/>
        <v>2149253</v>
      </c>
      <c r="O37" s="179">
        <f t="shared" si="11"/>
        <v>-0.44275767479183653</v>
      </c>
      <c r="P37" s="201">
        <f t="shared" si="17"/>
        <v>3856945</v>
      </c>
      <c r="Q37" s="181"/>
      <c r="R37" s="167">
        <v>1219620</v>
      </c>
      <c r="S37" s="167">
        <v>1160570</v>
      </c>
      <c r="T37" s="167">
        <v>1318286</v>
      </c>
      <c r="U37" s="167">
        <v>1577140</v>
      </c>
      <c r="V37" s="167">
        <v>1629756</v>
      </c>
      <c r="W37" s="167">
        <v>2149253</v>
      </c>
      <c r="X37" s="167">
        <v>3856945</v>
      </c>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row>
    <row r="38" spans="1:46" s="166" customFormat="1" ht="15" customHeight="1">
      <c r="A38" s="364">
        <f t="shared" si="9"/>
        <v>22</v>
      </c>
      <c r="B38" s="167" t="s">
        <v>1516</v>
      </c>
      <c r="C38" s="167"/>
      <c r="D38" s="201">
        <f t="shared" si="10"/>
        <v>4339222</v>
      </c>
      <c r="E38" s="179">
        <f t="shared" si="11"/>
        <v>1.2253207934024333</v>
      </c>
      <c r="F38" s="201">
        <f t="shared" si="12"/>
        <v>1949931</v>
      </c>
      <c r="G38" s="179">
        <v>1</v>
      </c>
      <c r="H38" s="201">
        <f t="shared" si="13"/>
        <v>0</v>
      </c>
      <c r="I38" s="179">
        <f t="shared" si="11"/>
        <v>-1</v>
      </c>
      <c r="J38" s="201">
        <f t="shared" si="14"/>
        <v>-34311</v>
      </c>
      <c r="K38" s="179">
        <f t="shared" si="11"/>
        <v>-1.044879550772845</v>
      </c>
      <c r="L38" s="201">
        <f t="shared" si="15"/>
        <v>764513</v>
      </c>
      <c r="M38" s="179">
        <f t="shared" si="11"/>
        <v>-0.98581959676886688</v>
      </c>
      <c r="N38" s="201">
        <f t="shared" si="16"/>
        <v>53913347</v>
      </c>
      <c r="O38" s="179">
        <f t="shared" si="11"/>
        <v>922.31604185576543</v>
      </c>
      <c r="P38" s="201">
        <f t="shared" si="17"/>
        <v>58391</v>
      </c>
      <c r="Q38" s="181"/>
      <c r="R38" s="167">
        <v>4339222</v>
      </c>
      <c r="S38" s="167">
        <v>1949931</v>
      </c>
      <c r="T38" s="167">
        <v>0</v>
      </c>
      <c r="U38" s="167">
        <v>-34311</v>
      </c>
      <c r="V38" s="167">
        <v>764513</v>
      </c>
      <c r="W38" s="167">
        <v>53913347</v>
      </c>
      <c r="X38" s="167">
        <v>58391</v>
      </c>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row>
    <row r="39" spans="1:46" s="166" customFormat="1" ht="15" customHeight="1">
      <c r="A39" s="364">
        <f t="shared" si="9"/>
        <v>23</v>
      </c>
      <c r="B39" s="167" t="s">
        <v>1517</v>
      </c>
      <c r="C39" s="167"/>
      <c r="D39" s="201">
        <f t="shared" si="10"/>
        <v>59241661</v>
      </c>
      <c r="E39" s="179">
        <f t="shared" si="11"/>
        <v>6.9111134090460796E-2</v>
      </c>
      <c r="F39" s="201">
        <f t="shared" si="12"/>
        <v>55412070</v>
      </c>
      <c r="G39" s="179">
        <f t="shared" si="11"/>
        <v>1.1266614945137322E-2</v>
      </c>
      <c r="H39" s="201">
        <f t="shared" si="13"/>
        <v>54794719</v>
      </c>
      <c r="I39" s="179">
        <f t="shared" si="11"/>
        <v>-0.36708043420341441</v>
      </c>
      <c r="J39" s="201">
        <f t="shared" si="14"/>
        <v>86574538</v>
      </c>
      <c r="K39" s="179">
        <f t="shared" si="11"/>
        <v>1.397527147363666E-2</v>
      </c>
      <c r="L39" s="201">
        <f t="shared" si="15"/>
        <v>85381311</v>
      </c>
      <c r="M39" s="179">
        <f t="shared" si="11"/>
        <v>-2.1909318708096995E-2</v>
      </c>
      <c r="N39" s="201">
        <f t="shared" si="16"/>
        <v>87293860</v>
      </c>
      <c r="O39" s="179">
        <f t="shared" si="11"/>
        <v>0.28057467901634325</v>
      </c>
      <c r="P39" s="201">
        <f t="shared" si="17"/>
        <v>68167723</v>
      </c>
      <c r="Q39" s="167"/>
      <c r="R39" s="167">
        <v>59241661</v>
      </c>
      <c r="S39" s="167">
        <v>55412070</v>
      </c>
      <c r="T39" s="167">
        <v>54794719</v>
      </c>
      <c r="U39" s="167">
        <v>86574538</v>
      </c>
      <c r="V39" s="167">
        <v>85381311</v>
      </c>
      <c r="W39" s="167">
        <v>87293860</v>
      </c>
      <c r="X39" s="167">
        <v>68167723</v>
      </c>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row>
    <row r="40" spans="1:46" s="166" customFormat="1" ht="15" customHeight="1">
      <c r="A40" s="364">
        <f t="shared" si="9"/>
        <v>24</v>
      </c>
      <c r="B40" s="167" t="s">
        <v>1518</v>
      </c>
      <c r="C40" s="167"/>
      <c r="D40" s="201">
        <f t="shared" si="10"/>
        <v>44905721</v>
      </c>
      <c r="E40" s="179">
        <f t="shared" si="11"/>
        <v>2.0288163731624373E-3</v>
      </c>
      <c r="F40" s="201">
        <f t="shared" si="12"/>
        <v>44814800</v>
      </c>
      <c r="G40" s="179">
        <f t="shared" si="11"/>
        <v>2.5668701099856361E-2</v>
      </c>
      <c r="H40" s="201">
        <f t="shared" si="13"/>
        <v>43693251</v>
      </c>
      <c r="I40" s="179">
        <f t="shared" si="11"/>
        <v>9.8777417536591042E-2</v>
      </c>
      <c r="J40" s="201">
        <f t="shared" si="14"/>
        <v>39765334</v>
      </c>
      <c r="K40" s="179">
        <f t="shared" si="11"/>
        <v>9.4025088495885645E-2</v>
      </c>
      <c r="L40" s="201">
        <f t="shared" si="15"/>
        <v>36347735</v>
      </c>
      <c r="M40" s="179">
        <f t="shared" si="11"/>
        <v>6.5332611265391236E-2</v>
      </c>
      <c r="N40" s="201">
        <f t="shared" si="16"/>
        <v>34118673</v>
      </c>
      <c r="O40" s="179">
        <f t="shared" si="11"/>
        <v>7.7095101694265145E-2</v>
      </c>
      <c r="P40" s="201">
        <f t="shared" si="17"/>
        <v>31676565</v>
      </c>
      <c r="Q40" s="181"/>
      <c r="R40" s="167">
        <v>44905721</v>
      </c>
      <c r="S40" s="167">
        <v>44814800</v>
      </c>
      <c r="T40" s="167">
        <v>43693251</v>
      </c>
      <c r="U40" s="167">
        <v>39765334</v>
      </c>
      <c r="V40" s="167">
        <v>36347735</v>
      </c>
      <c r="W40" s="167">
        <v>34118673</v>
      </c>
      <c r="X40" s="167">
        <v>31676565</v>
      </c>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row>
    <row r="41" spans="1:46" s="166" customFormat="1" ht="15" customHeight="1">
      <c r="A41" s="364">
        <f t="shared" si="9"/>
        <v>25</v>
      </c>
      <c r="B41" s="167" t="s">
        <v>1519</v>
      </c>
      <c r="C41" s="167"/>
      <c r="D41" s="201">
        <f t="shared" si="10"/>
        <v>121416</v>
      </c>
      <c r="E41" s="179">
        <f t="shared" si="11"/>
        <v>6.9207534542124222E-2</v>
      </c>
      <c r="F41" s="201">
        <f t="shared" si="12"/>
        <v>113557</v>
      </c>
      <c r="G41" s="179">
        <f t="shared" si="11"/>
        <v>-1.3071327382866479E-2</v>
      </c>
      <c r="H41" s="201">
        <f t="shared" si="13"/>
        <v>115061</v>
      </c>
      <c r="I41" s="179">
        <f t="shared" si="11"/>
        <v>-2.9356931357083203E-2</v>
      </c>
      <c r="J41" s="201">
        <f t="shared" si="14"/>
        <v>118541</v>
      </c>
      <c r="K41" s="179">
        <f t="shared" si="11"/>
        <v>-3.6142325142699168E-2</v>
      </c>
      <c r="L41" s="201">
        <f t="shared" si="15"/>
        <v>122986</v>
      </c>
      <c r="M41" s="179">
        <f t="shared" si="11"/>
        <v>-0.11653065915751969</v>
      </c>
      <c r="N41" s="201">
        <f t="shared" si="16"/>
        <v>139208</v>
      </c>
      <c r="O41" s="179">
        <f t="shared" si="11"/>
        <v>-0.45639075136382629</v>
      </c>
      <c r="P41" s="201">
        <f t="shared" si="17"/>
        <v>256081</v>
      </c>
      <c r="Q41" s="181"/>
      <c r="R41" s="167">
        <v>121416</v>
      </c>
      <c r="S41" s="167">
        <v>113557</v>
      </c>
      <c r="T41" s="167">
        <v>115061</v>
      </c>
      <c r="U41" s="167">
        <v>118541</v>
      </c>
      <c r="V41" s="167">
        <v>122986</v>
      </c>
      <c r="W41" s="167">
        <v>139208</v>
      </c>
      <c r="X41" s="167">
        <v>256081</v>
      </c>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row>
    <row r="42" spans="1:46" s="166" customFormat="1" ht="15" customHeight="1">
      <c r="A42" s="364">
        <f t="shared" si="9"/>
        <v>26</v>
      </c>
      <c r="B42" s="167" t="s">
        <v>1520</v>
      </c>
      <c r="C42" s="167"/>
      <c r="D42" s="201">
        <f t="shared" si="10"/>
        <v>11178915</v>
      </c>
      <c r="E42" s="179">
        <f t="shared" si="11"/>
        <v>4.8734487097015389E-2</v>
      </c>
      <c r="F42" s="201">
        <f t="shared" si="12"/>
        <v>10659433</v>
      </c>
      <c r="G42" s="179">
        <f t="shared" si="11"/>
        <v>3.6725473330228825E-2</v>
      </c>
      <c r="H42" s="201">
        <f t="shared" si="13"/>
        <v>10281828</v>
      </c>
      <c r="I42" s="179">
        <f t="shared" si="11"/>
        <v>6.83882809498777E-2</v>
      </c>
      <c r="J42" s="201">
        <f t="shared" si="14"/>
        <v>9623681</v>
      </c>
      <c r="K42" s="179">
        <f t="shared" si="11"/>
        <v>0.16271029213943611</v>
      </c>
      <c r="L42" s="201">
        <f t="shared" si="15"/>
        <v>8276938</v>
      </c>
      <c r="M42" s="179">
        <f t="shared" si="11"/>
        <v>-0.11367785112867444</v>
      </c>
      <c r="N42" s="201">
        <f t="shared" si="16"/>
        <v>9338521</v>
      </c>
      <c r="O42" s="179">
        <f t="shared" si="11"/>
        <v>5.0801588154442787E-2</v>
      </c>
      <c r="P42" s="201">
        <f t="shared" si="17"/>
        <v>8887045</v>
      </c>
      <c r="Q42" s="181"/>
      <c r="R42" s="167">
        <v>11178915</v>
      </c>
      <c r="S42" s="167">
        <v>10659433</v>
      </c>
      <c r="T42" s="167">
        <v>10281828</v>
      </c>
      <c r="U42" s="167">
        <v>9623681</v>
      </c>
      <c r="V42" s="167">
        <v>8276938</v>
      </c>
      <c r="W42" s="167">
        <v>9338521</v>
      </c>
      <c r="X42" s="167">
        <v>8887045</v>
      </c>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row>
    <row r="43" spans="1:46" s="166" customFormat="1" ht="15" customHeight="1">
      <c r="A43" s="364">
        <f t="shared" si="9"/>
        <v>27</v>
      </c>
      <c r="B43" s="167" t="s">
        <v>1521</v>
      </c>
      <c r="C43" s="167"/>
      <c r="D43" s="201">
        <f t="shared" si="10"/>
        <v>15605034</v>
      </c>
      <c r="E43" s="179">
        <f t="shared" si="11"/>
        <v>1.7939837766640297E-2</v>
      </c>
      <c r="F43" s="201">
        <f t="shared" si="12"/>
        <v>15330016</v>
      </c>
      <c r="G43" s="179">
        <f t="shared" si="11"/>
        <v>5.2639327278340343E-2</v>
      </c>
      <c r="H43" s="201">
        <f t="shared" si="13"/>
        <v>14563408</v>
      </c>
      <c r="I43" s="179">
        <f t="shared" si="11"/>
        <v>-4.1448506270033297E-2</v>
      </c>
      <c r="J43" s="201">
        <f t="shared" si="14"/>
        <v>15193141</v>
      </c>
      <c r="K43" s="179">
        <f t="shared" si="11"/>
        <v>1.2644877130361918</v>
      </c>
      <c r="L43" s="201">
        <f t="shared" si="15"/>
        <v>6709306</v>
      </c>
      <c r="M43" s="179">
        <f t="shared" si="11"/>
        <v>-3.4716675145541227E-2</v>
      </c>
      <c r="N43" s="201">
        <f t="shared" si="16"/>
        <v>6950608</v>
      </c>
      <c r="O43" s="179">
        <f t="shared" si="11"/>
        <v>0.33264003767110945</v>
      </c>
      <c r="P43" s="201">
        <f t="shared" si="17"/>
        <v>5215668</v>
      </c>
      <c r="Q43" s="181"/>
      <c r="R43" s="167">
        <v>15605034</v>
      </c>
      <c r="S43" s="167">
        <v>15330016</v>
      </c>
      <c r="T43" s="167">
        <v>14563408</v>
      </c>
      <c r="U43" s="167">
        <v>15193141</v>
      </c>
      <c r="V43" s="167">
        <v>6709306</v>
      </c>
      <c r="W43" s="167">
        <v>6950608</v>
      </c>
      <c r="X43" s="167">
        <v>5215668</v>
      </c>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row>
    <row r="44" spans="1:46" s="166" customFormat="1" ht="15" customHeight="1">
      <c r="A44" s="364">
        <f t="shared" si="9"/>
        <v>28</v>
      </c>
      <c r="B44" s="167" t="s">
        <v>1716</v>
      </c>
      <c r="C44" s="167"/>
      <c r="D44" s="201">
        <f t="shared" si="10"/>
        <v>569332</v>
      </c>
      <c r="E44" s="179">
        <f t="shared" si="11"/>
        <v>5.0879806263578256E-2</v>
      </c>
      <c r="F44" s="201">
        <f t="shared" si="12"/>
        <v>541767</v>
      </c>
      <c r="G44" s="179">
        <f t="shared" si="11"/>
        <v>-9.6350153119433152E-2</v>
      </c>
      <c r="H44" s="201">
        <f t="shared" si="13"/>
        <v>599532</v>
      </c>
      <c r="I44" s="179">
        <f t="shared" si="11"/>
        <v>4.7393099978336982E-2</v>
      </c>
      <c r="J44" s="201">
        <f t="shared" si="14"/>
        <v>572404</v>
      </c>
      <c r="K44" s="179">
        <f t="shared" si="11"/>
        <v>-0.20109311582673164</v>
      </c>
      <c r="L44" s="201">
        <f t="shared" si="15"/>
        <v>716484</v>
      </c>
      <c r="M44" s="179">
        <f t="shared" si="11"/>
        <v>-0.38226043412585098</v>
      </c>
      <c r="N44" s="201">
        <f t="shared" si="16"/>
        <v>1159848</v>
      </c>
      <c r="O44" s="179">
        <f t="shared" si="11"/>
        <v>0.40075384925671814</v>
      </c>
      <c r="P44" s="201">
        <f t="shared" si="17"/>
        <v>828017</v>
      </c>
      <c r="Q44" s="167"/>
      <c r="R44" s="167">
        <v>569332</v>
      </c>
      <c r="S44" s="167">
        <v>541767</v>
      </c>
      <c r="T44" s="167">
        <v>599532</v>
      </c>
      <c r="U44" s="167">
        <v>572404</v>
      </c>
      <c r="V44" s="167">
        <v>716484</v>
      </c>
      <c r="W44" s="167">
        <v>1159848</v>
      </c>
      <c r="X44" s="167">
        <v>828017</v>
      </c>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row>
    <row r="45" spans="1:46" s="166" customFormat="1" ht="15" customHeight="1">
      <c r="A45" s="364">
        <f t="shared" si="9"/>
        <v>29</v>
      </c>
      <c r="B45" s="167" t="s">
        <v>1522</v>
      </c>
      <c r="C45" s="167"/>
      <c r="D45" s="206">
        <f t="shared" si="10"/>
        <v>86136962</v>
      </c>
      <c r="E45" s="179">
        <f t="shared" si="11"/>
        <v>-7.3041982326697188E-2</v>
      </c>
      <c r="F45" s="206">
        <f t="shared" si="12"/>
        <v>92924340</v>
      </c>
      <c r="G45" s="179">
        <f t="shared" si="11"/>
        <v>-4.2076366410325132E-2</v>
      </c>
      <c r="H45" s="206">
        <f t="shared" si="13"/>
        <v>97006000</v>
      </c>
      <c r="I45" s="179">
        <f t="shared" si="11"/>
        <v>0.20903856220554878</v>
      </c>
      <c r="J45" s="206">
        <f t="shared" si="14"/>
        <v>80234000</v>
      </c>
      <c r="K45" s="179">
        <f t="shared" si="11"/>
        <v>0.173303306377316</v>
      </c>
      <c r="L45" s="206">
        <f t="shared" si="15"/>
        <v>68383000</v>
      </c>
      <c r="M45" s="179">
        <f t="shared" si="11"/>
        <v>-0.1128308251167618</v>
      </c>
      <c r="N45" s="206">
        <f t="shared" si="16"/>
        <v>77080000</v>
      </c>
      <c r="O45" s="179">
        <f t="shared" si="11"/>
        <v>-2.5435809289015343E-2</v>
      </c>
      <c r="P45" s="206">
        <f t="shared" si="17"/>
        <v>79091763</v>
      </c>
      <c r="Q45" s="167"/>
      <c r="R45" s="167">
        <v>86136962</v>
      </c>
      <c r="S45" s="167">
        <v>92924340</v>
      </c>
      <c r="T45" s="167">
        <v>97006000</v>
      </c>
      <c r="U45" s="167">
        <v>80234000</v>
      </c>
      <c r="V45" s="167">
        <v>68383000</v>
      </c>
      <c r="W45" s="167">
        <v>77080000</v>
      </c>
      <c r="X45" s="167">
        <v>79091763</v>
      </c>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row>
    <row r="46" spans="1:46" s="166" customFormat="1" ht="15" customHeight="1">
      <c r="A46" s="364">
        <f t="shared" si="9"/>
        <v>30</v>
      </c>
      <c r="B46" s="167" t="s">
        <v>1523</v>
      </c>
      <c r="C46" s="167"/>
      <c r="D46" s="206">
        <f t="shared" si="10"/>
        <v>0</v>
      </c>
      <c r="E46" s="179">
        <v>0</v>
      </c>
      <c r="F46" s="206">
        <f t="shared" si="12"/>
        <v>0</v>
      </c>
      <c r="G46" s="179">
        <v>0</v>
      </c>
      <c r="H46" s="206">
        <f t="shared" si="13"/>
        <v>0</v>
      </c>
      <c r="I46" s="179">
        <v>0</v>
      </c>
      <c r="J46" s="206">
        <f t="shared" si="14"/>
        <v>0</v>
      </c>
      <c r="K46" s="179">
        <v>0</v>
      </c>
      <c r="L46" s="206">
        <f t="shared" si="15"/>
        <v>0</v>
      </c>
      <c r="M46" s="179">
        <v>0</v>
      </c>
      <c r="N46" s="206">
        <f t="shared" si="16"/>
        <v>0</v>
      </c>
      <c r="O46" s="179">
        <v>1</v>
      </c>
      <c r="P46" s="206">
        <f t="shared" si="17"/>
        <v>0</v>
      </c>
      <c r="Q46" s="167"/>
      <c r="R46" s="167">
        <v>0</v>
      </c>
      <c r="S46" s="167">
        <v>0</v>
      </c>
      <c r="T46" s="167">
        <v>0</v>
      </c>
      <c r="U46" s="167">
        <v>0</v>
      </c>
      <c r="V46" s="167">
        <v>0</v>
      </c>
      <c r="W46" s="167">
        <v>0</v>
      </c>
      <c r="X46" s="167">
        <v>0</v>
      </c>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row>
    <row r="47" spans="1:46" s="166" customFormat="1" ht="15" customHeight="1">
      <c r="A47" s="364">
        <f t="shared" si="9"/>
        <v>31</v>
      </c>
      <c r="B47" s="167" t="s">
        <v>1445</v>
      </c>
      <c r="C47" s="167"/>
      <c r="D47" s="200">
        <f>SUM(D31:D36)-D37+SUM(D38:D41)+SUM(D42:D46)</f>
        <v>383219455</v>
      </c>
      <c r="E47" s="179">
        <f t="shared" si="11"/>
        <v>2.6315470986419148E-2</v>
      </c>
      <c r="F47" s="200">
        <f>SUM(F31:F36)-F37+SUM(F38:F41)+SUM(F42:F46)</f>
        <v>373393431</v>
      </c>
      <c r="G47" s="179">
        <f t="shared" si="11"/>
        <v>2.0235830732396785E-3</v>
      </c>
      <c r="H47" s="200">
        <f>SUM(H31:H36)-H37+SUM(H38:H41)+SUM(H42:H46)</f>
        <v>372639364.28999996</v>
      </c>
      <c r="I47" s="179">
        <f t="shared" si="11"/>
        <v>6.0020990323749114E-2</v>
      </c>
      <c r="J47" s="200">
        <f>SUM(J31:J36)-J37+SUM(J38:J41)+SUM(J42:J46)</f>
        <v>351539608.82999998</v>
      </c>
      <c r="K47" s="179">
        <f t="shared" si="11"/>
        <v>7.8761582001330252E-2</v>
      </c>
      <c r="L47" s="200">
        <f>SUM(L31:L36)-L37+SUM(L38:L41)+SUM(L42:L46)</f>
        <v>325873311.30000001</v>
      </c>
      <c r="M47" s="179">
        <f t="shared" si="11"/>
        <v>-0.19388911981945886</v>
      </c>
      <c r="N47" s="200">
        <f>SUM(N31:N36)-N37+SUM(N38:N41)+SUM(N42:N46)</f>
        <v>404253706.67000002</v>
      </c>
      <c r="O47" s="179">
        <f t="shared" si="11"/>
        <v>0.24549883642224474</v>
      </c>
      <c r="P47" s="200">
        <f>SUM(P31:P36)-P37+SUM(P38:P41)+SUM(P42:P46)</f>
        <v>324571725.68000001</v>
      </c>
      <c r="Q47" s="167"/>
      <c r="R47" s="167">
        <v>383219455</v>
      </c>
      <c r="S47" s="167">
        <v>373393431</v>
      </c>
      <c r="T47" s="167">
        <v>372639364.28999996</v>
      </c>
      <c r="U47" s="167">
        <v>351539608.82999998</v>
      </c>
      <c r="V47" s="167">
        <v>325873311.30000001</v>
      </c>
      <c r="W47" s="167">
        <v>404253706.67000002</v>
      </c>
      <c r="X47" s="167">
        <v>324571725.68000001</v>
      </c>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row>
    <row r="48" spans="1:46" s="166" customFormat="1" ht="15" customHeight="1">
      <c r="A48" s="364"/>
      <c r="B48" s="178"/>
      <c r="C48" s="167"/>
      <c r="D48" s="202"/>
      <c r="E48" s="194"/>
      <c r="F48" s="202"/>
      <c r="G48" s="194"/>
      <c r="H48" s="202"/>
      <c r="I48" s="194"/>
      <c r="J48" s="202"/>
      <c r="K48" s="194"/>
      <c r="L48" s="202"/>
      <c r="M48" s="194"/>
      <c r="N48" s="202"/>
      <c r="O48" s="194"/>
      <c r="P48" s="202"/>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row>
    <row r="49" spans="1:46" s="166" customFormat="1" ht="15" customHeight="1">
      <c r="A49" s="364">
        <f>A47+1</f>
        <v>32</v>
      </c>
      <c r="B49" s="178" t="s">
        <v>1524</v>
      </c>
      <c r="C49" s="167"/>
      <c r="D49" s="202"/>
      <c r="E49" s="194"/>
      <c r="F49" s="202"/>
      <c r="G49" s="194"/>
      <c r="H49" s="202"/>
      <c r="I49" s="194"/>
      <c r="J49" s="202"/>
      <c r="K49" s="194"/>
      <c r="L49" s="202"/>
      <c r="M49" s="194"/>
      <c r="N49" s="202"/>
      <c r="O49" s="194"/>
      <c r="P49" s="202"/>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row>
    <row r="50" spans="1:46" s="166" customFormat="1" ht="15" customHeight="1">
      <c r="A50" s="364">
        <f t="shared" ref="A50:A57" si="18">A49+1</f>
        <v>33</v>
      </c>
      <c r="B50" s="167" t="s">
        <v>1525</v>
      </c>
      <c r="C50" s="167"/>
      <c r="D50" s="204">
        <f t="shared" ref="D50:D56" si="19">R50</f>
        <v>17095173</v>
      </c>
      <c r="E50" s="179">
        <f t="shared" ref="E50:O57" si="20">(+D50-F50)/F50</f>
        <v>0.15792571983371556</v>
      </c>
      <c r="F50" s="204">
        <f t="shared" ref="F50:F56" si="21">S50</f>
        <v>14763618</v>
      </c>
      <c r="G50" s="179">
        <f t="shared" si="20"/>
        <v>-8.3162265350784581E-2</v>
      </c>
      <c r="H50" s="204">
        <f t="shared" ref="H50:H56" si="22">T50</f>
        <v>16102760</v>
      </c>
      <c r="I50" s="179">
        <f t="shared" si="20"/>
        <v>-6.0589962729898701E-2</v>
      </c>
      <c r="J50" s="204">
        <f t="shared" ref="J50:J56" si="23">U50</f>
        <v>17141354</v>
      </c>
      <c r="K50" s="179">
        <f t="shared" si="20"/>
        <v>-7.9143808915837652E-2</v>
      </c>
      <c r="L50" s="204">
        <f t="shared" ref="L50:L56" si="24">V50</f>
        <v>18614583</v>
      </c>
      <c r="M50" s="179">
        <f t="shared" si="20"/>
        <v>0.12485648920769232</v>
      </c>
      <c r="N50" s="204">
        <f t="shared" ref="N50:N56" si="25">W50</f>
        <v>16548407</v>
      </c>
      <c r="O50" s="179">
        <f t="shared" si="20"/>
        <v>-5.3710879758476909E-2</v>
      </c>
      <c r="P50" s="204">
        <f t="shared" ref="P50:P56" si="26">X50</f>
        <v>17487686</v>
      </c>
      <c r="Q50" s="181"/>
      <c r="R50" s="167">
        <v>17095173</v>
      </c>
      <c r="S50" s="167">
        <v>14763618</v>
      </c>
      <c r="T50" s="167">
        <v>16102760</v>
      </c>
      <c r="U50" s="167">
        <v>17141354</v>
      </c>
      <c r="V50" s="167">
        <v>18614583</v>
      </c>
      <c r="W50" s="167">
        <v>16548407</v>
      </c>
      <c r="X50" s="167">
        <v>17487686</v>
      </c>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row>
    <row r="51" spans="1:46" s="166" customFormat="1" ht="15" customHeight="1">
      <c r="A51" s="364">
        <f t="shared" si="18"/>
        <v>34</v>
      </c>
      <c r="B51" s="167" t="s">
        <v>1526</v>
      </c>
      <c r="C51" s="167"/>
      <c r="D51" s="201">
        <f t="shared" si="19"/>
        <v>388553158</v>
      </c>
      <c r="E51" s="179">
        <f t="shared" si="20"/>
        <v>2.0637361377959299E-2</v>
      </c>
      <c r="F51" s="201">
        <f t="shared" si="21"/>
        <v>380696585</v>
      </c>
      <c r="G51" s="179">
        <f t="shared" si="20"/>
        <v>3.0302643306307744E-2</v>
      </c>
      <c r="H51" s="201">
        <f t="shared" si="22"/>
        <v>369499765.40710413</v>
      </c>
      <c r="I51" s="179">
        <f t="shared" si="20"/>
        <v>-5.0141659960378185E-2</v>
      </c>
      <c r="J51" s="201">
        <f t="shared" si="23"/>
        <v>389005128.2717495</v>
      </c>
      <c r="K51" s="179">
        <f t="shared" si="20"/>
        <v>0.15969875577116385</v>
      </c>
      <c r="L51" s="201">
        <f t="shared" si="24"/>
        <v>335436359.08540154</v>
      </c>
      <c r="M51" s="179">
        <f t="shared" si="20"/>
        <v>0.13542822402606219</v>
      </c>
      <c r="N51" s="201">
        <f t="shared" si="25"/>
        <v>295427180.67725438</v>
      </c>
      <c r="O51" s="179">
        <f t="shared" si="20"/>
        <v>0.39634192871206247</v>
      </c>
      <c r="P51" s="201">
        <f t="shared" si="26"/>
        <v>211572233.56441513</v>
      </c>
      <c r="Q51" s="167"/>
      <c r="R51" s="167">
        <v>388553158</v>
      </c>
      <c r="S51" s="167">
        <v>380696585</v>
      </c>
      <c r="T51" s="167">
        <v>369499765.40710413</v>
      </c>
      <c r="U51" s="167">
        <v>389005128.2717495</v>
      </c>
      <c r="V51" s="167">
        <v>335436359.08540154</v>
      </c>
      <c r="W51" s="167">
        <v>295427180.67725438</v>
      </c>
      <c r="X51" s="167">
        <v>211572233.56441513</v>
      </c>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row>
    <row r="52" spans="1:46" s="166" customFormat="1" ht="15" customHeight="1">
      <c r="A52" s="364">
        <f t="shared" si="18"/>
        <v>35</v>
      </c>
      <c r="B52" s="167" t="s">
        <v>1527</v>
      </c>
      <c r="C52" s="167"/>
      <c r="D52" s="201">
        <f t="shared" si="19"/>
        <v>3917455</v>
      </c>
      <c r="E52" s="179">
        <f t="shared" si="20"/>
        <v>5.0879798357523744E-2</v>
      </c>
      <c r="F52" s="201">
        <f t="shared" si="21"/>
        <v>3727786</v>
      </c>
      <c r="G52" s="179">
        <f t="shared" si="20"/>
        <v>-0.13798673038498507</v>
      </c>
      <c r="H52" s="201">
        <f t="shared" si="22"/>
        <v>4324511.1547585251</v>
      </c>
      <c r="I52" s="179">
        <f t="shared" si="20"/>
        <v>-0.2119801359994038</v>
      </c>
      <c r="J52" s="201">
        <f t="shared" si="23"/>
        <v>5487819.9805826889</v>
      </c>
      <c r="K52" s="179">
        <f t="shared" si="20"/>
        <v>-8.7676061665296665E-2</v>
      </c>
      <c r="L52" s="201">
        <f t="shared" si="24"/>
        <v>6015209.8941959124</v>
      </c>
      <c r="M52" s="179">
        <f t="shared" si="20"/>
        <v>0.18221740346223808</v>
      </c>
      <c r="N52" s="201">
        <f t="shared" si="25"/>
        <v>5088074.2210187297</v>
      </c>
      <c r="O52" s="179">
        <f t="shared" si="20"/>
        <v>1.4392688312156399</v>
      </c>
      <c r="P52" s="201">
        <f t="shared" si="26"/>
        <v>2085901.3799159746</v>
      </c>
      <c r="Q52" s="181"/>
      <c r="R52" s="167">
        <v>3917455</v>
      </c>
      <c r="S52" s="167">
        <v>3727786</v>
      </c>
      <c r="T52" s="167">
        <v>4324511.1547585251</v>
      </c>
      <c r="U52" s="167">
        <v>5487819.9805826889</v>
      </c>
      <c r="V52" s="167">
        <v>6015209.8941959124</v>
      </c>
      <c r="W52" s="167">
        <v>5088074.2210187297</v>
      </c>
      <c r="X52" s="167">
        <v>2085901.3799159746</v>
      </c>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row>
    <row r="53" spans="1:46" s="166" customFormat="1" ht="15" customHeight="1">
      <c r="A53" s="364">
        <f t="shared" si="18"/>
        <v>36</v>
      </c>
      <c r="B53" s="167" t="s">
        <v>1528</v>
      </c>
      <c r="C53" s="167"/>
      <c r="D53" s="201">
        <f t="shared" si="19"/>
        <v>3887744</v>
      </c>
      <c r="E53" s="179">
        <f t="shared" si="20"/>
        <v>5.6594871644349794E-2</v>
      </c>
      <c r="F53" s="201">
        <f t="shared" si="21"/>
        <v>3679503</v>
      </c>
      <c r="G53" s="179">
        <v>1</v>
      </c>
      <c r="H53" s="201">
        <f t="shared" si="22"/>
        <v>0</v>
      </c>
      <c r="I53" s="179">
        <v>0</v>
      </c>
      <c r="J53" s="201">
        <f t="shared" si="23"/>
        <v>0</v>
      </c>
      <c r="K53" s="179">
        <v>0</v>
      </c>
      <c r="L53" s="201">
        <f t="shared" si="24"/>
        <v>0</v>
      </c>
      <c r="M53" s="179">
        <v>0</v>
      </c>
      <c r="N53" s="201">
        <f t="shared" si="25"/>
        <v>0</v>
      </c>
      <c r="O53" s="179">
        <v>0</v>
      </c>
      <c r="P53" s="201">
        <f t="shared" si="26"/>
        <v>0</v>
      </c>
      <c r="Q53" s="167"/>
      <c r="R53" s="167">
        <v>3887744</v>
      </c>
      <c r="S53" s="167">
        <v>3679503</v>
      </c>
      <c r="T53" s="167">
        <v>0</v>
      </c>
      <c r="U53" s="167">
        <v>0</v>
      </c>
      <c r="V53" s="167">
        <v>0</v>
      </c>
      <c r="W53" s="167">
        <v>0</v>
      </c>
      <c r="X53" s="167">
        <v>0</v>
      </c>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row>
    <row r="54" spans="1:46" s="166" customFormat="1" ht="15" customHeight="1">
      <c r="A54" s="364">
        <f t="shared" si="18"/>
        <v>37</v>
      </c>
      <c r="B54" s="167" t="s">
        <v>1529</v>
      </c>
      <c r="C54" s="167"/>
      <c r="D54" s="201">
        <f t="shared" si="19"/>
        <v>16186427</v>
      </c>
      <c r="E54" s="179">
        <f t="shared" si="20"/>
        <v>2.0016845651185371E-2</v>
      </c>
      <c r="F54" s="201">
        <f t="shared" si="21"/>
        <v>15868784</v>
      </c>
      <c r="G54" s="179">
        <f t="shared" si="20"/>
        <v>0.32691973726512735</v>
      </c>
      <c r="H54" s="201">
        <f t="shared" si="22"/>
        <v>11959113.693422522</v>
      </c>
      <c r="I54" s="179">
        <f t="shared" si="20"/>
        <v>-0.71410421875982011</v>
      </c>
      <c r="J54" s="201">
        <f t="shared" si="23"/>
        <v>41830325.867508061</v>
      </c>
      <c r="K54" s="179">
        <f t="shared" si="20"/>
        <v>0.16386778250355377</v>
      </c>
      <c r="L54" s="201">
        <f t="shared" si="24"/>
        <v>35940788.546898656</v>
      </c>
      <c r="M54" s="179">
        <f t="shared" si="20"/>
        <v>5.2641385573758824E-2</v>
      </c>
      <c r="N54" s="201">
        <f t="shared" si="25"/>
        <v>34143431.029275522</v>
      </c>
      <c r="O54" s="179">
        <f t="shared" si="20"/>
        <v>4.1834771017947902E-3</v>
      </c>
      <c r="P54" s="201">
        <f t="shared" si="26"/>
        <v>34001187.838519253</v>
      </c>
      <c r="Q54" s="181"/>
      <c r="R54" s="167">
        <v>16186427</v>
      </c>
      <c r="S54" s="167">
        <v>15868784</v>
      </c>
      <c r="T54" s="167">
        <v>11959113.693422522</v>
      </c>
      <c r="U54" s="167">
        <v>41830325.867508061</v>
      </c>
      <c r="V54" s="167">
        <v>35940788.546898656</v>
      </c>
      <c r="W54" s="167">
        <v>34143431.029275522</v>
      </c>
      <c r="X54" s="167">
        <v>34001187.838519253</v>
      </c>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row>
    <row r="55" spans="1:46" s="166" customFormat="1" ht="15" customHeight="1">
      <c r="A55" s="364">
        <f t="shared" si="18"/>
        <v>38</v>
      </c>
      <c r="B55" s="167" t="s">
        <v>1530</v>
      </c>
      <c r="C55" s="167"/>
      <c r="D55" s="201">
        <f t="shared" si="19"/>
        <v>7573116</v>
      </c>
      <c r="E55" s="179">
        <f t="shared" si="20"/>
        <v>5.0047754579283952E-3</v>
      </c>
      <c r="F55" s="201">
        <f t="shared" si="21"/>
        <v>7535403</v>
      </c>
      <c r="G55" s="179">
        <f t="shared" si="20"/>
        <v>-4.2719729806055352E-2</v>
      </c>
      <c r="H55" s="201">
        <f t="shared" si="22"/>
        <v>7871679</v>
      </c>
      <c r="I55" s="179">
        <f t="shared" si="20"/>
        <v>-6.4539095589179016E-2</v>
      </c>
      <c r="J55" s="201">
        <f t="shared" si="23"/>
        <v>8414760</v>
      </c>
      <c r="K55" s="179">
        <f t="shared" si="20"/>
        <v>6.1950923216928501E-2</v>
      </c>
      <c r="L55" s="201">
        <f t="shared" si="24"/>
        <v>7923869</v>
      </c>
      <c r="M55" s="179">
        <f t="shared" si="20"/>
        <v>-7.0630984436682115E-2</v>
      </c>
      <c r="N55" s="201">
        <f t="shared" si="25"/>
        <v>8526074</v>
      </c>
      <c r="O55" s="179">
        <f t="shared" si="20"/>
        <v>5.4765328932200501E-3</v>
      </c>
      <c r="P55" s="201">
        <f t="shared" si="26"/>
        <v>8479635</v>
      </c>
      <c r="Q55" s="181"/>
      <c r="R55" s="167">
        <v>7573116</v>
      </c>
      <c r="S55" s="167">
        <v>7535403</v>
      </c>
      <c r="T55" s="167">
        <v>7871679</v>
      </c>
      <c r="U55" s="167">
        <v>8414760</v>
      </c>
      <c r="V55" s="167">
        <v>7923869</v>
      </c>
      <c r="W55" s="167">
        <v>8526074</v>
      </c>
      <c r="X55" s="167">
        <v>8479635</v>
      </c>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row>
    <row r="56" spans="1:46" s="166" customFormat="1" ht="15" customHeight="1">
      <c r="A56" s="364">
        <f t="shared" si="18"/>
        <v>39</v>
      </c>
      <c r="B56" s="167" t="s">
        <v>1531</v>
      </c>
      <c r="C56" s="167"/>
      <c r="D56" s="201">
        <f t="shared" si="19"/>
        <v>327488003</v>
      </c>
      <c r="E56" s="179">
        <f t="shared" si="20"/>
        <v>4.8374860518618897E-2</v>
      </c>
      <c r="F56" s="201">
        <f t="shared" si="21"/>
        <v>312376818</v>
      </c>
      <c r="G56" s="179">
        <f t="shared" si="20"/>
        <v>-3.3351546395354315E-2</v>
      </c>
      <c r="H56" s="201">
        <f t="shared" si="22"/>
        <v>323154521</v>
      </c>
      <c r="I56" s="179">
        <f t="shared" si="20"/>
        <v>0.13586252242422761</v>
      </c>
      <c r="J56" s="201">
        <f t="shared" si="23"/>
        <v>284501438</v>
      </c>
      <c r="K56" s="179">
        <f t="shared" si="20"/>
        <v>-0.10563830676942684</v>
      </c>
      <c r="L56" s="201">
        <f t="shared" si="24"/>
        <v>318105572</v>
      </c>
      <c r="M56" s="179">
        <f t="shared" si="20"/>
        <v>0.60890572237076646</v>
      </c>
      <c r="N56" s="201">
        <f t="shared" si="25"/>
        <v>197715483</v>
      </c>
      <c r="O56" s="179">
        <f t="shared" si="20"/>
        <v>7.9639494829223931E-2</v>
      </c>
      <c r="P56" s="201">
        <f t="shared" si="26"/>
        <v>183131021</v>
      </c>
      <c r="Q56" s="167"/>
      <c r="R56" s="167">
        <v>327488003</v>
      </c>
      <c r="S56" s="167">
        <v>312376818</v>
      </c>
      <c r="T56" s="167">
        <v>323154521</v>
      </c>
      <c r="U56" s="167">
        <v>284501438</v>
      </c>
      <c r="V56" s="167">
        <v>318105572</v>
      </c>
      <c r="W56" s="167">
        <v>197715483</v>
      </c>
      <c r="X56" s="167">
        <v>183131021</v>
      </c>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row>
    <row r="57" spans="1:46" s="166" customFormat="1" ht="15" customHeight="1">
      <c r="A57" s="364">
        <f t="shared" si="18"/>
        <v>40</v>
      </c>
      <c r="B57" s="167" t="s">
        <v>1459</v>
      </c>
      <c r="C57" s="167"/>
      <c r="D57" s="200">
        <f>SUM(D50:D56)</f>
        <v>764701076</v>
      </c>
      <c r="E57" s="179">
        <f t="shared" si="20"/>
        <v>3.5270604497012872E-2</v>
      </c>
      <c r="F57" s="200">
        <f>SUM(F50:F56)</f>
        <v>738648497</v>
      </c>
      <c r="G57" s="179">
        <f t="shared" si="20"/>
        <v>7.8265112365985701E-3</v>
      </c>
      <c r="H57" s="200">
        <f>SUM(H50:H56)</f>
        <v>732912350.25528514</v>
      </c>
      <c r="I57" s="179">
        <f t="shared" si="20"/>
        <v>-1.8045045361860083E-2</v>
      </c>
      <c r="J57" s="200">
        <f>SUM(J50:J56)</f>
        <v>746380826.11984026</v>
      </c>
      <c r="K57" s="179">
        <f t="shared" si="20"/>
        <v>3.3716368338498656E-2</v>
      </c>
      <c r="L57" s="200">
        <f>SUM(L50:L56)</f>
        <v>722036381.52649617</v>
      </c>
      <c r="M57" s="179">
        <f t="shared" si="20"/>
        <v>0.2952518256530694</v>
      </c>
      <c r="N57" s="200">
        <f>SUM(N50:N56)</f>
        <v>557448649.92754865</v>
      </c>
      <c r="O57" s="179">
        <f t="shared" si="20"/>
        <v>0.22044728070971356</v>
      </c>
      <c r="P57" s="200">
        <f>SUM(P50:P56)</f>
        <v>456757664.78285038</v>
      </c>
      <c r="Q57" s="167"/>
      <c r="R57" s="167">
        <v>764701076</v>
      </c>
      <c r="S57" s="167">
        <v>738648497</v>
      </c>
      <c r="T57" s="167">
        <v>732912350.25528514</v>
      </c>
      <c r="U57" s="167">
        <v>746380826.11984026</v>
      </c>
      <c r="V57" s="167">
        <v>722036381.52649617</v>
      </c>
      <c r="W57" s="167">
        <v>557448649.92754865</v>
      </c>
      <c r="X57" s="167">
        <v>456757664.78285038</v>
      </c>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row>
    <row r="58" spans="1:46" s="166" customFormat="1" ht="15" customHeight="1">
      <c r="A58" s="364"/>
      <c r="B58" s="167"/>
      <c r="C58" s="167"/>
      <c r="D58" s="202"/>
      <c r="E58" s="182"/>
      <c r="F58" s="202"/>
      <c r="G58" s="182"/>
      <c r="H58" s="202"/>
      <c r="I58" s="182"/>
      <c r="J58" s="202"/>
      <c r="K58" s="182"/>
      <c r="L58" s="202"/>
      <c r="M58" s="182"/>
      <c r="N58" s="202"/>
      <c r="O58" s="182"/>
      <c r="P58" s="202"/>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row>
    <row r="59" spans="1:46" s="166" customFormat="1" ht="15" customHeight="1" thickBot="1">
      <c r="A59" s="364">
        <f>A57+1</f>
        <v>41</v>
      </c>
      <c r="B59" s="167" t="s">
        <v>1460</v>
      </c>
      <c r="D59" s="203">
        <f>D21+D28+D47+D57</f>
        <v>7569928251</v>
      </c>
      <c r="E59" s="179">
        <f t="shared" ref="E59:O59" si="27">(+D59-F59)/F59</f>
        <v>7.1221124823105275E-2</v>
      </c>
      <c r="F59" s="203">
        <f>F21+F28+F47+F57</f>
        <v>7066634587</v>
      </c>
      <c r="G59" s="179">
        <f t="shared" si="27"/>
        <v>4.2811677853196672E-2</v>
      </c>
      <c r="H59" s="203">
        <f>H21+H28+H47+H57</f>
        <v>6776520379.5452852</v>
      </c>
      <c r="I59" s="179">
        <f t="shared" si="27"/>
        <v>2.2134772214416221E-2</v>
      </c>
      <c r="J59" s="203">
        <f>J21+J28+J47+J57</f>
        <v>6629771888.9498405</v>
      </c>
      <c r="K59" s="179">
        <f t="shared" si="27"/>
        <v>7.302667806757296E-3</v>
      </c>
      <c r="L59" s="203">
        <f>L21+L28+L47+L57</f>
        <v>6581707862.8264961</v>
      </c>
      <c r="M59" s="179">
        <f t="shared" si="27"/>
        <v>6.640410522967799E-2</v>
      </c>
      <c r="N59" s="203">
        <f>N21+N28+N47+N57</f>
        <v>6171870335.5975485</v>
      </c>
      <c r="O59" s="179">
        <f t="shared" si="27"/>
        <v>0.10606923318285959</v>
      </c>
      <c r="P59" s="203">
        <f>P21+P28+P47+P57</f>
        <v>5580003629.4628506</v>
      </c>
      <c r="Q59" s="167"/>
      <c r="R59" s="166">
        <v>7569928251</v>
      </c>
      <c r="S59" s="166">
        <v>7066634587</v>
      </c>
      <c r="T59" s="166">
        <v>6776520379.5452852</v>
      </c>
      <c r="U59" s="166">
        <v>6629771888.9498405</v>
      </c>
      <c r="V59" s="166">
        <v>6581707862.8264961</v>
      </c>
      <c r="W59" s="166">
        <v>6171870335.5975485</v>
      </c>
      <c r="X59" s="166">
        <v>5580003629.4628506</v>
      </c>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row>
    <row r="60" spans="1:46" s="166" customFormat="1" ht="15" customHeight="1" thickTop="1">
      <c r="A60" s="364"/>
      <c r="B60" s="167"/>
      <c r="C60" s="167"/>
      <c r="D60" s="167"/>
      <c r="E60" s="167"/>
      <c r="F60" s="167"/>
      <c r="G60" s="167"/>
      <c r="H60" s="167"/>
      <c r="I60" s="167"/>
      <c r="J60" s="167"/>
      <c r="K60" s="167"/>
      <c r="L60" s="167"/>
      <c r="M60" s="167"/>
      <c r="N60" s="167"/>
      <c r="O60" s="167"/>
      <c r="P60" s="167"/>
      <c r="Q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row>
    <row r="61" spans="1:46" s="166" customFormat="1" ht="15" customHeight="1">
      <c r="A61" s="364"/>
      <c r="B61" s="167"/>
      <c r="C61" s="167"/>
      <c r="D61" s="167"/>
      <c r="E61" s="167"/>
      <c r="F61" s="167"/>
      <c r="G61" s="167"/>
      <c r="H61" s="167"/>
      <c r="I61" s="167"/>
      <c r="J61" s="167"/>
      <c r="K61" s="167"/>
      <c r="L61" s="167"/>
      <c r="M61" s="167"/>
      <c r="N61" s="167"/>
      <c r="O61" s="167"/>
      <c r="P61" s="167"/>
      <c r="Q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row>
    <row r="62" spans="1:46" s="166" customFormat="1" ht="15" customHeight="1">
      <c r="A62" s="165" t="str">
        <f>+A1</f>
        <v>KENTUCKY UTILITIES COMPANY</v>
      </c>
      <c r="B62" s="165"/>
      <c r="C62" s="165"/>
      <c r="D62" s="165"/>
      <c r="E62" s="165"/>
      <c r="F62" s="165"/>
      <c r="G62" s="165"/>
      <c r="H62" s="165"/>
      <c r="I62" s="165"/>
      <c r="J62" s="165"/>
      <c r="K62" s="165"/>
      <c r="L62" s="165"/>
      <c r="M62" s="165"/>
      <c r="N62" s="165"/>
      <c r="O62" s="165"/>
      <c r="P62" s="165"/>
    </row>
    <row r="63" spans="1:46" s="166" customFormat="1" ht="15" customHeight="1">
      <c r="A63" s="165" t="str">
        <f>+A2</f>
        <v>CASE NO. 2018-00294 - RESPONSE TO PSC 2-65 (SLIPPAGE FACTOR 96.027%)</v>
      </c>
      <c r="B63" s="165"/>
      <c r="C63" s="165"/>
      <c r="D63" s="165"/>
      <c r="E63" s="165"/>
      <c r="F63" s="165"/>
      <c r="G63" s="165"/>
      <c r="H63" s="165"/>
      <c r="I63" s="165"/>
      <c r="J63" s="165"/>
      <c r="K63" s="165"/>
      <c r="L63" s="165"/>
      <c r="M63" s="165"/>
      <c r="N63" s="165"/>
      <c r="O63" s="165"/>
      <c r="P63" s="165"/>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row>
    <row r="64" spans="1:46" s="166" customFormat="1" ht="15" customHeight="1">
      <c r="A64" s="165" t="str">
        <f>+A3</f>
        <v>COMPARATIVE BALANCE SHEETS - JURISDICTIONAL</v>
      </c>
      <c r="B64" s="165"/>
      <c r="C64" s="165"/>
      <c r="D64" s="165"/>
      <c r="E64" s="165"/>
      <c r="F64" s="165"/>
      <c r="G64" s="165"/>
      <c r="H64" s="165"/>
      <c r="I64" s="165"/>
      <c r="J64" s="165"/>
      <c r="K64" s="165"/>
      <c r="L64" s="165"/>
      <c r="M64" s="165"/>
      <c r="N64" s="165"/>
      <c r="O64" s="165"/>
      <c r="P64" s="165"/>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row>
    <row r="65" spans="1:46" s="166" customFormat="1" ht="15" customHeight="1">
      <c r="A65" s="165" t="str">
        <f>+A4</f>
        <v>AS OF  DECEMBER 31, 2013 - 2017 AND BASE AND FORECASTED PERIODS</v>
      </c>
      <c r="B65" s="165"/>
      <c r="C65" s="165"/>
      <c r="D65" s="165"/>
      <c r="E65" s="165"/>
      <c r="F65" s="165"/>
      <c r="G65" s="165"/>
      <c r="H65" s="165"/>
      <c r="I65" s="165"/>
      <c r="J65" s="165"/>
      <c r="K65" s="165"/>
      <c r="L65" s="165"/>
      <c r="M65" s="165"/>
      <c r="N65" s="165"/>
      <c r="O65" s="165"/>
      <c r="P65" s="165"/>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row>
    <row r="66" spans="1:46" s="166" customFormat="1" ht="15" customHeight="1">
      <c r="A66" s="168"/>
      <c r="B66" s="165"/>
      <c r="C66" s="165"/>
      <c r="D66" s="165"/>
      <c r="E66" s="165"/>
      <c r="F66" s="165"/>
      <c r="G66" s="165"/>
      <c r="H66" s="165"/>
      <c r="I66" s="165"/>
      <c r="J66" s="165"/>
      <c r="K66" s="165"/>
      <c r="L66" s="165"/>
      <c r="M66" s="165"/>
      <c r="N66" s="165"/>
      <c r="O66" s="165"/>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row>
    <row r="67" spans="1:46" s="166" customFormat="1" ht="15" customHeight="1">
      <c r="A67" s="184" t="str">
        <f>+A6</f>
        <v>DATA:__X__BASE  PERIOD__X__FORECASTED  PERIOD</v>
      </c>
      <c r="B67" s="167"/>
      <c r="C67" s="167"/>
      <c r="D67" s="167"/>
      <c r="E67" s="167"/>
      <c r="F67" s="167"/>
      <c r="G67" s="167"/>
      <c r="H67" s="167"/>
      <c r="I67" s="167"/>
      <c r="J67" s="167"/>
      <c r="K67" s="167"/>
      <c r="L67" s="167"/>
      <c r="M67" s="167"/>
      <c r="N67" s="167"/>
      <c r="O67" s="167"/>
      <c r="P67" s="169" t="s">
        <v>1461</v>
      </c>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row>
    <row r="68" spans="1:46" s="166" customFormat="1" ht="15" customHeight="1">
      <c r="A68" s="184" t="str">
        <f>+A7</f>
        <v>TYPE OF FILING: __X__ ORIGINAL  _____ UPDATED  _____ REVISED</v>
      </c>
      <c r="B68" s="167"/>
      <c r="C68" s="167"/>
      <c r="D68" s="167"/>
      <c r="E68" s="167"/>
      <c r="F68" s="167"/>
      <c r="G68" s="167"/>
      <c r="H68" s="167"/>
      <c r="I68" s="167"/>
      <c r="J68" s="167"/>
      <c r="K68" s="167"/>
      <c r="L68" s="167"/>
      <c r="M68" s="167"/>
      <c r="N68" s="167"/>
      <c r="O68" s="167"/>
      <c r="P68" s="169" t="s">
        <v>2065</v>
      </c>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row>
    <row r="69" spans="1:46" s="166" customFormat="1" ht="15" customHeight="1">
      <c r="A69" s="184" t="str">
        <f>+A8</f>
        <v xml:space="preserve">WORKPAPER REFERENCE NO(S).:  </v>
      </c>
      <c r="B69" s="167"/>
      <c r="C69" s="167"/>
      <c r="D69" s="167"/>
      <c r="E69" s="167"/>
      <c r="F69" s="167"/>
      <c r="G69" s="167"/>
      <c r="H69" s="167"/>
      <c r="I69" s="167"/>
      <c r="J69" s="167"/>
      <c r="K69" s="167"/>
      <c r="L69" s="167"/>
      <c r="M69" s="167"/>
      <c r="N69" s="167"/>
      <c r="O69" s="167"/>
      <c r="P69" s="169" t="str">
        <f>P8</f>
        <v>WITNESS:   C. M. GARRETT</v>
      </c>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row>
    <row r="70" spans="1:46" ht="15" customHeight="1" thickBot="1"/>
    <row r="71" spans="1:46" s="166" customFormat="1" ht="15" customHeight="1">
      <c r="A71" s="173"/>
      <c r="B71" s="173"/>
      <c r="C71" s="173"/>
      <c r="D71" s="176" t="s">
        <v>1480</v>
      </c>
      <c r="E71" s="173"/>
      <c r="F71" s="173"/>
      <c r="G71" s="173"/>
      <c r="H71" s="173"/>
      <c r="I71" s="173"/>
      <c r="J71" s="173"/>
      <c r="K71" s="173"/>
      <c r="L71" s="173"/>
      <c r="M71" s="173"/>
      <c r="N71" s="173"/>
      <c r="O71" s="173"/>
      <c r="P71" s="173"/>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row>
    <row r="72" spans="1:46" s="166" customFormat="1" ht="15" customHeight="1">
      <c r="A72" s="364" t="s">
        <v>1466</v>
      </c>
      <c r="B72" s="167"/>
      <c r="C72" s="167"/>
      <c r="D72" s="364" t="s">
        <v>1462</v>
      </c>
      <c r="E72" s="167"/>
      <c r="F72" s="364" t="s">
        <v>1465</v>
      </c>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row>
    <row r="73" spans="1:46" s="166" customFormat="1" ht="15" customHeight="1" thickBot="1">
      <c r="A73" s="364" t="s">
        <v>1467</v>
      </c>
      <c r="B73" s="364" t="s">
        <v>205</v>
      </c>
      <c r="C73" s="167"/>
      <c r="D73" s="364" t="s">
        <v>1463</v>
      </c>
      <c r="E73" s="364" t="s">
        <v>1464</v>
      </c>
      <c r="F73" s="364" t="s">
        <v>1463</v>
      </c>
      <c r="G73" s="364" t="s">
        <v>1464</v>
      </c>
      <c r="H73" s="175">
        <f>+H12</f>
        <v>2017</v>
      </c>
      <c r="I73" s="364" t="s">
        <v>1464</v>
      </c>
      <c r="J73" s="175">
        <f>+J12</f>
        <v>2016</v>
      </c>
      <c r="K73" s="364" t="s">
        <v>1464</v>
      </c>
      <c r="L73" s="175">
        <f>+L12</f>
        <v>2015</v>
      </c>
      <c r="M73" s="364" t="s">
        <v>1464</v>
      </c>
      <c r="N73" s="175">
        <f>+N12</f>
        <v>2014</v>
      </c>
      <c r="O73" s="364" t="s">
        <v>1464</v>
      </c>
      <c r="P73" s="175">
        <f>+P12</f>
        <v>2013</v>
      </c>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row>
    <row r="74" spans="1:46" s="166" customFormat="1" ht="15" customHeight="1">
      <c r="A74" s="176"/>
      <c r="B74" s="177"/>
      <c r="C74" s="177"/>
      <c r="D74" s="177"/>
      <c r="E74" s="177"/>
      <c r="F74" s="177"/>
      <c r="G74" s="177"/>
      <c r="H74" s="177"/>
      <c r="I74" s="177"/>
      <c r="J74" s="177"/>
      <c r="K74" s="177"/>
      <c r="L74" s="177"/>
      <c r="M74" s="177"/>
      <c r="N74" s="177"/>
      <c r="O74" s="177"/>
      <c r="P74" s="17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row>
    <row r="75" spans="1:46" s="166" customFormat="1" ht="15" customHeight="1">
      <c r="A75" s="364">
        <v>1</v>
      </c>
      <c r="B75" s="780" t="s">
        <v>1532</v>
      </c>
      <c r="C75" s="780"/>
      <c r="D75" s="167"/>
      <c r="E75" s="167"/>
      <c r="F75" s="167"/>
      <c r="G75" s="167"/>
      <c r="H75" s="167"/>
      <c r="I75" s="167"/>
      <c r="J75" s="167"/>
      <c r="K75" s="167"/>
      <c r="L75" s="167"/>
      <c r="M75" s="167"/>
      <c r="N75" s="167"/>
      <c r="O75" s="167"/>
      <c r="P75" s="167"/>
      <c r="Q75" s="180"/>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row>
    <row r="76" spans="1:46" s="166" customFormat="1" ht="15" customHeight="1">
      <c r="A76" s="364"/>
      <c r="B76" s="365"/>
      <c r="C76" s="365"/>
      <c r="D76" s="167"/>
      <c r="E76" s="167"/>
      <c r="F76" s="167"/>
      <c r="G76" s="167"/>
      <c r="H76" s="167"/>
      <c r="I76" s="167"/>
      <c r="J76" s="167"/>
      <c r="K76" s="167"/>
      <c r="L76" s="167"/>
      <c r="M76" s="167"/>
      <c r="N76" s="167"/>
      <c r="O76" s="167"/>
      <c r="P76" s="167"/>
      <c r="Q76" s="180"/>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row>
    <row r="77" spans="1:46" s="166" customFormat="1" ht="15" customHeight="1">
      <c r="A77" s="364">
        <f>A75+1</f>
        <v>2</v>
      </c>
      <c r="B77" s="178" t="s">
        <v>1446</v>
      </c>
      <c r="C77" s="167"/>
      <c r="D77" s="207"/>
      <c r="E77" s="192"/>
      <c r="F77" s="207"/>
      <c r="G77" s="192"/>
      <c r="H77" s="207"/>
      <c r="I77" s="192"/>
      <c r="J77" s="207"/>
      <c r="K77" s="192"/>
      <c r="L77" s="207"/>
      <c r="M77" s="192"/>
      <c r="N77" s="207"/>
      <c r="O77" s="192"/>
      <c r="P77" s="207"/>
      <c r="Q77" s="181"/>
      <c r="R77" s="167" t="s">
        <v>1462</v>
      </c>
      <c r="S77" s="167" t="s">
        <v>1465</v>
      </c>
      <c r="T77" s="464" t="str">
        <f>T16</f>
        <v>2017</v>
      </c>
      <c r="U77" s="464" t="str">
        <f>U16</f>
        <v>2016</v>
      </c>
      <c r="V77" s="464" t="s">
        <v>2259</v>
      </c>
      <c r="W77" s="464" t="s">
        <v>2260</v>
      </c>
      <c r="X77" s="167" t="s">
        <v>2098</v>
      </c>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row>
    <row r="78" spans="1:46" s="166" customFormat="1" ht="15" customHeight="1">
      <c r="A78" s="364">
        <f>A77+1</f>
        <v>3</v>
      </c>
      <c r="B78" s="167" t="s">
        <v>1533</v>
      </c>
      <c r="C78" s="167"/>
      <c r="D78" s="204">
        <f t="shared" ref="D78:D83" si="28">R78</f>
        <v>288942857</v>
      </c>
      <c r="E78" s="179">
        <f t="shared" ref="E78:O84" si="29">(+D78-F78)/F78</f>
        <v>5.0879749027345739E-2</v>
      </c>
      <c r="F78" s="204">
        <f t="shared" ref="F78:F83" si="30">S78</f>
        <v>274953302</v>
      </c>
      <c r="G78" s="179">
        <f t="shared" si="29"/>
        <v>4.8488093010187137E-4</v>
      </c>
      <c r="H78" s="204">
        <f t="shared" ref="H78:H83" si="31">T78</f>
        <v>274820047</v>
      </c>
      <c r="I78" s="179">
        <f t="shared" si="29"/>
        <v>1.1386564802625586E-4</v>
      </c>
      <c r="J78" s="204">
        <f t="shared" ref="J78:J83" si="32">U78</f>
        <v>274788758</v>
      </c>
      <c r="K78" s="179">
        <f t="shared" si="29"/>
        <v>2.4349550236494768E-3</v>
      </c>
      <c r="L78" s="204">
        <f t="shared" ref="L78:L83" si="33">V78</f>
        <v>274121285</v>
      </c>
      <c r="M78" s="179">
        <f t="shared" si="29"/>
        <v>6.8526833734107516E-4</v>
      </c>
      <c r="N78" s="204">
        <f t="shared" ref="N78:N83" si="34">W78</f>
        <v>273933567</v>
      </c>
      <c r="O78" s="179">
        <f t="shared" si="29"/>
        <v>1.0464782664186862E-2</v>
      </c>
      <c r="P78" s="204">
        <f t="shared" ref="P78:P83" si="35">X78</f>
        <v>271096600</v>
      </c>
      <c r="Q78" s="181"/>
      <c r="R78" s="167">
        <v>288942857</v>
      </c>
      <c r="S78" s="167">
        <v>274953302</v>
      </c>
      <c r="T78" s="167">
        <v>274820047</v>
      </c>
      <c r="U78" s="167">
        <v>274788758</v>
      </c>
      <c r="V78" s="167">
        <v>274121285</v>
      </c>
      <c r="W78" s="167">
        <v>273933567</v>
      </c>
      <c r="X78" s="167">
        <v>271096600</v>
      </c>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row>
    <row r="79" spans="1:46" s="166" customFormat="1" ht="15" customHeight="1">
      <c r="A79" s="364">
        <f t="shared" ref="A79:A84" si="36">A78+1</f>
        <v>4</v>
      </c>
      <c r="B79" s="167" t="s">
        <v>1534</v>
      </c>
      <c r="C79" s="167"/>
      <c r="D79" s="195">
        <f t="shared" si="28"/>
        <v>719028576</v>
      </c>
      <c r="E79" s="179">
        <f t="shared" si="29"/>
        <v>0.15919788822207118</v>
      </c>
      <c r="F79" s="195">
        <f t="shared" si="30"/>
        <v>620281130</v>
      </c>
      <c r="G79" s="179">
        <f t="shared" si="29"/>
        <v>0.19118964573787195</v>
      </c>
      <c r="H79" s="195">
        <f t="shared" si="31"/>
        <v>520724078</v>
      </c>
      <c r="I79" s="179">
        <f t="shared" si="29"/>
        <v>1.1386596695403211E-4</v>
      </c>
      <c r="J79" s="195">
        <f t="shared" si="32"/>
        <v>520664792</v>
      </c>
      <c r="K79" s="179">
        <f t="shared" si="29"/>
        <v>3.7991240169000545E-2</v>
      </c>
      <c r="L79" s="195">
        <f t="shared" si="33"/>
        <v>501608079</v>
      </c>
      <c r="M79" s="179">
        <f t="shared" si="29"/>
        <v>6.8526685185948477E-4</v>
      </c>
      <c r="N79" s="195">
        <f t="shared" si="34"/>
        <v>501264579</v>
      </c>
      <c r="O79" s="179">
        <f t="shared" si="29"/>
        <v>0.20492544146637284</v>
      </c>
      <c r="P79" s="195">
        <f t="shared" si="35"/>
        <v>416012943</v>
      </c>
      <c r="Q79" s="167"/>
      <c r="R79" s="167">
        <v>719028576</v>
      </c>
      <c r="S79" s="167">
        <v>620281130</v>
      </c>
      <c r="T79" s="167">
        <v>520724078</v>
      </c>
      <c r="U79" s="167">
        <v>520664792</v>
      </c>
      <c r="V79" s="167">
        <v>501608079</v>
      </c>
      <c r="W79" s="167">
        <v>501264579</v>
      </c>
      <c r="X79" s="167">
        <v>416012943</v>
      </c>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row>
    <row r="80" spans="1:46" s="166" customFormat="1" ht="15" customHeight="1">
      <c r="A80" s="364">
        <f t="shared" si="36"/>
        <v>5</v>
      </c>
      <c r="B80" s="167" t="s">
        <v>1535</v>
      </c>
      <c r="C80" s="167"/>
      <c r="D80" s="195">
        <f t="shared" si="28"/>
        <v>301273</v>
      </c>
      <c r="E80" s="179">
        <f t="shared" si="29"/>
        <v>5.0881452181131971E-2</v>
      </c>
      <c r="F80" s="195">
        <f t="shared" si="30"/>
        <v>286686</v>
      </c>
      <c r="G80" s="179">
        <f t="shared" si="29"/>
        <v>4.8508621622281859E-4</v>
      </c>
      <c r="H80" s="195">
        <f t="shared" si="31"/>
        <v>286547</v>
      </c>
      <c r="I80" s="179">
        <f t="shared" si="29"/>
        <v>1.1517761784764444E-4</v>
      </c>
      <c r="J80" s="195">
        <f t="shared" si="32"/>
        <v>286514</v>
      </c>
      <c r="K80" s="179">
        <f t="shared" si="29"/>
        <v>2.4316088153691672E-3</v>
      </c>
      <c r="L80" s="195">
        <f t="shared" si="33"/>
        <v>285819</v>
      </c>
      <c r="M80" s="179">
        <f t="shared" si="29"/>
        <v>6.862192470494323E-4</v>
      </c>
      <c r="N80" s="195">
        <f t="shared" si="34"/>
        <v>285623</v>
      </c>
      <c r="O80" s="179">
        <f t="shared" si="29"/>
        <v>1.0464684343657688E-2</v>
      </c>
      <c r="P80" s="195">
        <f t="shared" si="35"/>
        <v>282665</v>
      </c>
      <c r="Q80" s="181"/>
      <c r="R80" s="167">
        <v>301273</v>
      </c>
      <c r="S80" s="167">
        <v>286686</v>
      </c>
      <c r="T80" s="167">
        <v>286547</v>
      </c>
      <c r="U80" s="167">
        <v>286514</v>
      </c>
      <c r="V80" s="167">
        <v>285819</v>
      </c>
      <c r="W80" s="167">
        <v>285623</v>
      </c>
      <c r="X80" s="167">
        <v>282665</v>
      </c>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row>
    <row r="81" spans="1:46" s="166" customFormat="1" ht="15" customHeight="1">
      <c r="A81" s="364">
        <f t="shared" si="36"/>
        <v>6</v>
      </c>
      <c r="B81" s="167" t="s">
        <v>1536</v>
      </c>
      <c r="C81" s="167"/>
      <c r="D81" s="195">
        <f t="shared" si="28"/>
        <v>0</v>
      </c>
      <c r="E81" s="179">
        <v>0</v>
      </c>
      <c r="F81" s="195">
        <f t="shared" si="30"/>
        <v>0</v>
      </c>
      <c r="G81" s="179">
        <v>0</v>
      </c>
      <c r="H81" s="195">
        <f t="shared" si="31"/>
        <v>0</v>
      </c>
      <c r="I81" s="179">
        <f t="shared" si="29"/>
        <v>-1</v>
      </c>
      <c r="J81" s="195">
        <f t="shared" si="32"/>
        <v>-1616953</v>
      </c>
      <c r="K81" s="179">
        <f t="shared" si="29"/>
        <v>0.11701118632523033</v>
      </c>
      <c r="L81" s="195">
        <f t="shared" si="33"/>
        <v>-1447571</v>
      </c>
      <c r="M81" s="179">
        <v>1</v>
      </c>
      <c r="N81" s="201">
        <f t="shared" si="34"/>
        <v>-1095689</v>
      </c>
      <c r="O81" s="179">
        <v>0</v>
      </c>
      <c r="P81" s="201">
        <f t="shared" si="35"/>
        <v>-806780</v>
      </c>
      <c r="Q81" s="181"/>
      <c r="R81" s="167">
        <v>0</v>
      </c>
      <c r="S81" s="167">
        <v>0</v>
      </c>
      <c r="T81" s="195">
        <v>0</v>
      </c>
      <c r="U81" s="195">
        <v>-1616953</v>
      </c>
      <c r="V81" s="195">
        <v>-1447571</v>
      </c>
      <c r="W81" s="195">
        <v>-1095689</v>
      </c>
      <c r="X81" s="195">
        <v>-806780</v>
      </c>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row>
    <row r="82" spans="1:46" s="166" customFormat="1" ht="15" customHeight="1">
      <c r="A82" s="364">
        <f t="shared" si="36"/>
        <v>7</v>
      </c>
      <c r="B82" s="167" t="s">
        <v>1537</v>
      </c>
      <c r="C82" s="167"/>
      <c r="D82" s="195">
        <f t="shared" si="28"/>
        <v>1807256406</v>
      </c>
      <c r="E82" s="179">
        <f t="shared" si="29"/>
        <v>7.1792571635522329E-2</v>
      </c>
      <c r="F82" s="195">
        <f t="shared" si="30"/>
        <v>1686199787</v>
      </c>
      <c r="G82" s="179">
        <f t="shared" si="29"/>
        <v>1.7665373113950618E-2</v>
      </c>
      <c r="H82" s="195">
        <f t="shared" si="31"/>
        <v>1656929509</v>
      </c>
      <c r="I82" s="179">
        <f t="shared" si="29"/>
        <v>1.7145728595759621E-2</v>
      </c>
      <c r="J82" s="195">
        <f t="shared" si="32"/>
        <v>1628999132</v>
      </c>
      <c r="K82" s="179">
        <f t="shared" si="29"/>
        <v>1.2079881883591905E-2</v>
      </c>
      <c r="L82" s="195">
        <f t="shared" si="33"/>
        <v>1609555887</v>
      </c>
      <c r="M82" s="179">
        <f t="shared" si="29"/>
        <v>4.7170339702767516E-2</v>
      </c>
      <c r="N82" s="195">
        <f t="shared" si="34"/>
        <v>1537052594</v>
      </c>
      <c r="O82" s="179">
        <f t="shared" si="29"/>
        <v>5.4022198426410907E-2</v>
      </c>
      <c r="P82" s="195">
        <f t="shared" si="35"/>
        <v>1458273456</v>
      </c>
      <c r="Q82" s="181"/>
      <c r="R82" s="167">
        <v>1807256406</v>
      </c>
      <c r="S82" s="167">
        <v>1686199787</v>
      </c>
      <c r="T82" s="167">
        <v>1656929509</v>
      </c>
      <c r="U82" s="167">
        <v>1628999132</v>
      </c>
      <c r="V82" s="167">
        <v>1609555887</v>
      </c>
      <c r="W82" s="167">
        <v>1537052594</v>
      </c>
      <c r="X82" s="167">
        <v>1458273456</v>
      </c>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row>
    <row r="83" spans="1:46" s="166" customFormat="1" ht="15" customHeight="1">
      <c r="A83" s="364">
        <f t="shared" si="36"/>
        <v>8</v>
      </c>
      <c r="B83" s="167" t="s">
        <v>1538</v>
      </c>
      <c r="C83" s="167"/>
      <c r="D83" s="206">
        <f t="shared" si="28"/>
        <v>0</v>
      </c>
      <c r="E83" s="179">
        <v>0</v>
      </c>
      <c r="F83" s="206">
        <f t="shared" si="30"/>
        <v>0</v>
      </c>
      <c r="G83" s="179">
        <v>0</v>
      </c>
      <c r="H83" s="206">
        <f t="shared" si="31"/>
        <v>0</v>
      </c>
      <c r="I83" s="179">
        <v>0</v>
      </c>
      <c r="J83" s="206">
        <f t="shared" si="32"/>
        <v>0</v>
      </c>
      <c r="K83" s="179">
        <v>0</v>
      </c>
      <c r="L83" s="206">
        <f t="shared" si="33"/>
        <v>0</v>
      </c>
      <c r="M83" s="179">
        <v>0</v>
      </c>
      <c r="N83" s="206">
        <f t="shared" si="34"/>
        <v>0</v>
      </c>
      <c r="O83" s="179">
        <v>0</v>
      </c>
      <c r="P83" s="206">
        <f t="shared" si="35"/>
        <v>0</v>
      </c>
      <c r="Q83" s="181"/>
      <c r="R83" s="167">
        <v>0</v>
      </c>
      <c r="S83" s="167">
        <v>0</v>
      </c>
      <c r="T83" s="167"/>
      <c r="U83" s="167"/>
      <c r="V83" s="167">
        <v>0</v>
      </c>
      <c r="W83" s="167">
        <v>0</v>
      </c>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row>
    <row r="84" spans="1:46" s="166" customFormat="1" ht="15" customHeight="1">
      <c r="A84" s="364">
        <f t="shared" si="36"/>
        <v>9</v>
      </c>
      <c r="B84" s="167" t="s">
        <v>1539</v>
      </c>
      <c r="C84" s="167"/>
      <c r="D84" s="200">
        <f>SUM(D78,D79,-D80,D81,D82,D83)</f>
        <v>2814926566</v>
      </c>
      <c r="E84" s="179">
        <f t="shared" si="29"/>
        <v>9.057174377331495E-2</v>
      </c>
      <c r="F84" s="200">
        <f>SUM(F78,F79,-F80,F81,F82,F83)</f>
        <v>2581147533</v>
      </c>
      <c r="G84" s="179">
        <f t="shared" si="29"/>
        <v>5.2589970269262737E-2</v>
      </c>
      <c r="H84" s="200">
        <f>SUM(H78,H79,-H80,H81,H82,H83)</f>
        <v>2452187087</v>
      </c>
      <c r="I84" s="179">
        <f t="shared" si="29"/>
        <v>1.2234167139510518E-2</v>
      </c>
      <c r="J84" s="200">
        <f>SUM(J78,J79,-J80,J81,J82,J83)</f>
        <v>2422549215</v>
      </c>
      <c r="K84" s="179">
        <f t="shared" si="29"/>
        <v>1.6361026012515194E-2</v>
      </c>
      <c r="L84" s="200">
        <f>SUM(L78,L79,-L80,L81,L82,L83)</f>
        <v>2383551861</v>
      </c>
      <c r="M84" s="179">
        <f t="shared" si="29"/>
        <v>3.1452418782010043E-2</v>
      </c>
      <c r="N84" s="200">
        <f>SUM(N78,N79,-N80,N81,N82,N83)</f>
        <v>2310869428</v>
      </c>
      <c r="O84" s="179">
        <f t="shared" si="29"/>
        <v>7.7683334769750464E-2</v>
      </c>
      <c r="P84" s="200">
        <f>SUM(P78,P79,-P80,P81,P82,P83)</f>
        <v>2144293554</v>
      </c>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row>
    <row r="85" spans="1:46" s="166" customFormat="1" ht="15" customHeight="1">
      <c r="A85" s="364"/>
      <c r="B85" s="167"/>
      <c r="C85" s="167"/>
      <c r="D85" s="185"/>
      <c r="E85" s="194"/>
      <c r="F85" s="185"/>
      <c r="G85" s="194"/>
      <c r="H85" s="185"/>
      <c r="I85" s="194"/>
      <c r="J85" s="185"/>
      <c r="K85" s="194"/>
      <c r="L85" s="185"/>
      <c r="M85" s="194"/>
      <c r="N85" s="185"/>
      <c r="O85" s="194"/>
      <c r="P85" s="185"/>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row>
    <row r="86" spans="1:46" s="166" customFormat="1" ht="15" customHeight="1">
      <c r="A86" s="364">
        <f>A84+1</f>
        <v>10</v>
      </c>
      <c r="B86" s="178" t="s">
        <v>1447</v>
      </c>
      <c r="C86" s="167"/>
      <c r="D86" s="193"/>
      <c r="E86" s="192"/>
      <c r="F86" s="193"/>
      <c r="G86" s="192"/>
      <c r="H86" s="193"/>
      <c r="I86" s="192"/>
      <c r="J86" s="193"/>
      <c r="K86" s="192"/>
      <c r="L86" s="193"/>
      <c r="M86" s="192"/>
      <c r="N86" s="193"/>
      <c r="O86" s="192"/>
      <c r="P86" s="193"/>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row>
    <row r="87" spans="1:46" s="166" customFormat="1" ht="15" customHeight="1">
      <c r="A87" s="364">
        <f t="shared" ref="A87:A90" si="37">A86+1</f>
        <v>11</v>
      </c>
      <c r="B87" s="167" t="s">
        <v>1540</v>
      </c>
      <c r="C87" s="167"/>
      <c r="D87" s="204">
        <f>R87</f>
        <v>2455625769</v>
      </c>
      <c r="E87" s="179">
        <f t="shared" ref="E87:O90" si="38">(+D87-F87)/F87</f>
        <v>0.17514584381456022</v>
      </c>
      <c r="F87" s="204">
        <f>S87</f>
        <v>2089634901</v>
      </c>
      <c r="G87" s="179">
        <f t="shared" si="38"/>
        <v>-3.3144240508319964E-3</v>
      </c>
      <c r="H87" s="204">
        <f t="shared" ref="H87:H89" si="39">T87</f>
        <v>2096583869</v>
      </c>
      <c r="I87" s="179">
        <f t="shared" si="38"/>
        <v>1.138653136151861E-4</v>
      </c>
      <c r="J87" s="204">
        <f t="shared" ref="J87:J89" si="40">U87</f>
        <v>2096345168</v>
      </c>
      <c r="K87" s="179">
        <f t="shared" si="38"/>
        <v>2.4349544741993543E-3</v>
      </c>
      <c r="L87" s="204">
        <f t="shared" ref="L87:L89" si="41">V87</f>
        <v>2091253062</v>
      </c>
      <c r="M87" s="179">
        <f t="shared" si="38"/>
        <v>0.11977026893731489</v>
      </c>
      <c r="N87" s="204">
        <f t="shared" ref="N87:N89" si="42">W87</f>
        <v>1867573305</v>
      </c>
      <c r="O87" s="179">
        <f t="shared" si="38"/>
        <v>1.0464781698469936E-2</v>
      </c>
      <c r="P87" s="204">
        <f t="shared" ref="P87:P89" si="43">X87</f>
        <v>1848231961</v>
      </c>
      <c r="Q87" s="167"/>
      <c r="R87" s="167">
        <v>2455625769</v>
      </c>
      <c r="S87" s="167">
        <v>2089634901</v>
      </c>
      <c r="T87" s="167">
        <v>2096583869</v>
      </c>
      <c r="U87" s="167">
        <v>2096345168</v>
      </c>
      <c r="V87" s="167">
        <v>2091253062</v>
      </c>
      <c r="W87" s="167">
        <v>1867573305</v>
      </c>
      <c r="X87" s="167">
        <v>1848231961</v>
      </c>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row>
    <row r="88" spans="1:46" s="166" customFormat="1" ht="15" customHeight="1">
      <c r="A88" s="364">
        <f t="shared" si="37"/>
        <v>12</v>
      </c>
      <c r="B88" s="167" t="s">
        <v>1562</v>
      </c>
      <c r="C88" s="167"/>
      <c r="D88" s="201">
        <f>R88</f>
        <v>0</v>
      </c>
      <c r="E88" s="179">
        <v>0</v>
      </c>
      <c r="F88" s="201">
        <f>S88</f>
        <v>0</v>
      </c>
      <c r="G88" s="179">
        <v>0</v>
      </c>
      <c r="H88" s="201">
        <f t="shared" si="39"/>
        <v>0</v>
      </c>
      <c r="I88" s="179">
        <v>0</v>
      </c>
      <c r="J88" s="201">
        <f t="shared" si="40"/>
        <v>0</v>
      </c>
      <c r="K88" s="179">
        <v>0</v>
      </c>
      <c r="L88" s="201">
        <f t="shared" si="41"/>
        <v>0</v>
      </c>
      <c r="M88" s="179">
        <v>0</v>
      </c>
      <c r="N88" s="201">
        <f t="shared" si="42"/>
        <v>0</v>
      </c>
      <c r="O88" s="179">
        <v>0</v>
      </c>
      <c r="P88" s="201">
        <f t="shared" si="43"/>
        <v>0</v>
      </c>
      <c r="Q88" s="181"/>
      <c r="R88" s="167">
        <v>0</v>
      </c>
      <c r="S88" s="167">
        <v>0</v>
      </c>
      <c r="T88" s="167"/>
      <c r="U88" s="167"/>
      <c r="V88" s="167">
        <v>0</v>
      </c>
      <c r="W88" s="167">
        <v>0</v>
      </c>
      <c r="X88" s="167">
        <v>0</v>
      </c>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row>
    <row r="89" spans="1:46" s="166" customFormat="1" ht="15" customHeight="1">
      <c r="A89" s="364">
        <f t="shared" si="37"/>
        <v>13</v>
      </c>
      <c r="B89" s="167" t="s">
        <v>1541</v>
      </c>
      <c r="C89" s="167"/>
      <c r="D89" s="195">
        <f>R89</f>
        <v>-7108022</v>
      </c>
      <c r="E89" s="179">
        <f t="shared" si="38"/>
        <v>-7.7405213199020417E-3</v>
      </c>
      <c r="F89" s="195">
        <f>S89</f>
        <v>-7163471</v>
      </c>
      <c r="G89" s="179">
        <f t="shared" si="38"/>
        <v>-6.2782386439013946E-2</v>
      </c>
      <c r="H89" s="195">
        <f t="shared" si="39"/>
        <v>-7643338</v>
      </c>
      <c r="I89" s="179">
        <f t="shared" si="38"/>
        <v>-5.8687726104158004E-2</v>
      </c>
      <c r="J89" s="195">
        <f t="shared" si="40"/>
        <v>-8119875</v>
      </c>
      <c r="K89" s="179">
        <f t="shared" si="38"/>
        <v>-5.4021669761337175E-2</v>
      </c>
      <c r="L89" s="195">
        <f t="shared" si="41"/>
        <v>-8583574</v>
      </c>
      <c r="M89" s="179">
        <f t="shared" si="38"/>
        <v>-3.5543838584453258E-2</v>
      </c>
      <c r="N89" s="195">
        <f t="shared" si="42"/>
        <v>-8899911</v>
      </c>
      <c r="O89" s="179">
        <f t="shared" si="38"/>
        <v>-5.5445981476792076E-2</v>
      </c>
      <c r="P89" s="195">
        <f t="shared" si="43"/>
        <v>-9422342</v>
      </c>
      <c r="Q89" s="181"/>
      <c r="R89" s="167">
        <v>-7108022</v>
      </c>
      <c r="S89" s="167">
        <v>-7163471</v>
      </c>
      <c r="T89" s="167">
        <v>-7643338</v>
      </c>
      <c r="U89" s="167">
        <v>-8119875</v>
      </c>
      <c r="V89" s="167">
        <v>-8583574</v>
      </c>
      <c r="W89" s="167">
        <v>-8899911</v>
      </c>
      <c r="X89" s="167">
        <v>-9422342</v>
      </c>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row>
    <row r="90" spans="1:46" s="166" customFormat="1" ht="15" customHeight="1">
      <c r="A90" s="364">
        <f t="shared" si="37"/>
        <v>14</v>
      </c>
      <c r="B90" s="167" t="s">
        <v>1542</v>
      </c>
      <c r="C90" s="167"/>
      <c r="D90" s="200">
        <f>SUM(D87:D89)</f>
        <v>2448517747</v>
      </c>
      <c r="E90" s="179">
        <f t="shared" si="38"/>
        <v>0.17577495264845003</v>
      </c>
      <c r="F90" s="200">
        <f>SUM(F87:F89)</f>
        <v>2082471430</v>
      </c>
      <c r="G90" s="179">
        <f t="shared" si="38"/>
        <v>-3.0968334923843748E-3</v>
      </c>
      <c r="H90" s="200">
        <f>SUM(H87:H89)</f>
        <v>2088940531</v>
      </c>
      <c r="I90" s="179">
        <f t="shared" si="38"/>
        <v>3.4250997840011316E-4</v>
      </c>
      <c r="J90" s="200">
        <f>SUM(J87:J89)</f>
        <v>2088225293</v>
      </c>
      <c r="K90" s="179">
        <f t="shared" si="38"/>
        <v>2.6676364310379719E-3</v>
      </c>
      <c r="L90" s="200">
        <f>SUM(L87:L89)</f>
        <v>2082669488</v>
      </c>
      <c r="M90" s="179">
        <f t="shared" si="38"/>
        <v>0.1205139615830752</v>
      </c>
      <c r="N90" s="200">
        <f>SUM(N87:N89)</f>
        <v>1858673394</v>
      </c>
      <c r="O90" s="179">
        <f t="shared" si="38"/>
        <v>1.080251853957699E-2</v>
      </c>
      <c r="P90" s="200">
        <f>SUM(P87:P89)</f>
        <v>1838809619</v>
      </c>
      <c r="Q90" s="181"/>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row>
    <row r="91" spans="1:46" s="166" customFormat="1" ht="15" customHeight="1">
      <c r="A91" s="364"/>
      <c r="B91" s="167"/>
      <c r="C91" s="167"/>
      <c r="D91" s="195"/>
      <c r="E91" s="192"/>
      <c r="F91" s="195"/>
      <c r="G91" s="192"/>
      <c r="H91" s="195"/>
      <c r="I91" s="192"/>
      <c r="J91" s="195"/>
      <c r="K91" s="192"/>
      <c r="L91" s="195"/>
      <c r="M91" s="192"/>
      <c r="N91" s="195"/>
      <c r="O91" s="192"/>
      <c r="P91" s="195"/>
      <c r="Q91" s="181"/>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row>
    <row r="92" spans="1:46" s="166" customFormat="1" ht="15" customHeight="1">
      <c r="A92" s="364">
        <f>A90+1</f>
        <v>15</v>
      </c>
      <c r="B92" s="178" t="s">
        <v>1543</v>
      </c>
      <c r="C92" s="167"/>
      <c r="D92" s="195"/>
      <c r="E92" s="192"/>
      <c r="F92" s="195"/>
      <c r="G92" s="192"/>
      <c r="H92" s="195"/>
      <c r="I92" s="192"/>
      <c r="J92" s="195"/>
      <c r="K92" s="192"/>
      <c r="L92" s="195"/>
      <c r="M92" s="192"/>
      <c r="N92" s="195"/>
      <c r="O92" s="192"/>
      <c r="P92" s="195"/>
      <c r="Q92" s="181"/>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row>
    <row r="93" spans="1:46" s="166" customFormat="1" ht="15" customHeight="1">
      <c r="A93" s="364">
        <f>A92+1</f>
        <v>16</v>
      </c>
      <c r="B93" s="167" t="s">
        <v>1544</v>
      </c>
      <c r="C93" s="167"/>
      <c r="D93" s="204">
        <f>R93</f>
        <v>3008668</v>
      </c>
      <c r="E93" s="179">
        <f t="shared" ref="E93:O95" si="44">(+D93-F93)/F93</f>
        <v>3.9407531060433584E-2</v>
      </c>
      <c r="F93" s="204">
        <f>S93</f>
        <v>2894599</v>
      </c>
      <c r="G93" s="179">
        <f t="shared" si="44"/>
        <v>-6.3779516862712632E-2</v>
      </c>
      <c r="H93" s="204">
        <f t="shared" ref="H93:H94" si="45">T93</f>
        <v>3091792</v>
      </c>
      <c r="I93" s="179">
        <f t="shared" si="44"/>
        <v>0.72127977855682246</v>
      </c>
      <c r="J93" s="204">
        <f t="shared" ref="J93:J94" si="46">U93</f>
        <v>1796217</v>
      </c>
      <c r="K93" s="179">
        <f t="shared" si="44"/>
        <v>-0.14967830384156008</v>
      </c>
      <c r="L93" s="204">
        <f t="shared" ref="L93:L94" si="47">V93</f>
        <v>2112397</v>
      </c>
      <c r="M93" s="179">
        <f t="shared" si="44"/>
        <v>0.14229560428626431</v>
      </c>
      <c r="N93" s="204">
        <f t="shared" ref="N93:N94" si="48">W93</f>
        <v>1849256</v>
      </c>
      <c r="O93" s="179">
        <f t="shared" si="44"/>
        <v>-5.3125176010363491E-2</v>
      </c>
      <c r="P93" s="204">
        <f t="shared" ref="P93:P94" si="49">X93</f>
        <v>1953010</v>
      </c>
      <c r="Q93" s="181"/>
      <c r="R93" s="167">
        <v>3008668</v>
      </c>
      <c r="S93" s="167">
        <v>2894599</v>
      </c>
      <c r="T93" s="167">
        <v>3091792</v>
      </c>
      <c r="U93" s="167">
        <v>1796217</v>
      </c>
      <c r="V93" s="167">
        <v>2112397</v>
      </c>
      <c r="W93" s="167">
        <v>1849256</v>
      </c>
      <c r="X93" s="167">
        <v>1953010</v>
      </c>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row>
    <row r="94" spans="1:46" s="166" customFormat="1" ht="15" customHeight="1">
      <c r="A94" s="364">
        <f t="shared" ref="A94:A95" si="50">A93+1</f>
        <v>17</v>
      </c>
      <c r="B94" s="167" t="s">
        <v>1545</v>
      </c>
      <c r="C94" s="167"/>
      <c r="D94" s="195">
        <f>R94</f>
        <v>24131063</v>
      </c>
      <c r="E94" s="179">
        <f t="shared" si="44"/>
        <v>-8.1136525788216285E-2</v>
      </c>
      <c r="F94" s="195">
        <f>S94</f>
        <v>26261859</v>
      </c>
      <c r="G94" s="179">
        <f t="shared" si="44"/>
        <v>-0.61139432809944982</v>
      </c>
      <c r="H94" s="195">
        <f t="shared" si="45"/>
        <v>67579711</v>
      </c>
      <c r="I94" s="179">
        <f t="shared" si="44"/>
        <v>-0.30386690710658509</v>
      </c>
      <c r="J94" s="195">
        <f t="shared" si="46"/>
        <v>97078722</v>
      </c>
      <c r="K94" s="179">
        <f t="shared" si="44"/>
        <v>0.1491534115142</v>
      </c>
      <c r="L94" s="195">
        <f t="shared" si="47"/>
        <v>84478470</v>
      </c>
      <c r="M94" s="179">
        <f t="shared" si="44"/>
        <v>-0.20371925267811514</v>
      </c>
      <c r="N94" s="195">
        <f t="shared" si="48"/>
        <v>106091313</v>
      </c>
      <c r="O94" s="179">
        <f t="shared" si="44"/>
        <v>0.9721329665522469</v>
      </c>
      <c r="P94" s="195">
        <f t="shared" si="49"/>
        <v>53795213</v>
      </c>
      <c r="Q94" s="181"/>
      <c r="R94" s="167">
        <v>24131063</v>
      </c>
      <c r="S94" s="167">
        <v>26261859</v>
      </c>
      <c r="T94" s="167">
        <v>67579711</v>
      </c>
      <c r="U94" s="167">
        <v>97078722</v>
      </c>
      <c r="V94" s="167">
        <v>84478470</v>
      </c>
      <c r="W94" s="167">
        <v>106091313</v>
      </c>
      <c r="X94" s="167">
        <v>53795213</v>
      </c>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row>
    <row r="95" spans="1:46" s="166" customFormat="1" ht="15" customHeight="1">
      <c r="A95" s="364">
        <f t="shared" si="50"/>
        <v>18</v>
      </c>
      <c r="B95" s="167" t="s">
        <v>1546</v>
      </c>
      <c r="C95" s="167"/>
      <c r="D95" s="200">
        <f>SUM(D93:D94)</f>
        <v>27139731</v>
      </c>
      <c r="E95" s="179">
        <f t="shared" si="44"/>
        <v>-6.9169135702285917E-2</v>
      </c>
      <c r="F95" s="200">
        <f>SUM(F93:F94)</f>
        <v>29156458</v>
      </c>
      <c r="G95" s="179">
        <f t="shared" si="44"/>
        <v>-0.58743684848474209</v>
      </c>
      <c r="H95" s="200">
        <f>SUM(H93:H94)</f>
        <v>70671503</v>
      </c>
      <c r="I95" s="179">
        <f t="shared" si="44"/>
        <v>-0.28524352363949373</v>
      </c>
      <c r="J95" s="200">
        <f>SUM(J93:J94)</f>
        <v>98874939</v>
      </c>
      <c r="K95" s="179">
        <f t="shared" si="44"/>
        <v>0.14186336764592045</v>
      </c>
      <c r="L95" s="200">
        <f>SUM(L93:L94)</f>
        <v>86590867</v>
      </c>
      <c r="M95" s="179">
        <f t="shared" si="44"/>
        <v>-0.19779126789668861</v>
      </c>
      <c r="N95" s="200">
        <f>SUM(N93:N94)</f>
        <v>107940569</v>
      </c>
      <c r="O95" s="179">
        <f t="shared" si="44"/>
        <v>0.93621541981705858</v>
      </c>
      <c r="P95" s="200">
        <f>SUM(P93:P94)</f>
        <v>55748223</v>
      </c>
      <c r="Q95" s="181"/>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row>
    <row r="96" spans="1:46" s="166" customFormat="1" ht="15" customHeight="1">
      <c r="A96" s="364"/>
      <c r="B96" s="167"/>
      <c r="C96" s="167"/>
      <c r="D96" s="195"/>
      <c r="E96" s="192"/>
      <c r="F96" s="195"/>
      <c r="G96" s="192"/>
      <c r="H96" s="195"/>
      <c r="I96" s="192"/>
      <c r="J96" s="195"/>
      <c r="K96" s="192"/>
      <c r="L96" s="195"/>
      <c r="M96" s="192"/>
      <c r="N96" s="195"/>
      <c r="O96" s="192"/>
      <c r="P96" s="195"/>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row>
    <row r="97" spans="1:46" s="166" customFormat="1" ht="15" customHeight="1">
      <c r="A97" s="364">
        <f>A95+1</f>
        <v>19</v>
      </c>
      <c r="B97" s="178" t="s">
        <v>1448</v>
      </c>
      <c r="C97" s="167"/>
      <c r="D97" s="193"/>
      <c r="E97" s="194"/>
      <c r="F97" s="193"/>
      <c r="G97" s="194"/>
      <c r="H97" s="193"/>
      <c r="I97" s="194"/>
      <c r="J97" s="193"/>
      <c r="K97" s="194"/>
      <c r="L97" s="193"/>
      <c r="M97" s="194"/>
      <c r="N97" s="193"/>
      <c r="O97" s="194"/>
      <c r="P97" s="193"/>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row>
    <row r="98" spans="1:46" s="166" customFormat="1" ht="15" customHeight="1">
      <c r="A98" s="364">
        <f>A97+1</f>
        <v>20</v>
      </c>
      <c r="B98" s="167" t="s">
        <v>1560</v>
      </c>
      <c r="C98" s="167"/>
      <c r="D98" s="204">
        <f t="shared" ref="D98:D106" si="51">R98</f>
        <v>66331407</v>
      </c>
      <c r="E98" s="179">
        <f t="shared" ref="E98:O107" si="52">(+D98-F98)/F98</f>
        <v>-0.71025084934167071</v>
      </c>
      <c r="F98" s="204">
        <f t="shared" ref="F98:F106" si="53">S98</f>
        <v>228927011</v>
      </c>
      <c r="G98" s="179">
        <f t="shared" si="52"/>
        <v>4.7094627156592335</v>
      </c>
      <c r="H98" s="204">
        <f t="shared" ref="H98:H106" si="54">T98</f>
        <v>40096069</v>
      </c>
      <c r="I98" s="179">
        <f t="shared" si="52"/>
        <v>1.8102943816146955</v>
      </c>
      <c r="J98" s="204">
        <f t="shared" ref="J98:J106" si="55">U98</f>
        <v>14267569</v>
      </c>
      <c r="K98" s="179">
        <f t="shared" si="52"/>
        <v>-0.66585105912582043</v>
      </c>
      <c r="L98" s="204">
        <f t="shared" ref="L98:L106" si="56">V98</f>
        <v>42698232</v>
      </c>
      <c r="M98" s="179">
        <f t="shared" si="52"/>
        <v>-0.7961308307552365</v>
      </c>
      <c r="N98" s="204">
        <f t="shared" ref="N98:N106" si="57">W98</f>
        <v>209439378</v>
      </c>
      <c r="O98" s="179">
        <v>1</v>
      </c>
      <c r="P98" s="204">
        <f t="shared" ref="P98:P106" si="58">X98</f>
        <v>131938878</v>
      </c>
      <c r="Q98" s="167"/>
      <c r="R98" s="167">
        <v>66331407</v>
      </c>
      <c r="S98" s="167">
        <v>228927011</v>
      </c>
      <c r="T98" s="167">
        <v>40096069</v>
      </c>
      <c r="U98" s="167">
        <v>14267569</v>
      </c>
      <c r="V98" s="167">
        <v>42698232</v>
      </c>
      <c r="W98" s="167">
        <v>209439378</v>
      </c>
      <c r="X98" s="167">
        <v>131938878</v>
      </c>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row>
    <row r="99" spans="1:46" s="166" customFormat="1" ht="15" customHeight="1">
      <c r="A99" s="364">
        <f>A98+1</f>
        <v>21</v>
      </c>
      <c r="B99" s="167" t="s">
        <v>1547</v>
      </c>
      <c r="C99" s="167"/>
      <c r="D99" s="195">
        <f t="shared" si="51"/>
        <v>126445043</v>
      </c>
      <c r="E99" s="179">
        <f t="shared" si="52"/>
        <v>-4.6463856019069966E-2</v>
      </c>
      <c r="F99" s="195">
        <f t="shared" si="53"/>
        <v>132606450</v>
      </c>
      <c r="G99" s="179">
        <f t="shared" si="52"/>
        <v>-7.8790585064153693E-2</v>
      </c>
      <c r="H99" s="195">
        <f t="shared" si="54"/>
        <v>143948214</v>
      </c>
      <c r="I99" s="179">
        <f t="shared" si="52"/>
        <v>0.75879177093700501</v>
      </c>
      <c r="J99" s="195">
        <f t="shared" si="55"/>
        <v>81844944</v>
      </c>
      <c r="K99" s="179">
        <f t="shared" si="52"/>
        <v>-0.16224469851612958</v>
      </c>
      <c r="L99" s="195">
        <f t="shared" si="56"/>
        <v>97695525</v>
      </c>
      <c r="M99" s="179">
        <f t="shared" si="52"/>
        <v>-0.2923497395014279</v>
      </c>
      <c r="N99" s="195">
        <f t="shared" si="57"/>
        <v>138056227</v>
      </c>
      <c r="O99" s="179">
        <f t="shared" si="52"/>
        <v>-0.10567986476597908</v>
      </c>
      <c r="P99" s="195">
        <f t="shared" si="58"/>
        <v>154370031</v>
      </c>
      <c r="Q99" s="167"/>
      <c r="R99" s="167">
        <v>126445043</v>
      </c>
      <c r="S99" s="167">
        <v>132606450</v>
      </c>
      <c r="T99" s="167">
        <v>143948214</v>
      </c>
      <c r="U99" s="167">
        <v>81844944</v>
      </c>
      <c r="V99" s="167">
        <v>97695525</v>
      </c>
      <c r="W99" s="167">
        <v>138056227</v>
      </c>
      <c r="X99" s="167">
        <v>154370031</v>
      </c>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row>
    <row r="100" spans="1:46" s="166" customFormat="1" ht="15" customHeight="1">
      <c r="A100" s="364">
        <f>A99+1</f>
        <v>22</v>
      </c>
      <c r="B100" s="167" t="s">
        <v>1561</v>
      </c>
      <c r="C100" s="167"/>
      <c r="D100" s="201">
        <f t="shared" si="51"/>
        <v>0</v>
      </c>
      <c r="E100" s="179">
        <v>0</v>
      </c>
      <c r="F100" s="201">
        <f t="shared" si="53"/>
        <v>0</v>
      </c>
      <c r="G100" s="179">
        <v>0</v>
      </c>
      <c r="H100" s="201">
        <f t="shared" si="54"/>
        <v>0</v>
      </c>
      <c r="I100" s="179">
        <v>0</v>
      </c>
      <c r="J100" s="201">
        <f t="shared" si="55"/>
        <v>0</v>
      </c>
      <c r="K100" s="179">
        <v>0</v>
      </c>
      <c r="L100" s="201">
        <f t="shared" si="56"/>
        <v>0</v>
      </c>
      <c r="M100" s="179">
        <v>0</v>
      </c>
      <c r="N100" s="201">
        <f t="shared" si="57"/>
        <v>0</v>
      </c>
      <c r="O100" s="179">
        <v>0</v>
      </c>
      <c r="P100" s="201">
        <f t="shared" si="58"/>
        <v>0</v>
      </c>
      <c r="Q100" s="167"/>
      <c r="R100" s="167">
        <v>0</v>
      </c>
      <c r="S100" s="167">
        <v>0</v>
      </c>
      <c r="T100" s="167">
        <v>0</v>
      </c>
      <c r="U100" s="167">
        <v>0</v>
      </c>
      <c r="V100" s="167">
        <v>0</v>
      </c>
      <c r="W100" s="167">
        <v>0</v>
      </c>
      <c r="X100" s="167">
        <v>0</v>
      </c>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row>
    <row r="101" spans="1:46" s="166" customFormat="1" ht="15" customHeight="1">
      <c r="A101" s="364">
        <f>A100+1</f>
        <v>23</v>
      </c>
      <c r="B101" s="167" t="s">
        <v>1548</v>
      </c>
      <c r="C101" s="167"/>
      <c r="D101" s="201">
        <f t="shared" si="51"/>
        <v>0</v>
      </c>
      <c r="E101" s="179">
        <v>0</v>
      </c>
      <c r="F101" s="201">
        <f t="shared" si="53"/>
        <v>0</v>
      </c>
      <c r="G101" s="179">
        <v>0</v>
      </c>
      <c r="H101" s="201">
        <f t="shared" si="54"/>
        <v>0</v>
      </c>
      <c r="I101" s="179">
        <v>0</v>
      </c>
      <c r="J101" s="201">
        <f t="shared" si="55"/>
        <v>0</v>
      </c>
      <c r="K101" s="179">
        <v>0</v>
      </c>
      <c r="L101" s="201">
        <f t="shared" si="56"/>
        <v>0</v>
      </c>
      <c r="M101" s="179">
        <v>0</v>
      </c>
      <c r="N101" s="201">
        <f t="shared" si="57"/>
        <v>0</v>
      </c>
      <c r="O101" s="179">
        <v>0</v>
      </c>
      <c r="P101" s="201">
        <f t="shared" si="58"/>
        <v>0</v>
      </c>
      <c r="Q101" s="167"/>
      <c r="R101" s="167">
        <v>0</v>
      </c>
      <c r="S101" s="167">
        <v>0</v>
      </c>
      <c r="T101" s="167">
        <v>0</v>
      </c>
      <c r="U101" s="167">
        <v>0</v>
      </c>
      <c r="V101" s="167">
        <v>0</v>
      </c>
      <c r="W101" s="167">
        <v>0</v>
      </c>
      <c r="X101" s="167">
        <v>0</v>
      </c>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row>
    <row r="102" spans="1:46" s="166" customFormat="1" ht="15" customHeight="1">
      <c r="A102" s="364">
        <f t="shared" ref="A102:A107" si="59">A101+1</f>
        <v>24</v>
      </c>
      <c r="B102" s="167" t="s">
        <v>1549</v>
      </c>
      <c r="C102" s="167"/>
      <c r="D102" s="195">
        <f t="shared" si="51"/>
        <v>29187851</v>
      </c>
      <c r="E102" s="179">
        <f t="shared" si="52"/>
        <v>0</v>
      </c>
      <c r="F102" s="195">
        <f t="shared" si="53"/>
        <v>29187851</v>
      </c>
      <c r="G102" s="179">
        <f t="shared" si="52"/>
        <v>1.0262653677969876E-2</v>
      </c>
      <c r="H102" s="195">
        <f t="shared" si="54"/>
        <v>28891349.09</v>
      </c>
      <c r="I102" s="179">
        <f t="shared" si="52"/>
        <v>6.8729618934138106E-2</v>
      </c>
      <c r="J102" s="195">
        <f t="shared" si="55"/>
        <v>27033356.780000001</v>
      </c>
      <c r="K102" s="179">
        <f t="shared" si="52"/>
        <v>8.5325965520765629E-2</v>
      </c>
      <c r="L102" s="195">
        <f t="shared" si="56"/>
        <v>24908053.100000001</v>
      </c>
      <c r="M102" s="179">
        <f t="shared" si="52"/>
        <v>-3.9080143767254008E-2</v>
      </c>
      <c r="N102" s="195">
        <f t="shared" si="57"/>
        <v>25921051.52</v>
      </c>
      <c r="O102" s="179">
        <f t="shared" si="52"/>
        <v>4.7313067011746562E-2</v>
      </c>
      <c r="P102" s="195">
        <f t="shared" si="58"/>
        <v>24750050.712113641</v>
      </c>
      <c r="Q102" s="167"/>
      <c r="R102" s="167">
        <v>29187851</v>
      </c>
      <c r="S102" s="167">
        <v>29187851</v>
      </c>
      <c r="T102" s="167">
        <v>28891349.09</v>
      </c>
      <c r="U102" s="167">
        <v>27033356.780000001</v>
      </c>
      <c r="V102" s="167">
        <v>24908053.100000001</v>
      </c>
      <c r="W102" s="167">
        <v>25921051.52</v>
      </c>
      <c r="X102" s="167">
        <v>24750050.712113641</v>
      </c>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row>
    <row r="103" spans="1:46" s="166" customFormat="1" ht="15" customHeight="1">
      <c r="A103" s="364">
        <f t="shared" si="59"/>
        <v>25</v>
      </c>
      <c r="B103" s="167" t="s">
        <v>1550</v>
      </c>
      <c r="C103" s="167"/>
      <c r="D103" s="195">
        <f t="shared" si="51"/>
        <v>22791279</v>
      </c>
      <c r="E103" s="179">
        <f t="shared" si="52"/>
        <v>0.3781498768472385</v>
      </c>
      <c r="F103" s="195">
        <f t="shared" si="53"/>
        <v>16537591</v>
      </c>
      <c r="G103" s="179">
        <f t="shared" si="52"/>
        <v>-1.5549792845433268E-2</v>
      </c>
      <c r="H103" s="195">
        <f t="shared" si="54"/>
        <v>16798809</v>
      </c>
      <c r="I103" s="179">
        <f t="shared" si="52"/>
        <v>-0.58253609262411488</v>
      </c>
      <c r="J103" s="195">
        <f t="shared" si="55"/>
        <v>40240147</v>
      </c>
      <c r="K103" s="179">
        <f t="shared" si="52"/>
        <v>1.214360848042078</v>
      </c>
      <c r="L103" s="195">
        <f t="shared" si="56"/>
        <v>18172353</v>
      </c>
      <c r="M103" s="179">
        <f t="shared" si="52"/>
        <v>0.46282381011028922</v>
      </c>
      <c r="N103" s="195">
        <f t="shared" si="57"/>
        <v>12422790</v>
      </c>
      <c r="O103" s="179">
        <f t="shared" si="52"/>
        <v>-0.56571776918000405</v>
      </c>
      <c r="P103" s="195">
        <f t="shared" si="58"/>
        <v>28605338</v>
      </c>
      <c r="Q103" s="181"/>
      <c r="R103" s="167">
        <v>22791279</v>
      </c>
      <c r="S103" s="167">
        <v>16537591</v>
      </c>
      <c r="T103" s="167">
        <v>16798809</v>
      </c>
      <c r="U103" s="167">
        <v>40240147</v>
      </c>
      <c r="V103" s="167">
        <v>18172353</v>
      </c>
      <c r="W103" s="167">
        <v>12422790</v>
      </c>
      <c r="X103" s="167">
        <v>28605338</v>
      </c>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row>
    <row r="104" spans="1:46" s="166" customFormat="1" ht="15" customHeight="1">
      <c r="A104" s="364">
        <f t="shared" si="59"/>
        <v>26</v>
      </c>
      <c r="B104" s="167" t="s">
        <v>1551</v>
      </c>
      <c r="C104" s="167"/>
      <c r="D104" s="195">
        <f t="shared" si="51"/>
        <v>27720080</v>
      </c>
      <c r="E104" s="179">
        <f t="shared" si="52"/>
        <v>0.92941735592211439</v>
      </c>
      <c r="F104" s="195">
        <f t="shared" si="53"/>
        <v>14367073</v>
      </c>
      <c r="G104" s="179">
        <f t="shared" si="52"/>
        <v>-3.2338711439857332E-3</v>
      </c>
      <c r="H104" s="195">
        <f t="shared" si="54"/>
        <v>14413685</v>
      </c>
      <c r="I104" s="179">
        <f t="shared" si="52"/>
        <v>8.8257736471367525E-3</v>
      </c>
      <c r="J104" s="195">
        <f t="shared" si="55"/>
        <v>14287586</v>
      </c>
      <c r="K104" s="179">
        <f t="shared" si="52"/>
        <v>1.9024820335326507E-2</v>
      </c>
      <c r="L104" s="195">
        <f t="shared" si="56"/>
        <v>14020842</v>
      </c>
      <c r="M104" s="179">
        <f t="shared" si="52"/>
        <v>0.35678022293211825</v>
      </c>
      <c r="N104" s="195">
        <f t="shared" si="57"/>
        <v>10333908</v>
      </c>
      <c r="O104" s="179">
        <f t="shared" si="52"/>
        <v>1.9231533611909987E-2</v>
      </c>
      <c r="P104" s="195">
        <f t="shared" si="58"/>
        <v>10138921</v>
      </c>
      <c r="Q104" s="181"/>
      <c r="R104" s="167">
        <v>27720080</v>
      </c>
      <c r="S104" s="167">
        <v>14367073</v>
      </c>
      <c r="T104" s="167">
        <v>14413685</v>
      </c>
      <c r="U104" s="167">
        <v>14287586</v>
      </c>
      <c r="V104" s="167">
        <v>14020842</v>
      </c>
      <c r="W104" s="167">
        <v>10333908</v>
      </c>
      <c r="X104" s="167">
        <v>10138921</v>
      </c>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row>
    <row r="105" spans="1:46" s="166" customFormat="1" ht="15" customHeight="1">
      <c r="A105" s="364">
        <f t="shared" si="59"/>
        <v>27</v>
      </c>
      <c r="B105" s="167" t="s">
        <v>1552</v>
      </c>
      <c r="C105" s="167"/>
      <c r="D105" s="195">
        <f t="shared" si="51"/>
        <v>4185946</v>
      </c>
      <c r="E105" s="179">
        <f t="shared" si="52"/>
        <v>9.4729877279354557E-2</v>
      </c>
      <c r="F105" s="195">
        <f t="shared" si="53"/>
        <v>3823725</v>
      </c>
      <c r="G105" s="179">
        <f t="shared" si="52"/>
        <v>-3.8995033206606204E-3</v>
      </c>
      <c r="H105" s="195">
        <f t="shared" si="54"/>
        <v>3838694</v>
      </c>
      <c r="I105" s="179">
        <f t="shared" si="52"/>
        <v>1.1491051272100583E-3</v>
      </c>
      <c r="J105" s="195">
        <f t="shared" si="55"/>
        <v>3834288</v>
      </c>
      <c r="K105" s="179">
        <f t="shared" si="52"/>
        <v>0.1136234655427098</v>
      </c>
      <c r="L105" s="195">
        <f t="shared" si="56"/>
        <v>3443074</v>
      </c>
      <c r="M105" s="179">
        <f t="shared" si="52"/>
        <v>-0.24027510143973932</v>
      </c>
      <c r="N105" s="195">
        <f t="shared" si="57"/>
        <v>4532001</v>
      </c>
      <c r="O105" s="179">
        <f t="shared" si="52"/>
        <v>0.11627482522494829</v>
      </c>
      <c r="P105" s="195">
        <f t="shared" si="58"/>
        <v>4059933</v>
      </c>
      <c r="Q105" s="181"/>
      <c r="R105" s="167">
        <v>4185946</v>
      </c>
      <c r="S105" s="167">
        <v>3823725</v>
      </c>
      <c r="T105" s="167">
        <v>3838694</v>
      </c>
      <c r="U105" s="167">
        <v>3834288</v>
      </c>
      <c r="V105" s="167">
        <v>3443074</v>
      </c>
      <c r="W105" s="167">
        <v>4532001</v>
      </c>
      <c r="X105" s="167">
        <v>4059933</v>
      </c>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row>
    <row r="106" spans="1:46" s="166" customFormat="1" ht="15" customHeight="1">
      <c r="A106" s="364">
        <f t="shared" si="59"/>
        <v>28</v>
      </c>
      <c r="B106" s="167" t="s">
        <v>1553</v>
      </c>
      <c r="C106" s="167"/>
      <c r="D106" s="195">
        <f t="shared" si="51"/>
        <v>23343758</v>
      </c>
      <c r="E106" s="179">
        <f t="shared" si="52"/>
        <v>0.25741557805599619</v>
      </c>
      <c r="F106" s="195">
        <f t="shared" si="53"/>
        <v>18564871</v>
      </c>
      <c r="G106" s="179">
        <f t="shared" si="52"/>
        <v>6.5601698977950623E-2</v>
      </c>
      <c r="H106" s="195">
        <f t="shared" si="54"/>
        <v>17421960.773716956</v>
      </c>
      <c r="I106" s="179">
        <f t="shared" si="52"/>
        <v>3.5799093842627895E-2</v>
      </c>
      <c r="J106" s="195">
        <f t="shared" si="55"/>
        <v>16819826.235881925</v>
      </c>
      <c r="K106" s="179">
        <f t="shared" si="52"/>
        <v>-5.1573282508402978E-2</v>
      </c>
      <c r="L106" s="195">
        <f t="shared" si="56"/>
        <v>17734450.037813224</v>
      </c>
      <c r="M106" s="179">
        <f t="shared" si="52"/>
        <v>-0.63179519023516184</v>
      </c>
      <c r="N106" s="195">
        <f t="shared" si="57"/>
        <v>48164634.376014009</v>
      </c>
      <c r="O106" s="179">
        <f t="shared" si="52"/>
        <v>2.091609297442302</v>
      </c>
      <c r="P106" s="195">
        <f t="shared" si="58"/>
        <v>15579146.568054626</v>
      </c>
      <c r="Q106" s="181"/>
      <c r="R106" s="167">
        <v>23343758</v>
      </c>
      <c r="S106" s="167">
        <v>18564871</v>
      </c>
      <c r="T106" s="167">
        <v>17421960.773716956</v>
      </c>
      <c r="U106" s="167">
        <v>16819826.235881925</v>
      </c>
      <c r="V106" s="167">
        <v>17734450.037813224</v>
      </c>
      <c r="W106" s="167">
        <v>48164634.376014009</v>
      </c>
      <c r="X106" s="167">
        <v>15579146.568054626</v>
      </c>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row>
    <row r="107" spans="1:46" s="166" customFormat="1" ht="15" customHeight="1">
      <c r="A107" s="364">
        <f t="shared" si="59"/>
        <v>29</v>
      </c>
      <c r="B107" s="167" t="s">
        <v>1449</v>
      </c>
      <c r="C107" s="167"/>
      <c r="D107" s="200">
        <f>SUM(D98:D106)</f>
        <v>300005364</v>
      </c>
      <c r="E107" s="179">
        <f t="shared" si="52"/>
        <v>-0.32433441846588762</v>
      </c>
      <c r="F107" s="200">
        <f>SUM(F98:F106)</f>
        <v>444014572</v>
      </c>
      <c r="G107" s="179">
        <f t="shared" si="52"/>
        <v>0.67294605157767617</v>
      </c>
      <c r="H107" s="200">
        <f>SUM(H98:H106)</f>
        <v>265408780.86371696</v>
      </c>
      <c r="I107" s="179">
        <f t="shared" si="52"/>
        <v>0.3382334292814112</v>
      </c>
      <c r="J107" s="200">
        <f>SUM(J98:J106)</f>
        <v>198327717.01588193</v>
      </c>
      <c r="K107" s="179">
        <f t="shared" si="52"/>
        <v>-9.3037804986969563E-2</v>
      </c>
      <c r="L107" s="200">
        <f>SUM(L98:L106)</f>
        <v>218672529.13781321</v>
      </c>
      <c r="M107" s="179">
        <f t="shared" si="52"/>
        <v>-0.51283771679975465</v>
      </c>
      <c r="N107" s="200">
        <f>SUM(N98:N106)</f>
        <v>448869989.89601398</v>
      </c>
      <c r="O107" s="179">
        <f t="shared" si="52"/>
        <v>0.21499349691575217</v>
      </c>
      <c r="P107" s="200">
        <f>SUM(P98:P106)</f>
        <v>369442298.28016824</v>
      </c>
      <c r="Q107" s="167"/>
      <c r="R107" s="167">
        <v>300005364</v>
      </c>
      <c r="S107" s="167">
        <v>444014572</v>
      </c>
      <c r="T107" s="167">
        <v>265408780.86371696</v>
      </c>
      <c r="U107" s="167">
        <v>198327717.01588193</v>
      </c>
      <c r="V107" s="167">
        <v>218672529.13781321</v>
      </c>
      <c r="W107" s="167">
        <v>448869989.89601398</v>
      </c>
      <c r="X107" s="167">
        <v>369442298.28016824</v>
      </c>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row>
    <row r="108" spans="1:46" s="166" customFormat="1" ht="15" customHeight="1">
      <c r="A108" s="364"/>
      <c r="B108" s="167"/>
      <c r="C108" s="167"/>
      <c r="D108" s="185"/>
      <c r="E108" s="194"/>
      <c r="F108" s="185"/>
      <c r="G108" s="194"/>
      <c r="H108" s="185"/>
      <c r="I108" s="194"/>
      <c r="J108" s="185"/>
      <c r="K108" s="194"/>
      <c r="L108" s="185"/>
      <c r="M108" s="194"/>
      <c r="N108" s="185"/>
      <c r="O108" s="194"/>
      <c r="P108" s="185"/>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row>
    <row r="109" spans="1:46" s="166" customFormat="1" ht="15" customHeight="1">
      <c r="A109" s="364">
        <f>A107+1</f>
        <v>30</v>
      </c>
      <c r="B109" s="178" t="s">
        <v>1450</v>
      </c>
      <c r="C109" s="167"/>
      <c r="D109" s="193"/>
      <c r="E109" s="192"/>
      <c r="F109" s="193"/>
      <c r="G109" s="192"/>
      <c r="H109" s="193"/>
      <c r="I109" s="192"/>
      <c r="J109" s="193"/>
      <c r="K109" s="192"/>
      <c r="L109" s="193"/>
      <c r="M109" s="192"/>
      <c r="N109" s="193"/>
      <c r="O109" s="192"/>
      <c r="P109" s="193"/>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row>
    <row r="110" spans="1:46" s="166" customFormat="1" ht="15" customHeight="1">
      <c r="A110" s="364">
        <f>A109+1</f>
        <v>31</v>
      </c>
      <c r="B110" s="167" t="s">
        <v>1191</v>
      </c>
      <c r="C110" s="167"/>
      <c r="D110" s="204">
        <f t="shared" ref="D110:D116" si="60">R110</f>
        <v>951647</v>
      </c>
      <c r="E110" s="179">
        <f t="shared" ref="E110:O117" si="61">(+D110-F110)/F110</f>
        <v>0</v>
      </c>
      <c r="F110" s="204">
        <f t="shared" ref="F110:F116" si="62">S110</f>
        <v>951647</v>
      </c>
      <c r="G110" s="179">
        <f t="shared" si="61"/>
        <v>0.16479052773910291</v>
      </c>
      <c r="H110" s="204">
        <f t="shared" ref="H110:H116" si="63">T110</f>
        <v>817011.28</v>
      </c>
      <c r="I110" s="179">
        <f t="shared" si="61"/>
        <v>-0.45384381853492783</v>
      </c>
      <c r="J110" s="204">
        <f t="shared" ref="J110:J116" si="64">U110</f>
        <v>1495929.75</v>
      </c>
      <c r="K110" s="179">
        <f t="shared" si="61"/>
        <v>-0.2560211442354241</v>
      </c>
      <c r="L110" s="204">
        <f t="shared" ref="L110:L116" si="65">V110</f>
        <v>2010715.41</v>
      </c>
      <c r="M110" s="179">
        <f t="shared" si="61"/>
        <v>-8.1457524190996874E-2</v>
      </c>
      <c r="N110" s="204">
        <f t="shared" ref="N110:N116" si="66">W110</f>
        <v>2189028.23</v>
      </c>
      <c r="O110" s="179">
        <f t="shared" si="61"/>
        <v>-0.24054232738516457</v>
      </c>
      <c r="P110" s="204">
        <f t="shared" ref="P110:P116" si="67">X110</f>
        <v>2882357.12</v>
      </c>
      <c r="Q110" s="167"/>
      <c r="R110" s="167">
        <v>951647</v>
      </c>
      <c r="S110" s="167">
        <v>951647</v>
      </c>
      <c r="T110" s="167">
        <v>817011.28</v>
      </c>
      <c r="U110" s="167">
        <v>1495929.75</v>
      </c>
      <c r="V110" s="167">
        <v>2010715.41</v>
      </c>
      <c r="W110" s="167">
        <v>2189028.23</v>
      </c>
      <c r="X110" s="167">
        <v>2882357.12</v>
      </c>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row>
    <row r="111" spans="1:46" s="166" customFormat="1" ht="15" customHeight="1">
      <c r="A111" s="364">
        <f t="shared" ref="A111:A117" si="68">A110+1</f>
        <v>32</v>
      </c>
      <c r="B111" s="167" t="s">
        <v>1554</v>
      </c>
      <c r="C111" s="167"/>
      <c r="D111" s="195">
        <f t="shared" si="60"/>
        <v>84144327</v>
      </c>
      <c r="E111" s="179">
        <f t="shared" si="61"/>
        <v>5.5131378355934291E-2</v>
      </c>
      <c r="F111" s="195">
        <f t="shared" si="62"/>
        <v>79747725</v>
      </c>
      <c r="G111" s="179">
        <f t="shared" si="61"/>
        <v>-2.3607182743905414E-2</v>
      </c>
      <c r="H111" s="195">
        <f t="shared" si="63"/>
        <v>81675862</v>
      </c>
      <c r="I111" s="179">
        <f t="shared" si="61"/>
        <v>-2.0136942080201104E-2</v>
      </c>
      <c r="J111" s="195">
        <f t="shared" si="64"/>
        <v>83354364</v>
      </c>
      <c r="K111" s="179">
        <f t="shared" si="61"/>
        <v>3.0403928220739607E-2</v>
      </c>
      <c r="L111" s="195">
        <f t="shared" si="65"/>
        <v>80894843</v>
      </c>
      <c r="M111" s="179">
        <f t="shared" si="61"/>
        <v>-1.8971951432595995E-2</v>
      </c>
      <c r="N111" s="195">
        <f t="shared" si="66"/>
        <v>82459256</v>
      </c>
      <c r="O111" s="179">
        <f t="shared" si="61"/>
        <v>-9.3648900035509883E-3</v>
      </c>
      <c r="P111" s="195">
        <f t="shared" si="67"/>
        <v>83238778</v>
      </c>
      <c r="Q111" s="167"/>
      <c r="R111" s="167">
        <v>84144327</v>
      </c>
      <c r="S111" s="167">
        <v>79747725</v>
      </c>
      <c r="T111" s="167">
        <v>81675862</v>
      </c>
      <c r="U111" s="167">
        <v>83354364</v>
      </c>
      <c r="V111" s="167">
        <v>80894843</v>
      </c>
      <c r="W111" s="167">
        <v>82459256</v>
      </c>
      <c r="X111" s="167">
        <v>83238778</v>
      </c>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row>
    <row r="112" spans="1:46" s="166" customFormat="1" ht="15" customHeight="1">
      <c r="A112" s="364">
        <f t="shared" si="68"/>
        <v>33</v>
      </c>
      <c r="B112" s="167" t="s">
        <v>1555</v>
      </c>
      <c r="C112" s="167"/>
      <c r="D112" s="195">
        <f t="shared" si="60"/>
        <v>1631560</v>
      </c>
      <c r="E112" s="179">
        <f t="shared" si="61"/>
        <v>5.088031741022115E-2</v>
      </c>
      <c r="F112" s="195">
        <f t="shared" si="62"/>
        <v>1552565</v>
      </c>
      <c r="G112" s="179">
        <f t="shared" si="61"/>
        <v>0.28026324903602895</v>
      </c>
      <c r="H112" s="195">
        <f t="shared" si="63"/>
        <v>1212692</v>
      </c>
      <c r="I112" s="179">
        <f t="shared" si="61"/>
        <v>-0.10561511031458926</v>
      </c>
      <c r="J112" s="195">
        <f t="shared" si="64"/>
        <v>1355895</v>
      </c>
      <c r="K112" s="179">
        <f t="shared" si="61"/>
        <v>-0.82195676786065541</v>
      </c>
      <c r="L112" s="195">
        <f t="shared" si="65"/>
        <v>7615538</v>
      </c>
      <c r="M112" s="179">
        <f t="shared" si="61"/>
        <v>-0.7742800724695027</v>
      </c>
      <c r="N112" s="195">
        <f t="shared" si="66"/>
        <v>33738882</v>
      </c>
      <c r="O112" s="179">
        <f t="shared" si="61"/>
        <v>0.11880820362294305</v>
      </c>
      <c r="P112" s="195">
        <f t="shared" si="67"/>
        <v>30156091</v>
      </c>
      <c r="Q112" s="167"/>
      <c r="R112" s="167">
        <v>1631560</v>
      </c>
      <c r="S112" s="167">
        <v>1552565</v>
      </c>
      <c r="T112" s="167">
        <v>1212692</v>
      </c>
      <c r="U112" s="167">
        <v>1355895</v>
      </c>
      <c r="V112" s="167">
        <v>7615538</v>
      </c>
      <c r="W112" s="167">
        <v>33738882</v>
      </c>
      <c r="X112" s="167">
        <v>30156091</v>
      </c>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row>
    <row r="113" spans="1:46" s="166" customFormat="1" ht="15" customHeight="1">
      <c r="A113" s="364">
        <f t="shared" si="68"/>
        <v>34</v>
      </c>
      <c r="B113" s="167" t="s">
        <v>1556</v>
      </c>
      <c r="C113" s="167"/>
      <c r="D113" s="195">
        <f t="shared" si="60"/>
        <v>653237869</v>
      </c>
      <c r="E113" s="179">
        <f t="shared" si="61"/>
        <v>-4.2796376029090116E-2</v>
      </c>
      <c r="F113" s="195">
        <f t="shared" si="62"/>
        <v>682443999</v>
      </c>
      <c r="G113" s="179">
        <f t="shared" si="61"/>
        <v>2.7883839661109872E-2</v>
      </c>
      <c r="H113" s="195">
        <f t="shared" si="63"/>
        <v>663931052</v>
      </c>
      <c r="I113" s="179">
        <f t="shared" si="61"/>
        <v>4.1305905037342754</v>
      </c>
      <c r="J113" s="195">
        <f t="shared" si="64"/>
        <v>129406362</v>
      </c>
      <c r="K113" s="179">
        <f t="shared" si="61"/>
        <v>-5.4455435741886417E-2</v>
      </c>
      <c r="L113" s="195">
        <f t="shared" si="65"/>
        <v>136859083</v>
      </c>
      <c r="M113" s="179">
        <f t="shared" si="61"/>
        <v>0.14931428407023772</v>
      </c>
      <c r="N113" s="195">
        <f t="shared" si="66"/>
        <v>119078902</v>
      </c>
      <c r="O113" s="179">
        <f t="shared" si="61"/>
        <v>-0.10175274036207181</v>
      </c>
      <c r="P113" s="195">
        <f t="shared" si="67"/>
        <v>132568066</v>
      </c>
      <c r="Q113" s="167"/>
      <c r="R113" s="167">
        <v>653237869</v>
      </c>
      <c r="S113" s="167">
        <v>682443999</v>
      </c>
      <c r="T113" s="167">
        <v>663931052</v>
      </c>
      <c r="U113" s="167">
        <v>129406362</v>
      </c>
      <c r="V113" s="167">
        <v>136859083</v>
      </c>
      <c r="W113" s="167">
        <v>119078902</v>
      </c>
      <c r="X113" s="167">
        <v>132568066</v>
      </c>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row>
    <row r="114" spans="1:46" s="166" customFormat="1" ht="15" customHeight="1">
      <c r="A114" s="364">
        <f t="shared" si="68"/>
        <v>35</v>
      </c>
      <c r="B114" s="167" t="s">
        <v>1557</v>
      </c>
      <c r="C114" s="167"/>
      <c r="D114" s="195">
        <f t="shared" si="60"/>
        <v>155325255</v>
      </c>
      <c r="E114" s="179">
        <f t="shared" si="61"/>
        <v>-9.6944343746563952E-2</v>
      </c>
      <c r="F114" s="195">
        <f t="shared" si="62"/>
        <v>171999648</v>
      </c>
      <c r="G114" s="179">
        <f t="shared" si="61"/>
        <v>-0.164929276623312</v>
      </c>
      <c r="H114" s="195">
        <f t="shared" si="63"/>
        <v>205970157</v>
      </c>
      <c r="I114" s="179">
        <f t="shared" si="61"/>
        <v>-0.18634548929296146</v>
      </c>
      <c r="J114" s="195">
        <f t="shared" si="64"/>
        <v>253142033</v>
      </c>
      <c r="K114" s="179">
        <f t="shared" si="61"/>
        <v>-0.2022653861300118</v>
      </c>
      <c r="L114" s="195">
        <f t="shared" si="65"/>
        <v>317326124</v>
      </c>
      <c r="M114" s="179">
        <f t="shared" si="61"/>
        <v>0.71661807318998449</v>
      </c>
      <c r="N114" s="195">
        <f t="shared" si="66"/>
        <v>184855402</v>
      </c>
      <c r="O114" s="179">
        <f t="shared" si="61"/>
        <v>0.18457424758808411</v>
      </c>
      <c r="P114" s="195">
        <f t="shared" si="67"/>
        <v>156052187</v>
      </c>
      <c r="Q114" s="167"/>
      <c r="R114" s="167">
        <v>155325255</v>
      </c>
      <c r="S114" s="167">
        <v>171999648</v>
      </c>
      <c r="T114" s="167">
        <v>205970157</v>
      </c>
      <c r="U114" s="167">
        <v>253142033</v>
      </c>
      <c r="V114" s="167">
        <v>317326124</v>
      </c>
      <c r="W114" s="167">
        <v>184855402</v>
      </c>
      <c r="X114" s="167">
        <v>156052187</v>
      </c>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row>
    <row r="115" spans="1:46" s="166" customFormat="1" ht="15" customHeight="1">
      <c r="A115" s="364">
        <f t="shared" si="68"/>
        <v>36</v>
      </c>
      <c r="B115" s="167" t="s">
        <v>1558</v>
      </c>
      <c r="C115" s="167"/>
      <c r="D115" s="201">
        <f t="shared" si="60"/>
        <v>17824340</v>
      </c>
      <c r="E115" s="179">
        <v>1</v>
      </c>
      <c r="F115" s="201">
        <f t="shared" si="62"/>
        <v>0</v>
      </c>
      <c r="G115" s="179">
        <v>0</v>
      </c>
      <c r="H115" s="201">
        <f t="shared" si="63"/>
        <v>0</v>
      </c>
      <c r="I115" s="179">
        <v>0</v>
      </c>
      <c r="J115" s="201">
        <f t="shared" si="64"/>
        <v>0</v>
      </c>
      <c r="K115" s="179">
        <v>0</v>
      </c>
      <c r="L115" s="201">
        <f t="shared" si="65"/>
        <v>0</v>
      </c>
      <c r="M115" s="179">
        <v>0</v>
      </c>
      <c r="N115" s="201">
        <f t="shared" si="66"/>
        <v>0</v>
      </c>
      <c r="O115" s="179">
        <v>0</v>
      </c>
      <c r="P115" s="201">
        <f t="shared" si="67"/>
        <v>0</v>
      </c>
      <c r="Q115" s="167"/>
      <c r="R115" s="167">
        <v>17824340</v>
      </c>
      <c r="S115" s="167">
        <v>0</v>
      </c>
      <c r="T115" s="167">
        <v>0</v>
      </c>
      <c r="U115" s="167">
        <v>0</v>
      </c>
      <c r="V115" s="167">
        <v>0</v>
      </c>
      <c r="W115" s="167">
        <v>0</v>
      </c>
      <c r="X115" s="167">
        <v>0</v>
      </c>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row>
    <row r="116" spans="1:46" s="166" customFormat="1" ht="15" customHeight="1">
      <c r="A116" s="364">
        <f t="shared" si="68"/>
        <v>37</v>
      </c>
      <c r="B116" s="167" t="s">
        <v>1531</v>
      </c>
      <c r="C116" s="167"/>
      <c r="D116" s="195">
        <f t="shared" si="60"/>
        <v>1069742247</v>
      </c>
      <c r="E116" s="179">
        <f t="shared" si="61"/>
        <v>9.5368521723846425E-2</v>
      </c>
      <c r="F116" s="195">
        <f t="shared" si="62"/>
        <v>976604883</v>
      </c>
      <c r="G116" s="179">
        <f t="shared" si="61"/>
        <v>3.9348167977942668E-2</v>
      </c>
      <c r="H116" s="195">
        <f t="shared" si="63"/>
        <v>939632082</v>
      </c>
      <c r="I116" s="179">
        <f t="shared" si="61"/>
        <v>-0.29190392231154472</v>
      </c>
      <c r="J116" s="195">
        <f t="shared" si="64"/>
        <v>1326983882</v>
      </c>
      <c r="K116" s="179">
        <f t="shared" si="61"/>
        <v>6.3318859870733907E-2</v>
      </c>
      <c r="L116" s="195">
        <f t="shared" si="65"/>
        <v>1247964211</v>
      </c>
      <c r="M116" s="179">
        <f t="shared" si="61"/>
        <v>0.26714787181549549</v>
      </c>
      <c r="N116" s="195">
        <f t="shared" si="66"/>
        <v>984860756</v>
      </c>
      <c r="O116" s="179">
        <f t="shared" si="61"/>
        <v>0.29726214277056118</v>
      </c>
      <c r="P116" s="195">
        <f t="shared" si="67"/>
        <v>759184072</v>
      </c>
      <c r="Q116" s="167"/>
      <c r="R116" s="167">
        <v>1069742247</v>
      </c>
      <c r="S116" s="167">
        <v>976604883</v>
      </c>
      <c r="T116" s="167">
        <v>939632082</v>
      </c>
      <c r="U116" s="167">
        <v>1326983882</v>
      </c>
      <c r="V116" s="167">
        <v>1247964211</v>
      </c>
      <c r="W116" s="167">
        <v>984860756</v>
      </c>
      <c r="X116" s="167">
        <v>759184072</v>
      </c>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row>
    <row r="117" spans="1:46" s="166" customFormat="1" ht="15" customHeight="1">
      <c r="A117" s="364">
        <f t="shared" si="68"/>
        <v>38</v>
      </c>
      <c r="B117" s="167" t="s">
        <v>1451</v>
      </c>
      <c r="C117" s="167"/>
      <c r="D117" s="200">
        <f>SUM(D110:D116)</f>
        <v>1982857245</v>
      </c>
      <c r="E117" s="179">
        <f t="shared" si="61"/>
        <v>3.6354341202384705E-2</v>
      </c>
      <c r="F117" s="200">
        <f>SUM(F110:F116)</f>
        <v>1913300467</v>
      </c>
      <c r="G117" s="179">
        <f t="shared" si="61"/>
        <v>1.0596449916213332E-2</v>
      </c>
      <c r="H117" s="200">
        <f>SUM(H110:H116)</f>
        <v>1893238856.28</v>
      </c>
      <c r="I117" s="179">
        <f t="shared" si="61"/>
        <v>5.429542908926796E-2</v>
      </c>
      <c r="J117" s="200">
        <f>SUM(J110:J116)</f>
        <v>1795738465.75</v>
      </c>
      <c r="K117" s="179">
        <f t="shared" si="61"/>
        <v>1.7113860663959604E-3</v>
      </c>
      <c r="L117" s="200">
        <f>SUM(L110:L116)</f>
        <v>1792670514.4099998</v>
      </c>
      <c r="M117" s="179">
        <f t="shared" si="61"/>
        <v>0.27394340334497153</v>
      </c>
      <c r="N117" s="200">
        <f>SUM(N110:N116)</f>
        <v>1407182226.23</v>
      </c>
      <c r="O117" s="179">
        <f t="shared" si="61"/>
        <v>0.20883474605031344</v>
      </c>
      <c r="P117" s="200">
        <f>SUM(P110:P116)</f>
        <v>1164081551.1199999</v>
      </c>
      <c r="Q117" s="167"/>
      <c r="R117" s="167">
        <v>1982857245</v>
      </c>
      <c r="S117" s="167">
        <v>1913300467</v>
      </c>
      <c r="T117" s="167">
        <v>1893238856.28</v>
      </c>
      <c r="U117" s="167">
        <v>1795738465.75</v>
      </c>
      <c r="V117" s="167">
        <v>1792670514.4099998</v>
      </c>
      <c r="W117" s="167">
        <v>1407182226.23</v>
      </c>
      <c r="X117" s="167">
        <v>1164081551.1199999</v>
      </c>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row>
    <row r="118" spans="1:46" s="166" customFormat="1" ht="15" customHeight="1">
      <c r="A118" s="364"/>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row>
    <row r="119" spans="1:46" s="166" customFormat="1" ht="15" customHeight="1" thickBot="1">
      <c r="A119" s="364">
        <f>A117+1</f>
        <v>39</v>
      </c>
      <c r="B119" s="167" t="s">
        <v>1559</v>
      </c>
      <c r="C119" s="167"/>
      <c r="D119" s="203">
        <f>D84+D90+D95+D107+D117</f>
        <v>7573446653</v>
      </c>
      <c r="E119" s="179">
        <f t="shared" ref="E119:O119" si="69">(+D119-F119)/F119</f>
        <v>7.4233968481590237E-2</v>
      </c>
      <c r="F119" s="203">
        <f>F84+F90+F95+F107+F117</f>
        <v>7050090460</v>
      </c>
      <c r="G119" s="179">
        <f t="shared" si="69"/>
        <v>4.1303581852987548E-2</v>
      </c>
      <c r="H119" s="203">
        <f>H84+H90+H95+H107+H117</f>
        <v>6770446758.1437168</v>
      </c>
      <c r="I119" s="179">
        <f t="shared" si="69"/>
        <v>2.5248078161679764E-2</v>
      </c>
      <c r="J119" s="203">
        <f>J84+J90+J95+J107+J117</f>
        <v>6603715629.7658815</v>
      </c>
      <c r="K119" s="179">
        <f t="shared" si="69"/>
        <v>6.0267267689206559E-3</v>
      </c>
      <c r="L119" s="203">
        <f>L84+L90+L95+L107+L117</f>
        <v>6564155259.5478134</v>
      </c>
      <c r="M119" s="179">
        <f t="shared" si="69"/>
        <v>7.0207410538466533E-2</v>
      </c>
      <c r="N119" s="203">
        <f>N84+N90+N95+N107+N117</f>
        <v>6133535607.1260147</v>
      </c>
      <c r="O119" s="179">
        <f t="shared" si="69"/>
        <v>0.10070397936482609</v>
      </c>
      <c r="P119" s="203">
        <f>P84+P90+P95+P107+P117</f>
        <v>5572375245.4001684</v>
      </c>
      <c r="Q119" s="167"/>
      <c r="R119" s="167">
        <v>7573446653</v>
      </c>
      <c r="S119" s="167">
        <v>7050090460</v>
      </c>
      <c r="T119" s="167">
        <v>6770446758.1437168</v>
      </c>
      <c r="U119" s="167">
        <v>6603715629.7658815</v>
      </c>
      <c r="V119" s="167">
        <v>6564155259.5478134</v>
      </c>
      <c r="W119" s="167">
        <v>6133535607.1260147</v>
      </c>
      <c r="X119" s="167">
        <v>5572375245.4001684</v>
      </c>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row>
    <row r="120" spans="1:46" s="166" customFormat="1" ht="15" customHeight="1" thickTop="1">
      <c r="A120" s="364"/>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row>
    <row r="121" spans="1:46" s="166" customFormat="1" ht="15" customHeight="1" thickBot="1">
      <c r="A121" s="364">
        <f>A119+1</f>
        <v>40</v>
      </c>
      <c r="B121" s="167" t="s">
        <v>2097</v>
      </c>
      <c r="C121" s="167"/>
      <c r="D121" s="203">
        <f>D59-D119</f>
        <v>-3518402</v>
      </c>
      <c r="E121" s="167"/>
      <c r="F121" s="203">
        <f>F59-F119</f>
        <v>16544127</v>
      </c>
      <c r="G121" s="167"/>
      <c r="H121" s="203">
        <f>H59-H119</f>
        <v>6073621.4015684128</v>
      </c>
      <c r="I121" s="167"/>
      <c r="J121" s="203">
        <f>J59-J119</f>
        <v>26056259.183959007</v>
      </c>
      <c r="K121" s="167"/>
      <c r="L121" s="203">
        <f>L59-L119</f>
        <v>17552603.278682709</v>
      </c>
      <c r="M121" s="167"/>
      <c r="N121" s="203">
        <f>N59-N119</f>
        <v>38334728.471533775</v>
      </c>
      <c r="O121" s="167"/>
      <c r="P121" s="203">
        <f>P59-P119</f>
        <v>7628384.0626821518</v>
      </c>
      <c r="Q121" s="167"/>
      <c r="R121" s="167">
        <v>3518402</v>
      </c>
      <c r="S121" s="167">
        <v>-16544127</v>
      </c>
      <c r="T121" s="167">
        <v>-6073621.4015684128</v>
      </c>
      <c r="U121" s="167">
        <v>-26056259.183959007</v>
      </c>
      <c r="V121" s="167">
        <v>-17552603.278682701</v>
      </c>
      <c r="W121" s="167">
        <v>-38334728.471533775</v>
      </c>
      <c r="X121" s="167">
        <v>-7628384.0626821518</v>
      </c>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row>
    <row r="122" spans="1:46" s="166" customFormat="1" ht="15" customHeight="1" thickTop="1">
      <c r="A122" s="364"/>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row>
    <row r="123" spans="1:46" s="166" customFormat="1" ht="15" customHeight="1">
      <c r="A123" s="364"/>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row>
    <row r="124" spans="1:46" s="166" customFormat="1" ht="15" customHeight="1">
      <c r="A124" s="364"/>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row>
    <row r="125" spans="1:46" s="166" customFormat="1" ht="15" customHeight="1">
      <c r="A125" s="364"/>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row>
    <row r="126" spans="1:46" s="166" customFormat="1" ht="15" customHeight="1">
      <c r="A126" s="364"/>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row>
    <row r="127" spans="1:46" s="166" customFormat="1" ht="15" customHeight="1">
      <c r="A127" s="364"/>
      <c r="B127" s="167"/>
      <c r="C127" s="167"/>
      <c r="D127" s="222"/>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row>
    <row r="128" spans="1:46" s="166" customFormat="1" ht="15" customHeight="1">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row>
    <row r="129" spans="1:46" ht="15" customHeight="1"/>
    <row r="130" spans="1:46" ht="15" customHeight="1"/>
    <row r="131" spans="1:46" ht="15" customHeight="1"/>
    <row r="132" spans="1:46" ht="15" customHeight="1"/>
    <row r="133" spans="1:46" ht="15" customHeight="1"/>
    <row r="134" spans="1:46" ht="15" customHeight="1"/>
    <row r="135" spans="1:46" ht="15" customHeight="1"/>
    <row r="136" spans="1:46" ht="15" customHeight="1"/>
    <row r="137" spans="1:46" ht="15" customHeight="1"/>
    <row r="138" spans="1:46" ht="15" customHeight="1"/>
    <row r="139" spans="1:46" ht="15" customHeight="1"/>
    <row r="140" spans="1:46" s="166" customFormat="1" ht="15" customHeight="1">
      <c r="A140" s="167"/>
      <c r="B140" s="167"/>
      <c r="C140" s="186"/>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row>
    <row r="141" spans="1:46" ht="15" customHeight="1"/>
    <row r="142" spans="1:46" ht="15" customHeight="1"/>
    <row r="143" spans="1:46" ht="15" customHeight="1"/>
    <row r="144" spans="1:46"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3" ht="15" customHeight="1"/>
    <row r="178" spans="1:13" ht="15" customHeight="1"/>
    <row r="179" spans="1:13" ht="15" customHeight="1"/>
    <row r="180" spans="1:13" ht="15" customHeight="1"/>
    <row r="181" spans="1:13" ht="15" customHeight="1"/>
    <row r="182" spans="1:13" ht="15" customHeight="1"/>
    <row r="183" spans="1:13" ht="15" customHeight="1"/>
    <row r="184" spans="1:13" ht="15" customHeight="1"/>
    <row r="185" spans="1:13" ht="15" customHeight="1"/>
    <row r="186" spans="1:13" ht="15" customHeight="1"/>
    <row r="187" spans="1:13" ht="15" customHeight="1"/>
    <row r="188" spans="1:13" ht="15" customHeight="1"/>
    <row r="189" spans="1:13" ht="15" customHeight="1">
      <c r="A189" s="779"/>
      <c r="B189" s="779"/>
      <c r="C189" s="779"/>
      <c r="D189" s="779"/>
      <c r="E189" s="779"/>
      <c r="F189" s="779"/>
      <c r="G189" s="779"/>
      <c r="H189" s="779"/>
      <c r="I189" s="779"/>
      <c r="J189" s="779"/>
      <c r="K189" s="779"/>
      <c r="L189" s="779"/>
      <c r="M189" s="779"/>
    </row>
    <row r="190" spans="1:13" ht="15" customHeight="1"/>
    <row r="191" spans="1:13" ht="15" customHeight="1"/>
    <row r="192" spans="1:13" ht="15" customHeight="1">
      <c r="A192" s="165"/>
      <c r="B192" s="165"/>
      <c r="C192" s="165"/>
      <c r="D192" s="165"/>
      <c r="E192" s="165"/>
      <c r="F192" s="165"/>
      <c r="G192" s="165"/>
      <c r="H192" s="165"/>
      <c r="I192" s="165"/>
      <c r="J192" s="165"/>
      <c r="K192" s="165"/>
      <c r="L192" s="165"/>
      <c r="M192" s="165"/>
    </row>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sheetData>
  <mergeCells count="3">
    <mergeCell ref="B14:C14"/>
    <mergeCell ref="B75:C75"/>
    <mergeCell ref="A189:M189"/>
  </mergeCells>
  <printOptions horizontalCentered="1"/>
  <pageMargins left="0.5" right="0.5" top="1" bottom="0.75" header="0.5" footer="0.5"/>
  <pageSetup scale="48" orientation="landscape" r:id="rId1"/>
  <headerFooter alignWithMargins="0"/>
  <rowBreaks count="1" manualBreakCount="1">
    <brk id="61" max="1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
  <sheetViews>
    <sheetView workbookViewId="0"/>
  </sheetViews>
  <sheetFormatPr defaultRowHeight="15"/>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74"/>
  <sheetViews>
    <sheetView zoomScale="85" zoomScaleNormal="85" workbookViewId="0">
      <pane xSplit="1" ySplit="3" topLeftCell="B4" activePane="bottomRight" state="frozen"/>
      <selection sqref="A1:E1"/>
      <selection pane="topRight" sqref="A1:E1"/>
      <selection pane="bottomLeft" sqref="A1:E1"/>
      <selection pane="bottomRight" activeCell="A2" sqref="A2"/>
    </sheetView>
  </sheetViews>
  <sheetFormatPr defaultColWidth="9" defaultRowHeight="15"/>
  <cols>
    <col min="1" max="1" width="40.77734375" style="715" customWidth="1"/>
    <col min="2" max="6" width="8.33203125" style="706" customWidth="1"/>
    <col min="7" max="7" width="8.88671875" style="706" customWidth="1"/>
    <col min="8" max="14" width="8.33203125" style="706" customWidth="1"/>
    <col min="15" max="15" width="9.33203125" style="235" customWidth="1"/>
    <col min="16" max="31" width="8.33203125" style="706" customWidth="1"/>
    <col min="32" max="32" width="11.33203125" style="707" customWidth="1"/>
    <col min="33" max="16384" width="9" style="707"/>
  </cols>
  <sheetData>
    <row r="1" spans="1:36" s="704" customFormat="1" ht="15" customHeight="1">
      <c r="A1" s="702"/>
      <c r="B1" s="703"/>
      <c r="C1" s="703"/>
      <c r="D1" s="703"/>
      <c r="E1" s="703"/>
      <c r="F1" s="703"/>
      <c r="G1" s="703"/>
      <c r="H1" s="703"/>
      <c r="I1" s="703"/>
      <c r="J1" s="703"/>
      <c r="K1" s="703"/>
      <c r="L1" s="703"/>
      <c r="M1" s="703"/>
      <c r="N1" s="703"/>
      <c r="O1" s="400"/>
      <c r="P1" s="703"/>
      <c r="Q1" s="703"/>
      <c r="R1" s="703"/>
      <c r="S1" s="703"/>
      <c r="T1" s="703"/>
      <c r="U1" s="703"/>
      <c r="V1" s="703"/>
      <c r="W1" s="703"/>
      <c r="X1" s="703"/>
      <c r="Y1" s="703"/>
      <c r="Z1" s="703"/>
      <c r="AA1" s="703"/>
      <c r="AB1" s="703"/>
      <c r="AC1" s="703"/>
      <c r="AD1" s="703"/>
      <c r="AE1" s="703"/>
    </row>
    <row r="2" spans="1:36" s="704" customFormat="1" ht="30">
      <c r="A2" s="702" t="s">
        <v>1841</v>
      </c>
      <c r="B2" s="703" t="s">
        <v>2501</v>
      </c>
      <c r="C2" s="703" t="s">
        <v>2471</v>
      </c>
      <c r="D2" s="703" t="s">
        <v>2472</v>
      </c>
      <c r="E2" s="703" t="s">
        <v>2473</v>
      </c>
      <c r="F2" s="703" t="s">
        <v>2474</v>
      </c>
      <c r="G2" s="703" t="s">
        <v>2475</v>
      </c>
      <c r="H2" s="703" t="s">
        <v>2476</v>
      </c>
      <c r="I2" s="703" t="s">
        <v>2398</v>
      </c>
      <c r="J2" s="703" t="s">
        <v>2399</v>
      </c>
      <c r="K2" s="703" t="s">
        <v>2400</v>
      </c>
      <c r="L2" s="703" t="s">
        <v>2401</v>
      </c>
      <c r="M2" s="703" t="s">
        <v>2402</v>
      </c>
      <c r="N2" s="703" t="s">
        <v>2403</v>
      </c>
      <c r="O2" s="400" t="s">
        <v>2516</v>
      </c>
      <c r="P2" s="703" t="s">
        <v>2554</v>
      </c>
      <c r="Q2" s="703" t="s">
        <v>2555</v>
      </c>
      <c r="R2" s="703" t="s">
        <v>2556</v>
      </c>
      <c r="S2" s="703" t="s">
        <v>2529</v>
      </c>
      <c r="T2" s="703" t="s">
        <v>2530</v>
      </c>
      <c r="U2" s="703" t="s">
        <v>2531</v>
      </c>
      <c r="V2" s="703" t="s">
        <v>2532</v>
      </c>
      <c r="W2" s="703" t="s">
        <v>2533</v>
      </c>
      <c r="X2" s="703" t="s">
        <v>2534</v>
      </c>
      <c r="Y2" s="703" t="s">
        <v>2535</v>
      </c>
      <c r="Z2" s="703" t="s">
        <v>2536</v>
      </c>
      <c r="AA2" s="703" t="s">
        <v>2537</v>
      </c>
      <c r="AB2" s="703" t="s">
        <v>2538</v>
      </c>
      <c r="AC2" s="703" t="s">
        <v>2539</v>
      </c>
      <c r="AD2" s="703" t="s">
        <v>2540</v>
      </c>
      <c r="AE2" s="703" t="s">
        <v>2541</v>
      </c>
      <c r="AF2" s="400" t="s">
        <v>2565</v>
      </c>
    </row>
    <row r="3" spans="1:36" s="704" customFormat="1">
      <c r="A3" s="702"/>
      <c r="B3" s="703"/>
      <c r="C3" s="703"/>
      <c r="D3" s="703"/>
      <c r="E3" s="703"/>
      <c r="F3" s="703"/>
      <c r="G3" s="703"/>
      <c r="H3" s="703"/>
      <c r="I3" s="703"/>
      <c r="J3" s="703"/>
      <c r="K3" s="703"/>
      <c r="L3" s="703"/>
      <c r="M3" s="703"/>
      <c r="N3" s="703"/>
      <c r="O3" s="400"/>
      <c r="P3" s="703"/>
      <c r="Q3" s="703"/>
      <c r="R3" s="703"/>
      <c r="S3" s="703"/>
      <c r="T3" s="703"/>
      <c r="U3" s="703"/>
      <c r="V3" s="703"/>
      <c r="W3" s="703"/>
      <c r="X3" s="703"/>
      <c r="Y3" s="703"/>
      <c r="Z3" s="703"/>
      <c r="AA3" s="703"/>
      <c r="AB3" s="703"/>
      <c r="AC3" s="703"/>
      <c r="AD3" s="703"/>
      <c r="AE3" s="703"/>
    </row>
    <row r="4" spans="1:36">
      <c r="A4" s="705" t="s">
        <v>1841</v>
      </c>
    </row>
    <row r="6" spans="1:36">
      <c r="A6" s="705" t="s">
        <v>1842</v>
      </c>
    </row>
    <row r="8" spans="1:36">
      <c r="A8" s="705" t="s">
        <v>1443</v>
      </c>
      <c r="B8" s="708"/>
      <c r="C8" s="708"/>
      <c r="D8" s="708"/>
      <c r="E8" s="708"/>
      <c r="F8" s="708"/>
      <c r="G8" s="708"/>
      <c r="H8" s="708"/>
      <c r="I8" s="708"/>
      <c r="J8" s="708"/>
      <c r="K8" s="708"/>
      <c r="L8" s="708"/>
      <c r="M8" s="708"/>
      <c r="N8" s="708"/>
      <c r="O8" s="709"/>
      <c r="P8" s="708"/>
      <c r="Q8" s="708"/>
      <c r="R8" s="708"/>
      <c r="S8" s="708"/>
      <c r="T8" s="708"/>
      <c r="U8" s="708"/>
      <c r="V8" s="708"/>
      <c r="W8" s="708"/>
      <c r="X8" s="708"/>
      <c r="Y8" s="708"/>
      <c r="Z8" s="708"/>
      <c r="AA8" s="708"/>
      <c r="AB8" s="708"/>
      <c r="AC8" s="708"/>
      <c r="AD8" s="708"/>
      <c r="AE8" s="708"/>
    </row>
    <row r="9" spans="1:36">
      <c r="A9" s="579" t="s">
        <v>1843</v>
      </c>
      <c r="B9" s="708"/>
      <c r="C9" s="708"/>
      <c r="D9" s="708"/>
      <c r="E9" s="708"/>
      <c r="F9" s="708"/>
      <c r="G9" s="708"/>
      <c r="H9" s="708"/>
      <c r="I9" s="708"/>
      <c r="J9" s="708"/>
      <c r="K9" s="708"/>
      <c r="L9" s="708"/>
      <c r="M9" s="708"/>
      <c r="N9" s="708"/>
      <c r="O9" s="709"/>
      <c r="P9" s="708"/>
      <c r="Q9" s="708"/>
      <c r="R9" s="708"/>
      <c r="S9" s="708"/>
      <c r="T9" s="708"/>
      <c r="U9" s="708"/>
      <c r="V9" s="708"/>
      <c r="W9" s="708"/>
      <c r="X9" s="708"/>
      <c r="Y9" s="708"/>
      <c r="Z9" s="708"/>
      <c r="AA9" s="708"/>
      <c r="AB9" s="708"/>
      <c r="AC9" s="708"/>
      <c r="AD9" s="708"/>
      <c r="AE9" s="708"/>
    </row>
    <row r="10" spans="1:36">
      <c r="A10" s="579" t="s">
        <v>1844</v>
      </c>
      <c r="B10" s="706">
        <v>8307877.2688299902</v>
      </c>
      <c r="C10" s="706">
        <v>8310999.4623600002</v>
      </c>
      <c r="D10" s="706">
        <v>8305161.1203399999</v>
      </c>
      <c r="E10" s="706">
        <v>8325186.7803499997</v>
      </c>
      <c r="F10" s="706">
        <v>8356494.0359699903</v>
      </c>
      <c r="G10" s="706">
        <v>8367767.3757999996</v>
      </c>
      <c r="H10" s="706">
        <v>8375561.5613500001</v>
      </c>
      <c r="I10" s="706">
        <v>8478442.8226902597</v>
      </c>
      <c r="J10" s="706">
        <v>8542112.5578715205</v>
      </c>
      <c r="K10" s="706">
        <v>8599103.5650893301</v>
      </c>
      <c r="L10" s="706">
        <v>8635591.4351394009</v>
      </c>
      <c r="M10" s="706">
        <v>8691437.5602390692</v>
      </c>
      <c r="N10" s="706">
        <v>8790282.0178113803</v>
      </c>
      <c r="O10" s="235">
        <f>SUM(B10:N10)/13</f>
        <v>8468155.1972185355</v>
      </c>
      <c r="P10" s="706">
        <v>8797930.8953205794</v>
      </c>
      <c r="Q10" s="706">
        <v>8693048.1183253098</v>
      </c>
      <c r="R10" s="706">
        <v>8714997.0547588691</v>
      </c>
      <c r="S10" s="706">
        <v>8737354.5978743192</v>
      </c>
      <c r="T10" s="706">
        <v>8901689.7133110799</v>
      </c>
      <c r="U10" s="706">
        <v>8951364.3057498205</v>
      </c>
      <c r="V10" s="706">
        <v>8973564.4540950209</v>
      </c>
      <c r="W10" s="706">
        <v>8986786.2616972793</v>
      </c>
      <c r="X10" s="706">
        <v>9025787.5484871697</v>
      </c>
      <c r="Y10" s="706">
        <v>9057623.7058449201</v>
      </c>
      <c r="Z10" s="706">
        <v>9116342.8325367793</v>
      </c>
      <c r="AA10" s="706">
        <v>9273567.5452655796</v>
      </c>
      <c r="AB10" s="706">
        <v>9217541.9610939194</v>
      </c>
      <c r="AC10" s="706">
        <v>9222427.0285560694</v>
      </c>
      <c r="AD10" s="706">
        <v>9249748.5693677403</v>
      </c>
      <c r="AE10" s="706">
        <v>9279113.5436740201</v>
      </c>
      <c r="AF10" s="707">
        <f>SUM(S10:AE10)/13</f>
        <v>9076377.8513502851</v>
      </c>
    </row>
    <row r="11" spans="1:36">
      <c r="A11" s="579" t="s">
        <v>1845</v>
      </c>
      <c r="B11" s="706">
        <v>32786.7336</v>
      </c>
      <c r="C11" s="706">
        <v>32786.7336</v>
      </c>
      <c r="D11" s="706">
        <v>32786.7336</v>
      </c>
      <c r="E11" s="706">
        <v>32786.7336</v>
      </c>
      <c r="F11" s="706">
        <v>32786.7336</v>
      </c>
      <c r="G11" s="706">
        <v>32786.7336</v>
      </c>
      <c r="H11" s="706">
        <v>32786.7336</v>
      </c>
      <c r="I11" s="706">
        <v>32786.7336</v>
      </c>
      <c r="J11" s="706">
        <v>32786.7336</v>
      </c>
      <c r="K11" s="706">
        <v>32786.7336</v>
      </c>
      <c r="L11" s="706">
        <v>32786.7336</v>
      </c>
      <c r="M11" s="706">
        <v>32786.7336</v>
      </c>
      <c r="N11" s="706">
        <v>32786.7336</v>
      </c>
      <c r="O11" s="235">
        <f t="shared" ref="O11:O74" si="0">SUM(B11:N11)/13</f>
        <v>32786.733599999992</v>
      </c>
      <c r="P11" s="706">
        <v>32786.7336</v>
      </c>
      <c r="Q11" s="706">
        <v>32786.7336</v>
      </c>
      <c r="R11" s="706">
        <v>32786.7336</v>
      </c>
      <c r="S11" s="706">
        <v>32786.7336</v>
      </c>
      <c r="T11" s="706">
        <v>32786.7336</v>
      </c>
      <c r="U11" s="706">
        <v>32786.7336</v>
      </c>
      <c r="V11" s="706">
        <v>32786.7336</v>
      </c>
      <c r="W11" s="706">
        <v>32786.7336</v>
      </c>
      <c r="X11" s="706">
        <v>32786.7336</v>
      </c>
      <c r="Y11" s="706">
        <v>32786.7336</v>
      </c>
      <c r="Z11" s="706">
        <v>32786.7336</v>
      </c>
      <c r="AA11" s="706">
        <v>32786.7336</v>
      </c>
      <c r="AB11" s="706">
        <v>32786.7336</v>
      </c>
      <c r="AC11" s="706">
        <v>32786.7336</v>
      </c>
      <c r="AD11" s="706">
        <v>32786.7336</v>
      </c>
      <c r="AE11" s="706">
        <v>32786.7336</v>
      </c>
      <c r="AF11" s="707">
        <f t="shared" ref="AF11:AF74" si="1">SUM(S11:AE11)/13</f>
        <v>32786.733599999992</v>
      </c>
    </row>
    <row r="12" spans="1:36">
      <c r="A12" s="579" t="s">
        <v>2517</v>
      </c>
      <c r="B12" s="706">
        <v>0</v>
      </c>
      <c r="C12" s="706">
        <v>0</v>
      </c>
      <c r="D12" s="706">
        <v>0</v>
      </c>
      <c r="E12" s="706">
        <v>0</v>
      </c>
      <c r="F12" s="706">
        <v>0</v>
      </c>
      <c r="G12" s="706">
        <v>0</v>
      </c>
      <c r="H12" s="706">
        <v>0</v>
      </c>
      <c r="I12" s="706">
        <v>0</v>
      </c>
      <c r="J12" s="706">
        <v>0</v>
      </c>
      <c r="K12" s="706">
        <v>0</v>
      </c>
      <c r="L12" s="706">
        <v>0</v>
      </c>
      <c r="M12" s="706">
        <v>0</v>
      </c>
      <c r="N12" s="706">
        <v>0</v>
      </c>
      <c r="O12" s="235">
        <f t="shared" si="0"/>
        <v>0</v>
      </c>
      <c r="P12" s="706">
        <v>30514.841260000001</v>
      </c>
      <c r="Q12" s="706">
        <v>30494.47882</v>
      </c>
      <c r="R12" s="706">
        <v>30430.691579999999</v>
      </c>
      <c r="S12" s="706">
        <v>30322.53703</v>
      </c>
      <c r="T12" s="706">
        <v>30308.3943</v>
      </c>
      <c r="U12" s="706">
        <v>30286.77708</v>
      </c>
      <c r="V12" s="706">
        <v>30239.77087</v>
      </c>
      <c r="W12" s="706">
        <v>30094.226500000001</v>
      </c>
      <c r="X12" s="706">
        <v>30086.780449999998</v>
      </c>
      <c r="Y12" s="706">
        <v>30053.8233</v>
      </c>
      <c r="Z12" s="706">
        <v>29793.929400000001</v>
      </c>
      <c r="AA12" s="706">
        <v>29647.1911</v>
      </c>
      <c r="AB12" s="706">
        <v>29467.187279999998</v>
      </c>
      <c r="AC12" s="706">
        <v>29322.740229999999</v>
      </c>
      <c r="AD12" s="706">
        <v>29301.046989999999</v>
      </c>
      <c r="AE12" s="706">
        <v>29242.47393</v>
      </c>
      <c r="AF12" s="707">
        <f t="shared" si="1"/>
        <v>29858.990650769229</v>
      </c>
      <c r="AG12" s="707">
        <f>AF12</f>
        <v>29858.990650769229</v>
      </c>
    </row>
    <row r="13" spans="1:36">
      <c r="A13" s="579" t="s">
        <v>1846</v>
      </c>
      <c r="B13" s="706">
        <v>1912.91975</v>
      </c>
      <c r="C13" s="706">
        <v>1912.91975</v>
      </c>
      <c r="D13" s="706">
        <v>1912.91975</v>
      </c>
      <c r="E13" s="706">
        <v>1912.91975</v>
      </c>
      <c r="F13" s="706">
        <v>1912.91975</v>
      </c>
      <c r="G13" s="706">
        <v>1912.91975</v>
      </c>
      <c r="H13" s="706">
        <v>1912.91975</v>
      </c>
      <c r="I13" s="706">
        <v>1912.91975</v>
      </c>
      <c r="J13" s="706">
        <v>1912.91975</v>
      </c>
      <c r="K13" s="706">
        <v>1912.91975</v>
      </c>
      <c r="L13" s="706">
        <v>1912.91975</v>
      </c>
      <c r="M13" s="706">
        <v>1912.91975</v>
      </c>
      <c r="N13" s="706">
        <v>1912.91975</v>
      </c>
      <c r="O13" s="235">
        <f t="shared" si="0"/>
        <v>1912.9197500000007</v>
      </c>
      <c r="P13" s="706">
        <v>1912.91975</v>
      </c>
      <c r="Q13" s="706">
        <v>1912.91975</v>
      </c>
      <c r="R13" s="706">
        <v>1912.91975</v>
      </c>
      <c r="S13" s="706">
        <v>1912.91975</v>
      </c>
      <c r="T13" s="706">
        <v>1912.91975</v>
      </c>
      <c r="U13" s="706">
        <v>1912.91975</v>
      </c>
      <c r="V13" s="706">
        <v>1912.91975</v>
      </c>
      <c r="W13" s="706">
        <v>1912.91975</v>
      </c>
      <c r="X13" s="706">
        <v>1912.91975</v>
      </c>
      <c r="Y13" s="706">
        <v>1912.91975</v>
      </c>
      <c r="Z13" s="706">
        <v>1912.91975</v>
      </c>
      <c r="AA13" s="706">
        <v>1912.91975</v>
      </c>
      <c r="AB13" s="706">
        <v>1912.91975</v>
      </c>
      <c r="AC13" s="706">
        <v>1912.91975</v>
      </c>
      <c r="AD13" s="706">
        <v>1912.91975</v>
      </c>
      <c r="AE13" s="706">
        <v>1912.91975</v>
      </c>
      <c r="AF13" s="707">
        <f t="shared" si="1"/>
        <v>1912.9197500000007</v>
      </c>
    </row>
    <row r="14" spans="1:36">
      <c r="A14" s="579" t="s">
        <v>1847</v>
      </c>
      <c r="B14" s="706">
        <v>934606.97123999998</v>
      </c>
      <c r="C14" s="706">
        <v>952711.67232999904</v>
      </c>
      <c r="D14" s="706">
        <v>954698.84317000001</v>
      </c>
      <c r="E14" s="706">
        <v>942348.67981</v>
      </c>
      <c r="F14" s="706">
        <v>932327.76992999995</v>
      </c>
      <c r="G14" s="706">
        <v>943057.74179999996</v>
      </c>
      <c r="H14" s="706">
        <v>951317.18938</v>
      </c>
      <c r="I14" s="706">
        <v>951317.18938</v>
      </c>
      <c r="J14" s="706">
        <v>951317.18938</v>
      </c>
      <c r="K14" s="706">
        <v>951317.18938</v>
      </c>
      <c r="L14" s="706">
        <v>951317.18938</v>
      </c>
      <c r="M14" s="706">
        <v>951317.18938</v>
      </c>
      <c r="N14" s="706">
        <v>951317.18938</v>
      </c>
      <c r="O14" s="235">
        <f t="shared" si="0"/>
        <v>947613.23107230745</v>
      </c>
      <c r="P14" s="706">
        <v>951317.18938</v>
      </c>
      <c r="Q14" s="706">
        <v>951317.18938</v>
      </c>
      <c r="R14" s="706">
        <v>951317.18938</v>
      </c>
      <c r="S14" s="706">
        <v>951317.18938</v>
      </c>
      <c r="T14" s="706">
        <v>951317.18938</v>
      </c>
      <c r="U14" s="706">
        <v>951317.18938</v>
      </c>
      <c r="V14" s="706">
        <v>951317.18938</v>
      </c>
      <c r="W14" s="706">
        <v>951317.18938</v>
      </c>
      <c r="X14" s="706">
        <v>951317.18938</v>
      </c>
      <c r="Y14" s="706">
        <v>951317.18938</v>
      </c>
      <c r="Z14" s="706">
        <v>951317.18938</v>
      </c>
      <c r="AA14" s="706">
        <v>951317.18938</v>
      </c>
      <c r="AB14" s="706">
        <v>951317.18938</v>
      </c>
      <c r="AC14" s="706">
        <v>951317.18938</v>
      </c>
      <c r="AD14" s="706">
        <v>951317.18938</v>
      </c>
      <c r="AE14" s="706">
        <v>951317.18938</v>
      </c>
      <c r="AF14" s="707">
        <f t="shared" si="1"/>
        <v>951317.18937999988</v>
      </c>
    </row>
    <row r="15" spans="1:36">
      <c r="A15" s="579" t="s">
        <v>1848</v>
      </c>
      <c r="B15" s="706">
        <v>321167.93991999998</v>
      </c>
      <c r="C15" s="706">
        <v>330936.03506999998</v>
      </c>
      <c r="D15" s="706">
        <v>350034.70724999998</v>
      </c>
      <c r="E15" s="706">
        <v>373499.07523000002</v>
      </c>
      <c r="F15" s="706">
        <v>400855.70178</v>
      </c>
      <c r="G15" s="706">
        <v>419338.93676000001</v>
      </c>
      <c r="H15" s="706">
        <v>423870.17395999999</v>
      </c>
      <c r="I15" s="706">
        <v>368276.43087177101</v>
      </c>
      <c r="J15" s="706">
        <v>359753.00531936903</v>
      </c>
      <c r="K15" s="706">
        <v>357767.03417642298</v>
      </c>
      <c r="L15" s="706">
        <v>384978.030565286</v>
      </c>
      <c r="M15" s="706">
        <v>369747.62048595701</v>
      </c>
      <c r="N15" s="706">
        <v>319262.34003939602</v>
      </c>
      <c r="O15" s="235">
        <f t="shared" si="0"/>
        <v>367652.84857140016</v>
      </c>
      <c r="P15" s="706">
        <v>342324.023916993</v>
      </c>
      <c r="Q15" s="706">
        <v>364810.69799853401</v>
      </c>
      <c r="R15" s="706">
        <v>389236.89261908497</v>
      </c>
      <c r="S15" s="706">
        <v>378380.71204338799</v>
      </c>
      <c r="T15" s="706">
        <v>248550.566071543</v>
      </c>
      <c r="U15" s="706">
        <v>239905.46558504499</v>
      </c>
      <c r="V15" s="706">
        <v>255944.06982744299</v>
      </c>
      <c r="W15" s="706">
        <v>276769.10067486297</v>
      </c>
      <c r="X15" s="706">
        <v>276823.64696799702</v>
      </c>
      <c r="Y15" s="706">
        <v>291750.83909075701</v>
      </c>
      <c r="Z15" s="706">
        <v>273262.35648307198</v>
      </c>
      <c r="AA15" s="706">
        <v>123639.36072958101</v>
      </c>
      <c r="AB15" s="706">
        <v>137935.08401353701</v>
      </c>
      <c r="AC15" s="706">
        <v>153393.812596623</v>
      </c>
      <c r="AD15" s="706">
        <v>183255.91806216899</v>
      </c>
      <c r="AE15" s="706">
        <v>192632.590657614</v>
      </c>
      <c r="AF15" s="707">
        <f t="shared" si="1"/>
        <v>233249.50175412558</v>
      </c>
    </row>
    <row r="16" spans="1:36">
      <c r="A16" s="579" t="s">
        <v>1849</v>
      </c>
      <c r="B16" s="706">
        <v>9598351.8333400004</v>
      </c>
      <c r="C16" s="706">
        <v>9629346.8231099993</v>
      </c>
      <c r="D16" s="706">
        <v>9644594.3241099995</v>
      </c>
      <c r="E16" s="706">
        <v>9675734.1887400001</v>
      </c>
      <c r="F16" s="706">
        <v>9724377.1610299908</v>
      </c>
      <c r="G16" s="706">
        <v>9764863.7077099998</v>
      </c>
      <c r="H16" s="706">
        <v>9785448.5780400001</v>
      </c>
      <c r="I16" s="706">
        <v>9832736.0962920301</v>
      </c>
      <c r="J16" s="706">
        <v>9887882.4059208892</v>
      </c>
      <c r="K16" s="706">
        <v>9942887.4419957493</v>
      </c>
      <c r="L16" s="706">
        <v>10006586.3084346</v>
      </c>
      <c r="M16" s="706">
        <v>10047202.023455</v>
      </c>
      <c r="N16" s="706">
        <v>10095561.200580699</v>
      </c>
      <c r="O16" s="235">
        <f t="shared" si="0"/>
        <v>9818120.9302122276</v>
      </c>
      <c r="P16" s="706">
        <v>10156786.6032275</v>
      </c>
      <c r="Q16" s="706">
        <v>10074370.1378738</v>
      </c>
      <c r="R16" s="706">
        <v>10120681.4816879</v>
      </c>
      <c r="S16" s="706">
        <v>10132074.6896777</v>
      </c>
      <c r="T16" s="706">
        <v>10166565.516412601</v>
      </c>
      <c r="U16" s="706">
        <v>10207573.391144801</v>
      </c>
      <c r="V16" s="706">
        <v>10245765.137522399</v>
      </c>
      <c r="W16" s="706">
        <v>10279666.4316021</v>
      </c>
      <c r="X16" s="706">
        <v>10318714.8186351</v>
      </c>
      <c r="Y16" s="706">
        <v>10365445.2109656</v>
      </c>
      <c r="Z16" s="706">
        <v>10405415.961149801</v>
      </c>
      <c r="AA16" s="706">
        <v>10412870.939825101</v>
      </c>
      <c r="AB16" s="706">
        <v>10370961.0751174</v>
      </c>
      <c r="AC16" s="706">
        <v>10391160.424112599</v>
      </c>
      <c r="AD16" s="706">
        <v>10448322.3771499</v>
      </c>
      <c r="AE16" s="706">
        <v>10487005.450991601</v>
      </c>
      <c r="AF16" s="707">
        <f t="shared" si="1"/>
        <v>10325503.18648513</v>
      </c>
      <c r="AG16" s="707">
        <v>10322954</v>
      </c>
      <c r="AH16" s="707">
        <f>AE16-AE15-AE12</f>
        <v>10265130.386403987</v>
      </c>
      <c r="AI16" s="707">
        <v>10097745</v>
      </c>
      <c r="AJ16" s="707">
        <f>AF16-AF15-AF12</f>
        <v>10062394.694080235</v>
      </c>
    </row>
    <row r="17" spans="1:36">
      <c r="A17" s="579"/>
      <c r="B17" s="708"/>
      <c r="C17" s="708"/>
      <c r="D17" s="708"/>
      <c r="E17" s="708"/>
      <c r="F17" s="708"/>
      <c r="G17" s="708"/>
      <c r="H17" s="708"/>
      <c r="I17" s="708"/>
      <c r="J17" s="708"/>
      <c r="K17" s="708"/>
      <c r="L17" s="708"/>
      <c r="M17" s="708"/>
      <c r="N17" s="708"/>
      <c r="O17" s="235">
        <f t="shared" si="0"/>
        <v>0</v>
      </c>
      <c r="P17" s="708"/>
      <c r="Q17" s="708"/>
      <c r="R17" s="708"/>
      <c r="S17" s="708"/>
      <c r="T17" s="708"/>
      <c r="U17" s="708"/>
      <c r="V17" s="708"/>
      <c r="W17" s="708"/>
      <c r="X17" s="708"/>
      <c r="Y17" s="708"/>
      <c r="Z17" s="708"/>
      <c r="AA17" s="708"/>
      <c r="AB17" s="708"/>
      <c r="AC17" s="708"/>
      <c r="AD17" s="708"/>
      <c r="AE17" s="708"/>
      <c r="AF17" s="707">
        <f t="shared" si="1"/>
        <v>0</v>
      </c>
      <c r="AI17" s="707">
        <v>961.67691796960912</v>
      </c>
      <c r="AJ17" s="710">
        <f>10095832380.1389/1000</f>
        <v>10095832.3801389</v>
      </c>
    </row>
    <row r="18" spans="1:36">
      <c r="A18" s="579" t="s">
        <v>1850</v>
      </c>
      <c r="B18" s="708"/>
      <c r="C18" s="708"/>
      <c r="D18" s="708"/>
      <c r="E18" s="708"/>
      <c r="F18" s="708"/>
      <c r="G18" s="708"/>
      <c r="H18" s="708"/>
      <c r="I18" s="708"/>
      <c r="J18" s="708"/>
      <c r="K18" s="708"/>
      <c r="L18" s="708"/>
      <c r="M18" s="708"/>
      <c r="N18" s="708"/>
      <c r="O18" s="235">
        <f t="shared" si="0"/>
        <v>0</v>
      </c>
      <c r="P18" s="708"/>
      <c r="Q18" s="708"/>
      <c r="R18" s="708"/>
      <c r="S18" s="708"/>
      <c r="T18" s="708"/>
      <c r="U18" s="708"/>
      <c r="V18" s="708"/>
      <c r="W18" s="708"/>
      <c r="X18" s="708"/>
      <c r="Y18" s="708"/>
      <c r="Z18" s="708"/>
      <c r="AA18" s="708"/>
      <c r="AB18" s="708"/>
      <c r="AC18" s="708"/>
      <c r="AD18" s="708"/>
      <c r="AE18" s="708"/>
      <c r="AF18" s="707">
        <f t="shared" si="1"/>
        <v>0</v>
      </c>
      <c r="AI18" s="707">
        <f>SUM(AI16:AI17)</f>
        <v>10098706.67691797</v>
      </c>
      <c r="AJ18" s="707">
        <f>AJ16-AJ17</f>
        <v>-33437.686058664694</v>
      </c>
    </row>
    <row r="19" spans="1:36">
      <c r="A19" s="579" t="s">
        <v>1851</v>
      </c>
      <c r="B19" s="706">
        <v>-2764706.22713</v>
      </c>
      <c r="C19" s="706">
        <v>-2783784.15918</v>
      </c>
      <c r="D19" s="706">
        <v>-2786943.1186099998</v>
      </c>
      <c r="E19" s="706">
        <v>-2805973.57345</v>
      </c>
      <c r="F19" s="706">
        <v>-2825998.9808399999</v>
      </c>
      <c r="G19" s="706">
        <v>-2841900.12606999</v>
      </c>
      <c r="H19" s="706">
        <v>-2857812.47321</v>
      </c>
      <c r="I19" s="706">
        <v>-2878211.8237219402</v>
      </c>
      <c r="J19" s="706">
        <v>-2899312.7025114</v>
      </c>
      <c r="K19" s="706">
        <v>-2920597.17630347</v>
      </c>
      <c r="L19" s="706">
        <v>-2941418.1128282598</v>
      </c>
      <c r="M19" s="706">
        <v>-2956085.8022119799</v>
      </c>
      <c r="N19" s="706">
        <v>-2977649.0793103199</v>
      </c>
      <c r="O19" s="235">
        <f t="shared" si="0"/>
        <v>-2864645.6427213354</v>
      </c>
      <c r="P19" s="706">
        <v>-2998993.8734564902</v>
      </c>
      <c r="Q19" s="706">
        <v>-2908119.91834707</v>
      </c>
      <c r="R19" s="706">
        <v>-2926263.71901706</v>
      </c>
      <c r="S19" s="706">
        <v>-2945590.1493899398</v>
      </c>
      <c r="T19" s="706">
        <v>-2967348.32046291</v>
      </c>
      <c r="U19" s="706">
        <v>-2991459.0466342</v>
      </c>
      <c r="V19" s="706">
        <v>-3013706.0187593899</v>
      </c>
      <c r="W19" s="706">
        <v>-3034952.1821135702</v>
      </c>
      <c r="X19" s="706">
        <v>-3060984.2298406698</v>
      </c>
      <c r="Y19" s="706">
        <v>-3084803.9233023999</v>
      </c>
      <c r="Z19" s="706">
        <v>-3110451.9579476402</v>
      </c>
      <c r="AA19" s="706">
        <v>-3114834.9001904698</v>
      </c>
      <c r="AB19" s="706">
        <v>-3078808.8850152902</v>
      </c>
      <c r="AC19" s="706">
        <v>-3098404.3127550199</v>
      </c>
      <c r="AD19" s="706">
        <v>-3121788.4279142101</v>
      </c>
      <c r="AE19" s="706">
        <v>-3135095.9941994599</v>
      </c>
      <c r="AF19" s="707">
        <f t="shared" si="1"/>
        <v>-3058325.2575788596</v>
      </c>
    </row>
    <row r="20" spans="1:36">
      <c r="A20" s="579" t="s">
        <v>1852</v>
      </c>
      <c r="B20" s="706">
        <v>-20092.463110000001</v>
      </c>
      <c r="C20" s="706">
        <v>-20115.104859999999</v>
      </c>
      <c r="D20" s="706">
        <v>-20137.746609999998</v>
      </c>
      <c r="E20" s="706">
        <v>-20160.388360000001</v>
      </c>
      <c r="F20" s="706">
        <v>-20183.03011</v>
      </c>
      <c r="G20" s="706">
        <v>-20205.671859999999</v>
      </c>
      <c r="H20" s="706">
        <v>-20228.313610000001</v>
      </c>
      <c r="I20" s="706">
        <v>-20228.313610000001</v>
      </c>
      <c r="J20" s="706">
        <v>-20228.313610000001</v>
      </c>
      <c r="K20" s="706">
        <v>-20228.313610000001</v>
      </c>
      <c r="L20" s="706">
        <v>-20228.313610000001</v>
      </c>
      <c r="M20" s="706">
        <v>-20228.313610000001</v>
      </c>
      <c r="N20" s="706">
        <v>-20228.313610000001</v>
      </c>
      <c r="O20" s="235">
        <f t="shared" si="0"/>
        <v>-20191.73847538462</v>
      </c>
      <c r="P20" s="706">
        <v>-20228.313610000001</v>
      </c>
      <c r="Q20" s="706">
        <v>-20228.313610000001</v>
      </c>
      <c r="R20" s="706">
        <v>-20228.313610000001</v>
      </c>
      <c r="S20" s="706">
        <v>-20228.313610000001</v>
      </c>
      <c r="T20" s="706">
        <v>-20228.313610000001</v>
      </c>
      <c r="U20" s="706">
        <v>-20228.313610000001</v>
      </c>
      <c r="V20" s="706">
        <v>-20228.313610000001</v>
      </c>
      <c r="W20" s="706">
        <v>-20228.313610000001</v>
      </c>
      <c r="X20" s="706">
        <v>-20228.313610000001</v>
      </c>
      <c r="Y20" s="706">
        <v>-20228.313610000001</v>
      </c>
      <c r="Z20" s="706">
        <v>-20228.313610000001</v>
      </c>
      <c r="AA20" s="706">
        <v>-20228.313610000001</v>
      </c>
      <c r="AB20" s="706">
        <v>-20228.313610000001</v>
      </c>
      <c r="AC20" s="706">
        <v>-20228.313610000001</v>
      </c>
      <c r="AD20" s="706">
        <v>-20228.313610000001</v>
      </c>
      <c r="AE20" s="706">
        <v>-20228.313610000001</v>
      </c>
      <c r="AF20" s="707">
        <f t="shared" si="1"/>
        <v>-20228.313610000005</v>
      </c>
    </row>
    <row r="21" spans="1:36">
      <c r="A21" s="579" t="s">
        <v>1853</v>
      </c>
      <c r="B21" s="706">
        <v>721.93904999999995</v>
      </c>
      <c r="C21" s="706">
        <v>810.64823999999999</v>
      </c>
      <c r="D21" s="706">
        <v>811.54515000000004</v>
      </c>
      <c r="E21" s="706">
        <v>901.20567000000005</v>
      </c>
      <c r="F21" s="706">
        <v>901.66273000000001</v>
      </c>
      <c r="G21" s="706">
        <v>872.72469000000001</v>
      </c>
      <c r="H21" s="706">
        <v>837.33713999999998</v>
      </c>
      <c r="I21" s="706">
        <v>837.33713999999998</v>
      </c>
      <c r="J21" s="706">
        <v>837.33713999999998</v>
      </c>
      <c r="K21" s="706">
        <v>837.33713999999998</v>
      </c>
      <c r="L21" s="706">
        <v>837.33713999999998</v>
      </c>
      <c r="M21" s="706">
        <v>837.33713999999998</v>
      </c>
      <c r="N21" s="706">
        <v>837.33713999999998</v>
      </c>
      <c r="O21" s="235">
        <f t="shared" si="0"/>
        <v>837.00657769230747</v>
      </c>
      <c r="P21" s="706">
        <v>837.33713999999998</v>
      </c>
      <c r="Q21" s="706">
        <v>837.33713999999998</v>
      </c>
      <c r="R21" s="706">
        <v>837.33713999999998</v>
      </c>
      <c r="S21" s="706">
        <v>837.33713999999998</v>
      </c>
      <c r="T21" s="706">
        <v>837.33713999999998</v>
      </c>
      <c r="U21" s="706">
        <v>837.33713999999998</v>
      </c>
      <c r="V21" s="706">
        <v>837.33713999999998</v>
      </c>
      <c r="W21" s="706">
        <v>837.33713999999998</v>
      </c>
      <c r="X21" s="706">
        <v>837.33713999999998</v>
      </c>
      <c r="Y21" s="706">
        <v>837.33713999999998</v>
      </c>
      <c r="Z21" s="706">
        <v>837.33713999999998</v>
      </c>
      <c r="AA21" s="706">
        <v>837.33713999999998</v>
      </c>
      <c r="AB21" s="706">
        <v>837.33713999999998</v>
      </c>
      <c r="AC21" s="706">
        <v>837.33713999999998</v>
      </c>
      <c r="AD21" s="706">
        <v>837.33713999999998</v>
      </c>
      <c r="AE21" s="706">
        <v>837.33713999999998</v>
      </c>
      <c r="AF21" s="707">
        <f t="shared" si="1"/>
        <v>837.33713999999975</v>
      </c>
    </row>
    <row r="22" spans="1:36">
      <c r="A22" s="579" t="s">
        <v>1854</v>
      </c>
      <c r="B22" s="706">
        <v>-58635.313759999997</v>
      </c>
      <c r="C22" s="706">
        <v>-60023.122799999997</v>
      </c>
      <c r="D22" s="706">
        <v>-60737.084049999998</v>
      </c>
      <c r="E22" s="706">
        <v>-62286.759339999997</v>
      </c>
      <c r="F22" s="706">
        <v>-63468.947260000001</v>
      </c>
      <c r="G22" s="706">
        <v>-64545.2441599999</v>
      </c>
      <c r="H22" s="706">
        <v>-64960.0798</v>
      </c>
      <c r="I22" s="706">
        <v>-65294.125800000002</v>
      </c>
      <c r="J22" s="706">
        <v>-66371.193209999998</v>
      </c>
      <c r="K22" s="706">
        <v>-66802.991559999995</v>
      </c>
      <c r="L22" s="706">
        <v>-67156.168769999902</v>
      </c>
      <c r="M22" s="706">
        <v>-68849.298379999993</v>
      </c>
      <c r="N22" s="706">
        <v>-70602.474419999999</v>
      </c>
      <c r="O22" s="235">
        <f t="shared" si="0"/>
        <v>-64594.831023846134</v>
      </c>
      <c r="P22" s="706">
        <v>-72391.111629999999</v>
      </c>
      <c r="Q22" s="706">
        <v>-71660.910799999998</v>
      </c>
      <c r="R22" s="706">
        <v>-72795.837</v>
      </c>
      <c r="S22" s="706">
        <v>-36683.400370000003</v>
      </c>
      <c r="T22" s="706">
        <v>-37877.945619999999</v>
      </c>
      <c r="U22" s="706">
        <v>-39148.586779999998</v>
      </c>
      <c r="V22" s="706">
        <v>-40364.57776</v>
      </c>
      <c r="W22" s="706">
        <v>-40756.252690000001</v>
      </c>
      <c r="X22" s="706">
        <v>-41918.464330000003</v>
      </c>
      <c r="Y22" s="706">
        <v>-41514.779119999999</v>
      </c>
      <c r="Z22" s="706">
        <v>-39291.33627</v>
      </c>
      <c r="AA22" s="706">
        <v>-40688.26513</v>
      </c>
      <c r="AB22" s="706">
        <v>-41279.85039</v>
      </c>
      <c r="AC22" s="706">
        <v>-40127.917260000002</v>
      </c>
      <c r="AD22" s="706">
        <v>-41397.540350000003</v>
      </c>
      <c r="AE22" s="706">
        <v>-42980.429490000002</v>
      </c>
      <c r="AF22" s="707">
        <f t="shared" si="1"/>
        <v>-40309.949658461541</v>
      </c>
    </row>
    <row r="23" spans="1:36">
      <c r="A23" s="579" t="s">
        <v>1855</v>
      </c>
      <c r="B23" s="706">
        <v>-69.345470000000006</v>
      </c>
      <c r="C23" s="706">
        <v>-69.514619999999994</v>
      </c>
      <c r="D23" s="706">
        <v>-69.683769999999996</v>
      </c>
      <c r="E23" s="706">
        <v>-69.852919999999997</v>
      </c>
      <c r="F23" s="706">
        <v>-70.022069999999999</v>
      </c>
      <c r="G23" s="706">
        <v>-70.191220000000001</v>
      </c>
      <c r="H23" s="706">
        <v>-70.360370000000003</v>
      </c>
      <c r="I23" s="706">
        <v>-70.360370000000003</v>
      </c>
      <c r="J23" s="706">
        <v>-70.360370000000003</v>
      </c>
      <c r="K23" s="706">
        <v>-70.360370000000003</v>
      </c>
      <c r="L23" s="706">
        <v>-70.360370000000003</v>
      </c>
      <c r="M23" s="706">
        <v>-70.360370000000003</v>
      </c>
      <c r="N23" s="706">
        <v>-70.360370000000003</v>
      </c>
      <c r="O23" s="235">
        <f t="shared" si="0"/>
        <v>-70.087127692307689</v>
      </c>
      <c r="P23" s="706">
        <v>-70.360370000000003</v>
      </c>
      <c r="Q23" s="706">
        <v>-70.360370000000003</v>
      </c>
      <c r="R23" s="706">
        <v>-70.360370000000003</v>
      </c>
      <c r="S23" s="706">
        <v>-70.360370000000003</v>
      </c>
      <c r="T23" s="706">
        <v>-70.360370000000003</v>
      </c>
      <c r="U23" s="706">
        <v>-70.360370000000003</v>
      </c>
      <c r="V23" s="706">
        <v>-70.360370000000003</v>
      </c>
      <c r="W23" s="706">
        <v>-70.360370000000003</v>
      </c>
      <c r="X23" s="706">
        <v>-70.360370000000003</v>
      </c>
      <c r="Y23" s="706">
        <v>-70.360370000000003</v>
      </c>
      <c r="Z23" s="706">
        <v>-70.360370000000003</v>
      </c>
      <c r="AA23" s="706">
        <v>-70.360370000000003</v>
      </c>
      <c r="AB23" s="706">
        <v>-70.360370000000003</v>
      </c>
      <c r="AC23" s="706">
        <v>-70.360370000000003</v>
      </c>
      <c r="AD23" s="706">
        <v>-70.360370000000003</v>
      </c>
      <c r="AE23" s="706">
        <v>-70.360370000000003</v>
      </c>
      <c r="AF23" s="707">
        <f t="shared" si="1"/>
        <v>-70.360370000000003</v>
      </c>
    </row>
    <row r="24" spans="1:36">
      <c r="A24" s="579" t="s">
        <v>2518</v>
      </c>
      <c r="B24" s="706">
        <v>0</v>
      </c>
      <c r="C24" s="706">
        <v>0</v>
      </c>
      <c r="D24" s="706">
        <v>0</v>
      </c>
      <c r="E24" s="706">
        <v>0</v>
      </c>
      <c r="F24" s="706">
        <v>0</v>
      </c>
      <c r="G24" s="706">
        <v>0</v>
      </c>
      <c r="H24" s="706">
        <v>0</v>
      </c>
      <c r="I24" s="706">
        <v>0</v>
      </c>
      <c r="J24" s="706">
        <v>0</v>
      </c>
      <c r="K24" s="706">
        <v>0</v>
      </c>
      <c r="L24" s="706">
        <v>0</v>
      </c>
      <c r="M24" s="706">
        <v>0</v>
      </c>
      <c r="N24" s="706">
        <v>0</v>
      </c>
      <c r="O24" s="235">
        <f t="shared" si="0"/>
        <v>0</v>
      </c>
      <c r="P24" s="706">
        <v>-635.68627000000004</v>
      </c>
      <c r="Q24" s="706">
        <v>-1233.61155999999</v>
      </c>
      <c r="R24" s="706">
        <v>-1781.0899199999899</v>
      </c>
      <c r="S24" s="706">
        <v>-2266.5516899999998</v>
      </c>
      <c r="T24" s="706">
        <v>-2821.6973599999901</v>
      </c>
      <c r="U24" s="706">
        <v>-3369.4422799999902</v>
      </c>
      <c r="V24" s="706">
        <v>-3891.19345999999</v>
      </c>
      <c r="W24" s="706">
        <v>-4310.4898499999899</v>
      </c>
      <c r="X24" s="706">
        <v>-4852.1683799999901</v>
      </c>
      <c r="Y24" s="706">
        <v>-5370.3258499999902</v>
      </c>
      <c r="Z24" s="706">
        <v>-5661.0160499999902</v>
      </c>
      <c r="AA24" s="706">
        <v>-6043.3222500000002</v>
      </c>
      <c r="AB24" s="706">
        <v>-6382.4529199999997</v>
      </c>
      <c r="AC24" s="706">
        <v>-6745.4785299999903</v>
      </c>
      <c r="AD24" s="706">
        <v>-7223.1810599999899</v>
      </c>
      <c r="AE24" s="706">
        <v>-7665.7033199999896</v>
      </c>
      <c r="AF24" s="707">
        <f t="shared" si="1"/>
        <v>-5123.3094615384534</v>
      </c>
      <c r="AG24" s="707">
        <f>AF24</f>
        <v>-5123.3094615384534</v>
      </c>
    </row>
    <row r="25" spans="1:36">
      <c r="A25" s="579" t="s">
        <v>1856</v>
      </c>
      <c r="B25" s="706">
        <v>114457.888029999</v>
      </c>
      <c r="C25" s="706">
        <v>114887.672179999</v>
      </c>
      <c r="D25" s="706">
        <v>115322.60855999999</v>
      </c>
      <c r="E25" s="706">
        <v>115768.24400999901</v>
      </c>
      <c r="F25" s="706">
        <v>116029.523959999</v>
      </c>
      <c r="G25" s="706">
        <v>116310.73838</v>
      </c>
      <c r="H25" s="706">
        <v>116750.4274</v>
      </c>
      <c r="I25" s="706">
        <v>117205.44588025501</v>
      </c>
      <c r="J25" s="706">
        <v>117665.66504113001</v>
      </c>
      <c r="K25" s="706">
        <v>118129.149550955</v>
      </c>
      <c r="L25" s="706">
        <v>118595.079997382</v>
      </c>
      <c r="M25" s="706">
        <v>119063.318140538</v>
      </c>
      <c r="N25" s="706">
        <v>119536.706876924</v>
      </c>
      <c r="O25" s="235">
        <f t="shared" si="0"/>
        <v>116901.72830824461</v>
      </c>
      <c r="P25" s="706">
        <v>120014.113272591</v>
      </c>
      <c r="Q25" s="706">
        <v>120487.346203258</v>
      </c>
      <c r="R25" s="706">
        <v>120956.956846424</v>
      </c>
      <c r="S25" s="706">
        <v>121428.57038772501</v>
      </c>
      <c r="T25" s="706">
        <v>122134.853846586</v>
      </c>
      <c r="U25" s="706">
        <v>122850.53549086599</v>
      </c>
      <c r="V25" s="706">
        <v>123568.62532335499</v>
      </c>
      <c r="W25" s="706">
        <v>124288.20327095401</v>
      </c>
      <c r="X25" s="706">
        <v>125009.197183663</v>
      </c>
      <c r="Y25" s="706">
        <v>125732.69988966</v>
      </c>
      <c r="Z25" s="706">
        <v>126459.838480344</v>
      </c>
      <c r="AA25" s="706">
        <v>127195.73420722601</v>
      </c>
      <c r="AB25" s="706">
        <v>127938.860454358</v>
      </c>
      <c r="AC25" s="706">
        <v>128682.728389489</v>
      </c>
      <c r="AD25" s="706">
        <v>129427.84374574</v>
      </c>
      <c r="AE25" s="706">
        <v>130174.836043111</v>
      </c>
      <c r="AF25" s="707">
        <f t="shared" si="1"/>
        <v>125760.96359331362</v>
      </c>
      <c r="AG25" s="707">
        <f>SUM(AG12:AG24)</f>
        <v>10347689.681189232</v>
      </c>
    </row>
    <row r="26" spans="1:36">
      <c r="A26" s="579" t="s">
        <v>1857</v>
      </c>
      <c r="B26" s="706">
        <v>26742.41934</v>
      </c>
      <c r="C26" s="706">
        <v>27086.053070000002</v>
      </c>
      <c r="D26" s="706">
        <v>27811.50878</v>
      </c>
      <c r="E26" s="706">
        <v>28513.932779999999</v>
      </c>
      <c r="F26" s="706">
        <v>29804.953079999999</v>
      </c>
      <c r="G26" s="706">
        <v>29688.770629999999</v>
      </c>
      <c r="H26" s="706">
        <v>28934.2427399999</v>
      </c>
      <c r="I26" s="706">
        <v>5166.3729654264898</v>
      </c>
      <c r="J26" s="706">
        <v>6061.4862166159901</v>
      </c>
      <c r="K26" s="706">
        <v>9219.8706420128892</v>
      </c>
      <c r="L26" s="706">
        <v>12585.0648984708</v>
      </c>
      <c r="M26" s="706">
        <v>12344.708271003599</v>
      </c>
      <c r="N26" s="706">
        <v>10468.682789701401</v>
      </c>
      <c r="O26" s="235">
        <f t="shared" si="0"/>
        <v>19571.389707940849</v>
      </c>
      <c r="P26" s="706">
        <v>14103.2374321345</v>
      </c>
      <c r="Q26" s="706">
        <v>19727.226081401801</v>
      </c>
      <c r="R26" s="706">
        <v>23668.474716267701</v>
      </c>
      <c r="S26" s="706">
        <v>27319.557324695601</v>
      </c>
      <c r="T26" s="706">
        <v>29089.0160289427</v>
      </c>
      <c r="U26" s="706">
        <v>30063.8881922607</v>
      </c>
      <c r="V26" s="706">
        <v>31656.165971291401</v>
      </c>
      <c r="W26" s="706">
        <v>32135.1708328573</v>
      </c>
      <c r="X26" s="706">
        <v>18920.442517024199</v>
      </c>
      <c r="Y26" s="706">
        <v>20631.0125509344</v>
      </c>
      <c r="Z26" s="706">
        <v>20835.981538919801</v>
      </c>
      <c r="AA26" s="706">
        <v>816.48521206639998</v>
      </c>
      <c r="AB26" s="706">
        <v>1363.34178822849</v>
      </c>
      <c r="AC26" s="706">
        <v>2016.0254382922899</v>
      </c>
      <c r="AD26" s="706">
        <v>7608.4298469778996</v>
      </c>
      <c r="AE26" s="706">
        <v>5649.3536841545902</v>
      </c>
      <c r="AF26" s="707">
        <f t="shared" si="1"/>
        <v>17546.528532818906</v>
      </c>
    </row>
    <row r="27" spans="1:36" ht="15.75" thickBot="1">
      <c r="A27" s="579" t="s">
        <v>1858</v>
      </c>
      <c r="B27" s="711">
        <v>-536560.67877999996</v>
      </c>
      <c r="C27" s="711">
        <v>-538123.56241000001</v>
      </c>
      <c r="D27" s="711">
        <v>-539555.40660999995</v>
      </c>
      <c r="E27" s="711">
        <v>-541080.69415</v>
      </c>
      <c r="F27" s="711">
        <v>-542601.82614999998</v>
      </c>
      <c r="G27" s="711">
        <v>-543543.89801999996</v>
      </c>
      <c r="H27" s="711">
        <v>-543915.46235000005</v>
      </c>
      <c r="I27" s="711">
        <v>-521238.56730749301</v>
      </c>
      <c r="J27" s="711">
        <v>-522215.73101968999</v>
      </c>
      <c r="K27" s="711">
        <v>-523490.14749474998</v>
      </c>
      <c r="L27" s="711">
        <v>-524928.31776510004</v>
      </c>
      <c r="M27" s="711">
        <v>-523046.80745706102</v>
      </c>
      <c r="N27" s="711">
        <v>-521014.98048467602</v>
      </c>
      <c r="O27" s="235">
        <f t="shared" si="0"/>
        <v>-532408.92923067452</v>
      </c>
      <c r="P27" s="711">
        <v>-522970.14386476402</v>
      </c>
      <c r="Q27" s="711">
        <v>-524892.99300400796</v>
      </c>
      <c r="R27" s="711">
        <v>-526273.903279152</v>
      </c>
      <c r="S27" s="711">
        <v>-527441.13297183195</v>
      </c>
      <c r="T27" s="711">
        <v>-528959.25292919204</v>
      </c>
      <c r="U27" s="711">
        <v>-530449.97235538601</v>
      </c>
      <c r="V27" s="711">
        <v>-533329.31397988601</v>
      </c>
      <c r="W27" s="711">
        <v>-536207.89668586804</v>
      </c>
      <c r="X27" s="711">
        <v>-525687.30656533898</v>
      </c>
      <c r="Y27" s="711">
        <v>-528819.68947820901</v>
      </c>
      <c r="Z27" s="711">
        <v>-530576.11808667495</v>
      </c>
      <c r="AA27" s="711">
        <v>-509106.01506771101</v>
      </c>
      <c r="AB27" s="711">
        <v>-512414.58081331098</v>
      </c>
      <c r="AC27" s="711">
        <v>-515720.20456610498</v>
      </c>
      <c r="AD27" s="711">
        <v>-518179.21312347398</v>
      </c>
      <c r="AE27" s="711">
        <v>-518229.783062662</v>
      </c>
      <c r="AF27" s="707">
        <f t="shared" si="1"/>
        <v>-524240.03689889621</v>
      </c>
    </row>
    <row r="28" spans="1:36">
      <c r="A28" s="579" t="s">
        <v>1859</v>
      </c>
      <c r="B28" s="706">
        <v>-3238141.78182999</v>
      </c>
      <c r="C28" s="706">
        <v>-3259331.09038</v>
      </c>
      <c r="D28" s="706">
        <v>-3263497.3771599899</v>
      </c>
      <c r="E28" s="706">
        <v>-3284387.88576</v>
      </c>
      <c r="F28" s="706">
        <v>-3305586.6666600001</v>
      </c>
      <c r="G28" s="706">
        <v>-3323392.8976299898</v>
      </c>
      <c r="H28" s="706">
        <v>-3340464.68206</v>
      </c>
      <c r="I28" s="706">
        <v>-3361834.0348237501</v>
      </c>
      <c r="J28" s="706">
        <v>-3383633.81232335</v>
      </c>
      <c r="K28" s="706">
        <v>-3403002.6320052501</v>
      </c>
      <c r="L28" s="706">
        <v>-3421783.7913075099</v>
      </c>
      <c r="M28" s="706">
        <v>-3436035.2184775001</v>
      </c>
      <c r="N28" s="706">
        <v>-3458722.48138837</v>
      </c>
      <c r="O28" s="235">
        <f t="shared" si="0"/>
        <v>-3344601.103985054</v>
      </c>
      <c r="P28" s="706">
        <v>-3480334.8013565298</v>
      </c>
      <c r="Q28" s="706">
        <v>-3385154.19826642</v>
      </c>
      <c r="R28" s="706">
        <v>-3401950.4544935199</v>
      </c>
      <c r="S28" s="706">
        <v>-3382694.4435493601</v>
      </c>
      <c r="T28" s="706">
        <v>-3405244.6833365802</v>
      </c>
      <c r="U28" s="706">
        <v>-3430973.9612064599</v>
      </c>
      <c r="V28" s="706">
        <v>-3455527.6495046299</v>
      </c>
      <c r="W28" s="706">
        <v>-3479264.7840756299</v>
      </c>
      <c r="X28" s="706">
        <v>-3508973.8662553201</v>
      </c>
      <c r="Y28" s="706">
        <v>-3533606.3421500102</v>
      </c>
      <c r="Z28" s="706">
        <v>-3558145.9451750498</v>
      </c>
      <c r="AA28" s="706">
        <v>-3562121.6200588802</v>
      </c>
      <c r="AB28" s="706">
        <v>-3529044.90373602</v>
      </c>
      <c r="AC28" s="706">
        <v>-3549760.49612334</v>
      </c>
      <c r="AD28" s="706">
        <v>-3571013.4256949602</v>
      </c>
      <c r="AE28" s="706">
        <v>-3587609.0571848499</v>
      </c>
      <c r="AF28" s="707">
        <f t="shared" si="1"/>
        <v>-3504152.3983116224</v>
      </c>
    </row>
    <row r="29" spans="1:36">
      <c r="A29" s="579"/>
      <c r="B29" s="708"/>
      <c r="C29" s="708"/>
      <c r="D29" s="708"/>
      <c r="E29" s="708"/>
      <c r="F29" s="708"/>
      <c r="G29" s="708"/>
      <c r="H29" s="708"/>
      <c r="I29" s="708"/>
      <c r="J29" s="708"/>
      <c r="K29" s="708"/>
      <c r="L29" s="708"/>
      <c r="M29" s="708"/>
      <c r="N29" s="708"/>
      <c r="O29" s="235">
        <f t="shared" si="0"/>
        <v>0</v>
      </c>
      <c r="P29" s="708"/>
      <c r="Q29" s="708"/>
      <c r="R29" s="708"/>
      <c r="S29" s="708"/>
      <c r="T29" s="708"/>
      <c r="U29" s="708"/>
      <c r="V29" s="708"/>
      <c r="W29" s="708"/>
      <c r="X29" s="708"/>
      <c r="Y29" s="708"/>
      <c r="Z29" s="708"/>
      <c r="AA29" s="708"/>
      <c r="AB29" s="708"/>
      <c r="AC29" s="708"/>
      <c r="AD29" s="708"/>
      <c r="AE29" s="708"/>
      <c r="AF29" s="707">
        <f t="shared" si="1"/>
        <v>0</v>
      </c>
    </row>
    <row r="30" spans="1:36" ht="15.75" thickBot="1">
      <c r="A30" s="712" t="s">
        <v>1860</v>
      </c>
      <c r="B30" s="713">
        <v>6360210.0515099997</v>
      </c>
      <c r="C30" s="713">
        <v>6370015.7327300003</v>
      </c>
      <c r="D30" s="713">
        <v>6381096.9469499998</v>
      </c>
      <c r="E30" s="713">
        <v>6391346.3029800002</v>
      </c>
      <c r="F30" s="713">
        <v>6418790.4943699902</v>
      </c>
      <c r="G30" s="713">
        <v>6441470.8100800002</v>
      </c>
      <c r="H30" s="713">
        <v>6444983.8959799996</v>
      </c>
      <c r="I30" s="713">
        <v>6470902.0614682697</v>
      </c>
      <c r="J30" s="713">
        <v>6504248.5935975397</v>
      </c>
      <c r="K30" s="713">
        <v>6539884.8099905001</v>
      </c>
      <c r="L30" s="713">
        <v>6584802.5171271795</v>
      </c>
      <c r="M30" s="713">
        <v>6611166.8049775204</v>
      </c>
      <c r="N30" s="713">
        <v>6636838.7191923996</v>
      </c>
      <c r="O30" s="235">
        <f t="shared" si="0"/>
        <v>6473519.8262271862</v>
      </c>
      <c r="P30" s="713">
        <v>6676451.8018710297</v>
      </c>
      <c r="Q30" s="713">
        <v>6689215.9396074098</v>
      </c>
      <c r="R30" s="713">
        <v>6718731.0271944301</v>
      </c>
      <c r="S30" s="713">
        <v>6749380.2461283403</v>
      </c>
      <c r="T30" s="713">
        <v>6761320.8330760496</v>
      </c>
      <c r="U30" s="713">
        <v>6776599.4299384002</v>
      </c>
      <c r="V30" s="713">
        <v>6790237.4880178301</v>
      </c>
      <c r="W30" s="713">
        <v>6800401.6475265101</v>
      </c>
      <c r="X30" s="713">
        <v>6809740.9523798404</v>
      </c>
      <c r="Y30" s="713">
        <v>6831838.8688156595</v>
      </c>
      <c r="Z30" s="713">
        <v>6847270.0159747899</v>
      </c>
      <c r="AA30" s="713">
        <v>6850749.3197662598</v>
      </c>
      <c r="AB30" s="713">
        <v>6841916.1713814298</v>
      </c>
      <c r="AC30" s="713">
        <v>6841399.9279893404</v>
      </c>
      <c r="AD30" s="713">
        <v>6877308.9514549403</v>
      </c>
      <c r="AE30" s="713">
        <v>6899396.3938067798</v>
      </c>
      <c r="AF30" s="707">
        <f t="shared" si="1"/>
        <v>6821350.7881735517</v>
      </c>
    </row>
    <row r="31" spans="1:36">
      <c r="A31" s="579"/>
      <c r="O31" s="235">
        <f t="shared" si="0"/>
        <v>0</v>
      </c>
      <c r="AF31" s="707">
        <f t="shared" si="1"/>
        <v>0</v>
      </c>
    </row>
    <row r="32" spans="1:36">
      <c r="A32" s="712" t="s">
        <v>1861</v>
      </c>
      <c r="B32" s="708"/>
      <c r="C32" s="708"/>
      <c r="D32" s="708"/>
      <c r="E32" s="708"/>
      <c r="F32" s="708"/>
      <c r="G32" s="708"/>
      <c r="H32" s="708"/>
      <c r="I32" s="708"/>
      <c r="J32" s="708"/>
      <c r="K32" s="708"/>
      <c r="L32" s="708"/>
      <c r="M32" s="708"/>
      <c r="N32" s="708"/>
      <c r="O32" s="235">
        <f t="shared" si="0"/>
        <v>0</v>
      </c>
      <c r="P32" s="708"/>
      <c r="Q32" s="708"/>
      <c r="R32" s="708"/>
      <c r="S32" s="708"/>
      <c r="T32" s="708"/>
      <c r="U32" s="708"/>
      <c r="V32" s="708"/>
      <c r="W32" s="708"/>
      <c r="X32" s="708"/>
      <c r="Y32" s="708"/>
      <c r="Z32" s="708"/>
      <c r="AA32" s="708"/>
      <c r="AB32" s="708"/>
      <c r="AC32" s="708"/>
      <c r="AD32" s="708"/>
      <c r="AE32" s="708"/>
      <c r="AF32" s="707">
        <f t="shared" si="1"/>
        <v>0</v>
      </c>
    </row>
    <row r="33" spans="1:32">
      <c r="A33" s="579" t="s">
        <v>1862</v>
      </c>
      <c r="B33" s="708"/>
      <c r="C33" s="708"/>
      <c r="D33" s="708"/>
      <c r="E33" s="708"/>
      <c r="F33" s="708"/>
      <c r="G33" s="708"/>
      <c r="H33" s="708"/>
      <c r="I33" s="708"/>
      <c r="J33" s="708"/>
      <c r="K33" s="708"/>
      <c r="L33" s="708"/>
      <c r="M33" s="708"/>
      <c r="N33" s="708"/>
      <c r="O33" s="235">
        <f t="shared" si="0"/>
        <v>0</v>
      </c>
      <c r="P33" s="708"/>
      <c r="Q33" s="708"/>
      <c r="R33" s="708"/>
      <c r="S33" s="708"/>
      <c r="T33" s="708"/>
      <c r="U33" s="708"/>
      <c r="V33" s="708"/>
      <c r="W33" s="708"/>
      <c r="X33" s="708"/>
      <c r="Y33" s="708"/>
      <c r="Z33" s="708"/>
      <c r="AA33" s="708"/>
      <c r="AB33" s="708"/>
      <c r="AC33" s="708"/>
      <c r="AD33" s="708"/>
      <c r="AE33" s="708"/>
      <c r="AF33" s="707">
        <f t="shared" si="1"/>
        <v>0</v>
      </c>
    </row>
    <row r="34" spans="1:32" ht="15.75" thickBot="1">
      <c r="A34" s="579" t="s">
        <v>1863</v>
      </c>
      <c r="B34" s="711">
        <v>250</v>
      </c>
      <c r="C34" s="711">
        <v>250</v>
      </c>
      <c r="D34" s="711">
        <v>250</v>
      </c>
      <c r="E34" s="711">
        <v>250</v>
      </c>
      <c r="F34" s="711">
        <v>250</v>
      </c>
      <c r="G34" s="711">
        <v>250</v>
      </c>
      <c r="H34" s="711">
        <v>250</v>
      </c>
      <c r="I34" s="711">
        <v>250</v>
      </c>
      <c r="J34" s="711">
        <v>250</v>
      </c>
      <c r="K34" s="711">
        <v>250</v>
      </c>
      <c r="L34" s="711">
        <v>250</v>
      </c>
      <c r="M34" s="711">
        <v>250</v>
      </c>
      <c r="N34" s="711">
        <v>250</v>
      </c>
      <c r="O34" s="235">
        <f t="shared" si="0"/>
        <v>250</v>
      </c>
      <c r="P34" s="711">
        <v>250</v>
      </c>
      <c r="Q34" s="711">
        <v>250</v>
      </c>
      <c r="R34" s="711">
        <v>250</v>
      </c>
      <c r="S34" s="711">
        <v>250</v>
      </c>
      <c r="T34" s="711">
        <v>250</v>
      </c>
      <c r="U34" s="711">
        <v>250</v>
      </c>
      <c r="V34" s="711">
        <v>250</v>
      </c>
      <c r="W34" s="711">
        <v>250</v>
      </c>
      <c r="X34" s="711">
        <v>250</v>
      </c>
      <c r="Y34" s="711">
        <v>250</v>
      </c>
      <c r="Z34" s="711">
        <v>250</v>
      </c>
      <c r="AA34" s="711">
        <v>250</v>
      </c>
      <c r="AB34" s="711">
        <v>250</v>
      </c>
      <c r="AC34" s="711">
        <v>250</v>
      </c>
      <c r="AD34" s="711">
        <v>250</v>
      </c>
      <c r="AE34" s="711">
        <v>250</v>
      </c>
      <c r="AF34" s="707">
        <f t="shared" si="1"/>
        <v>250</v>
      </c>
    </row>
    <row r="35" spans="1:32">
      <c r="A35" s="579" t="s">
        <v>1864</v>
      </c>
      <c r="B35" s="706">
        <v>250</v>
      </c>
      <c r="C35" s="706">
        <v>250</v>
      </c>
      <c r="D35" s="706">
        <v>250</v>
      </c>
      <c r="E35" s="706">
        <v>250</v>
      </c>
      <c r="F35" s="706">
        <v>250</v>
      </c>
      <c r="G35" s="706">
        <v>250</v>
      </c>
      <c r="H35" s="706">
        <v>250</v>
      </c>
      <c r="I35" s="706">
        <v>250</v>
      </c>
      <c r="J35" s="706">
        <v>250</v>
      </c>
      <c r="K35" s="706">
        <v>250</v>
      </c>
      <c r="L35" s="706">
        <v>250</v>
      </c>
      <c r="M35" s="706">
        <v>250</v>
      </c>
      <c r="N35" s="706">
        <v>250</v>
      </c>
      <c r="O35" s="235">
        <f t="shared" si="0"/>
        <v>250</v>
      </c>
      <c r="P35" s="706">
        <v>250</v>
      </c>
      <c r="Q35" s="706">
        <v>250</v>
      </c>
      <c r="R35" s="706">
        <v>250</v>
      </c>
      <c r="S35" s="706">
        <v>250</v>
      </c>
      <c r="T35" s="706">
        <v>250</v>
      </c>
      <c r="U35" s="706">
        <v>250</v>
      </c>
      <c r="V35" s="706">
        <v>250</v>
      </c>
      <c r="W35" s="706">
        <v>250</v>
      </c>
      <c r="X35" s="706">
        <v>250</v>
      </c>
      <c r="Y35" s="706">
        <v>250</v>
      </c>
      <c r="Z35" s="706">
        <v>250</v>
      </c>
      <c r="AA35" s="706">
        <v>250</v>
      </c>
      <c r="AB35" s="706">
        <v>250</v>
      </c>
      <c r="AC35" s="706">
        <v>250</v>
      </c>
      <c r="AD35" s="706">
        <v>250</v>
      </c>
      <c r="AE35" s="706">
        <v>250</v>
      </c>
      <c r="AF35" s="707">
        <f t="shared" si="1"/>
        <v>250</v>
      </c>
    </row>
    <row r="36" spans="1:32">
      <c r="A36" s="579"/>
      <c r="B36" s="708"/>
      <c r="C36" s="708"/>
      <c r="D36" s="708"/>
      <c r="E36" s="708"/>
      <c r="F36" s="708"/>
      <c r="G36" s="708"/>
      <c r="H36" s="708"/>
      <c r="I36" s="708"/>
      <c r="J36" s="708"/>
      <c r="K36" s="708"/>
      <c r="L36" s="708"/>
      <c r="M36" s="708"/>
      <c r="N36" s="708"/>
      <c r="O36" s="235">
        <f t="shared" si="0"/>
        <v>0</v>
      </c>
      <c r="P36" s="708"/>
      <c r="Q36" s="708"/>
      <c r="R36" s="708"/>
      <c r="S36" s="708"/>
      <c r="T36" s="708"/>
      <c r="U36" s="708"/>
      <c r="V36" s="708"/>
      <c r="W36" s="708"/>
      <c r="X36" s="708"/>
      <c r="Y36" s="708"/>
      <c r="Z36" s="708"/>
      <c r="AA36" s="708"/>
      <c r="AB36" s="708"/>
      <c r="AC36" s="708"/>
      <c r="AD36" s="708"/>
      <c r="AE36" s="708"/>
      <c r="AF36" s="707">
        <f t="shared" si="1"/>
        <v>0</v>
      </c>
    </row>
    <row r="37" spans="1:32">
      <c r="A37" s="579" t="s">
        <v>1865</v>
      </c>
      <c r="B37" s="708"/>
      <c r="C37" s="708"/>
      <c r="D37" s="708"/>
      <c r="E37" s="708"/>
      <c r="F37" s="708"/>
      <c r="G37" s="708"/>
      <c r="H37" s="708"/>
      <c r="I37" s="708"/>
      <c r="J37" s="708"/>
      <c r="K37" s="708"/>
      <c r="L37" s="708"/>
      <c r="M37" s="708"/>
      <c r="N37" s="708"/>
      <c r="O37" s="235">
        <f t="shared" si="0"/>
        <v>0</v>
      </c>
      <c r="P37" s="708"/>
      <c r="Q37" s="708"/>
      <c r="R37" s="708"/>
      <c r="S37" s="708"/>
      <c r="T37" s="708"/>
      <c r="U37" s="708"/>
      <c r="V37" s="708"/>
      <c r="W37" s="708"/>
      <c r="X37" s="708"/>
      <c r="Y37" s="708"/>
      <c r="Z37" s="708"/>
      <c r="AA37" s="708"/>
      <c r="AB37" s="708"/>
      <c r="AC37" s="708"/>
      <c r="AD37" s="708"/>
      <c r="AE37" s="708"/>
      <c r="AF37" s="707">
        <f t="shared" si="1"/>
        <v>0</v>
      </c>
    </row>
    <row r="38" spans="1:32">
      <c r="A38" s="579" t="s">
        <v>1866</v>
      </c>
      <c r="B38" s="706">
        <v>178.71388999999999</v>
      </c>
      <c r="C38" s="706">
        <v>178.71388999999999</v>
      </c>
      <c r="D38" s="706">
        <v>178.71388999999999</v>
      </c>
      <c r="E38" s="706">
        <v>178.71388999999999</v>
      </c>
      <c r="F38" s="706">
        <v>178.71388999999999</v>
      </c>
      <c r="G38" s="706">
        <v>178.71388999999999</v>
      </c>
      <c r="H38" s="706">
        <v>178.71388999999999</v>
      </c>
      <c r="I38" s="706">
        <v>178.71388999999999</v>
      </c>
      <c r="J38" s="706">
        <v>178.71388999999999</v>
      </c>
      <c r="K38" s="706">
        <v>178.71388999999999</v>
      </c>
      <c r="L38" s="706">
        <v>178.71388999999999</v>
      </c>
      <c r="M38" s="706">
        <v>178.71388999999999</v>
      </c>
      <c r="N38" s="706">
        <v>178.71388999999999</v>
      </c>
      <c r="O38" s="235">
        <f t="shared" si="0"/>
        <v>178.71388999999999</v>
      </c>
      <c r="P38" s="706">
        <v>178.71388999999999</v>
      </c>
      <c r="Q38" s="706">
        <v>178.71388999999999</v>
      </c>
      <c r="R38" s="706">
        <v>178.71388999999999</v>
      </c>
      <c r="S38" s="706">
        <v>178.71388999999999</v>
      </c>
      <c r="T38" s="706">
        <v>178.71388999999999</v>
      </c>
      <c r="U38" s="706">
        <v>178.71388999999999</v>
      </c>
      <c r="V38" s="706">
        <v>178.71388999999999</v>
      </c>
      <c r="W38" s="706">
        <v>178.71388999999999</v>
      </c>
      <c r="X38" s="706">
        <v>178.71388999999999</v>
      </c>
      <c r="Y38" s="706">
        <v>178.71388999999999</v>
      </c>
      <c r="Z38" s="706">
        <v>178.71388999999999</v>
      </c>
      <c r="AA38" s="706">
        <v>178.71388999999999</v>
      </c>
      <c r="AB38" s="706">
        <v>178.71388999999999</v>
      </c>
      <c r="AC38" s="706">
        <v>178.71388999999999</v>
      </c>
      <c r="AD38" s="706">
        <v>178.71388999999999</v>
      </c>
      <c r="AE38" s="706">
        <v>178.71388999999999</v>
      </c>
      <c r="AF38" s="707">
        <f t="shared" si="1"/>
        <v>178.71388999999999</v>
      </c>
    </row>
    <row r="39" spans="1:32">
      <c r="A39" s="579" t="s">
        <v>1867</v>
      </c>
      <c r="B39" s="706">
        <v>178.71388999999999</v>
      </c>
      <c r="C39" s="706">
        <v>178.71388999999999</v>
      </c>
      <c r="D39" s="706">
        <v>178.71388999999999</v>
      </c>
      <c r="E39" s="706">
        <v>178.71388999999999</v>
      </c>
      <c r="F39" s="706">
        <v>178.71388999999999</v>
      </c>
      <c r="G39" s="706">
        <v>178.71388999999999</v>
      </c>
      <c r="H39" s="706">
        <v>178.71388999999999</v>
      </c>
      <c r="I39" s="706">
        <v>178.71388999999999</v>
      </c>
      <c r="J39" s="706">
        <v>178.71388999999999</v>
      </c>
      <c r="K39" s="706">
        <v>178.71388999999999</v>
      </c>
      <c r="L39" s="706">
        <v>178.71388999999999</v>
      </c>
      <c r="M39" s="706">
        <v>178.71388999999999</v>
      </c>
      <c r="N39" s="706">
        <v>178.71388999999999</v>
      </c>
      <c r="O39" s="235">
        <f t="shared" si="0"/>
        <v>178.71388999999999</v>
      </c>
      <c r="P39" s="706">
        <v>178.71388999999999</v>
      </c>
      <c r="Q39" s="706">
        <v>178.71388999999999</v>
      </c>
      <c r="R39" s="706">
        <v>178.71388999999999</v>
      </c>
      <c r="S39" s="706">
        <v>178.71388999999999</v>
      </c>
      <c r="T39" s="706">
        <v>178.71388999999999</v>
      </c>
      <c r="U39" s="706">
        <v>178.71388999999999</v>
      </c>
      <c r="V39" s="706">
        <v>178.71388999999999</v>
      </c>
      <c r="W39" s="706">
        <v>178.71388999999999</v>
      </c>
      <c r="X39" s="706">
        <v>178.71388999999999</v>
      </c>
      <c r="Y39" s="706">
        <v>178.71388999999999</v>
      </c>
      <c r="Z39" s="706">
        <v>178.71388999999999</v>
      </c>
      <c r="AA39" s="706">
        <v>178.71388999999999</v>
      </c>
      <c r="AB39" s="706">
        <v>178.71388999999999</v>
      </c>
      <c r="AC39" s="706">
        <v>178.71388999999999</v>
      </c>
      <c r="AD39" s="706">
        <v>178.71388999999999</v>
      </c>
      <c r="AE39" s="706">
        <v>178.71388999999999</v>
      </c>
      <c r="AF39" s="707">
        <f t="shared" si="1"/>
        <v>178.71388999999999</v>
      </c>
    </row>
    <row r="40" spans="1:32">
      <c r="A40" s="579"/>
      <c r="B40" s="708"/>
      <c r="C40" s="708"/>
      <c r="D40" s="708"/>
      <c r="E40" s="708"/>
      <c r="F40" s="708"/>
      <c r="G40" s="708"/>
      <c r="H40" s="708"/>
      <c r="I40" s="708"/>
      <c r="J40" s="708"/>
      <c r="K40" s="708"/>
      <c r="L40" s="708"/>
      <c r="M40" s="708"/>
      <c r="N40" s="708"/>
      <c r="O40" s="235">
        <f t="shared" si="0"/>
        <v>0</v>
      </c>
      <c r="P40" s="708"/>
      <c r="Q40" s="708"/>
      <c r="R40" s="708"/>
      <c r="S40" s="708"/>
      <c r="T40" s="708"/>
      <c r="U40" s="708"/>
      <c r="V40" s="708"/>
      <c r="W40" s="708"/>
      <c r="X40" s="708"/>
      <c r="Y40" s="708"/>
      <c r="Z40" s="708"/>
      <c r="AA40" s="708"/>
      <c r="AB40" s="708"/>
      <c r="AC40" s="708"/>
      <c r="AD40" s="708"/>
      <c r="AE40" s="708"/>
      <c r="AF40" s="707">
        <f t="shared" si="1"/>
        <v>0</v>
      </c>
    </row>
    <row r="41" spans="1:32">
      <c r="A41" s="579" t="s">
        <v>1868</v>
      </c>
      <c r="B41" s="708"/>
      <c r="C41" s="708"/>
      <c r="D41" s="708"/>
      <c r="E41" s="708"/>
      <c r="F41" s="708"/>
      <c r="G41" s="708"/>
      <c r="H41" s="708"/>
      <c r="I41" s="708"/>
      <c r="J41" s="708"/>
      <c r="K41" s="708"/>
      <c r="L41" s="708"/>
      <c r="M41" s="708"/>
      <c r="N41" s="708"/>
      <c r="O41" s="235">
        <f t="shared" si="0"/>
        <v>0</v>
      </c>
      <c r="P41" s="708"/>
      <c r="Q41" s="708"/>
      <c r="R41" s="708"/>
      <c r="S41" s="708"/>
      <c r="T41" s="708"/>
      <c r="U41" s="708"/>
      <c r="V41" s="708"/>
      <c r="W41" s="708"/>
      <c r="X41" s="708"/>
      <c r="Y41" s="708"/>
      <c r="Z41" s="708"/>
      <c r="AA41" s="708"/>
      <c r="AB41" s="708"/>
      <c r="AC41" s="708"/>
      <c r="AD41" s="708"/>
      <c r="AE41" s="708"/>
      <c r="AF41" s="707">
        <f t="shared" si="1"/>
        <v>0</v>
      </c>
    </row>
    <row r="42" spans="1:32" ht="15.75" thickBot="1">
      <c r="A42" s="579" t="s">
        <v>2519</v>
      </c>
      <c r="B42" s="711">
        <v>0</v>
      </c>
      <c r="C42" s="711">
        <v>0</v>
      </c>
      <c r="D42" s="711">
        <v>9758.6631199999993</v>
      </c>
      <c r="E42" s="711">
        <v>9758.6631199999993</v>
      </c>
      <c r="F42" s="711">
        <v>9758.6631199999993</v>
      </c>
      <c r="G42" s="711">
        <v>9758.6631199999993</v>
      </c>
      <c r="H42" s="711">
        <v>14130.22012</v>
      </c>
      <c r="I42" s="711">
        <v>14813.0562866666</v>
      </c>
      <c r="J42" s="711">
        <v>15495.892453333299</v>
      </c>
      <c r="K42" s="711">
        <v>16178.7286199999</v>
      </c>
      <c r="L42" s="711">
        <v>16861.5647866666</v>
      </c>
      <c r="M42" s="711">
        <v>17544.400953333301</v>
      </c>
      <c r="N42" s="711">
        <v>18227.237120000002</v>
      </c>
      <c r="O42" s="235">
        <f t="shared" si="0"/>
        <v>11714.288678461515</v>
      </c>
      <c r="P42" s="711">
        <v>18860.9612033333</v>
      </c>
      <c r="Q42" s="711">
        <v>19494.685286666601</v>
      </c>
      <c r="R42" s="711">
        <v>20128.409370000001</v>
      </c>
      <c r="S42" s="711">
        <v>20762.133453333299</v>
      </c>
      <c r="T42" s="711">
        <v>21395.857536666601</v>
      </c>
      <c r="U42" s="711">
        <v>22029.581620000001</v>
      </c>
      <c r="V42" s="711">
        <v>22663.305703333299</v>
      </c>
      <c r="W42" s="711">
        <v>23297.029786666601</v>
      </c>
      <c r="X42" s="711">
        <v>23930.75387</v>
      </c>
      <c r="Y42" s="711">
        <v>24564.477953333299</v>
      </c>
      <c r="Z42" s="711">
        <v>25198.2020366666</v>
      </c>
      <c r="AA42" s="711">
        <v>25831.92612</v>
      </c>
      <c r="AB42" s="711">
        <v>26522.610120000001</v>
      </c>
      <c r="AC42" s="711">
        <v>27213.294119999999</v>
      </c>
      <c r="AD42" s="711">
        <v>27903.97812</v>
      </c>
      <c r="AE42" s="711">
        <v>28594.662120000001</v>
      </c>
      <c r="AF42" s="707">
        <f t="shared" si="1"/>
        <v>24608.293273846128</v>
      </c>
    </row>
    <row r="43" spans="1:32">
      <c r="A43" s="579" t="s">
        <v>2520</v>
      </c>
      <c r="B43" s="706">
        <v>0</v>
      </c>
      <c r="C43" s="706">
        <v>0</v>
      </c>
      <c r="D43" s="706">
        <v>9758.6631199999993</v>
      </c>
      <c r="E43" s="706">
        <v>9758.6631199999993</v>
      </c>
      <c r="F43" s="706">
        <v>9758.6631199999993</v>
      </c>
      <c r="G43" s="706">
        <v>9758.6631199999993</v>
      </c>
      <c r="H43" s="706">
        <v>14130.22012</v>
      </c>
      <c r="I43" s="706">
        <v>14813.0562866666</v>
      </c>
      <c r="J43" s="706">
        <v>15495.892453333299</v>
      </c>
      <c r="K43" s="706">
        <v>16178.7286199999</v>
      </c>
      <c r="L43" s="706">
        <v>16861.5647866666</v>
      </c>
      <c r="M43" s="706">
        <v>17544.400953333301</v>
      </c>
      <c r="N43" s="706">
        <v>18227.237120000002</v>
      </c>
      <c r="O43" s="235">
        <f t="shared" si="0"/>
        <v>11714.288678461515</v>
      </c>
      <c r="P43" s="706">
        <v>18860.9612033333</v>
      </c>
      <c r="Q43" s="706">
        <v>19494.685286666601</v>
      </c>
      <c r="R43" s="706">
        <v>20128.409370000001</v>
      </c>
      <c r="S43" s="706">
        <v>20762.133453333299</v>
      </c>
      <c r="T43" s="706">
        <v>21395.857536666601</v>
      </c>
      <c r="U43" s="706">
        <v>22029.581620000001</v>
      </c>
      <c r="V43" s="706">
        <v>22663.305703333299</v>
      </c>
      <c r="W43" s="706">
        <v>23297.029786666601</v>
      </c>
      <c r="X43" s="706">
        <v>23930.75387</v>
      </c>
      <c r="Y43" s="706">
        <v>24564.477953333299</v>
      </c>
      <c r="Z43" s="706">
        <v>25198.2020366666</v>
      </c>
      <c r="AA43" s="706">
        <v>25831.92612</v>
      </c>
      <c r="AB43" s="706">
        <v>26522.610120000001</v>
      </c>
      <c r="AC43" s="706">
        <v>27213.294119999999</v>
      </c>
      <c r="AD43" s="706">
        <v>27903.97812</v>
      </c>
      <c r="AE43" s="706">
        <v>28594.662120000001</v>
      </c>
      <c r="AF43" s="707">
        <f t="shared" si="1"/>
        <v>24608.293273846128</v>
      </c>
    </row>
    <row r="44" spans="1:32">
      <c r="A44" s="579"/>
      <c r="B44" s="708"/>
      <c r="C44" s="708"/>
      <c r="D44" s="708"/>
      <c r="E44" s="708"/>
      <c r="F44" s="708"/>
      <c r="G44" s="708"/>
      <c r="H44" s="708"/>
      <c r="I44" s="708"/>
      <c r="J44" s="708"/>
      <c r="K44" s="708"/>
      <c r="L44" s="708"/>
      <c r="M44" s="708"/>
      <c r="N44" s="708"/>
      <c r="O44" s="235">
        <f t="shared" si="0"/>
        <v>0</v>
      </c>
      <c r="P44" s="708"/>
      <c r="Q44" s="708"/>
      <c r="R44" s="708"/>
      <c r="S44" s="708"/>
      <c r="T44" s="708"/>
      <c r="U44" s="708"/>
      <c r="V44" s="708"/>
      <c r="W44" s="708"/>
      <c r="X44" s="708"/>
      <c r="Y44" s="708"/>
      <c r="Z44" s="708"/>
      <c r="AA44" s="708"/>
      <c r="AB44" s="708"/>
      <c r="AC44" s="708"/>
      <c r="AD44" s="708"/>
      <c r="AE44" s="708"/>
      <c r="AF44" s="707">
        <f t="shared" si="1"/>
        <v>0</v>
      </c>
    </row>
    <row r="45" spans="1:32" ht="15.75" thickBot="1">
      <c r="A45" s="712" t="s">
        <v>1869</v>
      </c>
      <c r="B45" s="713">
        <v>428.71388999999999</v>
      </c>
      <c r="C45" s="713">
        <v>428.71388999999999</v>
      </c>
      <c r="D45" s="713">
        <v>10187.37701</v>
      </c>
      <c r="E45" s="713">
        <v>10187.37701</v>
      </c>
      <c r="F45" s="713">
        <v>10187.37701</v>
      </c>
      <c r="G45" s="713">
        <v>10187.37701</v>
      </c>
      <c r="H45" s="713">
        <v>14558.934010000001</v>
      </c>
      <c r="I45" s="713">
        <v>15241.7701766666</v>
      </c>
      <c r="J45" s="713">
        <v>15924.6063433333</v>
      </c>
      <c r="K45" s="713">
        <v>16607.442509999899</v>
      </c>
      <c r="L45" s="713">
        <v>17290.278676666599</v>
      </c>
      <c r="M45" s="713">
        <v>17973.1148433333</v>
      </c>
      <c r="N45" s="713">
        <v>18655.951010000001</v>
      </c>
      <c r="O45" s="235">
        <f t="shared" si="0"/>
        <v>12143.002568461514</v>
      </c>
      <c r="P45" s="713">
        <v>19289.675093333299</v>
      </c>
      <c r="Q45" s="713">
        <v>19923.3991766666</v>
      </c>
      <c r="R45" s="713">
        <v>20557.12326</v>
      </c>
      <c r="S45" s="713">
        <v>21190.847343333298</v>
      </c>
      <c r="T45" s="713">
        <v>21824.5714266666</v>
      </c>
      <c r="U45" s="713">
        <v>22458.29551</v>
      </c>
      <c r="V45" s="713">
        <v>23092.019593333302</v>
      </c>
      <c r="W45" s="713">
        <v>23725.7436766666</v>
      </c>
      <c r="X45" s="713">
        <v>24359.46776</v>
      </c>
      <c r="Y45" s="713">
        <v>24993.191843333301</v>
      </c>
      <c r="Z45" s="713">
        <v>25626.915926666599</v>
      </c>
      <c r="AA45" s="713">
        <v>26260.640009999999</v>
      </c>
      <c r="AB45" s="713">
        <v>26951.32401</v>
      </c>
      <c r="AC45" s="713">
        <v>27642.008010000001</v>
      </c>
      <c r="AD45" s="713">
        <v>28332.692009999999</v>
      </c>
      <c r="AE45" s="713">
        <v>29023.37601</v>
      </c>
      <c r="AF45" s="707">
        <f t="shared" si="1"/>
        <v>25037.007163846134</v>
      </c>
    </row>
    <row r="46" spans="1:32">
      <c r="A46" s="579"/>
      <c r="O46" s="235">
        <f t="shared" si="0"/>
        <v>0</v>
      </c>
      <c r="AF46" s="707">
        <f t="shared" si="1"/>
        <v>0</v>
      </c>
    </row>
    <row r="47" spans="1:32">
      <c r="A47" s="712" t="s">
        <v>1444</v>
      </c>
      <c r="B47" s="708"/>
      <c r="C47" s="708"/>
      <c r="D47" s="708"/>
      <c r="E47" s="708"/>
      <c r="F47" s="708"/>
      <c r="G47" s="708"/>
      <c r="H47" s="708"/>
      <c r="I47" s="708"/>
      <c r="J47" s="708"/>
      <c r="K47" s="708"/>
      <c r="L47" s="708"/>
      <c r="M47" s="708"/>
      <c r="N47" s="708"/>
      <c r="O47" s="235">
        <f t="shared" si="0"/>
        <v>0</v>
      </c>
      <c r="P47" s="708"/>
      <c r="Q47" s="708"/>
      <c r="R47" s="708"/>
      <c r="S47" s="708"/>
      <c r="T47" s="708"/>
      <c r="U47" s="708"/>
      <c r="V47" s="708"/>
      <c r="W47" s="708"/>
      <c r="X47" s="708"/>
      <c r="Y47" s="708"/>
      <c r="Z47" s="708"/>
      <c r="AA47" s="708"/>
      <c r="AB47" s="708"/>
      <c r="AC47" s="708"/>
      <c r="AD47" s="708"/>
      <c r="AE47" s="708"/>
      <c r="AF47" s="707">
        <f t="shared" si="1"/>
        <v>0</v>
      </c>
    </row>
    <row r="48" spans="1:32">
      <c r="A48" s="579" t="s">
        <v>1870</v>
      </c>
      <c r="B48" s="708"/>
      <c r="C48" s="708"/>
      <c r="D48" s="708"/>
      <c r="E48" s="708"/>
      <c r="F48" s="708"/>
      <c r="G48" s="708"/>
      <c r="H48" s="708"/>
      <c r="I48" s="708"/>
      <c r="J48" s="708"/>
      <c r="K48" s="708"/>
      <c r="L48" s="708"/>
      <c r="M48" s="708"/>
      <c r="N48" s="708"/>
      <c r="O48" s="235">
        <f t="shared" si="0"/>
        <v>0</v>
      </c>
      <c r="P48" s="708"/>
      <c r="Q48" s="708"/>
      <c r="R48" s="708"/>
      <c r="S48" s="708"/>
      <c r="T48" s="708"/>
      <c r="U48" s="708"/>
      <c r="V48" s="708"/>
      <c r="W48" s="708"/>
      <c r="X48" s="708"/>
      <c r="Y48" s="708"/>
      <c r="Z48" s="708"/>
      <c r="AA48" s="708"/>
      <c r="AB48" s="708"/>
      <c r="AC48" s="708"/>
      <c r="AD48" s="708"/>
      <c r="AE48" s="708"/>
      <c r="AF48" s="707">
        <f t="shared" si="1"/>
        <v>0</v>
      </c>
    </row>
    <row r="49" spans="1:32">
      <c r="A49" s="579" t="s">
        <v>1871</v>
      </c>
      <c r="B49" s="706">
        <v>12816.843429999901</v>
      </c>
      <c r="C49" s="706">
        <v>12427.772929999999</v>
      </c>
      <c r="D49" s="706">
        <v>11641.19238</v>
      </c>
      <c r="E49" s="706">
        <v>9971.0925000000007</v>
      </c>
      <c r="F49" s="706">
        <v>12215.742249999999</v>
      </c>
      <c r="G49" s="706">
        <v>7161.2765799999997</v>
      </c>
      <c r="H49" s="706">
        <v>11928.16518</v>
      </c>
      <c r="I49" s="706">
        <v>5000</v>
      </c>
      <c r="J49" s="706">
        <v>5000</v>
      </c>
      <c r="K49" s="706">
        <v>5000</v>
      </c>
      <c r="L49" s="706">
        <v>5000</v>
      </c>
      <c r="M49" s="706">
        <v>5000</v>
      </c>
      <c r="N49" s="706">
        <v>5000</v>
      </c>
      <c r="O49" s="235">
        <f t="shared" si="0"/>
        <v>8320.1604038461464</v>
      </c>
      <c r="P49" s="706">
        <v>5000</v>
      </c>
      <c r="Q49" s="706">
        <v>5000</v>
      </c>
      <c r="R49" s="706">
        <v>5000</v>
      </c>
      <c r="S49" s="706">
        <v>5000</v>
      </c>
      <c r="T49" s="706">
        <v>5000</v>
      </c>
      <c r="U49" s="706">
        <v>5000</v>
      </c>
      <c r="V49" s="706">
        <v>5000</v>
      </c>
      <c r="W49" s="706">
        <v>5000</v>
      </c>
      <c r="X49" s="706">
        <v>5000</v>
      </c>
      <c r="Y49" s="706">
        <v>5000</v>
      </c>
      <c r="Z49" s="706">
        <v>5000</v>
      </c>
      <c r="AA49" s="706">
        <v>5000</v>
      </c>
      <c r="AB49" s="706">
        <v>5000</v>
      </c>
      <c r="AC49" s="706">
        <v>5000</v>
      </c>
      <c r="AD49" s="706">
        <v>5000</v>
      </c>
      <c r="AE49" s="706">
        <v>5000</v>
      </c>
      <c r="AF49" s="707">
        <f t="shared" si="1"/>
        <v>5000</v>
      </c>
    </row>
    <row r="50" spans="1:32" ht="15.75" thickBot="1">
      <c r="A50" s="579" t="s">
        <v>1875</v>
      </c>
      <c r="B50" s="711">
        <v>61.03</v>
      </c>
      <c r="C50" s="711">
        <v>61.03</v>
      </c>
      <c r="D50" s="711">
        <v>61.03</v>
      </c>
      <c r="E50" s="711">
        <v>61.03</v>
      </c>
      <c r="F50" s="711">
        <v>61.03</v>
      </c>
      <c r="G50" s="711">
        <v>61.03</v>
      </c>
      <c r="H50" s="711">
        <v>61.03</v>
      </c>
      <c r="I50" s="711">
        <v>61.03</v>
      </c>
      <c r="J50" s="711">
        <v>61.03</v>
      </c>
      <c r="K50" s="711">
        <v>61.03</v>
      </c>
      <c r="L50" s="711">
        <v>61.03</v>
      </c>
      <c r="M50" s="711">
        <v>61.03</v>
      </c>
      <c r="N50" s="711">
        <v>61.03</v>
      </c>
      <c r="O50" s="235">
        <f t="shared" si="0"/>
        <v>61.02999999999998</v>
      </c>
      <c r="P50" s="711">
        <v>61.03</v>
      </c>
      <c r="Q50" s="711">
        <v>61.03</v>
      </c>
      <c r="R50" s="711">
        <v>61.03</v>
      </c>
      <c r="S50" s="711">
        <v>61.03</v>
      </c>
      <c r="T50" s="711">
        <v>61.03</v>
      </c>
      <c r="U50" s="711">
        <v>61.03</v>
      </c>
      <c r="V50" s="711">
        <v>61.03</v>
      </c>
      <c r="W50" s="711">
        <v>61.03</v>
      </c>
      <c r="X50" s="711">
        <v>61.03</v>
      </c>
      <c r="Y50" s="711">
        <v>61.03</v>
      </c>
      <c r="Z50" s="711">
        <v>61.03</v>
      </c>
      <c r="AA50" s="711">
        <v>61.03</v>
      </c>
      <c r="AB50" s="711">
        <v>61.03</v>
      </c>
      <c r="AC50" s="711">
        <v>61.03</v>
      </c>
      <c r="AD50" s="711">
        <v>61.03</v>
      </c>
      <c r="AE50" s="711">
        <v>61.03</v>
      </c>
      <c r="AF50" s="707">
        <f t="shared" si="1"/>
        <v>61.02999999999998</v>
      </c>
    </row>
    <row r="51" spans="1:32">
      <c r="A51" s="579" t="s">
        <v>1870</v>
      </c>
      <c r="B51" s="706">
        <v>12877.8734299999</v>
      </c>
      <c r="C51" s="706">
        <v>12488.80293</v>
      </c>
      <c r="D51" s="706">
        <v>11702.222379999999</v>
      </c>
      <c r="E51" s="706">
        <v>10032.122499999999</v>
      </c>
      <c r="F51" s="706">
        <v>12276.77225</v>
      </c>
      <c r="G51" s="706">
        <v>7222.3065799999904</v>
      </c>
      <c r="H51" s="706">
        <v>11989.195180000001</v>
      </c>
      <c r="I51" s="706">
        <v>5061.03</v>
      </c>
      <c r="J51" s="706">
        <v>5061.03</v>
      </c>
      <c r="K51" s="706">
        <v>5061.03</v>
      </c>
      <c r="L51" s="706">
        <v>5061.03</v>
      </c>
      <c r="M51" s="706">
        <v>5061.03</v>
      </c>
      <c r="N51" s="706">
        <v>5061.03</v>
      </c>
      <c r="O51" s="235">
        <f t="shared" si="0"/>
        <v>8381.1904038461453</v>
      </c>
      <c r="P51" s="706">
        <v>5061.03</v>
      </c>
      <c r="Q51" s="706">
        <v>5061.03</v>
      </c>
      <c r="R51" s="706">
        <v>5061.03</v>
      </c>
      <c r="S51" s="706">
        <v>5061.03</v>
      </c>
      <c r="T51" s="706">
        <v>5061.03</v>
      </c>
      <c r="U51" s="706">
        <v>5061.03</v>
      </c>
      <c r="V51" s="706">
        <v>5061.03</v>
      </c>
      <c r="W51" s="706">
        <v>5061.03</v>
      </c>
      <c r="X51" s="706">
        <v>5061.03</v>
      </c>
      <c r="Y51" s="706">
        <v>5061.03</v>
      </c>
      <c r="Z51" s="706">
        <v>5061.03</v>
      </c>
      <c r="AA51" s="706">
        <v>5061.03</v>
      </c>
      <c r="AB51" s="706">
        <v>5061.03</v>
      </c>
      <c r="AC51" s="706">
        <v>5061.03</v>
      </c>
      <c r="AD51" s="706">
        <v>5061.03</v>
      </c>
      <c r="AE51" s="706">
        <v>5061.03</v>
      </c>
      <c r="AF51" s="707">
        <f t="shared" si="1"/>
        <v>5061.03</v>
      </c>
    </row>
    <row r="52" spans="1:32">
      <c r="A52" s="579"/>
      <c r="B52" s="708"/>
      <c r="C52" s="708"/>
      <c r="D52" s="708"/>
      <c r="E52" s="708"/>
      <c r="F52" s="708"/>
      <c r="G52" s="708"/>
      <c r="H52" s="708"/>
      <c r="I52" s="708"/>
      <c r="J52" s="708"/>
      <c r="K52" s="708"/>
      <c r="L52" s="708"/>
      <c r="M52" s="708"/>
      <c r="N52" s="708"/>
      <c r="O52" s="235">
        <f t="shared" si="0"/>
        <v>0</v>
      </c>
      <c r="P52" s="708"/>
      <c r="Q52" s="708"/>
      <c r="R52" s="708"/>
      <c r="S52" s="708"/>
      <c r="T52" s="708"/>
      <c r="U52" s="708"/>
      <c r="V52" s="708"/>
      <c r="W52" s="708"/>
      <c r="X52" s="708"/>
      <c r="Y52" s="708"/>
      <c r="Z52" s="708"/>
      <c r="AA52" s="708"/>
      <c r="AB52" s="708"/>
      <c r="AC52" s="708"/>
      <c r="AD52" s="708"/>
      <c r="AE52" s="708"/>
      <c r="AF52" s="707">
        <f t="shared" si="1"/>
        <v>0</v>
      </c>
    </row>
    <row r="53" spans="1:32">
      <c r="A53" s="579" t="s">
        <v>1872</v>
      </c>
      <c r="B53" s="708"/>
      <c r="C53" s="708"/>
      <c r="D53" s="708"/>
      <c r="E53" s="708"/>
      <c r="F53" s="708"/>
      <c r="G53" s="708"/>
      <c r="H53" s="708"/>
      <c r="I53" s="708"/>
      <c r="J53" s="708"/>
      <c r="K53" s="708"/>
      <c r="L53" s="708"/>
      <c r="M53" s="708"/>
      <c r="N53" s="708"/>
      <c r="O53" s="235">
        <f t="shared" si="0"/>
        <v>0</v>
      </c>
      <c r="P53" s="708"/>
      <c r="Q53" s="708"/>
      <c r="R53" s="708"/>
      <c r="S53" s="708"/>
      <c r="T53" s="708"/>
      <c r="U53" s="708"/>
      <c r="V53" s="708"/>
      <c r="W53" s="708"/>
      <c r="X53" s="708"/>
      <c r="Y53" s="708"/>
      <c r="Z53" s="708"/>
      <c r="AA53" s="708"/>
      <c r="AB53" s="708"/>
      <c r="AC53" s="708"/>
      <c r="AD53" s="708"/>
      <c r="AE53" s="708"/>
      <c r="AF53" s="707">
        <f t="shared" si="1"/>
        <v>0</v>
      </c>
    </row>
    <row r="54" spans="1:32" ht="15.75" thickBot="1">
      <c r="A54" s="579" t="s">
        <v>1873</v>
      </c>
      <c r="B54" s="711">
        <v>1864.1282200000001</v>
      </c>
      <c r="C54" s="711">
        <v>727.69099000000006</v>
      </c>
      <c r="D54" s="711">
        <v>182.53855999999999</v>
      </c>
      <c r="E54" s="711">
        <v>881.35690999999997</v>
      </c>
      <c r="F54" s="711">
        <v>130.18629999999999</v>
      </c>
      <c r="G54" s="711">
        <v>704.09118000000001</v>
      </c>
      <c r="H54" s="711">
        <v>7519.3973999999998</v>
      </c>
      <c r="I54" s="711">
        <v>1.0004441719502199E-11</v>
      </c>
      <c r="J54" s="711">
        <v>-1.29602995002642E-11</v>
      </c>
      <c r="K54" s="711">
        <v>8.9812601800076599E-12</v>
      </c>
      <c r="L54" s="711">
        <v>-2.7284841053187799E-12</v>
      </c>
      <c r="M54" s="711">
        <v>5.5706550483591798E-12</v>
      </c>
      <c r="N54" s="711">
        <v>8.2991391536779702E-12</v>
      </c>
      <c r="O54" s="235">
        <f t="shared" si="0"/>
        <v>923.79919692307828</v>
      </c>
      <c r="P54" s="711">
        <v>-6.3664629124104904E-12</v>
      </c>
      <c r="Q54" s="711">
        <v>-1.39692701850435E-11</v>
      </c>
      <c r="R54" s="711">
        <v>-1.4843237750028399E-11</v>
      </c>
      <c r="S54" s="711">
        <v>1.69961822393815E-11</v>
      </c>
      <c r="T54" s="711">
        <v>-5.9685589803848399E-12</v>
      </c>
      <c r="U54" s="711">
        <v>7.9580786405131201E-13</v>
      </c>
      <c r="V54" s="711">
        <v>-8.5265128291212002E-13</v>
      </c>
      <c r="W54" s="711">
        <v>14283.9714072512</v>
      </c>
      <c r="X54" s="711">
        <v>-1.81898940354585E-12</v>
      </c>
      <c r="Y54" s="711">
        <v>1.3073986337985799E-12</v>
      </c>
      <c r="Z54" s="711">
        <v>3.9221959013957498E-12</v>
      </c>
      <c r="AA54" s="711">
        <v>4.4053649617126203E-12</v>
      </c>
      <c r="AB54" s="711">
        <v>-2.2168933355715102E-12</v>
      </c>
      <c r="AC54" s="711">
        <v>226.95558988552401</v>
      </c>
      <c r="AD54" s="711">
        <v>1.01465502666542E-11</v>
      </c>
      <c r="AE54" s="711">
        <v>6.9917405198793802E-12</v>
      </c>
      <c r="AF54" s="707">
        <f t="shared" si="1"/>
        <v>1116.2251536259043</v>
      </c>
    </row>
    <row r="55" spans="1:32">
      <c r="A55" s="579" t="s">
        <v>1872</v>
      </c>
      <c r="B55" s="706">
        <v>1864.1282200000001</v>
      </c>
      <c r="C55" s="706">
        <v>727.69099000000006</v>
      </c>
      <c r="D55" s="706">
        <v>182.53855999999999</v>
      </c>
      <c r="E55" s="706">
        <v>881.35690999999997</v>
      </c>
      <c r="F55" s="706">
        <v>130.18629999999999</v>
      </c>
      <c r="G55" s="706">
        <v>704.09118000000001</v>
      </c>
      <c r="H55" s="706">
        <v>7519.3973999999998</v>
      </c>
      <c r="I55" s="706">
        <v>1.0004441719502199E-11</v>
      </c>
      <c r="J55" s="706">
        <v>-1.29602995002642E-11</v>
      </c>
      <c r="K55" s="706">
        <v>8.9812601800076599E-12</v>
      </c>
      <c r="L55" s="706">
        <v>-2.7284841053187799E-12</v>
      </c>
      <c r="M55" s="706">
        <v>5.5706550483591798E-12</v>
      </c>
      <c r="N55" s="706">
        <v>8.2991391536779702E-12</v>
      </c>
      <c r="O55" s="235">
        <f t="shared" si="0"/>
        <v>923.79919692307828</v>
      </c>
      <c r="P55" s="706">
        <v>-6.3664629124104904E-12</v>
      </c>
      <c r="Q55" s="706">
        <v>-1.39692701850435E-11</v>
      </c>
      <c r="R55" s="706">
        <v>-1.4843237750028399E-11</v>
      </c>
      <c r="S55" s="706">
        <v>1.69961822393815E-11</v>
      </c>
      <c r="T55" s="706">
        <v>-5.9685589803848399E-12</v>
      </c>
      <c r="U55" s="706">
        <v>7.9580786405131201E-13</v>
      </c>
      <c r="V55" s="706">
        <v>-8.5265128291212002E-13</v>
      </c>
      <c r="W55" s="706">
        <v>14283.9714072512</v>
      </c>
      <c r="X55" s="706">
        <v>-1.81898940354585E-12</v>
      </c>
      <c r="Y55" s="706">
        <v>1.3073986337985799E-12</v>
      </c>
      <c r="Z55" s="706">
        <v>3.9221959013957498E-12</v>
      </c>
      <c r="AA55" s="706">
        <v>4.4053649617126203E-12</v>
      </c>
      <c r="AB55" s="706">
        <v>-2.2168933355715102E-12</v>
      </c>
      <c r="AC55" s="706">
        <v>226.95558988552401</v>
      </c>
      <c r="AD55" s="706">
        <v>1.01465502666542E-11</v>
      </c>
      <c r="AE55" s="706">
        <v>6.9917405198793802E-12</v>
      </c>
      <c r="AF55" s="707">
        <f t="shared" si="1"/>
        <v>1116.2251536259043</v>
      </c>
    </row>
    <row r="56" spans="1:32">
      <c r="A56" s="579"/>
      <c r="B56" s="708"/>
      <c r="C56" s="708"/>
      <c r="D56" s="708"/>
      <c r="E56" s="708"/>
      <c r="F56" s="708"/>
      <c r="G56" s="708"/>
      <c r="H56" s="708"/>
      <c r="I56" s="708"/>
      <c r="J56" s="708"/>
      <c r="K56" s="708"/>
      <c r="L56" s="708"/>
      <c r="M56" s="708"/>
      <c r="N56" s="708"/>
      <c r="O56" s="235">
        <f t="shared" si="0"/>
        <v>0</v>
      </c>
      <c r="P56" s="708"/>
      <c r="Q56" s="708"/>
      <c r="R56" s="708"/>
      <c r="S56" s="708"/>
      <c r="T56" s="708"/>
      <c r="U56" s="708"/>
      <c r="V56" s="708"/>
      <c r="W56" s="708"/>
      <c r="X56" s="708"/>
      <c r="Y56" s="708"/>
      <c r="Z56" s="708"/>
      <c r="AA56" s="708"/>
      <c r="AB56" s="708"/>
      <c r="AC56" s="708"/>
      <c r="AD56" s="708"/>
      <c r="AE56" s="708"/>
      <c r="AF56" s="707">
        <f t="shared" si="1"/>
        <v>0</v>
      </c>
    </row>
    <row r="57" spans="1:32">
      <c r="A57" s="579" t="s">
        <v>1874</v>
      </c>
      <c r="B57" s="708"/>
      <c r="C57" s="708"/>
      <c r="D57" s="708"/>
      <c r="E57" s="708"/>
      <c r="F57" s="708"/>
      <c r="G57" s="708"/>
      <c r="H57" s="708"/>
      <c r="I57" s="708"/>
      <c r="J57" s="708"/>
      <c r="K57" s="708"/>
      <c r="L57" s="708"/>
      <c r="M57" s="708"/>
      <c r="N57" s="708"/>
      <c r="O57" s="235">
        <f t="shared" si="0"/>
        <v>0</v>
      </c>
      <c r="P57" s="708"/>
      <c r="Q57" s="708"/>
      <c r="R57" s="708"/>
      <c r="S57" s="708"/>
      <c r="T57" s="708"/>
      <c r="U57" s="708"/>
      <c r="V57" s="708"/>
      <c r="W57" s="708"/>
      <c r="X57" s="708"/>
      <c r="Y57" s="708"/>
      <c r="Z57" s="708"/>
      <c r="AA57" s="708"/>
      <c r="AB57" s="708"/>
      <c r="AC57" s="708"/>
      <c r="AD57" s="708"/>
      <c r="AE57" s="708"/>
      <c r="AF57" s="707">
        <f t="shared" si="1"/>
        <v>0</v>
      </c>
    </row>
    <row r="58" spans="1:32">
      <c r="A58" s="579" t="s">
        <v>1876</v>
      </c>
      <c r="B58" s="706">
        <v>130977.19740999999</v>
      </c>
      <c r="C58" s="706">
        <v>173568.91100999899</v>
      </c>
      <c r="D58" s="706">
        <v>164237.05064999999</v>
      </c>
      <c r="E58" s="706">
        <v>137539.60165</v>
      </c>
      <c r="F58" s="706">
        <v>131249.02995</v>
      </c>
      <c r="G58" s="706">
        <v>120797.80017</v>
      </c>
      <c r="H58" s="706">
        <v>126587.467039999</v>
      </c>
      <c r="I58" s="706">
        <v>149501.35728059799</v>
      </c>
      <c r="J58" s="706">
        <v>156799.298930094</v>
      </c>
      <c r="K58" s="706">
        <v>145828.055838384</v>
      </c>
      <c r="L58" s="706">
        <v>134620.43645627599</v>
      </c>
      <c r="M58" s="706">
        <v>132118.28626171401</v>
      </c>
      <c r="N58" s="706">
        <v>135916.72348820901</v>
      </c>
      <c r="O58" s="235">
        <f t="shared" si="0"/>
        <v>141518.55508732868</v>
      </c>
      <c r="P58" s="706">
        <v>161132.087429134</v>
      </c>
      <c r="Q58" s="706">
        <v>151394.177662209</v>
      </c>
      <c r="R58" s="706">
        <v>135041.37587137299</v>
      </c>
      <c r="S58" s="706">
        <v>128890.318864218</v>
      </c>
      <c r="T58" s="706">
        <v>123120.551024639</v>
      </c>
      <c r="U58" s="706">
        <v>131667.35735517499</v>
      </c>
      <c r="V58" s="706">
        <v>147158.89618553701</v>
      </c>
      <c r="W58" s="706">
        <v>153056.531876389</v>
      </c>
      <c r="X58" s="706">
        <v>142629.32820325901</v>
      </c>
      <c r="Y58" s="706">
        <v>131647.25062080199</v>
      </c>
      <c r="Z58" s="706">
        <v>128713.983167645</v>
      </c>
      <c r="AA58" s="706">
        <v>133530.00624386899</v>
      </c>
      <c r="AB58" s="706">
        <v>158477.40379131801</v>
      </c>
      <c r="AC58" s="706">
        <v>149661.67481415201</v>
      </c>
      <c r="AD58" s="706">
        <v>132229.51491310101</v>
      </c>
      <c r="AE58" s="706">
        <v>128059.392771762</v>
      </c>
      <c r="AF58" s="707">
        <f t="shared" si="1"/>
        <v>137603.24691014353</v>
      </c>
    </row>
    <row r="59" spans="1:32">
      <c r="A59" s="579" t="s">
        <v>1877</v>
      </c>
      <c r="B59" s="706">
        <v>29165.5716499999</v>
      </c>
      <c r="C59" s="706">
        <v>32577.012330000001</v>
      </c>
      <c r="D59" s="706">
        <v>26338.38726</v>
      </c>
      <c r="E59" s="706">
        <v>23537.571629999999</v>
      </c>
      <c r="F59" s="706">
        <v>27255.117289999998</v>
      </c>
      <c r="G59" s="706">
        <v>29855.350920000001</v>
      </c>
      <c r="H59" s="706">
        <v>27555.4682499999</v>
      </c>
      <c r="I59" s="706">
        <v>27555.4682499999</v>
      </c>
      <c r="J59" s="706">
        <v>27555.4682499999</v>
      </c>
      <c r="K59" s="706">
        <v>27555.4682499999</v>
      </c>
      <c r="L59" s="706">
        <v>27555.4682499999</v>
      </c>
      <c r="M59" s="706">
        <v>27555.4682499999</v>
      </c>
      <c r="N59" s="706">
        <v>27555.4682499999</v>
      </c>
      <c r="O59" s="235">
        <f t="shared" si="0"/>
        <v>27816.714525384556</v>
      </c>
      <c r="P59" s="706">
        <v>27555.4682499999</v>
      </c>
      <c r="Q59" s="706">
        <v>27555.4682499999</v>
      </c>
      <c r="R59" s="706">
        <v>27555.4682499999</v>
      </c>
      <c r="S59" s="706">
        <v>27555.4682499999</v>
      </c>
      <c r="T59" s="706">
        <v>27555.4682499999</v>
      </c>
      <c r="U59" s="706">
        <v>27555.4682499999</v>
      </c>
      <c r="V59" s="706">
        <v>27555.4682499999</v>
      </c>
      <c r="W59" s="706">
        <v>27555.4682499999</v>
      </c>
      <c r="X59" s="706">
        <v>27555.4682499999</v>
      </c>
      <c r="Y59" s="706">
        <v>27555.4682499999</v>
      </c>
      <c r="Z59" s="706">
        <v>27555.4682499999</v>
      </c>
      <c r="AA59" s="706">
        <v>27555.4682499999</v>
      </c>
      <c r="AB59" s="706">
        <v>27555.4682499999</v>
      </c>
      <c r="AC59" s="706">
        <v>27555.4682499999</v>
      </c>
      <c r="AD59" s="706">
        <v>27555.4682499999</v>
      </c>
      <c r="AE59" s="706">
        <v>27555.4682499999</v>
      </c>
      <c r="AF59" s="707">
        <f t="shared" si="1"/>
        <v>27555.4682499999</v>
      </c>
    </row>
    <row r="60" spans="1:32">
      <c r="A60" s="579" t="s">
        <v>2220</v>
      </c>
      <c r="B60" s="706">
        <v>0</v>
      </c>
      <c r="C60" s="706">
        <v>0</v>
      </c>
      <c r="D60" s="706">
        <v>0</v>
      </c>
      <c r="E60" s="706">
        <v>0</v>
      </c>
      <c r="F60" s="706">
        <v>0</v>
      </c>
      <c r="G60" s="706">
        <v>0</v>
      </c>
      <c r="H60" s="706">
        <v>0</v>
      </c>
      <c r="I60" s="706">
        <v>0</v>
      </c>
      <c r="J60" s="706">
        <v>0</v>
      </c>
      <c r="K60" s="706">
        <v>0</v>
      </c>
      <c r="L60" s="706">
        <v>0</v>
      </c>
      <c r="M60" s="706">
        <v>0</v>
      </c>
      <c r="N60" s="706">
        <v>0</v>
      </c>
      <c r="O60" s="235">
        <f t="shared" si="0"/>
        <v>0</v>
      </c>
      <c r="P60" s="706">
        <v>0</v>
      </c>
      <c r="Q60" s="706">
        <v>0</v>
      </c>
      <c r="R60" s="706">
        <v>0</v>
      </c>
      <c r="S60" s="706">
        <v>0</v>
      </c>
      <c r="T60" s="706">
        <v>0</v>
      </c>
      <c r="U60" s="706">
        <v>0</v>
      </c>
      <c r="V60" s="706">
        <v>0</v>
      </c>
      <c r="W60" s="706">
        <v>0</v>
      </c>
      <c r="X60" s="706">
        <v>0</v>
      </c>
      <c r="Y60" s="706">
        <v>0</v>
      </c>
      <c r="Z60" s="706">
        <v>0</v>
      </c>
      <c r="AA60" s="706">
        <v>0</v>
      </c>
      <c r="AB60" s="706">
        <v>0</v>
      </c>
      <c r="AC60" s="706">
        <v>0</v>
      </c>
      <c r="AD60" s="706">
        <v>0</v>
      </c>
      <c r="AE60" s="706">
        <v>0</v>
      </c>
      <c r="AF60" s="707">
        <f t="shared" si="1"/>
        <v>0</v>
      </c>
    </row>
    <row r="61" spans="1:32">
      <c r="A61" s="579" t="s">
        <v>1878</v>
      </c>
      <c r="B61" s="706">
        <v>536.09190000000001</v>
      </c>
      <c r="C61" s="706">
        <v>315.66687999999999</v>
      </c>
      <c r="D61" s="706">
        <v>265.84537</v>
      </c>
      <c r="E61" s="706">
        <v>1568.69894</v>
      </c>
      <c r="F61" s="706">
        <v>305.95828</v>
      </c>
      <c r="G61" s="706">
        <v>356.58305999999999</v>
      </c>
      <c r="H61" s="706">
        <v>2717.9394600000001</v>
      </c>
      <c r="I61" s="706">
        <v>2717.9394600000001</v>
      </c>
      <c r="J61" s="706">
        <v>2717.9394600000001</v>
      </c>
      <c r="K61" s="706">
        <v>2717.9394600000001</v>
      </c>
      <c r="L61" s="706">
        <v>2717.9394600000001</v>
      </c>
      <c r="M61" s="706">
        <v>2717.9394600000001</v>
      </c>
      <c r="N61" s="706">
        <v>2717.9394600000001</v>
      </c>
      <c r="O61" s="235">
        <f t="shared" si="0"/>
        <v>1721.109280769231</v>
      </c>
      <c r="P61" s="706">
        <v>2717.9394600000001</v>
      </c>
      <c r="Q61" s="706">
        <v>2717.9394600000001</v>
      </c>
      <c r="R61" s="706">
        <v>2717.9394600000001</v>
      </c>
      <c r="S61" s="706">
        <v>2717.9394600000001</v>
      </c>
      <c r="T61" s="706">
        <v>2717.9394600000001</v>
      </c>
      <c r="U61" s="706">
        <v>2717.9394600000001</v>
      </c>
      <c r="V61" s="706">
        <v>2717.9394600000001</v>
      </c>
      <c r="W61" s="706">
        <v>2717.9394600000001</v>
      </c>
      <c r="X61" s="706">
        <v>2717.9394600000001</v>
      </c>
      <c r="Y61" s="706">
        <v>2717.9394600000001</v>
      </c>
      <c r="Z61" s="706">
        <v>2717.9394600000001</v>
      </c>
      <c r="AA61" s="706">
        <v>2717.9394600000001</v>
      </c>
      <c r="AB61" s="706">
        <v>2717.9394600000001</v>
      </c>
      <c r="AC61" s="706">
        <v>2717.9394600000001</v>
      </c>
      <c r="AD61" s="706">
        <v>2717.9394600000001</v>
      </c>
      <c r="AE61" s="706">
        <v>2717.9394600000001</v>
      </c>
      <c r="AF61" s="707">
        <f t="shared" si="1"/>
        <v>2717.9394600000005</v>
      </c>
    </row>
    <row r="62" spans="1:32">
      <c r="A62" s="579" t="s">
        <v>1879</v>
      </c>
      <c r="B62" s="706">
        <v>0</v>
      </c>
      <c r="C62" s="706">
        <v>0</v>
      </c>
      <c r="D62" s="706">
        <v>0</v>
      </c>
      <c r="E62" s="706">
        <v>0</v>
      </c>
      <c r="F62" s="706">
        <v>0</v>
      </c>
      <c r="G62" s="706">
        <v>0</v>
      </c>
      <c r="H62" s="706">
        <v>0</v>
      </c>
      <c r="I62" s="706">
        <v>0</v>
      </c>
      <c r="J62" s="706">
        <v>0</v>
      </c>
      <c r="K62" s="706">
        <v>0</v>
      </c>
      <c r="L62" s="706">
        <v>0</v>
      </c>
      <c r="M62" s="706">
        <v>0</v>
      </c>
      <c r="N62" s="706">
        <v>0</v>
      </c>
      <c r="O62" s="235">
        <f t="shared" si="0"/>
        <v>0</v>
      </c>
      <c r="P62" s="706">
        <v>0</v>
      </c>
      <c r="Q62" s="706">
        <v>0</v>
      </c>
      <c r="R62" s="706">
        <v>0</v>
      </c>
      <c r="S62" s="706">
        <v>0</v>
      </c>
      <c r="T62" s="706">
        <v>0</v>
      </c>
      <c r="U62" s="706">
        <v>0</v>
      </c>
      <c r="V62" s="706">
        <v>0</v>
      </c>
      <c r="W62" s="706">
        <v>0</v>
      </c>
      <c r="X62" s="706">
        <v>0</v>
      </c>
      <c r="Y62" s="706">
        <v>0</v>
      </c>
      <c r="Z62" s="706">
        <v>0</v>
      </c>
      <c r="AA62" s="706">
        <v>0</v>
      </c>
      <c r="AB62" s="706">
        <v>0</v>
      </c>
      <c r="AC62" s="706">
        <v>0</v>
      </c>
      <c r="AD62" s="706">
        <v>0</v>
      </c>
      <c r="AE62" s="706">
        <v>0</v>
      </c>
      <c r="AF62" s="707">
        <f t="shared" si="1"/>
        <v>0</v>
      </c>
    </row>
    <row r="63" spans="1:32">
      <c r="A63" s="579" t="s">
        <v>1880</v>
      </c>
      <c r="B63" s="706">
        <v>-1410.8763099999901</v>
      </c>
      <c r="C63" s="706">
        <v>-1512.02865</v>
      </c>
      <c r="D63" s="706">
        <v>-1545.2561800000001</v>
      </c>
      <c r="E63" s="706">
        <v>-1526.4698899999901</v>
      </c>
      <c r="F63" s="706">
        <v>-1504.2720899999999</v>
      </c>
      <c r="G63" s="706">
        <v>-1348.84564</v>
      </c>
      <c r="H63" s="706">
        <v>-1278.49835999999</v>
      </c>
      <c r="I63" s="706">
        <v>-1278.49835999999</v>
      </c>
      <c r="J63" s="706">
        <v>-1278.49835999999</v>
      </c>
      <c r="K63" s="706">
        <v>-1278.49835999999</v>
      </c>
      <c r="L63" s="706">
        <v>-1278.49835999999</v>
      </c>
      <c r="M63" s="706">
        <v>-1278.49835999999</v>
      </c>
      <c r="N63" s="706">
        <v>-1278.49835999999</v>
      </c>
      <c r="O63" s="235">
        <f t="shared" si="0"/>
        <v>-1369.0182523076858</v>
      </c>
      <c r="P63" s="706">
        <v>-1278.49835999999</v>
      </c>
      <c r="Q63" s="706">
        <v>-1278.49835999999</v>
      </c>
      <c r="R63" s="706">
        <v>-1278.49835999999</v>
      </c>
      <c r="S63" s="706">
        <v>-1278.49835999999</v>
      </c>
      <c r="T63" s="706">
        <v>-1278.49835999999</v>
      </c>
      <c r="U63" s="706">
        <v>-1278.49835999999</v>
      </c>
      <c r="V63" s="706">
        <v>-1278.49835999999</v>
      </c>
      <c r="W63" s="706">
        <v>-1278.49835999999</v>
      </c>
      <c r="X63" s="706">
        <v>-1278.49835999999</v>
      </c>
      <c r="Y63" s="706">
        <v>-1278.49835999999</v>
      </c>
      <c r="Z63" s="706">
        <v>-1278.49835999999</v>
      </c>
      <c r="AA63" s="706">
        <v>-1278.49835999999</v>
      </c>
      <c r="AB63" s="706">
        <v>-1278.49835999999</v>
      </c>
      <c r="AC63" s="706">
        <v>-1278.49835999999</v>
      </c>
      <c r="AD63" s="706">
        <v>-1278.49835999999</v>
      </c>
      <c r="AE63" s="706">
        <v>-1278.49835999999</v>
      </c>
      <c r="AF63" s="707">
        <f t="shared" si="1"/>
        <v>-1278.4983599999903</v>
      </c>
    </row>
    <row r="64" spans="1:32">
      <c r="A64" s="579" t="s">
        <v>1881</v>
      </c>
      <c r="B64" s="706">
        <v>-67.242559999999997</v>
      </c>
      <c r="C64" s="706">
        <v>-67.242559999999997</v>
      </c>
      <c r="D64" s="706">
        <v>-67.242559999999997</v>
      </c>
      <c r="E64" s="706">
        <v>-42.001579999999997</v>
      </c>
      <c r="F64" s="706">
        <v>-42.001579999999997</v>
      </c>
      <c r="G64" s="706">
        <v>-42.001579999999997</v>
      </c>
      <c r="H64" s="706">
        <v>-22.152189999999901</v>
      </c>
      <c r="I64" s="706">
        <v>-22.152189999999901</v>
      </c>
      <c r="J64" s="706">
        <v>-22.152189999999901</v>
      </c>
      <c r="K64" s="706">
        <v>-22.152189999999901</v>
      </c>
      <c r="L64" s="706">
        <v>-22.152189999999901</v>
      </c>
      <c r="M64" s="706">
        <v>-22.152189999999901</v>
      </c>
      <c r="N64" s="706">
        <v>-22.152189999999901</v>
      </c>
      <c r="O64" s="235">
        <f t="shared" si="0"/>
        <v>-37.138288461538409</v>
      </c>
      <c r="P64" s="706">
        <v>-22.152189999999901</v>
      </c>
      <c r="Q64" s="706">
        <v>-22.152189999999901</v>
      </c>
      <c r="R64" s="706">
        <v>-22.152189999999901</v>
      </c>
      <c r="S64" s="706">
        <v>-22.152189999999901</v>
      </c>
      <c r="T64" s="706">
        <v>-22.152189999999901</v>
      </c>
      <c r="U64" s="706">
        <v>-22.152189999999901</v>
      </c>
      <c r="V64" s="706">
        <v>-22.152189999999901</v>
      </c>
      <c r="W64" s="706">
        <v>-22.152189999999901</v>
      </c>
      <c r="X64" s="706">
        <v>-22.152189999999901</v>
      </c>
      <c r="Y64" s="706">
        <v>-22.152189999999901</v>
      </c>
      <c r="Z64" s="706">
        <v>-22.152189999999901</v>
      </c>
      <c r="AA64" s="706">
        <v>-22.152189999999901</v>
      </c>
      <c r="AB64" s="706">
        <v>-22.152189999999901</v>
      </c>
      <c r="AC64" s="706">
        <v>-22.152189999999901</v>
      </c>
      <c r="AD64" s="706">
        <v>-22.152189999999901</v>
      </c>
      <c r="AE64" s="706">
        <v>-22.152189999999901</v>
      </c>
      <c r="AF64" s="707">
        <f t="shared" si="1"/>
        <v>-22.152189999999901</v>
      </c>
    </row>
    <row r="65" spans="1:32">
      <c r="A65" s="579" t="s">
        <v>1882</v>
      </c>
      <c r="B65" s="706">
        <v>123.67312</v>
      </c>
      <c r="C65" s="706">
        <v>103.06093</v>
      </c>
      <c r="D65" s="706">
        <v>82.448740000000001</v>
      </c>
      <c r="E65" s="706">
        <v>61.836550000000003</v>
      </c>
      <c r="F65" s="706">
        <v>41.224359999999997</v>
      </c>
      <c r="G65" s="706">
        <v>20.612169999999999</v>
      </c>
      <c r="H65" s="706">
        <v>0</v>
      </c>
      <c r="I65" s="706">
        <v>0</v>
      </c>
      <c r="J65" s="706">
        <v>0</v>
      </c>
      <c r="K65" s="706">
        <v>0</v>
      </c>
      <c r="L65" s="706">
        <v>0</v>
      </c>
      <c r="M65" s="706">
        <v>0</v>
      </c>
      <c r="N65" s="706">
        <v>0</v>
      </c>
      <c r="O65" s="235">
        <f t="shared" si="0"/>
        <v>33.296605384615383</v>
      </c>
      <c r="P65" s="706">
        <v>0</v>
      </c>
      <c r="Q65" s="706">
        <v>0</v>
      </c>
      <c r="R65" s="706">
        <v>0</v>
      </c>
      <c r="S65" s="706">
        <v>0</v>
      </c>
      <c r="T65" s="706">
        <v>0</v>
      </c>
      <c r="U65" s="706">
        <v>0</v>
      </c>
      <c r="V65" s="706">
        <v>0</v>
      </c>
      <c r="W65" s="706">
        <v>0</v>
      </c>
      <c r="X65" s="706">
        <v>0</v>
      </c>
      <c r="Y65" s="706">
        <v>0</v>
      </c>
      <c r="Z65" s="706">
        <v>0</v>
      </c>
      <c r="AA65" s="706">
        <v>0</v>
      </c>
      <c r="AB65" s="706">
        <v>0</v>
      </c>
      <c r="AC65" s="706">
        <v>0</v>
      </c>
      <c r="AD65" s="706">
        <v>0</v>
      </c>
      <c r="AE65" s="706">
        <v>0</v>
      </c>
      <c r="AF65" s="707">
        <f t="shared" si="1"/>
        <v>0</v>
      </c>
    </row>
    <row r="66" spans="1:32">
      <c r="A66" s="579" t="s">
        <v>1883</v>
      </c>
      <c r="B66" s="706">
        <v>548.54818999999998</v>
      </c>
      <c r="C66" s="706">
        <v>638.89584000000002</v>
      </c>
      <c r="D66" s="706">
        <v>795.39876000000004</v>
      </c>
      <c r="E66" s="706">
        <v>701.08213000000001</v>
      </c>
      <c r="F66" s="706">
        <v>395.82137</v>
      </c>
      <c r="G66" s="706">
        <v>484.35503999999997</v>
      </c>
      <c r="H66" s="706">
        <v>607.15839000000005</v>
      </c>
      <c r="I66" s="706">
        <v>607.15839000000005</v>
      </c>
      <c r="J66" s="706">
        <v>607.15839000000005</v>
      </c>
      <c r="K66" s="706">
        <v>607.15839000000005</v>
      </c>
      <c r="L66" s="706">
        <v>607.15839000000005</v>
      </c>
      <c r="M66" s="706">
        <v>607.15839000000005</v>
      </c>
      <c r="N66" s="706">
        <v>607.15839000000005</v>
      </c>
      <c r="O66" s="235">
        <f t="shared" si="0"/>
        <v>601.09308153846177</v>
      </c>
      <c r="P66" s="706">
        <v>607.15839000000005</v>
      </c>
      <c r="Q66" s="706">
        <v>607.15839000000005</v>
      </c>
      <c r="R66" s="706">
        <v>607.15839000000005</v>
      </c>
      <c r="S66" s="706">
        <v>607.15839000000005</v>
      </c>
      <c r="T66" s="706">
        <v>607.15839000000005</v>
      </c>
      <c r="U66" s="706">
        <v>607.15839000000005</v>
      </c>
      <c r="V66" s="706">
        <v>607.15839000000005</v>
      </c>
      <c r="W66" s="706">
        <v>607.15839000000005</v>
      </c>
      <c r="X66" s="706">
        <v>607.15839000000005</v>
      </c>
      <c r="Y66" s="706">
        <v>607.15839000000005</v>
      </c>
      <c r="Z66" s="706">
        <v>607.15839000000005</v>
      </c>
      <c r="AA66" s="706">
        <v>607.15839000000005</v>
      </c>
      <c r="AB66" s="706">
        <v>607.15839000000005</v>
      </c>
      <c r="AC66" s="706">
        <v>607.15839000000005</v>
      </c>
      <c r="AD66" s="706">
        <v>607.15839000000005</v>
      </c>
      <c r="AE66" s="706">
        <v>607.15839000000005</v>
      </c>
      <c r="AF66" s="707">
        <f t="shared" si="1"/>
        <v>607.15839000000028</v>
      </c>
    </row>
    <row r="67" spans="1:32" ht="15.75" thickBot="1">
      <c r="A67" s="579" t="s">
        <v>1884</v>
      </c>
      <c r="B67" s="711">
        <v>112646.659489999</v>
      </c>
      <c r="C67" s="711">
        <v>113265.92602</v>
      </c>
      <c r="D67" s="711">
        <v>89491.269759999996</v>
      </c>
      <c r="E67" s="711">
        <v>96925.49613</v>
      </c>
      <c r="F67" s="711">
        <v>82920.373169999904</v>
      </c>
      <c r="G67" s="711">
        <v>94453.202900000004</v>
      </c>
      <c r="H67" s="711">
        <v>96421.983219999995</v>
      </c>
      <c r="I67" s="711">
        <v>91378.808793816803</v>
      </c>
      <c r="J67" s="711">
        <v>92190.650541291994</v>
      </c>
      <c r="K67" s="711">
        <v>84151.418873709394</v>
      </c>
      <c r="L67" s="711">
        <v>77302.967773211494</v>
      </c>
      <c r="M67" s="711">
        <v>85925.242888156601</v>
      </c>
      <c r="N67" s="711">
        <v>104141.00724818899</v>
      </c>
      <c r="O67" s="235">
        <f t="shared" si="0"/>
        <v>93939.615908336491</v>
      </c>
      <c r="P67" s="711">
        <v>103606.094816672</v>
      </c>
      <c r="Q67" s="711">
        <v>95754.632882612306</v>
      </c>
      <c r="R67" s="711">
        <v>95366.4348986267</v>
      </c>
      <c r="S67" s="711">
        <v>83571.826965899003</v>
      </c>
      <c r="T67" s="711">
        <v>90543.627874055193</v>
      </c>
      <c r="U67" s="711">
        <v>92014.371363789498</v>
      </c>
      <c r="V67" s="711">
        <v>91621.664448472904</v>
      </c>
      <c r="W67" s="711">
        <v>92699.496966440798</v>
      </c>
      <c r="X67" s="711">
        <v>84853.952505708396</v>
      </c>
      <c r="Y67" s="711">
        <v>78631.604717437804</v>
      </c>
      <c r="Z67" s="711">
        <v>88442.783016106507</v>
      </c>
      <c r="AA67" s="711">
        <v>104239.16749912</v>
      </c>
      <c r="AB67" s="711">
        <v>105970.51487814799</v>
      </c>
      <c r="AC67" s="711">
        <v>97355.686005973606</v>
      </c>
      <c r="AD67" s="711">
        <v>99520.594016672505</v>
      </c>
      <c r="AE67" s="711">
        <v>84737.970608943302</v>
      </c>
      <c r="AF67" s="707">
        <f t="shared" si="1"/>
        <v>91861.789297443655</v>
      </c>
    </row>
    <row r="68" spans="1:32">
      <c r="A68" s="579" t="s">
        <v>1874</v>
      </c>
      <c r="B68" s="706">
        <v>272519.62289</v>
      </c>
      <c r="C68" s="706">
        <v>318890.20179999998</v>
      </c>
      <c r="D68" s="706">
        <v>279597.90179999999</v>
      </c>
      <c r="E68" s="706">
        <v>258765.815559999</v>
      </c>
      <c r="F68" s="706">
        <v>240621.25074999899</v>
      </c>
      <c r="G68" s="706">
        <v>244577.05704000001</v>
      </c>
      <c r="H68" s="706">
        <v>252589.36580999999</v>
      </c>
      <c r="I68" s="706">
        <v>270460.081624415</v>
      </c>
      <c r="J68" s="706">
        <v>278569.86502138601</v>
      </c>
      <c r="K68" s="706">
        <v>259559.39026209401</v>
      </c>
      <c r="L68" s="706">
        <v>241503.31977948701</v>
      </c>
      <c r="M68" s="706">
        <v>247623.444699871</v>
      </c>
      <c r="N68" s="706">
        <v>269637.64628639899</v>
      </c>
      <c r="O68" s="235">
        <f t="shared" si="0"/>
        <v>264224.22794797306</v>
      </c>
      <c r="P68" s="706">
        <v>294318.097795807</v>
      </c>
      <c r="Q68" s="706">
        <v>276728.72609482199</v>
      </c>
      <c r="R68" s="706">
        <v>259987.72631999999</v>
      </c>
      <c r="S68" s="706">
        <v>242042.061380117</v>
      </c>
      <c r="T68" s="706">
        <v>243244.094448694</v>
      </c>
      <c r="U68" s="706">
        <v>253261.64426896401</v>
      </c>
      <c r="V68" s="706">
        <v>268360.47618400998</v>
      </c>
      <c r="W68" s="706">
        <v>275335.94439283002</v>
      </c>
      <c r="X68" s="706">
        <v>257063.19625896699</v>
      </c>
      <c r="Y68" s="706">
        <v>239858.77088823999</v>
      </c>
      <c r="Z68" s="706">
        <v>246736.681733751</v>
      </c>
      <c r="AA68" s="706">
        <v>267349.08929298999</v>
      </c>
      <c r="AB68" s="706">
        <v>294027.83421946602</v>
      </c>
      <c r="AC68" s="706">
        <v>276597.276370126</v>
      </c>
      <c r="AD68" s="706">
        <v>261330.02447977301</v>
      </c>
      <c r="AE68" s="706">
        <v>242377.278930706</v>
      </c>
      <c r="AF68" s="707">
        <f t="shared" si="1"/>
        <v>259044.9517575872</v>
      </c>
    </row>
    <row r="69" spans="1:32">
      <c r="A69" s="579"/>
      <c r="B69" s="708"/>
      <c r="C69" s="708"/>
      <c r="D69" s="708"/>
      <c r="E69" s="708"/>
      <c r="F69" s="708"/>
      <c r="G69" s="708"/>
      <c r="H69" s="708"/>
      <c r="I69" s="708"/>
      <c r="J69" s="708"/>
      <c r="K69" s="708"/>
      <c r="L69" s="708"/>
      <c r="M69" s="708"/>
      <c r="N69" s="708"/>
      <c r="O69" s="235">
        <f t="shared" si="0"/>
        <v>0</v>
      </c>
      <c r="P69" s="708"/>
      <c r="Q69" s="708"/>
      <c r="R69" s="708"/>
      <c r="S69" s="708"/>
      <c r="T69" s="708"/>
      <c r="U69" s="708"/>
      <c r="V69" s="708"/>
      <c r="W69" s="708"/>
      <c r="X69" s="708"/>
      <c r="Y69" s="708"/>
      <c r="Z69" s="708"/>
      <c r="AA69" s="708"/>
      <c r="AB69" s="708"/>
      <c r="AC69" s="708"/>
      <c r="AD69" s="708"/>
      <c r="AE69" s="708"/>
      <c r="AF69" s="707">
        <f t="shared" si="1"/>
        <v>0</v>
      </c>
    </row>
    <row r="70" spans="1:32">
      <c r="A70" s="579" t="s">
        <v>1885</v>
      </c>
      <c r="B70" s="708"/>
      <c r="C70" s="708"/>
      <c r="D70" s="708"/>
      <c r="E70" s="708"/>
      <c r="F70" s="708"/>
      <c r="G70" s="708"/>
      <c r="H70" s="708"/>
      <c r="I70" s="708"/>
      <c r="J70" s="708"/>
      <c r="K70" s="708"/>
      <c r="L70" s="708"/>
      <c r="M70" s="708"/>
      <c r="N70" s="708"/>
      <c r="O70" s="235">
        <f t="shared" si="0"/>
        <v>0</v>
      </c>
      <c r="P70" s="708"/>
      <c r="Q70" s="708"/>
      <c r="R70" s="708"/>
      <c r="S70" s="708"/>
      <c r="T70" s="708"/>
      <c r="U70" s="708"/>
      <c r="V70" s="708"/>
      <c r="W70" s="708"/>
      <c r="X70" s="708"/>
      <c r="Y70" s="708"/>
      <c r="Z70" s="708"/>
      <c r="AA70" s="708"/>
      <c r="AB70" s="708"/>
      <c r="AC70" s="708"/>
      <c r="AD70" s="708"/>
      <c r="AE70" s="708"/>
      <c r="AF70" s="707">
        <f t="shared" si="1"/>
        <v>0</v>
      </c>
    </row>
    <row r="71" spans="1:32">
      <c r="A71" s="579" t="s">
        <v>2221</v>
      </c>
      <c r="B71" s="706">
        <v>0</v>
      </c>
      <c r="C71" s="706">
        <v>0</v>
      </c>
      <c r="D71" s="706">
        <v>0</v>
      </c>
      <c r="E71" s="706">
        <v>0</v>
      </c>
      <c r="F71" s="706">
        <v>0</v>
      </c>
      <c r="G71" s="706">
        <v>0</v>
      </c>
      <c r="H71" s="706">
        <v>0</v>
      </c>
      <c r="I71" s="706">
        <v>0</v>
      </c>
      <c r="J71" s="706">
        <v>0</v>
      </c>
      <c r="K71" s="706">
        <v>0</v>
      </c>
      <c r="L71" s="706">
        <v>0</v>
      </c>
      <c r="M71" s="706">
        <v>0</v>
      </c>
      <c r="N71" s="706">
        <v>0</v>
      </c>
      <c r="O71" s="235">
        <f t="shared" si="0"/>
        <v>0</v>
      </c>
      <c r="P71" s="706">
        <v>0</v>
      </c>
      <c r="Q71" s="706">
        <v>0</v>
      </c>
      <c r="R71" s="706">
        <v>0</v>
      </c>
      <c r="S71" s="706">
        <v>0</v>
      </c>
      <c r="T71" s="706">
        <v>0</v>
      </c>
      <c r="U71" s="706">
        <v>0</v>
      </c>
      <c r="V71" s="706">
        <v>0</v>
      </c>
      <c r="W71" s="706">
        <v>0</v>
      </c>
      <c r="X71" s="706">
        <v>0</v>
      </c>
      <c r="Y71" s="706">
        <v>0</v>
      </c>
      <c r="Z71" s="706">
        <v>0</v>
      </c>
      <c r="AA71" s="706">
        <v>0</v>
      </c>
      <c r="AB71" s="706">
        <v>0</v>
      </c>
      <c r="AC71" s="706">
        <v>0</v>
      </c>
      <c r="AD71" s="706">
        <v>0</v>
      </c>
      <c r="AE71" s="706">
        <v>0</v>
      </c>
      <c r="AF71" s="707">
        <f t="shared" si="1"/>
        <v>0</v>
      </c>
    </row>
    <row r="72" spans="1:32">
      <c r="A72" s="579" t="s">
        <v>1886</v>
      </c>
      <c r="B72" s="706">
        <v>0</v>
      </c>
      <c r="C72" s="706">
        <v>0.95953999999999995</v>
      </c>
      <c r="D72" s="706">
        <v>33.595869999999998</v>
      </c>
      <c r="E72" s="706">
        <v>34.027830000000002</v>
      </c>
      <c r="F72" s="706">
        <v>35.518599999999999</v>
      </c>
      <c r="G72" s="706">
        <v>53.581339999999997</v>
      </c>
      <c r="H72" s="706">
        <v>0</v>
      </c>
      <c r="I72" s="706">
        <v>1002.5970599999901</v>
      </c>
      <c r="J72" s="706">
        <v>1007.66205999999</v>
      </c>
      <c r="K72" s="706">
        <v>740.51606000000004</v>
      </c>
      <c r="L72" s="706">
        <v>1275.9489599999899</v>
      </c>
      <c r="M72" s="706">
        <v>1590.1022599999999</v>
      </c>
      <c r="N72" s="706">
        <v>2154.5393599999902</v>
      </c>
      <c r="O72" s="235">
        <f t="shared" si="0"/>
        <v>609.92684153845846</v>
      </c>
      <c r="P72" s="706">
        <v>2538.8347599999902</v>
      </c>
      <c r="Q72" s="706">
        <v>2849.3138599999902</v>
      </c>
      <c r="R72" s="706">
        <v>3203.7324599999902</v>
      </c>
      <c r="S72" s="706">
        <v>3710.43336</v>
      </c>
      <c r="T72" s="706">
        <v>4381.7328600000001</v>
      </c>
      <c r="U72" s="706">
        <v>4465.0239600000004</v>
      </c>
      <c r="V72" s="706">
        <v>4719.3179600000003</v>
      </c>
      <c r="W72" s="706">
        <v>5188.2871599999999</v>
      </c>
      <c r="X72" s="706">
        <v>5031.6399600000004</v>
      </c>
      <c r="Y72" s="706">
        <v>4309.90996</v>
      </c>
      <c r="Z72" s="706">
        <v>4007.3603600000001</v>
      </c>
      <c r="AA72" s="706">
        <v>4424.91716</v>
      </c>
      <c r="AB72" s="706">
        <v>4629.4026599999997</v>
      </c>
      <c r="AC72" s="706">
        <v>4835.7541599999904</v>
      </c>
      <c r="AD72" s="706">
        <v>4844.6405599999998</v>
      </c>
      <c r="AE72" s="706">
        <v>5417.5252599999903</v>
      </c>
      <c r="AF72" s="707">
        <f t="shared" si="1"/>
        <v>4612.7650292307671</v>
      </c>
    </row>
    <row r="73" spans="1:32" ht="15.75" thickBot="1">
      <c r="A73" s="579" t="s">
        <v>1887</v>
      </c>
      <c r="B73" s="711">
        <v>0</v>
      </c>
      <c r="C73" s="711">
        <v>0</v>
      </c>
      <c r="D73" s="711">
        <v>0</v>
      </c>
      <c r="E73" s="711">
        <v>0</v>
      </c>
      <c r="F73" s="711">
        <v>0</v>
      </c>
      <c r="G73" s="711">
        <v>0</v>
      </c>
      <c r="H73" s="711">
        <v>0</v>
      </c>
      <c r="I73" s="711">
        <v>0</v>
      </c>
      <c r="J73" s="711">
        <v>0</v>
      </c>
      <c r="K73" s="711">
        <v>0</v>
      </c>
      <c r="L73" s="711">
        <v>0</v>
      </c>
      <c r="M73" s="711">
        <v>0</v>
      </c>
      <c r="N73" s="711">
        <v>0</v>
      </c>
      <c r="O73" s="235">
        <f t="shared" si="0"/>
        <v>0</v>
      </c>
      <c r="P73" s="711">
        <v>0</v>
      </c>
      <c r="Q73" s="711">
        <v>0</v>
      </c>
      <c r="R73" s="711">
        <v>0</v>
      </c>
      <c r="S73" s="711">
        <v>0</v>
      </c>
      <c r="T73" s="711">
        <v>0</v>
      </c>
      <c r="U73" s="711">
        <v>0</v>
      </c>
      <c r="V73" s="711">
        <v>0</v>
      </c>
      <c r="W73" s="711">
        <v>0</v>
      </c>
      <c r="X73" s="711">
        <v>0</v>
      </c>
      <c r="Y73" s="711">
        <v>0</v>
      </c>
      <c r="Z73" s="711">
        <v>0</v>
      </c>
      <c r="AA73" s="711">
        <v>0</v>
      </c>
      <c r="AB73" s="711">
        <v>0</v>
      </c>
      <c r="AC73" s="711">
        <v>0</v>
      </c>
      <c r="AD73" s="711">
        <v>0</v>
      </c>
      <c r="AE73" s="711">
        <v>0</v>
      </c>
      <c r="AF73" s="707">
        <f t="shared" si="1"/>
        <v>0</v>
      </c>
    </row>
    <row r="74" spans="1:32">
      <c r="A74" s="579" t="s">
        <v>1885</v>
      </c>
      <c r="B74" s="706">
        <v>0</v>
      </c>
      <c r="C74" s="706">
        <v>0.95953999999999995</v>
      </c>
      <c r="D74" s="706">
        <v>33.595869999999998</v>
      </c>
      <c r="E74" s="706">
        <v>34.027830000000002</v>
      </c>
      <c r="F74" s="706">
        <v>35.518599999999999</v>
      </c>
      <c r="G74" s="706">
        <v>53.581339999999997</v>
      </c>
      <c r="H74" s="706">
        <v>0</v>
      </c>
      <c r="I74" s="706">
        <v>1002.5970599999901</v>
      </c>
      <c r="J74" s="706">
        <v>1007.66205999999</v>
      </c>
      <c r="K74" s="706">
        <v>740.51606000000004</v>
      </c>
      <c r="L74" s="706">
        <v>1275.9489599999899</v>
      </c>
      <c r="M74" s="706">
        <v>1590.1022599999999</v>
      </c>
      <c r="N74" s="706">
        <v>2154.5393599999902</v>
      </c>
      <c r="O74" s="235">
        <f t="shared" si="0"/>
        <v>609.92684153845846</v>
      </c>
      <c r="P74" s="706">
        <v>2538.8347599999902</v>
      </c>
      <c r="Q74" s="706">
        <v>2849.3138599999902</v>
      </c>
      <c r="R74" s="706">
        <v>3203.7324599999902</v>
      </c>
      <c r="S74" s="706">
        <v>3710.43336</v>
      </c>
      <c r="T74" s="706">
        <v>4381.7328600000001</v>
      </c>
      <c r="U74" s="706">
        <v>4465.0239600000004</v>
      </c>
      <c r="V74" s="706">
        <v>4719.3179600000003</v>
      </c>
      <c r="W74" s="706">
        <v>5188.2871599999999</v>
      </c>
      <c r="X74" s="706">
        <v>5031.6399600000004</v>
      </c>
      <c r="Y74" s="706">
        <v>4309.90996</v>
      </c>
      <c r="Z74" s="706">
        <v>4007.3603600000001</v>
      </c>
      <c r="AA74" s="706">
        <v>4424.91716</v>
      </c>
      <c r="AB74" s="706">
        <v>4629.4026599999997</v>
      </c>
      <c r="AC74" s="706">
        <v>4835.7541599999904</v>
      </c>
      <c r="AD74" s="706">
        <v>4844.6405599999998</v>
      </c>
      <c r="AE74" s="706">
        <v>5417.5252599999903</v>
      </c>
      <c r="AF74" s="707">
        <f t="shared" si="1"/>
        <v>4612.7650292307671</v>
      </c>
    </row>
    <row r="75" spans="1:32">
      <c r="A75" s="579"/>
      <c r="B75" s="708"/>
      <c r="C75" s="708"/>
      <c r="D75" s="708"/>
      <c r="E75" s="708"/>
      <c r="F75" s="708"/>
      <c r="G75" s="708"/>
      <c r="H75" s="708"/>
      <c r="I75" s="708"/>
      <c r="J75" s="708"/>
      <c r="K75" s="708"/>
      <c r="L75" s="708"/>
      <c r="M75" s="708"/>
      <c r="N75" s="708"/>
      <c r="O75" s="235">
        <f t="shared" ref="O75:O138" si="2">SUM(B75:N75)/13</f>
        <v>0</v>
      </c>
      <c r="P75" s="708"/>
      <c r="Q75" s="708"/>
      <c r="R75" s="708"/>
      <c r="S75" s="708"/>
      <c r="T75" s="708"/>
      <c r="U75" s="708"/>
      <c r="V75" s="708"/>
      <c r="W75" s="708"/>
      <c r="X75" s="708"/>
      <c r="Y75" s="708"/>
      <c r="Z75" s="708"/>
      <c r="AA75" s="708"/>
      <c r="AB75" s="708"/>
      <c r="AC75" s="708"/>
      <c r="AD75" s="708"/>
      <c r="AE75" s="708"/>
      <c r="AF75" s="707">
        <f t="shared" ref="AF75:AF138" si="3">SUM(S75:AE75)/13</f>
        <v>0</v>
      </c>
    </row>
    <row r="76" spans="1:32">
      <c r="A76" s="579" t="s">
        <v>1888</v>
      </c>
      <c r="B76" s="708"/>
      <c r="C76" s="708"/>
      <c r="D76" s="708"/>
      <c r="E76" s="708"/>
      <c r="F76" s="708"/>
      <c r="G76" s="708"/>
      <c r="H76" s="708"/>
      <c r="I76" s="708"/>
      <c r="J76" s="708"/>
      <c r="K76" s="708"/>
      <c r="L76" s="708"/>
      <c r="M76" s="708"/>
      <c r="N76" s="708"/>
      <c r="O76" s="235">
        <f t="shared" si="2"/>
        <v>0</v>
      </c>
      <c r="P76" s="708"/>
      <c r="Q76" s="708"/>
      <c r="R76" s="708"/>
      <c r="S76" s="708"/>
      <c r="T76" s="708"/>
      <c r="U76" s="708"/>
      <c r="V76" s="708"/>
      <c r="W76" s="708"/>
      <c r="X76" s="708"/>
      <c r="Y76" s="708"/>
      <c r="Z76" s="708"/>
      <c r="AA76" s="708"/>
      <c r="AB76" s="708"/>
      <c r="AC76" s="708"/>
      <c r="AD76" s="708"/>
      <c r="AE76" s="708"/>
      <c r="AF76" s="707">
        <f t="shared" si="3"/>
        <v>0</v>
      </c>
    </row>
    <row r="77" spans="1:32">
      <c r="A77" s="579" t="s">
        <v>1889</v>
      </c>
      <c r="B77" s="706">
        <v>62248.03643</v>
      </c>
      <c r="C77" s="706">
        <v>53271.788349999901</v>
      </c>
      <c r="D77" s="706">
        <v>48241.274720000001</v>
      </c>
      <c r="E77" s="706">
        <v>55665.469380000002</v>
      </c>
      <c r="F77" s="706">
        <v>64212.963580000003</v>
      </c>
      <c r="G77" s="706">
        <v>66970.595180000004</v>
      </c>
      <c r="H77" s="706">
        <v>66081.293409999998</v>
      </c>
      <c r="I77" s="706">
        <v>67990.8903600216</v>
      </c>
      <c r="J77" s="706">
        <v>70428.329779445194</v>
      </c>
      <c r="K77" s="706">
        <v>57400.484284430197</v>
      </c>
      <c r="L77" s="706">
        <v>59621.2016874252</v>
      </c>
      <c r="M77" s="706">
        <v>61718.177904460703</v>
      </c>
      <c r="N77" s="706">
        <v>62949.360903042703</v>
      </c>
      <c r="O77" s="235">
        <f t="shared" si="2"/>
        <v>61292.297382217352</v>
      </c>
      <c r="P77" s="706">
        <v>58190.641594896602</v>
      </c>
      <c r="Q77" s="706">
        <v>57255.255809426097</v>
      </c>
      <c r="R77" s="706">
        <v>59191.453899415603</v>
      </c>
      <c r="S77" s="706">
        <v>62963.536401707403</v>
      </c>
      <c r="T77" s="706">
        <v>64338.222849391299</v>
      </c>
      <c r="U77" s="706">
        <v>61919.188139315404</v>
      </c>
      <c r="V77" s="706">
        <v>58875.4916149208</v>
      </c>
      <c r="W77" s="706">
        <v>54189.070746498903</v>
      </c>
      <c r="X77" s="706">
        <v>56077.872996002399</v>
      </c>
      <c r="Y77" s="706">
        <v>61948.619267040202</v>
      </c>
      <c r="Z77" s="706">
        <v>69680.742637314906</v>
      </c>
      <c r="AA77" s="706">
        <v>68026.175784909807</v>
      </c>
      <c r="AB77" s="706">
        <v>64452.419506965998</v>
      </c>
      <c r="AC77" s="706">
        <v>63318.511770700199</v>
      </c>
      <c r="AD77" s="706">
        <v>64147.367459490299</v>
      </c>
      <c r="AE77" s="706">
        <v>68483.713423098307</v>
      </c>
      <c r="AF77" s="707">
        <f t="shared" si="3"/>
        <v>62955.456353642759</v>
      </c>
    </row>
    <row r="78" spans="1:32">
      <c r="A78" s="579" t="s">
        <v>1890</v>
      </c>
      <c r="B78" s="706">
        <v>49287.221380000003</v>
      </c>
      <c r="C78" s="706">
        <v>49378.173020000002</v>
      </c>
      <c r="D78" s="706">
        <v>49443.959060000001</v>
      </c>
      <c r="E78" s="706">
        <v>49728.853130000003</v>
      </c>
      <c r="F78" s="706">
        <v>50161.264040000002</v>
      </c>
      <c r="G78" s="706">
        <v>50333.871019999999</v>
      </c>
      <c r="H78" s="706">
        <v>50559.138830000004</v>
      </c>
      <c r="I78" s="706">
        <v>50528.725830000003</v>
      </c>
      <c r="J78" s="706">
        <v>50513.308830000002</v>
      </c>
      <c r="K78" s="706">
        <v>50497.89183</v>
      </c>
      <c r="L78" s="706">
        <v>50482.474829999999</v>
      </c>
      <c r="M78" s="706">
        <v>50467.057829999998</v>
      </c>
      <c r="N78" s="706">
        <v>50451.640829999997</v>
      </c>
      <c r="O78" s="235">
        <f t="shared" si="2"/>
        <v>50141.044650769225</v>
      </c>
      <c r="P78" s="706">
        <v>50451.640829999997</v>
      </c>
      <c r="Q78" s="706">
        <v>48440.678870000003</v>
      </c>
      <c r="R78" s="706">
        <v>48385.678870000003</v>
      </c>
      <c r="S78" s="706">
        <v>48385.678870000003</v>
      </c>
      <c r="T78" s="706">
        <v>48385.678870000003</v>
      </c>
      <c r="U78" s="706">
        <v>48246.869870000002</v>
      </c>
      <c r="V78" s="706">
        <v>48246.869870000002</v>
      </c>
      <c r="W78" s="706">
        <v>48246.869870000002</v>
      </c>
      <c r="X78" s="706">
        <v>48191.869870000002</v>
      </c>
      <c r="Y78" s="706">
        <v>48191.869870000002</v>
      </c>
      <c r="Z78" s="706">
        <v>48191.869870000002</v>
      </c>
      <c r="AA78" s="706">
        <v>48136.869870000002</v>
      </c>
      <c r="AB78" s="706">
        <v>48136.869870000002</v>
      </c>
      <c r="AC78" s="706">
        <v>48136.869870000002</v>
      </c>
      <c r="AD78" s="706">
        <v>48081.869870000002</v>
      </c>
      <c r="AE78" s="706">
        <v>48081.869870000002</v>
      </c>
      <c r="AF78" s="707">
        <f t="shared" si="3"/>
        <v>48204.7635623077</v>
      </c>
    </row>
    <row r="79" spans="1:32">
      <c r="A79" s="579" t="s">
        <v>1891</v>
      </c>
      <c r="B79" s="706">
        <v>131.23773</v>
      </c>
      <c r="C79" s="706">
        <v>130.94333</v>
      </c>
      <c r="D79" s="706">
        <v>130.77305999999999</v>
      </c>
      <c r="E79" s="706">
        <v>130.48747</v>
      </c>
      <c r="F79" s="706">
        <v>130.16242</v>
      </c>
      <c r="G79" s="706">
        <v>129.82372000000001</v>
      </c>
      <c r="H79" s="706">
        <v>129.52207999999999</v>
      </c>
      <c r="I79" s="706">
        <v>129.52207999999999</v>
      </c>
      <c r="J79" s="706">
        <v>129.52207999999999</v>
      </c>
      <c r="K79" s="706">
        <v>129.52207999999999</v>
      </c>
      <c r="L79" s="706">
        <v>129.52207999999999</v>
      </c>
      <c r="M79" s="706">
        <v>129.52207999999999</v>
      </c>
      <c r="N79" s="706">
        <v>129.52207999999999</v>
      </c>
      <c r="O79" s="235">
        <f t="shared" si="2"/>
        <v>130.00632999999999</v>
      </c>
      <c r="P79" s="706">
        <v>129.52207999999999</v>
      </c>
      <c r="Q79" s="706">
        <v>129.52207999999999</v>
      </c>
      <c r="R79" s="706">
        <v>129.52207999999999</v>
      </c>
      <c r="S79" s="706">
        <v>129.52207999999999</v>
      </c>
      <c r="T79" s="706">
        <v>129.52207999999999</v>
      </c>
      <c r="U79" s="706">
        <v>129.52207999999999</v>
      </c>
      <c r="V79" s="706">
        <v>129.52207999999999</v>
      </c>
      <c r="W79" s="706">
        <v>129.52207999999999</v>
      </c>
      <c r="X79" s="706">
        <v>129.52207999999999</v>
      </c>
      <c r="Y79" s="706">
        <v>129.52207999999999</v>
      </c>
      <c r="Z79" s="706">
        <v>129.52207999999999</v>
      </c>
      <c r="AA79" s="706">
        <v>129.52207999999999</v>
      </c>
      <c r="AB79" s="706">
        <v>129.52207999999999</v>
      </c>
      <c r="AC79" s="706">
        <v>129.52207999999999</v>
      </c>
      <c r="AD79" s="706">
        <v>129.52207999999999</v>
      </c>
      <c r="AE79" s="706">
        <v>129.52207999999999</v>
      </c>
      <c r="AF79" s="707">
        <f t="shared" si="3"/>
        <v>129.52207999999999</v>
      </c>
    </row>
    <row r="80" spans="1:32">
      <c r="A80" s="579" t="s">
        <v>1892</v>
      </c>
      <c r="B80" s="706">
        <v>11598.192929999999</v>
      </c>
      <c r="C80" s="706">
        <v>11396.8491399999</v>
      </c>
      <c r="D80" s="706">
        <v>11728.55488</v>
      </c>
      <c r="E80" s="706">
        <v>11912.94564</v>
      </c>
      <c r="F80" s="706">
        <v>11881.814119999999</v>
      </c>
      <c r="G80" s="706">
        <v>12257.819289999999</v>
      </c>
      <c r="H80" s="706">
        <v>12000.185019999901</v>
      </c>
      <c r="I80" s="706">
        <v>12000.185019999901</v>
      </c>
      <c r="J80" s="706">
        <v>12000.185019999901</v>
      </c>
      <c r="K80" s="706">
        <v>12000.185019999901</v>
      </c>
      <c r="L80" s="706">
        <v>12000.185019999901</v>
      </c>
      <c r="M80" s="706">
        <v>12000.185019999901</v>
      </c>
      <c r="N80" s="706">
        <v>12000.185019999901</v>
      </c>
      <c r="O80" s="235">
        <f t="shared" si="2"/>
        <v>11905.959318461477</v>
      </c>
      <c r="P80" s="706">
        <v>12000.185019999901</v>
      </c>
      <c r="Q80" s="706">
        <v>12000.185019999901</v>
      </c>
      <c r="R80" s="706">
        <v>12000.185019999901</v>
      </c>
      <c r="S80" s="706">
        <v>12000.185019999901</v>
      </c>
      <c r="T80" s="706">
        <v>12000.185019999901</v>
      </c>
      <c r="U80" s="706">
        <v>12000.185019999901</v>
      </c>
      <c r="V80" s="706">
        <v>12000.185019999901</v>
      </c>
      <c r="W80" s="706">
        <v>12000.185019999901</v>
      </c>
      <c r="X80" s="706">
        <v>12000.185019999901</v>
      </c>
      <c r="Y80" s="706">
        <v>12000.185019999901</v>
      </c>
      <c r="Z80" s="706">
        <v>12000.185019999901</v>
      </c>
      <c r="AA80" s="706">
        <v>12000.185019999901</v>
      </c>
      <c r="AB80" s="706">
        <v>12000.185019999901</v>
      </c>
      <c r="AC80" s="706">
        <v>12000.185019999901</v>
      </c>
      <c r="AD80" s="706">
        <v>12000.185019999901</v>
      </c>
      <c r="AE80" s="706">
        <v>12000.185019999901</v>
      </c>
      <c r="AF80" s="707">
        <f t="shared" si="3"/>
        <v>12000.185019999899</v>
      </c>
    </row>
    <row r="81" spans="1:32">
      <c r="A81" s="579" t="s">
        <v>1888</v>
      </c>
      <c r="B81" s="706">
        <v>123264.68846999999</v>
      </c>
      <c r="C81" s="706">
        <v>114177.753839999</v>
      </c>
      <c r="D81" s="706">
        <v>109544.56172</v>
      </c>
      <c r="E81" s="706">
        <v>117437.75562</v>
      </c>
      <c r="F81" s="706">
        <v>126386.20415999999</v>
      </c>
      <c r="G81" s="706">
        <v>129692.10921</v>
      </c>
      <c r="H81" s="706">
        <v>128770.13933999999</v>
      </c>
      <c r="I81" s="706">
        <v>130649.323290021</v>
      </c>
      <c r="J81" s="706">
        <v>133071.34570944501</v>
      </c>
      <c r="K81" s="706">
        <v>120028.08321442999</v>
      </c>
      <c r="L81" s="706">
        <v>122233.383617425</v>
      </c>
      <c r="M81" s="706">
        <v>124314.94283446</v>
      </c>
      <c r="N81" s="706">
        <v>125530.70883304199</v>
      </c>
      <c r="O81" s="235">
        <f t="shared" si="2"/>
        <v>123469.30768144786</v>
      </c>
      <c r="P81" s="706">
        <v>120771.98952489599</v>
      </c>
      <c r="Q81" s="706">
        <v>117825.64177942601</v>
      </c>
      <c r="R81" s="706">
        <v>119706.83986941499</v>
      </c>
      <c r="S81" s="706">
        <v>123478.922371707</v>
      </c>
      <c r="T81" s="706">
        <v>124853.608819391</v>
      </c>
      <c r="U81" s="706">
        <v>122295.76510931501</v>
      </c>
      <c r="V81" s="706">
        <v>119252.06858491999</v>
      </c>
      <c r="W81" s="706">
        <v>114565.647716498</v>
      </c>
      <c r="X81" s="706">
        <v>116399.44996600199</v>
      </c>
      <c r="Y81" s="706">
        <v>122270.19623704</v>
      </c>
      <c r="Z81" s="706">
        <v>130002.319607314</v>
      </c>
      <c r="AA81" s="706">
        <v>128292.752754909</v>
      </c>
      <c r="AB81" s="706">
        <v>124718.996476966</v>
      </c>
      <c r="AC81" s="706">
        <v>123585.0887407</v>
      </c>
      <c r="AD81" s="706">
        <v>124358.94442949</v>
      </c>
      <c r="AE81" s="706">
        <v>128695.290393098</v>
      </c>
      <c r="AF81" s="707">
        <f t="shared" si="3"/>
        <v>123289.92701594999</v>
      </c>
    </row>
    <row r="82" spans="1:32">
      <c r="A82" s="579"/>
      <c r="B82" s="708"/>
      <c r="C82" s="708"/>
      <c r="D82" s="708"/>
      <c r="E82" s="708"/>
      <c r="F82" s="708"/>
      <c r="G82" s="708"/>
      <c r="H82" s="708"/>
      <c r="I82" s="708"/>
      <c r="J82" s="708"/>
      <c r="K82" s="708"/>
      <c r="L82" s="708"/>
      <c r="M82" s="708"/>
      <c r="N82" s="708"/>
      <c r="O82" s="235">
        <f t="shared" si="2"/>
        <v>0</v>
      </c>
      <c r="P82" s="708"/>
      <c r="Q82" s="708"/>
      <c r="R82" s="708"/>
      <c r="S82" s="708"/>
      <c r="T82" s="708"/>
      <c r="U82" s="708"/>
      <c r="V82" s="708"/>
      <c r="W82" s="708"/>
      <c r="X82" s="708"/>
      <c r="Y82" s="708"/>
      <c r="Z82" s="708"/>
      <c r="AA82" s="708"/>
      <c r="AB82" s="708"/>
      <c r="AC82" s="708"/>
      <c r="AD82" s="708"/>
      <c r="AE82" s="708"/>
      <c r="AF82" s="707">
        <f t="shared" si="3"/>
        <v>0</v>
      </c>
    </row>
    <row r="83" spans="1:32">
      <c r="A83" s="579" t="s">
        <v>1893</v>
      </c>
      <c r="B83" s="708"/>
      <c r="C83" s="708"/>
      <c r="D83" s="708"/>
      <c r="E83" s="708"/>
      <c r="F83" s="708"/>
      <c r="G83" s="708"/>
      <c r="H83" s="708"/>
      <c r="I83" s="708"/>
      <c r="J83" s="708"/>
      <c r="K83" s="708"/>
      <c r="L83" s="708"/>
      <c r="M83" s="708"/>
      <c r="N83" s="708"/>
      <c r="O83" s="235">
        <f t="shared" si="2"/>
        <v>0</v>
      </c>
      <c r="P83" s="708"/>
      <c r="Q83" s="708"/>
      <c r="R83" s="708"/>
      <c r="S83" s="708"/>
      <c r="T83" s="708"/>
      <c r="U83" s="708"/>
      <c r="V83" s="708"/>
      <c r="W83" s="708"/>
      <c r="X83" s="708"/>
      <c r="Y83" s="708"/>
      <c r="Z83" s="708"/>
      <c r="AA83" s="708"/>
      <c r="AB83" s="708"/>
      <c r="AC83" s="708"/>
      <c r="AD83" s="708"/>
      <c r="AE83" s="708"/>
      <c r="AF83" s="707">
        <f t="shared" si="3"/>
        <v>0</v>
      </c>
    </row>
    <row r="84" spans="1:32">
      <c r="A84" s="579" t="s">
        <v>1894</v>
      </c>
      <c r="B84" s="706">
        <v>11218.732309999999</v>
      </c>
      <c r="C84" s="706">
        <v>13170.063889999999</v>
      </c>
      <c r="D84" s="706">
        <v>13915.3105699999</v>
      </c>
      <c r="E84" s="706">
        <v>12799.8837799999</v>
      </c>
      <c r="F84" s="706">
        <v>17071.98372</v>
      </c>
      <c r="G84" s="706">
        <v>16847.333329999899</v>
      </c>
      <c r="H84" s="706">
        <v>15321.1225399999</v>
      </c>
      <c r="I84" s="706">
        <v>14498.1688745376</v>
      </c>
      <c r="J84" s="706">
        <v>13080.354627475301</v>
      </c>
      <c r="K84" s="706">
        <v>13366.953810413001</v>
      </c>
      <c r="L84" s="706">
        <v>12580.822598899</v>
      </c>
      <c r="M84" s="706">
        <v>11900.1492636691</v>
      </c>
      <c r="N84" s="706">
        <v>11372.0403600926</v>
      </c>
      <c r="O84" s="235">
        <f t="shared" si="2"/>
        <v>13626.378436545092</v>
      </c>
      <c r="P84" s="706">
        <v>14898.739560792799</v>
      </c>
      <c r="Q84" s="706">
        <v>13188.848602054</v>
      </c>
      <c r="R84" s="706">
        <v>11465.1174448236</v>
      </c>
      <c r="S84" s="706">
        <v>16671.429717826999</v>
      </c>
      <c r="T84" s="706">
        <v>15557.3689987207</v>
      </c>
      <c r="U84" s="706">
        <v>15099.955503814401</v>
      </c>
      <c r="V84" s="706">
        <v>13463.377518908201</v>
      </c>
      <c r="W84" s="706">
        <v>11959.929497364399</v>
      </c>
      <c r="X84" s="706">
        <v>12021.8892509707</v>
      </c>
      <c r="Y84" s="706">
        <v>11290.122274576899</v>
      </c>
      <c r="Z84" s="706">
        <v>10505.5488101636</v>
      </c>
      <c r="AA84" s="706">
        <v>10363.419003769901</v>
      </c>
      <c r="AB84" s="706">
        <v>14611.5220439035</v>
      </c>
      <c r="AC84" s="706">
        <v>13175.6791627619</v>
      </c>
      <c r="AD84" s="706">
        <v>11318.218888863999</v>
      </c>
      <c r="AE84" s="706">
        <v>17550.6269139742</v>
      </c>
      <c r="AF84" s="707">
        <f t="shared" si="3"/>
        <v>13353.006737355339</v>
      </c>
    </row>
    <row r="85" spans="1:32">
      <c r="A85" s="579" t="s">
        <v>2222</v>
      </c>
      <c r="B85" s="706">
        <v>3408.29261</v>
      </c>
      <c r="C85" s="706">
        <v>3832.6428599999999</v>
      </c>
      <c r="D85" s="706">
        <v>3907.84204</v>
      </c>
      <c r="E85" s="706">
        <v>3827.0330099999901</v>
      </c>
      <c r="F85" s="706">
        <v>3682.8732500000001</v>
      </c>
      <c r="G85" s="706">
        <v>3485.3038700000002</v>
      </c>
      <c r="H85" s="706">
        <v>3291.5101800000002</v>
      </c>
      <c r="I85" s="706">
        <v>3291.5101800000002</v>
      </c>
      <c r="J85" s="706">
        <v>3291.5101800000002</v>
      </c>
      <c r="K85" s="706">
        <v>3291.5101800000002</v>
      </c>
      <c r="L85" s="706">
        <v>3291.5101800000002</v>
      </c>
      <c r="M85" s="706">
        <v>3291.5101800000002</v>
      </c>
      <c r="N85" s="706">
        <v>3291.5101800000002</v>
      </c>
      <c r="O85" s="235">
        <f t="shared" si="2"/>
        <v>3475.7352999999985</v>
      </c>
      <c r="P85" s="706">
        <v>3291.5101800000002</v>
      </c>
      <c r="Q85" s="706">
        <v>3291.5101800000002</v>
      </c>
      <c r="R85" s="706">
        <v>3291.5101800000002</v>
      </c>
      <c r="S85" s="706">
        <v>3291.5101800000002</v>
      </c>
      <c r="T85" s="706">
        <v>3291.5101800000002</v>
      </c>
      <c r="U85" s="706">
        <v>3291.5101800000002</v>
      </c>
      <c r="V85" s="706">
        <v>3291.5101800000002</v>
      </c>
      <c r="W85" s="706">
        <v>3291.5101800000002</v>
      </c>
      <c r="X85" s="706">
        <v>3291.5101800000002</v>
      </c>
      <c r="Y85" s="706">
        <v>3291.5101800000002</v>
      </c>
      <c r="Z85" s="706">
        <v>3291.5101800000002</v>
      </c>
      <c r="AA85" s="706">
        <v>3291.5101800000002</v>
      </c>
      <c r="AB85" s="706">
        <v>3291.5101800000002</v>
      </c>
      <c r="AC85" s="706">
        <v>3291.5101800000002</v>
      </c>
      <c r="AD85" s="706">
        <v>3291.5101800000002</v>
      </c>
      <c r="AE85" s="706">
        <v>3291.5101800000002</v>
      </c>
      <c r="AF85" s="707">
        <f t="shared" si="3"/>
        <v>3291.5101799999998</v>
      </c>
    </row>
    <row r="86" spans="1:32" ht="15.75" thickBot="1">
      <c r="A86" s="579" t="s">
        <v>1895</v>
      </c>
      <c r="B86" s="711">
        <v>1642.7015200000001</v>
      </c>
      <c r="C86" s="711">
        <v>1368.91794</v>
      </c>
      <c r="D86" s="711">
        <v>1095.13436</v>
      </c>
      <c r="E86" s="711">
        <v>821.35077999999999</v>
      </c>
      <c r="F86" s="711">
        <v>547.56719999999996</v>
      </c>
      <c r="G86" s="711">
        <v>273.78361999999998</v>
      </c>
      <c r="H86" s="711">
        <v>0</v>
      </c>
      <c r="I86" s="711">
        <v>3001.6268799999998</v>
      </c>
      <c r="J86" s="711">
        <v>2728.75170999999</v>
      </c>
      <c r="K86" s="711">
        <v>2455.8765399999902</v>
      </c>
      <c r="L86" s="711">
        <v>2183.0013699999899</v>
      </c>
      <c r="M86" s="711">
        <v>1910.1261999999899</v>
      </c>
      <c r="N86" s="711">
        <v>1637.2510299999899</v>
      </c>
      <c r="O86" s="235">
        <f t="shared" si="2"/>
        <v>1512.7760884615345</v>
      </c>
      <c r="P86" s="711">
        <v>1364.3758599999901</v>
      </c>
      <c r="Q86" s="711">
        <v>1091.5006899999901</v>
      </c>
      <c r="R86" s="711">
        <v>818.62551999999801</v>
      </c>
      <c r="S86" s="711">
        <v>545.75034999999798</v>
      </c>
      <c r="T86" s="711">
        <v>272.87517999999801</v>
      </c>
      <c r="U86" s="711">
        <v>9.9999988378840499E-6</v>
      </c>
      <c r="V86" s="711">
        <v>3061.6594299999902</v>
      </c>
      <c r="W86" s="711">
        <v>2783.3267599999899</v>
      </c>
      <c r="X86" s="711">
        <v>2504.9940899999901</v>
      </c>
      <c r="Y86" s="711">
        <v>2226.6614199999899</v>
      </c>
      <c r="Z86" s="711">
        <v>1948.3287499999899</v>
      </c>
      <c r="AA86" s="711">
        <v>1669.9960799999899</v>
      </c>
      <c r="AB86" s="711">
        <v>1391.6634099999901</v>
      </c>
      <c r="AC86" s="711">
        <v>1113.3307399999901</v>
      </c>
      <c r="AD86" s="711">
        <v>834.99806999999896</v>
      </c>
      <c r="AE86" s="711">
        <v>556.66539999999895</v>
      </c>
      <c r="AF86" s="707">
        <f t="shared" si="3"/>
        <v>1454.6345915384545</v>
      </c>
    </row>
    <row r="87" spans="1:32">
      <c r="A87" s="579" t="s">
        <v>1893</v>
      </c>
      <c r="B87" s="706">
        <v>16269.72644</v>
      </c>
      <c r="C87" s="706">
        <v>18371.624690000001</v>
      </c>
      <c r="D87" s="706">
        <v>18918.286969999899</v>
      </c>
      <c r="E87" s="706">
        <v>17448.26757</v>
      </c>
      <c r="F87" s="706">
        <v>21302.424169999998</v>
      </c>
      <c r="G87" s="706">
        <v>20606.420819999901</v>
      </c>
      <c r="H87" s="706">
        <v>18612.6327199999</v>
      </c>
      <c r="I87" s="706">
        <v>20791.305934537599</v>
      </c>
      <c r="J87" s="706">
        <v>19100.6165174753</v>
      </c>
      <c r="K87" s="706">
        <v>19114.340530412999</v>
      </c>
      <c r="L87" s="706">
        <v>18055.334148899001</v>
      </c>
      <c r="M87" s="706">
        <v>17101.7856436691</v>
      </c>
      <c r="N87" s="706">
        <v>16300.801570092601</v>
      </c>
      <c r="O87" s="235">
        <f t="shared" si="2"/>
        <v>18614.889825006641</v>
      </c>
      <c r="P87" s="706">
        <v>19554.625600792799</v>
      </c>
      <c r="Q87" s="706">
        <v>17571.859472053999</v>
      </c>
      <c r="R87" s="706">
        <v>15575.2531448236</v>
      </c>
      <c r="S87" s="706">
        <v>20508.690247826999</v>
      </c>
      <c r="T87" s="706">
        <v>19121.7543587207</v>
      </c>
      <c r="U87" s="706">
        <v>18391.4656938144</v>
      </c>
      <c r="V87" s="706">
        <v>19816.547128908202</v>
      </c>
      <c r="W87" s="706">
        <v>18034.7664373644</v>
      </c>
      <c r="X87" s="706">
        <v>17818.393520970702</v>
      </c>
      <c r="Y87" s="706">
        <v>16808.293874576899</v>
      </c>
      <c r="Z87" s="706">
        <v>15745.3877401636</v>
      </c>
      <c r="AA87" s="706">
        <v>15324.925263769899</v>
      </c>
      <c r="AB87" s="706">
        <v>19294.695633903499</v>
      </c>
      <c r="AC87" s="706">
        <v>17580.520082761901</v>
      </c>
      <c r="AD87" s="706">
        <v>15444.727138864</v>
      </c>
      <c r="AE87" s="706">
        <v>21398.802493974199</v>
      </c>
      <c r="AF87" s="707">
        <f t="shared" si="3"/>
        <v>18099.151508893799</v>
      </c>
    </row>
    <row r="88" spans="1:32">
      <c r="A88" s="579"/>
      <c r="B88" s="708"/>
      <c r="C88" s="708"/>
      <c r="D88" s="708"/>
      <c r="E88" s="708"/>
      <c r="F88" s="708"/>
      <c r="G88" s="708"/>
      <c r="H88" s="708"/>
      <c r="I88" s="708"/>
      <c r="J88" s="708"/>
      <c r="K88" s="708"/>
      <c r="L88" s="708"/>
      <c r="M88" s="708"/>
      <c r="N88" s="708"/>
      <c r="O88" s="235">
        <f t="shared" si="2"/>
        <v>0</v>
      </c>
      <c r="P88" s="708"/>
      <c r="Q88" s="708"/>
      <c r="R88" s="708"/>
      <c r="S88" s="708"/>
      <c r="T88" s="708"/>
      <c r="U88" s="708"/>
      <c r="V88" s="708"/>
      <c r="W88" s="708"/>
      <c r="X88" s="708"/>
      <c r="Y88" s="708"/>
      <c r="Z88" s="708"/>
      <c r="AA88" s="708"/>
      <c r="AB88" s="708"/>
      <c r="AC88" s="708"/>
      <c r="AD88" s="708"/>
      <c r="AE88" s="708"/>
      <c r="AF88" s="707">
        <f t="shared" si="3"/>
        <v>0</v>
      </c>
    </row>
    <row r="89" spans="1:32">
      <c r="A89" s="579" t="s">
        <v>1896</v>
      </c>
      <c r="B89" s="708"/>
      <c r="C89" s="708"/>
      <c r="D89" s="708"/>
      <c r="E89" s="708"/>
      <c r="F89" s="708"/>
      <c r="G89" s="708"/>
      <c r="H89" s="708"/>
      <c r="I89" s="708"/>
      <c r="J89" s="708"/>
      <c r="K89" s="708"/>
      <c r="L89" s="708"/>
      <c r="M89" s="708"/>
      <c r="N89" s="708"/>
      <c r="O89" s="235">
        <f t="shared" si="2"/>
        <v>0</v>
      </c>
      <c r="P89" s="708"/>
      <c r="Q89" s="708"/>
      <c r="R89" s="708"/>
      <c r="S89" s="708"/>
      <c r="T89" s="708"/>
      <c r="U89" s="708"/>
      <c r="V89" s="708"/>
      <c r="W89" s="708"/>
      <c r="X89" s="708"/>
      <c r="Y89" s="708"/>
      <c r="Z89" s="708"/>
      <c r="AA89" s="708"/>
      <c r="AB89" s="708"/>
      <c r="AC89" s="708"/>
      <c r="AD89" s="708"/>
      <c r="AE89" s="708"/>
      <c r="AF89" s="707">
        <f t="shared" si="3"/>
        <v>0</v>
      </c>
    </row>
    <row r="90" spans="1:32" ht="15.75" thickBot="1">
      <c r="A90" s="579" t="s">
        <v>1897</v>
      </c>
      <c r="B90" s="711">
        <v>0</v>
      </c>
      <c r="C90" s="711">
        <v>0</v>
      </c>
      <c r="D90" s="711">
        <v>0</v>
      </c>
      <c r="E90" s="711">
        <v>8.8880000000000001E-2</v>
      </c>
      <c r="F90" s="711">
        <v>8.8880000000000001E-2</v>
      </c>
      <c r="G90" s="711">
        <v>0</v>
      </c>
      <c r="H90" s="711">
        <v>0</v>
      </c>
      <c r="I90" s="711">
        <v>0</v>
      </c>
      <c r="J90" s="711">
        <v>0</v>
      </c>
      <c r="K90" s="711">
        <v>0</v>
      </c>
      <c r="L90" s="711">
        <v>0</v>
      </c>
      <c r="M90" s="711">
        <v>0</v>
      </c>
      <c r="N90" s="711">
        <v>0</v>
      </c>
      <c r="O90" s="235">
        <f t="shared" si="2"/>
        <v>1.3673846153846154E-2</v>
      </c>
      <c r="P90" s="711">
        <v>0</v>
      </c>
      <c r="Q90" s="711">
        <v>0</v>
      </c>
      <c r="R90" s="711">
        <v>0</v>
      </c>
      <c r="S90" s="711">
        <v>0</v>
      </c>
      <c r="T90" s="711">
        <v>0</v>
      </c>
      <c r="U90" s="711">
        <v>0</v>
      </c>
      <c r="V90" s="711">
        <v>0</v>
      </c>
      <c r="W90" s="711">
        <v>0</v>
      </c>
      <c r="X90" s="711">
        <v>0</v>
      </c>
      <c r="Y90" s="711">
        <v>0</v>
      </c>
      <c r="Z90" s="711">
        <v>0</v>
      </c>
      <c r="AA90" s="711">
        <v>0</v>
      </c>
      <c r="AB90" s="711">
        <v>0</v>
      </c>
      <c r="AC90" s="711">
        <v>0</v>
      </c>
      <c r="AD90" s="711">
        <v>0</v>
      </c>
      <c r="AE90" s="711">
        <v>0</v>
      </c>
      <c r="AF90" s="707">
        <f t="shared" si="3"/>
        <v>0</v>
      </c>
    </row>
    <row r="91" spans="1:32">
      <c r="A91" s="579" t="s">
        <v>1896</v>
      </c>
      <c r="B91" s="706">
        <v>0</v>
      </c>
      <c r="C91" s="706">
        <v>0</v>
      </c>
      <c r="D91" s="706">
        <v>0</v>
      </c>
      <c r="E91" s="706">
        <v>8.8880000000000001E-2</v>
      </c>
      <c r="F91" s="706">
        <v>8.8880000000000001E-2</v>
      </c>
      <c r="G91" s="706">
        <v>0</v>
      </c>
      <c r="H91" s="706">
        <v>0</v>
      </c>
      <c r="I91" s="706">
        <v>0</v>
      </c>
      <c r="J91" s="706">
        <v>0</v>
      </c>
      <c r="K91" s="706">
        <v>0</v>
      </c>
      <c r="L91" s="706">
        <v>0</v>
      </c>
      <c r="M91" s="706">
        <v>0</v>
      </c>
      <c r="N91" s="706">
        <v>0</v>
      </c>
      <c r="O91" s="235">
        <f t="shared" si="2"/>
        <v>1.3673846153846154E-2</v>
      </c>
      <c r="P91" s="706">
        <v>0</v>
      </c>
      <c r="Q91" s="706">
        <v>0</v>
      </c>
      <c r="R91" s="706">
        <v>0</v>
      </c>
      <c r="S91" s="706">
        <v>0</v>
      </c>
      <c r="T91" s="706">
        <v>0</v>
      </c>
      <c r="U91" s="706">
        <v>0</v>
      </c>
      <c r="V91" s="706">
        <v>0</v>
      </c>
      <c r="W91" s="706">
        <v>0</v>
      </c>
      <c r="X91" s="706">
        <v>0</v>
      </c>
      <c r="Y91" s="706">
        <v>0</v>
      </c>
      <c r="Z91" s="706">
        <v>0</v>
      </c>
      <c r="AA91" s="706">
        <v>0</v>
      </c>
      <c r="AB91" s="706">
        <v>0</v>
      </c>
      <c r="AC91" s="706">
        <v>0</v>
      </c>
      <c r="AD91" s="706">
        <v>0</v>
      </c>
      <c r="AE91" s="706">
        <v>0</v>
      </c>
      <c r="AF91" s="707">
        <f t="shared" si="3"/>
        <v>0</v>
      </c>
    </row>
    <row r="92" spans="1:32">
      <c r="A92" s="579"/>
      <c r="B92" s="708"/>
      <c r="C92" s="708"/>
      <c r="D92" s="708"/>
      <c r="E92" s="708"/>
      <c r="F92" s="708"/>
      <c r="G92" s="708"/>
      <c r="H92" s="708"/>
      <c r="I92" s="708"/>
      <c r="J92" s="708"/>
      <c r="K92" s="708"/>
      <c r="L92" s="708"/>
      <c r="M92" s="708"/>
      <c r="N92" s="708"/>
      <c r="O92" s="235">
        <f t="shared" si="2"/>
        <v>0</v>
      </c>
      <c r="P92" s="708"/>
      <c r="Q92" s="708"/>
      <c r="R92" s="708"/>
      <c r="S92" s="708"/>
      <c r="T92" s="708"/>
      <c r="U92" s="708"/>
      <c r="V92" s="708"/>
      <c r="W92" s="708"/>
      <c r="X92" s="708"/>
      <c r="Y92" s="708"/>
      <c r="Z92" s="708"/>
      <c r="AA92" s="708"/>
      <c r="AB92" s="708"/>
      <c r="AC92" s="708"/>
      <c r="AD92" s="708"/>
      <c r="AE92" s="708"/>
      <c r="AF92" s="707">
        <f t="shared" si="3"/>
        <v>0</v>
      </c>
    </row>
    <row r="93" spans="1:32" ht="15.75" thickBot="1">
      <c r="A93" s="712" t="s">
        <v>1445</v>
      </c>
      <c r="B93" s="713">
        <v>426796.03944999998</v>
      </c>
      <c r="C93" s="713">
        <v>464657.03378999903</v>
      </c>
      <c r="D93" s="713">
        <v>419979.10729999997</v>
      </c>
      <c r="E93" s="713">
        <v>404599.43487</v>
      </c>
      <c r="F93" s="713">
        <v>400752.44510999997</v>
      </c>
      <c r="G93" s="713">
        <v>402855.56617000001</v>
      </c>
      <c r="H93" s="713">
        <v>419480.73044999997</v>
      </c>
      <c r="I93" s="713">
        <v>427964.33790897398</v>
      </c>
      <c r="J93" s="713">
        <v>436810.51930830599</v>
      </c>
      <c r="K93" s="713">
        <v>404503.36006693699</v>
      </c>
      <c r="L93" s="713">
        <v>388129.016505812</v>
      </c>
      <c r="M93" s="713">
        <v>395691.305438001</v>
      </c>
      <c r="N93" s="713">
        <v>418684.72604953399</v>
      </c>
      <c r="O93" s="235">
        <f t="shared" si="2"/>
        <v>416223.35557058174</v>
      </c>
      <c r="P93" s="713">
        <v>442244.57768149697</v>
      </c>
      <c r="Q93" s="713">
        <v>420036.57120630197</v>
      </c>
      <c r="R93" s="713">
        <v>403534.581794239</v>
      </c>
      <c r="S93" s="713">
        <v>394801.13735965098</v>
      </c>
      <c r="T93" s="713">
        <v>396662.22048680601</v>
      </c>
      <c r="U93" s="713">
        <v>403474.92903209402</v>
      </c>
      <c r="V93" s="713">
        <v>417209.43985783902</v>
      </c>
      <c r="W93" s="713">
        <v>432469.64711394499</v>
      </c>
      <c r="X93" s="713">
        <v>401373.70970594097</v>
      </c>
      <c r="Y93" s="713">
        <v>388308.20095985697</v>
      </c>
      <c r="Z93" s="713">
        <v>401552.77944123</v>
      </c>
      <c r="AA93" s="713">
        <v>420452.71447166899</v>
      </c>
      <c r="AB93" s="713">
        <v>447731.95899033599</v>
      </c>
      <c r="AC93" s="713">
        <v>427886.62494347303</v>
      </c>
      <c r="AD93" s="713">
        <v>411039.36660812801</v>
      </c>
      <c r="AE93" s="713">
        <v>402949.92707777797</v>
      </c>
      <c r="AF93" s="707">
        <f t="shared" si="3"/>
        <v>411224.05046528822</v>
      </c>
    </row>
    <row r="94" spans="1:32">
      <c r="A94" s="579"/>
      <c r="O94" s="235">
        <f t="shared" si="2"/>
        <v>0</v>
      </c>
      <c r="AF94" s="707">
        <f t="shared" si="3"/>
        <v>0</v>
      </c>
    </row>
    <row r="95" spans="1:32">
      <c r="A95" s="712" t="s">
        <v>1898</v>
      </c>
      <c r="B95" s="708"/>
      <c r="C95" s="708"/>
      <c r="D95" s="708"/>
      <c r="E95" s="708"/>
      <c r="F95" s="708"/>
      <c r="G95" s="708"/>
      <c r="H95" s="708"/>
      <c r="I95" s="708"/>
      <c r="J95" s="708"/>
      <c r="K95" s="708"/>
      <c r="L95" s="708"/>
      <c r="M95" s="708"/>
      <c r="N95" s="708"/>
      <c r="O95" s="235">
        <f t="shared" si="2"/>
        <v>0</v>
      </c>
      <c r="P95" s="708"/>
      <c r="Q95" s="708"/>
      <c r="R95" s="708"/>
      <c r="S95" s="708"/>
      <c r="T95" s="708"/>
      <c r="U95" s="708"/>
      <c r="V95" s="708"/>
      <c r="W95" s="708"/>
      <c r="X95" s="708"/>
      <c r="Y95" s="708"/>
      <c r="Z95" s="708"/>
      <c r="AA95" s="708"/>
      <c r="AB95" s="708"/>
      <c r="AC95" s="708"/>
      <c r="AD95" s="708"/>
      <c r="AE95" s="708"/>
      <c r="AF95" s="707">
        <f t="shared" si="3"/>
        <v>0</v>
      </c>
    </row>
    <row r="96" spans="1:32">
      <c r="A96" s="579" t="s">
        <v>1899</v>
      </c>
      <c r="B96" s="708"/>
      <c r="C96" s="708"/>
      <c r="D96" s="708"/>
      <c r="E96" s="708"/>
      <c r="F96" s="708"/>
      <c r="G96" s="708"/>
      <c r="H96" s="708"/>
      <c r="I96" s="708"/>
      <c r="J96" s="708"/>
      <c r="K96" s="708"/>
      <c r="L96" s="708"/>
      <c r="M96" s="708"/>
      <c r="N96" s="708"/>
      <c r="O96" s="235">
        <f t="shared" si="2"/>
        <v>0</v>
      </c>
      <c r="P96" s="708"/>
      <c r="Q96" s="708"/>
      <c r="R96" s="708"/>
      <c r="S96" s="708"/>
      <c r="T96" s="708"/>
      <c r="U96" s="708"/>
      <c r="V96" s="708"/>
      <c r="W96" s="708"/>
      <c r="X96" s="708"/>
      <c r="Y96" s="708"/>
      <c r="Z96" s="708"/>
      <c r="AA96" s="708"/>
      <c r="AB96" s="708"/>
      <c r="AC96" s="708"/>
      <c r="AD96" s="708"/>
      <c r="AE96" s="708"/>
      <c r="AF96" s="707">
        <f t="shared" si="3"/>
        <v>0</v>
      </c>
    </row>
    <row r="97" spans="1:32">
      <c r="A97" s="579" t="s">
        <v>2223</v>
      </c>
      <c r="B97" s="706">
        <v>15715.583720000001</v>
      </c>
      <c r="C97" s="706">
        <v>15580.693020000001</v>
      </c>
      <c r="D97" s="706">
        <v>15468.97121</v>
      </c>
      <c r="E97" s="706">
        <v>15381.873159999999</v>
      </c>
      <c r="F97" s="706">
        <v>15259.21631</v>
      </c>
      <c r="G97" s="706">
        <v>15131.9926</v>
      </c>
      <c r="H97" s="706">
        <v>15008.011259999999</v>
      </c>
      <c r="I97" s="706">
        <v>14781.12147</v>
      </c>
      <c r="J97" s="706">
        <v>14651.838809999999</v>
      </c>
      <c r="K97" s="706">
        <v>14900.83561</v>
      </c>
      <c r="L97" s="706">
        <v>14765.0801484274</v>
      </c>
      <c r="M97" s="706">
        <v>14632.884010454</v>
      </c>
      <c r="N97" s="706">
        <v>14495.4413188815</v>
      </c>
      <c r="O97" s="235">
        <f t="shared" si="2"/>
        <v>15059.503280597146</v>
      </c>
      <c r="P97" s="706">
        <v>14358.1119573089</v>
      </c>
      <c r="Q97" s="706">
        <v>14233.4839165337</v>
      </c>
      <c r="R97" s="706">
        <v>14094.6122749612</v>
      </c>
      <c r="S97" s="706">
        <v>13959.3073269878</v>
      </c>
      <c r="T97" s="706">
        <v>16893.5246354152</v>
      </c>
      <c r="U97" s="706">
        <v>16747.757877831798</v>
      </c>
      <c r="V97" s="706">
        <v>16596.400356649199</v>
      </c>
      <c r="W97" s="706">
        <v>16443.9824354667</v>
      </c>
      <c r="X97" s="706">
        <v>16947.711539800999</v>
      </c>
      <c r="Y97" s="706">
        <v>16809.236967933499</v>
      </c>
      <c r="Z97" s="706">
        <v>16674.939962267901</v>
      </c>
      <c r="AA97" s="706">
        <v>16536.438380400399</v>
      </c>
      <c r="AB97" s="706">
        <v>16125.886308241101</v>
      </c>
      <c r="AC97" s="706">
        <v>15995.742358777299</v>
      </c>
      <c r="AD97" s="706">
        <v>15857.2002869098</v>
      </c>
      <c r="AE97" s="706">
        <v>15722.8378412441</v>
      </c>
      <c r="AF97" s="707">
        <f t="shared" si="3"/>
        <v>16254.689713686597</v>
      </c>
    </row>
    <row r="98" spans="1:32">
      <c r="A98" s="579" t="s">
        <v>2224</v>
      </c>
      <c r="B98" s="706">
        <v>2339.5183099999999</v>
      </c>
      <c r="C98" s="706">
        <v>2581.2042499999998</v>
      </c>
      <c r="D98" s="706">
        <v>2535.1667299999999</v>
      </c>
      <c r="E98" s="706">
        <v>2507.8151699999999</v>
      </c>
      <c r="F98" s="706">
        <v>2457.8864100000001</v>
      </c>
      <c r="G98" s="706">
        <v>2406.2933399999902</v>
      </c>
      <c r="H98" s="706">
        <v>2356.3645699999902</v>
      </c>
      <c r="I98" s="706">
        <v>2304.77150999999</v>
      </c>
      <c r="J98" s="706">
        <v>2253.1784599999901</v>
      </c>
      <c r="K98" s="706">
        <v>2203.2496899999901</v>
      </c>
      <c r="L98" s="706">
        <v>2151.6566299999899</v>
      </c>
      <c r="M98" s="706">
        <v>2101.72785999999</v>
      </c>
      <c r="N98" s="706">
        <v>2050.1347999999898</v>
      </c>
      <c r="O98" s="235">
        <f t="shared" si="2"/>
        <v>2326.8436715384555</v>
      </c>
      <c r="P98" s="706">
        <v>2341.0076032858701</v>
      </c>
      <c r="Q98" s="706">
        <v>2292.2619616867401</v>
      </c>
      <c r="R98" s="706">
        <v>2238.2935720591399</v>
      </c>
      <c r="S98" s="706">
        <v>2186.0660917743598</v>
      </c>
      <c r="T98" s="706">
        <v>2132.0977121467599</v>
      </c>
      <c r="U98" s="706">
        <v>2079.8702418619901</v>
      </c>
      <c r="V98" s="706">
        <v>2025.9018522343899</v>
      </c>
      <c r="W98" s="706">
        <v>1971.93346260679</v>
      </c>
      <c r="X98" s="706">
        <v>1919.7059923220099</v>
      </c>
      <c r="Y98" s="706">
        <v>1865.73760269441</v>
      </c>
      <c r="Z98" s="706">
        <v>1813.5101324096299</v>
      </c>
      <c r="AA98" s="706">
        <v>1759.54174278203</v>
      </c>
      <c r="AB98" s="706">
        <v>2052.1162371544301</v>
      </c>
      <c r="AC98" s="706">
        <v>2008.5976357576101</v>
      </c>
      <c r="AD98" s="706">
        <v>1961.1752815058301</v>
      </c>
      <c r="AE98" s="706">
        <v>1915.2826746815199</v>
      </c>
      <c r="AF98" s="707">
        <f t="shared" si="3"/>
        <v>1976.2720507639815</v>
      </c>
    </row>
    <row r="99" spans="1:32" ht="15.75" thickBot="1">
      <c r="A99" s="579" t="s">
        <v>1900</v>
      </c>
      <c r="B99" s="711">
        <v>8826.06315</v>
      </c>
      <c r="C99" s="711">
        <v>8780.9917600000008</v>
      </c>
      <c r="D99" s="711">
        <v>8740.2821100000001</v>
      </c>
      <c r="E99" s="711">
        <v>8695.2107799999994</v>
      </c>
      <c r="F99" s="711">
        <v>8651.5932899999898</v>
      </c>
      <c r="G99" s="711">
        <v>8608.4946299999992</v>
      </c>
      <c r="H99" s="711">
        <v>8565.3662999999997</v>
      </c>
      <c r="I99" s="711">
        <v>8618.7523399999991</v>
      </c>
      <c r="J99" s="711">
        <v>8573.7389700000003</v>
      </c>
      <c r="K99" s="711">
        <v>8581.2635900000005</v>
      </c>
      <c r="L99" s="711">
        <v>8535.3219599999993</v>
      </c>
      <c r="M99" s="711">
        <v>8490.8622699999996</v>
      </c>
      <c r="N99" s="711">
        <v>8444.9206099999992</v>
      </c>
      <c r="O99" s="235">
        <f t="shared" si="2"/>
        <v>8624.0662892307701</v>
      </c>
      <c r="P99" s="711">
        <v>8398.9806940375602</v>
      </c>
      <c r="Q99" s="711">
        <v>8357.4864918779294</v>
      </c>
      <c r="R99" s="711">
        <v>8311.5465459154893</v>
      </c>
      <c r="S99" s="711">
        <v>8267.0884878873203</v>
      </c>
      <c r="T99" s="711">
        <v>8221.1485319248804</v>
      </c>
      <c r="U99" s="711">
        <v>8176.6905138967104</v>
      </c>
      <c r="V99" s="711">
        <v>8130.7505379342701</v>
      </c>
      <c r="W99" s="711">
        <v>8084.8105519718301</v>
      </c>
      <c r="X99" s="711">
        <v>8040.3525339436601</v>
      </c>
      <c r="Y99" s="711">
        <v>7994.4125479812201</v>
      </c>
      <c r="Z99" s="711">
        <v>7949.9545199530503</v>
      </c>
      <c r="AA99" s="711">
        <v>7904.0145639906004</v>
      </c>
      <c r="AB99" s="711">
        <v>8129.5859583199799</v>
      </c>
      <c r="AC99" s="711">
        <v>8081.6437388292597</v>
      </c>
      <c r="AD99" s="711">
        <v>8030.3361952392197</v>
      </c>
      <c r="AE99" s="711">
        <v>7980.6837369262703</v>
      </c>
      <c r="AF99" s="707">
        <f t="shared" si="3"/>
        <v>8076.2671091383272</v>
      </c>
    </row>
    <row r="100" spans="1:32">
      <c r="A100" s="579" t="s">
        <v>1899</v>
      </c>
      <c r="B100" s="706">
        <v>26881.16518</v>
      </c>
      <c r="C100" s="706">
        <v>26942.889029999998</v>
      </c>
      <c r="D100" s="706">
        <v>26744.420050000001</v>
      </c>
      <c r="E100" s="706">
        <v>26584.899109999998</v>
      </c>
      <c r="F100" s="706">
        <v>26368.69601</v>
      </c>
      <c r="G100" s="706">
        <v>26146.780569999999</v>
      </c>
      <c r="H100" s="706">
        <v>25929.742129999999</v>
      </c>
      <c r="I100" s="706">
        <v>25704.64532</v>
      </c>
      <c r="J100" s="706">
        <v>25478.756239999999</v>
      </c>
      <c r="K100" s="706">
        <v>25685.348890000001</v>
      </c>
      <c r="L100" s="706">
        <v>25452.0587384274</v>
      </c>
      <c r="M100" s="706">
        <v>25225.474140454</v>
      </c>
      <c r="N100" s="706">
        <v>24990.496728881499</v>
      </c>
      <c r="O100" s="235">
        <f t="shared" si="2"/>
        <v>26010.413241366383</v>
      </c>
      <c r="P100" s="706">
        <v>25098.1002546323</v>
      </c>
      <c r="Q100" s="706">
        <v>24883.232370098402</v>
      </c>
      <c r="R100" s="706">
        <v>24644.4523929358</v>
      </c>
      <c r="S100" s="706">
        <v>24412.4619066495</v>
      </c>
      <c r="T100" s="706">
        <v>27246.7708794869</v>
      </c>
      <c r="U100" s="706">
        <v>27004.318633590501</v>
      </c>
      <c r="V100" s="706">
        <v>26753.052746817899</v>
      </c>
      <c r="W100" s="706">
        <v>26500.726450045298</v>
      </c>
      <c r="X100" s="706">
        <v>26907.7700660667</v>
      </c>
      <c r="Y100" s="706">
        <v>26669.3871186092</v>
      </c>
      <c r="Z100" s="706">
        <v>26438.404614630599</v>
      </c>
      <c r="AA100" s="706">
        <v>26199.994687172999</v>
      </c>
      <c r="AB100" s="706">
        <v>26307.588503715499</v>
      </c>
      <c r="AC100" s="706">
        <v>26085.983733364199</v>
      </c>
      <c r="AD100" s="706">
        <v>25848.711763654799</v>
      </c>
      <c r="AE100" s="706">
        <v>25618.8042528519</v>
      </c>
      <c r="AF100" s="707">
        <f t="shared" si="3"/>
        <v>26307.228873588923</v>
      </c>
    </row>
    <row r="101" spans="1:32">
      <c r="A101" s="579"/>
      <c r="B101" s="708"/>
      <c r="C101" s="708"/>
      <c r="D101" s="708"/>
      <c r="E101" s="708"/>
      <c r="F101" s="708"/>
      <c r="G101" s="708"/>
      <c r="H101" s="708"/>
      <c r="I101" s="708"/>
      <c r="J101" s="708"/>
      <c r="K101" s="708"/>
      <c r="L101" s="708"/>
      <c r="M101" s="708"/>
      <c r="N101" s="708"/>
      <c r="O101" s="235">
        <f t="shared" si="2"/>
        <v>0</v>
      </c>
      <c r="P101" s="708"/>
      <c r="Q101" s="708"/>
      <c r="R101" s="708"/>
      <c r="S101" s="708"/>
      <c r="T101" s="708"/>
      <c r="U101" s="708"/>
      <c r="V101" s="708"/>
      <c r="W101" s="708"/>
      <c r="X101" s="708"/>
      <c r="Y101" s="708"/>
      <c r="Z101" s="708"/>
      <c r="AA101" s="708"/>
      <c r="AB101" s="708"/>
      <c r="AC101" s="708"/>
      <c r="AD101" s="708"/>
      <c r="AE101" s="708"/>
      <c r="AF101" s="707">
        <f t="shared" si="3"/>
        <v>0</v>
      </c>
    </row>
    <row r="102" spans="1:32">
      <c r="A102" s="579" t="s">
        <v>1901</v>
      </c>
      <c r="B102" s="708"/>
      <c r="C102" s="708"/>
      <c r="D102" s="708"/>
      <c r="E102" s="708"/>
      <c r="F102" s="708"/>
      <c r="G102" s="708"/>
      <c r="H102" s="708"/>
      <c r="I102" s="708"/>
      <c r="J102" s="708"/>
      <c r="K102" s="708"/>
      <c r="L102" s="708"/>
      <c r="M102" s="708"/>
      <c r="N102" s="708"/>
      <c r="O102" s="235">
        <f t="shared" si="2"/>
        <v>0</v>
      </c>
      <c r="P102" s="708"/>
      <c r="Q102" s="708"/>
      <c r="R102" s="708"/>
      <c r="S102" s="708"/>
      <c r="T102" s="708"/>
      <c r="U102" s="708"/>
      <c r="V102" s="708"/>
      <c r="W102" s="708"/>
      <c r="X102" s="708"/>
      <c r="Y102" s="708"/>
      <c r="Z102" s="708"/>
      <c r="AA102" s="708"/>
      <c r="AB102" s="708"/>
      <c r="AC102" s="708"/>
      <c r="AD102" s="708"/>
      <c r="AE102" s="708"/>
      <c r="AF102" s="707">
        <f t="shared" si="3"/>
        <v>0</v>
      </c>
    </row>
    <row r="103" spans="1:32">
      <c r="A103" s="579" t="s">
        <v>1902</v>
      </c>
      <c r="B103" s="706">
        <v>159778.14242999899</v>
      </c>
      <c r="C103" s="706">
        <v>159778.14242999899</v>
      </c>
      <c r="D103" s="706">
        <v>159778.14242999899</v>
      </c>
      <c r="E103" s="706">
        <v>159280.21995999999</v>
      </c>
      <c r="F103" s="706">
        <v>158431.40951</v>
      </c>
      <c r="G103" s="706">
        <v>158431.40951</v>
      </c>
      <c r="H103" s="706">
        <v>149865.57358</v>
      </c>
      <c r="I103" s="706">
        <v>149865.57358</v>
      </c>
      <c r="J103" s="706">
        <v>149865.57358</v>
      </c>
      <c r="K103" s="706">
        <v>149865.57358</v>
      </c>
      <c r="L103" s="706">
        <v>149865.57358</v>
      </c>
      <c r="M103" s="706">
        <v>149865.57358</v>
      </c>
      <c r="N103" s="706">
        <v>149865.57358</v>
      </c>
      <c r="O103" s="235">
        <f t="shared" si="2"/>
        <v>154195.11394846134</v>
      </c>
      <c r="P103" s="706">
        <v>149865.57358</v>
      </c>
      <c r="Q103" s="706">
        <v>149865.57358</v>
      </c>
      <c r="R103" s="706">
        <v>149865.57358</v>
      </c>
      <c r="S103" s="706">
        <v>149865.57358</v>
      </c>
      <c r="T103" s="706">
        <v>149865.57358</v>
      </c>
      <c r="U103" s="706">
        <v>149865.57358</v>
      </c>
      <c r="V103" s="706">
        <v>149865.57358</v>
      </c>
      <c r="W103" s="706">
        <v>149865.57358</v>
      </c>
      <c r="X103" s="706">
        <v>149865.57358</v>
      </c>
      <c r="Y103" s="706">
        <v>149865.57358</v>
      </c>
      <c r="Z103" s="706">
        <v>149865.57358</v>
      </c>
      <c r="AA103" s="706">
        <v>149865.57358</v>
      </c>
      <c r="AB103" s="706">
        <v>149865.57358</v>
      </c>
      <c r="AC103" s="706">
        <v>149865.57358</v>
      </c>
      <c r="AD103" s="706">
        <v>149865.57358</v>
      </c>
      <c r="AE103" s="706">
        <v>149865.57358</v>
      </c>
      <c r="AF103" s="707">
        <f t="shared" si="3"/>
        <v>149865.57358000003</v>
      </c>
    </row>
    <row r="104" spans="1:32">
      <c r="A104" s="579" t="s">
        <v>1903</v>
      </c>
      <c r="B104" s="706">
        <v>202593.03302999999</v>
      </c>
      <c r="C104" s="706">
        <v>202593.03305</v>
      </c>
      <c r="D104" s="706">
        <v>202593.03305</v>
      </c>
      <c r="E104" s="706">
        <v>201458.83363000001</v>
      </c>
      <c r="F104" s="706">
        <v>201266.29419999901</v>
      </c>
      <c r="G104" s="706">
        <v>201266.29419999901</v>
      </c>
      <c r="H104" s="706">
        <v>199200.15653000001</v>
      </c>
      <c r="I104" s="706">
        <v>199200.15653000001</v>
      </c>
      <c r="J104" s="706">
        <v>199200.15653000001</v>
      </c>
      <c r="K104" s="706">
        <v>199200.15653000001</v>
      </c>
      <c r="L104" s="706">
        <v>199200.15653000001</v>
      </c>
      <c r="M104" s="706">
        <v>199200.15653000001</v>
      </c>
      <c r="N104" s="706">
        <v>199200.15653000001</v>
      </c>
      <c r="O104" s="235">
        <f t="shared" si="2"/>
        <v>200474.73975923058</v>
      </c>
      <c r="P104" s="706">
        <v>199200.15653000001</v>
      </c>
      <c r="Q104" s="706">
        <v>199200.15653000001</v>
      </c>
      <c r="R104" s="706">
        <v>199200.15653000001</v>
      </c>
      <c r="S104" s="706">
        <v>199200.15653000001</v>
      </c>
      <c r="T104" s="706">
        <v>199200.15653000001</v>
      </c>
      <c r="U104" s="706">
        <v>199200.15653000001</v>
      </c>
      <c r="V104" s="706">
        <v>199200.15653000001</v>
      </c>
      <c r="W104" s="706">
        <v>199200.15653000001</v>
      </c>
      <c r="X104" s="706">
        <v>199200.15653000001</v>
      </c>
      <c r="Y104" s="706">
        <v>199200.15653000001</v>
      </c>
      <c r="Z104" s="706">
        <v>199200.15653000001</v>
      </c>
      <c r="AA104" s="706">
        <v>199200.15653000001</v>
      </c>
      <c r="AB104" s="706">
        <v>199200.15653000001</v>
      </c>
      <c r="AC104" s="706">
        <v>199200.15653000001</v>
      </c>
      <c r="AD104" s="706">
        <v>199200.15653000001</v>
      </c>
      <c r="AE104" s="706">
        <v>199200.15653000001</v>
      </c>
      <c r="AF104" s="707">
        <f t="shared" si="3"/>
        <v>199200.15652999998</v>
      </c>
    </row>
    <row r="105" spans="1:32" ht="15.75" thickBot="1">
      <c r="A105" s="579" t="s">
        <v>1904</v>
      </c>
      <c r="B105" s="711">
        <v>0</v>
      </c>
      <c r="C105" s="711">
        <v>0</v>
      </c>
      <c r="D105" s="711">
        <v>0</v>
      </c>
      <c r="E105" s="711">
        <v>0</v>
      </c>
      <c r="F105" s="711">
        <v>0</v>
      </c>
      <c r="G105" s="711">
        <v>0</v>
      </c>
      <c r="H105" s="711">
        <v>0</v>
      </c>
      <c r="I105" s="711">
        <v>0</v>
      </c>
      <c r="J105" s="711">
        <v>0</v>
      </c>
      <c r="K105" s="711">
        <v>0</v>
      </c>
      <c r="L105" s="711">
        <v>0</v>
      </c>
      <c r="M105" s="711">
        <v>0</v>
      </c>
      <c r="N105" s="711">
        <v>0</v>
      </c>
      <c r="O105" s="235">
        <f t="shared" si="2"/>
        <v>0</v>
      </c>
      <c r="P105" s="711">
        <v>0</v>
      </c>
      <c r="Q105" s="711">
        <v>0</v>
      </c>
      <c r="R105" s="711">
        <v>0</v>
      </c>
      <c r="S105" s="711">
        <v>0</v>
      </c>
      <c r="T105" s="711">
        <v>0</v>
      </c>
      <c r="U105" s="711">
        <v>0</v>
      </c>
      <c r="V105" s="711">
        <v>0</v>
      </c>
      <c r="W105" s="711">
        <v>0</v>
      </c>
      <c r="X105" s="711">
        <v>0</v>
      </c>
      <c r="Y105" s="711">
        <v>0</v>
      </c>
      <c r="Z105" s="711">
        <v>0</v>
      </c>
      <c r="AA105" s="711">
        <v>0</v>
      </c>
      <c r="AB105" s="711">
        <v>0</v>
      </c>
      <c r="AC105" s="711">
        <v>0</v>
      </c>
      <c r="AD105" s="711">
        <v>0</v>
      </c>
      <c r="AE105" s="711">
        <v>0</v>
      </c>
      <c r="AF105" s="707">
        <f t="shared" si="3"/>
        <v>0</v>
      </c>
    </row>
    <row r="106" spans="1:32">
      <c r="A106" s="579" t="s">
        <v>1901</v>
      </c>
      <c r="B106" s="706">
        <v>362371.17545999901</v>
      </c>
      <c r="C106" s="706">
        <v>362371.17547999998</v>
      </c>
      <c r="D106" s="706">
        <v>362371.17547999998</v>
      </c>
      <c r="E106" s="706">
        <v>360739.05359000002</v>
      </c>
      <c r="F106" s="706">
        <v>359697.70370999997</v>
      </c>
      <c r="G106" s="706">
        <v>359697.70370999997</v>
      </c>
      <c r="H106" s="706">
        <v>349065.73011</v>
      </c>
      <c r="I106" s="706">
        <v>349065.73011</v>
      </c>
      <c r="J106" s="706">
        <v>349065.73011</v>
      </c>
      <c r="K106" s="706">
        <v>349065.73011</v>
      </c>
      <c r="L106" s="706">
        <v>349065.73011</v>
      </c>
      <c r="M106" s="706">
        <v>349065.73011</v>
      </c>
      <c r="N106" s="706">
        <v>349065.73011</v>
      </c>
      <c r="O106" s="235">
        <f t="shared" si="2"/>
        <v>354669.85370769224</v>
      </c>
      <c r="P106" s="706">
        <v>349065.73011</v>
      </c>
      <c r="Q106" s="706">
        <v>349065.73011</v>
      </c>
      <c r="R106" s="706">
        <v>349065.73011</v>
      </c>
      <c r="S106" s="706">
        <v>349065.73011</v>
      </c>
      <c r="T106" s="706">
        <v>349065.73011</v>
      </c>
      <c r="U106" s="706">
        <v>349065.73011</v>
      </c>
      <c r="V106" s="706">
        <v>349065.73011</v>
      </c>
      <c r="W106" s="706">
        <v>349065.73011</v>
      </c>
      <c r="X106" s="706">
        <v>349065.73011</v>
      </c>
      <c r="Y106" s="706">
        <v>349065.73011</v>
      </c>
      <c r="Z106" s="706">
        <v>349065.73011</v>
      </c>
      <c r="AA106" s="706">
        <v>349065.73011</v>
      </c>
      <c r="AB106" s="706">
        <v>349065.73011</v>
      </c>
      <c r="AC106" s="706">
        <v>349065.73011</v>
      </c>
      <c r="AD106" s="706">
        <v>349065.73011</v>
      </c>
      <c r="AE106" s="706">
        <v>349065.73011</v>
      </c>
      <c r="AF106" s="707">
        <f t="shared" si="3"/>
        <v>349065.73010999995</v>
      </c>
    </row>
    <row r="107" spans="1:32">
      <c r="A107" s="579"/>
      <c r="B107" s="708"/>
      <c r="C107" s="708"/>
      <c r="D107" s="708"/>
      <c r="E107" s="708"/>
      <c r="F107" s="708"/>
      <c r="G107" s="708"/>
      <c r="H107" s="708"/>
      <c r="I107" s="708"/>
      <c r="J107" s="708"/>
      <c r="K107" s="708"/>
      <c r="L107" s="708"/>
      <c r="M107" s="708"/>
      <c r="N107" s="708"/>
      <c r="O107" s="235">
        <f t="shared" si="2"/>
        <v>0</v>
      </c>
      <c r="P107" s="708"/>
      <c r="Q107" s="708"/>
      <c r="R107" s="708"/>
      <c r="S107" s="708"/>
      <c r="T107" s="708"/>
      <c r="U107" s="708"/>
      <c r="V107" s="708"/>
      <c r="W107" s="708"/>
      <c r="X107" s="708"/>
      <c r="Y107" s="708"/>
      <c r="Z107" s="708"/>
      <c r="AA107" s="708"/>
      <c r="AB107" s="708"/>
      <c r="AC107" s="708"/>
      <c r="AD107" s="708"/>
      <c r="AE107" s="708"/>
      <c r="AF107" s="707">
        <f t="shared" si="3"/>
        <v>0</v>
      </c>
    </row>
    <row r="108" spans="1:32">
      <c r="A108" s="579" t="s">
        <v>1905</v>
      </c>
      <c r="B108" s="708"/>
      <c r="C108" s="708"/>
      <c r="D108" s="708"/>
      <c r="E108" s="708"/>
      <c r="F108" s="708"/>
      <c r="G108" s="708"/>
      <c r="H108" s="708"/>
      <c r="I108" s="708"/>
      <c r="J108" s="708"/>
      <c r="K108" s="708"/>
      <c r="L108" s="708"/>
      <c r="M108" s="708"/>
      <c r="N108" s="708"/>
      <c r="O108" s="235">
        <f t="shared" si="2"/>
        <v>0</v>
      </c>
      <c r="P108" s="708"/>
      <c r="Q108" s="708"/>
      <c r="R108" s="708"/>
      <c r="S108" s="708"/>
      <c r="T108" s="708"/>
      <c r="U108" s="708"/>
      <c r="V108" s="708"/>
      <c r="W108" s="708"/>
      <c r="X108" s="708"/>
      <c r="Y108" s="708"/>
      <c r="Z108" s="708"/>
      <c r="AA108" s="708"/>
      <c r="AB108" s="708"/>
      <c r="AC108" s="708"/>
      <c r="AD108" s="708"/>
      <c r="AE108" s="708"/>
      <c r="AF108" s="707">
        <f t="shared" si="3"/>
        <v>0</v>
      </c>
    </row>
    <row r="109" spans="1:32">
      <c r="A109" s="579" t="s">
        <v>1906</v>
      </c>
      <c r="B109" s="706">
        <v>37055.29552</v>
      </c>
      <c r="C109" s="706">
        <v>37055.29552</v>
      </c>
      <c r="D109" s="706">
        <v>37055.29552</v>
      </c>
      <c r="E109" s="706">
        <v>36846.876700000001</v>
      </c>
      <c r="F109" s="706">
        <v>36849.97911</v>
      </c>
      <c r="G109" s="706">
        <v>36849.97911</v>
      </c>
      <c r="H109" s="706">
        <v>35161.062919999997</v>
      </c>
      <c r="I109" s="706">
        <v>35161.062919999997</v>
      </c>
      <c r="J109" s="706">
        <v>35161.062919999997</v>
      </c>
      <c r="K109" s="706">
        <v>34933.285883826196</v>
      </c>
      <c r="L109" s="706">
        <v>34933.285883826196</v>
      </c>
      <c r="M109" s="706">
        <v>34933.285883826196</v>
      </c>
      <c r="N109" s="706">
        <v>34694.611073105101</v>
      </c>
      <c r="O109" s="235">
        <f t="shared" si="2"/>
        <v>35899.259920352597</v>
      </c>
      <c r="P109" s="706">
        <v>34694.611073105101</v>
      </c>
      <c r="Q109" s="706">
        <v>34694.611073105101</v>
      </c>
      <c r="R109" s="706">
        <v>34458.180898395702</v>
      </c>
      <c r="S109" s="706">
        <v>34404.032888013797</v>
      </c>
      <c r="T109" s="706">
        <v>34404.032888013797</v>
      </c>
      <c r="U109" s="706">
        <v>34240.482228460904</v>
      </c>
      <c r="V109" s="706">
        <v>34240.482228460904</v>
      </c>
      <c r="W109" s="706">
        <v>34240.482228460904</v>
      </c>
      <c r="X109" s="706">
        <v>34032.149310913403</v>
      </c>
      <c r="Y109" s="706">
        <v>34032.149310913403</v>
      </c>
      <c r="Z109" s="706">
        <v>34032.149310913403</v>
      </c>
      <c r="AA109" s="706">
        <v>33823.816393365902</v>
      </c>
      <c r="AB109" s="706">
        <v>33823.816393365902</v>
      </c>
      <c r="AC109" s="706">
        <v>33823.816393365902</v>
      </c>
      <c r="AD109" s="706">
        <v>33614.266970729201</v>
      </c>
      <c r="AE109" s="706">
        <v>33561.747968730597</v>
      </c>
      <c r="AF109" s="707">
        <f t="shared" si="3"/>
        <v>34021.032654900613</v>
      </c>
    </row>
    <row r="110" spans="1:32">
      <c r="A110" s="579" t="s">
        <v>1907</v>
      </c>
      <c r="B110" s="706">
        <v>141611.44649</v>
      </c>
      <c r="C110" s="706">
        <v>141611.44649</v>
      </c>
      <c r="D110" s="706">
        <v>141611.44649</v>
      </c>
      <c r="E110" s="706">
        <v>140315.17949000001</v>
      </c>
      <c r="F110" s="706">
        <v>140315.17949000001</v>
      </c>
      <c r="G110" s="706">
        <v>140315.17949000001</v>
      </c>
      <c r="H110" s="706">
        <v>134679.26548999999</v>
      </c>
      <c r="I110" s="706">
        <v>134008.59338693801</v>
      </c>
      <c r="J110" s="706">
        <v>133337.921283876</v>
      </c>
      <c r="K110" s="706">
        <v>133248.610054388</v>
      </c>
      <c r="L110" s="706">
        <v>132577.93795132701</v>
      </c>
      <c r="M110" s="706">
        <v>131907.265848265</v>
      </c>
      <c r="N110" s="706">
        <v>131817.954618777</v>
      </c>
      <c r="O110" s="235">
        <f t="shared" si="2"/>
        <v>136719.80204412085</v>
      </c>
      <c r="P110" s="706">
        <v>131358.46817607299</v>
      </c>
      <c r="Q110" s="706">
        <v>130898.981733369</v>
      </c>
      <c r="R110" s="706">
        <v>130628.919083167</v>
      </c>
      <c r="S110" s="706">
        <v>130169.432640463</v>
      </c>
      <c r="T110" s="706">
        <v>129709.946197759</v>
      </c>
      <c r="U110" s="706">
        <v>129439.88354755699</v>
      </c>
      <c r="V110" s="706">
        <v>128980.39710485299</v>
      </c>
      <c r="W110" s="706">
        <v>128520.91066214901</v>
      </c>
      <c r="X110" s="706">
        <v>128250.848011947</v>
      </c>
      <c r="Y110" s="706">
        <v>127791.361569243</v>
      </c>
      <c r="Z110" s="706">
        <v>127331.875126539</v>
      </c>
      <c r="AA110" s="706">
        <v>127061.812476337</v>
      </c>
      <c r="AB110" s="706">
        <v>126612.180693141</v>
      </c>
      <c r="AC110" s="706">
        <v>126162.54890994501</v>
      </c>
      <c r="AD110" s="706">
        <v>125813.239548863</v>
      </c>
      <c r="AE110" s="706">
        <v>125363.60776566699</v>
      </c>
      <c r="AF110" s="707">
        <f t="shared" si="3"/>
        <v>127785.23417342021</v>
      </c>
    </row>
    <row r="111" spans="1:32">
      <c r="A111" s="579" t="s">
        <v>1908</v>
      </c>
      <c r="B111" s="706">
        <v>15353.33822</v>
      </c>
      <c r="C111" s="706">
        <v>14858.06927</v>
      </c>
      <c r="D111" s="706">
        <v>14362.80032</v>
      </c>
      <c r="E111" s="706">
        <v>13867.531369999901</v>
      </c>
      <c r="F111" s="706">
        <v>13372.262419999999</v>
      </c>
      <c r="G111" s="706">
        <v>12876.993469999999</v>
      </c>
      <c r="H111" s="706">
        <v>12381.72452</v>
      </c>
      <c r="I111" s="706">
        <v>11886.45557</v>
      </c>
      <c r="J111" s="706">
        <v>11391.1866199999</v>
      </c>
      <c r="K111" s="706">
        <v>10895.917669999901</v>
      </c>
      <c r="L111" s="706">
        <v>10400.648719999899</v>
      </c>
      <c r="M111" s="706">
        <v>14628.6541699999</v>
      </c>
      <c r="N111" s="706">
        <v>14133.3852199999</v>
      </c>
      <c r="O111" s="235">
        <f t="shared" si="2"/>
        <v>13108.382119999957</v>
      </c>
      <c r="P111" s="706">
        <v>13638.1162699999</v>
      </c>
      <c r="Q111" s="706">
        <v>13142.847319999901</v>
      </c>
      <c r="R111" s="706">
        <v>12647.578369999899</v>
      </c>
      <c r="S111" s="706">
        <v>12152.3094199999</v>
      </c>
      <c r="T111" s="706">
        <v>11787.8560599999</v>
      </c>
      <c r="U111" s="706">
        <v>11423.402699999901</v>
      </c>
      <c r="V111" s="706">
        <v>11058.949339999999</v>
      </c>
      <c r="W111" s="706">
        <v>10694.49598</v>
      </c>
      <c r="X111" s="706">
        <v>10330.04262</v>
      </c>
      <c r="Y111" s="706">
        <v>9965.5892600000006</v>
      </c>
      <c r="Z111" s="706">
        <v>9601.1358999999993</v>
      </c>
      <c r="AA111" s="706">
        <v>9236.6825399999998</v>
      </c>
      <c r="AB111" s="706">
        <v>8872.2291800000003</v>
      </c>
      <c r="AC111" s="706">
        <v>8507.7758200000007</v>
      </c>
      <c r="AD111" s="706">
        <v>8143.3224600000003</v>
      </c>
      <c r="AE111" s="706">
        <v>7778.8690999999999</v>
      </c>
      <c r="AF111" s="707">
        <f t="shared" si="3"/>
        <v>9965.5892599999752</v>
      </c>
    </row>
    <row r="112" spans="1:32">
      <c r="A112" s="579" t="s">
        <v>1909</v>
      </c>
      <c r="B112" s="706">
        <v>482.95704999999998</v>
      </c>
      <c r="C112" s="706">
        <v>2536</v>
      </c>
      <c r="D112" s="706">
        <v>914</v>
      </c>
      <c r="E112" s="706">
        <v>0</v>
      </c>
      <c r="F112" s="706">
        <v>0</v>
      </c>
      <c r="G112" s="706">
        <v>0</v>
      </c>
      <c r="H112" s="706">
        <v>0</v>
      </c>
      <c r="I112" s="706">
        <v>0</v>
      </c>
      <c r="J112" s="706">
        <v>0</v>
      </c>
      <c r="K112" s="706">
        <v>10.50001</v>
      </c>
      <c r="L112" s="706">
        <v>44.666679999999999</v>
      </c>
      <c r="M112" s="706">
        <v>78.833349999999996</v>
      </c>
      <c r="N112" s="706">
        <v>134.672907283028</v>
      </c>
      <c r="O112" s="235">
        <f t="shared" si="2"/>
        <v>323.20230748330982</v>
      </c>
      <c r="P112" s="706">
        <v>170.838708246105</v>
      </c>
      <c r="Q112" s="706">
        <v>192.78225061440801</v>
      </c>
      <c r="R112" s="706">
        <v>224.012481149769</v>
      </c>
      <c r="S112" s="706">
        <v>197.54169416666599</v>
      </c>
      <c r="T112" s="706">
        <v>179.583358333333</v>
      </c>
      <c r="U112" s="706">
        <v>161.6250225</v>
      </c>
      <c r="V112" s="706">
        <v>143.66668666666601</v>
      </c>
      <c r="W112" s="706">
        <v>125.708350833333</v>
      </c>
      <c r="X112" s="706">
        <v>107.750015</v>
      </c>
      <c r="Y112" s="706">
        <v>89.791679166666896</v>
      </c>
      <c r="Z112" s="706">
        <v>77.303431938278806</v>
      </c>
      <c r="AA112" s="706">
        <v>63.021982027049198</v>
      </c>
      <c r="AB112" s="706">
        <v>35.916671666667</v>
      </c>
      <c r="AC112" s="706">
        <v>19.513332299177499</v>
      </c>
      <c r="AD112" s="706">
        <v>10.3913920345992</v>
      </c>
      <c r="AE112" s="706">
        <v>0</v>
      </c>
      <c r="AF112" s="707">
        <f t="shared" si="3"/>
        <v>93.216432048648983</v>
      </c>
    </row>
    <row r="113" spans="1:33">
      <c r="A113" s="579" t="s">
        <v>1910</v>
      </c>
      <c r="B113" s="706">
        <v>216771.19902999999</v>
      </c>
      <c r="C113" s="706">
        <v>218490.05882999999</v>
      </c>
      <c r="D113" s="706">
        <v>220215.08678999901</v>
      </c>
      <c r="E113" s="706">
        <v>222052.64624999999</v>
      </c>
      <c r="F113" s="706">
        <v>226637.94365999999</v>
      </c>
      <c r="G113" s="706">
        <v>228499.87799000001</v>
      </c>
      <c r="H113" s="706">
        <v>229959.89970000001</v>
      </c>
      <c r="I113" s="706">
        <v>231617.21606900799</v>
      </c>
      <c r="J113" s="706">
        <v>233408.83654679501</v>
      </c>
      <c r="K113" s="706">
        <v>235050.60413132</v>
      </c>
      <c r="L113" s="706">
        <v>238351.34243601901</v>
      </c>
      <c r="M113" s="706">
        <v>239830.864383821</v>
      </c>
      <c r="N113" s="706">
        <v>241274.534853277</v>
      </c>
      <c r="O113" s="235">
        <f t="shared" si="2"/>
        <v>229396.93159001833</v>
      </c>
      <c r="P113" s="706">
        <v>242562.73207679199</v>
      </c>
      <c r="Q113" s="706">
        <v>243795.546586112</v>
      </c>
      <c r="R113" s="706">
        <v>244975.29497285301</v>
      </c>
      <c r="S113" s="706">
        <v>247880.60845930999</v>
      </c>
      <c r="T113" s="706">
        <v>249256.223175241</v>
      </c>
      <c r="U113" s="706">
        <v>250539.194737043</v>
      </c>
      <c r="V113" s="706">
        <v>251799.57752811699</v>
      </c>
      <c r="W113" s="706">
        <v>253044.26319471601</v>
      </c>
      <c r="X113" s="706">
        <v>254284.463764671</v>
      </c>
      <c r="Y113" s="706">
        <v>255509.97489907499</v>
      </c>
      <c r="Z113" s="706">
        <v>256735.031288945</v>
      </c>
      <c r="AA113" s="706">
        <v>257920.87676015199</v>
      </c>
      <c r="AB113" s="706">
        <v>258347.220833097</v>
      </c>
      <c r="AC113" s="706">
        <v>258778.891814559</v>
      </c>
      <c r="AD113" s="706">
        <v>259188.60124063399</v>
      </c>
      <c r="AE113" s="706">
        <v>259585.71313438</v>
      </c>
      <c r="AF113" s="707">
        <f t="shared" si="3"/>
        <v>254836.20314076464</v>
      </c>
    </row>
    <row r="114" spans="1:33" ht="15.75" thickBot="1">
      <c r="A114" s="579" t="s">
        <v>1911</v>
      </c>
      <c r="B114" s="711">
        <v>5673.3885300000002</v>
      </c>
      <c r="C114" s="711">
        <v>4588.7060499999998</v>
      </c>
      <c r="D114" s="711">
        <v>3351.0311900000002</v>
      </c>
      <c r="E114" s="711">
        <v>2462.1465199999998</v>
      </c>
      <c r="F114" s="711">
        <v>1160.49278</v>
      </c>
      <c r="G114" s="711">
        <v>0</v>
      </c>
      <c r="H114" s="711">
        <v>0</v>
      </c>
      <c r="I114" s="711">
        <v>0</v>
      </c>
      <c r="J114" s="711">
        <v>0</v>
      </c>
      <c r="K114" s="711">
        <v>1668.29990232674</v>
      </c>
      <c r="L114" s="711">
        <v>2748.44579593157</v>
      </c>
      <c r="M114" s="711">
        <v>2194.33594322422</v>
      </c>
      <c r="N114" s="711">
        <v>2079.47317308227</v>
      </c>
      <c r="O114" s="235">
        <f t="shared" si="2"/>
        <v>1994.3322988126772</v>
      </c>
      <c r="P114" s="711">
        <v>2025.02204498488</v>
      </c>
      <c r="Q114" s="711">
        <v>1698.5760913516399</v>
      </c>
      <c r="R114" s="711">
        <v>1386.1958438305001</v>
      </c>
      <c r="S114" s="711">
        <v>0</v>
      </c>
      <c r="T114" s="711">
        <v>0</v>
      </c>
      <c r="U114" s="711">
        <v>0</v>
      </c>
      <c r="V114" s="711">
        <v>0</v>
      </c>
      <c r="W114" s="711">
        <v>0</v>
      </c>
      <c r="X114" s="711">
        <v>0</v>
      </c>
      <c r="Y114" s="711">
        <v>2452.6080206126499</v>
      </c>
      <c r="Z114" s="711">
        <v>9555.7507135548694</v>
      </c>
      <c r="AA114" s="711">
        <v>9568.2057317208</v>
      </c>
      <c r="AB114" s="711">
        <v>9484.6679009120508</v>
      </c>
      <c r="AC114" s="711">
        <v>10551.1140674543</v>
      </c>
      <c r="AD114" s="711">
        <v>18407.130621948301</v>
      </c>
      <c r="AE114" s="711">
        <v>20411.434120857699</v>
      </c>
      <c r="AF114" s="707">
        <f t="shared" si="3"/>
        <v>6186.9931674662057</v>
      </c>
    </row>
    <row r="115" spans="1:33">
      <c r="A115" s="579" t="s">
        <v>1905</v>
      </c>
      <c r="B115" s="706">
        <v>416947.62484</v>
      </c>
      <c r="C115" s="706">
        <v>419139.57616</v>
      </c>
      <c r="D115" s="706">
        <v>417509.66030999902</v>
      </c>
      <c r="E115" s="706">
        <v>415544.38033000001</v>
      </c>
      <c r="F115" s="706">
        <v>418335.85745999898</v>
      </c>
      <c r="G115" s="706">
        <v>418542.03006000002</v>
      </c>
      <c r="H115" s="706">
        <v>412181.95263000001</v>
      </c>
      <c r="I115" s="706">
        <v>412673.32794594602</v>
      </c>
      <c r="J115" s="706">
        <v>413299.00737067201</v>
      </c>
      <c r="K115" s="706">
        <v>415807.21765186201</v>
      </c>
      <c r="L115" s="706">
        <v>419056.32746710401</v>
      </c>
      <c r="M115" s="706">
        <v>423573.23957913701</v>
      </c>
      <c r="N115" s="706">
        <v>424134.63184552401</v>
      </c>
      <c r="O115" s="235">
        <f t="shared" si="2"/>
        <v>417441.91028078797</v>
      </c>
      <c r="P115" s="706">
        <v>424449.78834920202</v>
      </c>
      <c r="Q115" s="706">
        <v>424423.34505455301</v>
      </c>
      <c r="R115" s="706">
        <v>424320.18164939602</v>
      </c>
      <c r="S115" s="706">
        <v>424803.92510195402</v>
      </c>
      <c r="T115" s="706">
        <v>425337.64167934802</v>
      </c>
      <c r="U115" s="706">
        <v>425804.58823556203</v>
      </c>
      <c r="V115" s="706">
        <v>426223.07288809802</v>
      </c>
      <c r="W115" s="706">
        <v>426625.86041616002</v>
      </c>
      <c r="X115" s="706">
        <v>427005.25372253201</v>
      </c>
      <c r="Y115" s="706">
        <v>429841.47473901103</v>
      </c>
      <c r="Z115" s="706">
        <v>437333.24577189202</v>
      </c>
      <c r="AA115" s="706">
        <v>437674.41588360397</v>
      </c>
      <c r="AB115" s="706">
        <v>437176.03167218401</v>
      </c>
      <c r="AC115" s="706">
        <v>437843.66033762501</v>
      </c>
      <c r="AD115" s="706">
        <v>445176.95223420998</v>
      </c>
      <c r="AE115" s="706">
        <v>446701.37208963599</v>
      </c>
      <c r="AF115" s="707">
        <f t="shared" si="3"/>
        <v>432888.26882860123</v>
      </c>
    </row>
    <row r="116" spans="1:33">
      <c r="A116" s="579"/>
      <c r="B116" s="708"/>
      <c r="C116" s="708"/>
      <c r="D116" s="708"/>
      <c r="E116" s="708"/>
      <c r="F116" s="708"/>
      <c r="G116" s="708"/>
      <c r="H116" s="708"/>
      <c r="I116" s="708"/>
      <c r="J116" s="708"/>
      <c r="K116" s="708"/>
      <c r="L116" s="708"/>
      <c r="M116" s="708"/>
      <c r="N116" s="708"/>
      <c r="O116" s="235">
        <f t="shared" si="2"/>
        <v>0</v>
      </c>
      <c r="P116" s="708"/>
      <c r="Q116" s="708"/>
      <c r="R116" s="708"/>
      <c r="S116" s="708"/>
      <c r="T116" s="708"/>
      <c r="U116" s="708"/>
      <c r="V116" s="708"/>
      <c r="W116" s="708"/>
      <c r="X116" s="708"/>
      <c r="Y116" s="708"/>
      <c r="Z116" s="708"/>
      <c r="AA116" s="708"/>
      <c r="AB116" s="708"/>
      <c r="AC116" s="708"/>
      <c r="AD116" s="708"/>
      <c r="AE116" s="708"/>
      <c r="AF116" s="707">
        <f t="shared" si="3"/>
        <v>0</v>
      </c>
    </row>
    <row r="117" spans="1:33">
      <c r="A117" s="579" t="s">
        <v>1912</v>
      </c>
      <c r="B117" s="708"/>
      <c r="C117" s="708"/>
      <c r="D117" s="708"/>
      <c r="E117" s="708"/>
      <c r="F117" s="708"/>
      <c r="G117" s="708"/>
      <c r="H117" s="708"/>
      <c r="I117" s="708"/>
      <c r="J117" s="708"/>
      <c r="K117" s="708"/>
      <c r="L117" s="708"/>
      <c r="M117" s="708"/>
      <c r="N117" s="708"/>
      <c r="O117" s="235">
        <f t="shared" si="2"/>
        <v>0</v>
      </c>
      <c r="P117" s="708"/>
      <c r="Q117" s="708"/>
      <c r="R117" s="708"/>
      <c r="S117" s="708"/>
      <c r="T117" s="708"/>
      <c r="U117" s="708"/>
      <c r="V117" s="708"/>
      <c r="W117" s="708"/>
      <c r="X117" s="708"/>
      <c r="Y117" s="708"/>
      <c r="Z117" s="708"/>
      <c r="AA117" s="708"/>
      <c r="AB117" s="708"/>
      <c r="AC117" s="708"/>
      <c r="AD117" s="708"/>
      <c r="AE117" s="708"/>
      <c r="AF117" s="707">
        <f t="shared" si="3"/>
        <v>0</v>
      </c>
    </row>
    <row r="118" spans="1:33">
      <c r="A118" s="579" t="s">
        <v>1913</v>
      </c>
      <c r="B118" s="706">
        <v>103.12097</v>
      </c>
      <c r="C118" s="706">
        <v>103.12097</v>
      </c>
      <c r="D118" s="706">
        <v>103.12097</v>
      </c>
      <c r="E118" s="706">
        <v>103.12097</v>
      </c>
      <c r="F118" s="706">
        <v>103.12097</v>
      </c>
      <c r="G118" s="706">
        <v>89.896209999999996</v>
      </c>
      <c r="H118" s="706">
        <v>89.896209999999996</v>
      </c>
      <c r="I118" s="706">
        <v>89.896209999999996</v>
      </c>
      <c r="J118" s="706">
        <v>89.896209999999996</v>
      </c>
      <c r="K118" s="706">
        <v>89.896209999999996</v>
      </c>
      <c r="L118" s="706">
        <v>89.896209999999996</v>
      </c>
      <c r="M118" s="706">
        <v>89.896209999999996</v>
      </c>
      <c r="N118" s="706">
        <v>89.896209999999996</v>
      </c>
      <c r="O118" s="235">
        <f t="shared" si="2"/>
        <v>94.982656153846136</v>
      </c>
      <c r="P118" s="706">
        <v>89.896209999999996</v>
      </c>
      <c r="Q118" s="706">
        <v>89.896209999999996</v>
      </c>
      <c r="R118" s="706">
        <v>89.896209999999996</v>
      </c>
      <c r="S118" s="706">
        <v>89.896209999999996</v>
      </c>
      <c r="T118" s="706">
        <v>89.896209999999996</v>
      </c>
      <c r="U118" s="706">
        <v>89.896209999999996</v>
      </c>
      <c r="V118" s="706">
        <v>89.896209999999996</v>
      </c>
      <c r="W118" s="706">
        <v>89.896209999999996</v>
      </c>
      <c r="X118" s="706">
        <v>89.896209999999996</v>
      </c>
      <c r="Y118" s="706">
        <v>89.896209999999996</v>
      </c>
      <c r="Z118" s="706">
        <v>89.896209999999996</v>
      </c>
      <c r="AA118" s="706">
        <v>89.896209999999996</v>
      </c>
      <c r="AB118" s="706">
        <v>89.896209999999996</v>
      </c>
      <c r="AC118" s="706">
        <v>89.896209999999996</v>
      </c>
      <c r="AD118" s="706">
        <v>89.896209999999996</v>
      </c>
      <c r="AE118" s="706">
        <v>89.896209999999996</v>
      </c>
      <c r="AF118" s="707">
        <f t="shared" si="3"/>
        <v>89.896209999999982</v>
      </c>
    </row>
    <row r="119" spans="1:33">
      <c r="A119" s="579" t="s">
        <v>1914</v>
      </c>
      <c r="B119" s="706">
        <v>4745.7056899999998</v>
      </c>
      <c r="C119" s="706">
        <v>4541.7560700000004</v>
      </c>
      <c r="D119" s="706">
        <v>4242.9560000000001</v>
      </c>
      <c r="E119" s="706">
        <v>4023.7732099999998</v>
      </c>
      <c r="F119" s="706">
        <v>4188.3331699999999</v>
      </c>
      <c r="G119" s="706">
        <v>4176.5795900000003</v>
      </c>
      <c r="H119" s="706">
        <v>4087.8315400000001</v>
      </c>
      <c r="I119" s="706">
        <v>4087.8315400000001</v>
      </c>
      <c r="J119" s="706">
        <v>4087.8315400000001</v>
      </c>
      <c r="K119" s="706">
        <v>4087.8315400000001</v>
      </c>
      <c r="L119" s="706">
        <v>4087.8315400000001</v>
      </c>
      <c r="M119" s="706">
        <v>4087.8315400000001</v>
      </c>
      <c r="N119" s="706">
        <v>4087.8315400000001</v>
      </c>
      <c r="O119" s="235">
        <f t="shared" si="2"/>
        <v>4194.9172699999999</v>
      </c>
      <c r="P119" s="706">
        <v>4087.8315400000001</v>
      </c>
      <c r="Q119" s="706">
        <v>4087.8315400000001</v>
      </c>
      <c r="R119" s="706">
        <v>4087.8315400000001</v>
      </c>
      <c r="S119" s="706">
        <v>4087.8315400000001</v>
      </c>
      <c r="T119" s="706">
        <v>4087.8315400000001</v>
      </c>
      <c r="U119" s="706">
        <v>4087.8315400000001</v>
      </c>
      <c r="V119" s="706">
        <v>4087.8315400000001</v>
      </c>
      <c r="W119" s="706">
        <v>4087.8315400000001</v>
      </c>
      <c r="X119" s="706">
        <v>4087.8315400000001</v>
      </c>
      <c r="Y119" s="706">
        <v>4087.8315400000001</v>
      </c>
      <c r="Z119" s="706">
        <v>4087.8315400000001</v>
      </c>
      <c r="AA119" s="706">
        <v>4087.8315400000001</v>
      </c>
      <c r="AB119" s="706">
        <v>4087.8315400000001</v>
      </c>
      <c r="AC119" s="706">
        <v>4087.8315400000001</v>
      </c>
      <c r="AD119" s="706">
        <v>4087.8315400000001</v>
      </c>
      <c r="AE119" s="706">
        <v>4087.8315400000001</v>
      </c>
      <c r="AF119" s="707">
        <f t="shared" si="3"/>
        <v>4087.8315399999997</v>
      </c>
    </row>
    <row r="120" spans="1:33">
      <c r="A120" s="579" t="s">
        <v>1915</v>
      </c>
      <c r="B120" s="706">
        <v>0</v>
      </c>
      <c r="C120" s="706">
        <v>-889.50357999999903</v>
      </c>
      <c r="D120" s="706">
        <v>-1694.8170500000001</v>
      </c>
      <c r="E120" s="706">
        <v>220.69137999999899</v>
      </c>
      <c r="F120" s="706">
        <v>-1183.12193</v>
      </c>
      <c r="G120" s="706">
        <v>-1839.70616</v>
      </c>
      <c r="H120" s="706">
        <v>223.45410999999999</v>
      </c>
      <c r="I120" s="706">
        <v>223.45410999999999</v>
      </c>
      <c r="J120" s="706">
        <v>223.45410999999999</v>
      </c>
      <c r="K120" s="706">
        <v>223.45410999999999</v>
      </c>
      <c r="L120" s="706">
        <v>223.45410999999999</v>
      </c>
      <c r="M120" s="706">
        <v>223.45410999999999</v>
      </c>
      <c r="N120" s="706">
        <v>223.45410999999999</v>
      </c>
      <c r="O120" s="235">
        <f t="shared" si="2"/>
        <v>-294.02142846153856</v>
      </c>
      <c r="P120" s="706">
        <v>223.45410999999999</v>
      </c>
      <c r="Q120" s="706">
        <v>223.45410999999999</v>
      </c>
      <c r="R120" s="706">
        <v>223.45410999999999</v>
      </c>
      <c r="S120" s="706">
        <v>223.45410999999999</v>
      </c>
      <c r="T120" s="706">
        <v>223.45410999999999</v>
      </c>
      <c r="U120" s="706">
        <v>223.45410999999999</v>
      </c>
      <c r="V120" s="706">
        <v>223.45410999999999</v>
      </c>
      <c r="W120" s="706">
        <v>223.45410999999999</v>
      </c>
      <c r="X120" s="706">
        <v>223.45410999999999</v>
      </c>
      <c r="Y120" s="706">
        <v>223.45410999999999</v>
      </c>
      <c r="Z120" s="706">
        <v>223.45410999999999</v>
      </c>
      <c r="AA120" s="706">
        <v>223.45410999999999</v>
      </c>
      <c r="AB120" s="706">
        <v>223.45410999999999</v>
      </c>
      <c r="AC120" s="706">
        <v>223.45410999999999</v>
      </c>
      <c r="AD120" s="706">
        <v>223.45410999999999</v>
      </c>
      <c r="AE120" s="706">
        <v>223.45410999999999</v>
      </c>
      <c r="AF120" s="707">
        <f t="shared" si="3"/>
        <v>223.45410999999999</v>
      </c>
    </row>
    <row r="121" spans="1:33">
      <c r="A121" s="579" t="s">
        <v>1916</v>
      </c>
      <c r="B121" s="706">
        <v>0</v>
      </c>
      <c r="C121" s="706">
        <v>-232.33079000000001</v>
      </c>
      <c r="D121" s="706">
        <v>-436.78422999999998</v>
      </c>
      <c r="E121" s="706">
        <v>1892.18858</v>
      </c>
      <c r="F121" s="706">
        <v>1376.7766099999999</v>
      </c>
      <c r="G121" s="706">
        <v>1399.1933899999999</v>
      </c>
      <c r="H121" s="706">
        <v>4097.01721</v>
      </c>
      <c r="I121" s="706">
        <v>4097.01721</v>
      </c>
      <c r="J121" s="706">
        <v>4097.01721</v>
      </c>
      <c r="K121" s="706">
        <v>4097.01721</v>
      </c>
      <c r="L121" s="706">
        <v>4097.01721</v>
      </c>
      <c r="M121" s="706">
        <v>4097.01721</v>
      </c>
      <c r="N121" s="706">
        <v>4097.01721</v>
      </c>
      <c r="O121" s="235">
        <f t="shared" si="2"/>
        <v>2513.7049253846149</v>
      </c>
      <c r="P121" s="706">
        <v>4097.01721</v>
      </c>
      <c r="Q121" s="706">
        <v>4097.01721</v>
      </c>
      <c r="R121" s="706">
        <v>4097.01721</v>
      </c>
      <c r="S121" s="706">
        <v>4097.01721</v>
      </c>
      <c r="T121" s="706">
        <v>4097.01721</v>
      </c>
      <c r="U121" s="706">
        <v>4097.01721</v>
      </c>
      <c r="V121" s="706">
        <v>4097.01721</v>
      </c>
      <c r="W121" s="706">
        <v>4097.01721</v>
      </c>
      <c r="X121" s="706">
        <v>4097.01721</v>
      </c>
      <c r="Y121" s="706">
        <v>4097.01721</v>
      </c>
      <c r="Z121" s="706">
        <v>4097.01721</v>
      </c>
      <c r="AA121" s="706">
        <v>4097.01721</v>
      </c>
      <c r="AB121" s="706">
        <v>4097.01721</v>
      </c>
      <c r="AC121" s="706">
        <v>4097.01721</v>
      </c>
      <c r="AD121" s="706">
        <v>4097.01721</v>
      </c>
      <c r="AE121" s="706">
        <v>4097.01721</v>
      </c>
      <c r="AF121" s="707">
        <f t="shared" si="3"/>
        <v>4097.0172099999991</v>
      </c>
    </row>
    <row r="122" spans="1:33">
      <c r="A122" s="579" t="s">
        <v>1917</v>
      </c>
      <c r="B122" s="706">
        <v>2.0000029103830401E-5</v>
      </c>
      <c r="C122" s="706">
        <v>-1285.3780899999999</v>
      </c>
      <c r="D122" s="706">
        <v>-970.31243999997503</v>
      </c>
      <c r="E122" s="706">
        <v>-121.21279000001999</v>
      </c>
      <c r="F122" s="706">
        <v>-465.62885999999799</v>
      </c>
      <c r="G122" s="706">
        <v>-444.45148999998497</v>
      </c>
      <c r="H122" s="706">
        <v>-304.02173999997899</v>
      </c>
      <c r="I122" s="706">
        <v>-304.02173999997899</v>
      </c>
      <c r="J122" s="706">
        <v>-304.02173999997899</v>
      </c>
      <c r="K122" s="706">
        <v>-304.02173999997899</v>
      </c>
      <c r="L122" s="706">
        <v>-304.02173999997899</v>
      </c>
      <c r="M122" s="706">
        <v>-304.02173999997899</v>
      </c>
      <c r="N122" s="706">
        <v>-304.02173999997899</v>
      </c>
      <c r="O122" s="235">
        <f t="shared" si="2"/>
        <v>-416.54890999998486</v>
      </c>
      <c r="P122" s="706">
        <v>-304.02173999997899</v>
      </c>
      <c r="Q122" s="706">
        <v>-304.02173999997899</v>
      </c>
      <c r="R122" s="706">
        <v>-304.02173999997899</v>
      </c>
      <c r="S122" s="706">
        <v>-304.02173999997899</v>
      </c>
      <c r="T122" s="706">
        <v>-304.02173999997899</v>
      </c>
      <c r="U122" s="706">
        <v>-304.02173999997899</v>
      </c>
      <c r="V122" s="706">
        <v>-304.02173999997899</v>
      </c>
      <c r="W122" s="706">
        <v>-304.02173999997899</v>
      </c>
      <c r="X122" s="706">
        <v>-304.02173999997899</v>
      </c>
      <c r="Y122" s="706">
        <v>-304.02173999997899</v>
      </c>
      <c r="Z122" s="706">
        <v>-304.02173999997899</v>
      </c>
      <c r="AA122" s="706">
        <v>-304.02173999997899</v>
      </c>
      <c r="AB122" s="706">
        <v>-304.02173999997899</v>
      </c>
      <c r="AC122" s="706">
        <v>-304.02173999997899</v>
      </c>
      <c r="AD122" s="706">
        <v>-304.02173999997899</v>
      </c>
      <c r="AE122" s="706">
        <v>-304.02173999997899</v>
      </c>
      <c r="AF122" s="707">
        <f t="shared" si="3"/>
        <v>-304.0217399999791</v>
      </c>
    </row>
    <row r="123" spans="1:33">
      <c r="A123" s="579" t="s">
        <v>1918</v>
      </c>
      <c r="B123" s="706">
        <v>0</v>
      </c>
      <c r="C123" s="706">
        <v>2592.8223199999902</v>
      </c>
      <c r="D123" s="706">
        <v>3424.8079200000002</v>
      </c>
      <c r="E123" s="706">
        <v>481.53505000000001</v>
      </c>
      <c r="F123" s="706">
        <v>753.32533000000001</v>
      </c>
      <c r="G123" s="706">
        <v>1462.6456599999999</v>
      </c>
      <c r="H123" s="706">
        <v>371.63267000000002</v>
      </c>
      <c r="I123" s="706">
        <v>371.63267000000002</v>
      </c>
      <c r="J123" s="706">
        <v>371.63267000000002</v>
      </c>
      <c r="K123" s="706">
        <v>371.63267000000002</v>
      </c>
      <c r="L123" s="706">
        <v>371.63267000000002</v>
      </c>
      <c r="M123" s="706">
        <v>371.63267000000002</v>
      </c>
      <c r="N123" s="706">
        <v>371.63267000000002</v>
      </c>
      <c r="O123" s="235">
        <f t="shared" si="2"/>
        <v>870.50499769230737</v>
      </c>
      <c r="P123" s="706">
        <v>371.63267000000002</v>
      </c>
      <c r="Q123" s="706">
        <v>371.63267000000002</v>
      </c>
      <c r="R123" s="706">
        <v>371.63267000000002</v>
      </c>
      <c r="S123" s="706">
        <v>371.63267000000002</v>
      </c>
      <c r="T123" s="706">
        <v>371.63267000000002</v>
      </c>
      <c r="U123" s="706">
        <v>371.63267000000002</v>
      </c>
      <c r="V123" s="706">
        <v>371.63267000000002</v>
      </c>
      <c r="W123" s="706">
        <v>371.63267000000002</v>
      </c>
      <c r="X123" s="706">
        <v>371.63267000000002</v>
      </c>
      <c r="Y123" s="706">
        <v>371.63267000000002</v>
      </c>
      <c r="Z123" s="706">
        <v>371.63267000000002</v>
      </c>
      <c r="AA123" s="706">
        <v>371.63267000000002</v>
      </c>
      <c r="AB123" s="706">
        <v>371.63267000000002</v>
      </c>
      <c r="AC123" s="706">
        <v>371.63267000000002</v>
      </c>
      <c r="AD123" s="706">
        <v>371.63267000000002</v>
      </c>
      <c r="AE123" s="706">
        <v>371.63267000000002</v>
      </c>
      <c r="AF123" s="707">
        <f t="shared" si="3"/>
        <v>371.63267000000002</v>
      </c>
    </row>
    <row r="124" spans="1:33">
      <c r="A124" s="579" t="s">
        <v>1919</v>
      </c>
      <c r="B124" s="706">
        <v>0</v>
      </c>
      <c r="C124" s="706">
        <v>-153.50695999999999</v>
      </c>
      <c r="D124" s="706">
        <v>-288.89758999999998</v>
      </c>
      <c r="E124" s="706">
        <v>-221.12208999999999</v>
      </c>
      <c r="F124" s="706">
        <v>-444.29534999999998</v>
      </c>
      <c r="G124" s="706">
        <v>-535.11137999999903</v>
      </c>
      <c r="H124" s="706">
        <v>-322.48486999999898</v>
      </c>
      <c r="I124" s="706">
        <v>-322.48486999999898</v>
      </c>
      <c r="J124" s="706">
        <v>-322.48486999999898</v>
      </c>
      <c r="K124" s="706">
        <v>-322.48486999999898</v>
      </c>
      <c r="L124" s="706">
        <v>-322.48486999999898</v>
      </c>
      <c r="M124" s="706">
        <v>-322.48486999999898</v>
      </c>
      <c r="N124" s="706">
        <v>-322.48486999999898</v>
      </c>
      <c r="O124" s="235">
        <f t="shared" si="2"/>
        <v>-300.02518923076855</v>
      </c>
      <c r="P124" s="706">
        <v>-322.48486999999898</v>
      </c>
      <c r="Q124" s="706">
        <v>-322.48486999999898</v>
      </c>
      <c r="R124" s="706">
        <v>-322.48486999999898</v>
      </c>
      <c r="S124" s="706">
        <v>-322.48486999999898</v>
      </c>
      <c r="T124" s="706">
        <v>-322.48486999999898</v>
      </c>
      <c r="U124" s="706">
        <v>-322.48486999999898</v>
      </c>
      <c r="V124" s="706">
        <v>-322.48486999999898</v>
      </c>
      <c r="W124" s="706">
        <v>-322.48486999999898</v>
      </c>
      <c r="X124" s="706">
        <v>-322.48486999999898</v>
      </c>
      <c r="Y124" s="706">
        <v>-322.48486999999898</v>
      </c>
      <c r="Z124" s="706">
        <v>-322.48486999999898</v>
      </c>
      <c r="AA124" s="706">
        <v>-322.48486999999898</v>
      </c>
      <c r="AB124" s="706">
        <v>-322.48486999999898</v>
      </c>
      <c r="AC124" s="706">
        <v>-322.48486999999898</v>
      </c>
      <c r="AD124" s="706">
        <v>-322.48486999999898</v>
      </c>
      <c r="AE124" s="706">
        <v>-322.48486999999898</v>
      </c>
      <c r="AF124" s="707">
        <f t="shared" si="3"/>
        <v>-322.48486999999892</v>
      </c>
    </row>
    <row r="125" spans="1:33">
      <c r="A125" s="579" t="s">
        <v>2225</v>
      </c>
      <c r="B125" s="706">
        <v>0</v>
      </c>
      <c r="C125" s="706">
        <v>0</v>
      </c>
      <c r="D125" s="706">
        <v>0</v>
      </c>
      <c r="E125" s="706">
        <v>0</v>
      </c>
      <c r="F125" s="706">
        <v>0</v>
      </c>
      <c r="G125" s="706">
        <v>0</v>
      </c>
      <c r="H125" s="706">
        <v>0</v>
      </c>
      <c r="I125" s="706">
        <v>0</v>
      </c>
      <c r="J125" s="706">
        <v>0</v>
      </c>
      <c r="K125" s="706">
        <v>0</v>
      </c>
      <c r="L125" s="706">
        <v>0</v>
      </c>
      <c r="M125" s="706">
        <v>0</v>
      </c>
      <c r="N125" s="706">
        <v>0</v>
      </c>
      <c r="O125" s="235">
        <f t="shared" si="2"/>
        <v>0</v>
      </c>
      <c r="P125" s="706">
        <v>0</v>
      </c>
      <c r="Q125" s="706">
        <v>0</v>
      </c>
      <c r="R125" s="706">
        <v>0</v>
      </c>
      <c r="S125" s="706">
        <v>0</v>
      </c>
      <c r="T125" s="706">
        <v>0</v>
      </c>
      <c r="U125" s="706">
        <v>0</v>
      </c>
      <c r="V125" s="706">
        <v>0</v>
      </c>
      <c r="W125" s="706">
        <v>0</v>
      </c>
      <c r="X125" s="706">
        <v>0</v>
      </c>
      <c r="Y125" s="706">
        <v>0</v>
      </c>
      <c r="Z125" s="706">
        <v>0</v>
      </c>
      <c r="AA125" s="706">
        <v>0</v>
      </c>
      <c r="AB125" s="706">
        <v>0</v>
      </c>
      <c r="AC125" s="706">
        <v>0</v>
      </c>
      <c r="AD125" s="706">
        <v>0</v>
      </c>
      <c r="AE125" s="706">
        <v>0</v>
      </c>
      <c r="AF125" s="707">
        <f t="shared" si="3"/>
        <v>0</v>
      </c>
    </row>
    <row r="126" spans="1:33">
      <c r="A126" s="579" t="s">
        <v>2521</v>
      </c>
      <c r="B126" s="706">
        <v>0</v>
      </c>
      <c r="C126" s="706">
        <v>0</v>
      </c>
      <c r="D126" s="706">
        <v>0</v>
      </c>
      <c r="E126" s="706">
        <v>0</v>
      </c>
      <c r="F126" s="706">
        <v>0</v>
      </c>
      <c r="G126" s="706">
        <v>0</v>
      </c>
      <c r="H126" s="706">
        <v>0</v>
      </c>
      <c r="I126" s="706">
        <v>0</v>
      </c>
      <c r="J126" s="706">
        <v>0</v>
      </c>
      <c r="K126" s="706">
        <v>0</v>
      </c>
      <c r="L126" s="706">
        <v>0</v>
      </c>
      <c r="M126" s="706">
        <v>0</v>
      </c>
      <c r="N126" s="706">
        <v>0</v>
      </c>
      <c r="O126" s="235">
        <f t="shared" si="2"/>
        <v>0</v>
      </c>
      <c r="P126" s="706">
        <v>38.941219999998701</v>
      </c>
      <c r="Q126" s="706">
        <v>53.815969999994799</v>
      </c>
      <c r="R126" s="706">
        <v>73.1242299999967</v>
      </c>
      <c r="S126" s="706">
        <v>-26.2348600000036</v>
      </c>
      <c r="T126" s="706">
        <v>-5.37210000000516</v>
      </c>
      <c r="U126" s="706">
        <v>-5.7348800000031996</v>
      </c>
      <c r="V126" s="706">
        <v>15.244299999996599</v>
      </c>
      <c r="W126" s="706">
        <v>36.223479999996201</v>
      </c>
      <c r="X126" s="706">
        <v>57.202659999993998</v>
      </c>
      <c r="Y126" s="706">
        <v>78.147039999994902</v>
      </c>
      <c r="Z126" s="706">
        <v>96.993599999993904</v>
      </c>
      <c r="AA126" s="706">
        <v>115.53693999999599</v>
      </c>
      <c r="AB126" s="706">
        <v>132.17414999999599</v>
      </c>
      <c r="AC126" s="706">
        <v>145.876179999995</v>
      </c>
      <c r="AD126" s="706">
        <v>163.12218999999499</v>
      </c>
      <c r="AE126" s="706">
        <v>70.797959999995996</v>
      </c>
      <c r="AF126" s="707">
        <f t="shared" si="3"/>
        <v>67.228973846149358</v>
      </c>
      <c r="AG126" s="707">
        <f>AF126</f>
        <v>67.228973846149358</v>
      </c>
    </row>
    <row r="127" spans="1:33">
      <c r="A127" s="579" t="s">
        <v>1920</v>
      </c>
      <c r="B127" s="706">
        <v>32786.648260000002</v>
      </c>
      <c r="C127" s="706">
        <v>32866.806429999997</v>
      </c>
      <c r="D127" s="706">
        <v>33065.273529999999</v>
      </c>
      <c r="E127" s="706">
        <v>33141.526819999999</v>
      </c>
      <c r="F127" s="706">
        <v>33281.120110000003</v>
      </c>
      <c r="G127" s="706">
        <v>33442.024230000003</v>
      </c>
      <c r="H127" s="706">
        <v>33607.342320000003</v>
      </c>
      <c r="I127" s="706">
        <v>33739.217779999999</v>
      </c>
      <c r="J127" s="706">
        <v>33871.093240000002</v>
      </c>
      <c r="K127" s="706">
        <v>34002.968699999998</v>
      </c>
      <c r="L127" s="706">
        <v>34134.844160000001</v>
      </c>
      <c r="M127" s="706">
        <v>34266.719620000003</v>
      </c>
      <c r="N127" s="706">
        <v>34398.595079999999</v>
      </c>
      <c r="O127" s="235">
        <f t="shared" si="2"/>
        <v>33584.93694461538</v>
      </c>
      <c r="P127" s="706">
        <v>34541.432589999997</v>
      </c>
      <c r="Q127" s="706">
        <v>34684.270100000002</v>
      </c>
      <c r="R127" s="706">
        <v>34827.107609999999</v>
      </c>
      <c r="S127" s="706">
        <v>34969.945119999997</v>
      </c>
      <c r="T127" s="706">
        <v>35112.782630000002</v>
      </c>
      <c r="U127" s="706">
        <v>35255.620139999999</v>
      </c>
      <c r="V127" s="706">
        <v>35398.457649999997</v>
      </c>
      <c r="W127" s="706">
        <v>35541.295160000001</v>
      </c>
      <c r="X127" s="706">
        <v>35684.132669999999</v>
      </c>
      <c r="Y127" s="706">
        <v>35826.970179999997</v>
      </c>
      <c r="Z127" s="706">
        <v>35969.8076899999</v>
      </c>
      <c r="AA127" s="706">
        <v>36112.645199999897</v>
      </c>
      <c r="AB127" s="706">
        <v>36258.339459999901</v>
      </c>
      <c r="AC127" s="706">
        <v>36404.033719999898</v>
      </c>
      <c r="AD127" s="706">
        <v>36549.727979999901</v>
      </c>
      <c r="AE127" s="706">
        <v>36695.422239999898</v>
      </c>
      <c r="AF127" s="707">
        <f t="shared" si="3"/>
        <v>35829.167679999955</v>
      </c>
    </row>
    <row r="128" spans="1:33">
      <c r="A128" s="579" t="s">
        <v>1921</v>
      </c>
      <c r="B128" s="706">
        <v>12160.265299999999</v>
      </c>
      <c r="C128" s="706">
        <v>12927.311799999999</v>
      </c>
      <c r="D128" s="706">
        <v>13379.6012999999</v>
      </c>
      <c r="E128" s="706">
        <v>14014.7890799999</v>
      </c>
      <c r="F128" s="706">
        <v>14720.433129999999</v>
      </c>
      <c r="G128" s="706">
        <v>15304.19477</v>
      </c>
      <c r="H128" s="706">
        <v>15642.33473</v>
      </c>
      <c r="I128" s="706">
        <v>16221.329082234</v>
      </c>
      <c r="J128" s="706">
        <v>16796.946914468099</v>
      </c>
      <c r="K128" s="706">
        <v>17275.541469210599</v>
      </c>
      <c r="L128" s="706">
        <v>17516.080157589</v>
      </c>
      <c r="M128" s="706">
        <v>17974.5289606355</v>
      </c>
      <c r="N128" s="706">
        <v>18438.962812869599</v>
      </c>
      <c r="O128" s="235">
        <f t="shared" si="2"/>
        <v>15567.101500538971</v>
      </c>
      <c r="P128" s="706">
        <v>19167.517491804101</v>
      </c>
      <c r="Q128" s="706">
        <v>25654.788671151098</v>
      </c>
      <c r="R128" s="706">
        <v>24339.1844840378</v>
      </c>
      <c r="S128" s="706">
        <v>19321.838131558001</v>
      </c>
      <c r="T128" s="706">
        <v>18438.773839013102</v>
      </c>
      <c r="U128" s="706">
        <v>18911.701378059701</v>
      </c>
      <c r="V128" s="706">
        <v>19412.748808189699</v>
      </c>
      <c r="W128" s="706">
        <v>19926.2599872994</v>
      </c>
      <c r="X128" s="706">
        <v>20341.9091133691</v>
      </c>
      <c r="Y128" s="706">
        <v>20749.0579412228</v>
      </c>
      <c r="Z128" s="706">
        <v>21286.986398069301</v>
      </c>
      <c r="AA128" s="706">
        <v>21760.183379903399</v>
      </c>
      <c r="AB128" s="706">
        <v>22508.078497288101</v>
      </c>
      <c r="AC128" s="706">
        <v>22827.901119196998</v>
      </c>
      <c r="AD128" s="706">
        <v>8275.9847449352401</v>
      </c>
      <c r="AE128" s="706">
        <v>4757.5091288919903</v>
      </c>
      <c r="AF128" s="707">
        <f t="shared" si="3"/>
        <v>18347.610189768988</v>
      </c>
    </row>
    <row r="129" spans="1:32" ht="15.75" thickBot="1">
      <c r="A129" s="579" t="s">
        <v>2226</v>
      </c>
      <c r="B129" s="711">
        <v>1286.6089899999999</v>
      </c>
      <c r="C129" s="711">
        <v>1260.35166</v>
      </c>
      <c r="D129" s="711">
        <v>1234.0943299999999</v>
      </c>
      <c r="E129" s="711">
        <v>1207.837</v>
      </c>
      <c r="F129" s="711">
        <v>1181.5796700000001</v>
      </c>
      <c r="G129" s="711">
        <v>1155.3223399999999</v>
      </c>
      <c r="H129" s="711">
        <v>1129.06501</v>
      </c>
      <c r="I129" s="711">
        <v>1102.8524500000001</v>
      </c>
      <c r="J129" s="711">
        <v>1076.6398899999999</v>
      </c>
      <c r="K129" s="711">
        <v>1050.42733</v>
      </c>
      <c r="L129" s="711">
        <v>1024.21477</v>
      </c>
      <c r="M129" s="711">
        <v>998.00220999999999</v>
      </c>
      <c r="N129" s="711">
        <v>971.78965000000005</v>
      </c>
      <c r="O129" s="235">
        <f t="shared" si="2"/>
        <v>1129.1373307692311</v>
      </c>
      <c r="P129" s="711">
        <v>945.57709</v>
      </c>
      <c r="Q129" s="711">
        <v>919.36452999999995</v>
      </c>
      <c r="R129" s="711">
        <v>893.15197000000001</v>
      </c>
      <c r="S129" s="711">
        <v>866.93940999999995</v>
      </c>
      <c r="T129" s="711">
        <v>840.72684999999899</v>
      </c>
      <c r="U129" s="711">
        <v>814.51428999999905</v>
      </c>
      <c r="V129" s="711">
        <v>788.301729999999</v>
      </c>
      <c r="W129" s="711">
        <v>762.08916999999894</v>
      </c>
      <c r="X129" s="711">
        <v>735.876609999999</v>
      </c>
      <c r="Y129" s="711">
        <v>709.66404999999895</v>
      </c>
      <c r="Z129" s="711">
        <v>683.45148999999901</v>
      </c>
      <c r="AA129" s="711">
        <v>657.23892999999896</v>
      </c>
      <c r="AB129" s="711">
        <v>631.02636999999902</v>
      </c>
      <c r="AC129" s="711">
        <v>604.81380999999897</v>
      </c>
      <c r="AD129" s="711">
        <v>578.60124999999903</v>
      </c>
      <c r="AE129" s="711">
        <v>552.38868999999897</v>
      </c>
      <c r="AF129" s="707">
        <f t="shared" si="3"/>
        <v>709.66404999999918</v>
      </c>
    </row>
    <row r="130" spans="1:32">
      <c r="A130" s="579" t="s">
        <v>1912</v>
      </c>
      <c r="B130" s="706">
        <v>51082.34923</v>
      </c>
      <c r="C130" s="706">
        <v>51731.449829999998</v>
      </c>
      <c r="D130" s="706">
        <v>52059.042739999997</v>
      </c>
      <c r="E130" s="706">
        <v>54743.127209999897</v>
      </c>
      <c r="F130" s="706">
        <v>53511.642849999997</v>
      </c>
      <c r="G130" s="706">
        <v>54210.587160000003</v>
      </c>
      <c r="H130" s="706">
        <v>58622.067190000002</v>
      </c>
      <c r="I130" s="706">
        <v>59306.724442234001</v>
      </c>
      <c r="J130" s="706">
        <v>59988.005174468097</v>
      </c>
      <c r="K130" s="706">
        <v>60572.2626292106</v>
      </c>
      <c r="L130" s="706">
        <v>60918.464217588997</v>
      </c>
      <c r="M130" s="706">
        <v>61482.575920635602</v>
      </c>
      <c r="N130" s="706">
        <v>62052.672672869601</v>
      </c>
      <c r="O130" s="235">
        <f t="shared" si="2"/>
        <v>56944.690097462066</v>
      </c>
      <c r="P130" s="706">
        <v>62936.793521804102</v>
      </c>
      <c r="Q130" s="706">
        <v>69555.564401151103</v>
      </c>
      <c r="R130" s="706">
        <v>68375.8934240378</v>
      </c>
      <c r="S130" s="706">
        <v>63375.812931558001</v>
      </c>
      <c r="T130" s="706">
        <v>62630.236349013197</v>
      </c>
      <c r="U130" s="706">
        <v>63219.426058059697</v>
      </c>
      <c r="V130" s="706">
        <v>63858.077618189804</v>
      </c>
      <c r="W130" s="706">
        <v>64509.192927299402</v>
      </c>
      <c r="X130" s="706">
        <v>65062.446183369102</v>
      </c>
      <c r="Y130" s="706">
        <v>65607.1643412228</v>
      </c>
      <c r="Z130" s="706">
        <v>66280.564308069297</v>
      </c>
      <c r="AA130" s="706">
        <v>66888.929579903401</v>
      </c>
      <c r="AB130" s="706">
        <v>67772.943607288107</v>
      </c>
      <c r="AC130" s="706">
        <v>68225.949959196994</v>
      </c>
      <c r="AD130" s="706">
        <v>53810.761294935197</v>
      </c>
      <c r="AE130" s="706">
        <v>50319.4431488919</v>
      </c>
      <c r="AF130" s="707">
        <f t="shared" si="3"/>
        <v>63196.996023615138</v>
      </c>
    </row>
    <row r="131" spans="1:32">
      <c r="A131" s="579"/>
      <c r="B131" s="708"/>
      <c r="C131" s="708"/>
      <c r="D131" s="708"/>
      <c r="E131" s="708"/>
      <c r="F131" s="708"/>
      <c r="G131" s="708"/>
      <c r="H131" s="708"/>
      <c r="I131" s="708"/>
      <c r="J131" s="708"/>
      <c r="K131" s="708"/>
      <c r="L131" s="708"/>
      <c r="M131" s="708"/>
      <c r="N131" s="708"/>
      <c r="O131" s="235">
        <f t="shared" si="2"/>
        <v>0</v>
      </c>
      <c r="P131" s="708"/>
      <c r="Q131" s="708"/>
      <c r="R131" s="708"/>
      <c r="S131" s="708"/>
      <c r="T131" s="708"/>
      <c r="U131" s="708"/>
      <c r="V131" s="708"/>
      <c r="W131" s="708"/>
      <c r="X131" s="708"/>
      <c r="Y131" s="708"/>
      <c r="Z131" s="708"/>
      <c r="AA131" s="708"/>
      <c r="AB131" s="708"/>
      <c r="AC131" s="708"/>
      <c r="AD131" s="708"/>
      <c r="AE131" s="708"/>
      <c r="AF131" s="707">
        <f t="shared" si="3"/>
        <v>0</v>
      </c>
    </row>
    <row r="132" spans="1:32">
      <c r="A132" s="579"/>
      <c r="B132" s="708"/>
      <c r="C132" s="708"/>
      <c r="D132" s="708"/>
      <c r="E132" s="708"/>
      <c r="F132" s="708"/>
      <c r="G132" s="708"/>
      <c r="H132" s="708"/>
      <c r="I132" s="708"/>
      <c r="J132" s="708"/>
      <c r="K132" s="708"/>
      <c r="L132" s="708"/>
      <c r="M132" s="708"/>
      <c r="N132" s="708"/>
      <c r="O132" s="235">
        <f t="shared" si="2"/>
        <v>0</v>
      </c>
      <c r="P132" s="708"/>
      <c r="Q132" s="708"/>
      <c r="R132" s="708"/>
      <c r="S132" s="708"/>
      <c r="T132" s="708"/>
      <c r="U132" s="708"/>
      <c r="V132" s="708"/>
      <c r="W132" s="708"/>
      <c r="X132" s="708"/>
      <c r="Y132" s="708"/>
      <c r="Z132" s="708"/>
      <c r="AA132" s="708"/>
      <c r="AB132" s="708"/>
      <c r="AC132" s="708"/>
      <c r="AD132" s="708"/>
      <c r="AE132" s="708"/>
      <c r="AF132" s="707">
        <f t="shared" si="3"/>
        <v>0</v>
      </c>
    </row>
    <row r="133" spans="1:32" ht="15.75" thickBot="1">
      <c r="A133" s="712" t="s">
        <v>1922</v>
      </c>
      <c r="B133" s="713">
        <v>857282.31470999995</v>
      </c>
      <c r="C133" s="713">
        <v>860185.090499999</v>
      </c>
      <c r="D133" s="713">
        <v>858684.29857999994</v>
      </c>
      <c r="E133" s="713">
        <v>857611.46024000004</v>
      </c>
      <c r="F133" s="713">
        <v>857913.90002999897</v>
      </c>
      <c r="G133" s="713">
        <v>858597.10149999999</v>
      </c>
      <c r="H133" s="713">
        <v>845799.49205999996</v>
      </c>
      <c r="I133" s="713">
        <v>846750.42781818099</v>
      </c>
      <c r="J133" s="713">
        <v>847831.49889514002</v>
      </c>
      <c r="K133" s="713">
        <v>851130.559281072</v>
      </c>
      <c r="L133" s="713">
        <v>854492.58053312101</v>
      </c>
      <c r="M133" s="713">
        <v>859347.01975022606</v>
      </c>
      <c r="N133" s="713">
        <v>860243.53135727602</v>
      </c>
      <c r="O133" s="235">
        <f t="shared" si="2"/>
        <v>855066.86732730875</v>
      </c>
      <c r="P133" s="713">
        <v>861550.41223563801</v>
      </c>
      <c r="Q133" s="713">
        <v>867927.87193580298</v>
      </c>
      <c r="R133" s="713">
        <v>866406.25757637003</v>
      </c>
      <c r="S133" s="713">
        <v>861657.93005016097</v>
      </c>
      <c r="T133" s="713">
        <v>864280.37901784806</v>
      </c>
      <c r="U133" s="713">
        <v>865094.06303721201</v>
      </c>
      <c r="V133" s="713">
        <v>865899.93336310599</v>
      </c>
      <c r="W133" s="713">
        <v>866701.50990350405</v>
      </c>
      <c r="X133" s="713">
        <v>868041.20008196798</v>
      </c>
      <c r="Y133" s="713">
        <v>871183.75630884303</v>
      </c>
      <c r="Z133" s="713">
        <v>879117.94480459206</v>
      </c>
      <c r="AA133" s="713">
        <v>879829.07026068005</v>
      </c>
      <c r="AB133" s="713">
        <v>880322.29389318696</v>
      </c>
      <c r="AC133" s="713">
        <v>881221.32414018596</v>
      </c>
      <c r="AD133" s="713">
        <v>873902.15540279995</v>
      </c>
      <c r="AE133" s="713">
        <v>871705.34960137994</v>
      </c>
      <c r="AF133" s="707">
        <f t="shared" si="3"/>
        <v>871458.22383580531</v>
      </c>
    </row>
    <row r="134" spans="1:32">
      <c r="A134" s="579"/>
      <c r="O134" s="235">
        <f t="shared" si="2"/>
        <v>0</v>
      </c>
      <c r="AF134" s="707">
        <f t="shared" si="3"/>
        <v>0</v>
      </c>
    </row>
    <row r="135" spans="1:32" ht="15.75" thickBot="1">
      <c r="A135" s="712" t="s">
        <v>1923</v>
      </c>
      <c r="B135" s="713">
        <v>7644717.1195599996</v>
      </c>
      <c r="C135" s="713">
        <v>7695286.5709100002</v>
      </c>
      <c r="D135" s="713">
        <v>7669947.7298400002</v>
      </c>
      <c r="E135" s="713">
        <v>7663744.5751</v>
      </c>
      <c r="F135" s="713">
        <v>7687644.21651999</v>
      </c>
      <c r="G135" s="713">
        <v>7713110.8547599996</v>
      </c>
      <c r="H135" s="713">
        <v>7724823.05249999</v>
      </c>
      <c r="I135" s="713">
        <v>7760858.5973720998</v>
      </c>
      <c r="J135" s="713">
        <v>7804815.21814432</v>
      </c>
      <c r="K135" s="713">
        <v>7812126.1718485104</v>
      </c>
      <c r="L135" s="713">
        <v>7844714.3928427799</v>
      </c>
      <c r="M135" s="713">
        <v>7884178.2450090898</v>
      </c>
      <c r="N135" s="713">
        <v>7934422.9276092099</v>
      </c>
      <c r="O135" s="235">
        <f t="shared" si="2"/>
        <v>7756953.0516935373</v>
      </c>
      <c r="P135" s="713">
        <v>7999536.4668814996</v>
      </c>
      <c r="Q135" s="713">
        <v>7997103.7819261802</v>
      </c>
      <c r="R135" s="713">
        <v>8009228.9898250401</v>
      </c>
      <c r="S135" s="713">
        <v>8027030.1608814904</v>
      </c>
      <c r="T135" s="713">
        <v>8044088.0040073702</v>
      </c>
      <c r="U135" s="713">
        <v>8067626.7175177103</v>
      </c>
      <c r="V135" s="713">
        <v>8096438.8808321096</v>
      </c>
      <c r="W135" s="713">
        <v>8123298.5482206196</v>
      </c>
      <c r="X135" s="713">
        <v>8103515.3299277499</v>
      </c>
      <c r="Y135" s="713">
        <v>8116324.0179276997</v>
      </c>
      <c r="Z135" s="713">
        <v>8153567.6561472798</v>
      </c>
      <c r="AA135" s="713">
        <v>8177291.7445086101</v>
      </c>
      <c r="AB135" s="713">
        <v>8196921.7482749503</v>
      </c>
      <c r="AC135" s="713">
        <v>8178149.8850830002</v>
      </c>
      <c r="AD135" s="713">
        <v>8190583.1654758696</v>
      </c>
      <c r="AE135" s="713">
        <v>8203075.0464959303</v>
      </c>
      <c r="AF135" s="707">
        <f t="shared" si="3"/>
        <v>8129070.0696384925</v>
      </c>
    </row>
    <row r="136" spans="1:32">
      <c r="A136" s="579"/>
      <c r="O136" s="235">
        <f t="shared" si="2"/>
        <v>0</v>
      </c>
      <c r="AF136" s="707">
        <f t="shared" si="3"/>
        <v>0</v>
      </c>
    </row>
    <row r="137" spans="1:32">
      <c r="A137" s="712" t="s">
        <v>1924</v>
      </c>
      <c r="O137" s="235">
        <f t="shared" si="2"/>
        <v>0</v>
      </c>
      <c r="AF137" s="707">
        <f t="shared" si="3"/>
        <v>0</v>
      </c>
    </row>
    <row r="138" spans="1:32">
      <c r="A138" s="579"/>
      <c r="O138" s="235">
        <f t="shared" si="2"/>
        <v>0</v>
      </c>
      <c r="AF138" s="707">
        <f t="shared" si="3"/>
        <v>0</v>
      </c>
    </row>
    <row r="139" spans="1:32">
      <c r="A139" s="712" t="s">
        <v>1446</v>
      </c>
      <c r="B139" s="708"/>
      <c r="C139" s="708"/>
      <c r="D139" s="708"/>
      <c r="E139" s="708"/>
      <c r="F139" s="708"/>
      <c r="G139" s="708"/>
      <c r="H139" s="708"/>
      <c r="I139" s="708"/>
      <c r="J139" s="708"/>
      <c r="K139" s="708"/>
      <c r="L139" s="708"/>
      <c r="M139" s="708"/>
      <c r="N139" s="708"/>
      <c r="O139" s="235">
        <f t="shared" ref="O139:O202" si="4">SUM(B139:N139)/13</f>
        <v>0</v>
      </c>
      <c r="P139" s="708"/>
      <c r="Q139" s="708"/>
      <c r="R139" s="708"/>
      <c r="S139" s="708"/>
      <c r="T139" s="708"/>
      <c r="U139" s="708"/>
      <c r="V139" s="708"/>
      <c r="W139" s="708"/>
      <c r="X139" s="708"/>
      <c r="Y139" s="708"/>
      <c r="Z139" s="708"/>
      <c r="AA139" s="708"/>
      <c r="AB139" s="708"/>
      <c r="AC139" s="708"/>
      <c r="AD139" s="708"/>
      <c r="AE139" s="708"/>
      <c r="AF139" s="707">
        <f t="shared" ref="AF139:AF202" si="5">SUM(S139:AE139)/13</f>
        <v>0</v>
      </c>
    </row>
    <row r="140" spans="1:32">
      <c r="A140" s="579" t="s">
        <v>1925</v>
      </c>
      <c r="B140" s="708"/>
      <c r="C140" s="708"/>
      <c r="D140" s="708"/>
      <c r="E140" s="708"/>
      <c r="F140" s="708"/>
      <c r="G140" s="708"/>
      <c r="H140" s="708"/>
      <c r="I140" s="708"/>
      <c r="J140" s="708"/>
      <c r="K140" s="708"/>
      <c r="L140" s="708"/>
      <c r="M140" s="708"/>
      <c r="N140" s="708"/>
      <c r="O140" s="235">
        <f t="shared" si="4"/>
        <v>0</v>
      </c>
      <c r="P140" s="708"/>
      <c r="Q140" s="708"/>
      <c r="R140" s="708"/>
      <c r="S140" s="708"/>
      <c r="T140" s="708"/>
      <c r="U140" s="708"/>
      <c r="V140" s="708"/>
      <c r="W140" s="708"/>
      <c r="X140" s="708"/>
      <c r="Y140" s="708"/>
      <c r="Z140" s="708"/>
      <c r="AA140" s="708"/>
      <c r="AB140" s="708"/>
      <c r="AC140" s="708"/>
      <c r="AD140" s="708"/>
      <c r="AE140" s="708"/>
      <c r="AF140" s="707">
        <f t="shared" si="5"/>
        <v>0</v>
      </c>
    </row>
    <row r="141" spans="1:32" ht="15.75" thickBot="1">
      <c r="A141" s="579" t="s">
        <v>1926</v>
      </c>
      <c r="B141" s="711">
        <v>308139.97756000003</v>
      </c>
      <c r="C141" s="711">
        <v>308139.97756000003</v>
      </c>
      <c r="D141" s="711">
        <v>308139.97756000003</v>
      </c>
      <c r="E141" s="711">
        <v>308139.97756000003</v>
      </c>
      <c r="F141" s="711">
        <v>308139.97756000003</v>
      </c>
      <c r="G141" s="711">
        <v>308139.97756000003</v>
      </c>
      <c r="H141" s="711">
        <v>308139.97756000003</v>
      </c>
      <c r="I141" s="711">
        <v>308139.97756000003</v>
      </c>
      <c r="J141" s="711">
        <v>308139.97756000003</v>
      </c>
      <c r="K141" s="711">
        <v>308139.97756000003</v>
      </c>
      <c r="L141" s="711">
        <v>308139.97756000003</v>
      </c>
      <c r="M141" s="711">
        <v>308139.97756000003</v>
      </c>
      <c r="N141" s="711">
        <v>308139.97756000003</v>
      </c>
      <c r="O141" s="235">
        <f t="shared" si="4"/>
        <v>308139.97756000003</v>
      </c>
      <c r="P141" s="711">
        <v>308139.97756000003</v>
      </c>
      <c r="Q141" s="711">
        <v>308139.97756000003</v>
      </c>
      <c r="R141" s="711">
        <v>308139.97756000003</v>
      </c>
      <c r="S141" s="711">
        <v>308139.97756000003</v>
      </c>
      <c r="T141" s="711">
        <v>308139.97756000003</v>
      </c>
      <c r="U141" s="711">
        <v>308139.97756000003</v>
      </c>
      <c r="V141" s="711">
        <v>308139.97756000003</v>
      </c>
      <c r="W141" s="711">
        <v>308139.97756000003</v>
      </c>
      <c r="X141" s="711">
        <v>308139.97756000003</v>
      </c>
      <c r="Y141" s="711">
        <v>308139.97756000003</v>
      </c>
      <c r="Z141" s="711">
        <v>308139.97756000003</v>
      </c>
      <c r="AA141" s="711">
        <v>308139.97756000003</v>
      </c>
      <c r="AB141" s="711">
        <v>308139.97756000003</v>
      </c>
      <c r="AC141" s="711">
        <v>308139.97756000003</v>
      </c>
      <c r="AD141" s="711">
        <v>308139.97756000003</v>
      </c>
      <c r="AE141" s="711">
        <v>308139.97756000003</v>
      </c>
      <c r="AF141" s="707">
        <f t="shared" si="5"/>
        <v>308139.97756000003</v>
      </c>
    </row>
    <row r="142" spans="1:32">
      <c r="A142" s="579" t="s">
        <v>1927</v>
      </c>
      <c r="B142" s="706">
        <v>308139.97756000003</v>
      </c>
      <c r="C142" s="706">
        <v>308139.97756000003</v>
      </c>
      <c r="D142" s="706">
        <v>308139.97756000003</v>
      </c>
      <c r="E142" s="706">
        <v>308139.97756000003</v>
      </c>
      <c r="F142" s="706">
        <v>308139.97756000003</v>
      </c>
      <c r="G142" s="706">
        <v>308139.97756000003</v>
      </c>
      <c r="H142" s="706">
        <v>308139.97756000003</v>
      </c>
      <c r="I142" s="706">
        <v>308139.97756000003</v>
      </c>
      <c r="J142" s="706">
        <v>308139.97756000003</v>
      </c>
      <c r="K142" s="706">
        <v>308139.97756000003</v>
      </c>
      <c r="L142" s="706">
        <v>308139.97756000003</v>
      </c>
      <c r="M142" s="706">
        <v>308139.97756000003</v>
      </c>
      <c r="N142" s="706">
        <v>308139.97756000003</v>
      </c>
      <c r="O142" s="235">
        <f t="shared" si="4"/>
        <v>308139.97756000003</v>
      </c>
      <c r="P142" s="706">
        <v>308139.97756000003</v>
      </c>
      <c r="Q142" s="706">
        <v>308139.97756000003</v>
      </c>
      <c r="R142" s="706">
        <v>308139.97756000003</v>
      </c>
      <c r="S142" s="706">
        <v>308139.97756000003</v>
      </c>
      <c r="T142" s="706">
        <v>308139.97756000003</v>
      </c>
      <c r="U142" s="706">
        <v>308139.97756000003</v>
      </c>
      <c r="V142" s="706">
        <v>308139.97756000003</v>
      </c>
      <c r="W142" s="706">
        <v>308139.97756000003</v>
      </c>
      <c r="X142" s="706">
        <v>308139.97756000003</v>
      </c>
      <c r="Y142" s="706">
        <v>308139.97756000003</v>
      </c>
      <c r="Z142" s="706">
        <v>308139.97756000003</v>
      </c>
      <c r="AA142" s="706">
        <v>308139.97756000003</v>
      </c>
      <c r="AB142" s="706">
        <v>308139.97756000003</v>
      </c>
      <c r="AC142" s="706">
        <v>308139.97756000003</v>
      </c>
      <c r="AD142" s="706">
        <v>308139.97756000003</v>
      </c>
      <c r="AE142" s="706">
        <v>308139.97756000003</v>
      </c>
      <c r="AF142" s="707">
        <f t="shared" si="5"/>
        <v>308139.97756000003</v>
      </c>
    </row>
    <row r="143" spans="1:32">
      <c r="A143" s="579"/>
      <c r="B143" s="708"/>
      <c r="C143" s="708"/>
      <c r="D143" s="708"/>
      <c r="E143" s="708"/>
      <c r="F143" s="708"/>
      <c r="G143" s="708"/>
      <c r="H143" s="708"/>
      <c r="I143" s="708"/>
      <c r="J143" s="708"/>
      <c r="K143" s="708"/>
      <c r="L143" s="708"/>
      <c r="M143" s="708"/>
      <c r="N143" s="708"/>
      <c r="O143" s="235">
        <f t="shared" si="4"/>
        <v>0</v>
      </c>
      <c r="P143" s="708"/>
      <c r="Q143" s="708"/>
      <c r="R143" s="708"/>
      <c r="S143" s="708"/>
      <c r="T143" s="708"/>
      <c r="U143" s="708"/>
      <c r="V143" s="708"/>
      <c r="W143" s="708"/>
      <c r="X143" s="708"/>
      <c r="Y143" s="708"/>
      <c r="Z143" s="708"/>
      <c r="AA143" s="708"/>
      <c r="AB143" s="708"/>
      <c r="AC143" s="708"/>
      <c r="AD143" s="708"/>
      <c r="AE143" s="708"/>
      <c r="AF143" s="707">
        <f t="shared" si="5"/>
        <v>0</v>
      </c>
    </row>
    <row r="144" spans="1:32">
      <c r="A144" s="579" t="s">
        <v>1928</v>
      </c>
      <c r="B144" s="708"/>
      <c r="C144" s="708"/>
      <c r="D144" s="708"/>
      <c r="E144" s="708"/>
      <c r="F144" s="708"/>
      <c r="G144" s="708"/>
      <c r="H144" s="708"/>
      <c r="I144" s="708"/>
      <c r="J144" s="708"/>
      <c r="K144" s="708"/>
      <c r="L144" s="708"/>
      <c r="M144" s="708"/>
      <c r="N144" s="708"/>
      <c r="O144" s="235">
        <f t="shared" si="4"/>
        <v>0</v>
      </c>
      <c r="P144" s="708"/>
      <c r="Q144" s="708"/>
      <c r="R144" s="708"/>
      <c r="S144" s="708"/>
      <c r="T144" s="708"/>
      <c r="U144" s="708"/>
      <c r="V144" s="708"/>
      <c r="W144" s="708"/>
      <c r="X144" s="708"/>
      <c r="Y144" s="708"/>
      <c r="Z144" s="708"/>
      <c r="AA144" s="708"/>
      <c r="AB144" s="708"/>
      <c r="AC144" s="708"/>
      <c r="AD144" s="708"/>
      <c r="AE144" s="708"/>
      <c r="AF144" s="707">
        <f t="shared" si="5"/>
        <v>0</v>
      </c>
    </row>
    <row r="145" spans="1:32" ht="15.75" thickBot="1">
      <c r="A145" s="579" t="s">
        <v>1929</v>
      </c>
      <c r="B145" s="711">
        <v>-321.28886999999997</v>
      </c>
      <c r="C145" s="711">
        <v>-321.28886999999997</v>
      </c>
      <c r="D145" s="711">
        <v>-321.28886999999997</v>
      </c>
      <c r="E145" s="711">
        <v>-321.28886999999997</v>
      </c>
      <c r="F145" s="711">
        <v>-321.28886999999997</v>
      </c>
      <c r="G145" s="711">
        <v>-321.28886999999997</v>
      </c>
      <c r="H145" s="711">
        <v>-321.28886999999997</v>
      </c>
      <c r="I145" s="711">
        <v>-321.28886999999997</v>
      </c>
      <c r="J145" s="711">
        <v>-321.28886999999997</v>
      </c>
      <c r="K145" s="711">
        <v>-321.28886999999997</v>
      </c>
      <c r="L145" s="711">
        <v>-321.28886999999997</v>
      </c>
      <c r="M145" s="711">
        <v>-321.28886999999997</v>
      </c>
      <c r="N145" s="711">
        <v>-321.28886999999997</v>
      </c>
      <c r="O145" s="235">
        <f t="shared" si="4"/>
        <v>-321.28886999999992</v>
      </c>
      <c r="P145" s="711">
        <v>-321.28886999999997</v>
      </c>
      <c r="Q145" s="711">
        <v>-321.28886999999997</v>
      </c>
      <c r="R145" s="711">
        <v>-321.28886999999997</v>
      </c>
      <c r="S145" s="711">
        <v>-321.28886999999997</v>
      </c>
      <c r="T145" s="711">
        <v>-321.28886999999997</v>
      </c>
      <c r="U145" s="711">
        <v>-321.28886999999997</v>
      </c>
      <c r="V145" s="711">
        <v>-321.28886999999997</v>
      </c>
      <c r="W145" s="711">
        <v>-321.28886999999997</v>
      </c>
      <c r="X145" s="711">
        <v>-321.28886999999997</v>
      </c>
      <c r="Y145" s="711">
        <v>-321.28886999999997</v>
      </c>
      <c r="Z145" s="711">
        <v>-321.28886999999997</v>
      </c>
      <c r="AA145" s="711">
        <v>-321.28886999999997</v>
      </c>
      <c r="AB145" s="711">
        <v>-321.28886999999997</v>
      </c>
      <c r="AC145" s="711">
        <v>-321.28886999999997</v>
      </c>
      <c r="AD145" s="711">
        <v>-321.28886999999997</v>
      </c>
      <c r="AE145" s="711">
        <v>-321.28886999999997</v>
      </c>
      <c r="AF145" s="707">
        <f t="shared" si="5"/>
        <v>-321.28886999999992</v>
      </c>
    </row>
    <row r="146" spans="1:32">
      <c r="A146" s="579" t="s">
        <v>1930</v>
      </c>
      <c r="B146" s="706">
        <v>-321.28886999999997</v>
      </c>
      <c r="C146" s="706">
        <v>-321.28886999999997</v>
      </c>
      <c r="D146" s="706">
        <v>-321.28886999999997</v>
      </c>
      <c r="E146" s="706">
        <v>-321.28886999999997</v>
      </c>
      <c r="F146" s="706">
        <v>-321.28886999999997</v>
      </c>
      <c r="G146" s="706">
        <v>-321.28886999999997</v>
      </c>
      <c r="H146" s="706">
        <v>-321.28886999999997</v>
      </c>
      <c r="I146" s="706">
        <v>-321.28886999999997</v>
      </c>
      <c r="J146" s="706">
        <v>-321.28886999999997</v>
      </c>
      <c r="K146" s="706">
        <v>-321.28886999999997</v>
      </c>
      <c r="L146" s="706">
        <v>-321.28886999999997</v>
      </c>
      <c r="M146" s="706">
        <v>-321.28886999999997</v>
      </c>
      <c r="N146" s="706">
        <v>-321.28886999999997</v>
      </c>
      <c r="O146" s="235">
        <f t="shared" si="4"/>
        <v>-321.28886999999992</v>
      </c>
      <c r="P146" s="706">
        <v>-321.28886999999997</v>
      </c>
      <c r="Q146" s="706">
        <v>-321.28886999999997</v>
      </c>
      <c r="R146" s="706">
        <v>-321.28886999999997</v>
      </c>
      <c r="S146" s="706">
        <v>-321.28886999999997</v>
      </c>
      <c r="T146" s="706">
        <v>-321.28886999999997</v>
      </c>
      <c r="U146" s="706">
        <v>-321.28886999999997</v>
      </c>
      <c r="V146" s="706">
        <v>-321.28886999999997</v>
      </c>
      <c r="W146" s="706">
        <v>-321.28886999999997</v>
      </c>
      <c r="X146" s="706">
        <v>-321.28886999999997</v>
      </c>
      <c r="Y146" s="706">
        <v>-321.28886999999997</v>
      </c>
      <c r="Z146" s="706">
        <v>-321.28886999999997</v>
      </c>
      <c r="AA146" s="706">
        <v>-321.28886999999997</v>
      </c>
      <c r="AB146" s="706">
        <v>-321.28886999999997</v>
      </c>
      <c r="AC146" s="706">
        <v>-321.28886999999997</v>
      </c>
      <c r="AD146" s="706">
        <v>-321.28886999999997</v>
      </c>
      <c r="AE146" s="706">
        <v>-321.28886999999997</v>
      </c>
      <c r="AF146" s="707">
        <f t="shared" si="5"/>
        <v>-321.28886999999992</v>
      </c>
    </row>
    <row r="147" spans="1:32">
      <c r="A147" s="579"/>
      <c r="B147" s="708"/>
      <c r="C147" s="708"/>
      <c r="D147" s="708"/>
      <c r="E147" s="708"/>
      <c r="F147" s="708"/>
      <c r="G147" s="708"/>
      <c r="H147" s="708"/>
      <c r="I147" s="708"/>
      <c r="J147" s="708"/>
      <c r="K147" s="708"/>
      <c r="L147" s="708"/>
      <c r="M147" s="708"/>
      <c r="N147" s="708"/>
      <c r="O147" s="235">
        <f t="shared" si="4"/>
        <v>0</v>
      </c>
      <c r="P147" s="708"/>
      <c r="Q147" s="708"/>
      <c r="R147" s="708"/>
      <c r="S147" s="708"/>
      <c r="T147" s="708"/>
      <c r="U147" s="708"/>
      <c r="V147" s="708"/>
      <c r="W147" s="708"/>
      <c r="X147" s="708"/>
      <c r="Y147" s="708"/>
      <c r="Z147" s="708"/>
      <c r="AA147" s="708"/>
      <c r="AB147" s="708"/>
      <c r="AC147" s="708"/>
      <c r="AD147" s="708"/>
      <c r="AE147" s="708"/>
      <c r="AF147" s="707">
        <f t="shared" si="5"/>
        <v>0</v>
      </c>
    </row>
    <row r="148" spans="1:32">
      <c r="A148" s="579" t="s">
        <v>1931</v>
      </c>
      <c r="B148" s="708"/>
      <c r="C148" s="708"/>
      <c r="D148" s="708"/>
      <c r="E148" s="708"/>
      <c r="F148" s="708"/>
      <c r="G148" s="708"/>
      <c r="H148" s="708"/>
      <c r="I148" s="708"/>
      <c r="J148" s="708"/>
      <c r="K148" s="708"/>
      <c r="L148" s="708"/>
      <c r="M148" s="708"/>
      <c r="N148" s="708"/>
      <c r="O148" s="235">
        <f t="shared" si="4"/>
        <v>0</v>
      </c>
      <c r="P148" s="708"/>
      <c r="Q148" s="708"/>
      <c r="R148" s="708"/>
      <c r="S148" s="708"/>
      <c r="T148" s="708"/>
      <c r="U148" s="708"/>
      <c r="V148" s="708"/>
      <c r="W148" s="708"/>
      <c r="X148" s="708"/>
      <c r="Y148" s="708"/>
      <c r="Z148" s="708"/>
      <c r="AA148" s="708"/>
      <c r="AB148" s="708"/>
      <c r="AC148" s="708"/>
      <c r="AD148" s="708"/>
      <c r="AE148" s="708"/>
      <c r="AF148" s="707">
        <f t="shared" si="5"/>
        <v>0</v>
      </c>
    </row>
    <row r="149" spans="1:32" ht="15.75" thickBot="1">
      <c r="A149" s="579" t="s">
        <v>1932</v>
      </c>
      <c r="B149" s="711">
        <v>583858.08299999998</v>
      </c>
      <c r="C149" s="711">
        <v>583858.08299999998</v>
      </c>
      <c r="D149" s="711">
        <v>583858.08299999998</v>
      </c>
      <c r="E149" s="711">
        <v>583858.08299999998</v>
      </c>
      <c r="F149" s="711">
        <v>583858.08299999998</v>
      </c>
      <c r="G149" s="711">
        <v>583858.08299999998</v>
      </c>
      <c r="H149" s="711">
        <v>628858.08299999998</v>
      </c>
      <c r="I149" s="711">
        <v>628858.08299999998</v>
      </c>
      <c r="J149" s="711">
        <v>628858.08299999998</v>
      </c>
      <c r="K149" s="711">
        <v>628858.08299999998</v>
      </c>
      <c r="L149" s="711">
        <v>628858.08299999998</v>
      </c>
      <c r="M149" s="711">
        <v>628858.08299999998</v>
      </c>
      <c r="N149" s="711">
        <v>692314.41328168404</v>
      </c>
      <c r="O149" s="235">
        <f t="shared" si="4"/>
        <v>612970.10840628319</v>
      </c>
      <c r="P149" s="711">
        <v>692314.41328168404</v>
      </c>
      <c r="Q149" s="711">
        <v>692314.41328168404</v>
      </c>
      <c r="R149" s="711">
        <v>692314.41328168404</v>
      </c>
      <c r="S149" s="711">
        <v>692314.41328168404</v>
      </c>
      <c r="T149" s="711">
        <v>692314.41328168404</v>
      </c>
      <c r="U149" s="711">
        <v>748639.80524989695</v>
      </c>
      <c r="V149" s="711">
        <v>748639.80524989695</v>
      </c>
      <c r="W149" s="711">
        <v>748639.80524989695</v>
      </c>
      <c r="X149" s="711">
        <v>748639.80524989695</v>
      </c>
      <c r="Y149" s="711">
        <v>748639.80524989695</v>
      </c>
      <c r="Z149" s="711">
        <v>748639.80524989695</v>
      </c>
      <c r="AA149" s="711">
        <v>802637.97049930401</v>
      </c>
      <c r="AB149" s="711">
        <v>802637.97049930401</v>
      </c>
      <c r="AC149" s="711">
        <v>802637.97049930401</v>
      </c>
      <c r="AD149" s="711">
        <v>802637.97049930401</v>
      </c>
      <c r="AE149" s="711">
        <v>802637.97049930401</v>
      </c>
      <c r="AF149" s="707">
        <f t="shared" si="5"/>
        <v>760742.88542763598</v>
      </c>
    </row>
    <row r="150" spans="1:32">
      <c r="A150" s="579" t="s">
        <v>1933</v>
      </c>
      <c r="B150" s="706">
        <v>583858.08299999998</v>
      </c>
      <c r="C150" s="706">
        <v>583858.08299999998</v>
      </c>
      <c r="D150" s="706">
        <v>583858.08299999998</v>
      </c>
      <c r="E150" s="706">
        <v>583858.08299999998</v>
      </c>
      <c r="F150" s="706">
        <v>583858.08299999998</v>
      </c>
      <c r="G150" s="706">
        <v>583858.08299999998</v>
      </c>
      <c r="H150" s="706">
        <v>628858.08299999998</v>
      </c>
      <c r="I150" s="706">
        <v>628858.08299999998</v>
      </c>
      <c r="J150" s="706">
        <v>628858.08299999998</v>
      </c>
      <c r="K150" s="706">
        <v>628858.08299999998</v>
      </c>
      <c r="L150" s="706">
        <v>628858.08299999998</v>
      </c>
      <c r="M150" s="706">
        <v>628858.08299999998</v>
      </c>
      <c r="N150" s="706">
        <v>692314.41328168404</v>
      </c>
      <c r="O150" s="235">
        <f t="shared" si="4"/>
        <v>612970.10840628319</v>
      </c>
      <c r="P150" s="706">
        <v>692314.41328168404</v>
      </c>
      <c r="Q150" s="706">
        <v>692314.41328168404</v>
      </c>
      <c r="R150" s="706">
        <v>692314.41328168404</v>
      </c>
      <c r="S150" s="706">
        <v>692314.41328168404</v>
      </c>
      <c r="T150" s="706">
        <v>692314.41328168404</v>
      </c>
      <c r="U150" s="706">
        <v>748639.80524989695</v>
      </c>
      <c r="V150" s="706">
        <v>748639.80524989695</v>
      </c>
      <c r="W150" s="706">
        <v>748639.80524989695</v>
      </c>
      <c r="X150" s="706">
        <v>748639.80524989695</v>
      </c>
      <c r="Y150" s="706">
        <v>748639.80524989695</v>
      </c>
      <c r="Z150" s="706">
        <v>748639.80524989695</v>
      </c>
      <c r="AA150" s="706">
        <v>802637.97049930401</v>
      </c>
      <c r="AB150" s="706">
        <v>802637.97049930401</v>
      </c>
      <c r="AC150" s="706">
        <v>802637.97049930401</v>
      </c>
      <c r="AD150" s="706">
        <v>802637.97049930401</v>
      </c>
      <c r="AE150" s="706">
        <v>802637.97049930401</v>
      </c>
      <c r="AF150" s="707">
        <f t="shared" si="5"/>
        <v>760742.88542763598</v>
      </c>
    </row>
    <row r="151" spans="1:32">
      <c r="A151" s="579"/>
      <c r="B151" s="708"/>
      <c r="C151" s="708"/>
      <c r="D151" s="708"/>
      <c r="E151" s="708"/>
      <c r="F151" s="708"/>
      <c r="G151" s="708"/>
      <c r="H151" s="708"/>
      <c r="I151" s="708"/>
      <c r="J151" s="708"/>
      <c r="K151" s="708"/>
      <c r="L151" s="708"/>
      <c r="M151" s="708"/>
      <c r="N151" s="708"/>
      <c r="O151" s="235">
        <f t="shared" si="4"/>
        <v>0</v>
      </c>
      <c r="P151" s="708"/>
      <c r="Q151" s="708"/>
      <c r="R151" s="708"/>
      <c r="S151" s="708"/>
      <c r="T151" s="708"/>
      <c r="U151" s="708"/>
      <c r="V151" s="708"/>
      <c r="W151" s="708"/>
      <c r="X151" s="708"/>
      <c r="Y151" s="708"/>
      <c r="Z151" s="708"/>
      <c r="AA151" s="708"/>
      <c r="AB151" s="708"/>
      <c r="AC151" s="708"/>
      <c r="AD151" s="708"/>
      <c r="AE151" s="708"/>
      <c r="AF151" s="707">
        <f t="shared" si="5"/>
        <v>0</v>
      </c>
    </row>
    <row r="152" spans="1:32">
      <c r="A152" s="579" t="s">
        <v>1934</v>
      </c>
      <c r="B152" s="708"/>
      <c r="C152" s="708"/>
      <c r="D152" s="708"/>
      <c r="E152" s="708"/>
      <c r="F152" s="708"/>
      <c r="G152" s="708"/>
      <c r="H152" s="708"/>
      <c r="I152" s="708"/>
      <c r="J152" s="708"/>
      <c r="K152" s="708"/>
      <c r="L152" s="708"/>
      <c r="M152" s="708"/>
      <c r="N152" s="708"/>
      <c r="O152" s="235">
        <f t="shared" si="4"/>
        <v>0</v>
      </c>
      <c r="P152" s="708"/>
      <c r="Q152" s="708"/>
      <c r="R152" s="708"/>
      <c r="S152" s="708"/>
      <c r="T152" s="708"/>
      <c r="U152" s="708"/>
      <c r="V152" s="708"/>
      <c r="W152" s="708"/>
      <c r="X152" s="708"/>
      <c r="Y152" s="708"/>
      <c r="Z152" s="708"/>
      <c r="AA152" s="708"/>
      <c r="AB152" s="708"/>
      <c r="AC152" s="708"/>
      <c r="AD152" s="708"/>
      <c r="AE152" s="708"/>
      <c r="AF152" s="707">
        <f t="shared" si="5"/>
        <v>0</v>
      </c>
    </row>
    <row r="153" spans="1:32" ht="15.75" thickBot="1">
      <c r="A153" s="579" t="s">
        <v>1935</v>
      </c>
      <c r="B153" s="711">
        <v>1857820.1530800001</v>
      </c>
      <c r="C153" s="711">
        <v>1899758.67245</v>
      </c>
      <c r="D153" s="711">
        <v>1922625.5466</v>
      </c>
      <c r="E153" s="711">
        <v>1866602.89491</v>
      </c>
      <c r="F153" s="711">
        <v>1877667.45047</v>
      </c>
      <c r="G153" s="711">
        <v>1900159.88928</v>
      </c>
      <c r="H153" s="711">
        <v>1870189.4151399999</v>
      </c>
      <c r="I153" s="711">
        <v>1892561.68701536</v>
      </c>
      <c r="J153" s="711">
        <v>1916114.5078853001</v>
      </c>
      <c r="K153" s="711">
        <v>1873657.6124648401</v>
      </c>
      <c r="L153" s="711">
        <v>1882111.0456982199</v>
      </c>
      <c r="M153" s="711">
        <v>1901475.0374810901</v>
      </c>
      <c r="N153" s="711">
        <v>1887794.4006554801</v>
      </c>
      <c r="O153" s="235">
        <f t="shared" si="4"/>
        <v>1888349.1010100222</v>
      </c>
      <c r="P153" s="711">
        <v>1920659.8542325599</v>
      </c>
      <c r="Q153" s="711">
        <v>1944229.2140082701</v>
      </c>
      <c r="R153" s="711">
        <v>1911175.5967718801</v>
      </c>
      <c r="S153" s="711">
        <v>1922419.417323</v>
      </c>
      <c r="T153" s="711">
        <v>1935094.06825837</v>
      </c>
      <c r="U153" s="711">
        <v>1901533.65269349</v>
      </c>
      <c r="V153" s="711">
        <v>1922635.14824319</v>
      </c>
      <c r="W153" s="711">
        <v>1945402.6730096999</v>
      </c>
      <c r="X153" s="711">
        <v>1903578.52703439</v>
      </c>
      <c r="Y153" s="711">
        <v>1908628.24450398</v>
      </c>
      <c r="Z153" s="711">
        <v>1921971.7053976899</v>
      </c>
      <c r="AA153" s="711">
        <v>1907477.4227690699</v>
      </c>
      <c r="AB153" s="711">
        <v>1938014.90918776</v>
      </c>
      <c r="AC153" s="711">
        <v>1960450.6796528399</v>
      </c>
      <c r="AD153" s="711">
        <v>1904117.3687565799</v>
      </c>
      <c r="AE153" s="711">
        <v>1910142.53737294</v>
      </c>
      <c r="AF153" s="707">
        <f t="shared" si="5"/>
        <v>1921651.2580156154</v>
      </c>
    </row>
    <row r="154" spans="1:32">
      <c r="A154" s="579" t="s">
        <v>1934</v>
      </c>
      <c r="B154" s="706">
        <v>1857820.1530800001</v>
      </c>
      <c r="C154" s="706">
        <v>1899758.67245</v>
      </c>
      <c r="D154" s="706">
        <v>1922625.5466</v>
      </c>
      <c r="E154" s="706">
        <v>1866602.89491</v>
      </c>
      <c r="F154" s="706">
        <v>1877667.45047</v>
      </c>
      <c r="G154" s="706">
        <v>1900159.88928</v>
      </c>
      <c r="H154" s="706">
        <v>1870189.4151399999</v>
      </c>
      <c r="I154" s="706">
        <v>1892561.68701536</v>
      </c>
      <c r="J154" s="706">
        <v>1916114.5078853001</v>
      </c>
      <c r="K154" s="706">
        <v>1873657.6124648401</v>
      </c>
      <c r="L154" s="706">
        <v>1882111.0456982199</v>
      </c>
      <c r="M154" s="706">
        <v>1901475.0374810901</v>
      </c>
      <c r="N154" s="706">
        <v>1887794.4006554801</v>
      </c>
      <c r="O154" s="235">
        <f t="shared" si="4"/>
        <v>1888349.1010100222</v>
      </c>
      <c r="P154" s="706">
        <v>1920659.8542325599</v>
      </c>
      <c r="Q154" s="706">
        <v>1944229.2140082701</v>
      </c>
      <c r="R154" s="706">
        <v>1911175.5967718801</v>
      </c>
      <c r="S154" s="706">
        <v>1922419.417323</v>
      </c>
      <c r="T154" s="706">
        <v>1935094.06825837</v>
      </c>
      <c r="U154" s="706">
        <v>1901533.65269349</v>
      </c>
      <c r="V154" s="706">
        <v>1922635.14824319</v>
      </c>
      <c r="W154" s="706">
        <v>1945402.6730096999</v>
      </c>
      <c r="X154" s="706">
        <v>1903578.52703439</v>
      </c>
      <c r="Y154" s="706">
        <v>1908628.24450398</v>
      </c>
      <c r="Z154" s="706">
        <v>1921971.7053976899</v>
      </c>
      <c r="AA154" s="706">
        <v>1907477.4227690699</v>
      </c>
      <c r="AB154" s="706">
        <v>1938014.90918776</v>
      </c>
      <c r="AC154" s="706">
        <v>1960450.6796528399</v>
      </c>
      <c r="AD154" s="706">
        <v>1904117.3687565799</v>
      </c>
      <c r="AE154" s="706">
        <v>1910142.53737294</v>
      </c>
      <c r="AF154" s="707">
        <f t="shared" si="5"/>
        <v>1921651.2580156154</v>
      </c>
    </row>
    <row r="155" spans="1:32">
      <c r="A155" s="579"/>
      <c r="B155" s="708"/>
      <c r="C155" s="708"/>
      <c r="D155" s="708"/>
      <c r="E155" s="708"/>
      <c r="F155" s="708"/>
      <c r="G155" s="708"/>
      <c r="H155" s="708"/>
      <c r="I155" s="708"/>
      <c r="J155" s="708"/>
      <c r="K155" s="708"/>
      <c r="L155" s="708"/>
      <c r="M155" s="708"/>
      <c r="N155" s="708"/>
      <c r="O155" s="235">
        <f t="shared" si="4"/>
        <v>0</v>
      </c>
      <c r="P155" s="708"/>
      <c r="Q155" s="708"/>
      <c r="R155" s="708"/>
      <c r="S155" s="708"/>
      <c r="T155" s="708"/>
      <c r="U155" s="708"/>
      <c r="V155" s="708"/>
      <c r="W155" s="708"/>
      <c r="X155" s="708"/>
      <c r="Y155" s="708"/>
      <c r="Z155" s="708"/>
      <c r="AA155" s="708"/>
      <c r="AB155" s="708"/>
      <c r="AC155" s="708"/>
      <c r="AD155" s="708"/>
      <c r="AE155" s="708"/>
      <c r="AF155" s="707">
        <f t="shared" si="5"/>
        <v>0</v>
      </c>
    </row>
    <row r="156" spans="1:32">
      <c r="A156" s="579" t="s">
        <v>1936</v>
      </c>
      <c r="O156" s="235">
        <f t="shared" si="4"/>
        <v>0</v>
      </c>
      <c r="AF156" s="707">
        <f t="shared" si="5"/>
        <v>0</v>
      </c>
    </row>
    <row r="157" spans="1:32">
      <c r="A157" s="579" t="s">
        <v>1937</v>
      </c>
      <c r="B157" s="706">
        <v>1.0000000000000001E-5</v>
      </c>
      <c r="C157" s="706">
        <v>1.0000000000000001E-5</v>
      </c>
      <c r="D157" s="706">
        <v>1.0000000000000001E-5</v>
      </c>
      <c r="E157" s="706">
        <v>1.0000000000000001E-5</v>
      </c>
      <c r="F157" s="706">
        <v>1.0000000000000001E-5</v>
      </c>
      <c r="G157" s="706">
        <v>1.0000000000000001E-5</v>
      </c>
      <c r="H157" s="706">
        <v>1.0000000000000001E-5</v>
      </c>
      <c r="I157" s="706">
        <v>1.0000000000000001E-5</v>
      </c>
      <c r="J157" s="706">
        <v>1.0000000000000001E-5</v>
      </c>
      <c r="K157" s="706">
        <v>1.0000000000000001E-5</v>
      </c>
      <c r="L157" s="706">
        <v>1.0000000000000001E-5</v>
      </c>
      <c r="M157" s="706">
        <v>1.0000000000000001E-5</v>
      </c>
      <c r="N157" s="706">
        <v>1.0000000000000001E-5</v>
      </c>
      <c r="O157" s="235">
        <f t="shared" si="4"/>
        <v>1.0000000000000001E-5</v>
      </c>
      <c r="P157" s="706">
        <v>1.0000000000000001E-5</v>
      </c>
      <c r="Q157" s="706">
        <v>1.0000000000000001E-5</v>
      </c>
      <c r="R157" s="706">
        <v>1.0000000000000001E-5</v>
      </c>
      <c r="S157" s="706">
        <v>1.0000000000000001E-5</v>
      </c>
      <c r="T157" s="706">
        <v>1.0000000000000001E-5</v>
      </c>
      <c r="U157" s="706">
        <v>1.0000000000000001E-5</v>
      </c>
      <c r="V157" s="706">
        <v>1.0000000000000001E-5</v>
      </c>
      <c r="W157" s="706">
        <v>1.0000000000000001E-5</v>
      </c>
      <c r="X157" s="706">
        <v>1.0000000000000001E-5</v>
      </c>
      <c r="Y157" s="706">
        <v>1.0000000000000001E-5</v>
      </c>
      <c r="Z157" s="706">
        <v>1.0000000000000001E-5</v>
      </c>
      <c r="AA157" s="706">
        <v>1.0000000000000001E-5</v>
      </c>
      <c r="AB157" s="706">
        <v>1.0000000000000001E-5</v>
      </c>
      <c r="AC157" s="706">
        <v>1.0000000000000001E-5</v>
      </c>
      <c r="AD157" s="706">
        <v>1.0000000000000001E-5</v>
      </c>
      <c r="AE157" s="706">
        <v>1.0000000000000001E-5</v>
      </c>
      <c r="AF157" s="707">
        <f t="shared" si="5"/>
        <v>1.0000000000000001E-5</v>
      </c>
    </row>
    <row r="158" spans="1:32">
      <c r="A158" s="579" t="s">
        <v>1938</v>
      </c>
      <c r="B158" s="706">
        <v>0</v>
      </c>
      <c r="C158" s="706">
        <v>0</v>
      </c>
      <c r="D158" s="706">
        <v>0</v>
      </c>
      <c r="E158" s="706">
        <v>0</v>
      </c>
      <c r="F158" s="706">
        <v>0</v>
      </c>
      <c r="G158" s="706">
        <v>0</v>
      </c>
      <c r="H158" s="706">
        <v>0</v>
      </c>
      <c r="I158" s="706">
        <v>0</v>
      </c>
      <c r="J158" s="706">
        <v>0</v>
      </c>
      <c r="K158" s="706">
        <v>0</v>
      </c>
      <c r="L158" s="706">
        <v>0</v>
      </c>
      <c r="M158" s="706">
        <v>0</v>
      </c>
      <c r="N158" s="706">
        <v>0</v>
      </c>
      <c r="O158" s="235">
        <f t="shared" si="4"/>
        <v>0</v>
      </c>
      <c r="P158" s="706">
        <v>0</v>
      </c>
      <c r="Q158" s="706">
        <v>0</v>
      </c>
      <c r="R158" s="706">
        <v>0</v>
      </c>
      <c r="S158" s="706">
        <v>0</v>
      </c>
      <c r="T158" s="706">
        <v>0</v>
      </c>
      <c r="U158" s="706">
        <v>0</v>
      </c>
      <c r="V158" s="706">
        <v>0</v>
      </c>
      <c r="W158" s="706">
        <v>0</v>
      </c>
      <c r="X158" s="706">
        <v>0</v>
      </c>
      <c r="Y158" s="706">
        <v>0</v>
      </c>
      <c r="Z158" s="706">
        <v>0</v>
      </c>
      <c r="AA158" s="706">
        <v>0</v>
      </c>
      <c r="AB158" s="706">
        <v>0</v>
      </c>
      <c r="AC158" s="706">
        <v>0</v>
      </c>
      <c r="AD158" s="706">
        <v>0</v>
      </c>
      <c r="AE158" s="706">
        <v>0</v>
      </c>
      <c r="AF158" s="707">
        <f t="shared" si="5"/>
        <v>0</v>
      </c>
    </row>
    <row r="159" spans="1:32">
      <c r="A159" s="579" t="s">
        <v>1936</v>
      </c>
      <c r="B159" s="706">
        <v>1.0000000000000001E-5</v>
      </c>
      <c r="C159" s="706">
        <v>1.0000000000000001E-5</v>
      </c>
      <c r="D159" s="706">
        <v>1.0000000000000001E-5</v>
      </c>
      <c r="E159" s="706">
        <v>1.0000000000000001E-5</v>
      </c>
      <c r="F159" s="706">
        <v>1.0000000000000001E-5</v>
      </c>
      <c r="G159" s="706">
        <v>1.0000000000000001E-5</v>
      </c>
      <c r="H159" s="706">
        <v>1.0000000000000001E-5</v>
      </c>
      <c r="I159" s="706">
        <v>1.0000000000000001E-5</v>
      </c>
      <c r="J159" s="706">
        <v>1.0000000000000001E-5</v>
      </c>
      <c r="K159" s="706">
        <v>1.0000000000000001E-5</v>
      </c>
      <c r="L159" s="706">
        <v>1.0000000000000001E-5</v>
      </c>
      <c r="M159" s="706">
        <v>1.0000000000000001E-5</v>
      </c>
      <c r="N159" s="706">
        <v>1.0000000000000001E-5</v>
      </c>
      <c r="O159" s="235">
        <f t="shared" si="4"/>
        <v>1.0000000000000001E-5</v>
      </c>
      <c r="P159" s="706">
        <v>1.0000000000000001E-5</v>
      </c>
      <c r="Q159" s="706">
        <v>1.0000000000000001E-5</v>
      </c>
      <c r="R159" s="706">
        <v>1.0000000000000001E-5</v>
      </c>
      <c r="S159" s="706">
        <v>1.0000000000000001E-5</v>
      </c>
      <c r="T159" s="706">
        <v>1.0000000000000001E-5</v>
      </c>
      <c r="U159" s="706">
        <v>1.0000000000000001E-5</v>
      </c>
      <c r="V159" s="706">
        <v>1.0000000000000001E-5</v>
      </c>
      <c r="W159" s="706">
        <v>1.0000000000000001E-5</v>
      </c>
      <c r="X159" s="706">
        <v>1.0000000000000001E-5</v>
      </c>
      <c r="Y159" s="706">
        <v>1.0000000000000001E-5</v>
      </c>
      <c r="Z159" s="706">
        <v>1.0000000000000001E-5</v>
      </c>
      <c r="AA159" s="706">
        <v>1.0000000000000001E-5</v>
      </c>
      <c r="AB159" s="706">
        <v>1.0000000000000001E-5</v>
      </c>
      <c r="AC159" s="706">
        <v>1.0000000000000001E-5</v>
      </c>
      <c r="AD159" s="706">
        <v>1.0000000000000001E-5</v>
      </c>
      <c r="AE159" s="706">
        <v>1.0000000000000001E-5</v>
      </c>
      <c r="AF159" s="707">
        <f t="shared" si="5"/>
        <v>1.0000000000000001E-5</v>
      </c>
    </row>
    <row r="160" spans="1:32">
      <c r="A160" s="579"/>
      <c r="B160" s="708"/>
      <c r="C160" s="708"/>
      <c r="D160" s="708"/>
      <c r="E160" s="708"/>
      <c r="F160" s="708"/>
      <c r="G160" s="708"/>
      <c r="H160" s="708"/>
      <c r="I160" s="708"/>
      <c r="J160" s="708"/>
      <c r="K160" s="708"/>
      <c r="L160" s="708"/>
      <c r="M160" s="708"/>
      <c r="N160" s="708"/>
      <c r="O160" s="235">
        <f t="shared" si="4"/>
        <v>0</v>
      </c>
      <c r="P160" s="708"/>
      <c r="Q160" s="708"/>
      <c r="R160" s="708"/>
      <c r="S160" s="708"/>
      <c r="T160" s="708"/>
      <c r="U160" s="708"/>
      <c r="V160" s="708"/>
      <c r="W160" s="708"/>
      <c r="X160" s="708"/>
      <c r="Y160" s="708"/>
      <c r="Z160" s="708"/>
      <c r="AA160" s="708"/>
      <c r="AB160" s="708"/>
      <c r="AC160" s="708"/>
      <c r="AD160" s="708"/>
      <c r="AE160" s="708"/>
      <c r="AF160" s="707">
        <f t="shared" si="5"/>
        <v>0</v>
      </c>
    </row>
    <row r="161" spans="1:32">
      <c r="A161" s="579"/>
      <c r="B161" s="708"/>
      <c r="C161" s="708"/>
      <c r="D161" s="708"/>
      <c r="E161" s="708"/>
      <c r="F161" s="708"/>
      <c r="G161" s="708"/>
      <c r="H161" s="708"/>
      <c r="I161" s="708"/>
      <c r="J161" s="708"/>
      <c r="K161" s="708"/>
      <c r="L161" s="708"/>
      <c r="M161" s="708"/>
      <c r="N161" s="708"/>
      <c r="O161" s="235">
        <f t="shared" si="4"/>
        <v>0</v>
      </c>
      <c r="P161" s="708"/>
      <c r="Q161" s="708"/>
      <c r="R161" s="708"/>
      <c r="S161" s="708"/>
      <c r="T161" s="708"/>
      <c r="U161" s="708"/>
      <c r="V161" s="708"/>
      <c r="W161" s="708"/>
      <c r="X161" s="708"/>
      <c r="Y161" s="708"/>
      <c r="Z161" s="708"/>
      <c r="AA161" s="708"/>
      <c r="AB161" s="708"/>
      <c r="AC161" s="708"/>
      <c r="AD161" s="708"/>
      <c r="AE161" s="708"/>
      <c r="AF161" s="707">
        <f t="shared" si="5"/>
        <v>0</v>
      </c>
    </row>
    <row r="162" spans="1:32" ht="15.75" thickBot="1">
      <c r="A162" s="712" t="s">
        <v>1539</v>
      </c>
      <c r="B162" s="713">
        <v>2749496.92478</v>
      </c>
      <c r="C162" s="713">
        <v>2791435.4441499999</v>
      </c>
      <c r="D162" s="713">
        <v>2814302.3182999999</v>
      </c>
      <c r="E162" s="713">
        <v>2758279.6666100002</v>
      </c>
      <c r="F162" s="713">
        <v>2769344.22217</v>
      </c>
      <c r="G162" s="713">
        <v>2791836.6609800002</v>
      </c>
      <c r="H162" s="713">
        <v>2806866.1868400001</v>
      </c>
      <c r="I162" s="713">
        <v>2829238.4587153601</v>
      </c>
      <c r="J162" s="713">
        <v>2852791.2795853</v>
      </c>
      <c r="K162" s="713">
        <v>2810334.38416484</v>
      </c>
      <c r="L162" s="713">
        <v>2818787.8173982198</v>
      </c>
      <c r="M162" s="713">
        <v>2838151.80918109</v>
      </c>
      <c r="N162" s="713">
        <v>2887927.5026371698</v>
      </c>
      <c r="O162" s="235">
        <f t="shared" si="4"/>
        <v>2809137.8981163059</v>
      </c>
      <c r="P162" s="713">
        <v>2920792.9562142398</v>
      </c>
      <c r="Q162" s="713">
        <v>2944362.31598996</v>
      </c>
      <c r="R162" s="713">
        <v>2911308.69875356</v>
      </c>
      <c r="S162" s="713">
        <v>2922552.5193046802</v>
      </c>
      <c r="T162" s="713">
        <v>2935227.17024006</v>
      </c>
      <c r="U162" s="713">
        <v>2957992.1466433802</v>
      </c>
      <c r="V162" s="713">
        <v>2979093.6421930799</v>
      </c>
      <c r="W162" s="713">
        <v>3001861.1669596001</v>
      </c>
      <c r="X162" s="713">
        <v>2960037.0209842902</v>
      </c>
      <c r="Y162" s="713">
        <v>2965086.73845388</v>
      </c>
      <c r="Z162" s="713">
        <v>2978430.1993475799</v>
      </c>
      <c r="AA162" s="713">
        <v>3017934.0819683699</v>
      </c>
      <c r="AB162" s="713">
        <v>3048471.5683870702</v>
      </c>
      <c r="AC162" s="713">
        <v>3070907.3388521499</v>
      </c>
      <c r="AD162" s="713">
        <v>3014574.0279558799</v>
      </c>
      <c r="AE162" s="713">
        <v>3020599.1965722502</v>
      </c>
      <c r="AF162" s="707">
        <f t="shared" si="5"/>
        <v>2990212.8321432518</v>
      </c>
    </row>
    <row r="163" spans="1:32">
      <c r="A163" s="579"/>
      <c r="O163" s="235">
        <f t="shared" si="4"/>
        <v>0</v>
      </c>
      <c r="AF163" s="707">
        <f t="shared" si="5"/>
        <v>0</v>
      </c>
    </row>
    <row r="164" spans="1:32">
      <c r="A164" s="712" t="s">
        <v>1447</v>
      </c>
      <c r="B164" s="708"/>
      <c r="C164" s="708"/>
      <c r="D164" s="708"/>
      <c r="E164" s="708"/>
      <c r="F164" s="708"/>
      <c r="G164" s="708"/>
      <c r="H164" s="708"/>
      <c r="I164" s="708"/>
      <c r="J164" s="708"/>
      <c r="K164" s="708"/>
      <c r="L164" s="708"/>
      <c r="M164" s="708"/>
      <c r="N164" s="708"/>
      <c r="O164" s="235">
        <f t="shared" si="4"/>
        <v>0</v>
      </c>
      <c r="P164" s="708"/>
      <c r="Q164" s="708"/>
      <c r="R164" s="708"/>
      <c r="S164" s="708"/>
      <c r="T164" s="708"/>
      <c r="U164" s="708"/>
      <c r="V164" s="708"/>
      <c r="W164" s="708"/>
      <c r="X164" s="708"/>
      <c r="Y164" s="708"/>
      <c r="Z164" s="708"/>
      <c r="AA164" s="708"/>
      <c r="AB164" s="708"/>
      <c r="AC164" s="708"/>
      <c r="AD164" s="708"/>
      <c r="AE164" s="708"/>
      <c r="AF164" s="707">
        <f t="shared" si="5"/>
        <v>0</v>
      </c>
    </row>
    <row r="165" spans="1:32">
      <c r="A165" s="579" t="s">
        <v>1939</v>
      </c>
      <c r="B165" s="708"/>
      <c r="C165" s="708"/>
      <c r="D165" s="708"/>
      <c r="E165" s="708"/>
      <c r="F165" s="708"/>
      <c r="G165" s="708"/>
      <c r="H165" s="708"/>
      <c r="I165" s="708"/>
      <c r="J165" s="708"/>
      <c r="K165" s="708"/>
      <c r="L165" s="708"/>
      <c r="M165" s="708"/>
      <c r="N165" s="708"/>
      <c r="O165" s="235">
        <f t="shared" si="4"/>
        <v>0</v>
      </c>
      <c r="P165" s="708"/>
      <c r="Q165" s="708"/>
      <c r="R165" s="708"/>
      <c r="S165" s="708"/>
      <c r="T165" s="708"/>
      <c r="U165" s="708"/>
      <c r="V165" s="708"/>
      <c r="W165" s="708"/>
      <c r="X165" s="708"/>
      <c r="Y165" s="708"/>
      <c r="Z165" s="708"/>
      <c r="AA165" s="708"/>
      <c r="AB165" s="708"/>
      <c r="AC165" s="708"/>
      <c r="AD165" s="708"/>
      <c r="AE165" s="708"/>
      <c r="AF165" s="707">
        <f t="shared" si="5"/>
        <v>0</v>
      </c>
    </row>
    <row r="166" spans="1:32">
      <c r="A166" s="579" t="s">
        <v>1940</v>
      </c>
      <c r="B166" s="706">
        <v>0</v>
      </c>
      <c r="C166" s="706">
        <v>0</v>
      </c>
      <c r="D166" s="706">
        <v>0</v>
      </c>
      <c r="E166" s="706">
        <v>0</v>
      </c>
      <c r="F166" s="706">
        <v>0</v>
      </c>
      <c r="G166" s="706">
        <v>8927</v>
      </c>
      <c r="H166" s="706">
        <v>8927</v>
      </c>
      <c r="I166" s="706">
        <v>0</v>
      </c>
      <c r="J166" s="706">
        <v>0</v>
      </c>
      <c r="K166" s="706">
        <v>0</v>
      </c>
      <c r="L166" s="706">
        <v>0</v>
      </c>
      <c r="M166" s="706">
        <v>0</v>
      </c>
      <c r="N166" s="706">
        <v>0</v>
      </c>
      <c r="O166" s="235">
        <f t="shared" si="4"/>
        <v>1373.3846153846155</v>
      </c>
      <c r="P166" s="706">
        <v>0</v>
      </c>
      <c r="Q166" s="706">
        <v>0</v>
      </c>
      <c r="R166" s="706">
        <v>0</v>
      </c>
      <c r="S166" s="706">
        <v>0</v>
      </c>
      <c r="T166" s="706">
        <v>0</v>
      </c>
      <c r="U166" s="706">
        <v>0</v>
      </c>
      <c r="V166" s="706">
        <v>0</v>
      </c>
      <c r="W166" s="706">
        <v>0</v>
      </c>
      <c r="X166" s="706">
        <v>500000</v>
      </c>
      <c r="Y166" s="706">
        <v>500000</v>
      </c>
      <c r="Z166" s="706">
        <v>500000</v>
      </c>
      <c r="AA166" s="706">
        <v>500000</v>
      </c>
      <c r="AB166" s="706">
        <v>500000</v>
      </c>
      <c r="AC166" s="706">
        <v>500000</v>
      </c>
      <c r="AD166" s="706">
        <v>500000</v>
      </c>
      <c r="AE166" s="706">
        <v>500000</v>
      </c>
      <c r="AF166" s="707">
        <f t="shared" si="5"/>
        <v>307692.30769230769</v>
      </c>
    </row>
    <row r="167" spans="1:32">
      <c r="A167" s="579" t="s">
        <v>1941</v>
      </c>
      <c r="B167" s="706">
        <v>2350779.4049999998</v>
      </c>
      <c r="C167" s="706">
        <v>2350779.4049999998</v>
      </c>
      <c r="D167" s="706">
        <v>2350779.4049999998</v>
      </c>
      <c r="E167" s="706">
        <v>2350779.4049999998</v>
      </c>
      <c r="F167" s="706">
        <v>2350779.4049999998</v>
      </c>
      <c r="G167" s="706">
        <v>2341852.4049999998</v>
      </c>
      <c r="H167" s="706">
        <v>2341852.4049999998</v>
      </c>
      <c r="I167" s="706">
        <v>2341852.4049999998</v>
      </c>
      <c r="J167" s="706">
        <v>2341852.4049999998</v>
      </c>
      <c r="K167" s="706">
        <v>2341852.4049999998</v>
      </c>
      <c r="L167" s="706">
        <v>2341852.4049999998</v>
      </c>
      <c r="M167" s="706">
        <v>2341852.4049999998</v>
      </c>
      <c r="N167" s="706">
        <v>2341852.4049999998</v>
      </c>
      <c r="O167" s="235">
        <f t="shared" si="4"/>
        <v>2345285.8665384618</v>
      </c>
      <c r="P167" s="706">
        <v>2341852.4049999998</v>
      </c>
      <c r="Q167" s="706">
        <v>2341852.4049999998</v>
      </c>
      <c r="R167" s="706">
        <v>2341852.4049999998</v>
      </c>
      <c r="S167" s="706">
        <v>2341852.4049999998</v>
      </c>
      <c r="T167" s="706">
        <v>2641852.4049999998</v>
      </c>
      <c r="U167" s="706">
        <v>2641852.4049999998</v>
      </c>
      <c r="V167" s="706">
        <v>2641852.4049999998</v>
      </c>
      <c r="W167" s="706">
        <v>2641852.4049999998</v>
      </c>
      <c r="X167" s="706">
        <v>2141852.4049999998</v>
      </c>
      <c r="Y167" s="706">
        <v>2141852.4049999998</v>
      </c>
      <c r="Z167" s="706">
        <v>2141852.4049999998</v>
      </c>
      <c r="AA167" s="706">
        <v>2141852.4049999998</v>
      </c>
      <c r="AB167" s="706">
        <v>2141852.4049999998</v>
      </c>
      <c r="AC167" s="706">
        <v>2141852.4049999998</v>
      </c>
      <c r="AD167" s="706">
        <v>2141852.4049999998</v>
      </c>
      <c r="AE167" s="706">
        <v>2141852.4049999998</v>
      </c>
      <c r="AF167" s="707">
        <f t="shared" si="5"/>
        <v>2311083.1742307697</v>
      </c>
    </row>
    <row r="168" spans="1:32" ht="15.75" thickBot="1">
      <c r="A168" s="579" t="s">
        <v>1942</v>
      </c>
      <c r="B168" s="711">
        <v>-8570.0368500000004</v>
      </c>
      <c r="C168" s="711">
        <v>-8520.9947100000009</v>
      </c>
      <c r="D168" s="711">
        <v>-8479.6739899999993</v>
      </c>
      <c r="E168" s="711">
        <v>-8433.9260399999894</v>
      </c>
      <c r="F168" s="711">
        <v>-8389.6538299999993</v>
      </c>
      <c r="G168" s="711">
        <v>-8343.9058800000003</v>
      </c>
      <c r="H168" s="711">
        <v>-8299.6336699999993</v>
      </c>
      <c r="I168" s="711">
        <v>-8253.88573</v>
      </c>
      <c r="J168" s="711">
        <v>-8208.1377699999994</v>
      </c>
      <c r="K168" s="711">
        <v>-8163.8655599999902</v>
      </c>
      <c r="L168" s="711">
        <v>-8118.1176299999997</v>
      </c>
      <c r="M168" s="711">
        <v>-8073.8453899999904</v>
      </c>
      <c r="N168" s="711">
        <v>-8028.09746</v>
      </c>
      <c r="O168" s="235">
        <f t="shared" si="4"/>
        <v>-8298.7518853846123</v>
      </c>
      <c r="P168" s="711">
        <v>-7982.3495000000003</v>
      </c>
      <c r="Q168" s="711">
        <v>-7941.0287799999996</v>
      </c>
      <c r="R168" s="711">
        <v>-7895.2808199999999</v>
      </c>
      <c r="S168" s="711">
        <v>-7851.0086199999996</v>
      </c>
      <c r="T168" s="711">
        <v>-7805.2606800000003</v>
      </c>
      <c r="U168" s="711">
        <v>-7760.9884599999996</v>
      </c>
      <c r="V168" s="711">
        <v>-7715.2405099999996</v>
      </c>
      <c r="W168" s="711">
        <v>-7669.4925599999997</v>
      </c>
      <c r="X168" s="711">
        <v>-7625.2203499999996</v>
      </c>
      <c r="Y168" s="711">
        <v>-7579.4723999999997</v>
      </c>
      <c r="Z168" s="711">
        <v>-7535.2002000000002</v>
      </c>
      <c r="AA168" s="711">
        <v>-7489.4522500000003</v>
      </c>
      <c r="AB168" s="711">
        <v>-7443.7043000000003</v>
      </c>
      <c r="AC168" s="711">
        <v>-7401.4273400000002</v>
      </c>
      <c r="AD168" s="711">
        <v>-7355.6793900000002</v>
      </c>
      <c r="AE168" s="711">
        <v>-7311.4071800000002</v>
      </c>
      <c r="AF168" s="707">
        <f t="shared" si="5"/>
        <v>-7580.2734030769216</v>
      </c>
    </row>
    <row r="169" spans="1:32">
      <c r="A169" s="579" t="s">
        <v>1939</v>
      </c>
      <c r="B169" s="706">
        <v>2342209.36815</v>
      </c>
      <c r="C169" s="706">
        <v>2342258.41029</v>
      </c>
      <c r="D169" s="706">
        <v>2342299.7310100002</v>
      </c>
      <c r="E169" s="706">
        <v>2342345.47896</v>
      </c>
      <c r="F169" s="706">
        <v>2342389.7511700001</v>
      </c>
      <c r="G169" s="706">
        <v>2342435.4991199998</v>
      </c>
      <c r="H169" s="706">
        <v>2342479.7713299999</v>
      </c>
      <c r="I169" s="706">
        <v>2333598.51927</v>
      </c>
      <c r="J169" s="706">
        <v>2333644.2672299999</v>
      </c>
      <c r="K169" s="706">
        <v>2333688.53944</v>
      </c>
      <c r="L169" s="706">
        <v>2333734.28737</v>
      </c>
      <c r="M169" s="706">
        <v>2333778.5596099999</v>
      </c>
      <c r="N169" s="706">
        <v>2333824.30754</v>
      </c>
      <c r="O169" s="235">
        <f t="shared" si="4"/>
        <v>2338360.4992684615</v>
      </c>
      <c r="P169" s="706">
        <v>2333870.0554999998</v>
      </c>
      <c r="Q169" s="706">
        <v>2333911.37622</v>
      </c>
      <c r="R169" s="706">
        <v>2333957.1241799998</v>
      </c>
      <c r="S169" s="706">
        <v>2334001.3963799998</v>
      </c>
      <c r="T169" s="706">
        <v>2634047.14432</v>
      </c>
      <c r="U169" s="706">
        <v>2634091.4165400001</v>
      </c>
      <c r="V169" s="706">
        <v>2634137.1644899999</v>
      </c>
      <c r="W169" s="706">
        <v>2634182.9124400001</v>
      </c>
      <c r="X169" s="706">
        <v>2634227.1846500002</v>
      </c>
      <c r="Y169" s="706">
        <v>2634272.9325999999</v>
      </c>
      <c r="Z169" s="706">
        <v>2634317.2047999999</v>
      </c>
      <c r="AA169" s="706">
        <v>2634362.9527500002</v>
      </c>
      <c r="AB169" s="706">
        <v>2634408.7006999999</v>
      </c>
      <c r="AC169" s="706">
        <v>2634450.9776599999</v>
      </c>
      <c r="AD169" s="706">
        <v>2634496.7256100001</v>
      </c>
      <c r="AE169" s="706">
        <v>2634540.9978200002</v>
      </c>
      <c r="AF169" s="707">
        <f t="shared" si="5"/>
        <v>2611195.2085199999</v>
      </c>
    </row>
    <row r="170" spans="1:32">
      <c r="A170" s="579"/>
      <c r="B170" s="708"/>
      <c r="C170" s="708"/>
      <c r="D170" s="708"/>
      <c r="E170" s="708"/>
      <c r="F170" s="708"/>
      <c r="G170" s="708"/>
      <c r="H170" s="708"/>
      <c r="I170" s="708"/>
      <c r="J170" s="708"/>
      <c r="K170" s="708"/>
      <c r="L170" s="708"/>
      <c r="M170" s="708"/>
      <c r="N170" s="708"/>
      <c r="O170" s="235">
        <f t="shared" si="4"/>
        <v>0</v>
      </c>
      <c r="P170" s="708"/>
      <c r="Q170" s="708"/>
      <c r="R170" s="708"/>
      <c r="S170" s="708"/>
      <c r="T170" s="708"/>
      <c r="U170" s="708"/>
      <c r="V170" s="708"/>
      <c r="W170" s="708"/>
      <c r="X170" s="708"/>
      <c r="Y170" s="708"/>
      <c r="Z170" s="708"/>
      <c r="AA170" s="708"/>
      <c r="AB170" s="708"/>
      <c r="AC170" s="708"/>
      <c r="AD170" s="708"/>
      <c r="AE170" s="708"/>
      <c r="AF170" s="707">
        <f t="shared" si="5"/>
        <v>0</v>
      </c>
    </row>
    <row r="171" spans="1:32">
      <c r="A171" s="579" t="s">
        <v>1943</v>
      </c>
      <c r="O171" s="235">
        <f t="shared" si="4"/>
        <v>0</v>
      </c>
      <c r="AF171" s="707">
        <f t="shared" si="5"/>
        <v>0</v>
      </c>
    </row>
    <row r="172" spans="1:32">
      <c r="A172" s="579"/>
      <c r="B172" s="708"/>
      <c r="C172" s="708"/>
      <c r="D172" s="708"/>
      <c r="E172" s="708"/>
      <c r="F172" s="708"/>
      <c r="G172" s="708"/>
      <c r="H172" s="708"/>
      <c r="I172" s="708"/>
      <c r="J172" s="708"/>
      <c r="K172" s="708"/>
      <c r="L172" s="708"/>
      <c r="M172" s="708"/>
      <c r="N172" s="708"/>
      <c r="O172" s="235">
        <f t="shared" si="4"/>
        <v>0</v>
      </c>
      <c r="P172" s="708"/>
      <c r="Q172" s="708"/>
      <c r="R172" s="708"/>
      <c r="S172" s="708"/>
      <c r="T172" s="708"/>
      <c r="U172" s="708"/>
      <c r="V172" s="708"/>
      <c r="W172" s="708"/>
      <c r="X172" s="708"/>
      <c r="Y172" s="708"/>
      <c r="Z172" s="708"/>
      <c r="AA172" s="708"/>
      <c r="AB172" s="708"/>
      <c r="AC172" s="708"/>
      <c r="AD172" s="708"/>
      <c r="AE172" s="708"/>
      <c r="AF172" s="707">
        <f t="shared" si="5"/>
        <v>0</v>
      </c>
    </row>
    <row r="173" spans="1:32" ht="15.75" thickBot="1">
      <c r="A173" s="712" t="s">
        <v>1944</v>
      </c>
      <c r="B173" s="713">
        <v>2342209.36815</v>
      </c>
      <c r="C173" s="713">
        <v>2342258.41029</v>
      </c>
      <c r="D173" s="713">
        <v>2342299.7310100002</v>
      </c>
      <c r="E173" s="713">
        <v>2342345.47896</v>
      </c>
      <c r="F173" s="713">
        <v>2342389.7511700001</v>
      </c>
      <c r="G173" s="713">
        <v>2342435.4991199998</v>
      </c>
      <c r="H173" s="713">
        <v>2342479.7713299999</v>
      </c>
      <c r="I173" s="713">
        <v>2333598.51927</v>
      </c>
      <c r="J173" s="713">
        <v>2333644.2672299999</v>
      </c>
      <c r="K173" s="713">
        <v>2333688.53944</v>
      </c>
      <c r="L173" s="713">
        <v>2333734.28737</v>
      </c>
      <c r="M173" s="713">
        <v>2333778.5596099999</v>
      </c>
      <c r="N173" s="713">
        <v>2333824.30754</v>
      </c>
      <c r="O173" s="235">
        <f t="shared" si="4"/>
        <v>2338360.4992684615</v>
      </c>
      <c r="P173" s="713">
        <v>2333870.0554999998</v>
      </c>
      <c r="Q173" s="713">
        <v>2333911.37622</v>
      </c>
      <c r="R173" s="713">
        <v>2333957.1241799998</v>
      </c>
      <c r="S173" s="713">
        <v>2334001.3963799998</v>
      </c>
      <c r="T173" s="713">
        <v>2634047.14432</v>
      </c>
      <c r="U173" s="713">
        <v>2634091.4165400001</v>
      </c>
      <c r="V173" s="713">
        <v>2634137.1644899999</v>
      </c>
      <c r="W173" s="713">
        <v>2634182.9124400001</v>
      </c>
      <c r="X173" s="713">
        <v>2634227.1846500002</v>
      </c>
      <c r="Y173" s="713">
        <v>2634272.9325999999</v>
      </c>
      <c r="Z173" s="713">
        <v>2634317.2047999999</v>
      </c>
      <c r="AA173" s="713">
        <v>2634362.9527500002</v>
      </c>
      <c r="AB173" s="713">
        <v>2634408.7006999999</v>
      </c>
      <c r="AC173" s="713">
        <v>2634450.9776599999</v>
      </c>
      <c r="AD173" s="713">
        <v>2634496.7256100001</v>
      </c>
      <c r="AE173" s="713">
        <v>2634540.9978200002</v>
      </c>
      <c r="AF173" s="707">
        <f t="shared" si="5"/>
        <v>2611195.2085199999</v>
      </c>
    </row>
    <row r="174" spans="1:32">
      <c r="A174" s="579"/>
      <c r="O174" s="235">
        <f t="shared" si="4"/>
        <v>0</v>
      </c>
      <c r="AF174" s="707">
        <f t="shared" si="5"/>
        <v>0</v>
      </c>
    </row>
    <row r="175" spans="1:32">
      <c r="A175" s="712" t="s">
        <v>1945</v>
      </c>
      <c r="B175" s="714">
        <v>5091706.2929300005</v>
      </c>
      <c r="C175" s="714">
        <v>5133693.8544399999</v>
      </c>
      <c r="D175" s="714">
        <v>5156602.0493099997</v>
      </c>
      <c r="E175" s="714">
        <v>5100625.1455699997</v>
      </c>
      <c r="F175" s="714">
        <v>5111733.97334</v>
      </c>
      <c r="G175" s="714">
        <v>5134272.1601</v>
      </c>
      <c r="H175" s="714">
        <v>5149345.9581700005</v>
      </c>
      <c r="I175" s="714">
        <v>5162836.9779853597</v>
      </c>
      <c r="J175" s="714">
        <v>5186435.5468153004</v>
      </c>
      <c r="K175" s="714">
        <v>5144022.9236048404</v>
      </c>
      <c r="L175" s="714">
        <v>5152522.1047682203</v>
      </c>
      <c r="M175" s="714">
        <v>5171930.3687910903</v>
      </c>
      <c r="N175" s="714">
        <v>5221751.8101771697</v>
      </c>
      <c r="O175" s="235">
        <f t="shared" si="4"/>
        <v>5147498.3973847684</v>
      </c>
      <c r="P175" s="714">
        <v>5254663.0117142396</v>
      </c>
      <c r="Q175" s="714">
        <v>5278273.69220996</v>
      </c>
      <c r="R175" s="714">
        <v>5245265.8229335602</v>
      </c>
      <c r="S175" s="714">
        <v>5256553.9156846805</v>
      </c>
      <c r="T175" s="714">
        <v>5569274.3145600604</v>
      </c>
      <c r="U175" s="714">
        <v>5592083.5631833896</v>
      </c>
      <c r="V175" s="714">
        <v>5613230.8066830803</v>
      </c>
      <c r="W175" s="714">
        <v>5636044.0793995997</v>
      </c>
      <c r="X175" s="714">
        <v>5594264.2056342904</v>
      </c>
      <c r="Y175" s="714">
        <v>5599359.6710538799</v>
      </c>
      <c r="Z175" s="714">
        <v>5612747.4041475896</v>
      </c>
      <c r="AA175" s="714">
        <v>5652297.0347183701</v>
      </c>
      <c r="AB175" s="714">
        <v>5682880.2690870697</v>
      </c>
      <c r="AC175" s="714">
        <v>5705358.3165121498</v>
      </c>
      <c r="AD175" s="714">
        <v>5649070.7535658795</v>
      </c>
      <c r="AE175" s="714">
        <v>5655140.1943922499</v>
      </c>
      <c r="AF175" s="707">
        <f t="shared" si="5"/>
        <v>5601408.0406632526</v>
      </c>
    </row>
    <row r="176" spans="1:32">
      <c r="A176" s="579"/>
      <c r="O176" s="235">
        <f t="shared" si="4"/>
        <v>0</v>
      </c>
      <c r="AF176" s="707">
        <f t="shared" si="5"/>
        <v>0</v>
      </c>
    </row>
    <row r="177" spans="1:32">
      <c r="A177" s="712" t="s">
        <v>1448</v>
      </c>
      <c r="B177" s="708"/>
      <c r="C177" s="708"/>
      <c r="D177" s="708"/>
      <c r="E177" s="708"/>
      <c r="F177" s="708"/>
      <c r="G177" s="708"/>
      <c r="H177" s="708"/>
      <c r="I177" s="708"/>
      <c r="J177" s="708"/>
      <c r="K177" s="708"/>
      <c r="L177" s="708"/>
      <c r="M177" s="708"/>
      <c r="N177" s="708"/>
      <c r="O177" s="235">
        <f t="shared" si="4"/>
        <v>0</v>
      </c>
      <c r="P177" s="708"/>
      <c r="Q177" s="708"/>
      <c r="R177" s="708"/>
      <c r="S177" s="708"/>
      <c r="T177" s="708"/>
      <c r="U177" s="708"/>
      <c r="V177" s="708"/>
      <c r="W177" s="708"/>
      <c r="X177" s="708"/>
      <c r="Y177" s="708"/>
      <c r="Z177" s="708"/>
      <c r="AA177" s="708"/>
      <c r="AB177" s="708"/>
      <c r="AC177" s="708"/>
      <c r="AD177" s="708"/>
      <c r="AE177" s="708"/>
      <c r="AF177" s="707">
        <f t="shared" si="5"/>
        <v>0</v>
      </c>
    </row>
    <row r="178" spans="1:32">
      <c r="A178" s="579" t="s">
        <v>1946</v>
      </c>
      <c r="O178" s="235">
        <f t="shared" si="4"/>
        <v>0</v>
      </c>
      <c r="AF178" s="707">
        <f t="shared" si="5"/>
        <v>0</v>
      </c>
    </row>
    <row r="179" spans="1:32">
      <c r="A179" s="579"/>
      <c r="B179" s="708"/>
      <c r="C179" s="708"/>
      <c r="D179" s="708"/>
      <c r="E179" s="708"/>
      <c r="F179" s="708"/>
      <c r="G179" s="708"/>
      <c r="H179" s="708"/>
      <c r="I179" s="708"/>
      <c r="J179" s="708"/>
      <c r="K179" s="708"/>
      <c r="L179" s="708"/>
      <c r="M179" s="708"/>
      <c r="N179" s="708"/>
      <c r="O179" s="235">
        <f t="shared" si="4"/>
        <v>0</v>
      </c>
      <c r="P179" s="708"/>
      <c r="Q179" s="708"/>
      <c r="R179" s="708"/>
      <c r="S179" s="708"/>
      <c r="T179" s="708"/>
      <c r="U179" s="708"/>
      <c r="V179" s="708"/>
      <c r="W179" s="708"/>
      <c r="X179" s="708"/>
      <c r="Y179" s="708"/>
      <c r="Z179" s="708"/>
      <c r="AA179" s="708"/>
      <c r="AB179" s="708"/>
      <c r="AC179" s="708"/>
      <c r="AD179" s="708"/>
      <c r="AE179" s="708"/>
      <c r="AF179" s="707">
        <f t="shared" si="5"/>
        <v>0</v>
      </c>
    </row>
    <row r="180" spans="1:32">
      <c r="A180" s="579" t="s">
        <v>1947</v>
      </c>
      <c r="B180" s="708"/>
      <c r="C180" s="708"/>
      <c r="D180" s="708"/>
      <c r="E180" s="708"/>
      <c r="F180" s="708"/>
      <c r="G180" s="708"/>
      <c r="H180" s="708"/>
      <c r="I180" s="708"/>
      <c r="J180" s="708"/>
      <c r="K180" s="708"/>
      <c r="L180" s="708"/>
      <c r="M180" s="708"/>
      <c r="N180" s="708"/>
      <c r="O180" s="235">
        <f t="shared" si="4"/>
        <v>0</v>
      </c>
      <c r="P180" s="708"/>
      <c r="Q180" s="708"/>
      <c r="R180" s="708"/>
      <c r="S180" s="708"/>
      <c r="T180" s="708"/>
      <c r="U180" s="708"/>
      <c r="V180" s="708"/>
      <c r="W180" s="708"/>
      <c r="X180" s="708"/>
      <c r="Y180" s="708"/>
      <c r="Z180" s="708"/>
      <c r="AA180" s="708"/>
      <c r="AB180" s="708"/>
      <c r="AC180" s="708"/>
      <c r="AD180" s="708"/>
      <c r="AE180" s="708"/>
      <c r="AF180" s="707">
        <f t="shared" si="5"/>
        <v>0</v>
      </c>
    </row>
    <row r="181" spans="1:32" ht="15.75" thickBot="1">
      <c r="A181" s="579" t="s">
        <v>1948</v>
      </c>
      <c r="B181" s="711">
        <v>44957.42611</v>
      </c>
      <c r="C181" s="711">
        <v>97981.116389999996</v>
      </c>
      <c r="D181" s="711">
        <v>52033.27882</v>
      </c>
      <c r="E181" s="711">
        <v>78261.438089999996</v>
      </c>
      <c r="F181" s="711">
        <v>90542.850560000006</v>
      </c>
      <c r="G181" s="711">
        <v>109305.57299</v>
      </c>
      <c r="H181" s="711">
        <v>133429.85054000001</v>
      </c>
      <c r="I181" s="711">
        <v>133380.14452945499</v>
      </c>
      <c r="J181" s="711">
        <v>137369.46084139499</v>
      </c>
      <c r="K181" s="711">
        <v>183996.288636132</v>
      </c>
      <c r="L181" s="711">
        <v>214605.77029923699</v>
      </c>
      <c r="M181" s="711">
        <v>265170.48165349301</v>
      </c>
      <c r="N181" s="711">
        <v>252325.36546352701</v>
      </c>
      <c r="O181" s="235">
        <f t="shared" si="4"/>
        <v>137950.69576332608</v>
      </c>
      <c r="P181" s="711">
        <v>250650.57388672099</v>
      </c>
      <c r="Q181" s="711">
        <v>223085.30208070501</v>
      </c>
      <c r="R181" s="711">
        <v>272407.45485640102</v>
      </c>
      <c r="S181" s="711">
        <v>294302.85769416601</v>
      </c>
      <c r="T181" s="711">
        <v>24975.400095264999</v>
      </c>
      <c r="U181" s="711">
        <v>15673.326162453001</v>
      </c>
      <c r="V181" s="711">
        <v>8220.7411996621195</v>
      </c>
      <c r="W181" s="711">
        <v>0</v>
      </c>
      <c r="X181" s="711">
        <v>17763.714240860201</v>
      </c>
      <c r="Y181" s="711">
        <v>38667.477823447902</v>
      </c>
      <c r="Z181" s="711">
        <v>93489.462767926307</v>
      </c>
      <c r="AA181" s="711">
        <v>68222.712847778705</v>
      </c>
      <c r="AB181" s="711">
        <v>47168.590244691601</v>
      </c>
      <c r="AC181" s="711">
        <v>0</v>
      </c>
      <c r="AD181" s="711">
        <v>64290.0597223687</v>
      </c>
      <c r="AE181" s="711">
        <v>99534.402219587093</v>
      </c>
      <c r="AF181" s="707">
        <f t="shared" si="5"/>
        <v>59408.365001400511</v>
      </c>
    </row>
    <row r="182" spans="1:32">
      <c r="A182" s="579" t="s">
        <v>1947</v>
      </c>
      <c r="B182" s="706">
        <v>44957.42611</v>
      </c>
      <c r="C182" s="706">
        <v>97981.116389999996</v>
      </c>
      <c r="D182" s="706">
        <v>52033.27882</v>
      </c>
      <c r="E182" s="706">
        <v>78261.438089999996</v>
      </c>
      <c r="F182" s="706">
        <v>90542.850560000006</v>
      </c>
      <c r="G182" s="706">
        <v>109305.57299</v>
      </c>
      <c r="H182" s="706">
        <v>133429.85054000001</v>
      </c>
      <c r="I182" s="706">
        <v>133380.14452945499</v>
      </c>
      <c r="J182" s="706">
        <v>137369.46084139499</v>
      </c>
      <c r="K182" s="706">
        <v>183996.288636132</v>
      </c>
      <c r="L182" s="706">
        <v>214605.77029923699</v>
      </c>
      <c r="M182" s="706">
        <v>265170.48165349301</v>
      </c>
      <c r="N182" s="706">
        <v>252325.36546352701</v>
      </c>
      <c r="O182" s="235">
        <f t="shared" si="4"/>
        <v>137950.69576332608</v>
      </c>
      <c r="P182" s="706">
        <v>250650.57388672099</v>
      </c>
      <c r="Q182" s="706">
        <v>223085.30208070501</v>
      </c>
      <c r="R182" s="706">
        <v>272407.45485640102</v>
      </c>
      <c r="S182" s="706">
        <v>294302.85769416601</v>
      </c>
      <c r="T182" s="706">
        <v>24975.400095264999</v>
      </c>
      <c r="U182" s="706">
        <v>15673.326162453001</v>
      </c>
      <c r="V182" s="706">
        <v>8220.7411996621195</v>
      </c>
      <c r="W182" s="706">
        <v>0</v>
      </c>
      <c r="X182" s="706">
        <v>17763.714240860201</v>
      </c>
      <c r="Y182" s="706">
        <v>38667.477823447902</v>
      </c>
      <c r="Z182" s="706">
        <v>93489.462767926307</v>
      </c>
      <c r="AA182" s="706">
        <v>68222.712847778705</v>
      </c>
      <c r="AB182" s="706">
        <v>47168.590244691601</v>
      </c>
      <c r="AC182" s="706">
        <v>0</v>
      </c>
      <c r="AD182" s="706">
        <v>64290.0597223687</v>
      </c>
      <c r="AE182" s="706">
        <v>99534.402219587093</v>
      </c>
      <c r="AF182" s="707">
        <f t="shared" si="5"/>
        <v>59408.365001400511</v>
      </c>
    </row>
    <row r="183" spans="1:32">
      <c r="A183" s="579"/>
      <c r="B183" s="708"/>
      <c r="C183" s="708"/>
      <c r="D183" s="708"/>
      <c r="E183" s="708"/>
      <c r="F183" s="708"/>
      <c r="G183" s="708"/>
      <c r="H183" s="708"/>
      <c r="I183" s="708"/>
      <c r="J183" s="708"/>
      <c r="K183" s="708"/>
      <c r="L183" s="708"/>
      <c r="M183" s="708"/>
      <c r="N183" s="708"/>
      <c r="O183" s="235">
        <f t="shared" si="4"/>
        <v>0</v>
      </c>
      <c r="P183" s="708"/>
      <c r="Q183" s="708"/>
      <c r="R183" s="708"/>
      <c r="S183" s="708"/>
      <c r="T183" s="708"/>
      <c r="U183" s="708"/>
      <c r="V183" s="708"/>
      <c r="W183" s="708"/>
      <c r="X183" s="708"/>
      <c r="Y183" s="708"/>
      <c r="Z183" s="708"/>
      <c r="AA183" s="708"/>
      <c r="AB183" s="708"/>
      <c r="AC183" s="708"/>
      <c r="AD183" s="708"/>
      <c r="AE183" s="708"/>
      <c r="AF183" s="707">
        <f t="shared" si="5"/>
        <v>0</v>
      </c>
    </row>
    <row r="184" spans="1:32">
      <c r="A184" s="579" t="s">
        <v>1949</v>
      </c>
      <c r="B184" s="708"/>
      <c r="C184" s="708"/>
      <c r="D184" s="708"/>
      <c r="E184" s="708"/>
      <c r="F184" s="708"/>
      <c r="G184" s="708"/>
      <c r="H184" s="708"/>
      <c r="I184" s="708"/>
      <c r="J184" s="708"/>
      <c r="K184" s="708"/>
      <c r="L184" s="708"/>
      <c r="M184" s="708"/>
      <c r="N184" s="708"/>
      <c r="O184" s="235">
        <f t="shared" si="4"/>
        <v>0</v>
      </c>
      <c r="P184" s="708"/>
      <c r="Q184" s="708"/>
      <c r="R184" s="708"/>
      <c r="S184" s="708"/>
      <c r="T184" s="708"/>
      <c r="U184" s="708"/>
      <c r="V184" s="708"/>
      <c r="W184" s="708"/>
      <c r="X184" s="708"/>
      <c r="Y184" s="708"/>
      <c r="Z184" s="708"/>
      <c r="AA184" s="708"/>
      <c r="AB184" s="708"/>
      <c r="AC184" s="708"/>
      <c r="AD184" s="708"/>
      <c r="AE184" s="708"/>
      <c r="AF184" s="707">
        <f t="shared" si="5"/>
        <v>0</v>
      </c>
    </row>
    <row r="185" spans="1:32">
      <c r="A185" s="579" t="s">
        <v>1950</v>
      </c>
      <c r="B185" s="706">
        <v>8470.2291599999899</v>
      </c>
      <c r="C185" s="706">
        <v>9384.1199799999995</v>
      </c>
      <c r="D185" s="706">
        <v>9451.4621999999908</v>
      </c>
      <c r="E185" s="706">
        <v>5184.5480500000003</v>
      </c>
      <c r="F185" s="706">
        <v>5427.3794399999997</v>
      </c>
      <c r="G185" s="706">
        <v>4999.2043000000003</v>
      </c>
      <c r="H185" s="706">
        <v>5030.85743</v>
      </c>
      <c r="I185" s="706">
        <v>5525.3822841239999</v>
      </c>
      <c r="J185" s="706">
        <v>6051.0822038619999</v>
      </c>
      <c r="K185" s="706">
        <v>6471.11868082</v>
      </c>
      <c r="L185" s="706">
        <v>7003.6090189340002</v>
      </c>
      <c r="M185" s="706">
        <v>7471.4732073340001</v>
      </c>
      <c r="N185" s="706">
        <v>7862.1788356959996</v>
      </c>
      <c r="O185" s="235">
        <f t="shared" si="4"/>
        <v>6794.8188300592301</v>
      </c>
      <c r="P185" s="706">
        <v>8381.6025602647296</v>
      </c>
      <c r="Q185" s="706">
        <v>8829.6340715127408</v>
      </c>
      <c r="R185" s="706">
        <v>3661.56035370261</v>
      </c>
      <c r="S185" s="706">
        <v>4158.8308868786498</v>
      </c>
      <c r="T185" s="706">
        <v>4683.31979180704</v>
      </c>
      <c r="U185" s="706">
        <v>5123.4278460320702</v>
      </c>
      <c r="V185" s="706">
        <v>5646.4115360600299</v>
      </c>
      <c r="W185" s="706">
        <v>6167.5615115187302</v>
      </c>
      <c r="X185" s="706">
        <v>6632.7153546607096</v>
      </c>
      <c r="Y185" s="706">
        <v>7182.4140170219198</v>
      </c>
      <c r="Z185" s="706">
        <v>7649.2975672529701</v>
      </c>
      <c r="AA185" s="706">
        <v>8091.3115947216502</v>
      </c>
      <c r="AB185" s="706">
        <v>8624.5881672037594</v>
      </c>
      <c r="AC185" s="706">
        <v>9083.9852686573504</v>
      </c>
      <c r="AD185" s="706">
        <v>3719.8326744513001</v>
      </c>
      <c r="AE185" s="706">
        <v>4231.4240088247498</v>
      </c>
      <c r="AF185" s="707">
        <f t="shared" si="5"/>
        <v>6230.3938634685328</v>
      </c>
    </row>
    <row r="186" spans="1:32">
      <c r="A186" s="579" t="s">
        <v>1951</v>
      </c>
      <c r="B186" s="706">
        <v>136978.22456</v>
      </c>
      <c r="C186" s="706">
        <v>131797.52256000001</v>
      </c>
      <c r="D186" s="706">
        <v>107602.33288</v>
      </c>
      <c r="E186" s="706">
        <v>109215.64968</v>
      </c>
      <c r="F186" s="706">
        <v>123840.452159999</v>
      </c>
      <c r="G186" s="706">
        <v>136762.43487999999</v>
      </c>
      <c r="H186" s="706">
        <v>120925.886479999</v>
      </c>
      <c r="I186" s="706">
        <v>131372.99992914099</v>
      </c>
      <c r="J186" s="706">
        <v>135291.622932787</v>
      </c>
      <c r="K186" s="706">
        <v>124391.256696818</v>
      </c>
      <c r="L186" s="706">
        <v>138369.276059739</v>
      </c>
      <c r="M186" s="706">
        <v>128170.64764722899</v>
      </c>
      <c r="N186" s="706">
        <v>132123.17582963701</v>
      </c>
      <c r="O186" s="235">
        <f t="shared" si="4"/>
        <v>127449.34479194994</v>
      </c>
      <c r="P186" s="706">
        <v>120130.132830057</v>
      </c>
      <c r="Q186" s="706">
        <v>120644.544484743</v>
      </c>
      <c r="R186" s="706">
        <v>125095.338547797</v>
      </c>
      <c r="S186" s="706">
        <v>125036.201288938</v>
      </c>
      <c r="T186" s="706">
        <v>122837.67827048901</v>
      </c>
      <c r="U186" s="706">
        <v>123694.354863905</v>
      </c>
      <c r="V186" s="706">
        <v>123738.820775402</v>
      </c>
      <c r="W186" s="706">
        <v>122163.201551569</v>
      </c>
      <c r="X186" s="706">
        <v>121009.792623079</v>
      </c>
      <c r="Y186" s="706">
        <v>127180.107523003</v>
      </c>
      <c r="Z186" s="706">
        <v>122860.88186771399</v>
      </c>
      <c r="AA186" s="706">
        <v>118241.411258375</v>
      </c>
      <c r="AB186" s="706">
        <v>111347.769215872</v>
      </c>
      <c r="AC186" s="706">
        <v>114465.021586438</v>
      </c>
      <c r="AD186" s="706">
        <v>123765.887331069</v>
      </c>
      <c r="AE186" s="706">
        <v>122853.924314331</v>
      </c>
      <c r="AF186" s="707">
        <f t="shared" si="5"/>
        <v>121476.54249770647</v>
      </c>
    </row>
    <row r="187" spans="1:32" ht="15.75" thickBot="1">
      <c r="A187" s="579" t="s">
        <v>1952</v>
      </c>
      <c r="B187" s="711">
        <v>13845.560740000001</v>
      </c>
      <c r="C187" s="711">
        <v>500.47620999999998</v>
      </c>
      <c r="D187" s="711">
        <v>1595.0740900000001</v>
      </c>
      <c r="E187" s="711">
        <v>0</v>
      </c>
      <c r="F187" s="711">
        <v>1018.27779</v>
      </c>
      <c r="G187" s="711">
        <v>2207.5380399999999</v>
      </c>
      <c r="H187" s="711">
        <v>5878.8361199999999</v>
      </c>
      <c r="I187" s="711">
        <v>5878.8361199999999</v>
      </c>
      <c r="J187" s="711">
        <v>5878.8361199999999</v>
      </c>
      <c r="K187" s="711">
        <v>5878.8361199999999</v>
      </c>
      <c r="L187" s="711">
        <v>5878.8361199999999</v>
      </c>
      <c r="M187" s="711">
        <v>5878.8361199999999</v>
      </c>
      <c r="N187" s="711">
        <v>5878.8361199999999</v>
      </c>
      <c r="O187" s="235">
        <f t="shared" si="4"/>
        <v>4639.9061315384615</v>
      </c>
      <c r="P187" s="711">
        <v>5878.8361199999999</v>
      </c>
      <c r="Q187" s="711">
        <v>5878.8361199999999</v>
      </c>
      <c r="R187" s="711">
        <v>5878.8361199999999</v>
      </c>
      <c r="S187" s="711">
        <v>5878.8361199999999</v>
      </c>
      <c r="T187" s="711">
        <v>5878.8361199999999</v>
      </c>
      <c r="U187" s="711">
        <v>5878.8361199999999</v>
      </c>
      <c r="V187" s="711">
        <v>5878.8361199999999</v>
      </c>
      <c r="W187" s="711">
        <v>5878.8361199999999</v>
      </c>
      <c r="X187" s="711">
        <v>5878.8361199999999</v>
      </c>
      <c r="Y187" s="711">
        <v>5878.8361199999999</v>
      </c>
      <c r="Z187" s="711">
        <v>5878.8361199999999</v>
      </c>
      <c r="AA187" s="711">
        <v>5878.8361199999999</v>
      </c>
      <c r="AB187" s="711">
        <v>5878.8361199999999</v>
      </c>
      <c r="AC187" s="711">
        <v>5878.8361199999999</v>
      </c>
      <c r="AD187" s="711">
        <v>5878.8361199999999</v>
      </c>
      <c r="AE187" s="711">
        <v>5878.8361199999999</v>
      </c>
      <c r="AF187" s="707">
        <f t="shared" si="5"/>
        <v>5878.836119999999</v>
      </c>
    </row>
    <row r="188" spans="1:32">
      <c r="A188" s="579" t="s">
        <v>1949</v>
      </c>
      <c r="B188" s="706">
        <v>159294.01445999899</v>
      </c>
      <c r="C188" s="706">
        <v>141682.11874999999</v>
      </c>
      <c r="D188" s="706">
        <v>118648.869169999</v>
      </c>
      <c r="E188" s="706">
        <v>114400.19773</v>
      </c>
      <c r="F188" s="706">
        <v>130286.10939</v>
      </c>
      <c r="G188" s="706">
        <v>143969.17722000001</v>
      </c>
      <c r="H188" s="706">
        <v>131835.58002999899</v>
      </c>
      <c r="I188" s="706">
        <v>142777.21833326499</v>
      </c>
      <c r="J188" s="706">
        <v>147221.54125664901</v>
      </c>
      <c r="K188" s="706">
        <v>136741.211497638</v>
      </c>
      <c r="L188" s="706">
        <v>151251.72119867301</v>
      </c>
      <c r="M188" s="706">
        <v>141520.95697456301</v>
      </c>
      <c r="N188" s="706">
        <v>145864.19078533299</v>
      </c>
      <c r="O188" s="235">
        <f t="shared" si="4"/>
        <v>138884.06975354755</v>
      </c>
      <c r="P188" s="706">
        <v>134390.57151032201</v>
      </c>
      <c r="Q188" s="706">
        <v>135353.01467625599</v>
      </c>
      <c r="R188" s="706">
        <v>134635.7350215</v>
      </c>
      <c r="S188" s="706">
        <v>135073.868295817</v>
      </c>
      <c r="T188" s="706">
        <v>133399.83418229601</v>
      </c>
      <c r="U188" s="706">
        <v>134696.61882993701</v>
      </c>
      <c r="V188" s="706">
        <v>135264.06843146199</v>
      </c>
      <c r="W188" s="706">
        <v>134209.59918308799</v>
      </c>
      <c r="X188" s="706">
        <v>133521.34409773999</v>
      </c>
      <c r="Y188" s="706">
        <v>140241.35766002501</v>
      </c>
      <c r="Z188" s="706">
        <v>136389.01555496699</v>
      </c>
      <c r="AA188" s="706">
        <v>132211.55897309599</v>
      </c>
      <c r="AB188" s="706">
        <v>125851.193503075</v>
      </c>
      <c r="AC188" s="706">
        <v>129427.842975095</v>
      </c>
      <c r="AD188" s="706">
        <v>133364.55612552099</v>
      </c>
      <c r="AE188" s="706">
        <v>132964.184443156</v>
      </c>
      <c r="AF188" s="707">
        <f t="shared" si="5"/>
        <v>133585.77248117499</v>
      </c>
    </row>
    <row r="189" spans="1:32">
      <c r="A189" s="579"/>
      <c r="B189" s="708"/>
      <c r="C189" s="708"/>
      <c r="D189" s="708"/>
      <c r="E189" s="708"/>
      <c r="F189" s="708"/>
      <c r="G189" s="708"/>
      <c r="H189" s="708"/>
      <c r="I189" s="708"/>
      <c r="J189" s="708"/>
      <c r="K189" s="708"/>
      <c r="L189" s="708"/>
      <c r="M189" s="708"/>
      <c r="N189" s="708"/>
      <c r="O189" s="235">
        <f t="shared" si="4"/>
        <v>0</v>
      </c>
      <c r="P189" s="708"/>
      <c r="Q189" s="708"/>
      <c r="R189" s="708"/>
      <c r="S189" s="708"/>
      <c r="T189" s="708"/>
      <c r="U189" s="708"/>
      <c r="V189" s="708"/>
      <c r="W189" s="708"/>
      <c r="X189" s="708"/>
      <c r="Y189" s="708"/>
      <c r="Z189" s="708"/>
      <c r="AA189" s="708"/>
      <c r="AB189" s="708"/>
      <c r="AC189" s="708"/>
      <c r="AD189" s="708"/>
      <c r="AE189" s="708"/>
      <c r="AF189" s="707">
        <f t="shared" si="5"/>
        <v>0</v>
      </c>
    </row>
    <row r="190" spans="1:32">
      <c r="A190" s="579" t="s">
        <v>1953</v>
      </c>
      <c r="B190" s="708"/>
      <c r="C190" s="708"/>
      <c r="D190" s="708"/>
      <c r="E190" s="708"/>
      <c r="F190" s="708"/>
      <c r="G190" s="708"/>
      <c r="H190" s="708"/>
      <c r="I190" s="708"/>
      <c r="J190" s="708"/>
      <c r="K190" s="708"/>
      <c r="L190" s="708"/>
      <c r="M190" s="708"/>
      <c r="N190" s="708"/>
      <c r="O190" s="235">
        <f t="shared" si="4"/>
        <v>0</v>
      </c>
      <c r="P190" s="708"/>
      <c r="Q190" s="708"/>
      <c r="R190" s="708"/>
      <c r="S190" s="708"/>
      <c r="T190" s="708"/>
      <c r="U190" s="708"/>
      <c r="V190" s="708"/>
      <c r="W190" s="708"/>
      <c r="X190" s="708"/>
      <c r="Y190" s="708"/>
      <c r="Z190" s="708"/>
      <c r="AA190" s="708"/>
      <c r="AB190" s="708"/>
      <c r="AC190" s="708"/>
      <c r="AD190" s="708"/>
      <c r="AE190" s="708"/>
      <c r="AF190" s="707">
        <f t="shared" si="5"/>
        <v>0</v>
      </c>
    </row>
    <row r="191" spans="1:32">
      <c r="A191" s="579" t="s">
        <v>1954</v>
      </c>
      <c r="B191" s="706">
        <v>0</v>
      </c>
      <c r="C191" s="706">
        <v>0</v>
      </c>
      <c r="D191" s="706">
        <v>0</v>
      </c>
      <c r="E191" s="706">
        <v>0</v>
      </c>
      <c r="F191" s="706">
        <v>0</v>
      </c>
      <c r="G191" s="706">
        <v>0</v>
      </c>
      <c r="H191" s="706">
        <v>0</v>
      </c>
      <c r="I191" s="706">
        <v>138.32882999999899</v>
      </c>
      <c r="J191" s="706">
        <v>627.83322999999996</v>
      </c>
      <c r="K191" s="706">
        <v>2066.0144299999902</v>
      </c>
      <c r="L191" s="706">
        <v>1606.91982999999</v>
      </c>
      <c r="M191" s="706">
        <v>2753.0353299999902</v>
      </c>
      <c r="N191" s="706">
        <v>6206.5052299999898</v>
      </c>
      <c r="O191" s="235">
        <f t="shared" si="4"/>
        <v>1030.6643753846122</v>
      </c>
      <c r="P191" s="706">
        <v>6459.8333299999904</v>
      </c>
      <c r="Q191" s="706">
        <v>4931.3479299999899</v>
      </c>
      <c r="R191" s="706">
        <v>4320.37272999999</v>
      </c>
      <c r="S191" s="706">
        <v>2772.6395299999899</v>
      </c>
      <c r="T191" s="706">
        <v>2511.0443299999902</v>
      </c>
      <c r="U191" s="706">
        <v>1834.7549299999901</v>
      </c>
      <c r="V191" s="706">
        <v>1779.9694299999901</v>
      </c>
      <c r="W191" s="706">
        <v>1941.60752999999</v>
      </c>
      <c r="X191" s="706">
        <v>2752.4137299999902</v>
      </c>
      <c r="Y191" s="706">
        <v>3318.0635299999899</v>
      </c>
      <c r="Z191" s="706">
        <v>5848.1894300000004</v>
      </c>
      <c r="AA191" s="706">
        <v>7101.2389300000004</v>
      </c>
      <c r="AB191" s="706">
        <v>7428.5877299999902</v>
      </c>
      <c r="AC191" s="706">
        <v>5745.6041299999997</v>
      </c>
      <c r="AD191" s="706">
        <v>9935.5712299999996</v>
      </c>
      <c r="AE191" s="706">
        <v>3907.11752999999</v>
      </c>
      <c r="AF191" s="707">
        <f t="shared" si="5"/>
        <v>4375.1386146153782</v>
      </c>
    </row>
    <row r="192" spans="1:32" ht="15.75" thickBot="1">
      <c r="A192" s="579" t="s">
        <v>1955</v>
      </c>
      <c r="B192" s="711">
        <v>53209.388209999997</v>
      </c>
      <c r="C192" s="711">
        <v>49234.620470000002</v>
      </c>
      <c r="D192" s="711">
        <v>37825.110220000002</v>
      </c>
      <c r="E192" s="711">
        <v>54228.749020000003</v>
      </c>
      <c r="F192" s="711">
        <v>54912.887560000003</v>
      </c>
      <c r="G192" s="711">
        <v>39039.493170000002</v>
      </c>
      <c r="H192" s="711">
        <v>41999.542979999998</v>
      </c>
      <c r="I192" s="711">
        <v>41418.182106426699</v>
      </c>
      <c r="J192" s="711">
        <v>41418.182106426699</v>
      </c>
      <c r="K192" s="711">
        <v>41999.542979999998</v>
      </c>
      <c r="L192" s="711">
        <v>41418.182106426699</v>
      </c>
      <c r="M192" s="711">
        <v>41418.182106426699</v>
      </c>
      <c r="N192" s="711">
        <v>41999.542979999998</v>
      </c>
      <c r="O192" s="235">
        <f t="shared" si="4"/>
        <v>44624.738924285135</v>
      </c>
      <c r="P192" s="711">
        <v>41418.182106426699</v>
      </c>
      <c r="Q192" s="711">
        <v>41418.182106426699</v>
      </c>
      <c r="R192" s="711">
        <v>41607.605898928501</v>
      </c>
      <c r="S192" s="711">
        <v>41418.182106426699</v>
      </c>
      <c r="T192" s="711">
        <v>41418.182106426699</v>
      </c>
      <c r="U192" s="711">
        <v>41607.605898928501</v>
      </c>
      <c r="V192" s="711">
        <v>41418.182106426699</v>
      </c>
      <c r="W192" s="711">
        <v>41418.182106426699</v>
      </c>
      <c r="X192" s="711">
        <v>41607.605898928501</v>
      </c>
      <c r="Y192" s="711">
        <v>41418.182106426699</v>
      </c>
      <c r="Z192" s="711">
        <v>41418.182106426699</v>
      </c>
      <c r="AA192" s="711">
        <v>41607.605898928501</v>
      </c>
      <c r="AB192" s="711">
        <v>41418.182106426699</v>
      </c>
      <c r="AC192" s="711">
        <v>41418.182106426699</v>
      </c>
      <c r="AD192" s="711">
        <v>41518.504528539903</v>
      </c>
      <c r="AE192" s="711">
        <v>41418.182106426699</v>
      </c>
      <c r="AF192" s="707">
        <f t="shared" si="5"/>
        <v>41469.612398705052</v>
      </c>
    </row>
    <row r="193" spans="1:32">
      <c r="A193" s="579" t="s">
        <v>1953</v>
      </c>
      <c r="B193" s="706">
        <v>53209.388209999997</v>
      </c>
      <c r="C193" s="706">
        <v>49234.620470000002</v>
      </c>
      <c r="D193" s="706">
        <v>37825.110220000002</v>
      </c>
      <c r="E193" s="706">
        <v>54228.749020000003</v>
      </c>
      <c r="F193" s="706">
        <v>54912.887560000003</v>
      </c>
      <c r="G193" s="706">
        <v>39039.493170000002</v>
      </c>
      <c r="H193" s="706">
        <v>41999.542979999998</v>
      </c>
      <c r="I193" s="706">
        <v>41556.510936426697</v>
      </c>
      <c r="J193" s="706">
        <v>42046.015336426703</v>
      </c>
      <c r="K193" s="706">
        <v>44065.557409999899</v>
      </c>
      <c r="L193" s="706">
        <v>43025.101936426698</v>
      </c>
      <c r="M193" s="706">
        <v>44171.217436426698</v>
      </c>
      <c r="N193" s="706">
        <v>48206.048209999899</v>
      </c>
      <c r="O193" s="235">
        <f t="shared" si="4"/>
        <v>45655.403299669735</v>
      </c>
      <c r="P193" s="706">
        <v>47878.0154364267</v>
      </c>
      <c r="Q193" s="706">
        <v>46349.530036426702</v>
      </c>
      <c r="R193" s="706">
        <v>45927.978628928497</v>
      </c>
      <c r="S193" s="706">
        <v>44190.821636426699</v>
      </c>
      <c r="T193" s="706">
        <v>43929.226436426703</v>
      </c>
      <c r="U193" s="706">
        <v>43442.360828928497</v>
      </c>
      <c r="V193" s="706">
        <v>43198.151536426703</v>
      </c>
      <c r="W193" s="706">
        <v>43359.7896364267</v>
      </c>
      <c r="X193" s="706">
        <v>44360.019628928501</v>
      </c>
      <c r="Y193" s="706">
        <v>44736.245636426698</v>
      </c>
      <c r="Z193" s="706">
        <v>47266.371536426697</v>
      </c>
      <c r="AA193" s="706">
        <v>48708.844828928501</v>
      </c>
      <c r="AB193" s="706">
        <v>48846.769836426698</v>
      </c>
      <c r="AC193" s="706">
        <v>47163.786236426698</v>
      </c>
      <c r="AD193" s="706">
        <v>51454.075758539897</v>
      </c>
      <c r="AE193" s="706">
        <v>45325.299636426702</v>
      </c>
      <c r="AF193" s="707">
        <f t="shared" si="5"/>
        <v>45844.751013320434</v>
      </c>
    </row>
    <row r="194" spans="1:32">
      <c r="A194" s="579"/>
      <c r="B194" s="708"/>
      <c r="C194" s="708"/>
      <c r="D194" s="708"/>
      <c r="E194" s="708"/>
      <c r="F194" s="708"/>
      <c r="G194" s="708"/>
      <c r="H194" s="708"/>
      <c r="I194" s="708"/>
      <c r="J194" s="708"/>
      <c r="K194" s="708"/>
      <c r="L194" s="708"/>
      <c r="M194" s="708"/>
      <c r="N194" s="708"/>
      <c r="O194" s="235">
        <f t="shared" si="4"/>
        <v>0</v>
      </c>
      <c r="P194" s="708"/>
      <c r="Q194" s="708"/>
      <c r="R194" s="708"/>
      <c r="S194" s="708"/>
      <c r="T194" s="708"/>
      <c r="U194" s="708"/>
      <c r="V194" s="708"/>
      <c r="W194" s="708"/>
      <c r="X194" s="708"/>
      <c r="Y194" s="708"/>
      <c r="Z194" s="708"/>
      <c r="AA194" s="708"/>
      <c r="AB194" s="708"/>
      <c r="AC194" s="708"/>
      <c r="AD194" s="708"/>
      <c r="AE194" s="708"/>
      <c r="AF194" s="707">
        <f t="shared" si="5"/>
        <v>0</v>
      </c>
    </row>
    <row r="195" spans="1:32">
      <c r="A195" s="579" t="s">
        <v>1956</v>
      </c>
      <c r="B195" s="706">
        <v>30584.515169999999</v>
      </c>
      <c r="C195" s="706">
        <v>30719.082579999998</v>
      </c>
      <c r="D195" s="706">
        <v>30856.914059999999</v>
      </c>
      <c r="E195" s="706">
        <v>30993.709279999999</v>
      </c>
      <c r="F195" s="706">
        <v>30979.440269999999</v>
      </c>
      <c r="G195" s="706">
        <v>30764.8396499999</v>
      </c>
      <c r="H195" s="706">
        <v>30898.393370000002</v>
      </c>
      <c r="I195" s="706">
        <v>30898.393370000002</v>
      </c>
      <c r="J195" s="706">
        <v>30898.393370000002</v>
      </c>
      <c r="K195" s="706">
        <v>30898.393370000002</v>
      </c>
      <c r="L195" s="706">
        <v>30898.393370000002</v>
      </c>
      <c r="M195" s="706">
        <v>30898.393370000002</v>
      </c>
      <c r="N195" s="706">
        <v>30898.393370000002</v>
      </c>
      <c r="O195" s="235">
        <f t="shared" si="4"/>
        <v>30860.558046153841</v>
      </c>
      <c r="P195" s="706">
        <v>30898.393370000002</v>
      </c>
      <c r="Q195" s="706">
        <v>30898.393370000002</v>
      </c>
      <c r="R195" s="706">
        <v>30898.393370000002</v>
      </c>
      <c r="S195" s="706">
        <v>30898.393370000002</v>
      </c>
      <c r="T195" s="706">
        <v>30898.393370000002</v>
      </c>
      <c r="U195" s="706">
        <v>30898.393370000002</v>
      </c>
      <c r="V195" s="706">
        <v>30898.393370000002</v>
      </c>
      <c r="W195" s="706">
        <v>30898.393370000002</v>
      </c>
      <c r="X195" s="706">
        <v>30898.393370000002</v>
      </c>
      <c r="Y195" s="706">
        <v>30898.393370000002</v>
      </c>
      <c r="Z195" s="706">
        <v>30898.393370000002</v>
      </c>
      <c r="AA195" s="706">
        <v>30898.393370000002</v>
      </c>
      <c r="AB195" s="706">
        <v>30898.393370000002</v>
      </c>
      <c r="AC195" s="706">
        <v>30898.393370000002</v>
      </c>
      <c r="AD195" s="706">
        <v>30898.393370000002</v>
      </c>
      <c r="AE195" s="706">
        <v>30898.393370000002</v>
      </c>
      <c r="AF195" s="707">
        <f t="shared" si="5"/>
        <v>30898.393370000002</v>
      </c>
    </row>
    <row r="196" spans="1:32">
      <c r="A196" s="579"/>
      <c r="B196" s="708"/>
      <c r="C196" s="708"/>
      <c r="D196" s="708"/>
      <c r="E196" s="708"/>
      <c r="F196" s="708"/>
      <c r="G196" s="708"/>
      <c r="H196" s="708"/>
      <c r="I196" s="708"/>
      <c r="J196" s="708"/>
      <c r="K196" s="708"/>
      <c r="L196" s="708"/>
      <c r="M196" s="708"/>
      <c r="N196" s="708"/>
      <c r="O196" s="235">
        <f t="shared" si="4"/>
        <v>0</v>
      </c>
      <c r="P196" s="708"/>
      <c r="Q196" s="708"/>
      <c r="R196" s="708"/>
      <c r="S196" s="708"/>
      <c r="T196" s="708"/>
      <c r="U196" s="708"/>
      <c r="V196" s="708"/>
      <c r="W196" s="708"/>
      <c r="X196" s="708"/>
      <c r="Y196" s="708"/>
      <c r="Z196" s="708"/>
      <c r="AA196" s="708"/>
      <c r="AB196" s="708"/>
      <c r="AC196" s="708"/>
      <c r="AD196" s="708"/>
      <c r="AE196" s="708"/>
      <c r="AF196" s="707">
        <f t="shared" si="5"/>
        <v>0</v>
      </c>
    </row>
    <row r="197" spans="1:32">
      <c r="A197" s="579" t="s">
        <v>1957</v>
      </c>
      <c r="B197" s="706">
        <v>18835.542000000001</v>
      </c>
      <c r="C197" s="706">
        <v>20430.84418</v>
      </c>
      <c r="D197" s="706">
        <v>29330.54837</v>
      </c>
      <c r="E197" s="706">
        <v>33080.200080000002</v>
      </c>
      <c r="F197" s="706">
        <v>21673.072909999999</v>
      </c>
      <c r="G197" s="706">
        <v>31512.49439</v>
      </c>
      <c r="H197" s="706">
        <v>22610.38636</v>
      </c>
      <c r="I197" s="706">
        <v>32430.522790389499</v>
      </c>
      <c r="J197" s="706">
        <v>42652.331083738398</v>
      </c>
      <c r="K197" s="706">
        <v>24316.9582493575</v>
      </c>
      <c r="L197" s="706">
        <v>14585.594018891299</v>
      </c>
      <c r="M197" s="706">
        <v>23413.913893765799</v>
      </c>
      <c r="N197" s="706">
        <v>18272.400621629</v>
      </c>
      <c r="O197" s="235">
        <f t="shared" si="4"/>
        <v>25626.523765213187</v>
      </c>
      <c r="P197" s="706">
        <v>28103.787878533301</v>
      </c>
      <c r="Q197" s="706">
        <v>28933.539836714899</v>
      </c>
      <c r="R197" s="706">
        <v>19022.853560075499</v>
      </c>
      <c r="S197" s="706">
        <v>14586.503032999301</v>
      </c>
      <c r="T197" s="706">
        <v>21449.3116097194</v>
      </c>
      <c r="U197" s="706">
        <v>16133.142422215</v>
      </c>
      <c r="V197" s="706">
        <v>25798.661811720602</v>
      </c>
      <c r="W197" s="706">
        <v>36016.583856618301</v>
      </c>
      <c r="X197" s="706">
        <v>28000.0600508147</v>
      </c>
      <c r="Y197" s="706">
        <v>15870.4417907927</v>
      </c>
      <c r="Z197" s="706">
        <v>22953.547054703198</v>
      </c>
      <c r="AA197" s="706">
        <v>19922.454124192798</v>
      </c>
      <c r="AB197" s="706">
        <v>28733.421775873201</v>
      </c>
      <c r="AC197" s="706">
        <v>28335.913467987099</v>
      </c>
      <c r="AD197" s="706">
        <v>28365.6471383844</v>
      </c>
      <c r="AE197" s="706">
        <v>13389.7064629366</v>
      </c>
      <c r="AF197" s="707">
        <f t="shared" si="5"/>
        <v>23042.722661458251</v>
      </c>
    </row>
    <row r="198" spans="1:32">
      <c r="A198" s="579"/>
      <c r="B198" s="708"/>
      <c r="C198" s="708"/>
      <c r="D198" s="708"/>
      <c r="E198" s="708"/>
      <c r="F198" s="708"/>
      <c r="G198" s="708"/>
      <c r="H198" s="708"/>
      <c r="I198" s="708"/>
      <c r="J198" s="708"/>
      <c r="K198" s="708"/>
      <c r="L198" s="708"/>
      <c r="M198" s="708"/>
      <c r="N198" s="708"/>
      <c r="O198" s="235">
        <f t="shared" si="4"/>
        <v>0</v>
      </c>
      <c r="P198" s="708"/>
      <c r="Q198" s="708"/>
      <c r="R198" s="708"/>
      <c r="S198" s="708"/>
      <c r="T198" s="708"/>
      <c r="U198" s="708"/>
      <c r="V198" s="708"/>
      <c r="W198" s="708"/>
      <c r="X198" s="708"/>
      <c r="Y198" s="708"/>
      <c r="Z198" s="708"/>
      <c r="AA198" s="708"/>
      <c r="AB198" s="708"/>
      <c r="AC198" s="708"/>
      <c r="AD198" s="708"/>
      <c r="AE198" s="708"/>
      <c r="AF198" s="707">
        <f t="shared" si="5"/>
        <v>0</v>
      </c>
    </row>
    <row r="199" spans="1:32">
      <c r="A199" s="579" t="s">
        <v>1958</v>
      </c>
      <c r="O199" s="235">
        <f t="shared" si="4"/>
        <v>0</v>
      </c>
      <c r="AF199" s="707">
        <f t="shared" si="5"/>
        <v>0</v>
      </c>
    </row>
    <row r="200" spans="1:32" ht="15.75" thickBot="1">
      <c r="A200" s="579" t="s">
        <v>1959</v>
      </c>
      <c r="B200" s="711">
        <v>16161.23977</v>
      </c>
      <c r="C200" s="711">
        <v>23562.967379999998</v>
      </c>
      <c r="D200" s="711">
        <v>30859.620859999999</v>
      </c>
      <c r="E200" s="711">
        <v>37777.302259999997</v>
      </c>
      <c r="F200" s="711">
        <v>35636.242720000002</v>
      </c>
      <c r="G200" s="711">
        <v>9796.22811</v>
      </c>
      <c r="H200" s="711">
        <v>16095.917460000001</v>
      </c>
      <c r="I200" s="711">
        <v>23439.438702708299</v>
      </c>
      <c r="J200" s="711">
        <v>30633.315876666598</v>
      </c>
      <c r="K200" s="711">
        <v>37439.5604809375</v>
      </c>
      <c r="L200" s="711">
        <v>35158.486827208297</v>
      </c>
      <c r="M200" s="711">
        <v>9156.0190016666602</v>
      </c>
      <c r="N200" s="711">
        <v>16101.169186187501</v>
      </c>
      <c r="O200" s="235">
        <f t="shared" si="4"/>
        <v>24755.192971951914</v>
      </c>
      <c r="P200" s="711">
        <v>23419.518009645799</v>
      </c>
      <c r="Q200" s="711">
        <v>30561.815876666598</v>
      </c>
      <c r="R200" s="711">
        <v>37379.260698625003</v>
      </c>
      <c r="S200" s="711">
        <v>35108.707683458299</v>
      </c>
      <c r="T200" s="711">
        <v>10309.5190016666</v>
      </c>
      <c r="U200" s="711">
        <v>18561.142765625002</v>
      </c>
      <c r="V200" s="711">
        <v>27113.496944270799</v>
      </c>
      <c r="W200" s="711">
        <v>35461.815876666602</v>
      </c>
      <c r="X200" s="711">
        <v>43512.560384812503</v>
      </c>
      <c r="Y200" s="711">
        <v>42577.291074675697</v>
      </c>
      <c r="Z200" s="711">
        <v>9290.1774976015604</v>
      </c>
      <c r="AA200" s="711">
        <v>17651.374535152299</v>
      </c>
      <c r="AB200" s="711">
        <v>26312.711445140601</v>
      </c>
      <c r="AC200" s="711">
        <v>34750.962116503899</v>
      </c>
      <c r="AD200" s="711">
        <v>42292.3095703125</v>
      </c>
      <c r="AE200" s="711">
        <v>41361.0512678632</v>
      </c>
      <c r="AF200" s="707">
        <f t="shared" si="5"/>
        <v>29561.778474134582</v>
      </c>
    </row>
    <row r="201" spans="1:32">
      <c r="A201" s="579" t="s">
        <v>1958</v>
      </c>
      <c r="B201" s="706">
        <v>16161.23977</v>
      </c>
      <c r="C201" s="706">
        <v>23562.967379999998</v>
      </c>
      <c r="D201" s="706">
        <v>30859.620859999999</v>
      </c>
      <c r="E201" s="706">
        <v>37777.302259999997</v>
      </c>
      <c r="F201" s="706">
        <v>35636.242720000002</v>
      </c>
      <c r="G201" s="706">
        <v>9796.22811</v>
      </c>
      <c r="H201" s="706">
        <v>16095.917460000001</v>
      </c>
      <c r="I201" s="706">
        <v>23439.438702708299</v>
      </c>
      <c r="J201" s="706">
        <v>30633.315876666598</v>
      </c>
      <c r="K201" s="706">
        <v>37439.5604809375</v>
      </c>
      <c r="L201" s="706">
        <v>35158.486827208297</v>
      </c>
      <c r="M201" s="706">
        <v>9156.0190016666602</v>
      </c>
      <c r="N201" s="706">
        <v>16101.169186187501</v>
      </c>
      <c r="O201" s="235">
        <f t="shared" si="4"/>
        <v>24755.192971951914</v>
      </c>
      <c r="P201" s="706">
        <v>23419.518009645799</v>
      </c>
      <c r="Q201" s="706">
        <v>30561.815876666598</v>
      </c>
      <c r="R201" s="706">
        <v>37379.260698625003</v>
      </c>
      <c r="S201" s="706">
        <v>35108.707683458299</v>
      </c>
      <c r="T201" s="706">
        <v>10309.5190016666</v>
      </c>
      <c r="U201" s="706">
        <v>18561.142765625002</v>
      </c>
      <c r="V201" s="706">
        <v>27113.496944270799</v>
      </c>
      <c r="W201" s="706">
        <v>35461.815876666602</v>
      </c>
      <c r="X201" s="706">
        <v>43512.560384812503</v>
      </c>
      <c r="Y201" s="706">
        <v>42577.291074675697</v>
      </c>
      <c r="Z201" s="706">
        <v>9290.1774976015604</v>
      </c>
      <c r="AA201" s="706">
        <v>17651.374535152299</v>
      </c>
      <c r="AB201" s="706">
        <v>26312.711445140601</v>
      </c>
      <c r="AC201" s="706">
        <v>34750.962116503899</v>
      </c>
      <c r="AD201" s="706">
        <v>42292.3095703125</v>
      </c>
      <c r="AE201" s="706">
        <v>41361.0512678632</v>
      </c>
      <c r="AF201" s="707">
        <f t="shared" si="5"/>
        <v>29561.778474134582</v>
      </c>
    </row>
    <row r="202" spans="1:32">
      <c r="A202" s="579"/>
      <c r="B202" s="708"/>
      <c r="C202" s="708"/>
      <c r="D202" s="708"/>
      <c r="E202" s="708"/>
      <c r="F202" s="708"/>
      <c r="G202" s="708"/>
      <c r="H202" s="708"/>
      <c r="I202" s="708"/>
      <c r="J202" s="708"/>
      <c r="K202" s="708"/>
      <c r="L202" s="708"/>
      <c r="M202" s="708"/>
      <c r="N202" s="708"/>
      <c r="O202" s="235">
        <f t="shared" si="4"/>
        <v>0</v>
      </c>
      <c r="P202" s="708"/>
      <c r="Q202" s="708"/>
      <c r="R202" s="708"/>
      <c r="S202" s="708"/>
      <c r="T202" s="708"/>
      <c r="U202" s="708"/>
      <c r="V202" s="708"/>
      <c r="W202" s="708"/>
      <c r="X202" s="708"/>
      <c r="Y202" s="708"/>
      <c r="Z202" s="708"/>
      <c r="AA202" s="708"/>
      <c r="AB202" s="708"/>
      <c r="AC202" s="708"/>
      <c r="AD202" s="708"/>
      <c r="AE202" s="708"/>
      <c r="AF202" s="707">
        <f t="shared" si="5"/>
        <v>0</v>
      </c>
    </row>
    <row r="203" spans="1:32">
      <c r="A203" s="579" t="s">
        <v>1960</v>
      </c>
      <c r="B203" s="706">
        <v>0</v>
      </c>
      <c r="C203" s="706">
        <v>0</v>
      </c>
      <c r="D203" s="706">
        <v>0</v>
      </c>
      <c r="E203" s="706">
        <v>0</v>
      </c>
      <c r="F203" s="706">
        <v>0</v>
      </c>
      <c r="G203" s="706">
        <v>0</v>
      </c>
      <c r="H203" s="706">
        <v>0</v>
      </c>
      <c r="I203" s="706">
        <v>0</v>
      </c>
      <c r="J203" s="706">
        <v>0</v>
      </c>
      <c r="K203" s="706">
        <v>0</v>
      </c>
      <c r="L203" s="706">
        <v>0</v>
      </c>
      <c r="M203" s="706">
        <v>0</v>
      </c>
      <c r="N203" s="706">
        <v>0</v>
      </c>
      <c r="O203" s="235">
        <f t="shared" ref="O203:O266" si="6">SUM(B203:N203)/13</f>
        <v>0</v>
      </c>
      <c r="P203" s="706">
        <v>0</v>
      </c>
      <c r="Q203" s="706">
        <v>0</v>
      </c>
      <c r="R203" s="706">
        <v>0</v>
      </c>
      <c r="S203" s="706">
        <v>0</v>
      </c>
      <c r="T203" s="706">
        <v>0</v>
      </c>
      <c r="U203" s="706">
        <v>0</v>
      </c>
      <c r="V203" s="706">
        <v>0</v>
      </c>
      <c r="W203" s="706">
        <v>0</v>
      </c>
      <c r="X203" s="706">
        <v>0</v>
      </c>
      <c r="Y203" s="706">
        <v>0</v>
      </c>
      <c r="Z203" s="706">
        <v>0</v>
      </c>
      <c r="AA203" s="706">
        <v>0</v>
      </c>
      <c r="AB203" s="706">
        <v>0</v>
      </c>
      <c r="AC203" s="706">
        <v>0</v>
      </c>
      <c r="AD203" s="706">
        <v>0</v>
      </c>
      <c r="AE203" s="706">
        <v>0</v>
      </c>
      <c r="AF203" s="707">
        <f t="shared" ref="AF203:AF266" si="7">SUM(S203:AE203)/13</f>
        <v>0</v>
      </c>
    </row>
    <row r="204" spans="1:32">
      <c r="A204" s="579"/>
      <c r="B204" s="708"/>
      <c r="C204" s="708"/>
      <c r="D204" s="708"/>
      <c r="E204" s="708"/>
      <c r="F204" s="708"/>
      <c r="G204" s="708"/>
      <c r="H204" s="708"/>
      <c r="I204" s="708"/>
      <c r="J204" s="708"/>
      <c r="K204" s="708"/>
      <c r="L204" s="708"/>
      <c r="M204" s="708"/>
      <c r="N204" s="708"/>
      <c r="O204" s="235">
        <f t="shared" si="6"/>
        <v>0</v>
      </c>
      <c r="P204" s="708"/>
      <c r="Q204" s="708"/>
      <c r="R204" s="708"/>
      <c r="S204" s="708"/>
      <c r="T204" s="708"/>
      <c r="U204" s="708"/>
      <c r="V204" s="708"/>
      <c r="W204" s="708"/>
      <c r="X204" s="708"/>
      <c r="Y204" s="708"/>
      <c r="Z204" s="708"/>
      <c r="AA204" s="708"/>
      <c r="AB204" s="708"/>
      <c r="AC204" s="708"/>
      <c r="AD204" s="708"/>
      <c r="AE204" s="708"/>
      <c r="AF204" s="707">
        <f t="shared" si="7"/>
        <v>0</v>
      </c>
    </row>
    <row r="205" spans="1:32">
      <c r="A205" s="579" t="s">
        <v>1961</v>
      </c>
      <c r="B205" s="708"/>
      <c r="C205" s="708"/>
      <c r="D205" s="708"/>
      <c r="E205" s="708"/>
      <c r="F205" s="708"/>
      <c r="G205" s="708"/>
      <c r="H205" s="708"/>
      <c r="I205" s="708"/>
      <c r="J205" s="708"/>
      <c r="K205" s="708"/>
      <c r="L205" s="708"/>
      <c r="M205" s="708"/>
      <c r="N205" s="708"/>
      <c r="O205" s="235">
        <f t="shared" si="6"/>
        <v>0</v>
      </c>
      <c r="P205" s="708"/>
      <c r="Q205" s="708"/>
      <c r="R205" s="708"/>
      <c r="S205" s="708"/>
      <c r="T205" s="708"/>
      <c r="U205" s="708"/>
      <c r="V205" s="708"/>
      <c r="W205" s="708"/>
      <c r="X205" s="708"/>
      <c r="Y205" s="708"/>
      <c r="Z205" s="708"/>
      <c r="AA205" s="708"/>
      <c r="AB205" s="708"/>
      <c r="AC205" s="708"/>
      <c r="AD205" s="708"/>
      <c r="AE205" s="708"/>
      <c r="AF205" s="707">
        <f t="shared" si="7"/>
        <v>0</v>
      </c>
    </row>
    <row r="206" spans="1:32">
      <c r="A206" s="579" t="s">
        <v>1962</v>
      </c>
      <c r="B206" s="706">
        <v>3950.0809399999998</v>
      </c>
      <c r="C206" s="706">
        <v>5948.5748899999999</v>
      </c>
      <c r="D206" s="706">
        <v>4161.2675099999997</v>
      </c>
      <c r="E206" s="706">
        <v>4025.7656299999899</v>
      </c>
      <c r="F206" s="706">
        <v>3620.0906799999998</v>
      </c>
      <c r="G206" s="706">
        <v>3616.5470099999998</v>
      </c>
      <c r="H206" s="706">
        <v>4042.39122</v>
      </c>
      <c r="I206" s="706">
        <v>4042.39122</v>
      </c>
      <c r="J206" s="706">
        <v>4042.39122</v>
      </c>
      <c r="K206" s="706">
        <v>4042.39122</v>
      </c>
      <c r="L206" s="706">
        <v>4042.39122</v>
      </c>
      <c r="M206" s="706">
        <v>4042.39122</v>
      </c>
      <c r="N206" s="706">
        <v>4042.39122</v>
      </c>
      <c r="O206" s="235">
        <f t="shared" si="6"/>
        <v>4124.5434769230751</v>
      </c>
      <c r="P206" s="706">
        <v>4042.39122</v>
      </c>
      <c r="Q206" s="706">
        <v>4042.39122</v>
      </c>
      <c r="R206" s="706">
        <v>4042.39122</v>
      </c>
      <c r="S206" s="706">
        <v>4042.39122</v>
      </c>
      <c r="T206" s="706">
        <v>4042.39122</v>
      </c>
      <c r="U206" s="706">
        <v>4042.39122</v>
      </c>
      <c r="V206" s="706">
        <v>4042.39122</v>
      </c>
      <c r="W206" s="706">
        <v>4042.39122</v>
      </c>
      <c r="X206" s="706">
        <v>4042.39122</v>
      </c>
      <c r="Y206" s="706">
        <v>4042.39122</v>
      </c>
      <c r="Z206" s="706">
        <v>4042.39122</v>
      </c>
      <c r="AA206" s="706">
        <v>4042.39122</v>
      </c>
      <c r="AB206" s="706">
        <v>4042.39122</v>
      </c>
      <c r="AC206" s="706">
        <v>4042.39122</v>
      </c>
      <c r="AD206" s="706">
        <v>4042.39122</v>
      </c>
      <c r="AE206" s="706">
        <v>4042.39122</v>
      </c>
      <c r="AF206" s="707">
        <f t="shared" si="7"/>
        <v>4042.3912199999995</v>
      </c>
    </row>
    <row r="207" spans="1:32">
      <c r="A207" s="579" t="s">
        <v>1963</v>
      </c>
      <c r="B207" s="706">
        <v>200.14672999999999</v>
      </c>
      <c r="C207" s="706">
        <v>63.395710000000001</v>
      </c>
      <c r="D207" s="706">
        <v>103.56786</v>
      </c>
      <c r="E207" s="706">
        <v>237.45435000000001</v>
      </c>
      <c r="F207" s="706">
        <v>80.38373</v>
      </c>
      <c r="G207" s="706">
        <v>873.33924000000002</v>
      </c>
      <c r="H207" s="706">
        <v>205.89973999999901</v>
      </c>
      <c r="I207" s="706">
        <v>205.89973999999901</v>
      </c>
      <c r="J207" s="706">
        <v>205.89973999999901</v>
      </c>
      <c r="K207" s="706">
        <v>205.89973999999901</v>
      </c>
      <c r="L207" s="706">
        <v>205.89973999999901</v>
      </c>
      <c r="M207" s="706">
        <v>205.89973999999901</v>
      </c>
      <c r="N207" s="706">
        <v>205.89973999999901</v>
      </c>
      <c r="O207" s="235">
        <f t="shared" si="6"/>
        <v>230.73736923076865</v>
      </c>
      <c r="P207" s="706">
        <v>205.89973999999901</v>
      </c>
      <c r="Q207" s="706">
        <v>205.89973999999901</v>
      </c>
      <c r="R207" s="706">
        <v>205.89973999999901</v>
      </c>
      <c r="S207" s="706">
        <v>205.89973999999901</v>
      </c>
      <c r="T207" s="706">
        <v>205.89973999999901</v>
      </c>
      <c r="U207" s="706">
        <v>205.89973999999901</v>
      </c>
      <c r="V207" s="706">
        <v>205.89973999999901</v>
      </c>
      <c r="W207" s="706">
        <v>205.89973999999901</v>
      </c>
      <c r="X207" s="706">
        <v>205.89973999999901</v>
      </c>
      <c r="Y207" s="706">
        <v>205.89973999999901</v>
      </c>
      <c r="Z207" s="706">
        <v>205.89973999999901</v>
      </c>
      <c r="AA207" s="706">
        <v>205.89973999999901</v>
      </c>
      <c r="AB207" s="706">
        <v>205.89973999999901</v>
      </c>
      <c r="AC207" s="706">
        <v>205.89973999999901</v>
      </c>
      <c r="AD207" s="706">
        <v>205.89973999999901</v>
      </c>
      <c r="AE207" s="706">
        <v>205.89973999999901</v>
      </c>
      <c r="AF207" s="707">
        <f t="shared" si="7"/>
        <v>205.89973999999896</v>
      </c>
    </row>
    <row r="208" spans="1:32">
      <c r="A208" s="579" t="s">
        <v>1964</v>
      </c>
      <c r="B208" s="706">
        <v>10620.044680000001</v>
      </c>
      <c r="C208" s="706">
        <v>8579.4484699999994</v>
      </c>
      <c r="D208" s="706">
        <v>10905.46754</v>
      </c>
      <c r="E208" s="706">
        <v>10998.53896</v>
      </c>
      <c r="F208" s="706">
        <v>7638.7770699999901</v>
      </c>
      <c r="G208" s="706">
        <v>9164.2798600000006</v>
      </c>
      <c r="H208" s="706">
        <v>10354.341630000001</v>
      </c>
      <c r="I208" s="706">
        <v>10317.518840999999</v>
      </c>
      <c r="J208" s="706">
        <v>10280.696051999999</v>
      </c>
      <c r="K208" s="706">
        <v>10381.427182199999</v>
      </c>
      <c r="L208" s="706">
        <v>10343.023311000001</v>
      </c>
      <c r="M208" s="706">
        <v>10304.619439800001</v>
      </c>
      <c r="N208" s="706">
        <v>10266.215568600001</v>
      </c>
      <c r="O208" s="235">
        <f t="shared" si="6"/>
        <v>10011.87681573846</v>
      </c>
      <c r="P208" s="706">
        <v>10227.8116974</v>
      </c>
      <c r="Q208" s="706">
        <v>10189.4078262</v>
      </c>
      <c r="R208" s="706">
        <v>10151.003955</v>
      </c>
      <c r="S208" s="706">
        <v>10112.6000838</v>
      </c>
      <c r="T208" s="706">
        <v>10074.1962126</v>
      </c>
      <c r="U208" s="706">
        <v>10035.7923414</v>
      </c>
      <c r="V208" s="706">
        <v>9997.3884701999996</v>
      </c>
      <c r="W208" s="706">
        <v>9958.9845989999994</v>
      </c>
      <c r="X208" s="706">
        <v>9920.5807277999993</v>
      </c>
      <c r="Y208" s="706">
        <v>9882.1768565999992</v>
      </c>
      <c r="Z208" s="706">
        <v>9843.7729853999899</v>
      </c>
      <c r="AA208" s="706">
        <v>9805.3691141999898</v>
      </c>
      <c r="AB208" s="706">
        <v>9766.9652429999896</v>
      </c>
      <c r="AC208" s="706">
        <v>9728.5613717999895</v>
      </c>
      <c r="AD208" s="706">
        <v>9690.1575005999894</v>
      </c>
      <c r="AE208" s="706">
        <v>9651.7536293999892</v>
      </c>
      <c r="AF208" s="707">
        <f t="shared" si="7"/>
        <v>9882.1768565999937</v>
      </c>
    </row>
    <row r="209" spans="1:33">
      <c r="A209" s="579" t="s">
        <v>1965</v>
      </c>
      <c r="B209" s="706">
        <v>16.036899999999999</v>
      </c>
      <c r="C209" s="706">
        <v>12.309240000000001</v>
      </c>
      <c r="D209" s="706">
        <v>10.17881</v>
      </c>
      <c r="E209" s="706">
        <v>10.27026</v>
      </c>
      <c r="F209" s="706">
        <v>9.3626100000000001</v>
      </c>
      <c r="G209" s="706">
        <v>8.48794</v>
      </c>
      <c r="H209" s="706">
        <v>8.8451699999999995</v>
      </c>
      <c r="I209" s="706">
        <v>8.8451699999999995</v>
      </c>
      <c r="J209" s="706">
        <v>8.8451699999999995</v>
      </c>
      <c r="K209" s="706">
        <v>8.8451699999999995</v>
      </c>
      <c r="L209" s="706">
        <v>8.8451699999999995</v>
      </c>
      <c r="M209" s="706">
        <v>8.8451699999999995</v>
      </c>
      <c r="N209" s="706">
        <v>8.8451699999999995</v>
      </c>
      <c r="O209" s="235">
        <f t="shared" si="6"/>
        <v>9.8893807692307671</v>
      </c>
      <c r="P209" s="706">
        <v>8.8451699999999995</v>
      </c>
      <c r="Q209" s="706">
        <v>8.8451699999999995</v>
      </c>
      <c r="R209" s="706">
        <v>8.8451699999999995</v>
      </c>
      <c r="S209" s="706">
        <v>8.8451699999999995</v>
      </c>
      <c r="T209" s="706">
        <v>8.8451699999999995</v>
      </c>
      <c r="U209" s="706">
        <v>8.8451699999999995</v>
      </c>
      <c r="V209" s="706">
        <v>8.8451699999999995</v>
      </c>
      <c r="W209" s="706">
        <v>8.8451699999999995</v>
      </c>
      <c r="X209" s="706">
        <v>8.8451699999999995</v>
      </c>
      <c r="Y209" s="706">
        <v>8.8451699999999995</v>
      </c>
      <c r="Z209" s="706">
        <v>8.8451699999999995</v>
      </c>
      <c r="AA209" s="706">
        <v>8.8451699999999995</v>
      </c>
      <c r="AB209" s="706">
        <v>8.8451699999999995</v>
      </c>
      <c r="AC209" s="706">
        <v>8.8451699999999995</v>
      </c>
      <c r="AD209" s="706">
        <v>8.8451699999999995</v>
      </c>
      <c r="AE209" s="706">
        <v>8.8451699999999995</v>
      </c>
      <c r="AF209" s="707">
        <f t="shared" si="7"/>
        <v>8.8451699999999978</v>
      </c>
    </row>
    <row r="210" spans="1:33">
      <c r="A210" s="579" t="s">
        <v>1966</v>
      </c>
      <c r="B210" s="706">
        <v>1133.58825</v>
      </c>
      <c r="C210" s="706">
        <v>1133.58825</v>
      </c>
      <c r="D210" s="706">
        <v>1133.58825</v>
      </c>
      <c r="E210" s="706">
        <v>272.436859999999</v>
      </c>
      <c r="F210" s="706">
        <v>272.436859999999</v>
      </c>
      <c r="G210" s="706">
        <v>272.436859999999</v>
      </c>
      <c r="H210" s="706">
        <v>534.97351000000003</v>
      </c>
      <c r="I210" s="706">
        <v>642.71968996079704</v>
      </c>
      <c r="J210" s="706">
        <v>757.25823678025404</v>
      </c>
      <c r="K210" s="706">
        <v>848.77502397305295</v>
      </c>
      <c r="L210" s="706">
        <v>964.79305485533996</v>
      </c>
      <c r="M210" s="706">
        <v>1066.7304572329299</v>
      </c>
      <c r="N210" s="706">
        <v>1151.8566922323</v>
      </c>
      <c r="O210" s="235">
        <f t="shared" si="6"/>
        <v>783.47553807959025</v>
      </c>
      <c r="P210" s="706">
        <v>1266.9995609124001</v>
      </c>
      <c r="Q210" s="706">
        <v>1364.76257327184</v>
      </c>
      <c r="R210" s="706">
        <v>235.97343637611101</v>
      </c>
      <c r="S210" s="706">
        <v>339.28184628091498</v>
      </c>
      <c r="T210" s="706">
        <v>452.528244326444</v>
      </c>
      <c r="U210" s="706">
        <v>543.820890029814</v>
      </c>
      <c r="V210" s="706">
        <v>652.39800671345904</v>
      </c>
      <c r="W210" s="706">
        <v>766.72260921805901</v>
      </c>
      <c r="X210" s="706">
        <v>867.94090769803097</v>
      </c>
      <c r="Y210" s="706">
        <v>985.87260679449298</v>
      </c>
      <c r="Z210" s="706">
        <v>1080.8444275127499</v>
      </c>
      <c r="AA210" s="706">
        <v>1173.7497694097201</v>
      </c>
      <c r="AB210" s="706">
        <v>1300.7808662002201</v>
      </c>
      <c r="AC210" s="706">
        <v>1408.4861832679901</v>
      </c>
      <c r="AD210" s="706">
        <v>273.83135848519697</v>
      </c>
      <c r="AE210" s="706">
        <v>388.01771487133999</v>
      </c>
      <c r="AF210" s="707">
        <f t="shared" si="7"/>
        <v>787.25195621603302</v>
      </c>
    </row>
    <row r="211" spans="1:33">
      <c r="A211" s="579" t="s">
        <v>2522</v>
      </c>
      <c r="B211" s="706">
        <v>0</v>
      </c>
      <c r="C211" s="706">
        <v>0</v>
      </c>
      <c r="D211" s="706">
        <v>0</v>
      </c>
      <c r="E211" s="706">
        <v>0</v>
      </c>
      <c r="F211" s="706">
        <v>0</v>
      </c>
      <c r="G211" s="706">
        <v>0</v>
      </c>
      <c r="H211" s="706">
        <v>0</v>
      </c>
      <c r="I211" s="706">
        <v>0</v>
      </c>
      <c r="J211" s="706">
        <v>0</v>
      </c>
      <c r="K211" s="706">
        <v>0</v>
      </c>
      <c r="L211" s="706">
        <v>0</v>
      </c>
      <c r="M211" s="706">
        <v>0</v>
      </c>
      <c r="N211" s="706">
        <v>0</v>
      </c>
      <c r="O211" s="235">
        <f t="shared" si="6"/>
        <v>0</v>
      </c>
      <c r="P211" s="706">
        <v>6701.1877000000004</v>
      </c>
      <c r="Q211" s="706">
        <v>6591.5453499999903</v>
      </c>
      <c r="R211" s="706">
        <v>6481.7377699999997</v>
      </c>
      <c r="S211" s="706">
        <v>6382.1819100000002</v>
      </c>
      <c r="T211" s="706">
        <v>6315.03989</v>
      </c>
      <c r="U211" s="706">
        <v>6242.3026399999999</v>
      </c>
      <c r="V211" s="706">
        <v>6171.2977700000001</v>
      </c>
      <c r="W211" s="706">
        <v>6103.76908</v>
      </c>
      <c r="X211" s="706">
        <v>6008.9692599999998</v>
      </c>
      <c r="Y211" s="706">
        <v>5899.4887399999998</v>
      </c>
      <c r="Z211" s="706">
        <v>5782.9779799999997</v>
      </c>
      <c r="AA211" s="706">
        <v>5666.2341200000001</v>
      </c>
      <c r="AB211" s="706">
        <v>5548.2377800000004</v>
      </c>
      <c r="AC211" s="706">
        <v>5435.6524499999996</v>
      </c>
      <c r="AD211" s="706">
        <v>5329.5918700000002</v>
      </c>
      <c r="AE211" s="706">
        <v>5228.3426099999997</v>
      </c>
      <c r="AF211" s="707">
        <f t="shared" si="7"/>
        <v>5854.9297000000015</v>
      </c>
      <c r="AG211" s="707">
        <f>AF211</f>
        <v>5854.9297000000015</v>
      </c>
    </row>
    <row r="212" spans="1:33">
      <c r="A212" s="579" t="s">
        <v>1967</v>
      </c>
      <c r="B212" s="706">
        <v>5835.5366299999996</v>
      </c>
      <c r="C212" s="706">
        <v>5835.5366299999996</v>
      </c>
      <c r="D212" s="706">
        <v>5835.5366299999996</v>
      </c>
      <c r="E212" s="706">
        <v>6461.9455399999997</v>
      </c>
      <c r="F212" s="706">
        <v>6461.9455399999997</v>
      </c>
      <c r="G212" s="706">
        <v>6461.9455399999997</v>
      </c>
      <c r="H212" s="706">
        <v>6465.6813499999998</v>
      </c>
      <c r="I212" s="706">
        <v>6465.6813499999998</v>
      </c>
      <c r="J212" s="706">
        <v>6465.6813499999998</v>
      </c>
      <c r="K212" s="706">
        <v>6465.6813499999998</v>
      </c>
      <c r="L212" s="706">
        <v>6465.6813499999998</v>
      </c>
      <c r="M212" s="706">
        <v>6465.6813499999998</v>
      </c>
      <c r="N212" s="706">
        <v>6465.6813499999998</v>
      </c>
      <c r="O212" s="235">
        <f t="shared" si="6"/>
        <v>6319.4012276923077</v>
      </c>
      <c r="P212" s="706">
        <v>6465.6813499999998</v>
      </c>
      <c r="Q212" s="706">
        <v>6465.6813499999998</v>
      </c>
      <c r="R212" s="706">
        <v>6465.6813499999998</v>
      </c>
      <c r="S212" s="706">
        <v>6465.6813499999998</v>
      </c>
      <c r="T212" s="706">
        <v>6465.6813499999998</v>
      </c>
      <c r="U212" s="706">
        <v>6465.6813499999998</v>
      </c>
      <c r="V212" s="706">
        <v>6465.6813499999998</v>
      </c>
      <c r="W212" s="706">
        <v>6465.6813499999998</v>
      </c>
      <c r="X212" s="706">
        <v>6465.6813499999998</v>
      </c>
      <c r="Y212" s="706">
        <v>6465.6813499999998</v>
      </c>
      <c r="Z212" s="706">
        <v>6465.6813499999998</v>
      </c>
      <c r="AA212" s="706">
        <v>6465.6813499999998</v>
      </c>
      <c r="AB212" s="706">
        <v>6465.6813499999998</v>
      </c>
      <c r="AC212" s="706">
        <v>6465.6813499999998</v>
      </c>
      <c r="AD212" s="706">
        <v>6465.6813499999998</v>
      </c>
      <c r="AE212" s="706">
        <v>6465.6813499999998</v>
      </c>
      <c r="AF212" s="707">
        <f t="shared" si="7"/>
        <v>6465.6813499999998</v>
      </c>
    </row>
    <row r="213" spans="1:33">
      <c r="A213" s="579" t="s">
        <v>1968</v>
      </c>
      <c r="B213" s="706">
        <v>1025.51224</v>
      </c>
      <c r="C213" s="706">
        <v>1025.51224</v>
      </c>
      <c r="D213" s="706">
        <v>1025.51224</v>
      </c>
      <c r="E213" s="706">
        <v>1219.3863999999901</v>
      </c>
      <c r="F213" s="706">
        <v>1025.51224</v>
      </c>
      <c r="G213" s="706">
        <v>1025.51224</v>
      </c>
      <c r="H213" s="706">
        <v>1944.1420800000001</v>
      </c>
      <c r="I213" s="706">
        <v>1944.1420800000001</v>
      </c>
      <c r="J213" s="706">
        <v>1944.1420800000001</v>
      </c>
      <c r="K213" s="706">
        <v>1944.1420800000001</v>
      </c>
      <c r="L213" s="706">
        <v>1944.1420800000001</v>
      </c>
      <c r="M213" s="706">
        <v>1944.1420800000001</v>
      </c>
      <c r="N213" s="706">
        <v>1944.1420800000001</v>
      </c>
      <c r="O213" s="235">
        <f t="shared" si="6"/>
        <v>1535.0724738461531</v>
      </c>
      <c r="P213" s="706">
        <v>1944.1420800000001</v>
      </c>
      <c r="Q213" s="706">
        <v>1944.1420800000001</v>
      </c>
      <c r="R213" s="706">
        <v>1944.1420800000001</v>
      </c>
      <c r="S213" s="706">
        <v>1944.1420800000001</v>
      </c>
      <c r="T213" s="706">
        <v>1944.1420800000001</v>
      </c>
      <c r="U213" s="706">
        <v>1944.1420800000001</v>
      </c>
      <c r="V213" s="706">
        <v>1944.1420800000001</v>
      </c>
      <c r="W213" s="706">
        <v>1944.1420800000001</v>
      </c>
      <c r="X213" s="706">
        <v>1944.1420800000001</v>
      </c>
      <c r="Y213" s="706">
        <v>1944.1420800000001</v>
      </c>
      <c r="Z213" s="706">
        <v>1944.1420800000001</v>
      </c>
      <c r="AA213" s="706">
        <v>1944.1420800000001</v>
      </c>
      <c r="AB213" s="706">
        <v>1944.1420800000001</v>
      </c>
      <c r="AC213" s="706">
        <v>1944.1420800000001</v>
      </c>
      <c r="AD213" s="706">
        <v>1944.1420800000001</v>
      </c>
      <c r="AE213" s="706">
        <v>1944.1420800000001</v>
      </c>
      <c r="AF213" s="707">
        <f t="shared" si="7"/>
        <v>1944.1420800000003</v>
      </c>
    </row>
    <row r="214" spans="1:33">
      <c r="A214" s="579" t="s">
        <v>1969</v>
      </c>
      <c r="B214" s="706">
        <v>22780.946370000001</v>
      </c>
      <c r="C214" s="706">
        <v>22598.365430000002</v>
      </c>
      <c r="D214" s="706">
        <v>23175.118839999999</v>
      </c>
      <c r="E214" s="706">
        <v>23225.797999999999</v>
      </c>
      <c r="F214" s="706">
        <v>19108.5087299999</v>
      </c>
      <c r="G214" s="706">
        <v>21422.54869</v>
      </c>
      <c r="H214" s="706">
        <v>23556.274700000002</v>
      </c>
      <c r="I214" s="706">
        <v>23627.198090960799</v>
      </c>
      <c r="J214" s="706">
        <v>23704.913848780201</v>
      </c>
      <c r="K214" s="706">
        <v>23897.161766173002</v>
      </c>
      <c r="L214" s="706">
        <v>23974.775925855301</v>
      </c>
      <c r="M214" s="706">
        <v>24038.309457032901</v>
      </c>
      <c r="N214" s="706">
        <v>24085.031820832301</v>
      </c>
      <c r="O214" s="235">
        <f t="shared" si="6"/>
        <v>23014.996282279568</v>
      </c>
      <c r="P214" s="706">
        <v>30862.9585183124</v>
      </c>
      <c r="Q214" s="706">
        <v>30812.675309471801</v>
      </c>
      <c r="R214" s="706">
        <v>29535.674721376101</v>
      </c>
      <c r="S214" s="706">
        <v>29501.0234000809</v>
      </c>
      <c r="T214" s="706">
        <v>29508.7239069264</v>
      </c>
      <c r="U214" s="706">
        <v>29488.875431429798</v>
      </c>
      <c r="V214" s="706">
        <v>29488.0438069134</v>
      </c>
      <c r="W214" s="706">
        <v>29496.435848218</v>
      </c>
      <c r="X214" s="706">
        <v>29464.450455498001</v>
      </c>
      <c r="Y214" s="706">
        <v>29434.4977633944</v>
      </c>
      <c r="Z214" s="706">
        <v>29374.554952912698</v>
      </c>
      <c r="AA214" s="706">
        <v>29312.312563609699</v>
      </c>
      <c r="AB214" s="706">
        <v>29282.9434492002</v>
      </c>
      <c r="AC214" s="706">
        <v>29239.659565067901</v>
      </c>
      <c r="AD214" s="706">
        <v>27960.540289085198</v>
      </c>
      <c r="AE214" s="706">
        <v>27935.073514271298</v>
      </c>
      <c r="AF214" s="707">
        <f t="shared" si="7"/>
        <v>29191.31807281599</v>
      </c>
    </row>
    <row r="215" spans="1:33">
      <c r="A215" s="579"/>
      <c r="B215" s="708"/>
      <c r="C215" s="708"/>
      <c r="D215" s="708"/>
      <c r="E215" s="708"/>
      <c r="F215" s="708"/>
      <c r="G215" s="708"/>
      <c r="H215" s="708"/>
      <c r="I215" s="708"/>
      <c r="J215" s="708"/>
      <c r="K215" s="708"/>
      <c r="L215" s="708"/>
      <c r="M215" s="708"/>
      <c r="N215" s="708"/>
      <c r="O215" s="235">
        <f t="shared" si="6"/>
        <v>0</v>
      </c>
      <c r="P215" s="708"/>
      <c r="Q215" s="708"/>
      <c r="R215" s="708"/>
      <c r="S215" s="708"/>
      <c r="T215" s="708"/>
      <c r="U215" s="708"/>
      <c r="V215" s="708"/>
      <c r="W215" s="708"/>
      <c r="X215" s="708"/>
      <c r="Y215" s="708"/>
      <c r="Z215" s="708"/>
      <c r="AA215" s="708"/>
      <c r="AB215" s="708"/>
      <c r="AC215" s="708"/>
      <c r="AD215" s="708"/>
      <c r="AE215" s="708"/>
      <c r="AF215" s="707">
        <f t="shared" si="7"/>
        <v>0</v>
      </c>
    </row>
    <row r="216" spans="1:33" ht="15.75" thickBot="1">
      <c r="A216" s="712" t="s">
        <v>1449</v>
      </c>
      <c r="B216" s="713">
        <v>345823.07208999997</v>
      </c>
      <c r="C216" s="713">
        <v>386209.11518000002</v>
      </c>
      <c r="D216" s="713">
        <v>322729.46033999999</v>
      </c>
      <c r="E216" s="713">
        <v>371967.39445999998</v>
      </c>
      <c r="F216" s="713">
        <v>383139.11213999998</v>
      </c>
      <c r="G216" s="713">
        <v>385810.35421999998</v>
      </c>
      <c r="H216" s="713">
        <v>400425.94543999998</v>
      </c>
      <c r="I216" s="713">
        <v>428109.426753206</v>
      </c>
      <c r="J216" s="713">
        <v>454525.97161365702</v>
      </c>
      <c r="K216" s="713">
        <v>481355.13141024002</v>
      </c>
      <c r="L216" s="713">
        <v>513499.84357629198</v>
      </c>
      <c r="M216" s="713">
        <v>538369.29178694799</v>
      </c>
      <c r="N216" s="713">
        <v>535752.59945751005</v>
      </c>
      <c r="O216" s="235">
        <f t="shared" si="6"/>
        <v>426747.43988214253</v>
      </c>
      <c r="P216" s="713">
        <v>546203.81860996201</v>
      </c>
      <c r="Q216" s="713">
        <v>525994.27118624095</v>
      </c>
      <c r="R216" s="713">
        <v>569807.35085690604</v>
      </c>
      <c r="S216" s="713">
        <v>583662.17511294805</v>
      </c>
      <c r="T216" s="713">
        <v>294470.40860229998</v>
      </c>
      <c r="U216" s="713">
        <v>288893.85981058801</v>
      </c>
      <c r="V216" s="713">
        <v>299981.55710045598</v>
      </c>
      <c r="W216" s="713">
        <v>309442.61777101801</v>
      </c>
      <c r="X216" s="713">
        <v>327520.54222865298</v>
      </c>
      <c r="Y216" s="713">
        <v>342425.70511876303</v>
      </c>
      <c r="Z216" s="713">
        <v>369661.52273453702</v>
      </c>
      <c r="AA216" s="713">
        <v>346927.65124275797</v>
      </c>
      <c r="AB216" s="713">
        <v>337094.023624408</v>
      </c>
      <c r="AC216" s="713">
        <v>299816.55773108097</v>
      </c>
      <c r="AD216" s="713">
        <v>378625.58197421097</v>
      </c>
      <c r="AE216" s="713">
        <v>391408.110914241</v>
      </c>
      <c r="AF216" s="707">
        <f t="shared" si="7"/>
        <v>351533.10107430472</v>
      </c>
    </row>
    <row r="217" spans="1:33">
      <c r="A217" s="579"/>
      <c r="O217" s="235">
        <f t="shared" si="6"/>
        <v>0</v>
      </c>
      <c r="AF217" s="707">
        <f t="shared" si="7"/>
        <v>0</v>
      </c>
    </row>
    <row r="218" spans="1:33">
      <c r="A218" s="712" t="s">
        <v>1450</v>
      </c>
      <c r="B218" s="708"/>
      <c r="C218" s="708"/>
      <c r="D218" s="708"/>
      <c r="E218" s="708"/>
      <c r="F218" s="708"/>
      <c r="G218" s="708"/>
      <c r="H218" s="708"/>
      <c r="I218" s="708"/>
      <c r="J218" s="708"/>
      <c r="K218" s="708"/>
      <c r="L218" s="708"/>
      <c r="M218" s="708"/>
      <c r="N218" s="708"/>
      <c r="O218" s="235">
        <f t="shared" si="6"/>
        <v>0</v>
      </c>
      <c r="P218" s="708"/>
      <c r="Q218" s="708"/>
      <c r="R218" s="708"/>
      <c r="S218" s="708"/>
      <c r="T218" s="708"/>
      <c r="U218" s="708"/>
      <c r="V218" s="708"/>
      <c r="W218" s="708"/>
      <c r="X218" s="708"/>
      <c r="Y218" s="708"/>
      <c r="Z218" s="708"/>
      <c r="AA218" s="708"/>
      <c r="AB218" s="708"/>
      <c r="AC218" s="708"/>
      <c r="AD218" s="708"/>
      <c r="AE218" s="708"/>
      <c r="AF218" s="707">
        <f t="shared" si="7"/>
        <v>0</v>
      </c>
    </row>
    <row r="219" spans="1:33">
      <c r="A219" s="579" t="s">
        <v>1970</v>
      </c>
      <c r="B219" s="708"/>
      <c r="C219" s="708"/>
      <c r="D219" s="708"/>
      <c r="E219" s="708"/>
      <c r="F219" s="708"/>
      <c r="G219" s="708"/>
      <c r="H219" s="708"/>
      <c r="I219" s="708"/>
      <c r="J219" s="708"/>
      <c r="K219" s="708"/>
      <c r="L219" s="708"/>
      <c r="M219" s="708"/>
      <c r="N219" s="708"/>
      <c r="O219" s="235">
        <f t="shared" si="6"/>
        <v>0</v>
      </c>
      <c r="P219" s="708"/>
      <c r="Q219" s="708"/>
      <c r="R219" s="708"/>
      <c r="S219" s="708"/>
      <c r="T219" s="708"/>
      <c r="U219" s="708"/>
      <c r="V219" s="708"/>
      <c r="W219" s="708"/>
      <c r="X219" s="708"/>
      <c r="Y219" s="708"/>
      <c r="Z219" s="708"/>
      <c r="AA219" s="708"/>
      <c r="AB219" s="708"/>
      <c r="AC219" s="708"/>
      <c r="AD219" s="708"/>
      <c r="AE219" s="708"/>
      <c r="AF219" s="707">
        <f t="shared" si="7"/>
        <v>0</v>
      </c>
    </row>
    <row r="220" spans="1:33">
      <c r="A220" s="579" t="s">
        <v>1971</v>
      </c>
      <c r="B220" s="706">
        <v>903591.56955000001</v>
      </c>
      <c r="C220" s="706">
        <v>903591.56955999997</v>
      </c>
      <c r="D220" s="706">
        <v>903591.56955999997</v>
      </c>
      <c r="E220" s="706">
        <v>906429.72802000004</v>
      </c>
      <c r="F220" s="706">
        <v>905986.76560999895</v>
      </c>
      <c r="G220" s="706">
        <v>905986.76560999895</v>
      </c>
      <c r="H220" s="706">
        <v>889715.73341999995</v>
      </c>
      <c r="I220" s="706">
        <v>889715.73341999995</v>
      </c>
      <c r="J220" s="706">
        <v>889715.73341999995</v>
      </c>
      <c r="K220" s="706">
        <v>889487.95638382598</v>
      </c>
      <c r="L220" s="706">
        <v>889487.95638382598</v>
      </c>
      <c r="M220" s="706">
        <v>889487.95638382598</v>
      </c>
      <c r="N220" s="706">
        <v>889249.28157310502</v>
      </c>
      <c r="O220" s="235">
        <f t="shared" si="6"/>
        <v>896618.33222266019</v>
      </c>
      <c r="P220" s="706">
        <v>889249.28157310502</v>
      </c>
      <c r="Q220" s="706">
        <v>889249.28157310502</v>
      </c>
      <c r="R220" s="706">
        <v>889012.85139839596</v>
      </c>
      <c r="S220" s="706">
        <v>888958.70338801399</v>
      </c>
      <c r="T220" s="706">
        <v>888958.70338801399</v>
      </c>
      <c r="U220" s="706">
        <v>888795.15272846096</v>
      </c>
      <c r="V220" s="706">
        <v>888795.15272846096</v>
      </c>
      <c r="W220" s="706">
        <v>888795.15272846096</v>
      </c>
      <c r="X220" s="706">
        <v>888586.81981091294</v>
      </c>
      <c r="Y220" s="706">
        <v>888586.81981091294</v>
      </c>
      <c r="Z220" s="706">
        <v>888586.81981091294</v>
      </c>
      <c r="AA220" s="706">
        <v>888378.48689336597</v>
      </c>
      <c r="AB220" s="706">
        <v>888378.48689336597</v>
      </c>
      <c r="AC220" s="706">
        <v>888378.48689336597</v>
      </c>
      <c r="AD220" s="706">
        <v>888168.937470729</v>
      </c>
      <c r="AE220" s="706">
        <v>888116.41846872994</v>
      </c>
      <c r="AF220" s="707">
        <f t="shared" si="7"/>
        <v>888575.70315490046</v>
      </c>
    </row>
    <row r="221" spans="1:33">
      <c r="A221" s="579" t="s">
        <v>1972</v>
      </c>
      <c r="B221" s="706">
        <v>140532.219779999</v>
      </c>
      <c r="C221" s="706">
        <v>140532.219779999</v>
      </c>
      <c r="D221" s="706">
        <v>140532.219779999</v>
      </c>
      <c r="E221" s="706">
        <v>140841.00343000001</v>
      </c>
      <c r="F221" s="706">
        <v>140030.74694000001</v>
      </c>
      <c r="G221" s="706">
        <v>140030.74694000001</v>
      </c>
      <c r="H221" s="706">
        <v>140228.40771</v>
      </c>
      <c r="I221" s="706">
        <v>140270.756011666</v>
      </c>
      <c r="J221" s="706">
        <v>140313.10431333299</v>
      </c>
      <c r="K221" s="706">
        <v>174409.35754549599</v>
      </c>
      <c r="L221" s="706">
        <v>174451.70584716299</v>
      </c>
      <c r="M221" s="706">
        <v>174494.05414882899</v>
      </c>
      <c r="N221" s="706">
        <v>193154.491782981</v>
      </c>
      <c r="O221" s="235">
        <f t="shared" si="6"/>
        <v>152293.92569303577</v>
      </c>
      <c r="P221" s="706">
        <v>193196.84008464799</v>
      </c>
      <c r="Q221" s="706">
        <v>193239.18838631501</v>
      </c>
      <c r="R221" s="706">
        <v>208533.430198861</v>
      </c>
      <c r="S221" s="706">
        <v>209062.395016611</v>
      </c>
      <c r="T221" s="706">
        <v>209097.418511611</v>
      </c>
      <c r="U221" s="706">
        <v>227042.217702372</v>
      </c>
      <c r="V221" s="706">
        <v>227077.241197372</v>
      </c>
      <c r="W221" s="706">
        <v>227112.264692372</v>
      </c>
      <c r="X221" s="706">
        <v>243790.11901979399</v>
      </c>
      <c r="Y221" s="706">
        <v>243825.14251479399</v>
      </c>
      <c r="Z221" s="706">
        <v>243860.16600979399</v>
      </c>
      <c r="AA221" s="706">
        <v>262065.256484193</v>
      </c>
      <c r="AB221" s="706">
        <v>262100.279979193</v>
      </c>
      <c r="AC221" s="706">
        <v>262135.303474193</v>
      </c>
      <c r="AD221" s="706">
        <v>265719.51809565199</v>
      </c>
      <c r="AE221" s="706">
        <v>266878.60231552098</v>
      </c>
      <c r="AF221" s="707">
        <f t="shared" si="7"/>
        <v>242289.68653949784</v>
      </c>
    </row>
    <row r="222" spans="1:33" ht="15.75" thickBot="1">
      <c r="A222" s="579" t="s">
        <v>1973</v>
      </c>
      <c r="B222" s="711">
        <v>9538.0331200000001</v>
      </c>
      <c r="C222" s="711">
        <v>9538.0331200000001</v>
      </c>
      <c r="D222" s="711">
        <v>9538.0331200000001</v>
      </c>
      <c r="E222" s="711">
        <v>9484.3861099999995</v>
      </c>
      <c r="F222" s="711">
        <v>9486.8066699999999</v>
      </c>
      <c r="G222" s="711">
        <v>9486.8066699999999</v>
      </c>
      <c r="H222" s="711">
        <v>8772.6852600000002</v>
      </c>
      <c r="I222" s="711">
        <v>8772.6852600000002</v>
      </c>
      <c r="J222" s="711">
        <v>8772.6852600000002</v>
      </c>
      <c r="K222" s="711">
        <v>8772.6852600000002</v>
      </c>
      <c r="L222" s="711">
        <v>8772.6852600000002</v>
      </c>
      <c r="M222" s="711">
        <v>8772.6852600000002</v>
      </c>
      <c r="N222" s="711">
        <v>8772.6852600000002</v>
      </c>
      <c r="O222" s="235">
        <f t="shared" si="6"/>
        <v>9113.9150484615366</v>
      </c>
      <c r="P222" s="711">
        <v>8772.6852600000002</v>
      </c>
      <c r="Q222" s="711">
        <v>8772.6852600000002</v>
      </c>
      <c r="R222" s="711">
        <v>8772.6852600000002</v>
      </c>
      <c r="S222" s="711">
        <v>8772.6852600000002</v>
      </c>
      <c r="T222" s="711">
        <v>8772.6852600000002</v>
      </c>
      <c r="U222" s="711">
        <v>8772.6852600000002</v>
      </c>
      <c r="V222" s="711">
        <v>8772.6852600000002</v>
      </c>
      <c r="W222" s="711">
        <v>8772.6852600000002</v>
      </c>
      <c r="X222" s="711">
        <v>8772.6852600000002</v>
      </c>
      <c r="Y222" s="711">
        <v>8772.6852600000002</v>
      </c>
      <c r="Z222" s="711">
        <v>8772.6852600000002</v>
      </c>
      <c r="AA222" s="711">
        <v>8772.6852600000002</v>
      </c>
      <c r="AB222" s="711">
        <v>8772.6852600000002</v>
      </c>
      <c r="AC222" s="711">
        <v>8772.6852600000002</v>
      </c>
      <c r="AD222" s="711">
        <v>8772.6852600000002</v>
      </c>
      <c r="AE222" s="711">
        <v>8772.6852600000002</v>
      </c>
      <c r="AF222" s="707">
        <f t="shared" si="7"/>
        <v>8772.6852600000002</v>
      </c>
    </row>
    <row r="223" spans="1:33">
      <c r="A223" s="579" t="s">
        <v>1970</v>
      </c>
      <c r="B223" s="706">
        <v>1053661.8224500001</v>
      </c>
      <c r="C223" s="706">
        <v>1053661.8224599999</v>
      </c>
      <c r="D223" s="706">
        <v>1053661.8224599999</v>
      </c>
      <c r="E223" s="706">
        <v>1056755.1175599999</v>
      </c>
      <c r="F223" s="706">
        <v>1055504.3192199999</v>
      </c>
      <c r="G223" s="706">
        <v>1055504.3192199999</v>
      </c>
      <c r="H223" s="706">
        <v>1038716.8263899999</v>
      </c>
      <c r="I223" s="706">
        <v>1038759.17469166</v>
      </c>
      <c r="J223" s="706">
        <v>1038801.52299333</v>
      </c>
      <c r="K223" s="706">
        <v>1072669.99918932</v>
      </c>
      <c r="L223" s="706">
        <v>1072712.3474909801</v>
      </c>
      <c r="M223" s="706">
        <v>1072754.6957926501</v>
      </c>
      <c r="N223" s="706">
        <v>1091176.45861608</v>
      </c>
      <c r="O223" s="235">
        <f t="shared" si="6"/>
        <v>1058026.1729641552</v>
      </c>
      <c r="P223" s="706">
        <v>1091218.80691775</v>
      </c>
      <c r="Q223" s="706">
        <v>1091261.1552194201</v>
      </c>
      <c r="R223" s="706">
        <v>1106318.9668572501</v>
      </c>
      <c r="S223" s="706">
        <v>1106793.78366462</v>
      </c>
      <c r="T223" s="706">
        <v>1106828.8071596201</v>
      </c>
      <c r="U223" s="706">
        <v>1124610.0556908301</v>
      </c>
      <c r="V223" s="706">
        <v>1124645.07918583</v>
      </c>
      <c r="W223" s="706">
        <v>1124680.1026808301</v>
      </c>
      <c r="X223" s="706">
        <v>1141149.6240906999</v>
      </c>
      <c r="Y223" s="706">
        <v>1141184.6475857</v>
      </c>
      <c r="Z223" s="706">
        <v>1141219.6710806999</v>
      </c>
      <c r="AA223" s="706">
        <v>1159216.42863755</v>
      </c>
      <c r="AB223" s="706">
        <v>1159251.4521325501</v>
      </c>
      <c r="AC223" s="706">
        <v>1159286.4756275499</v>
      </c>
      <c r="AD223" s="706">
        <v>1162661.1408263801</v>
      </c>
      <c r="AE223" s="706">
        <v>1163767.7060442499</v>
      </c>
      <c r="AF223" s="707">
        <f t="shared" si="7"/>
        <v>1139638.0749543929</v>
      </c>
    </row>
    <row r="224" spans="1:33">
      <c r="A224" s="579"/>
      <c r="B224" s="708"/>
      <c r="C224" s="708"/>
      <c r="D224" s="708"/>
      <c r="E224" s="708"/>
      <c r="F224" s="708"/>
      <c r="G224" s="708"/>
      <c r="H224" s="708"/>
      <c r="I224" s="708"/>
      <c r="J224" s="708"/>
      <c r="K224" s="708"/>
      <c r="L224" s="708"/>
      <c r="M224" s="708"/>
      <c r="N224" s="708"/>
      <c r="O224" s="235">
        <f t="shared" si="6"/>
        <v>0</v>
      </c>
      <c r="P224" s="708"/>
      <c r="Q224" s="708"/>
      <c r="R224" s="708"/>
      <c r="S224" s="708"/>
      <c r="T224" s="708"/>
      <c r="U224" s="708"/>
      <c r="V224" s="708"/>
      <c r="W224" s="708"/>
      <c r="X224" s="708"/>
      <c r="Y224" s="708"/>
      <c r="Z224" s="708"/>
      <c r="AA224" s="708"/>
      <c r="AB224" s="708"/>
      <c r="AC224" s="708"/>
      <c r="AD224" s="708"/>
      <c r="AE224" s="708"/>
      <c r="AF224" s="707">
        <f t="shared" si="7"/>
        <v>0</v>
      </c>
    </row>
    <row r="225" spans="1:32">
      <c r="A225" s="579" t="s">
        <v>1974</v>
      </c>
      <c r="B225" s="708"/>
      <c r="C225" s="708"/>
      <c r="D225" s="708"/>
      <c r="E225" s="708"/>
      <c r="F225" s="708"/>
      <c r="G225" s="708"/>
      <c r="H225" s="708"/>
      <c r="I225" s="708"/>
      <c r="J225" s="708"/>
      <c r="K225" s="708"/>
      <c r="L225" s="708"/>
      <c r="M225" s="708"/>
      <c r="N225" s="708"/>
      <c r="O225" s="235">
        <f t="shared" si="6"/>
        <v>0</v>
      </c>
      <c r="P225" s="708"/>
      <c r="Q225" s="708"/>
      <c r="R225" s="708"/>
      <c r="S225" s="708"/>
      <c r="T225" s="708"/>
      <c r="U225" s="708"/>
      <c r="V225" s="708"/>
      <c r="W225" s="708"/>
      <c r="X225" s="708"/>
      <c r="Y225" s="708"/>
      <c r="Z225" s="708"/>
      <c r="AA225" s="708"/>
      <c r="AB225" s="708"/>
      <c r="AC225" s="708"/>
      <c r="AD225" s="708"/>
      <c r="AE225" s="708"/>
      <c r="AF225" s="707">
        <f t="shared" si="7"/>
        <v>0</v>
      </c>
    </row>
    <row r="226" spans="1:32">
      <c r="A226" s="579" t="s">
        <v>1975</v>
      </c>
      <c r="B226" s="706">
        <v>91502.098249999995</v>
      </c>
      <c r="C226" s="706">
        <v>91320.325249999994</v>
      </c>
      <c r="D226" s="706">
        <v>91138.552249999993</v>
      </c>
      <c r="E226" s="706">
        <v>90956.779249999905</v>
      </c>
      <c r="F226" s="706">
        <v>90775.006250000006</v>
      </c>
      <c r="G226" s="706">
        <v>90593.233250000005</v>
      </c>
      <c r="H226" s="706">
        <v>90411.460250000004</v>
      </c>
      <c r="I226" s="706">
        <v>90225.309916666607</v>
      </c>
      <c r="J226" s="706">
        <v>90039.159583333298</v>
      </c>
      <c r="K226" s="706">
        <v>89853.009249999901</v>
      </c>
      <c r="L226" s="706">
        <v>89666.858916666606</v>
      </c>
      <c r="M226" s="706">
        <v>89480.708583333297</v>
      </c>
      <c r="N226" s="706">
        <v>89294.5582499999</v>
      </c>
      <c r="O226" s="235">
        <f t="shared" si="6"/>
        <v>90404.389173076896</v>
      </c>
      <c r="P226" s="706">
        <v>89108.407916666605</v>
      </c>
      <c r="Q226" s="706">
        <v>88922.257583333296</v>
      </c>
      <c r="R226" s="706">
        <v>88736.107249999899</v>
      </c>
      <c r="S226" s="706">
        <v>88549.956916666604</v>
      </c>
      <c r="T226" s="706">
        <v>88391.978916666601</v>
      </c>
      <c r="U226" s="706">
        <v>88234.000916666599</v>
      </c>
      <c r="V226" s="706">
        <v>88076.022916666596</v>
      </c>
      <c r="W226" s="706">
        <v>87918.044916666593</v>
      </c>
      <c r="X226" s="706">
        <v>87760.066916666605</v>
      </c>
      <c r="Y226" s="706">
        <v>87602.088916666602</v>
      </c>
      <c r="Z226" s="706">
        <v>87444.110916666599</v>
      </c>
      <c r="AA226" s="706">
        <v>87286.132916666596</v>
      </c>
      <c r="AB226" s="706">
        <v>87128.154916666594</v>
      </c>
      <c r="AC226" s="706">
        <v>86970.176916666504</v>
      </c>
      <c r="AD226" s="706">
        <v>86812.198916666501</v>
      </c>
      <c r="AE226" s="706">
        <v>86654.220916666498</v>
      </c>
      <c r="AF226" s="707">
        <f t="shared" si="7"/>
        <v>87602.088916666573</v>
      </c>
    </row>
    <row r="227" spans="1:32" ht="15.75" thickBot="1">
      <c r="A227" s="579" t="s">
        <v>1976</v>
      </c>
      <c r="B227" s="711">
        <v>2355.7553199999902</v>
      </c>
      <c r="C227" s="711">
        <v>2351.3773200000001</v>
      </c>
      <c r="D227" s="711">
        <v>2346.9993199999999</v>
      </c>
      <c r="E227" s="711">
        <v>2342.6213199999902</v>
      </c>
      <c r="F227" s="711">
        <v>2338.24332</v>
      </c>
      <c r="G227" s="711">
        <v>2333.8653199999999</v>
      </c>
      <c r="H227" s="711">
        <v>2329.4873199999902</v>
      </c>
      <c r="I227" s="711">
        <v>2329.4873199999902</v>
      </c>
      <c r="J227" s="711">
        <v>2329.4873199999902</v>
      </c>
      <c r="K227" s="711">
        <v>2329.4873199999902</v>
      </c>
      <c r="L227" s="711">
        <v>2329.4873199999902</v>
      </c>
      <c r="M227" s="711">
        <v>2329.4873199999902</v>
      </c>
      <c r="N227" s="711">
        <v>2329.4873199999902</v>
      </c>
      <c r="O227" s="235">
        <f t="shared" si="6"/>
        <v>2336.5594738461468</v>
      </c>
      <c r="P227" s="711">
        <v>2329.4873199999902</v>
      </c>
      <c r="Q227" s="711">
        <v>2329.4873199999902</v>
      </c>
      <c r="R227" s="711">
        <v>2329.4873199999902</v>
      </c>
      <c r="S227" s="711">
        <v>2329.4873199999902</v>
      </c>
      <c r="T227" s="711">
        <v>2329.4873199999902</v>
      </c>
      <c r="U227" s="711">
        <v>2329.4873199999902</v>
      </c>
      <c r="V227" s="711">
        <v>2329.4873199999902</v>
      </c>
      <c r="W227" s="711">
        <v>2329.4873199999902</v>
      </c>
      <c r="X227" s="711">
        <v>2329.4873199999902</v>
      </c>
      <c r="Y227" s="711">
        <v>2329.4873199999902</v>
      </c>
      <c r="Z227" s="711">
        <v>2329.4873199999902</v>
      </c>
      <c r="AA227" s="711">
        <v>2329.4873199999902</v>
      </c>
      <c r="AB227" s="711">
        <v>2329.4873199999902</v>
      </c>
      <c r="AC227" s="711">
        <v>2329.4873199999902</v>
      </c>
      <c r="AD227" s="711">
        <v>2329.4873199999902</v>
      </c>
      <c r="AE227" s="711">
        <v>2329.4873199999902</v>
      </c>
      <c r="AF227" s="707">
        <f t="shared" si="7"/>
        <v>2329.4873199999897</v>
      </c>
    </row>
    <row r="228" spans="1:32">
      <c r="A228" s="579" t="s">
        <v>1974</v>
      </c>
      <c r="B228" s="706">
        <v>93857.853570000007</v>
      </c>
      <c r="C228" s="706">
        <v>93671.702569999994</v>
      </c>
      <c r="D228" s="706">
        <v>93485.551569999996</v>
      </c>
      <c r="E228" s="706">
        <v>93299.400569999998</v>
      </c>
      <c r="F228" s="706">
        <v>93113.24957</v>
      </c>
      <c r="G228" s="706">
        <v>92927.098570000002</v>
      </c>
      <c r="H228" s="706">
        <v>92740.947570000004</v>
      </c>
      <c r="I228" s="706">
        <v>92554.797236666607</v>
      </c>
      <c r="J228" s="706">
        <v>92368.646903333298</v>
      </c>
      <c r="K228" s="706">
        <v>92182.496569999901</v>
      </c>
      <c r="L228" s="706">
        <v>91996.346236666606</v>
      </c>
      <c r="M228" s="706">
        <v>91810.195903333297</v>
      </c>
      <c r="N228" s="706">
        <v>91624.0455699999</v>
      </c>
      <c r="O228" s="235">
        <f t="shared" si="6"/>
        <v>92740.948646923047</v>
      </c>
      <c r="P228" s="706">
        <v>91437.895236666605</v>
      </c>
      <c r="Q228" s="706">
        <v>91251.744903333296</v>
      </c>
      <c r="R228" s="706">
        <v>91065.594569999899</v>
      </c>
      <c r="S228" s="706">
        <v>90879.444236666604</v>
      </c>
      <c r="T228" s="706">
        <v>90721.466236666602</v>
      </c>
      <c r="U228" s="706">
        <v>90563.488236666599</v>
      </c>
      <c r="V228" s="706">
        <v>90405.510236666596</v>
      </c>
      <c r="W228" s="706">
        <v>90247.532236666593</v>
      </c>
      <c r="X228" s="706">
        <v>90089.554236666605</v>
      </c>
      <c r="Y228" s="706">
        <v>89931.576236666602</v>
      </c>
      <c r="Z228" s="706">
        <v>89773.598236666599</v>
      </c>
      <c r="AA228" s="706">
        <v>89615.620236666597</v>
      </c>
      <c r="AB228" s="706">
        <v>89457.642236666594</v>
      </c>
      <c r="AC228" s="706">
        <v>89299.664236666504</v>
      </c>
      <c r="AD228" s="706">
        <v>89141.686236666501</v>
      </c>
      <c r="AE228" s="706">
        <v>88983.708236666498</v>
      </c>
      <c r="AF228" s="707">
        <f t="shared" si="7"/>
        <v>89931.576236666573</v>
      </c>
    </row>
    <row r="229" spans="1:32">
      <c r="A229" s="579"/>
      <c r="B229" s="708"/>
      <c r="C229" s="708"/>
      <c r="D229" s="708"/>
      <c r="E229" s="708"/>
      <c r="F229" s="708"/>
      <c r="G229" s="708"/>
      <c r="H229" s="708"/>
      <c r="I229" s="708"/>
      <c r="J229" s="708"/>
      <c r="K229" s="708"/>
      <c r="L229" s="708"/>
      <c r="M229" s="708"/>
      <c r="N229" s="708"/>
      <c r="O229" s="235">
        <f t="shared" si="6"/>
        <v>0</v>
      </c>
      <c r="P229" s="708"/>
      <c r="Q229" s="708"/>
      <c r="R229" s="708"/>
      <c r="S229" s="708"/>
      <c r="T229" s="708"/>
      <c r="U229" s="708"/>
      <c r="V229" s="708"/>
      <c r="W229" s="708"/>
      <c r="X229" s="708"/>
      <c r="Y229" s="708"/>
      <c r="Z229" s="708"/>
      <c r="AA229" s="708"/>
      <c r="AB229" s="708"/>
      <c r="AC229" s="708"/>
      <c r="AD229" s="708"/>
      <c r="AE229" s="708"/>
      <c r="AF229" s="707">
        <f t="shared" si="7"/>
        <v>0</v>
      </c>
    </row>
    <row r="230" spans="1:32">
      <c r="A230" s="579" t="s">
        <v>1977</v>
      </c>
      <c r="B230" s="708"/>
      <c r="C230" s="708"/>
      <c r="D230" s="708"/>
      <c r="E230" s="708"/>
      <c r="F230" s="708"/>
      <c r="G230" s="708"/>
      <c r="H230" s="708"/>
      <c r="I230" s="708"/>
      <c r="J230" s="708"/>
      <c r="K230" s="708"/>
      <c r="L230" s="708"/>
      <c r="M230" s="708"/>
      <c r="N230" s="708"/>
      <c r="O230" s="235">
        <f t="shared" si="6"/>
        <v>0</v>
      </c>
      <c r="P230" s="708"/>
      <c r="Q230" s="708"/>
      <c r="R230" s="708"/>
      <c r="S230" s="708"/>
      <c r="T230" s="708"/>
      <c r="U230" s="708"/>
      <c r="V230" s="708"/>
      <c r="W230" s="708"/>
      <c r="X230" s="708"/>
      <c r="Y230" s="708"/>
      <c r="Z230" s="708"/>
      <c r="AA230" s="708"/>
      <c r="AB230" s="708"/>
      <c r="AC230" s="708"/>
      <c r="AD230" s="708"/>
      <c r="AE230" s="708"/>
      <c r="AF230" s="707">
        <f t="shared" si="7"/>
        <v>0</v>
      </c>
    </row>
    <row r="231" spans="1:32">
      <c r="A231" s="579" t="s">
        <v>1978</v>
      </c>
      <c r="B231" s="706">
        <v>2076.1378399999999</v>
      </c>
      <c r="C231" s="706">
        <v>6495.5975600000002</v>
      </c>
      <c r="D231" s="706">
        <v>11098.40202</v>
      </c>
      <c r="E231" s="706">
        <v>18262.887869999999</v>
      </c>
      <c r="F231" s="706">
        <v>19131.255020000001</v>
      </c>
      <c r="G231" s="706">
        <v>19678.574700000001</v>
      </c>
      <c r="H231" s="706">
        <v>19642.71128</v>
      </c>
      <c r="I231" s="706">
        <v>17647.202960382801</v>
      </c>
      <c r="J231" s="706">
        <v>15619.0423062266</v>
      </c>
      <c r="K231" s="706">
        <v>13912.0848991039</v>
      </c>
      <c r="L231" s="706">
        <v>12396.4357221797</v>
      </c>
      <c r="M231" s="706">
        <v>10773.230882072599</v>
      </c>
      <c r="N231" s="706">
        <v>8916.5900337743897</v>
      </c>
      <c r="O231" s="235">
        <f t="shared" si="6"/>
        <v>13511.55023798</v>
      </c>
      <c r="P231" s="706">
        <v>6942.7169640454904</v>
      </c>
      <c r="Q231" s="706">
        <v>5194.9309639801204</v>
      </c>
      <c r="R231" s="706">
        <v>3553.5202349814699</v>
      </c>
      <c r="S231" s="706">
        <v>3733.8676373396102</v>
      </c>
      <c r="T231" s="706">
        <v>4943.4712419977895</v>
      </c>
      <c r="U231" s="706">
        <v>4864.3499066221602</v>
      </c>
      <c r="V231" s="706">
        <v>4875.1317625331503</v>
      </c>
      <c r="W231" s="706">
        <v>4882.2969743105396</v>
      </c>
      <c r="X231" s="706">
        <v>4205.7658261699899</v>
      </c>
      <c r="Y231" s="706">
        <v>2139.8910830893101</v>
      </c>
      <c r="Z231" s="706">
        <v>2139.8910830893101</v>
      </c>
      <c r="AA231" s="706">
        <v>2139.8910830893101</v>
      </c>
      <c r="AB231" s="706">
        <v>2139.8910830893101</v>
      </c>
      <c r="AC231" s="706">
        <v>2139.8910830893101</v>
      </c>
      <c r="AD231" s="706">
        <v>2139.8910830893101</v>
      </c>
      <c r="AE231" s="706">
        <v>2139.8910830893101</v>
      </c>
      <c r="AF231" s="707">
        <f t="shared" si="7"/>
        <v>3268.0093023537233</v>
      </c>
    </row>
    <row r="232" spans="1:32">
      <c r="A232" s="579" t="s">
        <v>1979</v>
      </c>
      <c r="B232" s="706">
        <v>40306.451480000003</v>
      </c>
      <c r="C232" s="706">
        <v>40160.273789999999</v>
      </c>
      <c r="D232" s="706">
        <v>40026.398809999999</v>
      </c>
      <c r="E232" s="706">
        <v>39880.7399699999</v>
      </c>
      <c r="F232" s="706">
        <v>39739.009080000003</v>
      </c>
      <c r="G232" s="706">
        <v>39593.350229999996</v>
      </c>
      <c r="H232" s="706">
        <v>39407.992389999999</v>
      </c>
      <c r="I232" s="706">
        <v>39218.73444</v>
      </c>
      <c r="J232" s="706">
        <v>39029.476490000001</v>
      </c>
      <c r="K232" s="706">
        <v>38844.145600000003</v>
      </c>
      <c r="L232" s="706">
        <v>38646.642119999997</v>
      </c>
      <c r="M232" s="706">
        <v>38453.065699999999</v>
      </c>
      <c r="N232" s="706">
        <v>38255.56222</v>
      </c>
      <c r="O232" s="235">
        <f t="shared" si="6"/>
        <v>39350.910947692297</v>
      </c>
      <c r="P232" s="706">
        <v>38058.05874</v>
      </c>
      <c r="Q232" s="706">
        <v>37872.336430000003</v>
      </c>
      <c r="R232" s="706">
        <v>37674.832950000004</v>
      </c>
      <c r="S232" s="706">
        <v>37481.256529999999</v>
      </c>
      <c r="T232" s="706">
        <v>37280.457414445103</v>
      </c>
      <c r="U232" s="706">
        <v>37083.585328890302</v>
      </c>
      <c r="V232" s="706">
        <v>36882.786213335501</v>
      </c>
      <c r="W232" s="706">
        <v>36681.9870977807</v>
      </c>
      <c r="X232" s="706">
        <v>36485.1150422258</v>
      </c>
      <c r="Y232" s="706">
        <v>36284.315926670999</v>
      </c>
      <c r="Z232" s="706">
        <v>36087.4438711162</v>
      </c>
      <c r="AA232" s="706">
        <v>35886.6447555614</v>
      </c>
      <c r="AB232" s="706">
        <v>35685.845640006497</v>
      </c>
      <c r="AC232" s="706">
        <v>35492.9006444517</v>
      </c>
      <c r="AD232" s="706">
        <v>35292.101528896899</v>
      </c>
      <c r="AE232" s="706">
        <v>35095.2294733421</v>
      </c>
      <c r="AF232" s="707">
        <f t="shared" si="7"/>
        <v>36286.128420517169</v>
      </c>
    </row>
    <row r="233" spans="1:32">
      <c r="A233" s="579" t="s">
        <v>1980</v>
      </c>
      <c r="B233" s="706">
        <v>4089.2190000000001</v>
      </c>
      <c r="C233" s="706">
        <v>12142.97991</v>
      </c>
      <c r="D233" s="706">
        <v>13426.95527</v>
      </c>
      <c r="E233" s="706">
        <v>15570.30898</v>
      </c>
      <c r="F233" s="706">
        <v>15320.22559</v>
      </c>
      <c r="G233" s="706">
        <v>16395.29795</v>
      </c>
      <c r="H233" s="706">
        <v>17603.987829999998</v>
      </c>
      <c r="I233" s="706">
        <v>18141.506521167699</v>
      </c>
      <c r="J233" s="706">
        <v>17577.853265881</v>
      </c>
      <c r="K233" s="706">
        <v>16062.8755822034</v>
      </c>
      <c r="L233" s="706">
        <v>13986.1109224335</v>
      </c>
      <c r="M233" s="706">
        <v>14426.6203138029</v>
      </c>
      <c r="N233" s="706">
        <v>13950.091215504701</v>
      </c>
      <c r="O233" s="235">
        <f t="shared" si="6"/>
        <v>14514.925565461017</v>
      </c>
      <c r="P233" s="706">
        <v>15902.9505726677</v>
      </c>
      <c r="Q233" s="706">
        <v>14601.0697304676</v>
      </c>
      <c r="R233" s="706">
        <v>13541.1085756957</v>
      </c>
      <c r="S233" s="706">
        <v>11557.534977073899</v>
      </c>
      <c r="T233" s="706">
        <v>7376.2206270479901</v>
      </c>
      <c r="U233" s="706">
        <v>6532.6384555044697</v>
      </c>
      <c r="V233" s="706">
        <v>7960.28042818208</v>
      </c>
      <c r="W233" s="706">
        <v>7605.5973413983602</v>
      </c>
      <c r="X233" s="706">
        <v>6566.38551148019</v>
      </c>
      <c r="Y233" s="706">
        <v>4943.9506285215302</v>
      </c>
      <c r="Z233" s="706">
        <v>4759.7251226078197</v>
      </c>
      <c r="AA233" s="706">
        <v>5825.0631441731302</v>
      </c>
      <c r="AB233" s="706">
        <v>7442.6868335082499</v>
      </c>
      <c r="AC233" s="706">
        <v>6193.5626037408401</v>
      </c>
      <c r="AD233" s="706">
        <v>4063.2679693298901</v>
      </c>
      <c r="AE233" s="706">
        <v>3882.99006050959</v>
      </c>
      <c r="AF233" s="707">
        <f t="shared" si="7"/>
        <v>6516.1464386983098</v>
      </c>
    </row>
    <row r="234" spans="1:32">
      <c r="A234" s="579" t="s">
        <v>1981</v>
      </c>
      <c r="B234" s="706">
        <v>27372.613000000001</v>
      </c>
      <c r="C234" s="706">
        <v>27372.613000000001</v>
      </c>
      <c r="D234" s="706">
        <v>27372.613000000001</v>
      </c>
      <c r="E234" s="706">
        <v>27451.411</v>
      </c>
      <c r="F234" s="706">
        <v>27451.411</v>
      </c>
      <c r="G234" s="706">
        <v>27451.411</v>
      </c>
      <c r="H234" s="706">
        <v>29028.793000000001</v>
      </c>
      <c r="I234" s="706">
        <v>29045.426083333299</v>
      </c>
      <c r="J234" s="706">
        <v>29062.059166666601</v>
      </c>
      <c r="K234" s="706">
        <v>29078.69225</v>
      </c>
      <c r="L234" s="706">
        <v>29095.325333333301</v>
      </c>
      <c r="M234" s="706">
        <v>29111.958416666599</v>
      </c>
      <c r="N234" s="706">
        <v>29128.591499999999</v>
      </c>
      <c r="O234" s="235">
        <f t="shared" si="6"/>
        <v>28309.455211538447</v>
      </c>
      <c r="P234" s="706">
        <v>29125.572250000001</v>
      </c>
      <c r="Q234" s="706">
        <v>29122.553</v>
      </c>
      <c r="R234" s="706">
        <v>29119.533749999999</v>
      </c>
      <c r="S234" s="706">
        <v>29116.514500000001</v>
      </c>
      <c r="T234" s="706">
        <v>29113.49525</v>
      </c>
      <c r="U234" s="706">
        <v>29110.475999999999</v>
      </c>
      <c r="V234" s="706">
        <v>29107.456749999899</v>
      </c>
      <c r="W234" s="706">
        <v>29104.437499999902</v>
      </c>
      <c r="X234" s="706">
        <v>29101.418249999901</v>
      </c>
      <c r="Y234" s="706">
        <v>29098.398999999899</v>
      </c>
      <c r="Z234" s="706">
        <v>29095.379749999898</v>
      </c>
      <c r="AA234" s="706">
        <v>29092.360499999901</v>
      </c>
      <c r="AB234" s="706">
        <v>29091.310666666599</v>
      </c>
      <c r="AC234" s="706">
        <v>29090.260833333301</v>
      </c>
      <c r="AD234" s="706">
        <v>29089.210999999901</v>
      </c>
      <c r="AE234" s="706">
        <v>29088.161166666599</v>
      </c>
      <c r="AF234" s="707">
        <f t="shared" si="7"/>
        <v>29099.91393589737</v>
      </c>
    </row>
    <row r="235" spans="1:32" ht="15.75" thickBot="1">
      <c r="A235" s="579" t="s">
        <v>1982</v>
      </c>
      <c r="B235" s="711">
        <v>670465.42943999998</v>
      </c>
      <c r="C235" s="711">
        <v>670465.42946999997</v>
      </c>
      <c r="D235" s="711">
        <v>670465.42946999997</v>
      </c>
      <c r="E235" s="711">
        <v>666712.92905000004</v>
      </c>
      <c r="F235" s="711">
        <v>666520.38962000003</v>
      </c>
      <c r="G235" s="711">
        <v>666520.38962000003</v>
      </c>
      <c r="H235" s="711">
        <v>661001.35722000001</v>
      </c>
      <c r="I235" s="711">
        <v>661001.35722000001</v>
      </c>
      <c r="J235" s="711">
        <v>661001.35722000001</v>
      </c>
      <c r="K235" s="711">
        <v>676703.100543026</v>
      </c>
      <c r="L235" s="711">
        <v>676703.100543026</v>
      </c>
      <c r="M235" s="711">
        <v>676703.100543026</v>
      </c>
      <c r="N235" s="711">
        <v>672748.40103962703</v>
      </c>
      <c r="O235" s="235">
        <f t="shared" si="6"/>
        <v>669000.9054614387</v>
      </c>
      <c r="P235" s="711">
        <v>672748.40103962703</v>
      </c>
      <c r="Q235" s="711">
        <v>672748.40103962703</v>
      </c>
      <c r="R235" s="711">
        <v>667086.95517681201</v>
      </c>
      <c r="S235" s="711">
        <v>665299.46646221401</v>
      </c>
      <c r="T235" s="711">
        <v>665299.46646221401</v>
      </c>
      <c r="U235" s="711">
        <v>661434.50064555404</v>
      </c>
      <c r="V235" s="711">
        <v>661434.50064555404</v>
      </c>
      <c r="W235" s="711">
        <v>661434.50064555404</v>
      </c>
      <c r="X235" s="711">
        <v>655786.54044762906</v>
      </c>
      <c r="Y235" s="711">
        <v>655786.54044762906</v>
      </c>
      <c r="Z235" s="711">
        <v>655786.54044762906</v>
      </c>
      <c r="AA235" s="711">
        <v>650138.58087069995</v>
      </c>
      <c r="AB235" s="711">
        <v>650138.58087069995</v>
      </c>
      <c r="AC235" s="711">
        <v>650138.58087069995</v>
      </c>
      <c r="AD235" s="711">
        <v>643377.39930144604</v>
      </c>
      <c r="AE235" s="711">
        <v>641212.44996447396</v>
      </c>
      <c r="AF235" s="707">
        <f t="shared" si="7"/>
        <v>655174.43446784595</v>
      </c>
    </row>
    <row r="236" spans="1:32">
      <c r="A236" s="579" t="s">
        <v>1977</v>
      </c>
      <c r="B236" s="706">
        <v>744309.85075999994</v>
      </c>
      <c r="C236" s="706">
        <v>756636.89373000001</v>
      </c>
      <c r="D236" s="706">
        <v>762389.79856999998</v>
      </c>
      <c r="E236" s="706">
        <v>767878.27686999994</v>
      </c>
      <c r="F236" s="706">
        <v>768162.29030999995</v>
      </c>
      <c r="G236" s="706">
        <v>769639.02350000001</v>
      </c>
      <c r="H236" s="706">
        <v>766684.84172000003</v>
      </c>
      <c r="I236" s="706">
        <v>765054.22722488397</v>
      </c>
      <c r="J236" s="706">
        <v>762289.78844877402</v>
      </c>
      <c r="K236" s="706">
        <v>774600.89887433301</v>
      </c>
      <c r="L236" s="706">
        <v>770827.61464097304</v>
      </c>
      <c r="M236" s="706">
        <v>769467.97585556796</v>
      </c>
      <c r="N236" s="706">
        <v>762999.23600890604</v>
      </c>
      <c r="O236" s="235">
        <f t="shared" si="6"/>
        <v>764687.74742411077</v>
      </c>
      <c r="P236" s="706">
        <v>762777.69956633996</v>
      </c>
      <c r="Q236" s="706">
        <v>759539.29116407502</v>
      </c>
      <c r="R236" s="706">
        <v>750975.95068748901</v>
      </c>
      <c r="S236" s="706">
        <v>747188.64010662795</v>
      </c>
      <c r="T236" s="706">
        <v>744013.11099570501</v>
      </c>
      <c r="U236" s="706">
        <v>739025.55033657094</v>
      </c>
      <c r="V236" s="706">
        <v>740260.15579960495</v>
      </c>
      <c r="W236" s="706">
        <v>739708.81955904397</v>
      </c>
      <c r="X236" s="706">
        <v>732145.22507750499</v>
      </c>
      <c r="Y236" s="706">
        <v>728253.09708591097</v>
      </c>
      <c r="Z236" s="706">
        <v>727868.98027444305</v>
      </c>
      <c r="AA236" s="706">
        <v>723082.54035352403</v>
      </c>
      <c r="AB236" s="706">
        <v>724498.31509397097</v>
      </c>
      <c r="AC236" s="706">
        <v>723055.19603531505</v>
      </c>
      <c r="AD236" s="706">
        <v>713961.87088276201</v>
      </c>
      <c r="AE236" s="706">
        <v>711418.72174808104</v>
      </c>
      <c r="AF236" s="707">
        <f t="shared" si="7"/>
        <v>730344.63256531267</v>
      </c>
    </row>
    <row r="237" spans="1:32">
      <c r="A237" s="579"/>
      <c r="B237" s="708"/>
      <c r="C237" s="708"/>
      <c r="D237" s="708"/>
      <c r="E237" s="708"/>
      <c r="F237" s="708"/>
      <c r="G237" s="708"/>
      <c r="H237" s="708"/>
      <c r="I237" s="708"/>
      <c r="J237" s="708"/>
      <c r="K237" s="708"/>
      <c r="L237" s="708"/>
      <c r="M237" s="708"/>
      <c r="N237" s="708"/>
      <c r="O237" s="235">
        <f t="shared" si="6"/>
        <v>0</v>
      </c>
      <c r="P237" s="708"/>
      <c r="Q237" s="708"/>
      <c r="R237" s="708"/>
      <c r="S237" s="708"/>
      <c r="T237" s="708"/>
      <c r="U237" s="708"/>
      <c r="V237" s="708"/>
      <c r="W237" s="708"/>
      <c r="X237" s="708"/>
      <c r="Y237" s="708"/>
      <c r="Z237" s="708"/>
      <c r="AA237" s="708"/>
      <c r="AB237" s="708"/>
      <c r="AC237" s="708"/>
      <c r="AD237" s="708"/>
      <c r="AE237" s="708"/>
      <c r="AF237" s="707">
        <f t="shared" si="7"/>
        <v>0</v>
      </c>
    </row>
    <row r="238" spans="1:32">
      <c r="A238" s="579" t="s">
        <v>1983</v>
      </c>
      <c r="B238" s="708"/>
      <c r="C238" s="708"/>
      <c r="D238" s="708"/>
      <c r="E238" s="708"/>
      <c r="F238" s="708"/>
      <c r="G238" s="708"/>
      <c r="H238" s="708"/>
      <c r="I238" s="708"/>
      <c r="J238" s="708"/>
      <c r="K238" s="708"/>
      <c r="L238" s="708"/>
      <c r="M238" s="708"/>
      <c r="N238" s="708"/>
      <c r="O238" s="235">
        <f t="shared" si="6"/>
        <v>0</v>
      </c>
      <c r="P238" s="708"/>
      <c r="Q238" s="708"/>
      <c r="R238" s="708"/>
      <c r="S238" s="708"/>
      <c r="T238" s="708"/>
      <c r="U238" s="708"/>
      <c r="V238" s="708"/>
      <c r="W238" s="708"/>
      <c r="X238" s="708"/>
      <c r="Y238" s="708"/>
      <c r="Z238" s="708"/>
      <c r="AA238" s="708"/>
      <c r="AB238" s="708"/>
      <c r="AC238" s="708"/>
      <c r="AD238" s="708"/>
      <c r="AE238" s="708"/>
      <c r="AF238" s="707">
        <f t="shared" si="7"/>
        <v>0</v>
      </c>
    </row>
    <row r="239" spans="1:32">
      <c r="A239" s="579" t="s">
        <v>1984</v>
      </c>
      <c r="B239" s="706">
        <v>617.99810000000002</v>
      </c>
      <c r="C239" s="706">
        <v>647.30458999999996</v>
      </c>
      <c r="D239" s="706">
        <v>645.41030000000001</v>
      </c>
      <c r="E239" s="706">
        <v>611.15755999999999</v>
      </c>
      <c r="F239" s="706">
        <v>642.05642999999998</v>
      </c>
      <c r="G239" s="706">
        <v>637.62662</v>
      </c>
      <c r="H239" s="706">
        <v>630.69578000000001</v>
      </c>
      <c r="I239" s="706">
        <v>630.69578000000001</v>
      </c>
      <c r="J239" s="706">
        <v>630.69578000000001</v>
      </c>
      <c r="K239" s="706">
        <v>630.69578000000001</v>
      </c>
      <c r="L239" s="706">
        <v>630.69578000000001</v>
      </c>
      <c r="M239" s="706">
        <v>630.69578000000001</v>
      </c>
      <c r="N239" s="706">
        <v>630.69578000000001</v>
      </c>
      <c r="O239" s="235">
        <f t="shared" si="6"/>
        <v>632.03262000000007</v>
      </c>
      <c r="P239" s="706">
        <v>630.69578000000001</v>
      </c>
      <c r="Q239" s="706">
        <v>630.69578000000001</v>
      </c>
      <c r="R239" s="706">
        <v>630.69578000000001</v>
      </c>
      <c r="S239" s="706">
        <v>630.69578000000001</v>
      </c>
      <c r="T239" s="706">
        <v>630.69578000000001</v>
      </c>
      <c r="U239" s="706">
        <v>630.69578000000001</v>
      </c>
      <c r="V239" s="706">
        <v>630.69578000000001</v>
      </c>
      <c r="W239" s="706">
        <v>630.69578000000001</v>
      </c>
      <c r="X239" s="706">
        <v>630.69578000000001</v>
      </c>
      <c r="Y239" s="706">
        <v>630.69578000000001</v>
      </c>
      <c r="Z239" s="706">
        <v>630.69578000000001</v>
      </c>
      <c r="AA239" s="706">
        <v>630.69578000000001</v>
      </c>
      <c r="AB239" s="706">
        <v>630.69578000000001</v>
      </c>
      <c r="AC239" s="706">
        <v>630.69578000000001</v>
      </c>
      <c r="AD239" s="706">
        <v>630.69578000000001</v>
      </c>
      <c r="AE239" s="706">
        <v>630.69578000000001</v>
      </c>
      <c r="AF239" s="707">
        <f t="shared" si="7"/>
        <v>630.69578000000001</v>
      </c>
    </row>
    <row r="240" spans="1:32" ht="15.75" thickBot="1">
      <c r="A240" s="579" t="s">
        <v>1985</v>
      </c>
      <c r="B240" s="711">
        <v>224.19782000000001</v>
      </c>
      <c r="C240" s="711">
        <v>231.52020999999999</v>
      </c>
      <c r="D240" s="711">
        <v>361.32134000000002</v>
      </c>
      <c r="E240" s="711">
        <v>342.01916999999997</v>
      </c>
      <c r="F240" s="711">
        <v>384.59408999999999</v>
      </c>
      <c r="G240" s="711">
        <v>340.38344999999998</v>
      </c>
      <c r="H240" s="711">
        <v>350.28559000000001</v>
      </c>
      <c r="I240" s="711">
        <v>350.28559000000001</v>
      </c>
      <c r="J240" s="711">
        <v>350.28559000000001</v>
      </c>
      <c r="K240" s="711">
        <v>350.28559000000001</v>
      </c>
      <c r="L240" s="711">
        <v>350.28559000000001</v>
      </c>
      <c r="M240" s="711">
        <v>350.28559000000001</v>
      </c>
      <c r="N240" s="711">
        <v>350.28559000000001</v>
      </c>
      <c r="O240" s="235">
        <f t="shared" si="6"/>
        <v>333.54117000000002</v>
      </c>
      <c r="P240" s="711">
        <v>350.28559000000001</v>
      </c>
      <c r="Q240" s="711">
        <v>350.28559000000001</v>
      </c>
      <c r="R240" s="711">
        <v>350.28559000000001</v>
      </c>
      <c r="S240" s="711">
        <v>350.28559000000001</v>
      </c>
      <c r="T240" s="711">
        <v>350.28559000000001</v>
      </c>
      <c r="U240" s="711">
        <v>350.28559000000001</v>
      </c>
      <c r="V240" s="711">
        <v>350.28559000000001</v>
      </c>
      <c r="W240" s="711">
        <v>350.28559000000001</v>
      </c>
      <c r="X240" s="711">
        <v>350.28559000000001</v>
      </c>
      <c r="Y240" s="711">
        <v>350.28559000000001</v>
      </c>
      <c r="Z240" s="711">
        <v>350.28559000000001</v>
      </c>
      <c r="AA240" s="711">
        <v>350.28559000000001</v>
      </c>
      <c r="AB240" s="711">
        <v>350.28559000000001</v>
      </c>
      <c r="AC240" s="711">
        <v>350.28559000000001</v>
      </c>
      <c r="AD240" s="711">
        <v>350.28559000000001</v>
      </c>
      <c r="AE240" s="711">
        <v>350.28559000000001</v>
      </c>
      <c r="AF240" s="707">
        <f t="shared" si="7"/>
        <v>350.28559000000007</v>
      </c>
    </row>
    <row r="241" spans="1:32">
      <c r="A241" s="579" t="s">
        <v>1983</v>
      </c>
      <c r="B241" s="706">
        <v>842.19592</v>
      </c>
      <c r="C241" s="706">
        <v>878.82479999999998</v>
      </c>
      <c r="D241" s="706">
        <v>1006.73164</v>
      </c>
      <c r="E241" s="706">
        <v>953.176729999999</v>
      </c>
      <c r="F241" s="706">
        <v>1026.6505199999999</v>
      </c>
      <c r="G241" s="706">
        <v>978.01007000000004</v>
      </c>
      <c r="H241" s="706">
        <v>980.98136999999997</v>
      </c>
      <c r="I241" s="706">
        <v>980.98136999999997</v>
      </c>
      <c r="J241" s="706">
        <v>980.98136999999997</v>
      </c>
      <c r="K241" s="706">
        <v>980.98136999999997</v>
      </c>
      <c r="L241" s="706">
        <v>980.98136999999997</v>
      </c>
      <c r="M241" s="706">
        <v>980.98136999999997</v>
      </c>
      <c r="N241" s="706">
        <v>980.98136999999997</v>
      </c>
      <c r="O241" s="235">
        <f t="shared" si="6"/>
        <v>965.57378999999969</v>
      </c>
      <c r="P241" s="706">
        <v>980.98136999999997</v>
      </c>
      <c r="Q241" s="706">
        <v>980.98136999999997</v>
      </c>
      <c r="R241" s="706">
        <v>980.98136999999997</v>
      </c>
      <c r="S241" s="706">
        <v>980.98136999999997</v>
      </c>
      <c r="T241" s="706">
        <v>980.98136999999997</v>
      </c>
      <c r="U241" s="706">
        <v>980.98136999999997</v>
      </c>
      <c r="V241" s="706">
        <v>980.98136999999997</v>
      </c>
      <c r="W241" s="706">
        <v>980.98136999999997</v>
      </c>
      <c r="X241" s="706">
        <v>980.98136999999997</v>
      </c>
      <c r="Y241" s="706">
        <v>980.98136999999997</v>
      </c>
      <c r="Z241" s="706">
        <v>980.98136999999997</v>
      </c>
      <c r="AA241" s="706">
        <v>980.98136999999997</v>
      </c>
      <c r="AB241" s="706">
        <v>980.98136999999997</v>
      </c>
      <c r="AC241" s="706">
        <v>980.98136999999997</v>
      </c>
      <c r="AD241" s="706">
        <v>980.98136999999997</v>
      </c>
      <c r="AE241" s="706">
        <v>980.98136999999997</v>
      </c>
      <c r="AF241" s="707">
        <f t="shared" si="7"/>
        <v>980.98136999999963</v>
      </c>
    </row>
    <row r="242" spans="1:32">
      <c r="A242" s="579" t="s">
        <v>1986</v>
      </c>
      <c r="B242" s="708"/>
      <c r="C242" s="708"/>
      <c r="D242" s="708"/>
      <c r="E242" s="708"/>
      <c r="F242" s="708"/>
      <c r="G242" s="708"/>
      <c r="H242" s="708"/>
      <c r="I242" s="708"/>
      <c r="J242" s="708"/>
      <c r="K242" s="708"/>
      <c r="L242" s="708"/>
      <c r="M242" s="708"/>
      <c r="N242" s="708"/>
      <c r="O242" s="235">
        <f t="shared" si="6"/>
        <v>0</v>
      </c>
      <c r="P242" s="708"/>
      <c r="Q242" s="708"/>
      <c r="R242" s="708"/>
      <c r="S242" s="708"/>
      <c r="T242" s="708"/>
      <c r="U242" s="708"/>
      <c r="V242" s="708"/>
      <c r="W242" s="708"/>
      <c r="X242" s="708"/>
      <c r="Y242" s="708"/>
      <c r="Z242" s="708"/>
      <c r="AA242" s="708"/>
      <c r="AB242" s="708"/>
      <c r="AC242" s="708"/>
      <c r="AD242" s="708"/>
      <c r="AE242" s="708"/>
      <c r="AF242" s="707">
        <f t="shared" si="7"/>
        <v>0</v>
      </c>
    </row>
    <row r="243" spans="1:32">
      <c r="A243" s="579" t="s">
        <v>1987</v>
      </c>
      <c r="B243" s="708"/>
      <c r="C243" s="708"/>
      <c r="D243" s="708"/>
      <c r="E243" s="708"/>
      <c r="F243" s="708"/>
      <c r="G243" s="708"/>
      <c r="H243" s="708"/>
      <c r="I243" s="708"/>
      <c r="J243" s="708"/>
      <c r="K243" s="708"/>
      <c r="L243" s="708"/>
      <c r="M243" s="708"/>
      <c r="N243" s="708"/>
      <c r="O243" s="235">
        <f t="shared" si="6"/>
        <v>0</v>
      </c>
      <c r="P243" s="708"/>
      <c r="Q243" s="708"/>
      <c r="R243" s="708"/>
      <c r="S243" s="708"/>
      <c r="T243" s="708"/>
      <c r="U243" s="708"/>
      <c r="V243" s="708"/>
      <c r="W243" s="708"/>
      <c r="X243" s="708"/>
      <c r="Y243" s="708"/>
      <c r="Z243" s="708"/>
      <c r="AA243" s="708"/>
      <c r="AB243" s="708"/>
      <c r="AC243" s="708"/>
      <c r="AD243" s="708"/>
      <c r="AE243" s="708"/>
      <c r="AF243" s="707">
        <f t="shared" si="7"/>
        <v>0</v>
      </c>
    </row>
    <row r="244" spans="1:32">
      <c r="A244" s="579" t="s">
        <v>1988</v>
      </c>
      <c r="B244" s="706">
        <v>174523.65569000001</v>
      </c>
      <c r="C244" s="706">
        <v>173981.24835000001</v>
      </c>
      <c r="D244" s="706">
        <v>173874.69675999999</v>
      </c>
      <c r="E244" s="706">
        <v>157715.95746000001</v>
      </c>
      <c r="F244" s="706">
        <v>160775.84112999999</v>
      </c>
      <c r="G244" s="706">
        <v>159114.43192999999</v>
      </c>
      <c r="H244" s="706">
        <v>153454.93338999999</v>
      </c>
      <c r="I244" s="706">
        <v>150036.43866000001</v>
      </c>
      <c r="J244" s="706">
        <v>146832.23155</v>
      </c>
      <c r="K244" s="706">
        <v>144241.40888</v>
      </c>
      <c r="L244" s="706">
        <v>140048.86781</v>
      </c>
      <c r="M244" s="706">
        <v>136684.49356</v>
      </c>
      <c r="N244" s="706">
        <v>129249.65695999999</v>
      </c>
      <c r="O244" s="235">
        <f t="shared" si="6"/>
        <v>153887.22016384616</v>
      </c>
      <c r="P244" s="706">
        <v>128098.12959</v>
      </c>
      <c r="Q244" s="706">
        <v>126089.21670999999</v>
      </c>
      <c r="R244" s="706">
        <v>122821.73348</v>
      </c>
      <c r="S244" s="706">
        <v>119520.97527</v>
      </c>
      <c r="T244" s="706">
        <v>116778.87735</v>
      </c>
      <c r="U244" s="706">
        <v>112184.85916000001</v>
      </c>
      <c r="V244" s="706">
        <v>108076.12815</v>
      </c>
      <c r="W244" s="706">
        <v>103761.00986999999</v>
      </c>
      <c r="X244" s="706">
        <v>100603.82786999999</v>
      </c>
      <c r="Y244" s="706">
        <v>97796.583859999999</v>
      </c>
      <c r="Z244" s="706">
        <v>95287.893549999993</v>
      </c>
      <c r="AA244" s="706">
        <v>90776.330830000006</v>
      </c>
      <c r="AB244" s="706">
        <v>88701.479550000004</v>
      </c>
      <c r="AC244" s="706">
        <v>86629.364690000002</v>
      </c>
      <c r="AD244" s="706">
        <v>84059.758919999993</v>
      </c>
      <c r="AE244" s="706">
        <v>79739.473379999996</v>
      </c>
      <c r="AF244" s="707">
        <f t="shared" si="7"/>
        <v>98762.812496153856</v>
      </c>
    </row>
    <row r="245" spans="1:32" ht="15.75" thickBot="1">
      <c r="A245" s="579" t="s">
        <v>1989</v>
      </c>
      <c r="B245" s="711">
        <v>60404.897440000001</v>
      </c>
      <c r="C245" s="711">
        <v>60404.897440000001</v>
      </c>
      <c r="D245" s="711">
        <v>60404.897440000001</v>
      </c>
      <c r="E245" s="711">
        <v>71693.907370000001</v>
      </c>
      <c r="F245" s="711">
        <v>71693.907370000001</v>
      </c>
      <c r="G245" s="711">
        <v>71693.907370000001</v>
      </c>
      <c r="H245" s="711">
        <v>66932.300600000002</v>
      </c>
      <c r="I245" s="711">
        <v>66932.300600000002</v>
      </c>
      <c r="J245" s="711">
        <v>66932.300600000002</v>
      </c>
      <c r="K245" s="711">
        <v>66932.300600000002</v>
      </c>
      <c r="L245" s="711">
        <v>66932.300600000002</v>
      </c>
      <c r="M245" s="711">
        <v>66932.300600000002</v>
      </c>
      <c r="N245" s="711">
        <v>66932.300600000002</v>
      </c>
      <c r="O245" s="235">
        <f t="shared" si="6"/>
        <v>66524.809125384607</v>
      </c>
      <c r="P245" s="711">
        <v>66932.300600000002</v>
      </c>
      <c r="Q245" s="711">
        <v>66932.300600000002</v>
      </c>
      <c r="R245" s="711">
        <v>66932.300600000002</v>
      </c>
      <c r="S245" s="711">
        <v>66932.300600000002</v>
      </c>
      <c r="T245" s="711">
        <v>66932.300600000002</v>
      </c>
      <c r="U245" s="711">
        <v>66932.300600000002</v>
      </c>
      <c r="V245" s="711">
        <v>66932.300600000002</v>
      </c>
      <c r="W245" s="711">
        <v>66932.300600000002</v>
      </c>
      <c r="X245" s="711">
        <v>66932.300600000002</v>
      </c>
      <c r="Y245" s="711">
        <v>66932.300600000002</v>
      </c>
      <c r="Z245" s="711">
        <v>66932.300600000002</v>
      </c>
      <c r="AA245" s="711">
        <v>66932.300600000002</v>
      </c>
      <c r="AB245" s="711">
        <v>66932.300600000002</v>
      </c>
      <c r="AC245" s="711">
        <v>66932.300600000002</v>
      </c>
      <c r="AD245" s="711">
        <v>66932.300600000002</v>
      </c>
      <c r="AE245" s="711">
        <v>66932.300600000002</v>
      </c>
      <c r="AF245" s="707">
        <f t="shared" si="7"/>
        <v>66932.300599999988</v>
      </c>
    </row>
    <row r="246" spans="1:32">
      <c r="A246" s="579" t="s">
        <v>1987</v>
      </c>
      <c r="B246" s="706">
        <v>234928.55312999999</v>
      </c>
      <c r="C246" s="706">
        <v>234386.14579000001</v>
      </c>
      <c r="D246" s="706">
        <v>234279.59419999999</v>
      </c>
      <c r="E246" s="706">
        <v>229409.86483000001</v>
      </c>
      <c r="F246" s="706">
        <v>232469.74849999999</v>
      </c>
      <c r="G246" s="706">
        <v>230808.33929999999</v>
      </c>
      <c r="H246" s="706">
        <v>220387.23398999899</v>
      </c>
      <c r="I246" s="706">
        <v>216968.73926</v>
      </c>
      <c r="J246" s="706">
        <v>213764.532149999</v>
      </c>
      <c r="K246" s="706">
        <v>211173.70947999999</v>
      </c>
      <c r="L246" s="706">
        <v>206981.16841000001</v>
      </c>
      <c r="M246" s="706">
        <v>203616.79415999999</v>
      </c>
      <c r="N246" s="706">
        <v>196181.95756000001</v>
      </c>
      <c r="O246" s="235">
        <f t="shared" si="6"/>
        <v>220412.02928923065</v>
      </c>
      <c r="P246" s="706">
        <v>195030.43019000001</v>
      </c>
      <c r="Q246" s="706">
        <v>193021.51731</v>
      </c>
      <c r="R246" s="706">
        <v>189754.03408000001</v>
      </c>
      <c r="S246" s="706">
        <v>186453.27587000001</v>
      </c>
      <c r="T246" s="706">
        <v>183711.17795000001</v>
      </c>
      <c r="U246" s="706">
        <v>179117.15976000001</v>
      </c>
      <c r="V246" s="706">
        <v>175008.42874999999</v>
      </c>
      <c r="W246" s="706">
        <v>170693.31047</v>
      </c>
      <c r="X246" s="706">
        <v>167536.12847</v>
      </c>
      <c r="Y246" s="706">
        <v>164728.88446</v>
      </c>
      <c r="Z246" s="706">
        <v>162220.19415</v>
      </c>
      <c r="AA246" s="706">
        <v>157708.63143000001</v>
      </c>
      <c r="AB246" s="706">
        <v>155633.78015000001</v>
      </c>
      <c r="AC246" s="706">
        <v>153561.66529</v>
      </c>
      <c r="AD246" s="706">
        <v>150992.05952000001</v>
      </c>
      <c r="AE246" s="706">
        <v>146671.77398</v>
      </c>
      <c r="AF246" s="707">
        <f t="shared" si="7"/>
        <v>165695.11309615386</v>
      </c>
    </row>
    <row r="247" spans="1:32">
      <c r="A247" s="579"/>
      <c r="B247" s="708"/>
      <c r="C247" s="708"/>
      <c r="D247" s="708"/>
      <c r="E247" s="708"/>
      <c r="F247" s="708"/>
      <c r="G247" s="708"/>
      <c r="H247" s="708"/>
      <c r="I247" s="708"/>
      <c r="J247" s="708"/>
      <c r="K247" s="708"/>
      <c r="L247" s="708"/>
      <c r="M247" s="708"/>
      <c r="N247" s="708"/>
      <c r="O247" s="235">
        <f t="shared" si="6"/>
        <v>0</v>
      </c>
      <c r="P247" s="708"/>
      <c r="Q247" s="708"/>
      <c r="R247" s="708"/>
      <c r="S247" s="708"/>
      <c r="T247" s="708"/>
      <c r="U247" s="708"/>
      <c r="V247" s="708"/>
      <c r="W247" s="708"/>
      <c r="X247" s="708"/>
      <c r="Y247" s="708"/>
      <c r="Z247" s="708"/>
      <c r="AA247" s="708"/>
      <c r="AB247" s="708"/>
      <c r="AC247" s="708"/>
      <c r="AD247" s="708"/>
      <c r="AE247" s="708"/>
      <c r="AF247" s="707">
        <f t="shared" si="7"/>
        <v>0</v>
      </c>
    </row>
    <row r="248" spans="1:32">
      <c r="A248" s="579" t="s">
        <v>1990</v>
      </c>
      <c r="B248" s="708"/>
      <c r="C248" s="708"/>
      <c r="D248" s="708"/>
      <c r="E248" s="708"/>
      <c r="F248" s="708"/>
      <c r="G248" s="708"/>
      <c r="H248" s="708"/>
      <c r="I248" s="708"/>
      <c r="J248" s="708"/>
      <c r="K248" s="708"/>
      <c r="L248" s="708"/>
      <c r="M248" s="708"/>
      <c r="N248" s="708"/>
      <c r="O248" s="235">
        <f t="shared" si="6"/>
        <v>0</v>
      </c>
      <c r="P248" s="708"/>
      <c r="Q248" s="708"/>
      <c r="R248" s="708"/>
      <c r="S248" s="708"/>
      <c r="T248" s="708"/>
      <c r="U248" s="708"/>
      <c r="V248" s="708"/>
      <c r="W248" s="708"/>
      <c r="X248" s="708"/>
      <c r="Y248" s="708"/>
      <c r="Z248" s="708"/>
      <c r="AA248" s="708"/>
      <c r="AB248" s="708"/>
      <c r="AC248" s="708"/>
      <c r="AD248" s="708"/>
      <c r="AE248" s="708"/>
      <c r="AF248" s="707">
        <f t="shared" si="7"/>
        <v>0</v>
      </c>
    </row>
    <row r="249" spans="1:32">
      <c r="A249" s="579" t="s">
        <v>1991</v>
      </c>
      <c r="B249" s="706">
        <v>0</v>
      </c>
      <c r="C249" s="706">
        <v>2592.8223199999902</v>
      </c>
      <c r="D249" s="706">
        <v>3424.8079200000002</v>
      </c>
      <c r="E249" s="706">
        <v>481.53505000000001</v>
      </c>
      <c r="F249" s="706">
        <v>753.32533000000001</v>
      </c>
      <c r="G249" s="706">
        <v>1462.6456599999999</v>
      </c>
      <c r="H249" s="706">
        <v>371.63267000000002</v>
      </c>
      <c r="I249" s="706">
        <v>371.63267000000002</v>
      </c>
      <c r="J249" s="706">
        <v>371.63267000000002</v>
      </c>
      <c r="K249" s="706">
        <v>371.63267000000002</v>
      </c>
      <c r="L249" s="706">
        <v>371.63267000000002</v>
      </c>
      <c r="M249" s="706">
        <v>371.63267000000002</v>
      </c>
      <c r="N249" s="706">
        <v>371.63267000000002</v>
      </c>
      <c r="O249" s="235">
        <f t="shared" si="6"/>
        <v>870.50499769230737</v>
      </c>
      <c r="P249" s="706">
        <v>371.63267000000002</v>
      </c>
      <c r="Q249" s="706">
        <v>371.63267000000002</v>
      </c>
      <c r="R249" s="706">
        <v>371.63267000000002</v>
      </c>
      <c r="S249" s="706">
        <v>371.63267000000002</v>
      </c>
      <c r="T249" s="706">
        <v>371.63267000000002</v>
      </c>
      <c r="U249" s="706">
        <v>371.63267000000002</v>
      </c>
      <c r="V249" s="706">
        <v>371.63267000000002</v>
      </c>
      <c r="W249" s="706">
        <v>371.63267000000002</v>
      </c>
      <c r="X249" s="706">
        <v>371.63267000000002</v>
      </c>
      <c r="Y249" s="706">
        <v>371.63267000000002</v>
      </c>
      <c r="Z249" s="706">
        <v>371.63267000000002</v>
      </c>
      <c r="AA249" s="706">
        <v>371.63267000000002</v>
      </c>
      <c r="AB249" s="706">
        <v>371.63267000000002</v>
      </c>
      <c r="AC249" s="706">
        <v>371.63267000000002</v>
      </c>
      <c r="AD249" s="706">
        <v>371.63267000000002</v>
      </c>
      <c r="AE249" s="706">
        <v>371.63267000000002</v>
      </c>
      <c r="AF249" s="707">
        <f t="shared" si="7"/>
        <v>371.63267000000002</v>
      </c>
    </row>
    <row r="250" spans="1:32">
      <c r="A250" s="579" t="s">
        <v>1992</v>
      </c>
      <c r="B250" s="706">
        <v>1381.94138</v>
      </c>
      <c r="C250" s="706">
        <v>1378.75332999999</v>
      </c>
      <c r="D250" s="706">
        <v>1374.0822900000001</v>
      </c>
      <c r="E250" s="706">
        <v>1377.0017700000001</v>
      </c>
      <c r="F250" s="706">
        <v>1373.7919300000001</v>
      </c>
      <c r="G250" s="706">
        <v>1371.4704300000001</v>
      </c>
      <c r="H250" s="706">
        <v>1368.3264200000001</v>
      </c>
      <c r="I250" s="706">
        <v>1368.3264200000001</v>
      </c>
      <c r="J250" s="706">
        <v>1368.3264200000001</v>
      </c>
      <c r="K250" s="706">
        <v>1368.3264200000001</v>
      </c>
      <c r="L250" s="706">
        <v>1368.3264200000001</v>
      </c>
      <c r="M250" s="706">
        <v>1368.3264200000001</v>
      </c>
      <c r="N250" s="706">
        <v>1368.3264200000001</v>
      </c>
      <c r="O250" s="235">
        <f t="shared" si="6"/>
        <v>1371.9481592307684</v>
      </c>
      <c r="P250" s="706">
        <v>1368.3264200000001</v>
      </c>
      <c r="Q250" s="706">
        <v>1368.3264200000001</v>
      </c>
      <c r="R250" s="706">
        <v>1368.3264200000001</v>
      </c>
      <c r="S250" s="706">
        <v>1368.3264200000001</v>
      </c>
      <c r="T250" s="706">
        <v>1368.3264200000001</v>
      </c>
      <c r="U250" s="706">
        <v>1368.3264200000001</v>
      </c>
      <c r="V250" s="706">
        <v>1368.3264200000001</v>
      </c>
      <c r="W250" s="706">
        <v>1368.3264200000001</v>
      </c>
      <c r="X250" s="706">
        <v>1368.3264200000001</v>
      </c>
      <c r="Y250" s="706">
        <v>1368.3264200000001</v>
      </c>
      <c r="Z250" s="706">
        <v>1368.3264200000001</v>
      </c>
      <c r="AA250" s="706">
        <v>1368.3264200000001</v>
      </c>
      <c r="AB250" s="706">
        <v>1368.3264200000001</v>
      </c>
      <c r="AC250" s="706">
        <v>1368.3264200000001</v>
      </c>
      <c r="AD250" s="706">
        <v>1368.3264200000001</v>
      </c>
      <c r="AE250" s="706">
        <v>1368.3264200000001</v>
      </c>
      <c r="AF250" s="707">
        <f t="shared" si="7"/>
        <v>1368.3264199999999</v>
      </c>
    </row>
    <row r="251" spans="1:32">
      <c r="A251" s="579" t="s">
        <v>1993</v>
      </c>
      <c r="B251" s="706">
        <v>0</v>
      </c>
      <c r="C251" s="706">
        <v>0</v>
      </c>
      <c r="D251" s="706">
        <v>0</v>
      </c>
      <c r="E251" s="706">
        <v>0</v>
      </c>
      <c r="F251" s="706">
        <v>0</v>
      </c>
      <c r="G251" s="706">
        <v>0</v>
      </c>
      <c r="H251" s="706">
        <v>0</v>
      </c>
      <c r="I251" s="706">
        <v>0</v>
      </c>
      <c r="J251" s="706">
        <v>0</v>
      </c>
      <c r="K251" s="706">
        <v>0</v>
      </c>
      <c r="L251" s="706">
        <v>0</v>
      </c>
      <c r="M251" s="706">
        <v>0</v>
      </c>
      <c r="N251" s="706">
        <v>0</v>
      </c>
      <c r="O251" s="235">
        <f t="shared" si="6"/>
        <v>0</v>
      </c>
      <c r="P251" s="706">
        <v>0</v>
      </c>
      <c r="Q251" s="706">
        <v>0</v>
      </c>
      <c r="R251" s="706">
        <v>0</v>
      </c>
      <c r="S251" s="706">
        <v>0</v>
      </c>
      <c r="T251" s="706">
        <v>0</v>
      </c>
      <c r="U251" s="706">
        <v>0</v>
      </c>
      <c r="V251" s="706">
        <v>0</v>
      </c>
      <c r="W251" s="706">
        <v>0</v>
      </c>
      <c r="X251" s="706">
        <v>0</v>
      </c>
      <c r="Y251" s="706">
        <v>0</v>
      </c>
      <c r="Z251" s="706">
        <v>0</v>
      </c>
      <c r="AA251" s="706">
        <v>0</v>
      </c>
      <c r="AB251" s="706">
        <v>0</v>
      </c>
      <c r="AC251" s="706">
        <v>0</v>
      </c>
      <c r="AD251" s="706">
        <v>0</v>
      </c>
      <c r="AE251" s="706">
        <v>0</v>
      </c>
      <c r="AF251" s="707">
        <f t="shared" si="7"/>
        <v>0</v>
      </c>
    </row>
    <row r="252" spans="1:32" ht="15.75" thickBot="1">
      <c r="A252" s="579" t="s">
        <v>2523</v>
      </c>
      <c r="B252" s="711">
        <v>0</v>
      </c>
      <c r="C252" s="711">
        <v>0</v>
      </c>
      <c r="D252" s="711">
        <v>0</v>
      </c>
      <c r="E252" s="711">
        <v>0</v>
      </c>
      <c r="F252" s="711">
        <v>0</v>
      </c>
      <c r="G252" s="711">
        <v>0</v>
      </c>
      <c r="H252" s="711">
        <v>19216.094000000001</v>
      </c>
      <c r="I252" s="711">
        <v>19216.094000000001</v>
      </c>
      <c r="J252" s="711">
        <v>19216.094000000001</v>
      </c>
      <c r="K252" s="711">
        <v>0</v>
      </c>
      <c r="L252" s="711">
        <v>0</v>
      </c>
      <c r="M252" s="711">
        <v>0</v>
      </c>
      <c r="N252" s="711">
        <v>0</v>
      </c>
      <c r="O252" s="235">
        <f t="shared" si="6"/>
        <v>4434.4832307692313</v>
      </c>
      <c r="P252" s="711">
        <v>0</v>
      </c>
      <c r="Q252" s="711">
        <v>0</v>
      </c>
      <c r="R252" s="711">
        <v>0</v>
      </c>
      <c r="S252" s="711">
        <v>0</v>
      </c>
      <c r="T252" s="711">
        <v>0</v>
      </c>
      <c r="U252" s="711">
        <v>0</v>
      </c>
      <c r="V252" s="711">
        <v>0</v>
      </c>
      <c r="W252" s="711">
        <v>0</v>
      </c>
      <c r="X252" s="711">
        <v>0</v>
      </c>
      <c r="Y252" s="711">
        <v>0</v>
      </c>
      <c r="Z252" s="711">
        <v>0</v>
      </c>
      <c r="AA252" s="711">
        <v>0</v>
      </c>
      <c r="AB252" s="711">
        <v>0</v>
      </c>
      <c r="AC252" s="711">
        <v>0</v>
      </c>
      <c r="AD252" s="711">
        <v>0</v>
      </c>
      <c r="AE252" s="711">
        <v>0</v>
      </c>
      <c r="AF252" s="707">
        <f t="shared" si="7"/>
        <v>0</v>
      </c>
    </row>
    <row r="253" spans="1:32">
      <c r="A253" s="579" t="s">
        <v>1990</v>
      </c>
      <c r="B253" s="706">
        <v>1381.94138</v>
      </c>
      <c r="C253" s="706">
        <v>3971.5756499999902</v>
      </c>
      <c r="D253" s="706">
        <v>4798.8902099999996</v>
      </c>
      <c r="E253" s="706">
        <v>1858.53682</v>
      </c>
      <c r="F253" s="706">
        <v>2127.11726</v>
      </c>
      <c r="G253" s="706">
        <v>2834.11609</v>
      </c>
      <c r="H253" s="706">
        <v>20956.053090000001</v>
      </c>
      <c r="I253" s="706">
        <v>20956.053090000001</v>
      </c>
      <c r="J253" s="706">
        <v>20956.053090000001</v>
      </c>
      <c r="K253" s="706">
        <v>1739.9590900000001</v>
      </c>
      <c r="L253" s="706">
        <v>1739.9590900000001</v>
      </c>
      <c r="M253" s="706">
        <v>1739.9590900000001</v>
      </c>
      <c r="N253" s="706">
        <v>1739.9590900000001</v>
      </c>
      <c r="O253" s="235">
        <f t="shared" si="6"/>
        <v>6676.936387692308</v>
      </c>
      <c r="P253" s="706">
        <v>1739.9590900000001</v>
      </c>
      <c r="Q253" s="706">
        <v>1739.9590900000001</v>
      </c>
      <c r="R253" s="706">
        <v>1739.9590900000001</v>
      </c>
      <c r="S253" s="706">
        <v>1739.9590900000001</v>
      </c>
      <c r="T253" s="706">
        <v>1739.9590900000001</v>
      </c>
      <c r="U253" s="706">
        <v>1739.9590900000001</v>
      </c>
      <c r="V253" s="706">
        <v>1739.9590900000001</v>
      </c>
      <c r="W253" s="706">
        <v>1739.9590900000001</v>
      </c>
      <c r="X253" s="706">
        <v>1739.9590900000001</v>
      </c>
      <c r="Y253" s="706">
        <v>1739.9590900000001</v>
      </c>
      <c r="Z253" s="706">
        <v>1739.9590900000001</v>
      </c>
      <c r="AA253" s="706">
        <v>1739.9590900000001</v>
      </c>
      <c r="AB253" s="706">
        <v>1739.9590900000001</v>
      </c>
      <c r="AC253" s="706">
        <v>1739.9590900000001</v>
      </c>
      <c r="AD253" s="706">
        <v>1739.9590900000001</v>
      </c>
      <c r="AE253" s="706">
        <v>1739.9590900000001</v>
      </c>
      <c r="AF253" s="707">
        <f t="shared" si="7"/>
        <v>1739.9590900000001</v>
      </c>
    </row>
    <row r="254" spans="1:32">
      <c r="A254" s="579"/>
      <c r="B254" s="708"/>
      <c r="C254" s="708"/>
      <c r="D254" s="708"/>
      <c r="E254" s="708"/>
      <c r="F254" s="708"/>
      <c r="G254" s="708"/>
      <c r="H254" s="708"/>
      <c r="I254" s="708"/>
      <c r="J254" s="708"/>
      <c r="K254" s="708"/>
      <c r="L254" s="708"/>
      <c r="M254" s="708"/>
      <c r="N254" s="708"/>
      <c r="O254" s="235">
        <f t="shared" si="6"/>
        <v>0</v>
      </c>
      <c r="P254" s="708"/>
      <c r="Q254" s="708"/>
      <c r="R254" s="708"/>
      <c r="S254" s="708"/>
      <c r="T254" s="708"/>
      <c r="U254" s="708"/>
      <c r="V254" s="708"/>
      <c r="W254" s="708"/>
      <c r="X254" s="708"/>
      <c r="Y254" s="708"/>
      <c r="Z254" s="708"/>
      <c r="AA254" s="708"/>
      <c r="AB254" s="708"/>
      <c r="AC254" s="708"/>
      <c r="AD254" s="708"/>
      <c r="AE254" s="708"/>
      <c r="AF254" s="707">
        <f t="shared" si="7"/>
        <v>0</v>
      </c>
    </row>
    <row r="255" spans="1:32">
      <c r="A255" s="579" t="s">
        <v>1994</v>
      </c>
      <c r="B255" s="708"/>
      <c r="C255" s="708"/>
      <c r="D255" s="708"/>
      <c r="E255" s="708"/>
      <c r="F255" s="708"/>
      <c r="G255" s="708"/>
      <c r="H255" s="708"/>
      <c r="I255" s="708"/>
      <c r="J255" s="708"/>
      <c r="K255" s="708"/>
      <c r="L255" s="708"/>
      <c r="M255" s="708"/>
      <c r="N255" s="708"/>
      <c r="O255" s="235">
        <f t="shared" si="6"/>
        <v>0</v>
      </c>
      <c r="P255" s="708"/>
      <c r="Q255" s="708"/>
      <c r="R255" s="708"/>
      <c r="S255" s="708"/>
      <c r="T255" s="708"/>
      <c r="U255" s="708"/>
      <c r="V255" s="708"/>
      <c r="W255" s="708"/>
      <c r="X255" s="708"/>
      <c r="Y255" s="708"/>
      <c r="Z255" s="708"/>
      <c r="AA255" s="708"/>
      <c r="AB255" s="708"/>
      <c r="AC255" s="708"/>
      <c r="AD255" s="708"/>
      <c r="AE255" s="708"/>
      <c r="AF255" s="707">
        <f t="shared" si="7"/>
        <v>0</v>
      </c>
    </row>
    <row r="256" spans="1:32">
      <c r="A256" s="579" t="s">
        <v>1995</v>
      </c>
      <c r="B256" s="706">
        <v>587.39135999999996</v>
      </c>
      <c r="C256" s="706">
        <v>587.39135999999996</v>
      </c>
      <c r="D256" s="706">
        <v>587.39135999999996</v>
      </c>
      <c r="E256" s="706">
        <v>661.98959000000002</v>
      </c>
      <c r="F256" s="706">
        <v>661.98959000000002</v>
      </c>
      <c r="G256" s="706">
        <v>661.98959000000002</v>
      </c>
      <c r="H256" s="706">
        <v>641.42958999999996</v>
      </c>
      <c r="I256" s="706">
        <v>641.42958999999996</v>
      </c>
      <c r="J256" s="706">
        <v>641.42958999999996</v>
      </c>
      <c r="K256" s="706">
        <v>641.42958999999996</v>
      </c>
      <c r="L256" s="706">
        <v>641.42958999999996</v>
      </c>
      <c r="M256" s="706">
        <v>641.42958999999996</v>
      </c>
      <c r="N256" s="706">
        <v>641.42958999999996</v>
      </c>
      <c r="O256" s="235">
        <f t="shared" si="6"/>
        <v>633.70384461538447</v>
      </c>
      <c r="P256" s="706">
        <v>641.42958999999996</v>
      </c>
      <c r="Q256" s="706">
        <v>641.42958999999996</v>
      </c>
      <c r="R256" s="706">
        <v>641.42958999999996</v>
      </c>
      <c r="S256" s="706">
        <v>641.42958999999996</v>
      </c>
      <c r="T256" s="706">
        <v>641.42958999999996</v>
      </c>
      <c r="U256" s="706">
        <v>641.42958999999996</v>
      </c>
      <c r="V256" s="706">
        <v>641.42958999999996</v>
      </c>
      <c r="W256" s="706">
        <v>641.42958999999996</v>
      </c>
      <c r="X256" s="706">
        <v>641.42958999999996</v>
      </c>
      <c r="Y256" s="706">
        <v>641.42958999999996</v>
      </c>
      <c r="Z256" s="706">
        <v>641.42958999999996</v>
      </c>
      <c r="AA256" s="706">
        <v>641.42958999999996</v>
      </c>
      <c r="AB256" s="706">
        <v>641.42958999999996</v>
      </c>
      <c r="AC256" s="706">
        <v>641.42958999999996</v>
      </c>
      <c r="AD256" s="706">
        <v>641.42958999999996</v>
      </c>
      <c r="AE256" s="706">
        <v>641.42958999999996</v>
      </c>
      <c r="AF256" s="707">
        <f t="shared" si="7"/>
        <v>641.42958999999985</v>
      </c>
    </row>
    <row r="257" spans="1:33">
      <c r="A257" s="579" t="s">
        <v>1996</v>
      </c>
      <c r="B257" s="706">
        <v>2834.0052999999998</v>
      </c>
      <c r="C257" s="706">
        <v>2834.0052999999998</v>
      </c>
      <c r="D257" s="706">
        <v>2834.0052999999998</v>
      </c>
      <c r="E257" s="706">
        <v>2532.9334899999999</v>
      </c>
      <c r="F257" s="706">
        <v>2532.9334899999999</v>
      </c>
      <c r="G257" s="706">
        <v>2532.9334899999999</v>
      </c>
      <c r="H257" s="706">
        <v>2556.9034900000001</v>
      </c>
      <c r="I257" s="706">
        <v>2556.9034900000001</v>
      </c>
      <c r="J257" s="706">
        <v>2556.9034900000001</v>
      </c>
      <c r="K257" s="706">
        <v>2556.9034900000001</v>
      </c>
      <c r="L257" s="706">
        <v>2556.9034900000001</v>
      </c>
      <c r="M257" s="706">
        <v>2556.9034900000001</v>
      </c>
      <c r="N257" s="706">
        <v>2556.9034900000001</v>
      </c>
      <c r="O257" s="235">
        <f t="shared" si="6"/>
        <v>2615.3185230769232</v>
      </c>
      <c r="P257" s="706">
        <v>2556.9034900000001</v>
      </c>
      <c r="Q257" s="706">
        <v>2556.9034900000001</v>
      </c>
      <c r="R257" s="706">
        <v>2556.9034900000001</v>
      </c>
      <c r="S257" s="706">
        <v>2556.9034900000001</v>
      </c>
      <c r="T257" s="706">
        <v>2556.9034900000001</v>
      </c>
      <c r="U257" s="706">
        <v>2556.9034900000001</v>
      </c>
      <c r="V257" s="706">
        <v>2556.9034900000001</v>
      </c>
      <c r="W257" s="706">
        <v>2556.9034900000001</v>
      </c>
      <c r="X257" s="706">
        <v>2556.9034900000001</v>
      </c>
      <c r="Y257" s="706">
        <v>2556.9034900000001</v>
      </c>
      <c r="Z257" s="706">
        <v>2556.9034900000001</v>
      </c>
      <c r="AA257" s="706">
        <v>2556.9034900000001</v>
      </c>
      <c r="AB257" s="706">
        <v>2556.9034900000001</v>
      </c>
      <c r="AC257" s="706">
        <v>2556.9034900000001</v>
      </c>
      <c r="AD257" s="706">
        <v>2556.9034900000001</v>
      </c>
      <c r="AE257" s="706">
        <v>2556.9034900000001</v>
      </c>
      <c r="AF257" s="707">
        <f t="shared" si="7"/>
        <v>2556.9034900000001</v>
      </c>
    </row>
    <row r="258" spans="1:33" ht="15.75" thickBot="1">
      <c r="A258" s="579" t="s">
        <v>2524</v>
      </c>
      <c r="B258" s="711">
        <v>0</v>
      </c>
      <c r="C258" s="711">
        <v>0</v>
      </c>
      <c r="D258" s="711">
        <v>0</v>
      </c>
      <c r="E258" s="711">
        <v>0</v>
      </c>
      <c r="F258" s="711">
        <v>0</v>
      </c>
      <c r="G258" s="711">
        <v>0</v>
      </c>
      <c r="H258" s="711">
        <v>0</v>
      </c>
      <c r="I258" s="711">
        <v>0</v>
      </c>
      <c r="J258" s="711">
        <v>0</v>
      </c>
      <c r="K258" s="711">
        <v>0</v>
      </c>
      <c r="L258" s="711">
        <v>0</v>
      </c>
      <c r="M258" s="711">
        <v>0</v>
      </c>
      <c r="N258" s="711">
        <v>0</v>
      </c>
      <c r="O258" s="235">
        <f t="shared" si="6"/>
        <v>0</v>
      </c>
      <c r="P258" s="711">
        <v>23216.908510000001</v>
      </c>
      <c r="Q258" s="711">
        <v>22723.137879999998</v>
      </c>
      <c r="R258" s="711">
        <v>22240.988120000002</v>
      </c>
      <c r="S258" s="711">
        <v>21647.568569999999</v>
      </c>
      <c r="T258" s="711">
        <v>21166.284949999899</v>
      </c>
      <c r="U258" s="711">
        <v>20669.297279999999</v>
      </c>
      <c r="V258" s="711">
        <v>20192.523939999999</v>
      </c>
      <c r="W258" s="711">
        <v>19716.191049999899</v>
      </c>
      <c r="X258" s="711">
        <v>19282.845469999898</v>
      </c>
      <c r="Y258" s="711">
        <v>18862.1557499999</v>
      </c>
      <c r="Z258" s="711">
        <v>18446.928969999899</v>
      </c>
      <c r="AA258" s="711">
        <v>18053.17167</v>
      </c>
      <c r="AB258" s="711">
        <v>17668.6707299999</v>
      </c>
      <c r="AC258" s="711">
        <v>17287.485429999899</v>
      </c>
      <c r="AD258" s="711">
        <v>16911.3962499999</v>
      </c>
      <c r="AE258" s="711">
        <v>16419.22596</v>
      </c>
      <c r="AF258" s="707">
        <f t="shared" si="7"/>
        <v>18947.980463076863</v>
      </c>
      <c r="AG258" s="707">
        <f>AF258</f>
        <v>18947.980463076863</v>
      </c>
    </row>
    <row r="259" spans="1:33">
      <c r="A259" s="579" t="s">
        <v>1994</v>
      </c>
      <c r="B259" s="706">
        <v>3421.3966599999999</v>
      </c>
      <c r="C259" s="706">
        <v>3421.3966599999999</v>
      </c>
      <c r="D259" s="706">
        <v>3421.3966599999999</v>
      </c>
      <c r="E259" s="706">
        <v>3194.92308</v>
      </c>
      <c r="F259" s="706">
        <v>3194.92308</v>
      </c>
      <c r="G259" s="706">
        <v>3194.92308</v>
      </c>
      <c r="H259" s="706">
        <v>3198.3330799999999</v>
      </c>
      <c r="I259" s="706">
        <v>3198.3330799999999</v>
      </c>
      <c r="J259" s="706">
        <v>3198.3330799999999</v>
      </c>
      <c r="K259" s="706">
        <v>3198.3330799999999</v>
      </c>
      <c r="L259" s="706">
        <v>3198.3330799999999</v>
      </c>
      <c r="M259" s="706">
        <v>3198.3330799999999</v>
      </c>
      <c r="N259" s="706">
        <v>3198.3330799999999</v>
      </c>
      <c r="O259" s="235">
        <f t="shared" si="6"/>
        <v>3249.0223676923074</v>
      </c>
      <c r="P259" s="706">
        <v>26415.241590000001</v>
      </c>
      <c r="Q259" s="706">
        <v>25921.470959999999</v>
      </c>
      <c r="R259" s="706">
        <v>25439.321199999998</v>
      </c>
      <c r="S259" s="706">
        <v>24845.90165</v>
      </c>
      <c r="T259" s="706">
        <v>24364.6180299999</v>
      </c>
      <c r="U259" s="706">
        <v>23867.630359999999</v>
      </c>
      <c r="V259" s="706">
        <v>23390.857019999999</v>
      </c>
      <c r="W259" s="706">
        <v>22914.5241299999</v>
      </c>
      <c r="X259" s="706">
        <v>22481.178549999899</v>
      </c>
      <c r="Y259" s="706">
        <v>22060.488829999998</v>
      </c>
      <c r="Z259" s="706">
        <v>21645.262049999899</v>
      </c>
      <c r="AA259" s="706">
        <v>21251.50475</v>
      </c>
      <c r="AB259" s="706">
        <v>20867.003809999998</v>
      </c>
      <c r="AC259" s="706">
        <v>20485.818509999899</v>
      </c>
      <c r="AD259" s="706">
        <v>20109.729329999998</v>
      </c>
      <c r="AE259" s="706">
        <v>19617.55904</v>
      </c>
      <c r="AF259" s="707">
        <f t="shared" si="7"/>
        <v>22146.313543076882</v>
      </c>
    </row>
    <row r="260" spans="1:33">
      <c r="A260" s="579"/>
      <c r="B260" s="708"/>
      <c r="C260" s="708"/>
      <c r="D260" s="708"/>
      <c r="E260" s="708"/>
      <c r="F260" s="708"/>
      <c r="G260" s="708"/>
      <c r="H260" s="708"/>
      <c r="I260" s="708"/>
      <c r="J260" s="708"/>
      <c r="K260" s="708"/>
      <c r="L260" s="708"/>
      <c r="M260" s="708"/>
      <c r="N260" s="708"/>
      <c r="O260" s="235">
        <f t="shared" si="6"/>
        <v>0</v>
      </c>
      <c r="P260" s="708"/>
      <c r="Q260" s="708"/>
      <c r="R260" s="708"/>
      <c r="S260" s="708"/>
      <c r="T260" s="708"/>
      <c r="U260" s="708"/>
      <c r="V260" s="708"/>
      <c r="W260" s="708"/>
      <c r="X260" s="708"/>
      <c r="Y260" s="708"/>
      <c r="Z260" s="708"/>
      <c r="AA260" s="708"/>
      <c r="AB260" s="708"/>
      <c r="AC260" s="708"/>
      <c r="AD260" s="708"/>
      <c r="AE260" s="708"/>
      <c r="AF260" s="707">
        <f t="shared" si="7"/>
        <v>0</v>
      </c>
    </row>
    <row r="261" spans="1:33">
      <c r="A261" s="579" t="s">
        <v>1997</v>
      </c>
      <c r="O261" s="235">
        <f t="shared" si="6"/>
        <v>0</v>
      </c>
      <c r="AF261" s="707">
        <f t="shared" si="7"/>
        <v>0</v>
      </c>
    </row>
    <row r="262" spans="1:33">
      <c r="A262" s="579"/>
      <c r="B262" s="708"/>
      <c r="C262" s="708"/>
      <c r="D262" s="708"/>
      <c r="E262" s="708"/>
      <c r="F262" s="708"/>
      <c r="G262" s="708"/>
      <c r="H262" s="708"/>
      <c r="I262" s="708"/>
      <c r="J262" s="708"/>
      <c r="K262" s="708"/>
      <c r="L262" s="708"/>
      <c r="M262" s="708"/>
      <c r="N262" s="708"/>
      <c r="O262" s="235">
        <f t="shared" si="6"/>
        <v>0</v>
      </c>
      <c r="P262" s="708"/>
      <c r="Q262" s="708"/>
      <c r="R262" s="708"/>
      <c r="S262" s="708"/>
      <c r="T262" s="708"/>
      <c r="U262" s="708"/>
      <c r="V262" s="708"/>
      <c r="W262" s="708"/>
      <c r="X262" s="708"/>
      <c r="Y262" s="708"/>
      <c r="Z262" s="708"/>
      <c r="AA262" s="708"/>
      <c r="AB262" s="708"/>
      <c r="AC262" s="708"/>
      <c r="AD262" s="708"/>
      <c r="AE262" s="708"/>
      <c r="AF262" s="707">
        <f t="shared" si="7"/>
        <v>0</v>
      </c>
    </row>
    <row r="263" spans="1:33">
      <c r="A263" s="579" t="s">
        <v>1998</v>
      </c>
      <c r="B263" s="708"/>
      <c r="C263" s="708"/>
      <c r="D263" s="708"/>
      <c r="E263" s="708"/>
      <c r="F263" s="708"/>
      <c r="G263" s="708"/>
      <c r="H263" s="708"/>
      <c r="I263" s="708"/>
      <c r="J263" s="708"/>
      <c r="K263" s="708"/>
      <c r="L263" s="708"/>
      <c r="M263" s="708"/>
      <c r="N263" s="708"/>
      <c r="O263" s="235">
        <f t="shared" si="6"/>
        <v>0</v>
      </c>
      <c r="P263" s="708"/>
      <c r="Q263" s="708"/>
      <c r="R263" s="708"/>
      <c r="S263" s="708"/>
      <c r="T263" s="708"/>
      <c r="U263" s="708"/>
      <c r="V263" s="708"/>
      <c r="W263" s="708"/>
      <c r="X263" s="708"/>
      <c r="Y263" s="708"/>
      <c r="Z263" s="708"/>
      <c r="AA263" s="708"/>
      <c r="AB263" s="708"/>
      <c r="AC263" s="708"/>
      <c r="AD263" s="708"/>
      <c r="AE263" s="708"/>
      <c r="AF263" s="707">
        <f t="shared" si="7"/>
        <v>0</v>
      </c>
    </row>
    <row r="264" spans="1:33">
      <c r="A264" s="579" t="s">
        <v>1999</v>
      </c>
      <c r="B264" s="706">
        <v>6891.4170000000004</v>
      </c>
      <c r="C264" s="706">
        <v>6891.4170000000004</v>
      </c>
      <c r="D264" s="706">
        <v>6891.4170000000004</v>
      </c>
      <c r="E264" s="706">
        <v>6921.6469999999999</v>
      </c>
      <c r="F264" s="706">
        <v>6921.6469999999999</v>
      </c>
      <c r="G264" s="706">
        <v>6921.6469999999999</v>
      </c>
      <c r="H264" s="706">
        <v>6921.6469999999999</v>
      </c>
      <c r="I264" s="706">
        <v>6921.6469999999999</v>
      </c>
      <c r="J264" s="706">
        <v>6921.6469999999999</v>
      </c>
      <c r="K264" s="706">
        <v>6921.6469999999999</v>
      </c>
      <c r="L264" s="706">
        <v>6921.6469999999999</v>
      </c>
      <c r="M264" s="706">
        <v>6921.6469999999999</v>
      </c>
      <c r="N264" s="706">
        <v>6921.6469999999999</v>
      </c>
      <c r="O264" s="235">
        <f t="shared" si="6"/>
        <v>6914.6708461538446</v>
      </c>
      <c r="P264" s="706">
        <v>6921.6469999999999</v>
      </c>
      <c r="Q264" s="706">
        <v>6921.6469999999999</v>
      </c>
      <c r="R264" s="706">
        <v>6921.6469999999999</v>
      </c>
      <c r="S264" s="706">
        <v>6921.6469999999999</v>
      </c>
      <c r="T264" s="706">
        <v>6921.6469999999999</v>
      </c>
      <c r="U264" s="706">
        <v>6921.6469999999999</v>
      </c>
      <c r="V264" s="706">
        <v>6921.6469999999999</v>
      </c>
      <c r="W264" s="706">
        <v>6921.6469999999999</v>
      </c>
      <c r="X264" s="706">
        <v>6921.6469999999999</v>
      </c>
      <c r="Y264" s="706">
        <v>6921.6469999999999</v>
      </c>
      <c r="Z264" s="706">
        <v>6921.6469999999999</v>
      </c>
      <c r="AA264" s="706">
        <v>6921.6469999999999</v>
      </c>
      <c r="AB264" s="706">
        <v>6921.6469999999999</v>
      </c>
      <c r="AC264" s="706">
        <v>6921.6469999999999</v>
      </c>
      <c r="AD264" s="706">
        <v>6921.6469999999999</v>
      </c>
      <c r="AE264" s="706">
        <v>6921.6469999999999</v>
      </c>
      <c r="AF264" s="707">
        <f t="shared" si="7"/>
        <v>6921.6469999999981</v>
      </c>
    </row>
    <row r="265" spans="1:33">
      <c r="A265" s="579" t="s">
        <v>2000</v>
      </c>
      <c r="B265" s="706">
        <v>36241.336880000003</v>
      </c>
      <c r="C265" s="706">
        <v>-9758.6631199999993</v>
      </c>
      <c r="D265" s="706">
        <v>0</v>
      </c>
      <c r="E265" s="706">
        <v>0</v>
      </c>
      <c r="F265" s="706">
        <v>0</v>
      </c>
      <c r="G265" s="706">
        <v>0</v>
      </c>
      <c r="H265" s="706">
        <v>0</v>
      </c>
      <c r="I265" s="706">
        <v>0</v>
      </c>
      <c r="J265" s="706">
        <v>0</v>
      </c>
      <c r="K265" s="706">
        <v>0</v>
      </c>
      <c r="L265" s="706">
        <v>0</v>
      </c>
      <c r="M265" s="706">
        <v>0</v>
      </c>
      <c r="N265" s="706">
        <v>0</v>
      </c>
      <c r="O265" s="235">
        <f t="shared" si="6"/>
        <v>2037.1287507692311</v>
      </c>
      <c r="P265" s="706">
        <v>0</v>
      </c>
      <c r="Q265" s="706">
        <v>0</v>
      </c>
      <c r="R265" s="706">
        <v>0</v>
      </c>
      <c r="S265" s="706">
        <v>0</v>
      </c>
      <c r="T265" s="706">
        <v>0</v>
      </c>
      <c r="U265" s="706">
        <v>0</v>
      </c>
      <c r="V265" s="706">
        <v>0</v>
      </c>
      <c r="W265" s="706">
        <v>0</v>
      </c>
      <c r="X265" s="706">
        <v>0</v>
      </c>
      <c r="Y265" s="706">
        <v>0</v>
      </c>
      <c r="Z265" s="706">
        <v>0</v>
      </c>
      <c r="AA265" s="706">
        <v>0</v>
      </c>
      <c r="AB265" s="706">
        <v>0</v>
      </c>
      <c r="AC265" s="706">
        <v>0</v>
      </c>
      <c r="AD265" s="706">
        <v>0</v>
      </c>
      <c r="AE265" s="706">
        <v>0</v>
      </c>
      <c r="AF265" s="707">
        <f t="shared" si="7"/>
        <v>0</v>
      </c>
    </row>
    <row r="266" spans="1:33" ht="15.75" thickBot="1">
      <c r="A266" s="579" t="s">
        <v>2001</v>
      </c>
      <c r="B266" s="711">
        <v>31651.386789999899</v>
      </c>
      <c r="C266" s="711">
        <v>31622.48575</v>
      </c>
      <c r="D266" s="711">
        <v>30681.017879999999</v>
      </c>
      <c r="E266" s="711">
        <v>30881.091609999999</v>
      </c>
      <c r="F266" s="711">
        <v>30251.185580000001</v>
      </c>
      <c r="G266" s="711">
        <v>30220.86361</v>
      </c>
      <c r="H266" s="711">
        <v>24464.284680000001</v>
      </c>
      <c r="I266" s="711">
        <v>24518.239679999999</v>
      </c>
      <c r="J266" s="711">
        <v>24572.194680000001</v>
      </c>
      <c r="K266" s="711">
        <v>23280.09218</v>
      </c>
      <c r="L266" s="711">
        <v>23334.047180000001</v>
      </c>
      <c r="M266" s="711">
        <v>23388.002179999999</v>
      </c>
      <c r="N266" s="711">
        <v>22095.899679999999</v>
      </c>
      <c r="O266" s="235">
        <f t="shared" si="6"/>
        <v>26996.983959999987</v>
      </c>
      <c r="P266" s="711">
        <v>22146.975596666602</v>
      </c>
      <c r="Q266" s="711">
        <v>22198.051513333299</v>
      </c>
      <c r="R266" s="711">
        <v>20959.36118</v>
      </c>
      <c r="S266" s="711">
        <v>21010.437096666599</v>
      </c>
      <c r="T266" s="711">
        <v>21061.5130133333</v>
      </c>
      <c r="U266" s="711">
        <v>19822.822680000001</v>
      </c>
      <c r="V266" s="711">
        <v>19873.8985966666</v>
      </c>
      <c r="W266" s="711">
        <v>19924.974513333302</v>
      </c>
      <c r="X266" s="711">
        <v>18686.284179999999</v>
      </c>
      <c r="Y266" s="711">
        <v>18737.360096666602</v>
      </c>
      <c r="Z266" s="711">
        <v>18788.436013333299</v>
      </c>
      <c r="AA266" s="711">
        <v>17549.74568</v>
      </c>
      <c r="AB266" s="711">
        <v>17596.67468</v>
      </c>
      <c r="AC266" s="711">
        <v>17643.60368</v>
      </c>
      <c r="AD266" s="711">
        <v>16377.75568</v>
      </c>
      <c r="AE266" s="711">
        <v>16424.684679999998</v>
      </c>
      <c r="AF266" s="707">
        <f t="shared" si="7"/>
        <v>18730.630045384594</v>
      </c>
    </row>
    <row r="267" spans="1:33">
      <c r="A267" s="579" t="s">
        <v>1998</v>
      </c>
      <c r="B267" s="706">
        <v>74784.140669999993</v>
      </c>
      <c r="C267" s="706">
        <v>28755.23963</v>
      </c>
      <c r="D267" s="706">
        <v>37572.434880000001</v>
      </c>
      <c r="E267" s="706">
        <v>37802.73861</v>
      </c>
      <c r="F267" s="706">
        <v>37172.832580000002</v>
      </c>
      <c r="G267" s="706">
        <v>37142.510609999998</v>
      </c>
      <c r="H267" s="706">
        <v>31385.931680000002</v>
      </c>
      <c r="I267" s="706">
        <v>31439.88668</v>
      </c>
      <c r="J267" s="706">
        <v>31493.841680000001</v>
      </c>
      <c r="K267" s="706">
        <v>30201.73918</v>
      </c>
      <c r="L267" s="706">
        <v>30255.694179999999</v>
      </c>
      <c r="M267" s="706">
        <v>30309.64918</v>
      </c>
      <c r="N267" s="706">
        <v>29017.546679999999</v>
      </c>
      <c r="O267" s="235">
        <f t="shared" ref="O267:O274" si="8">SUM(B267:N267)/13</f>
        <v>35948.783556923074</v>
      </c>
      <c r="P267" s="706">
        <v>29068.622596666599</v>
      </c>
      <c r="Q267" s="706">
        <v>29119.6985133333</v>
      </c>
      <c r="R267" s="706">
        <v>27881.008180000001</v>
      </c>
      <c r="S267" s="706">
        <v>27932.0840966666</v>
      </c>
      <c r="T267" s="706">
        <v>27983.160013333301</v>
      </c>
      <c r="U267" s="706">
        <v>26744.469679999998</v>
      </c>
      <c r="V267" s="706">
        <v>26795.545596666601</v>
      </c>
      <c r="W267" s="706">
        <v>26846.621513333299</v>
      </c>
      <c r="X267" s="706">
        <v>25607.93118</v>
      </c>
      <c r="Y267" s="706">
        <v>25659.007096666599</v>
      </c>
      <c r="Z267" s="706">
        <v>25710.0830133333</v>
      </c>
      <c r="AA267" s="706">
        <v>24471.392680000001</v>
      </c>
      <c r="AB267" s="706">
        <v>24518.321680000001</v>
      </c>
      <c r="AC267" s="706">
        <v>24565.250680000001</v>
      </c>
      <c r="AD267" s="706">
        <v>23299.402679999999</v>
      </c>
      <c r="AE267" s="706">
        <v>23346.331679999999</v>
      </c>
      <c r="AF267" s="707">
        <f t="shared" ref="AF267:AF274" si="9">SUM(S267:AE267)/13</f>
        <v>25652.277045384591</v>
      </c>
    </row>
    <row r="268" spans="1:33">
      <c r="A268" s="579"/>
      <c r="B268" s="708"/>
      <c r="C268" s="708"/>
      <c r="D268" s="708"/>
      <c r="E268" s="708"/>
      <c r="F268" s="708"/>
      <c r="G268" s="708"/>
      <c r="H268" s="708"/>
      <c r="I268" s="708"/>
      <c r="J268" s="708"/>
      <c r="K268" s="708"/>
      <c r="L268" s="708"/>
      <c r="M268" s="708"/>
      <c r="N268" s="708"/>
      <c r="O268" s="235">
        <f t="shared" si="8"/>
        <v>0</v>
      </c>
      <c r="P268" s="708"/>
      <c r="Q268" s="708"/>
      <c r="R268" s="708"/>
      <c r="S268" s="708"/>
      <c r="T268" s="708"/>
      <c r="U268" s="708"/>
      <c r="V268" s="708"/>
      <c r="W268" s="708"/>
      <c r="X268" s="708"/>
      <c r="Y268" s="708"/>
      <c r="Z268" s="708"/>
      <c r="AA268" s="708"/>
      <c r="AB268" s="708"/>
      <c r="AC268" s="708"/>
      <c r="AD268" s="708"/>
      <c r="AE268" s="708"/>
      <c r="AF268" s="707">
        <f t="shared" si="9"/>
        <v>0</v>
      </c>
    </row>
    <row r="269" spans="1:33">
      <c r="A269" s="579" t="s">
        <v>1986</v>
      </c>
      <c r="B269" s="708"/>
      <c r="C269" s="708"/>
      <c r="D269" s="708"/>
      <c r="E269" s="708"/>
      <c r="F269" s="708"/>
      <c r="G269" s="708"/>
      <c r="H269" s="708"/>
      <c r="I269" s="708"/>
      <c r="J269" s="708"/>
      <c r="K269" s="708"/>
      <c r="L269" s="708"/>
      <c r="M269" s="708"/>
      <c r="N269" s="708"/>
      <c r="O269" s="235">
        <f t="shared" si="8"/>
        <v>0</v>
      </c>
      <c r="P269" s="708"/>
      <c r="Q269" s="708"/>
      <c r="R269" s="708"/>
      <c r="S269" s="708"/>
      <c r="T269" s="708"/>
      <c r="U269" s="708"/>
      <c r="V269" s="708"/>
      <c r="W269" s="708"/>
      <c r="X269" s="708"/>
      <c r="Y269" s="708"/>
      <c r="Z269" s="708"/>
      <c r="AA269" s="708"/>
      <c r="AB269" s="708"/>
      <c r="AC269" s="708"/>
      <c r="AD269" s="708"/>
      <c r="AE269" s="708"/>
      <c r="AF269" s="707">
        <f t="shared" si="9"/>
        <v>0</v>
      </c>
    </row>
    <row r="270" spans="1:33" ht="15.75" thickBot="1">
      <c r="A270" s="712" t="s">
        <v>1451</v>
      </c>
      <c r="B270" s="713">
        <v>2207187.7545400001</v>
      </c>
      <c r="C270" s="713">
        <v>2175383.6012900001</v>
      </c>
      <c r="D270" s="713">
        <v>2190616.2201899998</v>
      </c>
      <c r="E270" s="713">
        <v>2191152.0350700002</v>
      </c>
      <c r="F270" s="713">
        <v>2192771.1310399999</v>
      </c>
      <c r="G270" s="713">
        <v>2193028.3404399999</v>
      </c>
      <c r="H270" s="713">
        <v>2175051.1488899998</v>
      </c>
      <c r="I270" s="713">
        <v>2169912.1926332102</v>
      </c>
      <c r="J270" s="713">
        <v>2163853.6997154402</v>
      </c>
      <c r="K270" s="713">
        <v>2186748.11683365</v>
      </c>
      <c r="L270" s="713">
        <v>2178692.44449862</v>
      </c>
      <c r="M270" s="713">
        <v>2173878.58443155</v>
      </c>
      <c r="N270" s="713">
        <v>2176918.51797499</v>
      </c>
      <c r="O270" s="235">
        <f t="shared" si="8"/>
        <v>2182707.214426728</v>
      </c>
      <c r="P270" s="713">
        <v>2198669.6365574198</v>
      </c>
      <c r="Q270" s="713">
        <v>2192835.81853016</v>
      </c>
      <c r="R270" s="713">
        <v>2194155.8160347398</v>
      </c>
      <c r="S270" s="713">
        <v>2186814.0700845802</v>
      </c>
      <c r="T270" s="713">
        <v>2180343.2808453301</v>
      </c>
      <c r="U270" s="713">
        <v>2186649.2945240699</v>
      </c>
      <c r="V270" s="713">
        <v>2183226.5170487701</v>
      </c>
      <c r="W270" s="713">
        <v>2177811.8510498698</v>
      </c>
      <c r="X270" s="713">
        <v>2181730.5820648801</v>
      </c>
      <c r="Y270" s="713">
        <v>2174538.6417549499</v>
      </c>
      <c r="Z270" s="713">
        <v>2171158.7292651501</v>
      </c>
      <c r="AA270" s="713">
        <v>2178067.0585477501</v>
      </c>
      <c r="AB270" s="713">
        <v>2176947.4555631899</v>
      </c>
      <c r="AC270" s="713">
        <v>2172975.01083954</v>
      </c>
      <c r="AD270" s="713">
        <v>2162886.8299358101</v>
      </c>
      <c r="AE270" s="713">
        <v>2156526.7411890002</v>
      </c>
      <c r="AF270" s="707">
        <f t="shared" si="9"/>
        <v>2176128.9279009919</v>
      </c>
    </row>
    <row r="271" spans="1:33">
      <c r="A271" s="579"/>
      <c r="O271" s="235">
        <f t="shared" si="8"/>
        <v>0</v>
      </c>
      <c r="AF271" s="707">
        <f t="shared" si="9"/>
        <v>0</v>
      </c>
    </row>
    <row r="272" spans="1:33" ht="15.75" thickBot="1">
      <c r="A272" s="712" t="s">
        <v>2227</v>
      </c>
      <c r="B272" s="713">
        <v>7644717.1195599996</v>
      </c>
      <c r="C272" s="713">
        <v>7695286.5709100002</v>
      </c>
      <c r="D272" s="713">
        <v>7669947.7298400002</v>
      </c>
      <c r="E272" s="713">
        <v>7663744.5751</v>
      </c>
      <c r="F272" s="713">
        <v>7687644.2165200002</v>
      </c>
      <c r="G272" s="713">
        <v>7713110.8547599996</v>
      </c>
      <c r="H272" s="713">
        <v>7724823.0525000002</v>
      </c>
      <c r="I272" s="713">
        <v>7760858.5973717896</v>
      </c>
      <c r="J272" s="713">
        <v>7804815.2181444</v>
      </c>
      <c r="K272" s="713">
        <v>7812126.1718487404</v>
      </c>
      <c r="L272" s="713">
        <v>7844714.3928431496</v>
      </c>
      <c r="M272" s="713">
        <v>7884178.2450096002</v>
      </c>
      <c r="N272" s="713">
        <v>7934422.92760967</v>
      </c>
      <c r="O272" s="235">
        <f t="shared" si="8"/>
        <v>7756953.0516936425</v>
      </c>
      <c r="P272" s="713">
        <v>7999536.46688163</v>
      </c>
      <c r="Q272" s="713">
        <v>7997103.78192636</v>
      </c>
      <c r="R272" s="713">
        <v>8009228.9898252198</v>
      </c>
      <c r="S272" s="713">
        <v>8027030.1608822197</v>
      </c>
      <c r="T272" s="713">
        <v>8044088.0040076897</v>
      </c>
      <c r="U272" s="713">
        <v>8067626.7175180502</v>
      </c>
      <c r="V272" s="713">
        <v>8096438.8808323098</v>
      </c>
      <c r="W272" s="713">
        <v>8123298.5482204901</v>
      </c>
      <c r="X272" s="713">
        <v>8103515.32992783</v>
      </c>
      <c r="Y272" s="713">
        <v>8116324.0179276001</v>
      </c>
      <c r="Z272" s="713">
        <v>8153567.6561472705</v>
      </c>
      <c r="AA272" s="713">
        <v>8177291.7445088802</v>
      </c>
      <c r="AB272" s="713">
        <v>8196921.74827467</v>
      </c>
      <c r="AC272" s="713">
        <v>8178149.8850827701</v>
      </c>
      <c r="AD272" s="713">
        <v>8190583.1654759096</v>
      </c>
      <c r="AE272" s="713">
        <v>8203075.0464954898</v>
      </c>
      <c r="AF272" s="707">
        <f t="shared" si="9"/>
        <v>8129070.0696385521</v>
      </c>
    </row>
    <row r="273" spans="1:32">
      <c r="O273" s="235">
        <f t="shared" si="8"/>
        <v>0</v>
      </c>
      <c r="AF273" s="707">
        <f t="shared" si="9"/>
        <v>0</v>
      </c>
    </row>
    <row r="274" spans="1:32">
      <c r="A274" s="705"/>
      <c r="O274" s="235">
        <f t="shared" si="8"/>
        <v>0</v>
      </c>
      <c r="AF274" s="707">
        <f t="shared" si="9"/>
        <v>0</v>
      </c>
    </row>
  </sheetData>
  <pageMargins left="0.75" right="0.75" top="1" bottom="1" header="0.5" footer="0.5"/>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388"/>
  <sheetViews>
    <sheetView view="pageBreakPreview" zoomScale="55" zoomScaleNormal="75" zoomScaleSheetLayoutView="55" workbookViewId="0">
      <selection activeCell="G34" sqref="G34"/>
    </sheetView>
  </sheetViews>
  <sheetFormatPr defaultColWidth="8" defaultRowHeight="12.75"/>
  <cols>
    <col min="1" max="1" width="5.44140625" style="127" customWidth="1"/>
    <col min="2" max="2" width="7.77734375" style="127" customWidth="1"/>
    <col min="3" max="3" width="51.6640625" style="104" customWidth="1"/>
    <col min="4" max="4" width="17.77734375" style="104" customWidth="1"/>
    <col min="5" max="5" width="20.6640625" style="104" customWidth="1"/>
    <col min="6" max="6" width="17.88671875" style="104" customWidth="1"/>
    <col min="7" max="7" width="20.6640625" style="104" customWidth="1"/>
    <col min="8" max="8" width="17.88671875" style="104" hidden="1" customWidth="1"/>
    <col min="9" max="9" width="17.88671875" style="104" customWidth="1"/>
    <col min="10" max="10" width="19.88671875" style="104" customWidth="1"/>
    <col min="11" max="12" width="6.109375" style="104" hidden="1" customWidth="1"/>
    <col min="13" max="13" width="18.21875" style="104" customWidth="1"/>
    <col min="14" max="14" width="18.109375" style="104" hidden="1" customWidth="1"/>
    <col min="15" max="17" width="18" style="104" customWidth="1"/>
    <col min="18" max="18" width="14" style="104" customWidth="1"/>
    <col min="19" max="16384" width="8" style="104"/>
  </cols>
  <sheetData>
    <row r="1" spans="1:20" ht="15">
      <c r="A1" s="100"/>
      <c r="B1" s="100"/>
      <c r="C1" s="101"/>
      <c r="D1" s="101"/>
      <c r="E1" s="101">
        <v>0</v>
      </c>
      <c r="F1" s="101">
        <v>1</v>
      </c>
      <c r="G1" s="102">
        <v>2</v>
      </c>
      <c r="H1" s="103">
        <v>3</v>
      </c>
      <c r="I1" s="102">
        <v>4</v>
      </c>
      <c r="J1" s="102">
        <v>5</v>
      </c>
      <c r="K1" s="102">
        <v>6</v>
      </c>
      <c r="L1" s="102">
        <v>7</v>
      </c>
      <c r="M1" s="102">
        <v>8</v>
      </c>
      <c r="N1" s="102">
        <v>9</v>
      </c>
      <c r="O1" s="102">
        <v>10</v>
      </c>
      <c r="P1" s="102">
        <v>11</v>
      </c>
      <c r="Q1" s="102">
        <v>12</v>
      </c>
      <c r="R1" s="102">
        <f t="shared" ref="R1:T1" si="0">1+Q1</f>
        <v>13</v>
      </c>
      <c r="S1" s="102">
        <f t="shared" si="0"/>
        <v>14</v>
      </c>
      <c r="T1" s="102">
        <f t="shared" si="0"/>
        <v>15</v>
      </c>
    </row>
    <row r="2" spans="1:20" ht="15">
      <c r="A2" s="105"/>
      <c r="B2" s="105"/>
      <c r="C2" s="106"/>
      <c r="D2" s="107"/>
      <c r="E2" s="107"/>
      <c r="G2" s="108" t="s">
        <v>229</v>
      </c>
      <c r="H2" s="107"/>
      <c r="I2" s="107"/>
      <c r="J2" s="107"/>
      <c r="K2" s="107"/>
      <c r="L2" s="107"/>
      <c r="M2" s="107"/>
      <c r="N2" s="103" t="s">
        <v>229</v>
      </c>
      <c r="O2" s="107"/>
      <c r="P2" s="107"/>
      <c r="Q2" s="107"/>
      <c r="R2" s="107"/>
      <c r="S2" s="107"/>
      <c r="T2" s="107"/>
    </row>
    <row r="3" spans="1:20" ht="15">
      <c r="A3" s="105"/>
      <c r="B3" s="105"/>
      <c r="C3" s="109"/>
      <c r="D3" s="107"/>
      <c r="E3" s="107"/>
      <c r="G3" s="108" t="s">
        <v>230</v>
      </c>
      <c r="H3" s="107"/>
      <c r="I3" s="107"/>
      <c r="J3" s="110"/>
      <c r="K3" s="107"/>
      <c r="L3" s="107"/>
      <c r="M3" s="107"/>
      <c r="N3" s="103" t="s">
        <v>230</v>
      </c>
      <c r="O3" s="107"/>
      <c r="P3" s="107"/>
      <c r="Q3" s="111"/>
      <c r="S3" s="107"/>
      <c r="T3" s="107"/>
    </row>
    <row r="4" spans="1:20" ht="15">
      <c r="A4" s="105"/>
      <c r="B4" s="105"/>
      <c r="C4" s="107"/>
      <c r="D4" s="107"/>
      <c r="E4" s="107"/>
      <c r="G4" s="108" t="s">
        <v>231</v>
      </c>
      <c r="H4" s="107"/>
      <c r="I4" s="107"/>
      <c r="J4" s="107"/>
      <c r="K4" s="107"/>
      <c r="L4" s="107"/>
      <c r="M4" s="107"/>
      <c r="N4" s="103" t="s">
        <v>231</v>
      </c>
      <c r="O4" s="107"/>
      <c r="P4" s="107"/>
      <c r="Q4" s="107"/>
      <c r="R4" s="107"/>
      <c r="S4" s="107"/>
      <c r="T4" s="107"/>
    </row>
    <row r="5" spans="1:20" ht="15">
      <c r="A5" s="105"/>
      <c r="B5" s="105"/>
      <c r="C5" s="110" t="s">
        <v>232</v>
      </c>
      <c r="D5" s="107"/>
      <c r="E5" s="107"/>
      <c r="G5" s="107"/>
      <c r="H5" s="107"/>
      <c r="I5" s="107"/>
      <c r="J5" s="107"/>
      <c r="K5" s="107"/>
      <c r="L5" s="107"/>
      <c r="M5" s="107"/>
      <c r="N5" s="107"/>
      <c r="O5" s="107"/>
      <c r="P5" s="107"/>
      <c r="Q5" s="107"/>
      <c r="R5" s="107"/>
      <c r="S5" s="107"/>
      <c r="T5" s="107"/>
    </row>
    <row r="6" spans="1:20" ht="15">
      <c r="A6" s="105"/>
      <c r="B6" s="105"/>
      <c r="C6" s="112" t="s">
        <v>233</v>
      </c>
      <c r="D6" s="107"/>
      <c r="E6" s="113"/>
      <c r="G6" s="114" t="s">
        <v>2492</v>
      </c>
      <c r="H6" s="107"/>
      <c r="I6" s="107"/>
      <c r="J6" s="107"/>
      <c r="K6" s="107"/>
      <c r="L6" s="107"/>
      <c r="M6" s="107"/>
      <c r="N6" s="103" t="s">
        <v>2492</v>
      </c>
      <c r="O6" s="107"/>
      <c r="P6" s="107"/>
      <c r="Q6" s="107"/>
      <c r="R6" s="107"/>
      <c r="S6" s="107"/>
      <c r="T6" s="107"/>
    </row>
    <row r="7" spans="1:20" ht="15">
      <c r="A7" s="105"/>
      <c r="B7" s="105"/>
      <c r="C7" s="107"/>
      <c r="D7" s="107"/>
      <c r="E7" s="107"/>
      <c r="F7" s="107"/>
      <c r="G7" s="107"/>
      <c r="H7" s="107"/>
      <c r="I7" s="107"/>
      <c r="J7" s="107"/>
      <c r="K7" s="107"/>
      <c r="L7" s="107"/>
      <c r="M7" s="107"/>
      <c r="N7" s="107"/>
      <c r="O7" s="107"/>
      <c r="P7" s="107"/>
      <c r="Q7" s="107"/>
      <c r="R7" s="107"/>
      <c r="S7" s="107"/>
      <c r="T7" s="107"/>
    </row>
    <row r="8" spans="1:20" ht="15">
      <c r="A8" s="105"/>
      <c r="B8" s="105"/>
      <c r="C8" s="107"/>
      <c r="D8" s="107"/>
      <c r="E8" s="111" t="s">
        <v>234</v>
      </c>
      <c r="F8" s="107"/>
      <c r="G8" s="111" t="s">
        <v>235</v>
      </c>
      <c r="H8" s="107"/>
      <c r="I8" s="111" t="s">
        <v>236</v>
      </c>
      <c r="J8" s="115" t="s">
        <v>237</v>
      </c>
      <c r="K8" s="107"/>
      <c r="L8" s="107"/>
      <c r="M8" s="111" t="s">
        <v>238</v>
      </c>
      <c r="N8" s="107"/>
      <c r="O8" s="107"/>
      <c r="P8" s="107"/>
      <c r="Q8" s="107"/>
      <c r="R8" s="107"/>
      <c r="S8" s="107"/>
      <c r="T8" s="107"/>
    </row>
    <row r="9" spans="1:20" ht="15">
      <c r="A9" s="105"/>
      <c r="B9" s="105"/>
      <c r="C9" s="107"/>
      <c r="D9" s="107"/>
      <c r="E9" s="111" t="s">
        <v>235</v>
      </c>
      <c r="F9" s="107"/>
      <c r="G9" s="111" t="s">
        <v>239</v>
      </c>
      <c r="H9" s="107"/>
      <c r="I9" s="111" t="s">
        <v>239</v>
      </c>
      <c r="J9" s="111" t="s">
        <v>238</v>
      </c>
      <c r="K9" s="107"/>
      <c r="L9" s="107"/>
      <c r="M9" s="111" t="s">
        <v>239</v>
      </c>
      <c r="N9" s="111"/>
      <c r="O9" s="111" t="s">
        <v>240</v>
      </c>
      <c r="P9" s="107"/>
      <c r="Q9" s="107"/>
      <c r="R9" s="107"/>
      <c r="S9" s="107"/>
      <c r="T9" s="107"/>
    </row>
    <row r="10" spans="1:20" ht="15">
      <c r="A10" s="105"/>
      <c r="B10" s="105"/>
      <c r="C10" s="107"/>
      <c r="D10" s="116" t="s">
        <v>241</v>
      </c>
      <c r="E10" s="111" t="s">
        <v>242</v>
      </c>
      <c r="F10" s="107"/>
      <c r="G10" s="111" t="s">
        <v>243</v>
      </c>
      <c r="H10" s="107"/>
      <c r="I10" s="111" t="s">
        <v>243</v>
      </c>
      <c r="J10" s="111" t="s">
        <v>243</v>
      </c>
      <c r="K10" s="107"/>
      <c r="L10" s="107"/>
      <c r="M10" s="111" t="s">
        <v>243</v>
      </c>
      <c r="N10" s="111"/>
      <c r="O10" s="111" t="s">
        <v>243</v>
      </c>
      <c r="P10" s="111" t="s">
        <v>244</v>
      </c>
      <c r="Q10" s="111" t="s">
        <v>245</v>
      </c>
      <c r="R10" s="111"/>
      <c r="S10" s="107"/>
      <c r="T10" s="107"/>
    </row>
    <row r="11" spans="1:20" ht="15">
      <c r="A11" s="105"/>
      <c r="B11" s="105"/>
      <c r="C11" s="107"/>
      <c r="D11" s="107"/>
      <c r="E11" s="117" t="s">
        <v>246</v>
      </c>
      <c r="F11" s="107"/>
      <c r="G11" s="111" t="s">
        <v>247</v>
      </c>
      <c r="H11" s="107"/>
      <c r="I11" s="118">
        <v>-3</v>
      </c>
      <c r="J11" s="118">
        <v>-4</v>
      </c>
      <c r="K11" s="107"/>
      <c r="L11" s="107"/>
      <c r="M11" s="118">
        <v>-5</v>
      </c>
      <c r="N11" s="111"/>
      <c r="O11" s="111" t="s">
        <v>248</v>
      </c>
      <c r="P11" s="111" t="s">
        <v>249</v>
      </c>
      <c r="Q11" s="111" t="s">
        <v>250</v>
      </c>
      <c r="R11" s="111"/>
      <c r="S11" s="107"/>
      <c r="T11" s="107"/>
    </row>
    <row r="12" spans="1:20" ht="15">
      <c r="A12" s="105"/>
      <c r="B12" s="105"/>
      <c r="C12" s="107"/>
      <c r="D12" s="119"/>
      <c r="E12" s="107"/>
      <c r="F12" s="107"/>
      <c r="G12" s="107"/>
      <c r="H12" s="107"/>
      <c r="I12" s="107"/>
      <c r="J12" s="107"/>
      <c r="K12" s="107"/>
      <c r="L12" s="107"/>
      <c r="M12" s="107"/>
      <c r="N12" s="107"/>
      <c r="O12" s="107"/>
      <c r="P12" s="107"/>
      <c r="Q12" s="107"/>
      <c r="R12" s="107"/>
      <c r="S12" s="107"/>
      <c r="T12" s="107"/>
    </row>
    <row r="13" spans="1:20" ht="15">
      <c r="A13" s="105" t="s">
        <v>251</v>
      </c>
      <c r="B13" s="105"/>
      <c r="C13" s="107" t="s">
        <v>252</v>
      </c>
      <c r="D13" s="107" t="s">
        <v>251</v>
      </c>
      <c r="E13" s="107" t="s">
        <v>251</v>
      </c>
      <c r="F13" s="107" t="s">
        <v>251</v>
      </c>
      <c r="G13" s="107" t="s">
        <v>251</v>
      </c>
      <c r="H13" s="107" t="s">
        <v>251</v>
      </c>
      <c r="I13" s="107" t="s">
        <v>251</v>
      </c>
      <c r="J13" s="107" t="s">
        <v>251</v>
      </c>
      <c r="K13" s="107" t="s">
        <v>251</v>
      </c>
      <c r="L13" s="107" t="s">
        <v>251</v>
      </c>
      <c r="M13" s="107" t="s">
        <v>251</v>
      </c>
      <c r="N13" s="107" t="s">
        <v>251</v>
      </c>
      <c r="O13" s="107" t="s">
        <v>251</v>
      </c>
      <c r="P13" s="107" t="s">
        <v>251</v>
      </c>
      <c r="Q13" s="107" t="s">
        <v>251</v>
      </c>
      <c r="R13" s="107"/>
      <c r="S13" s="107"/>
      <c r="T13" s="107"/>
    </row>
    <row r="14" spans="1:20" ht="15">
      <c r="A14" s="105" t="s">
        <v>251</v>
      </c>
      <c r="B14" s="105"/>
      <c r="C14" s="107" t="s">
        <v>251</v>
      </c>
      <c r="D14" s="107" t="s">
        <v>251</v>
      </c>
      <c r="E14" s="107" t="s">
        <v>251</v>
      </c>
      <c r="F14" s="107" t="s">
        <v>251</v>
      </c>
      <c r="G14" s="107" t="s">
        <v>251</v>
      </c>
      <c r="H14" s="107" t="s">
        <v>251</v>
      </c>
      <c r="I14" s="107" t="s">
        <v>251</v>
      </c>
      <c r="J14" s="107" t="s">
        <v>251</v>
      </c>
      <c r="K14" s="107" t="s">
        <v>251</v>
      </c>
      <c r="L14" s="107" t="s">
        <v>251</v>
      </c>
      <c r="M14" s="107" t="s">
        <v>251</v>
      </c>
      <c r="N14" s="107" t="s">
        <v>251</v>
      </c>
      <c r="O14" s="107" t="s">
        <v>251</v>
      </c>
      <c r="P14" s="107" t="s">
        <v>251</v>
      </c>
      <c r="Q14" s="107" t="s">
        <v>251</v>
      </c>
      <c r="R14" s="107"/>
      <c r="S14" s="107"/>
      <c r="T14" s="107"/>
    </row>
    <row r="15" spans="1:20" ht="15">
      <c r="A15" s="105" t="s">
        <v>251</v>
      </c>
      <c r="B15" s="105"/>
      <c r="C15" s="107" t="s">
        <v>253</v>
      </c>
      <c r="D15" s="107" t="s">
        <v>251</v>
      </c>
      <c r="E15" s="107" t="s">
        <v>251</v>
      </c>
      <c r="F15" s="107" t="s">
        <v>251</v>
      </c>
      <c r="G15" s="107" t="s">
        <v>251</v>
      </c>
      <c r="H15" s="107" t="s">
        <v>251</v>
      </c>
      <c r="I15" s="107" t="s">
        <v>251</v>
      </c>
      <c r="J15" s="107" t="s">
        <v>251</v>
      </c>
      <c r="K15" s="107" t="s">
        <v>251</v>
      </c>
      <c r="L15" s="107" t="s">
        <v>251</v>
      </c>
      <c r="M15" s="107" t="s">
        <v>251</v>
      </c>
      <c r="N15" s="107" t="s">
        <v>251</v>
      </c>
      <c r="O15" s="107" t="s">
        <v>251</v>
      </c>
      <c r="P15" s="107" t="s">
        <v>251</v>
      </c>
      <c r="Q15" s="107" t="s">
        <v>251</v>
      </c>
      <c r="R15" s="107"/>
      <c r="S15" s="107"/>
      <c r="T15" s="107"/>
    </row>
    <row r="16" spans="1:20" ht="15">
      <c r="A16" s="105" t="s">
        <v>251</v>
      </c>
      <c r="B16" s="105"/>
      <c r="C16" s="107" t="s">
        <v>251</v>
      </c>
      <c r="D16" s="107" t="s">
        <v>251</v>
      </c>
      <c r="E16" s="107" t="s">
        <v>251</v>
      </c>
      <c r="F16" s="107" t="s">
        <v>251</v>
      </c>
      <c r="G16" s="107" t="s">
        <v>251</v>
      </c>
      <c r="H16" s="107" t="s">
        <v>251</v>
      </c>
      <c r="I16" s="107" t="s">
        <v>251</v>
      </c>
      <c r="J16" s="107" t="s">
        <v>251</v>
      </c>
      <c r="K16" s="107" t="s">
        <v>251</v>
      </c>
      <c r="L16" s="107" t="s">
        <v>251</v>
      </c>
      <c r="M16" s="107" t="s">
        <v>251</v>
      </c>
      <c r="N16" s="107" t="s">
        <v>251</v>
      </c>
      <c r="O16" s="107" t="s">
        <v>251</v>
      </c>
      <c r="P16" s="107" t="s">
        <v>251</v>
      </c>
      <c r="Q16" s="107" t="s">
        <v>251</v>
      </c>
      <c r="R16" s="107"/>
      <c r="S16" s="107"/>
      <c r="T16" s="107"/>
    </row>
    <row r="17" spans="1:20" ht="15">
      <c r="A17" s="105">
        <v>1</v>
      </c>
      <c r="B17" s="105"/>
      <c r="C17" s="107" t="s">
        <v>254</v>
      </c>
      <c r="D17" s="107" t="s">
        <v>251</v>
      </c>
      <c r="E17" s="120">
        <v>9776298860.8313618</v>
      </c>
      <c r="F17" s="120" t="s">
        <v>251</v>
      </c>
      <c r="G17" s="120">
        <v>8702727107.7162933</v>
      </c>
      <c r="H17" s="120" t="s">
        <v>251</v>
      </c>
      <c r="I17" s="120">
        <v>477985058.8916316</v>
      </c>
      <c r="J17" s="120">
        <v>595586694.22343576</v>
      </c>
      <c r="K17" s="120" t="s">
        <v>251</v>
      </c>
      <c r="L17" s="120" t="s">
        <v>251</v>
      </c>
      <c r="M17" s="120">
        <v>691958.7057835079</v>
      </c>
      <c r="N17" s="120" t="s">
        <v>251</v>
      </c>
      <c r="O17" s="120">
        <v>594894735.51765227</v>
      </c>
      <c r="P17" s="120">
        <v>186111863.43949777</v>
      </c>
      <c r="Q17" s="120">
        <v>408782872.07815444</v>
      </c>
      <c r="R17" s="120"/>
      <c r="S17" s="120"/>
      <c r="T17" s="107"/>
    </row>
    <row r="18" spans="1:20" ht="15">
      <c r="A18" s="105" t="s">
        <v>251</v>
      </c>
      <c r="B18" s="105"/>
      <c r="C18" s="107" t="s">
        <v>251</v>
      </c>
      <c r="D18" s="107" t="s">
        <v>251</v>
      </c>
      <c r="E18" s="120" t="s">
        <v>251</v>
      </c>
      <c r="F18" s="120" t="s">
        <v>251</v>
      </c>
      <c r="G18" s="120" t="s">
        <v>251</v>
      </c>
      <c r="H18" s="120" t="s">
        <v>251</v>
      </c>
      <c r="I18" s="120" t="s">
        <v>251</v>
      </c>
      <c r="J18" s="120" t="s">
        <v>251</v>
      </c>
      <c r="K18" s="120" t="s">
        <v>251</v>
      </c>
      <c r="L18" s="120" t="s">
        <v>251</v>
      </c>
      <c r="M18" s="120" t="s">
        <v>251</v>
      </c>
      <c r="N18" s="120" t="s">
        <v>251</v>
      </c>
      <c r="O18" s="120" t="s">
        <v>251</v>
      </c>
      <c r="P18" s="120" t="s">
        <v>251</v>
      </c>
      <c r="Q18" s="120" t="s">
        <v>251</v>
      </c>
      <c r="R18" s="120"/>
      <c r="S18" s="120"/>
      <c r="T18" s="107"/>
    </row>
    <row r="19" spans="1:20" ht="15">
      <c r="A19" s="105">
        <v>2</v>
      </c>
      <c r="B19" s="105"/>
      <c r="C19" s="107" t="s">
        <v>255</v>
      </c>
      <c r="D19" s="107" t="s">
        <v>251</v>
      </c>
      <c r="E19" s="120">
        <v>3458722481.2983637</v>
      </c>
      <c r="F19" s="120" t="s">
        <v>251</v>
      </c>
      <c r="G19" s="120">
        <v>3055605875.6690841</v>
      </c>
      <c r="H19" s="120" t="s">
        <v>251</v>
      </c>
      <c r="I19" s="120">
        <v>185288560.05814189</v>
      </c>
      <c r="J19" s="120">
        <v>217828045.57113808</v>
      </c>
      <c r="K19" s="120" t="s">
        <v>251</v>
      </c>
      <c r="L19" s="120" t="s">
        <v>251</v>
      </c>
      <c r="M19" s="120">
        <v>168002.61026320214</v>
      </c>
      <c r="N19" s="120" t="s">
        <v>251</v>
      </c>
      <c r="O19" s="120">
        <v>217660042.96087489</v>
      </c>
      <c r="P19" s="120">
        <v>68077421.523351967</v>
      </c>
      <c r="Q19" s="120">
        <v>149582621.43752292</v>
      </c>
      <c r="R19" s="120"/>
      <c r="S19" s="120"/>
      <c r="T19" s="107"/>
    </row>
    <row r="20" spans="1:20" ht="15">
      <c r="A20" s="105">
        <v>3</v>
      </c>
      <c r="B20" s="105"/>
      <c r="C20" s="107" t="s">
        <v>256</v>
      </c>
      <c r="D20" s="107" t="s">
        <v>251</v>
      </c>
      <c r="E20" s="120">
        <v>6317576379.5329962</v>
      </c>
      <c r="F20" s="120" t="s">
        <v>251</v>
      </c>
      <c r="G20" s="120">
        <v>5647121232.0472088</v>
      </c>
      <c r="H20" s="120" t="s">
        <v>251</v>
      </c>
      <c r="I20" s="120">
        <v>292696498.83348972</v>
      </c>
      <c r="J20" s="120">
        <v>377758648.65229768</v>
      </c>
      <c r="K20" s="120" t="s">
        <v>251</v>
      </c>
      <c r="L20" s="120" t="s">
        <v>251</v>
      </c>
      <c r="M20" s="120">
        <v>523956.0955203058</v>
      </c>
      <c r="N20" s="120" t="s">
        <v>251</v>
      </c>
      <c r="O20" s="120">
        <v>377234692.55677736</v>
      </c>
      <c r="P20" s="120">
        <v>118034441.9161458</v>
      </c>
      <c r="Q20" s="120">
        <v>259200250.64063153</v>
      </c>
      <c r="R20" s="120"/>
      <c r="S20" s="120"/>
      <c r="T20" s="107"/>
    </row>
    <row r="21" spans="1:20" ht="15">
      <c r="A21" s="105" t="s">
        <v>251</v>
      </c>
      <c r="B21" s="105"/>
      <c r="C21" s="107" t="s">
        <v>251</v>
      </c>
      <c r="D21" s="107" t="s">
        <v>251</v>
      </c>
      <c r="E21" s="120" t="s">
        <v>251</v>
      </c>
      <c r="F21" s="120" t="s">
        <v>251</v>
      </c>
      <c r="G21" s="120" t="s">
        <v>251</v>
      </c>
      <c r="H21" s="120" t="s">
        <v>251</v>
      </c>
      <c r="I21" s="120" t="s">
        <v>251</v>
      </c>
      <c r="J21" s="120" t="s">
        <v>251</v>
      </c>
      <c r="K21" s="120" t="s">
        <v>251</v>
      </c>
      <c r="L21" s="120" t="s">
        <v>251</v>
      </c>
      <c r="M21" s="120" t="s">
        <v>251</v>
      </c>
      <c r="N21" s="120" t="s">
        <v>251</v>
      </c>
      <c r="O21" s="120" t="s">
        <v>251</v>
      </c>
      <c r="P21" s="120" t="s">
        <v>251</v>
      </c>
      <c r="Q21" s="120" t="s">
        <v>251</v>
      </c>
      <c r="R21" s="120"/>
      <c r="S21" s="120"/>
      <c r="T21" s="107"/>
    </row>
    <row r="22" spans="1:20" ht="15">
      <c r="A22" s="105">
        <v>4</v>
      </c>
      <c r="B22" s="105"/>
      <c r="C22" s="107" t="s">
        <v>257</v>
      </c>
      <c r="D22" s="107" t="s">
        <v>251</v>
      </c>
      <c r="E22" s="120">
        <v>319262340.03939527</v>
      </c>
      <c r="F22" s="120" t="s">
        <v>251</v>
      </c>
      <c r="G22" s="120">
        <v>281903487.33269155</v>
      </c>
      <c r="H22" s="120" t="s">
        <v>251</v>
      </c>
      <c r="I22" s="120">
        <v>13230679.644248052</v>
      </c>
      <c r="J22" s="120">
        <v>24128173.062455654</v>
      </c>
      <c r="K22" s="120" t="s">
        <v>251</v>
      </c>
      <c r="L22" s="120" t="s">
        <v>251</v>
      </c>
      <c r="M22" s="120">
        <v>2138.0992900774772</v>
      </c>
      <c r="N22" s="120" t="s">
        <v>251</v>
      </c>
      <c r="O22" s="120">
        <v>24126034.963165578</v>
      </c>
      <c r="P22" s="120">
        <v>7451724.8216229742</v>
      </c>
      <c r="Q22" s="120">
        <v>16674310.141542604</v>
      </c>
      <c r="R22" s="120"/>
      <c r="S22" s="120"/>
      <c r="T22" s="107"/>
    </row>
    <row r="23" spans="1:20" ht="15">
      <c r="A23" s="105">
        <v>5</v>
      </c>
      <c r="B23" s="105"/>
      <c r="C23" s="107" t="s">
        <v>258</v>
      </c>
      <c r="D23" s="107" t="s">
        <v>251</v>
      </c>
      <c r="E23" s="120">
        <v>6636838719.5723906</v>
      </c>
      <c r="F23" s="120" t="s">
        <v>251</v>
      </c>
      <c r="G23" s="120">
        <v>5929024719.3799</v>
      </c>
      <c r="H23" s="120" t="s">
        <v>251</v>
      </c>
      <c r="I23" s="120">
        <v>305927178.47773778</v>
      </c>
      <c r="J23" s="120">
        <v>401886821.71475327</v>
      </c>
      <c r="K23" s="120" t="s">
        <v>251</v>
      </c>
      <c r="L23" s="120" t="s">
        <v>251</v>
      </c>
      <c r="M23" s="120">
        <v>526094.19481038325</v>
      </c>
      <c r="N23" s="120" t="s">
        <v>251</v>
      </c>
      <c r="O23" s="120">
        <v>401360727.51994288</v>
      </c>
      <c r="P23" s="120">
        <v>125486166.73776877</v>
      </c>
      <c r="Q23" s="120">
        <v>275874560.78217411</v>
      </c>
      <c r="R23" s="120"/>
      <c r="S23" s="120"/>
      <c r="T23" s="107"/>
    </row>
    <row r="24" spans="1:20" ht="15">
      <c r="A24" s="105" t="s">
        <v>251</v>
      </c>
      <c r="B24" s="105"/>
      <c r="C24" s="107" t="s">
        <v>251</v>
      </c>
      <c r="D24" s="107" t="s">
        <v>251</v>
      </c>
      <c r="E24" s="120"/>
      <c r="F24" s="120" t="s">
        <v>251</v>
      </c>
      <c r="G24" s="120" t="s">
        <v>251</v>
      </c>
      <c r="H24" s="120" t="s">
        <v>251</v>
      </c>
      <c r="I24" s="120" t="s">
        <v>251</v>
      </c>
      <c r="J24" s="120" t="s">
        <v>251</v>
      </c>
      <c r="K24" s="120" t="s">
        <v>251</v>
      </c>
      <c r="L24" s="120" t="s">
        <v>251</v>
      </c>
      <c r="M24" s="120" t="s">
        <v>251</v>
      </c>
      <c r="N24" s="120" t="s">
        <v>251</v>
      </c>
      <c r="O24" s="120" t="s">
        <v>251</v>
      </c>
      <c r="P24" s="120" t="s">
        <v>251</v>
      </c>
      <c r="Q24" s="120" t="s">
        <v>251</v>
      </c>
      <c r="R24" s="120"/>
      <c r="S24" s="120"/>
      <c r="T24" s="107"/>
    </row>
    <row r="25" spans="1:20" ht="15">
      <c r="A25" s="105" t="s">
        <v>251</v>
      </c>
      <c r="B25" s="105"/>
      <c r="C25" s="107" t="s">
        <v>259</v>
      </c>
      <c r="D25" s="107" t="s">
        <v>251</v>
      </c>
      <c r="E25" s="120"/>
      <c r="F25" s="120" t="s">
        <v>251</v>
      </c>
      <c r="G25" s="120" t="s">
        <v>251</v>
      </c>
      <c r="H25" s="120" t="s">
        <v>251</v>
      </c>
      <c r="I25" s="120" t="s">
        <v>251</v>
      </c>
      <c r="J25" s="120" t="s">
        <v>251</v>
      </c>
      <c r="K25" s="120" t="s">
        <v>251</v>
      </c>
      <c r="L25" s="120" t="s">
        <v>251</v>
      </c>
      <c r="M25" s="120" t="s">
        <v>251</v>
      </c>
      <c r="N25" s="120" t="s">
        <v>251</v>
      </c>
      <c r="O25" s="120" t="s">
        <v>251</v>
      </c>
      <c r="P25" s="120" t="s">
        <v>251</v>
      </c>
      <c r="Q25" s="120" t="s">
        <v>251</v>
      </c>
      <c r="R25" s="120"/>
      <c r="S25" s="121"/>
    </row>
    <row r="26" spans="1:20" ht="15">
      <c r="A26" s="105">
        <v>6</v>
      </c>
      <c r="B26" s="105"/>
      <c r="C26" s="107" t="s">
        <v>260</v>
      </c>
      <c r="D26" s="107" t="s">
        <v>251</v>
      </c>
      <c r="E26" s="120">
        <v>62047004</v>
      </c>
      <c r="F26" s="120" t="s">
        <v>251</v>
      </c>
      <c r="G26" s="120">
        <v>55113998.115683526</v>
      </c>
      <c r="H26" s="120" t="s">
        <v>251</v>
      </c>
      <c r="I26" s="120">
        <v>3308028.2521978938</v>
      </c>
      <c r="J26" s="120">
        <v>3624977.6321185851</v>
      </c>
      <c r="K26" s="120" t="s">
        <v>251</v>
      </c>
      <c r="L26" s="120" t="s">
        <v>251</v>
      </c>
      <c r="M26" s="120">
        <v>3150.6061460863657</v>
      </c>
      <c r="N26" s="120" t="s">
        <v>251</v>
      </c>
      <c r="O26" s="120">
        <v>3621827.0259724986</v>
      </c>
      <c r="P26" s="120">
        <v>1128678.9019301541</v>
      </c>
      <c r="Q26" s="120">
        <v>2493148.1240423447</v>
      </c>
      <c r="R26" s="120"/>
      <c r="S26" s="121"/>
    </row>
    <row r="27" spans="1:20" ht="15">
      <c r="A27" s="105">
        <v>7</v>
      </c>
      <c r="B27" s="105"/>
      <c r="C27" s="107" t="s">
        <v>261</v>
      </c>
      <c r="D27" s="107" t="s">
        <v>251</v>
      </c>
      <c r="E27" s="120">
        <v>61292297</v>
      </c>
      <c r="F27" s="120" t="s">
        <v>251</v>
      </c>
      <c r="G27" s="120">
        <v>53953416.041710377</v>
      </c>
      <c r="H27" s="120" t="s">
        <v>251</v>
      </c>
      <c r="I27" s="120">
        <v>2201053.2959116343</v>
      </c>
      <c r="J27" s="120">
        <v>5137827.6623779899</v>
      </c>
      <c r="K27" s="120" t="s">
        <v>251</v>
      </c>
      <c r="L27" s="120" t="s">
        <v>251</v>
      </c>
      <c r="M27" s="120">
        <v>241.46600568449119</v>
      </c>
      <c r="N27" s="120" t="s">
        <v>251</v>
      </c>
      <c r="O27" s="120">
        <v>5137586.196372305</v>
      </c>
      <c r="P27" s="120">
        <v>1643878.5826842112</v>
      </c>
      <c r="Q27" s="120">
        <v>3493707.6136880941</v>
      </c>
      <c r="R27" s="120"/>
      <c r="S27" s="121"/>
    </row>
    <row r="28" spans="1:20" ht="15">
      <c r="A28" s="105">
        <v>8</v>
      </c>
      <c r="B28" s="105"/>
      <c r="C28" s="107" t="s">
        <v>262</v>
      </c>
      <c r="D28" s="107" t="s">
        <v>251</v>
      </c>
      <c r="E28" s="120">
        <v>16286108.63695264</v>
      </c>
      <c r="F28" s="120" t="s">
        <v>251</v>
      </c>
      <c r="G28" s="120">
        <v>15329715.377801962</v>
      </c>
      <c r="H28" s="120" t="s">
        <v>251</v>
      </c>
      <c r="I28" s="120">
        <v>0</v>
      </c>
      <c r="J28" s="120">
        <v>956393.25915067829</v>
      </c>
      <c r="K28" s="120" t="s">
        <v>251</v>
      </c>
      <c r="L28" s="120" t="s">
        <v>251</v>
      </c>
      <c r="M28" s="120">
        <v>1208.097727840141</v>
      </c>
      <c r="N28" s="120" t="s">
        <v>251</v>
      </c>
      <c r="O28" s="120">
        <v>955185.16142283811</v>
      </c>
      <c r="P28" s="120">
        <v>300845.37032763287</v>
      </c>
      <c r="Q28" s="120">
        <v>654339.79109520523</v>
      </c>
      <c r="R28" s="120"/>
      <c r="S28" s="121"/>
    </row>
    <row r="29" spans="1:20" ht="15">
      <c r="A29" s="105">
        <v>9</v>
      </c>
      <c r="B29" s="105"/>
      <c r="C29" s="107" t="s">
        <v>263</v>
      </c>
      <c r="D29" s="107" t="s">
        <v>251</v>
      </c>
      <c r="E29" s="120">
        <v>69078890.627454564</v>
      </c>
      <c r="F29" s="120" t="s">
        <v>251</v>
      </c>
      <c r="G29" s="120">
        <v>55945780.89707984</v>
      </c>
      <c r="H29" s="120" t="s">
        <v>251</v>
      </c>
      <c r="I29" s="120">
        <v>5453566.5818549329</v>
      </c>
      <c r="J29" s="120">
        <v>7679543.148524154</v>
      </c>
      <c r="K29" s="120" t="s">
        <v>251</v>
      </c>
      <c r="L29" s="120" t="s">
        <v>251</v>
      </c>
      <c r="M29" s="120">
        <v>3134.0710286411836</v>
      </c>
      <c r="N29" s="120" t="s">
        <v>251</v>
      </c>
      <c r="O29" s="120">
        <v>7676409.0774955126</v>
      </c>
      <c r="P29" s="120">
        <v>2447393.7470243629</v>
      </c>
      <c r="Q29" s="120">
        <v>5229015.3304711496</v>
      </c>
      <c r="R29" s="120"/>
      <c r="S29" s="121"/>
    </row>
    <row r="30" spans="1:20" ht="15">
      <c r="A30" s="105">
        <v>10</v>
      </c>
      <c r="B30" s="105"/>
      <c r="C30" s="107" t="s">
        <v>264</v>
      </c>
      <c r="D30" s="107" t="s">
        <v>251</v>
      </c>
      <c r="E30" s="120">
        <v>130006</v>
      </c>
      <c r="F30" s="120" t="s">
        <v>251</v>
      </c>
      <c r="G30" s="120">
        <v>113980.8500567061</v>
      </c>
      <c r="H30" s="120" t="s">
        <v>251</v>
      </c>
      <c r="I30" s="120">
        <v>5219.3233958366754</v>
      </c>
      <c r="J30" s="120">
        <v>10805.826547457233</v>
      </c>
      <c r="K30" s="120" t="s">
        <v>251</v>
      </c>
      <c r="L30" s="120" t="s">
        <v>251</v>
      </c>
      <c r="M30" s="120">
        <v>0.36586265024300602</v>
      </c>
      <c r="N30" s="120" t="s">
        <v>251</v>
      </c>
      <c r="O30" s="120">
        <v>10805.460684806989</v>
      </c>
      <c r="P30" s="120">
        <v>3333.3014338339794</v>
      </c>
      <c r="Q30" s="120">
        <v>7472.159250973009</v>
      </c>
      <c r="R30" s="120"/>
      <c r="S30" s="121"/>
    </row>
    <row r="31" spans="1:20" ht="15">
      <c r="A31" s="105">
        <v>11</v>
      </c>
      <c r="B31" s="105"/>
      <c r="C31" s="107" t="s">
        <v>2493</v>
      </c>
      <c r="D31" s="107" t="s">
        <v>251</v>
      </c>
      <c r="E31" s="120">
        <v>69633622.427637115</v>
      </c>
      <c r="F31" s="120" t="s">
        <v>251</v>
      </c>
      <c r="G31" s="120">
        <v>62293698</v>
      </c>
      <c r="H31" s="120" t="s">
        <v>251</v>
      </c>
      <c r="I31" s="120">
        <v>2379186.7071387768</v>
      </c>
      <c r="J31" s="120">
        <v>4960737.7204983374</v>
      </c>
      <c r="K31" s="120" t="s">
        <v>251</v>
      </c>
      <c r="L31" s="120" t="s">
        <v>251</v>
      </c>
      <c r="M31" s="120">
        <v>213.1170847158082</v>
      </c>
      <c r="N31" s="120" t="s">
        <v>251</v>
      </c>
      <c r="O31" s="120">
        <v>4960524.6034136219</v>
      </c>
      <c r="P31" s="120">
        <v>1530237.7432529349</v>
      </c>
      <c r="Q31" s="120">
        <v>3430286.860160687</v>
      </c>
      <c r="R31" s="120"/>
      <c r="S31" s="121"/>
    </row>
    <row r="32" spans="1:20" ht="15">
      <c r="A32" s="105">
        <v>12</v>
      </c>
      <c r="B32" s="105"/>
      <c r="C32" s="107" t="s">
        <v>265</v>
      </c>
      <c r="D32" s="107" t="s">
        <v>251</v>
      </c>
      <c r="E32" s="120">
        <v>278467928.69204432</v>
      </c>
      <c r="F32" s="120" t="s">
        <v>251</v>
      </c>
      <c r="G32" s="120">
        <v>242750589.28233242</v>
      </c>
      <c r="H32" s="120" t="s">
        <v>251</v>
      </c>
      <c r="I32" s="120">
        <v>13347054.160499074</v>
      </c>
      <c r="J32" s="120">
        <v>22370285.249217205</v>
      </c>
      <c r="K32" s="120" t="s">
        <v>251</v>
      </c>
      <c r="L32" s="120" t="s">
        <v>251</v>
      </c>
      <c r="M32" s="120">
        <v>7947.7238556182319</v>
      </c>
      <c r="N32" s="120" t="s">
        <v>251</v>
      </c>
      <c r="O32" s="120">
        <v>22362337.525361586</v>
      </c>
      <c r="P32" s="120">
        <v>7054367.6466531297</v>
      </c>
      <c r="Q32" s="120">
        <v>15307969.878708456</v>
      </c>
      <c r="R32" s="120"/>
      <c r="S32" s="121"/>
    </row>
    <row r="33" spans="1:19" ht="15">
      <c r="A33" s="105" t="s">
        <v>251</v>
      </c>
      <c r="B33" s="105"/>
      <c r="C33" s="107" t="s">
        <v>251</v>
      </c>
      <c r="D33" s="107" t="s">
        <v>251</v>
      </c>
      <c r="E33" s="120" t="s">
        <v>251</v>
      </c>
      <c r="F33" s="120" t="s">
        <v>251</v>
      </c>
      <c r="G33" s="120" t="s">
        <v>251</v>
      </c>
      <c r="H33" s="120" t="s">
        <v>251</v>
      </c>
      <c r="I33" s="120" t="s">
        <v>251</v>
      </c>
      <c r="J33" s="120" t="s">
        <v>251</v>
      </c>
      <c r="K33" s="120" t="s">
        <v>251</v>
      </c>
      <c r="L33" s="120" t="s">
        <v>251</v>
      </c>
      <c r="M33" s="120" t="s">
        <v>251</v>
      </c>
      <c r="N33" s="120" t="s">
        <v>251</v>
      </c>
      <c r="O33" s="120" t="s">
        <v>251</v>
      </c>
      <c r="P33" s="120" t="s">
        <v>251</v>
      </c>
      <c r="Q33" s="120" t="s">
        <v>251</v>
      </c>
      <c r="R33" s="120"/>
      <c r="S33" s="121"/>
    </row>
    <row r="34" spans="1:19" ht="15">
      <c r="A34" s="105" t="s">
        <v>251</v>
      </c>
      <c r="B34" s="105"/>
      <c r="C34" s="107" t="s">
        <v>266</v>
      </c>
      <c r="D34" s="107" t="s">
        <v>251</v>
      </c>
      <c r="E34" s="120" t="s">
        <v>251</v>
      </c>
      <c r="F34" s="120" t="s">
        <v>251</v>
      </c>
      <c r="G34" s="120" t="s">
        <v>251</v>
      </c>
      <c r="H34" s="120" t="s">
        <v>251</v>
      </c>
      <c r="I34" s="120" t="s">
        <v>251</v>
      </c>
      <c r="J34" s="120" t="s">
        <v>251</v>
      </c>
      <c r="K34" s="120" t="s">
        <v>251</v>
      </c>
      <c r="L34" s="120" t="s">
        <v>251</v>
      </c>
      <c r="M34" s="120" t="s">
        <v>251</v>
      </c>
      <c r="N34" s="120" t="s">
        <v>251</v>
      </c>
      <c r="O34" s="120" t="s">
        <v>251</v>
      </c>
      <c r="P34" s="120" t="s">
        <v>251</v>
      </c>
      <c r="Q34" s="120" t="s">
        <v>251</v>
      </c>
      <c r="R34" s="120"/>
      <c r="S34" s="121"/>
    </row>
    <row r="35" spans="1:19" ht="15">
      <c r="A35" s="105">
        <v>13</v>
      </c>
      <c r="B35" s="105"/>
      <c r="C35" s="107" t="s">
        <v>267</v>
      </c>
      <c r="D35" s="107" t="s">
        <v>251</v>
      </c>
      <c r="E35" s="120">
        <v>1380494542</v>
      </c>
      <c r="F35" s="120" t="s">
        <v>251</v>
      </c>
      <c r="G35" s="120">
        <v>1235326969.3563197</v>
      </c>
      <c r="H35" s="120" t="s">
        <v>251</v>
      </c>
      <c r="I35" s="120">
        <v>65303527.687323637</v>
      </c>
      <c r="J35" s="120">
        <v>79864044.956356809</v>
      </c>
      <c r="K35" s="120" t="s">
        <v>251</v>
      </c>
      <c r="L35" s="120" t="s">
        <v>251</v>
      </c>
      <c r="M35" s="120">
        <v>98028.35441312709</v>
      </c>
      <c r="N35" s="120" t="s">
        <v>251</v>
      </c>
      <c r="O35" s="120">
        <v>79766016.601943687</v>
      </c>
      <c r="P35" s="120">
        <v>24974473.485109318</v>
      </c>
      <c r="Q35" s="120">
        <v>54791543.116834372</v>
      </c>
      <c r="R35" s="120"/>
      <c r="S35" s="121"/>
    </row>
    <row r="36" spans="1:19" ht="15">
      <c r="A36" s="105">
        <v>14</v>
      </c>
      <c r="B36" s="105"/>
      <c r="C36" s="107" t="s">
        <v>268</v>
      </c>
      <c r="D36" s="107" t="s">
        <v>251</v>
      </c>
      <c r="E36" s="120">
        <v>91624046.000000015</v>
      </c>
      <c r="F36" s="120" t="s">
        <v>251</v>
      </c>
      <c r="G36" s="120">
        <v>79747509.863892987</v>
      </c>
      <c r="H36" s="120" t="s">
        <v>251</v>
      </c>
      <c r="I36" s="120">
        <v>3729932.5734805865</v>
      </c>
      <c r="J36" s="120">
        <v>8146603.5626264298</v>
      </c>
      <c r="K36" s="120" t="s">
        <v>251</v>
      </c>
      <c r="L36" s="120" t="s">
        <v>251</v>
      </c>
      <c r="M36" s="120">
        <v>255.97839720065789</v>
      </c>
      <c r="N36" s="120" t="s">
        <v>251</v>
      </c>
      <c r="O36" s="120">
        <v>8146347.584229229</v>
      </c>
      <c r="P36" s="120">
        <v>2513010.1228540349</v>
      </c>
      <c r="Q36" s="120">
        <v>5633337.4613751937</v>
      </c>
      <c r="R36" s="120"/>
      <c r="S36" s="121"/>
    </row>
    <row r="37" spans="1:19" ht="15">
      <c r="A37" s="105">
        <v>15</v>
      </c>
      <c r="B37" s="105"/>
      <c r="C37" s="107" t="s">
        <v>269</v>
      </c>
      <c r="D37" s="107" t="s">
        <v>251</v>
      </c>
      <c r="E37" s="120">
        <v>980981.37</v>
      </c>
      <c r="F37" s="120" t="s">
        <v>251</v>
      </c>
      <c r="G37" s="120">
        <v>951646.55364259379</v>
      </c>
      <c r="H37" s="120" t="s">
        <v>251</v>
      </c>
      <c r="I37" s="120">
        <v>29334.816357406242</v>
      </c>
      <c r="J37" s="120">
        <v>0</v>
      </c>
      <c r="K37" s="120" t="s">
        <v>251</v>
      </c>
      <c r="L37" s="120" t="s">
        <v>251</v>
      </c>
      <c r="M37" s="120">
        <v>0</v>
      </c>
      <c r="N37" s="120" t="s">
        <v>251</v>
      </c>
      <c r="O37" s="120">
        <v>0</v>
      </c>
      <c r="P37" s="120">
        <v>0</v>
      </c>
      <c r="Q37" s="120">
        <v>0</v>
      </c>
      <c r="R37" s="120"/>
      <c r="S37" s="121"/>
    </row>
    <row r="38" spans="1:19" ht="15">
      <c r="A38" s="105">
        <v>16</v>
      </c>
      <c r="B38" s="105"/>
      <c r="C38" s="107" t="s">
        <v>270</v>
      </c>
      <c r="D38" s="107" t="s">
        <v>251</v>
      </c>
      <c r="E38" s="120">
        <v>30898393.370000001</v>
      </c>
      <c r="F38" s="120" t="s">
        <v>251</v>
      </c>
      <c r="G38" s="120">
        <v>0</v>
      </c>
      <c r="H38" s="120" t="s">
        <v>251</v>
      </c>
      <c r="I38" s="120">
        <v>1710542.4421739152</v>
      </c>
      <c r="J38" s="120">
        <v>1.0102626508301783E-2</v>
      </c>
      <c r="K38" s="120" t="s">
        <v>251</v>
      </c>
      <c r="L38" s="120" t="s">
        <v>251</v>
      </c>
      <c r="M38" s="120">
        <v>0</v>
      </c>
      <c r="N38" s="120" t="s">
        <v>251</v>
      </c>
      <c r="O38" s="120">
        <v>1.0102626508301783E-2</v>
      </c>
      <c r="P38" s="120">
        <v>1.0102626508301783E-2</v>
      </c>
      <c r="Q38" s="120">
        <v>0</v>
      </c>
      <c r="R38" s="120"/>
      <c r="S38" s="121"/>
    </row>
    <row r="39" spans="1:19" ht="15">
      <c r="A39" s="105">
        <v>17</v>
      </c>
      <c r="B39" s="105"/>
      <c r="C39" s="107" t="s">
        <v>271</v>
      </c>
      <c r="D39" s="107" t="s">
        <v>251</v>
      </c>
      <c r="E39" s="120">
        <v>234962</v>
      </c>
      <c r="F39" s="120" t="s">
        <v>251</v>
      </c>
      <c r="G39" s="120">
        <v>0</v>
      </c>
      <c r="H39" s="120" t="s">
        <v>251</v>
      </c>
      <c r="I39" s="120">
        <v>234962</v>
      </c>
      <c r="J39" s="120">
        <v>0</v>
      </c>
      <c r="K39" s="120" t="s">
        <v>251</v>
      </c>
      <c r="L39" s="120" t="s">
        <v>251</v>
      </c>
      <c r="M39" s="120">
        <v>0</v>
      </c>
      <c r="N39" s="120" t="s">
        <v>251</v>
      </c>
      <c r="O39" s="120">
        <v>0</v>
      </c>
      <c r="P39" s="120">
        <v>0</v>
      </c>
      <c r="Q39" s="120">
        <v>0</v>
      </c>
      <c r="R39" s="120"/>
      <c r="S39" s="121"/>
    </row>
    <row r="40" spans="1:19" ht="15">
      <c r="A40" s="105">
        <v>18</v>
      </c>
      <c r="B40" s="105"/>
      <c r="C40" s="107" t="s">
        <v>272</v>
      </c>
      <c r="D40" s="107" t="s">
        <v>251</v>
      </c>
      <c r="E40" s="120">
        <v>22095899.68</v>
      </c>
      <c r="F40" s="120" t="s">
        <v>251</v>
      </c>
      <c r="G40" s="120">
        <v>0</v>
      </c>
      <c r="H40" s="120" t="s">
        <v>251</v>
      </c>
      <c r="I40" s="120">
        <v>1017946.1005371396</v>
      </c>
      <c r="J40" s="120">
        <v>1.2044233615074357E-12</v>
      </c>
      <c r="K40" s="120" t="s">
        <v>251</v>
      </c>
      <c r="L40" s="120" t="s">
        <v>251</v>
      </c>
      <c r="M40" s="120">
        <v>0</v>
      </c>
      <c r="N40" s="120" t="s">
        <v>251</v>
      </c>
      <c r="O40" s="120">
        <v>1.2044233615074357E-12</v>
      </c>
      <c r="P40" s="120">
        <v>0</v>
      </c>
      <c r="Q40" s="120">
        <v>0</v>
      </c>
      <c r="R40" s="120"/>
      <c r="S40" s="121"/>
    </row>
    <row r="41" spans="1:19" ht="15">
      <c r="A41" s="105">
        <v>19</v>
      </c>
      <c r="B41" s="105"/>
      <c r="C41" s="107" t="s">
        <v>273</v>
      </c>
      <c r="D41" s="107" t="s">
        <v>251</v>
      </c>
      <c r="E41" s="120">
        <v>6914670.8461538451</v>
      </c>
      <c r="F41" s="120" t="s">
        <v>251</v>
      </c>
      <c r="G41" s="120">
        <v>0</v>
      </c>
      <c r="H41" s="120" t="s">
        <v>251</v>
      </c>
      <c r="I41" s="120">
        <v>0</v>
      </c>
      <c r="J41" s="120">
        <v>337676.55487299187</v>
      </c>
      <c r="K41" s="120" t="s">
        <v>251</v>
      </c>
      <c r="L41" s="120" t="s">
        <v>251</v>
      </c>
      <c r="M41" s="120">
        <v>0</v>
      </c>
      <c r="N41" s="120" t="s">
        <v>251</v>
      </c>
      <c r="O41" s="120">
        <v>337676.55487299187</v>
      </c>
      <c r="P41" s="120">
        <v>107604.95287208757</v>
      </c>
      <c r="Q41" s="120">
        <v>230071.60200090433</v>
      </c>
      <c r="R41" s="120"/>
      <c r="S41" s="121"/>
    </row>
    <row r="42" spans="1:19" ht="15">
      <c r="A42" s="105">
        <v>20</v>
      </c>
      <c r="B42" s="105"/>
      <c r="C42" s="107" t="s">
        <v>274</v>
      </c>
      <c r="D42" s="107" t="s">
        <v>251</v>
      </c>
      <c r="E42" s="120">
        <v>6319401.2276923079</v>
      </c>
      <c r="F42" s="120" t="s">
        <v>251</v>
      </c>
      <c r="G42" s="120">
        <v>0</v>
      </c>
      <c r="H42" s="120" t="s">
        <v>251</v>
      </c>
      <c r="I42" s="120">
        <v>0</v>
      </c>
      <c r="J42" s="120">
        <v>308606.68322545581</v>
      </c>
      <c r="K42" s="120" t="s">
        <v>251</v>
      </c>
      <c r="L42" s="120" t="s">
        <v>251</v>
      </c>
      <c r="M42" s="120">
        <v>0</v>
      </c>
      <c r="N42" s="120" t="s">
        <v>251</v>
      </c>
      <c r="O42" s="120">
        <v>308606.68322545581</v>
      </c>
      <c r="P42" s="120">
        <v>98341.466486995487</v>
      </c>
      <c r="Q42" s="120">
        <v>210265.21673846029</v>
      </c>
      <c r="R42" s="120"/>
      <c r="S42" s="121"/>
    </row>
    <row r="43" spans="1:19" ht="15">
      <c r="A43" s="105">
        <v>21</v>
      </c>
      <c r="B43" s="105"/>
      <c r="C43" s="107" t="s">
        <v>275</v>
      </c>
      <c r="D43" s="107" t="s">
        <v>251</v>
      </c>
      <c r="E43" s="120">
        <v>1535072.4738461531</v>
      </c>
      <c r="F43" s="120" t="s">
        <v>251</v>
      </c>
      <c r="G43" s="120">
        <v>0</v>
      </c>
      <c r="H43" s="120" t="s">
        <v>251</v>
      </c>
      <c r="I43" s="120">
        <v>0</v>
      </c>
      <c r="J43" s="120">
        <v>74964.954367575832</v>
      </c>
      <c r="K43" s="120" t="s">
        <v>251</v>
      </c>
      <c r="L43" s="120" t="s">
        <v>251</v>
      </c>
      <c r="M43" s="120">
        <v>0</v>
      </c>
      <c r="N43" s="120" t="s">
        <v>251</v>
      </c>
      <c r="O43" s="120">
        <v>74964.954367575832</v>
      </c>
      <c r="P43" s="120">
        <v>23888.541461859058</v>
      </c>
      <c r="Q43" s="120">
        <v>51076.412905716774</v>
      </c>
      <c r="R43" s="120"/>
      <c r="S43" s="121"/>
    </row>
    <row r="44" spans="1:19" ht="15">
      <c r="A44" s="105">
        <v>22</v>
      </c>
      <c r="B44" s="105"/>
      <c r="C44" s="107" t="s">
        <v>276</v>
      </c>
      <c r="D44" s="107" t="s">
        <v>251</v>
      </c>
      <c r="E44" s="120">
        <v>1541097968.9676921</v>
      </c>
      <c r="F44" s="120" t="s">
        <v>251</v>
      </c>
      <c r="G44" s="120">
        <v>1316026125.7738552</v>
      </c>
      <c r="H44" s="120" t="s">
        <v>251</v>
      </c>
      <c r="I44" s="120">
        <v>72026245.619872674</v>
      </c>
      <c r="J44" s="120">
        <v>88731896.721551895</v>
      </c>
      <c r="K44" s="120" t="s">
        <v>251</v>
      </c>
      <c r="L44" s="120" t="s">
        <v>251</v>
      </c>
      <c r="M44" s="120">
        <v>98284.332810327745</v>
      </c>
      <c r="N44" s="120" t="s">
        <v>251</v>
      </c>
      <c r="O44" s="120">
        <v>88633612.388741568</v>
      </c>
      <c r="P44" s="120">
        <v>27717318.578886919</v>
      </c>
      <c r="Q44" s="120">
        <v>60916293.809854649</v>
      </c>
      <c r="R44" s="120"/>
      <c r="S44" s="121"/>
    </row>
    <row r="45" spans="1:19" ht="15">
      <c r="A45" s="105" t="s">
        <v>251</v>
      </c>
      <c r="B45" s="105"/>
      <c r="C45" s="107" t="s">
        <v>251</v>
      </c>
      <c r="D45" s="107" t="s">
        <v>251</v>
      </c>
      <c r="E45" s="120" t="s">
        <v>251</v>
      </c>
      <c r="F45" s="120" t="s">
        <v>251</v>
      </c>
      <c r="G45" s="120" t="s">
        <v>251</v>
      </c>
      <c r="H45" s="120" t="s">
        <v>251</v>
      </c>
      <c r="I45" s="120" t="s">
        <v>251</v>
      </c>
      <c r="J45" s="120" t="s">
        <v>251</v>
      </c>
      <c r="K45" s="120" t="s">
        <v>251</v>
      </c>
      <c r="L45" s="120" t="s">
        <v>251</v>
      </c>
      <c r="M45" s="120" t="s">
        <v>251</v>
      </c>
      <c r="N45" s="120" t="s">
        <v>251</v>
      </c>
      <c r="O45" s="120" t="s">
        <v>251</v>
      </c>
      <c r="P45" s="120" t="s">
        <v>251</v>
      </c>
      <c r="Q45" s="120" t="s">
        <v>251</v>
      </c>
      <c r="R45" s="120"/>
      <c r="S45" s="121"/>
    </row>
    <row r="46" spans="1:19" ht="15">
      <c r="A46" s="105">
        <v>23</v>
      </c>
      <c r="B46" s="105"/>
      <c r="C46" s="107" t="s">
        <v>277</v>
      </c>
      <c r="D46" s="107" t="s">
        <v>251</v>
      </c>
      <c r="E46" s="120">
        <v>5374208679.2967424</v>
      </c>
      <c r="F46" s="120" t="s">
        <v>251</v>
      </c>
      <c r="G46" s="120">
        <v>4855749182.8883772</v>
      </c>
      <c r="H46" s="120" t="s">
        <v>251</v>
      </c>
      <c r="I46" s="120">
        <v>247247987.01836419</v>
      </c>
      <c r="J46" s="120">
        <v>335525210.24241859</v>
      </c>
      <c r="K46" s="120" t="s">
        <v>251</v>
      </c>
      <c r="L46" s="120" t="s">
        <v>251</v>
      </c>
      <c r="M46" s="120">
        <v>435757.58585567377</v>
      </c>
      <c r="N46" s="120" t="s">
        <v>251</v>
      </c>
      <c r="O46" s="120">
        <v>335089452.65656292</v>
      </c>
      <c r="P46" s="120">
        <v>104823215.80553499</v>
      </c>
      <c r="Q46" s="120">
        <v>230266236.85102794</v>
      </c>
      <c r="R46" s="120"/>
      <c r="S46" s="121"/>
    </row>
    <row r="47" spans="1:19" ht="15">
      <c r="A47" s="105" t="s">
        <v>251</v>
      </c>
      <c r="B47" s="105"/>
      <c r="C47" s="107" t="s">
        <v>251</v>
      </c>
      <c r="D47" s="107" t="s">
        <v>251</v>
      </c>
      <c r="E47" s="120" t="s">
        <v>251</v>
      </c>
      <c r="F47" s="120" t="s">
        <v>251</v>
      </c>
      <c r="G47" s="120"/>
      <c r="H47" s="120"/>
      <c r="I47" s="120"/>
      <c r="J47" s="120"/>
      <c r="K47" s="120"/>
      <c r="L47" s="120"/>
      <c r="M47" s="120"/>
      <c r="N47" s="120"/>
      <c r="O47" s="120"/>
      <c r="P47" s="120"/>
      <c r="Q47" s="120"/>
      <c r="R47" s="120"/>
      <c r="S47" s="121"/>
    </row>
    <row r="48" spans="1:19" ht="15">
      <c r="A48" s="105" t="s">
        <v>251</v>
      </c>
      <c r="B48" s="105"/>
      <c r="C48" s="107" t="s">
        <v>278</v>
      </c>
      <c r="D48" s="107" t="s">
        <v>251</v>
      </c>
      <c r="E48" s="120" t="s">
        <v>251</v>
      </c>
      <c r="F48" s="120" t="s">
        <v>251</v>
      </c>
      <c r="G48" s="120"/>
      <c r="H48" s="120"/>
      <c r="I48" s="120"/>
      <c r="J48" s="120"/>
      <c r="K48" s="120"/>
      <c r="L48" s="120"/>
      <c r="M48" s="120"/>
      <c r="N48" s="120"/>
      <c r="O48" s="120"/>
      <c r="P48" s="120"/>
      <c r="Q48" s="120"/>
      <c r="R48" s="120"/>
      <c r="S48" s="121"/>
    </row>
    <row r="49" spans="1:19" ht="15">
      <c r="A49" s="105">
        <v>24</v>
      </c>
      <c r="B49" s="105"/>
      <c r="C49" s="107" t="s">
        <v>279</v>
      </c>
      <c r="D49" s="107" t="s">
        <v>251</v>
      </c>
      <c r="E49" s="120">
        <v>1744308803.4043989</v>
      </c>
      <c r="F49" s="120" t="s">
        <v>251</v>
      </c>
      <c r="G49" s="120">
        <v>1556707681.3972576</v>
      </c>
      <c r="H49" s="120" t="s">
        <v>251</v>
      </c>
      <c r="I49" s="120">
        <v>73708569.305934459</v>
      </c>
      <c r="J49" s="120">
        <v>113892552.7012068</v>
      </c>
      <c r="K49" s="120" t="s">
        <v>251</v>
      </c>
      <c r="L49" s="120" t="s">
        <v>251</v>
      </c>
      <c r="M49" s="120">
        <v>3917.408649507498</v>
      </c>
      <c r="N49" s="120" t="s">
        <v>251</v>
      </c>
      <c r="O49" s="120">
        <v>113888635.2925573</v>
      </c>
      <c r="P49" s="120">
        <v>35306947.054222703</v>
      </c>
      <c r="Q49" s="120">
        <v>78581688.238334596</v>
      </c>
      <c r="R49" s="120"/>
      <c r="S49" s="121"/>
    </row>
    <row r="50" spans="1:19" ht="15">
      <c r="A50" s="105" t="s">
        <v>251</v>
      </c>
      <c r="B50" s="105"/>
      <c r="C50" s="107" t="s">
        <v>251</v>
      </c>
      <c r="D50" s="107" t="s">
        <v>251</v>
      </c>
      <c r="E50" s="120" t="s">
        <v>251</v>
      </c>
      <c r="F50" s="120" t="s">
        <v>251</v>
      </c>
      <c r="G50" s="120" t="s">
        <v>251</v>
      </c>
      <c r="H50" s="120" t="s">
        <v>251</v>
      </c>
      <c r="I50" s="120" t="s">
        <v>251</v>
      </c>
      <c r="J50" s="120" t="s">
        <v>251</v>
      </c>
      <c r="K50" s="120" t="s">
        <v>251</v>
      </c>
      <c r="L50" s="120" t="s">
        <v>251</v>
      </c>
      <c r="M50" s="120" t="s">
        <v>251</v>
      </c>
      <c r="N50" s="120" t="s">
        <v>251</v>
      </c>
      <c r="O50" s="120" t="s">
        <v>251</v>
      </c>
      <c r="P50" s="120" t="s">
        <v>251</v>
      </c>
      <c r="Q50" s="120" t="s">
        <v>251</v>
      </c>
      <c r="R50" s="120"/>
      <c r="S50" s="121"/>
    </row>
    <row r="51" spans="1:19" ht="15">
      <c r="A51" s="105" t="s">
        <v>251</v>
      </c>
      <c r="B51" s="105"/>
      <c r="C51" s="107" t="s">
        <v>280</v>
      </c>
      <c r="D51" s="107" t="s">
        <v>251</v>
      </c>
      <c r="E51" s="120" t="s">
        <v>251</v>
      </c>
      <c r="F51" s="120" t="s">
        <v>251</v>
      </c>
      <c r="G51" s="120" t="s">
        <v>251</v>
      </c>
      <c r="H51" s="120" t="s">
        <v>251</v>
      </c>
      <c r="I51" s="120" t="s">
        <v>251</v>
      </c>
      <c r="J51" s="120" t="s">
        <v>251</v>
      </c>
      <c r="K51" s="120" t="s">
        <v>251</v>
      </c>
      <c r="L51" s="120" t="s">
        <v>251</v>
      </c>
      <c r="M51" s="120" t="s">
        <v>251</v>
      </c>
      <c r="N51" s="120" t="s">
        <v>251</v>
      </c>
      <c r="O51" s="120" t="s">
        <v>251</v>
      </c>
      <c r="P51" s="120" t="s">
        <v>251</v>
      </c>
      <c r="Q51" s="120" t="s">
        <v>251</v>
      </c>
      <c r="R51" s="120"/>
      <c r="S51" s="121"/>
    </row>
    <row r="52" spans="1:19" ht="15">
      <c r="A52" s="105">
        <v>25</v>
      </c>
      <c r="B52" s="105"/>
      <c r="C52" s="107" t="s">
        <v>281</v>
      </c>
      <c r="D52" s="107" t="s">
        <v>251</v>
      </c>
      <c r="E52" s="120">
        <v>973853620.35696399</v>
      </c>
      <c r="F52" s="120" t="s">
        <v>251</v>
      </c>
      <c r="G52" s="120">
        <v>867587334.52102387</v>
      </c>
      <c r="H52" s="120" t="s">
        <v>251</v>
      </c>
      <c r="I52" s="120">
        <v>40754588.858291954</v>
      </c>
      <c r="J52" s="120">
        <v>65511696.977648161</v>
      </c>
      <c r="K52" s="120" t="s">
        <v>251</v>
      </c>
      <c r="L52" s="120" t="s">
        <v>251</v>
      </c>
      <c r="M52" s="120">
        <v>25253.671629706896</v>
      </c>
      <c r="N52" s="120" t="s">
        <v>251</v>
      </c>
      <c r="O52" s="120">
        <v>65486443.306018457</v>
      </c>
      <c r="P52" s="120">
        <v>20873969.030651819</v>
      </c>
      <c r="Q52" s="120">
        <v>44612474.275366634</v>
      </c>
      <c r="R52" s="120"/>
      <c r="S52" s="121"/>
    </row>
    <row r="53" spans="1:19" ht="15">
      <c r="A53" s="105">
        <v>26</v>
      </c>
      <c r="B53" s="105"/>
      <c r="C53" s="107" t="s">
        <v>282</v>
      </c>
      <c r="D53" s="107" t="s">
        <v>251</v>
      </c>
      <c r="E53" s="120">
        <v>275741746.78501463</v>
      </c>
      <c r="F53" s="120" t="s">
        <v>251</v>
      </c>
      <c r="G53" s="120">
        <v>245280660.91185641</v>
      </c>
      <c r="H53" s="120" t="s">
        <v>251</v>
      </c>
      <c r="I53" s="120">
        <v>13113290.831711002</v>
      </c>
      <c r="J53" s="120">
        <v>17347795.041447245</v>
      </c>
      <c r="K53" s="120" t="s">
        <v>251</v>
      </c>
      <c r="L53" s="120" t="s">
        <v>251</v>
      </c>
      <c r="M53" s="120">
        <v>7017.1130128579298</v>
      </c>
      <c r="N53" s="120" t="s">
        <v>251</v>
      </c>
      <c r="O53" s="120">
        <v>17340777.928434387</v>
      </c>
      <c r="P53" s="120">
        <v>5417938.1146222381</v>
      </c>
      <c r="Q53" s="120">
        <v>11922839.81381215</v>
      </c>
      <c r="R53" s="120"/>
      <c r="S53" s="121"/>
    </row>
    <row r="54" spans="1:19" ht="15">
      <c r="A54" s="105">
        <v>27</v>
      </c>
      <c r="B54" s="105"/>
      <c r="C54" s="107" t="s">
        <v>2232</v>
      </c>
      <c r="D54" s="107" t="s">
        <v>251</v>
      </c>
      <c r="E54" s="120">
        <v>5423472.9843401499</v>
      </c>
      <c r="F54" s="120" t="s">
        <v>251</v>
      </c>
      <c r="G54" s="120">
        <v>3560915.8346543</v>
      </c>
      <c r="H54" s="120" t="s">
        <v>251</v>
      </c>
      <c r="I54" s="120">
        <v>661098.55000000005</v>
      </c>
      <c r="J54" s="120">
        <v>1201458.5996858501</v>
      </c>
      <c r="K54" s="120" t="s">
        <v>251</v>
      </c>
      <c r="L54" s="120" t="s">
        <v>251</v>
      </c>
      <c r="M54" s="120">
        <v>0</v>
      </c>
      <c r="N54" s="120" t="s">
        <v>251</v>
      </c>
      <c r="O54" s="120">
        <v>1201458.5996858501</v>
      </c>
      <c r="P54" s="120">
        <v>372269.54975317343</v>
      </c>
      <c r="Q54" s="120">
        <v>829189.0499326766</v>
      </c>
      <c r="R54" s="120"/>
      <c r="S54" s="121"/>
    </row>
    <row r="55" spans="1:19" ht="15">
      <c r="A55" s="105">
        <v>28</v>
      </c>
      <c r="B55" s="105"/>
      <c r="C55" s="107" t="s">
        <v>283</v>
      </c>
      <c r="D55" s="107" t="s">
        <v>251</v>
      </c>
      <c r="E55" s="120">
        <v>44773917.366147891</v>
      </c>
      <c r="F55" s="120" t="s">
        <v>251</v>
      </c>
      <c r="G55" s="120">
        <v>40502938.050876655</v>
      </c>
      <c r="H55" s="120" t="s">
        <v>251</v>
      </c>
      <c r="I55" s="120">
        <v>1914226.7147921484</v>
      </c>
      <c r="J55" s="120">
        <v>2356752.6004790901</v>
      </c>
      <c r="K55" s="120" t="s">
        <v>251</v>
      </c>
      <c r="L55" s="120" t="s">
        <v>251</v>
      </c>
      <c r="M55" s="120">
        <v>3296.9672541566388</v>
      </c>
      <c r="N55" s="120" t="s">
        <v>251</v>
      </c>
      <c r="O55" s="120">
        <v>2353455.6332249334</v>
      </c>
      <c r="P55" s="120">
        <v>739418.30495883978</v>
      </c>
      <c r="Q55" s="120">
        <v>1614037.3282660935</v>
      </c>
      <c r="R55" s="120"/>
      <c r="S55" s="121"/>
    </row>
    <row r="56" spans="1:19" ht="15">
      <c r="A56" s="105">
        <v>29</v>
      </c>
      <c r="B56" s="105"/>
      <c r="C56" s="107" t="s">
        <v>284</v>
      </c>
      <c r="D56" s="107" t="s">
        <v>251</v>
      </c>
      <c r="E56" s="120">
        <v>73602295.049999982</v>
      </c>
      <c r="F56" s="120" t="s">
        <v>251</v>
      </c>
      <c r="G56" s="120">
        <v>66164938.651603304</v>
      </c>
      <c r="H56" s="120" t="s">
        <v>251</v>
      </c>
      <c r="I56" s="120">
        <v>2711311.5030582459</v>
      </c>
      <c r="J56" s="120">
        <v>4761729.2684602132</v>
      </c>
      <c r="K56" s="120" t="s">
        <v>251</v>
      </c>
      <c r="L56" s="120" t="s">
        <v>251</v>
      </c>
      <c r="M56" s="120">
        <v>-10711.113426334996</v>
      </c>
      <c r="N56" s="120" t="s">
        <v>251</v>
      </c>
      <c r="O56" s="120">
        <v>4772440.3818865456</v>
      </c>
      <c r="P56" s="120">
        <v>1317327.2200154136</v>
      </c>
      <c r="Q56" s="120">
        <v>3455113.1618711329</v>
      </c>
      <c r="R56" s="120"/>
      <c r="S56" s="121"/>
    </row>
    <row r="57" spans="1:19" ht="15">
      <c r="A57" s="105">
        <v>30</v>
      </c>
      <c r="B57" s="105"/>
      <c r="C57" s="107" t="s">
        <v>285</v>
      </c>
      <c r="D57" s="107" t="s">
        <v>251</v>
      </c>
      <c r="E57" s="120">
        <v>-27812.7</v>
      </c>
      <c r="F57" s="120" t="s">
        <v>251</v>
      </c>
      <c r="G57" s="120">
        <v>-24384.376016277321</v>
      </c>
      <c r="H57" s="120" t="s">
        <v>251</v>
      </c>
      <c r="I57" s="120">
        <v>-1116.5905866758974</v>
      </c>
      <c r="J57" s="120">
        <v>-2311.7333970467803</v>
      </c>
      <c r="K57" s="120"/>
      <c r="L57" s="120"/>
      <c r="M57" s="120">
        <v>-7.827045007471696E-2</v>
      </c>
      <c r="N57" s="120" t="s">
        <v>251</v>
      </c>
      <c r="O57" s="120">
        <v>-2311.6551265967055</v>
      </c>
      <c r="P57" s="120">
        <v>-713.10641654073129</v>
      </c>
      <c r="Q57" s="120">
        <v>-1598.5487100559744</v>
      </c>
      <c r="R57" s="120"/>
      <c r="S57" s="121"/>
    </row>
    <row r="58" spans="1:19" ht="15">
      <c r="A58" s="105">
        <v>31</v>
      </c>
      <c r="B58" s="105"/>
      <c r="C58" s="107" t="s">
        <v>286</v>
      </c>
      <c r="D58" s="107" t="s">
        <v>251</v>
      </c>
      <c r="E58" s="120">
        <v>-1626.6950039999956</v>
      </c>
      <c r="F58" s="120" t="s">
        <v>251</v>
      </c>
      <c r="G58" s="120">
        <v>0</v>
      </c>
      <c r="H58" s="120" t="s">
        <v>251</v>
      </c>
      <c r="I58" s="120">
        <v>-79.532747346835947</v>
      </c>
      <c r="J58" s="120">
        <v>0</v>
      </c>
      <c r="K58" s="120"/>
      <c r="L58" s="120"/>
      <c r="M58" s="120">
        <v>0</v>
      </c>
      <c r="N58" s="120" t="s">
        <v>251</v>
      </c>
      <c r="O58" s="120">
        <v>0</v>
      </c>
      <c r="P58" s="120">
        <v>0</v>
      </c>
      <c r="Q58" s="120">
        <v>0</v>
      </c>
      <c r="R58" s="120"/>
      <c r="S58" s="121"/>
    </row>
    <row r="59" spans="1:19" ht="15">
      <c r="A59" s="105">
        <v>32</v>
      </c>
      <c r="B59" s="105"/>
      <c r="C59" s="107" t="s">
        <v>287</v>
      </c>
      <c r="D59" s="107" t="s">
        <v>251</v>
      </c>
      <c r="E59" s="120">
        <v>1074652.0602440001</v>
      </c>
      <c r="F59" s="120" t="s">
        <v>251</v>
      </c>
      <c r="G59" s="120">
        <v>0</v>
      </c>
      <c r="H59" s="120" t="s">
        <v>251</v>
      </c>
      <c r="I59" s="120">
        <v>24754.318448272006</v>
      </c>
      <c r="J59" s="120">
        <v>0</v>
      </c>
      <c r="K59" s="120"/>
      <c r="L59" s="120"/>
      <c r="M59" s="120">
        <v>0</v>
      </c>
      <c r="N59" s="120" t="s">
        <v>251</v>
      </c>
      <c r="O59" s="120">
        <v>0</v>
      </c>
      <c r="P59" s="120">
        <v>0</v>
      </c>
      <c r="Q59" s="120">
        <v>0</v>
      </c>
      <c r="R59" s="120"/>
      <c r="S59" s="121"/>
    </row>
    <row r="60" spans="1:19" ht="15">
      <c r="A60" s="105">
        <v>33</v>
      </c>
      <c r="B60" s="105"/>
      <c r="C60" s="107" t="s">
        <v>288</v>
      </c>
      <c r="D60" s="107" t="s">
        <v>251</v>
      </c>
      <c r="E60" s="120">
        <v>417808.04084700003</v>
      </c>
      <c r="F60" s="120" t="s">
        <v>251</v>
      </c>
      <c r="G60" s="120">
        <v>0</v>
      </c>
      <c r="H60" s="120" t="s">
        <v>251</v>
      </c>
      <c r="I60" s="120">
        <v>27971.937610000001</v>
      </c>
      <c r="J60" s="120">
        <v>0</v>
      </c>
      <c r="K60" s="120"/>
      <c r="L60" s="120"/>
      <c r="M60" s="120">
        <v>0</v>
      </c>
      <c r="N60" s="120" t="s">
        <v>251</v>
      </c>
      <c r="O60" s="120">
        <v>0</v>
      </c>
      <c r="P60" s="120">
        <v>0</v>
      </c>
      <c r="Q60" s="120">
        <v>0</v>
      </c>
      <c r="R60" s="120"/>
      <c r="S60" s="121"/>
    </row>
    <row r="61" spans="1:19" ht="15">
      <c r="A61" s="105">
        <v>34</v>
      </c>
      <c r="B61" s="105"/>
      <c r="C61" s="107" t="s">
        <v>289</v>
      </c>
      <c r="D61" s="107" t="s">
        <v>251</v>
      </c>
      <c r="E61" s="120">
        <v>0</v>
      </c>
      <c r="F61" s="120" t="s">
        <v>251</v>
      </c>
      <c r="G61" s="120">
        <v>0</v>
      </c>
      <c r="H61" s="120" t="s">
        <v>251</v>
      </c>
      <c r="I61" s="120">
        <v>0</v>
      </c>
      <c r="J61" s="120">
        <v>0</v>
      </c>
      <c r="K61" s="120"/>
      <c r="L61" s="120"/>
      <c r="M61" s="120">
        <v>0</v>
      </c>
      <c r="N61" s="120" t="s">
        <v>251</v>
      </c>
      <c r="O61" s="120">
        <v>0</v>
      </c>
      <c r="P61" s="120">
        <v>0</v>
      </c>
      <c r="Q61" s="120">
        <v>0</v>
      </c>
      <c r="R61" s="120"/>
      <c r="S61" s="121"/>
    </row>
    <row r="62" spans="1:19" ht="15">
      <c r="A62" s="105">
        <v>35</v>
      </c>
      <c r="B62" s="105"/>
      <c r="C62" s="107" t="s">
        <v>290</v>
      </c>
      <c r="D62" s="107" t="s">
        <v>251</v>
      </c>
      <c r="E62" s="120">
        <v>1374858073.248554</v>
      </c>
      <c r="F62" s="120" t="s">
        <v>251</v>
      </c>
      <c r="G62" s="120">
        <v>1223072403.5939982</v>
      </c>
      <c r="H62" s="120" t="s">
        <v>251</v>
      </c>
      <c r="I62" s="120">
        <v>59206046.590577602</v>
      </c>
      <c r="J62" s="120">
        <v>91177120.754323497</v>
      </c>
      <c r="K62" s="120" t="s">
        <v>251</v>
      </c>
      <c r="L62" s="120" t="s">
        <v>251</v>
      </c>
      <c r="M62" s="120">
        <v>24856.560199936393</v>
      </c>
      <c r="N62" s="120" t="s">
        <v>251</v>
      </c>
      <c r="O62" s="120">
        <v>91152264.194123566</v>
      </c>
      <c r="P62" s="120">
        <v>28720209.113584943</v>
      </c>
      <c r="Q62" s="120">
        <v>62432055.08053863</v>
      </c>
      <c r="R62" s="120"/>
      <c r="S62" s="121"/>
    </row>
    <row r="63" spans="1:19" ht="15">
      <c r="A63" s="105" t="s">
        <v>251</v>
      </c>
      <c r="B63" s="105"/>
      <c r="C63" s="107" t="s">
        <v>251</v>
      </c>
      <c r="D63" s="107" t="s">
        <v>251</v>
      </c>
      <c r="E63" s="120" t="s">
        <v>251</v>
      </c>
      <c r="F63" s="120" t="s">
        <v>251</v>
      </c>
      <c r="G63" s="120" t="s">
        <v>251</v>
      </c>
      <c r="H63" s="120" t="s">
        <v>251</v>
      </c>
      <c r="I63" s="120" t="s">
        <v>251</v>
      </c>
      <c r="J63" s="120" t="s">
        <v>251</v>
      </c>
      <c r="K63" s="120" t="s">
        <v>251</v>
      </c>
      <c r="L63" s="120" t="s">
        <v>251</v>
      </c>
      <c r="M63" s="120" t="s">
        <v>251</v>
      </c>
      <c r="N63" s="120" t="s">
        <v>251</v>
      </c>
      <c r="O63" s="120" t="s">
        <v>251</v>
      </c>
      <c r="P63" s="120" t="s">
        <v>251</v>
      </c>
      <c r="Q63" s="120" t="s">
        <v>251</v>
      </c>
      <c r="R63" s="120"/>
      <c r="S63" s="121"/>
    </row>
    <row r="64" spans="1:19" ht="15">
      <c r="A64" s="105">
        <v>36</v>
      </c>
      <c r="B64" s="105"/>
      <c r="C64" s="107" t="s">
        <v>291</v>
      </c>
      <c r="D64" s="107" t="s">
        <v>251</v>
      </c>
      <c r="E64" s="120">
        <v>369450730.15584493</v>
      </c>
      <c r="F64" s="120" t="s">
        <v>251</v>
      </c>
      <c r="G64" s="120">
        <v>333635277.80325937</v>
      </c>
      <c r="H64" s="120" t="s">
        <v>251</v>
      </c>
      <c r="I64" s="120">
        <v>14502522.715356857</v>
      </c>
      <c r="J64" s="120">
        <v>22715431.946883298</v>
      </c>
      <c r="K64" s="120" t="s">
        <v>251</v>
      </c>
      <c r="L64" s="120" t="s">
        <v>251</v>
      </c>
      <c r="M64" s="120">
        <v>-20939.151550428895</v>
      </c>
      <c r="N64" s="120" t="s">
        <v>251</v>
      </c>
      <c r="O64" s="120">
        <v>22736371.098433726</v>
      </c>
      <c r="P64" s="120">
        <v>6586737.9406377599</v>
      </c>
      <c r="Q64" s="120">
        <v>16149633.157795966</v>
      </c>
      <c r="R64" s="122"/>
      <c r="S64" s="121"/>
    </row>
    <row r="65" spans="1:19" ht="15">
      <c r="A65" s="105">
        <v>37</v>
      </c>
      <c r="B65" s="105"/>
      <c r="C65" s="107" t="s">
        <v>292</v>
      </c>
      <c r="D65" s="107" t="s">
        <v>251</v>
      </c>
      <c r="E65" s="122">
        <v>6.8745140392313622E-2</v>
      </c>
      <c r="F65" s="120" t="s">
        <v>251</v>
      </c>
      <c r="G65" s="122">
        <v>6.8709330988303008E-2</v>
      </c>
      <c r="H65" s="122" t="s">
        <v>251</v>
      </c>
      <c r="I65" s="122">
        <v>5.8655776697100835E-2</v>
      </c>
      <c r="J65" s="122">
        <v>6.7701118286972506E-2</v>
      </c>
      <c r="K65" s="122" t="s">
        <v>251</v>
      </c>
      <c r="L65" s="122" t="s">
        <v>251</v>
      </c>
      <c r="M65" s="122">
        <v>-4.8052293821372744E-2</v>
      </c>
      <c r="N65" s="122" t="s">
        <v>251</v>
      </c>
      <c r="O65" s="122">
        <v>6.785164653253499E-2</v>
      </c>
      <c r="P65" s="122">
        <v>6.2836632992230329E-2</v>
      </c>
      <c r="Q65" s="122">
        <v>7.0134611911185502E-2</v>
      </c>
      <c r="R65" s="120"/>
      <c r="S65" s="121"/>
    </row>
    <row r="66" spans="1:19" ht="15">
      <c r="A66" s="105" t="s">
        <v>251</v>
      </c>
      <c r="B66" s="105"/>
      <c r="C66" s="107" t="s">
        <v>251</v>
      </c>
      <c r="D66" s="107" t="s">
        <v>251</v>
      </c>
      <c r="E66" s="120" t="s">
        <v>251</v>
      </c>
      <c r="F66" s="120" t="s">
        <v>251</v>
      </c>
      <c r="G66" s="120"/>
      <c r="H66" s="120"/>
      <c r="I66" s="120"/>
      <c r="J66" s="120"/>
      <c r="K66" s="120"/>
      <c r="L66" s="120"/>
      <c r="M66" s="120"/>
      <c r="N66" s="120"/>
      <c r="O66" s="120"/>
      <c r="P66" s="120"/>
      <c r="Q66" s="120"/>
      <c r="R66" s="120"/>
      <c r="S66" s="121"/>
    </row>
    <row r="67" spans="1:19" ht="15">
      <c r="A67" s="105" t="s">
        <v>251</v>
      </c>
      <c r="B67" s="105"/>
      <c r="C67" s="107" t="s">
        <v>251</v>
      </c>
      <c r="D67" s="107" t="s">
        <v>251</v>
      </c>
      <c r="E67" s="120" t="s">
        <v>251</v>
      </c>
      <c r="F67" s="120" t="s">
        <v>251</v>
      </c>
      <c r="G67" s="120" t="s">
        <v>251</v>
      </c>
      <c r="H67" s="120" t="s">
        <v>251</v>
      </c>
      <c r="I67" s="120" t="s">
        <v>251</v>
      </c>
      <c r="J67" s="120" t="s">
        <v>251</v>
      </c>
      <c r="K67" s="120" t="s">
        <v>251</v>
      </c>
      <c r="L67" s="120" t="s">
        <v>251</v>
      </c>
      <c r="M67" s="120" t="s">
        <v>251</v>
      </c>
      <c r="N67" s="120" t="s">
        <v>251</v>
      </c>
      <c r="O67" s="120" t="s">
        <v>251</v>
      </c>
      <c r="P67" s="120" t="s">
        <v>251</v>
      </c>
      <c r="Q67" s="120" t="s">
        <v>251</v>
      </c>
      <c r="R67" s="120"/>
      <c r="S67" s="121"/>
    </row>
    <row r="68" spans="1:19" ht="15">
      <c r="A68" s="105" t="s">
        <v>251</v>
      </c>
      <c r="B68" s="105"/>
      <c r="C68" s="107" t="s">
        <v>251</v>
      </c>
      <c r="D68" s="107" t="s">
        <v>251</v>
      </c>
      <c r="E68" s="120" t="s">
        <v>251</v>
      </c>
      <c r="F68" s="120" t="s">
        <v>251</v>
      </c>
      <c r="G68" s="120" t="s">
        <v>251</v>
      </c>
      <c r="H68" s="120" t="s">
        <v>251</v>
      </c>
      <c r="I68" s="120" t="s">
        <v>251</v>
      </c>
      <c r="J68" s="120" t="s">
        <v>251</v>
      </c>
      <c r="K68" s="120" t="s">
        <v>251</v>
      </c>
      <c r="L68" s="120" t="s">
        <v>251</v>
      </c>
      <c r="M68" s="120" t="s">
        <v>251</v>
      </c>
      <c r="N68" s="120" t="s">
        <v>251</v>
      </c>
      <c r="O68" s="120" t="s">
        <v>251</v>
      </c>
      <c r="P68" s="120" t="s">
        <v>251</v>
      </c>
      <c r="Q68" s="120" t="s">
        <v>251</v>
      </c>
      <c r="R68" s="120"/>
      <c r="S68" s="121"/>
    </row>
    <row r="69" spans="1:19" ht="15">
      <c r="A69" s="105" t="s">
        <v>251</v>
      </c>
      <c r="B69" s="105"/>
      <c r="C69" s="107" t="s">
        <v>293</v>
      </c>
      <c r="D69" s="107" t="s">
        <v>251</v>
      </c>
      <c r="E69" s="120" t="s">
        <v>251</v>
      </c>
      <c r="F69" s="120" t="s">
        <v>251</v>
      </c>
      <c r="G69" s="120" t="s">
        <v>251</v>
      </c>
      <c r="H69" s="120" t="s">
        <v>251</v>
      </c>
      <c r="I69" s="120" t="s">
        <v>251</v>
      </c>
      <c r="J69" s="120" t="s">
        <v>251</v>
      </c>
      <c r="K69" s="120" t="s">
        <v>251</v>
      </c>
      <c r="L69" s="120" t="s">
        <v>251</v>
      </c>
      <c r="M69" s="120" t="s">
        <v>251</v>
      </c>
      <c r="N69" s="120" t="s">
        <v>251</v>
      </c>
      <c r="O69" s="120" t="s">
        <v>251</v>
      </c>
      <c r="P69" s="120" t="s">
        <v>251</v>
      </c>
      <c r="Q69" s="120" t="s">
        <v>251</v>
      </c>
      <c r="R69" s="120"/>
      <c r="S69" s="121"/>
    </row>
    <row r="70" spans="1:19" ht="15">
      <c r="A70" s="105" t="s">
        <v>251</v>
      </c>
      <c r="B70" s="105"/>
      <c r="C70" s="107" t="s">
        <v>251</v>
      </c>
      <c r="D70" s="107" t="s">
        <v>251</v>
      </c>
      <c r="E70" s="120" t="s">
        <v>251</v>
      </c>
      <c r="F70" s="120" t="s">
        <v>251</v>
      </c>
      <c r="G70" s="120" t="s">
        <v>251</v>
      </c>
      <c r="H70" s="120" t="s">
        <v>251</v>
      </c>
      <c r="I70" s="120" t="s">
        <v>251</v>
      </c>
      <c r="J70" s="120" t="s">
        <v>251</v>
      </c>
      <c r="K70" s="120" t="s">
        <v>251</v>
      </c>
      <c r="L70" s="120" t="s">
        <v>251</v>
      </c>
      <c r="M70" s="120" t="s">
        <v>251</v>
      </c>
      <c r="N70" s="120" t="s">
        <v>251</v>
      </c>
      <c r="O70" s="120" t="s">
        <v>251</v>
      </c>
      <c r="P70" s="120" t="s">
        <v>251</v>
      </c>
      <c r="Q70" s="120" t="s">
        <v>251</v>
      </c>
      <c r="R70" s="120"/>
      <c r="S70" s="121"/>
    </row>
    <row r="71" spans="1:19" ht="15">
      <c r="A71" s="105" t="s">
        <v>251</v>
      </c>
      <c r="B71" s="129"/>
      <c r="C71" s="107" t="s">
        <v>294</v>
      </c>
      <c r="D71" s="107" t="s">
        <v>251</v>
      </c>
      <c r="E71" s="120" t="s">
        <v>251</v>
      </c>
      <c r="F71" s="120" t="s">
        <v>251</v>
      </c>
      <c r="G71" s="120" t="s">
        <v>251</v>
      </c>
      <c r="H71" s="120" t="s">
        <v>251</v>
      </c>
      <c r="I71" s="120" t="s">
        <v>251</v>
      </c>
      <c r="J71" s="120" t="s">
        <v>251</v>
      </c>
      <c r="K71" s="120" t="s">
        <v>251</v>
      </c>
      <c r="L71" s="120" t="s">
        <v>251</v>
      </c>
      <c r="M71" s="120" t="s">
        <v>251</v>
      </c>
      <c r="N71" s="120" t="s">
        <v>251</v>
      </c>
      <c r="O71" s="120" t="s">
        <v>251</v>
      </c>
      <c r="P71" s="120" t="s">
        <v>251</v>
      </c>
      <c r="Q71" s="120" t="s">
        <v>251</v>
      </c>
      <c r="R71" s="120"/>
      <c r="S71" s="121"/>
    </row>
    <row r="72" spans="1:19" ht="15">
      <c r="A72" s="105">
        <v>1</v>
      </c>
      <c r="B72" s="129" t="str">
        <f t="shared" ref="B72:B111" si="1">MID(C72,2,3)</f>
        <v>301</v>
      </c>
      <c r="C72" s="107" t="s">
        <v>295</v>
      </c>
      <c r="D72" s="107" t="s">
        <v>296</v>
      </c>
      <c r="E72" s="120">
        <v>44455.579999999994</v>
      </c>
      <c r="F72" s="120" t="s">
        <v>251</v>
      </c>
      <c r="G72" s="120">
        <v>39573.719428460558</v>
      </c>
      <c r="H72" s="120" t="s">
        <v>251</v>
      </c>
      <c r="I72" s="120">
        <v>2173.544903745159</v>
      </c>
      <c r="J72" s="120">
        <v>2708.3156677942757</v>
      </c>
      <c r="K72" s="120" t="s">
        <v>251</v>
      </c>
      <c r="L72" s="120" t="s">
        <v>251</v>
      </c>
      <c r="M72" s="120">
        <v>3.1465488106372512</v>
      </c>
      <c r="N72" s="120" t="s">
        <v>251</v>
      </c>
      <c r="O72" s="120">
        <v>2705.1691189836383</v>
      </c>
      <c r="P72" s="120">
        <v>846.30781816372314</v>
      </c>
      <c r="Q72" s="120">
        <v>1858.8613008199152</v>
      </c>
      <c r="R72" s="120"/>
      <c r="S72" s="121"/>
    </row>
    <row r="73" spans="1:19" ht="15">
      <c r="A73" s="105">
        <v>2</v>
      </c>
      <c r="B73" s="129" t="str">
        <f t="shared" si="1"/>
        <v>302</v>
      </c>
      <c r="C73" s="107" t="s">
        <v>297</v>
      </c>
      <c r="D73" s="107" t="s">
        <v>298</v>
      </c>
      <c r="E73" s="120">
        <v>55918.83</v>
      </c>
      <c r="F73" s="120" t="s">
        <v>251</v>
      </c>
      <c r="G73" s="120">
        <v>55918.83</v>
      </c>
      <c r="H73" s="120" t="s">
        <v>251</v>
      </c>
      <c r="I73" s="120">
        <v>0</v>
      </c>
      <c r="J73" s="120">
        <v>0</v>
      </c>
      <c r="K73" s="120" t="s">
        <v>251</v>
      </c>
      <c r="L73" s="120" t="s">
        <v>251</v>
      </c>
      <c r="M73" s="120">
        <v>0</v>
      </c>
      <c r="N73" s="120" t="s">
        <v>251</v>
      </c>
      <c r="O73" s="120">
        <v>0</v>
      </c>
      <c r="P73" s="120">
        <v>0</v>
      </c>
      <c r="Q73" s="120">
        <v>0</v>
      </c>
      <c r="R73" s="120"/>
      <c r="S73" s="121"/>
    </row>
    <row r="74" spans="1:19" ht="15">
      <c r="A74" s="105">
        <v>3</v>
      </c>
      <c r="B74" s="129" t="str">
        <f t="shared" si="1"/>
        <v>303</v>
      </c>
      <c r="C74" s="107" t="s">
        <v>299</v>
      </c>
      <c r="D74" s="107" t="s">
        <v>296</v>
      </c>
      <c r="E74" s="120">
        <v>131496652.16420428</v>
      </c>
      <c r="F74" s="120" t="s">
        <v>251</v>
      </c>
      <c r="G74" s="120">
        <v>117056432.92761205</v>
      </c>
      <c r="H74" s="120" t="s">
        <v>251</v>
      </c>
      <c r="I74" s="120">
        <v>6429201.4224323714</v>
      </c>
      <c r="J74" s="120">
        <v>8011017.8141598543</v>
      </c>
      <c r="K74" s="120" t="s">
        <v>251</v>
      </c>
      <c r="L74" s="120" t="s">
        <v>251</v>
      </c>
      <c r="M74" s="120">
        <v>9307.282335987009</v>
      </c>
      <c r="N74" s="120" t="s">
        <v>251</v>
      </c>
      <c r="O74" s="120">
        <v>8001710.531823867</v>
      </c>
      <c r="P74" s="120">
        <v>2503322.3003483871</v>
      </c>
      <c r="Q74" s="120">
        <v>5498388.2314754799</v>
      </c>
      <c r="R74" s="120"/>
      <c r="S74" s="121"/>
    </row>
    <row r="75" spans="1:19" ht="15">
      <c r="A75" s="105">
        <v>4</v>
      </c>
      <c r="B75" s="129"/>
      <c r="C75" s="107" t="s">
        <v>300</v>
      </c>
      <c r="D75" s="107" t="s">
        <v>251</v>
      </c>
      <c r="E75" s="120">
        <v>131597026.57420428</v>
      </c>
      <c r="F75" s="120" t="s">
        <v>251</v>
      </c>
      <c r="G75" s="120">
        <v>117151925.47704051</v>
      </c>
      <c r="H75" s="120" t="s">
        <v>251</v>
      </c>
      <c r="I75" s="120">
        <v>6431374.9673361164</v>
      </c>
      <c r="J75" s="120">
        <v>8013726.1298276475</v>
      </c>
      <c r="K75" s="120" t="s">
        <v>251</v>
      </c>
      <c r="L75" s="120" t="s">
        <v>251</v>
      </c>
      <c r="M75" s="120">
        <v>9310.4288847976459</v>
      </c>
      <c r="N75" s="120" t="s">
        <v>251</v>
      </c>
      <c r="O75" s="120">
        <v>8004415.7009428497</v>
      </c>
      <c r="P75" s="120">
        <v>2504168.6081665508</v>
      </c>
      <c r="Q75" s="120">
        <v>5500247.0927762995</v>
      </c>
      <c r="R75" s="120"/>
      <c r="S75" s="121"/>
    </row>
    <row r="76" spans="1:19" ht="15">
      <c r="A76" s="105" t="s">
        <v>251</v>
      </c>
      <c r="B76" s="129" t="str">
        <f t="shared" si="1"/>
        <v/>
      </c>
      <c r="C76" s="107" t="s">
        <v>251</v>
      </c>
      <c r="D76" s="107" t="s">
        <v>251</v>
      </c>
      <c r="E76" s="120" t="s">
        <v>251</v>
      </c>
      <c r="F76" s="120" t="s">
        <v>251</v>
      </c>
      <c r="G76" s="120" t="s">
        <v>251</v>
      </c>
      <c r="H76" s="120" t="s">
        <v>251</v>
      </c>
      <c r="I76" s="120" t="s">
        <v>251</v>
      </c>
      <c r="J76" s="120" t="s">
        <v>251</v>
      </c>
      <c r="K76" s="120" t="s">
        <v>251</v>
      </c>
      <c r="L76" s="120" t="s">
        <v>251</v>
      </c>
      <c r="M76" s="120" t="s">
        <v>251</v>
      </c>
      <c r="N76" s="120" t="s">
        <v>251</v>
      </c>
      <c r="O76" s="120" t="s">
        <v>251</v>
      </c>
      <c r="P76" s="120" t="s">
        <v>251</v>
      </c>
      <c r="Q76" s="120" t="s">
        <v>251</v>
      </c>
      <c r="R76" s="120"/>
      <c r="S76" s="121"/>
    </row>
    <row r="77" spans="1:19" ht="15">
      <c r="A77" s="105" t="s">
        <v>251</v>
      </c>
      <c r="B77" s="129"/>
      <c r="C77" s="107" t="s">
        <v>301</v>
      </c>
      <c r="D77" s="107" t="s">
        <v>251</v>
      </c>
      <c r="E77" s="120" t="s">
        <v>251</v>
      </c>
      <c r="F77" s="120" t="s">
        <v>251</v>
      </c>
      <c r="G77" s="120" t="s">
        <v>251</v>
      </c>
      <c r="H77" s="120" t="s">
        <v>251</v>
      </c>
      <c r="I77" s="120" t="s">
        <v>251</v>
      </c>
      <c r="J77" s="120" t="s">
        <v>251</v>
      </c>
      <c r="K77" s="120" t="s">
        <v>251</v>
      </c>
      <c r="L77" s="120" t="s">
        <v>251</v>
      </c>
      <c r="M77" s="120" t="s">
        <v>251</v>
      </c>
      <c r="N77" s="120" t="s">
        <v>251</v>
      </c>
      <c r="O77" s="120" t="s">
        <v>251</v>
      </c>
      <c r="P77" s="120" t="s">
        <v>251</v>
      </c>
      <c r="Q77" s="120" t="s">
        <v>251</v>
      </c>
      <c r="R77" s="120"/>
      <c r="S77" s="121"/>
    </row>
    <row r="78" spans="1:19" ht="15">
      <c r="A78" s="105" t="s">
        <v>251</v>
      </c>
      <c r="B78" s="129"/>
      <c r="C78" s="107" t="s">
        <v>302</v>
      </c>
      <c r="D78" s="107" t="s">
        <v>251</v>
      </c>
      <c r="E78" s="120" t="s">
        <v>251</v>
      </c>
      <c r="F78" s="120" t="s">
        <v>251</v>
      </c>
      <c r="G78" s="120" t="s">
        <v>251</v>
      </c>
      <c r="H78" s="120" t="s">
        <v>251</v>
      </c>
      <c r="I78" s="120" t="s">
        <v>251</v>
      </c>
      <c r="J78" s="120" t="s">
        <v>251</v>
      </c>
      <c r="K78" s="120" t="s">
        <v>251</v>
      </c>
      <c r="L78" s="120" t="s">
        <v>251</v>
      </c>
      <c r="M78" s="120" t="s">
        <v>251</v>
      </c>
      <c r="N78" s="120" t="s">
        <v>251</v>
      </c>
      <c r="O78" s="120" t="s">
        <v>251</v>
      </c>
      <c r="P78" s="120" t="s">
        <v>251</v>
      </c>
      <c r="Q78" s="120" t="s">
        <v>251</v>
      </c>
      <c r="R78" s="120"/>
      <c r="S78" s="121"/>
    </row>
    <row r="79" spans="1:19" ht="15">
      <c r="A79" s="105">
        <v>5</v>
      </c>
      <c r="B79" s="129" t="str">
        <f t="shared" si="1"/>
        <v>310</v>
      </c>
      <c r="C79" s="107" t="s">
        <v>303</v>
      </c>
      <c r="D79" s="107" t="s">
        <v>304</v>
      </c>
      <c r="E79" s="120">
        <v>24446473.830399901</v>
      </c>
      <c r="F79" s="120" t="s">
        <v>251</v>
      </c>
      <c r="G79" s="120">
        <v>21433086.68890667</v>
      </c>
      <c r="H79" s="120" t="s">
        <v>251</v>
      </c>
      <c r="I79" s="120">
        <v>981447.41634013224</v>
      </c>
      <c r="J79" s="120">
        <v>2031939.7251530986</v>
      </c>
      <c r="K79" s="120" t="s">
        <v>251</v>
      </c>
      <c r="L79" s="120" t="s">
        <v>251</v>
      </c>
      <c r="M79" s="120">
        <v>68.797222471935129</v>
      </c>
      <c r="N79" s="120" t="s">
        <v>251</v>
      </c>
      <c r="O79" s="120">
        <v>2031870.9279306266</v>
      </c>
      <c r="P79" s="120">
        <v>626797.73449730664</v>
      </c>
      <c r="Q79" s="120">
        <v>1405073.1934333199</v>
      </c>
      <c r="R79" s="120"/>
      <c r="S79" s="121"/>
    </row>
    <row r="80" spans="1:19" ht="15">
      <c r="A80" s="105">
        <v>6</v>
      </c>
      <c r="B80" s="129" t="str">
        <f t="shared" si="1"/>
        <v>311</v>
      </c>
      <c r="C80" s="107" t="s">
        <v>305</v>
      </c>
      <c r="D80" s="107" t="s">
        <v>304</v>
      </c>
      <c r="E80" s="120">
        <v>353833355.11011475</v>
      </c>
      <c r="F80" s="120" t="s">
        <v>251</v>
      </c>
      <c r="G80" s="120">
        <v>310218194.49769419</v>
      </c>
      <c r="H80" s="120" t="s">
        <v>251</v>
      </c>
      <c r="I80" s="120">
        <v>14205272.899355479</v>
      </c>
      <c r="J80" s="120">
        <v>29409887.713065088</v>
      </c>
      <c r="K80" s="120" t="s">
        <v>251</v>
      </c>
      <c r="L80" s="120" t="s">
        <v>251</v>
      </c>
      <c r="M80" s="120">
        <v>995.75718847561848</v>
      </c>
      <c r="N80" s="120" t="s">
        <v>251</v>
      </c>
      <c r="O80" s="120">
        <v>29408891.955876611</v>
      </c>
      <c r="P80" s="120">
        <v>9072144.5927636661</v>
      </c>
      <c r="Q80" s="120">
        <v>20336747.363112945</v>
      </c>
      <c r="R80" s="120"/>
      <c r="S80" s="121"/>
    </row>
    <row r="81" spans="1:19" ht="15">
      <c r="A81" s="105">
        <v>7</v>
      </c>
      <c r="B81" s="129" t="str">
        <f t="shared" si="1"/>
        <v>312</v>
      </c>
      <c r="C81" s="107" t="s">
        <v>306</v>
      </c>
      <c r="D81" s="107" t="s">
        <v>304</v>
      </c>
      <c r="E81" s="120">
        <v>4068642710.1523247</v>
      </c>
      <c r="F81" s="120" t="s">
        <v>251</v>
      </c>
      <c r="G81" s="120">
        <v>3567122707.2610683</v>
      </c>
      <c r="H81" s="120" t="s">
        <v>251</v>
      </c>
      <c r="I81" s="120">
        <v>163342938.68281746</v>
      </c>
      <c r="J81" s="120">
        <v>338177064.20843899</v>
      </c>
      <c r="K81" s="120" t="s">
        <v>251</v>
      </c>
      <c r="L81" s="120" t="s">
        <v>251</v>
      </c>
      <c r="M81" s="120">
        <v>11449.966961741889</v>
      </c>
      <c r="N81" s="120" t="s">
        <v>251</v>
      </c>
      <c r="O81" s="120">
        <v>338165614.24147725</v>
      </c>
      <c r="P81" s="120">
        <v>104318358.995038</v>
      </c>
      <c r="Q81" s="120">
        <v>233847255.24643928</v>
      </c>
      <c r="R81" s="120"/>
      <c r="S81" s="121"/>
    </row>
    <row r="82" spans="1:19" ht="15">
      <c r="A82" s="105">
        <v>8</v>
      </c>
      <c r="B82" s="129" t="str">
        <f t="shared" si="1"/>
        <v>314</v>
      </c>
      <c r="C82" s="107" t="s">
        <v>307</v>
      </c>
      <c r="D82" s="107" t="s">
        <v>304</v>
      </c>
      <c r="E82" s="120">
        <v>350056095.7484712</v>
      </c>
      <c r="F82" s="120" t="s">
        <v>251</v>
      </c>
      <c r="G82" s="120">
        <v>306906537.85934842</v>
      </c>
      <c r="H82" s="120" t="s">
        <v>251</v>
      </c>
      <c r="I82" s="120">
        <v>14053628.066360315</v>
      </c>
      <c r="J82" s="120">
        <v>29095929.822762489</v>
      </c>
      <c r="K82" s="120" t="s">
        <v>251</v>
      </c>
      <c r="L82" s="120" t="s">
        <v>251</v>
      </c>
      <c r="M82" s="120">
        <v>985.12723200663925</v>
      </c>
      <c r="N82" s="120" t="s">
        <v>251</v>
      </c>
      <c r="O82" s="120">
        <v>29094944.695530482</v>
      </c>
      <c r="P82" s="120">
        <v>8975297.1853660885</v>
      </c>
      <c r="Q82" s="120">
        <v>20119647.510164395</v>
      </c>
      <c r="R82" s="120"/>
      <c r="S82" s="121"/>
    </row>
    <row r="83" spans="1:19" ht="15">
      <c r="A83" s="105">
        <v>9</v>
      </c>
      <c r="B83" s="129" t="str">
        <f t="shared" si="1"/>
        <v>315</v>
      </c>
      <c r="C83" s="107" t="s">
        <v>308</v>
      </c>
      <c r="D83" s="107" t="s">
        <v>304</v>
      </c>
      <c r="E83" s="120">
        <v>250627908.53813595</v>
      </c>
      <c r="F83" s="120" t="s">
        <v>251</v>
      </c>
      <c r="G83" s="120">
        <v>219734335.82381678</v>
      </c>
      <c r="H83" s="120" t="s">
        <v>251</v>
      </c>
      <c r="I83" s="120">
        <v>10061905.655759793</v>
      </c>
      <c r="J83" s="120">
        <v>20831667.058559395</v>
      </c>
      <c r="K83" s="120" t="s">
        <v>251</v>
      </c>
      <c r="L83" s="120" t="s">
        <v>251</v>
      </c>
      <c r="M83" s="120">
        <v>705.31660725369704</v>
      </c>
      <c r="N83" s="120" t="s">
        <v>251</v>
      </c>
      <c r="O83" s="120">
        <v>20830961.74195214</v>
      </c>
      <c r="P83" s="120">
        <v>6425998.5453669839</v>
      </c>
      <c r="Q83" s="120">
        <v>14404963.196585156</v>
      </c>
      <c r="R83" s="120"/>
      <c r="S83" s="121"/>
    </row>
    <row r="84" spans="1:19" ht="15">
      <c r="A84" s="105">
        <v>10</v>
      </c>
      <c r="B84" s="129" t="str">
        <f t="shared" si="1"/>
        <v>316</v>
      </c>
      <c r="C84" s="107" t="s">
        <v>309</v>
      </c>
      <c r="D84" s="107" t="s">
        <v>304</v>
      </c>
      <c r="E84" s="120">
        <v>37966836.496627003</v>
      </c>
      <c r="F84" s="120" t="s">
        <v>251</v>
      </c>
      <c r="G84" s="120">
        <v>33286865.974259026</v>
      </c>
      <c r="H84" s="120" t="s">
        <v>251</v>
      </c>
      <c r="I84" s="120">
        <v>1524246.5577954177</v>
      </c>
      <c r="J84" s="120">
        <v>3155723.9645725591</v>
      </c>
      <c r="K84" s="120" t="s">
        <v>251</v>
      </c>
      <c r="L84" s="120" t="s">
        <v>251</v>
      </c>
      <c r="M84" s="120">
        <v>106.84620265217636</v>
      </c>
      <c r="N84" s="120" t="s">
        <v>251</v>
      </c>
      <c r="O84" s="120">
        <v>3155617.1183699071</v>
      </c>
      <c r="P84" s="120">
        <v>973454.38312344847</v>
      </c>
      <c r="Q84" s="120">
        <v>2182162.7352464586</v>
      </c>
      <c r="R84" s="120"/>
      <c r="S84" s="121"/>
    </row>
    <row r="85" spans="1:19" ht="15">
      <c r="A85" s="105">
        <v>11</v>
      </c>
      <c r="B85" s="129" t="str">
        <f t="shared" si="1"/>
        <v>317</v>
      </c>
      <c r="C85" s="107" t="s">
        <v>310</v>
      </c>
      <c r="D85" s="107" t="s">
        <v>304</v>
      </c>
      <c r="E85" s="120">
        <v>197376730.74999991</v>
      </c>
      <c r="F85" s="120" t="s">
        <v>251</v>
      </c>
      <c r="G85" s="120">
        <v>173047148.22622487</v>
      </c>
      <c r="H85" s="120" t="s">
        <v>251</v>
      </c>
      <c r="I85" s="120">
        <v>7924041.8795842556</v>
      </c>
      <c r="J85" s="120">
        <v>16405540.644190786</v>
      </c>
      <c r="K85" s="120" t="s">
        <v>251</v>
      </c>
      <c r="L85" s="120" t="s">
        <v>251</v>
      </c>
      <c r="M85" s="120">
        <v>555.45723896201082</v>
      </c>
      <c r="N85" s="120" t="s">
        <v>251</v>
      </c>
      <c r="O85" s="120">
        <v>16404985.186951824</v>
      </c>
      <c r="P85" s="120">
        <v>5060659.8127350891</v>
      </c>
      <c r="Q85" s="120">
        <v>11344325.374216734</v>
      </c>
      <c r="R85" s="120"/>
      <c r="S85" s="121"/>
    </row>
    <row r="86" spans="1:19" ht="15">
      <c r="A86" s="105">
        <v>12</v>
      </c>
      <c r="B86" s="129"/>
      <c r="C86" s="107" t="s">
        <v>311</v>
      </c>
      <c r="D86" s="107" t="s">
        <v>312</v>
      </c>
      <c r="E86" s="120">
        <v>16782672.029999997</v>
      </c>
      <c r="F86" s="120" t="s">
        <v>251</v>
      </c>
      <c r="G86" s="120">
        <v>0</v>
      </c>
      <c r="H86" s="120" t="s">
        <v>251</v>
      </c>
      <c r="I86" s="120">
        <v>5466169.9234149307</v>
      </c>
      <c r="J86" s="120">
        <v>11316502.106585067</v>
      </c>
      <c r="K86" s="120" t="s">
        <v>251</v>
      </c>
      <c r="L86" s="120" t="s">
        <v>251</v>
      </c>
      <c r="M86" s="120">
        <v>0</v>
      </c>
      <c r="N86" s="120" t="s">
        <v>251</v>
      </c>
      <c r="O86" s="120">
        <v>11316502.106585067</v>
      </c>
      <c r="P86" s="120">
        <v>3490949.0486512324</v>
      </c>
      <c r="Q86" s="120">
        <v>7825553.0579338344</v>
      </c>
      <c r="R86" s="120"/>
      <c r="S86" s="121"/>
    </row>
    <row r="87" spans="1:19" ht="15">
      <c r="A87" s="105">
        <v>13</v>
      </c>
      <c r="B87" s="129"/>
      <c r="C87" s="107" t="s">
        <v>313</v>
      </c>
      <c r="D87" s="107" t="s">
        <v>314</v>
      </c>
      <c r="E87" s="120">
        <v>24580305.350000001</v>
      </c>
      <c r="F87" s="120" t="s">
        <v>251</v>
      </c>
      <c r="G87" s="120">
        <v>0</v>
      </c>
      <c r="H87" s="120" t="s">
        <v>251</v>
      </c>
      <c r="I87" s="120">
        <v>0</v>
      </c>
      <c r="J87" s="120">
        <v>24580305.350000001</v>
      </c>
      <c r="K87" s="120" t="s">
        <v>251</v>
      </c>
      <c r="L87" s="120" t="s">
        <v>251</v>
      </c>
      <c r="M87" s="120">
        <v>0</v>
      </c>
      <c r="N87" s="120" t="s">
        <v>251</v>
      </c>
      <c r="O87" s="120">
        <v>24580305.350000001</v>
      </c>
      <c r="P87" s="120">
        <v>7582607.4849760626</v>
      </c>
      <c r="Q87" s="120">
        <v>16997697.865023941</v>
      </c>
      <c r="R87" s="120"/>
      <c r="S87" s="121"/>
    </row>
    <row r="88" spans="1:19" ht="15">
      <c r="A88" s="105">
        <v>14</v>
      </c>
      <c r="B88" s="129"/>
      <c r="C88" s="107" t="s">
        <v>315</v>
      </c>
      <c r="D88" s="107" t="s">
        <v>251</v>
      </c>
      <c r="E88" s="120">
        <v>5324313088.006074</v>
      </c>
      <c r="F88" s="120" t="s">
        <v>251</v>
      </c>
      <c r="G88" s="120">
        <v>4631748876.3313189</v>
      </c>
      <c r="H88" s="120" t="s">
        <v>251</v>
      </c>
      <c r="I88" s="120">
        <v>217559651.08142775</v>
      </c>
      <c r="J88" s="120">
        <v>475004560.59332752</v>
      </c>
      <c r="K88" s="120" t="s">
        <v>251</v>
      </c>
      <c r="L88" s="120" t="s">
        <v>251</v>
      </c>
      <c r="M88" s="120">
        <v>14867.268653563968</v>
      </c>
      <c r="N88" s="120" t="s">
        <v>251</v>
      </c>
      <c r="O88" s="120">
        <v>474989693.32467395</v>
      </c>
      <c r="P88" s="120">
        <v>146526267.78251785</v>
      </c>
      <c r="Q88" s="120">
        <v>328463425.5421561</v>
      </c>
      <c r="R88" s="120"/>
      <c r="S88" s="121"/>
    </row>
    <row r="89" spans="1:19" ht="15">
      <c r="A89" s="105" t="s">
        <v>251</v>
      </c>
      <c r="B89" s="129" t="str">
        <f t="shared" si="1"/>
        <v/>
      </c>
      <c r="C89" s="107" t="s">
        <v>251</v>
      </c>
      <c r="D89" s="107" t="s">
        <v>251</v>
      </c>
      <c r="E89" s="120" t="s">
        <v>251</v>
      </c>
      <c r="F89" s="120" t="s">
        <v>251</v>
      </c>
      <c r="G89" s="120" t="s">
        <v>251</v>
      </c>
      <c r="H89" s="120" t="s">
        <v>251</v>
      </c>
      <c r="I89" s="120" t="s">
        <v>251</v>
      </c>
      <c r="J89" s="120" t="s">
        <v>251</v>
      </c>
      <c r="K89" s="120" t="s">
        <v>251</v>
      </c>
      <c r="L89" s="120" t="s">
        <v>251</v>
      </c>
      <c r="M89" s="120" t="s">
        <v>251</v>
      </c>
      <c r="N89" s="120" t="s">
        <v>251</v>
      </c>
      <c r="O89" s="120" t="s">
        <v>251</v>
      </c>
      <c r="P89" s="120" t="s">
        <v>251</v>
      </c>
      <c r="Q89" s="120" t="s">
        <v>251</v>
      </c>
      <c r="R89" s="120"/>
      <c r="S89" s="121"/>
    </row>
    <row r="90" spans="1:19" ht="15">
      <c r="A90" s="105" t="s">
        <v>251</v>
      </c>
      <c r="B90" s="129"/>
      <c r="C90" s="107" t="s">
        <v>316</v>
      </c>
      <c r="D90" s="107" t="s">
        <v>251</v>
      </c>
      <c r="E90" s="120" t="s">
        <v>251</v>
      </c>
      <c r="F90" s="120" t="s">
        <v>251</v>
      </c>
      <c r="G90" s="120" t="s">
        <v>251</v>
      </c>
      <c r="H90" s="120" t="s">
        <v>251</v>
      </c>
      <c r="I90" s="120" t="s">
        <v>251</v>
      </c>
      <c r="J90" s="120" t="s">
        <v>251</v>
      </c>
      <c r="K90" s="120" t="s">
        <v>251</v>
      </c>
      <c r="L90" s="120" t="s">
        <v>251</v>
      </c>
      <c r="M90" s="120" t="s">
        <v>251</v>
      </c>
      <c r="N90" s="120" t="s">
        <v>251</v>
      </c>
      <c r="O90" s="120" t="s">
        <v>251</v>
      </c>
      <c r="P90" s="120" t="s">
        <v>251</v>
      </c>
      <c r="Q90" s="120" t="s">
        <v>251</v>
      </c>
      <c r="R90" s="120"/>
      <c r="S90" s="121"/>
    </row>
    <row r="91" spans="1:19" ht="15">
      <c r="A91" s="105">
        <v>15</v>
      </c>
      <c r="B91" s="129" t="str">
        <f t="shared" si="1"/>
        <v>330</v>
      </c>
      <c r="C91" s="107" t="s">
        <v>317</v>
      </c>
      <c r="D91" s="107" t="s">
        <v>304</v>
      </c>
      <c r="E91" s="120">
        <v>855636.47000000009</v>
      </c>
      <c r="F91" s="120" t="s">
        <v>251</v>
      </c>
      <c r="G91" s="120">
        <v>750166.70146085031</v>
      </c>
      <c r="H91" s="120" t="s">
        <v>251</v>
      </c>
      <c r="I91" s="120">
        <v>34351.056460487256</v>
      </c>
      <c r="J91" s="120">
        <v>71118.712078662473</v>
      </c>
      <c r="K91" s="120" t="s">
        <v>251</v>
      </c>
      <c r="L91" s="120" t="s">
        <v>251</v>
      </c>
      <c r="M91" s="120">
        <v>2.4079306075009641</v>
      </c>
      <c r="N91" s="120" t="s">
        <v>251</v>
      </c>
      <c r="O91" s="120">
        <v>71116.304148054973</v>
      </c>
      <c r="P91" s="120">
        <v>21938.174178819783</v>
      </c>
      <c r="Q91" s="120">
        <v>49178.129969235189</v>
      </c>
      <c r="R91" s="120"/>
      <c r="S91" s="121"/>
    </row>
    <row r="92" spans="1:19" ht="15">
      <c r="A92" s="105">
        <v>16</v>
      </c>
      <c r="B92" s="129" t="str">
        <f t="shared" si="1"/>
        <v>331</v>
      </c>
      <c r="C92" s="107" t="s">
        <v>318</v>
      </c>
      <c r="D92" s="107" t="s">
        <v>304</v>
      </c>
      <c r="E92" s="120">
        <v>4393191.4700000007</v>
      </c>
      <c r="F92" s="120" t="s">
        <v>251</v>
      </c>
      <c r="G92" s="120">
        <v>3851666.0632007006</v>
      </c>
      <c r="H92" s="120" t="s">
        <v>251</v>
      </c>
      <c r="I92" s="120">
        <v>176372.52912758733</v>
      </c>
      <c r="J92" s="120">
        <v>365152.87767171254</v>
      </c>
      <c r="K92" s="120" t="s">
        <v>251</v>
      </c>
      <c r="L92" s="120" t="s">
        <v>251</v>
      </c>
      <c r="M92" s="120">
        <v>12.36331149515536</v>
      </c>
      <c r="N92" s="120" t="s">
        <v>251</v>
      </c>
      <c r="O92" s="120">
        <v>365140.51436021738</v>
      </c>
      <c r="P92" s="120">
        <v>112639.65837006146</v>
      </c>
      <c r="Q92" s="120">
        <v>252500.85599015595</v>
      </c>
      <c r="R92" s="120"/>
      <c r="S92" s="121"/>
    </row>
    <row r="93" spans="1:19" ht="15">
      <c r="A93" s="105">
        <v>17</v>
      </c>
      <c r="B93" s="129" t="str">
        <f t="shared" si="1"/>
        <v>332</v>
      </c>
      <c r="C93" s="107" t="s">
        <v>319</v>
      </c>
      <c r="D93" s="107" t="s">
        <v>304</v>
      </c>
      <c r="E93" s="120">
        <v>21842694.049999997</v>
      </c>
      <c r="F93" s="120" t="s">
        <v>251</v>
      </c>
      <c r="G93" s="120">
        <v>19150261.029087551</v>
      </c>
      <c r="H93" s="120" t="s">
        <v>251</v>
      </c>
      <c r="I93" s="120">
        <v>876914.01999344281</v>
      </c>
      <c r="J93" s="120">
        <v>1815519.0009190044</v>
      </c>
      <c r="K93" s="120" t="s">
        <v>251</v>
      </c>
      <c r="L93" s="120" t="s">
        <v>251</v>
      </c>
      <c r="M93" s="120">
        <v>61.469670119687841</v>
      </c>
      <c r="N93" s="120" t="s">
        <v>251</v>
      </c>
      <c r="O93" s="120">
        <v>1815457.5312488847</v>
      </c>
      <c r="P93" s="120">
        <v>560037.87052645197</v>
      </c>
      <c r="Q93" s="120">
        <v>1255419.6607224327</v>
      </c>
      <c r="R93" s="120"/>
      <c r="S93" s="121"/>
    </row>
    <row r="94" spans="1:19" ht="15">
      <c r="A94" s="105">
        <v>18</v>
      </c>
      <c r="B94" s="129" t="str">
        <f t="shared" si="1"/>
        <v>333</v>
      </c>
      <c r="C94" s="107" t="s">
        <v>320</v>
      </c>
      <c r="D94" s="107" t="s">
        <v>304</v>
      </c>
      <c r="E94" s="120">
        <v>13988241.58</v>
      </c>
      <c r="F94" s="120" t="s">
        <v>251</v>
      </c>
      <c r="G94" s="120">
        <v>12263985.247503666</v>
      </c>
      <c r="H94" s="120" t="s">
        <v>251</v>
      </c>
      <c r="I94" s="120">
        <v>561582.97728650516</v>
      </c>
      <c r="J94" s="120">
        <v>1162673.3552098295</v>
      </c>
      <c r="K94" s="120" t="s">
        <v>251</v>
      </c>
      <c r="L94" s="120" t="s">
        <v>251</v>
      </c>
      <c r="M94" s="120">
        <v>39.365684173793625</v>
      </c>
      <c r="N94" s="120" t="s">
        <v>251</v>
      </c>
      <c r="O94" s="120">
        <v>1162633.9895256558</v>
      </c>
      <c r="P94" s="120">
        <v>358652.87537059898</v>
      </c>
      <c r="Q94" s="120">
        <v>803981.11415505665</v>
      </c>
      <c r="R94" s="120"/>
      <c r="S94" s="121"/>
    </row>
    <row r="95" spans="1:19" ht="15">
      <c r="A95" s="105">
        <v>19</v>
      </c>
      <c r="B95" s="129" t="str">
        <f t="shared" si="1"/>
        <v>334</v>
      </c>
      <c r="C95" s="107" t="s">
        <v>321</v>
      </c>
      <c r="D95" s="107" t="s">
        <v>304</v>
      </c>
      <c r="E95" s="120">
        <v>1377986.23</v>
      </c>
      <c r="F95" s="120" t="s">
        <v>251</v>
      </c>
      <c r="G95" s="120">
        <v>1208129.1775905397</v>
      </c>
      <c r="H95" s="120" t="s">
        <v>251</v>
      </c>
      <c r="I95" s="120">
        <v>55321.7218388365</v>
      </c>
      <c r="J95" s="120">
        <v>114535.3305706237</v>
      </c>
      <c r="K95" s="120" t="s">
        <v>251</v>
      </c>
      <c r="L95" s="120" t="s">
        <v>251</v>
      </c>
      <c r="M95" s="120">
        <v>3.8779263580616927</v>
      </c>
      <c r="N95" s="120" t="s">
        <v>251</v>
      </c>
      <c r="O95" s="120">
        <v>114531.45264426564</v>
      </c>
      <c r="P95" s="120">
        <v>35331.011463028473</v>
      </c>
      <c r="Q95" s="120">
        <v>79200.441181237169</v>
      </c>
      <c r="R95" s="120"/>
      <c r="S95" s="121"/>
    </row>
    <row r="96" spans="1:19" ht="15">
      <c r="A96" s="105">
        <v>20</v>
      </c>
      <c r="B96" s="129" t="str">
        <f t="shared" si="1"/>
        <v>335</v>
      </c>
      <c r="C96" s="107" t="s">
        <v>322</v>
      </c>
      <c r="D96" s="107" t="s">
        <v>304</v>
      </c>
      <c r="E96" s="120">
        <v>328554.18000000005</v>
      </c>
      <c r="F96" s="120" t="s">
        <v>251</v>
      </c>
      <c r="G96" s="120">
        <v>288055.04919837567</v>
      </c>
      <c r="H96" s="120" t="s">
        <v>251</v>
      </c>
      <c r="I96" s="120">
        <v>13190.39520079023</v>
      </c>
      <c r="J96" s="120">
        <v>27308.73560083413</v>
      </c>
      <c r="K96" s="120" t="s">
        <v>251</v>
      </c>
      <c r="L96" s="120" t="s">
        <v>251</v>
      </c>
      <c r="M96" s="120">
        <v>0.92461657956723275</v>
      </c>
      <c r="N96" s="120" t="s">
        <v>251</v>
      </c>
      <c r="O96" s="120">
        <v>27307.810984254564</v>
      </c>
      <c r="P96" s="120">
        <v>8423.9967331211446</v>
      </c>
      <c r="Q96" s="120">
        <v>18883.814251133419</v>
      </c>
      <c r="R96" s="120"/>
      <c r="S96" s="121"/>
    </row>
    <row r="97" spans="1:19" ht="15">
      <c r="A97" s="105">
        <v>21</v>
      </c>
      <c r="B97" s="129" t="str">
        <f t="shared" si="1"/>
        <v>336</v>
      </c>
      <c r="C97" s="107" t="s">
        <v>323</v>
      </c>
      <c r="D97" s="107" t="s">
        <v>304</v>
      </c>
      <c r="E97" s="120">
        <v>234509.13</v>
      </c>
      <c r="F97" s="120" t="s">
        <v>251</v>
      </c>
      <c r="G97" s="120">
        <v>205602.43360659198</v>
      </c>
      <c r="H97" s="120" t="s">
        <v>251</v>
      </c>
      <c r="I97" s="120">
        <v>9414.7884616579577</v>
      </c>
      <c r="J97" s="120">
        <v>19491.907931750065</v>
      </c>
      <c r="K97" s="120" t="s">
        <v>251</v>
      </c>
      <c r="L97" s="120" t="s">
        <v>251</v>
      </c>
      <c r="M97" s="120">
        <v>0.6599551698227899</v>
      </c>
      <c r="N97" s="120" t="s">
        <v>251</v>
      </c>
      <c r="O97" s="120">
        <v>19491.247976580242</v>
      </c>
      <c r="P97" s="120">
        <v>6012.7195612214746</v>
      </c>
      <c r="Q97" s="120">
        <v>13478.528415358767</v>
      </c>
      <c r="R97" s="120"/>
      <c r="S97" s="121"/>
    </row>
    <row r="98" spans="1:19" ht="15">
      <c r="A98" s="105">
        <v>22</v>
      </c>
      <c r="B98" s="129" t="str">
        <f t="shared" si="1"/>
        <v>337</v>
      </c>
      <c r="C98" s="107" t="s">
        <v>324</v>
      </c>
      <c r="D98" s="107" t="s">
        <v>304</v>
      </c>
      <c r="E98" s="120">
        <v>645787.99</v>
      </c>
      <c r="F98" s="120" t="s">
        <v>251</v>
      </c>
      <c r="G98" s="120">
        <v>566185.13035253459</v>
      </c>
      <c r="H98" s="120" t="s">
        <v>251</v>
      </c>
      <c r="I98" s="120">
        <v>25926.313900568752</v>
      </c>
      <c r="J98" s="120">
        <v>53676.545746896649</v>
      </c>
      <c r="K98" s="120" t="s">
        <v>251</v>
      </c>
      <c r="L98" s="120" t="s">
        <v>251</v>
      </c>
      <c r="M98" s="120">
        <v>1.8173753943395217</v>
      </c>
      <c r="N98" s="120" t="s">
        <v>251</v>
      </c>
      <c r="O98" s="120">
        <v>53674.728371502308</v>
      </c>
      <c r="P98" s="120">
        <v>16557.743742748517</v>
      </c>
      <c r="Q98" s="120">
        <v>37116.984628753788</v>
      </c>
      <c r="R98" s="120"/>
      <c r="S98" s="121"/>
    </row>
    <row r="99" spans="1:19" ht="15">
      <c r="A99" s="105">
        <v>23</v>
      </c>
      <c r="B99" s="129"/>
      <c r="C99" s="107" t="s">
        <v>311</v>
      </c>
      <c r="D99" s="107" t="s">
        <v>312</v>
      </c>
      <c r="E99" s="120">
        <v>820</v>
      </c>
      <c r="F99" s="120" t="s">
        <v>251</v>
      </c>
      <c r="G99" s="120">
        <v>0</v>
      </c>
      <c r="H99" s="120" t="s">
        <v>251</v>
      </c>
      <c r="I99" s="120">
        <v>267.07662100456622</v>
      </c>
      <c r="J99" s="120">
        <v>552.92337899543384</v>
      </c>
      <c r="K99" s="120" t="s">
        <v>251</v>
      </c>
      <c r="L99" s="120" t="s">
        <v>251</v>
      </c>
      <c r="M99" s="120">
        <v>0</v>
      </c>
      <c r="N99" s="120" t="s">
        <v>251</v>
      </c>
      <c r="O99" s="120">
        <v>552.92337899543384</v>
      </c>
      <c r="P99" s="120">
        <v>170.56748858447489</v>
      </c>
      <c r="Q99" s="120">
        <v>382.35589041095892</v>
      </c>
      <c r="R99" s="120"/>
      <c r="S99" s="121"/>
    </row>
    <row r="100" spans="1:19" ht="15">
      <c r="A100" s="105">
        <v>24</v>
      </c>
      <c r="B100" s="129"/>
      <c r="C100" s="107" t="s">
        <v>313</v>
      </c>
      <c r="D100" s="107" t="s">
        <v>314</v>
      </c>
      <c r="E100" s="120">
        <v>105336.76000000001</v>
      </c>
      <c r="F100" s="120" t="s">
        <v>251</v>
      </c>
      <c r="G100" s="120">
        <v>0</v>
      </c>
      <c r="H100" s="120" t="s">
        <v>251</v>
      </c>
      <c r="I100" s="120">
        <v>0</v>
      </c>
      <c r="J100" s="120">
        <v>105336.76000000001</v>
      </c>
      <c r="K100" s="120" t="s">
        <v>251</v>
      </c>
      <c r="L100" s="120" t="s">
        <v>251</v>
      </c>
      <c r="M100" s="120">
        <v>0</v>
      </c>
      <c r="N100" s="120" t="s">
        <v>251</v>
      </c>
      <c r="O100" s="120">
        <v>105336.76000000001</v>
      </c>
      <c r="P100" s="120">
        <v>32494.604661985089</v>
      </c>
      <c r="Q100" s="120">
        <v>72842.155338014913</v>
      </c>
      <c r="R100" s="120"/>
      <c r="S100" s="121"/>
    </row>
    <row r="101" spans="1:19" ht="15">
      <c r="A101" s="105">
        <v>25</v>
      </c>
      <c r="B101" s="129"/>
      <c r="C101" s="107" t="s">
        <v>325</v>
      </c>
      <c r="D101" s="107" t="s">
        <v>251</v>
      </c>
      <c r="E101" s="120">
        <v>43772757.859999999</v>
      </c>
      <c r="F101" s="120" t="s">
        <v>251</v>
      </c>
      <c r="G101" s="120">
        <v>38284050.832000814</v>
      </c>
      <c r="H101" s="120" t="s">
        <v>251</v>
      </c>
      <c r="I101" s="120">
        <v>1753340.8788908804</v>
      </c>
      <c r="J101" s="120">
        <v>3735366.1491083088</v>
      </c>
      <c r="K101" s="120" t="s">
        <v>251</v>
      </c>
      <c r="L101" s="120" t="s">
        <v>251</v>
      </c>
      <c r="M101" s="120">
        <v>122.88646989792902</v>
      </c>
      <c r="N101" s="120" t="s">
        <v>251</v>
      </c>
      <c r="O101" s="120">
        <v>3735243.262638411</v>
      </c>
      <c r="P101" s="120">
        <v>1152259.2220966215</v>
      </c>
      <c r="Q101" s="120">
        <v>2582984.0405417895</v>
      </c>
      <c r="R101" s="120"/>
      <c r="S101" s="121"/>
    </row>
    <row r="102" spans="1:19" ht="15">
      <c r="A102" s="105" t="s">
        <v>251</v>
      </c>
      <c r="B102" s="129" t="str">
        <f t="shared" si="1"/>
        <v/>
      </c>
      <c r="C102" s="107" t="s">
        <v>251</v>
      </c>
      <c r="D102" s="107" t="s">
        <v>251</v>
      </c>
      <c r="E102" s="120" t="s">
        <v>251</v>
      </c>
      <c r="F102" s="120" t="s">
        <v>251</v>
      </c>
      <c r="G102" s="120" t="s">
        <v>251</v>
      </c>
      <c r="H102" s="120" t="s">
        <v>251</v>
      </c>
      <c r="I102" s="120" t="s">
        <v>251</v>
      </c>
      <c r="J102" s="120" t="s">
        <v>251</v>
      </c>
      <c r="K102" s="120" t="s">
        <v>251</v>
      </c>
      <c r="L102" s="120" t="s">
        <v>251</v>
      </c>
      <c r="M102" s="120" t="s">
        <v>251</v>
      </c>
      <c r="N102" s="120" t="s">
        <v>251</v>
      </c>
      <c r="O102" s="120" t="s">
        <v>251</v>
      </c>
      <c r="P102" s="120" t="s">
        <v>251</v>
      </c>
      <c r="Q102" s="120" t="s">
        <v>251</v>
      </c>
      <c r="R102" s="120"/>
      <c r="S102" s="121"/>
    </row>
    <row r="103" spans="1:19" ht="15">
      <c r="A103" s="105" t="s">
        <v>251</v>
      </c>
      <c r="B103" s="129"/>
      <c r="C103" s="107" t="s">
        <v>326</v>
      </c>
      <c r="D103" s="107" t="s">
        <v>251</v>
      </c>
      <c r="E103" s="120" t="s">
        <v>251</v>
      </c>
      <c r="F103" s="120" t="s">
        <v>251</v>
      </c>
      <c r="G103" s="120" t="s">
        <v>251</v>
      </c>
      <c r="H103" s="120" t="s">
        <v>251</v>
      </c>
      <c r="I103" s="120" t="s">
        <v>251</v>
      </c>
      <c r="J103" s="120" t="s">
        <v>251</v>
      </c>
      <c r="K103" s="120" t="s">
        <v>251</v>
      </c>
      <c r="L103" s="120" t="s">
        <v>251</v>
      </c>
      <c r="M103" s="120" t="s">
        <v>251</v>
      </c>
      <c r="N103" s="120" t="s">
        <v>251</v>
      </c>
      <c r="O103" s="120" t="s">
        <v>251</v>
      </c>
      <c r="P103" s="120" t="s">
        <v>251</v>
      </c>
      <c r="Q103" s="120" t="s">
        <v>251</v>
      </c>
      <c r="R103" s="120"/>
      <c r="S103" s="121"/>
    </row>
    <row r="104" spans="1:19" ht="15">
      <c r="A104" s="105">
        <v>26</v>
      </c>
      <c r="B104" s="129" t="str">
        <f t="shared" si="1"/>
        <v>340</v>
      </c>
      <c r="C104" s="107" t="s">
        <v>327</v>
      </c>
      <c r="D104" s="107" t="s">
        <v>304</v>
      </c>
      <c r="E104" s="120">
        <v>902801.4580000001</v>
      </c>
      <c r="F104" s="120" t="s">
        <v>251</v>
      </c>
      <c r="G104" s="120">
        <v>791517.91159849276</v>
      </c>
      <c r="H104" s="120" t="s">
        <v>251</v>
      </c>
      <c r="I104" s="120">
        <v>36244.579261994542</v>
      </c>
      <c r="J104" s="120">
        <v>75038.967139512752</v>
      </c>
      <c r="K104" s="120" t="s">
        <v>251</v>
      </c>
      <c r="L104" s="120" t="s">
        <v>251</v>
      </c>
      <c r="M104" s="120">
        <v>2.5406622314903151</v>
      </c>
      <c r="N104" s="120" t="s">
        <v>251</v>
      </c>
      <c r="O104" s="120">
        <v>75036.42647728126</v>
      </c>
      <c r="P104" s="120">
        <v>23147.465458661965</v>
      </c>
      <c r="Q104" s="120">
        <v>51888.961018619302</v>
      </c>
      <c r="R104" s="120"/>
      <c r="S104" s="121"/>
    </row>
    <row r="105" spans="1:19" ht="15">
      <c r="A105" s="105">
        <v>27</v>
      </c>
      <c r="B105" s="129" t="str">
        <f t="shared" si="1"/>
        <v>341</v>
      </c>
      <c r="C105" s="107" t="s">
        <v>328</v>
      </c>
      <c r="D105" s="107" t="s">
        <v>304</v>
      </c>
      <c r="E105" s="120">
        <v>86587215.233681992</v>
      </c>
      <c r="F105" s="120" t="s">
        <v>251</v>
      </c>
      <c r="G105" s="120">
        <v>75914068.553590178</v>
      </c>
      <c r="H105" s="120" t="s">
        <v>251</v>
      </c>
      <c r="I105" s="120">
        <v>3476198.623521239</v>
      </c>
      <c r="J105" s="120">
        <v>7196948.0565705746</v>
      </c>
      <c r="K105" s="120" t="s">
        <v>251</v>
      </c>
      <c r="L105" s="120" t="s">
        <v>251</v>
      </c>
      <c r="M105" s="120">
        <v>243.6735846234518</v>
      </c>
      <c r="N105" s="120" t="s">
        <v>251</v>
      </c>
      <c r="O105" s="120">
        <v>7196704.3829859514</v>
      </c>
      <c r="P105" s="120">
        <v>2220061.294787345</v>
      </c>
      <c r="Q105" s="120">
        <v>4976643.0881986059</v>
      </c>
      <c r="R105" s="120"/>
      <c r="S105" s="121"/>
    </row>
    <row r="106" spans="1:19" ht="15">
      <c r="A106" s="105">
        <v>28</v>
      </c>
      <c r="B106" s="129" t="str">
        <f t="shared" si="1"/>
        <v>342</v>
      </c>
      <c r="C106" s="107" t="s">
        <v>329</v>
      </c>
      <c r="D106" s="107" t="s">
        <v>304</v>
      </c>
      <c r="E106" s="120">
        <v>62975266.304199986</v>
      </c>
      <c r="F106" s="120" t="s">
        <v>251</v>
      </c>
      <c r="G106" s="120">
        <v>55212639.308186963</v>
      </c>
      <c r="H106" s="120" t="s">
        <v>251</v>
      </c>
      <c r="I106" s="120">
        <v>2528254.7019411107</v>
      </c>
      <c r="J106" s="120">
        <v>5234372.2940719128</v>
      </c>
      <c r="K106" s="120" t="s">
        <v>251</v>
      </c>
      <c r="L106" s="120" t="s">
        <v>251</v>
      </c>
      <c r="M106" s="120">
        <v>177.22488061946126</v>
      </c>
      <c r="N106" s="120" t="s">
        <v>251</v>
      </c>
      <c r="O106" s="120">
        <v>5234195.0691912929</v>
      </c>
      <c r="P106" s="120">
        <v>1614660.4423477878</v>
      </c>
      <c r="Q106" s="120">
        <v>3619534.6268435051</v>
      </c>
      <c r="R106" s="120"/>
      <c r="S106" s="121"/>
    </row>
    <row r="107" spans="1:19" ht="15">
      <c r="A107" s="105">
        <v>29</v>
      </c>
      <c r="B107" s="129" t="str">
        <f t="shared" si="1"/>
        <v>343</v>
      </c>
      <c r="C107" s="107" t="s">
        <v>330</v>
      </c>
      <c r="D107" s="107" t="s">
        <v>304</v>
      </c>
      <c r="E107" s="120">
        <v>661798250.51716745</v>
      </c>
      <c r="F107" s="120" t="s">
        <v>251</v>
      </c>
      <c r="G107" s="120">
        <v>580221890.9895519</v>
      </c>
      <c r="H107" s="120" t="s">
        <v>251</v>
      </c>
      <c r="I107" s="120">
        <v>26569074.444625888</v>
      </c>
      <c r="J107" s="120">
        <v>55007285.0829897</v>
      </c>
      <c r="K107" s="120" t="s">
        <v>251</v>
      </c>
      <c r="L107" s="120" t="s">
        <v>251</v>
      </c>
      <c r="M107" s="120">
        <v>1862.4314405519415</v>
      </c>
      <c r="N107" s="120" t="s">
        <v>251</v>
      </c>
      <c r="O107" s="120">
        <v>55005422.651549146</v>
      </c>
      <c r="P107" s="120">
        <v>16968240.368580628</v>
      </c>
      <c r="Q107" s="120">
        <v>38037182.282968521</v>
      </c>
      <c r="R107" s="120"/>
      <c r="S107" s="121"/>
    </row>
    <row r="108" spans="1:19" ht="15">
      <c r="A108" s="105">
        <v>30</v>
      </c>
      <c r="B108" s="129" t="str">
        <f t="shared" si="1"/>
        <v>344</v>
      </c>
      <c r="C108" s="107" t="s">
        <v>331</v>
      </c>
      <c r="D108" s="107" t="s">
        <v>304</v>
      </c>
      <c r="E108" s="120">
        <v>131645161.58595003</v>
      </c>
      <c r="F108" s="120" t="s">
        <v>251</v>
      </c>
      <c r="G108" s="120">
        <v>115417960.88964367</v>
      </c>
      <c r="H108" s="120" t="s">
        <v>251</v>
      </c>
      <c r="I108" s="120">
        <v>5285130.4694725517</v>
      </c>
      <c r="J108" s="120">
        <v>10942070.226833805</v>
      </c>
      <c r="K108" s="120" t="s">
        <v>251</v>
      </c>
      <c r="L108" s="120" t="s">
        <v>251</v>
      </c>
      <c r="M108" s="120">
        <v>370.47557581576575</v>
      </c>
      <c r="N108" s="120" t="s">
        <v>251</v>
      </c>
      <c r="O108" s="120">
        <v>10941699.75125799</v>
      </c>
      <c r="P108" s="120">
        <v>3375328.8761422788</v>
      </c>
      <c r="Q108" s="120">
        <v>7566370.8751157103</v>
      </c>
      <c r="R108" s="120"/>
      <c r="S108" s="121"/>
    </row>
    <row r="109" spans="1:19" ht="15">
      <c r="A109" s="105">
        <v>31</v>
      </c>
      <c r="B109" s="129" t="str">
        <f t="shared" si="1"/>
        <v>345</v>
      </c>
      <c r="C109" s="107" t="s">
        <v>332</v>
      </c>
      <c r="D109" s="107" t="s">
        <v>304</v>
      </c>
      <c r="E109" s="120">
        <v>78491164.047109991</v>
      </c>
      <c r="F109" s="120" t="s">
        <v>251</v>
      </c>
      <c r="G109" s="120">
        <v>68815974.647554457</v>
      </c>
      <c r="H109" s="120" t="s">
        <v>251</v>
      </c>
      <c r="I109" s="120">
        <v>3151168.1682194336</v>
      </c>
      <c r="J109" s="120">
        <v>6524021.2313361047</v>
      </c>
      <c r="K109" s="120" t="s">
        <v>251</v>
      </c>
      <c r="L109" s="120" t="s">
        <v>251</v>
      </c>
      <c r="M109" s="120">
        <v>220.88969200601673</v>
      </c>
      <c r="N109" s="120" t="s">
        <v>251</v>
      </c>
      <c r="O109" s="120">
        <v>6523800.341644099</v>
      </c>
      <c r="P109" s="120">
        <v>2012481.8059284172</v>
      </c>
      <c r="Q109" s="120">
        <v>4511318.5357156815</v>
      </c>
      <c r="R109" s="120"/>
      <c r="S109" s="121"/>
    </row>
    <row r="110" spans="1:19" ht="15">
      <c r="A110" s="105">
        <v>32</v>
      </c>
      <c r="B110" s="129" t="str">
        <f t="shared" si="1"/>
        <v>346</v>
      </c>
      <c r="C110" s="107" t="s">
        <v>333</v>
      </c>
      <c r="D110" s="107" t="s">
        <v>304</v>
      </c>
      <c r="E110" s="120">
        <v>9705007.7279099971</v>
      </c>
      <c r="F110" s="120" t="s">
        <v>251</v>
      </c>
      <c r="G110" s="120">
        <v>8508722.9099740274</v>
      </c>
      <c r="H110" s="120" t="s">
        <v>251</v>
      </c>
      <c r="I110" s="120">
        <v>389624.89339766162</v>
      </c>
      <c r="J110" s="120">
        <v>806659.92453830945</v>
      </c>
      <c r="K110" s="120" t="s">
        <v>251</v>
      </c>
      <c r="L110" s="120" t="s">
        <v>251</v>
      </c>
      <c r="M110" s="120">
        <v>27.311815208236592</v>
      </c>
      <c r="N110" s="120" t="s">
        <v>251</v>
      </c>
      <c r="O110" s="120">
        <v>806632.61272310116</v>
      </c>
      <c r="P110" s="120">
        <v>248832.48599920195</v>
      </c>
      <c r="Q110" s="120">
        <v>557800.12672389916</v>
      </c>
      <c r="R110" s="120"/>
      <c r="S110" s="121"/>
    </row>
    <row r="111" spans="1:19" ht="15">
      <c r="A111" s="105">
        <v>33</v>
      </c>
      <c r="B111" s="129" t="str">
        <f t="shared" si="1"/>
        <v>347</v>
      </c>
      <c r="C111" s="107" t="s">
        <v>334</v>
      </c>
      <c r="D111" s="107" t="s">
        <v>304</v>
      </c>
      <c r="E111" s="120">
        <v>406991.12</v>
      </c>
      <c r="F111" s="120" t="s">
        <v>251</v>
      </c>
      <c r="G111" s="120">
        <v>356823.48370945093</v>
      </c>
      <c r="H111" s="120" t="s">
        <v>251</v>
      </c>
      <c r="I111" s="120">
        <v>16339.386447654508</v>
      </c>
      <c r="J111" s="120">
        <v>33828.249842894569</v>
      </c>
      <c r="K111" s="120" t="s">
        <v>251</v>
      </c>
      <c r="L111" s="120" t="s">
        <v>251</v>
      </c>
      <c r="M111" s="120">
        <v>1.1453536743578703</v>
      </c>
      <c r="N111" s="120" t="s">
        <v>251</v>
      </c>
      <c r="O111" s="120">
        <v>33827.104489220212</v>
      </c>
      <c r="P111" s="120">
        <v>10435.088256339684</v>
      </c>
      <c r="Q111" s="120">
        <v>23392.016232880527</v>
      </c>
      <c r="R111" s="120"/>
      <c r="S111" s="121"/>
    </row>
    <row r="112" spans="1:19" ht="15">
      <c r="A112" s="105">
        <v>34</v>
      </c>
      <c r="B112" s="105"/>
      <c r="C112" s="107" t="s">
        <v>311</v>
      </c>
      <c r="D112" s="107" t="s">
        <v>312</v>
      </c>
      <c r="E112" s="120">
        <v>1934.2600000000002</v>
      </c>
      <c r="F112" s="120" t="s">
        <v>251</v>
      </c>
      <c r="G112" s="120">
        <v>0</v>
      </c>
      <c r="H112" s="120" t="s">
        <v>251</v>
      </c>
      <c r="I112" s="120">
        <v>629.99466456621019</v>
      </c>
      <c r="J112" s="120">
        <v>1304.2653354337901</v>
      </c>
      <c r="K112" s="120" t="s">
        <v>251</v>
      </c>
      <c r="L112" s="120" t="s">
        <v>251</v>
      </c>
      <c r="M112" s="120">
        <v>0</v>
      </c>
      <c r="N112" s="120" t="s">
        <v>251</v>
      </c>
      <c r="O112" s="120">
        <v>1304.2653354337901</v>
      </c>
      <c r="P112" s="120">
        <v>402.34374447488591</v>
      </c>
      <c r="Q112" s="120">
        <v>901.92159095890429</v>
      </c>
      <c r="R112" s="120"/>
      <c r="S112" s="121"/>
    </row>
    <row r="113" spans="1:19" ht="15">
      <c r="A113" s="105">
        <v>35</v>
      </c>
      <c r="B113" s="105"/>
      <c r="C113" s="107" t="s">
        <v>313</v>
      </c>
      <c r="D113" s="107" t="s">
        <v>314</v>
      </c>
      <c r="E113" s="120">
        <v>4982273.58</v>
      </c>
      <c r="F113" s="120" t="s">
        <v>251</v>
      </c>
      <c r="G113" s="120">
        <v>0</v>
      </c>
      <c r="H113" s="120" t="s">
        <v>251</v>
      </c>
      <c r="I113" s="120">
        <v>0</v>
      </c>
      <c r="J113" s="120">
        <v>4982273.58</v>
      </c>
      <c r="K113" s="120" t="s">
        <v>251</v>
      </c>
      <c r="L113" s="120" t="s">
        <v>251</v>
      </c>
      <c r="M113" s="120">
        <v>0</v>
      </c>
      <c r="N113" s="120" t="s">
        <v>251</v>
      </c>
      <c r="O113" s="120">
        <v>4982273.58</v>
      </c>
      <c r="P113" s="120">
        <v>1536946.933814493</v>
      </c>
      <c r="Q113" s="120">
        <v>3445326.6461855066</v>
      </c>
      <c r="R113" s="120"/>
      <c r="S113" s="121"/>
    </row>
    <row r="114" spans="1:19" ht="15">
      <c r="A114" s="105">
        <v>36</v>
      </c>
      <c r="B114" s="105"/>
      <c r="C114" s="107" t="s">
        <v>335</v>
      </c>
      <c r="D114" s="107" t="s">
        <v>251</v>
      </c>
      <c r="E114" s="120">
        <v>1037496065.8340194</v>
      </c>
      <c r="F114" s="120" t="s">
        <v>251</v>
      </c>
      <c r="G114" s="120">
        <v>905239598.69380903</v>
      </c>
      <c r="H114" s="120" t="s">
        <v>251</v>
      </c>
      <c r="I114" s="120">
        <v>41452665.261552095</v>
      </c>
      <c r="J114" s="120">
        <v>90803801.87865825</v>
      </c>
      <c r="K114" s="120" t="s">
        <v>251</v>
      </c>
      <c r="L114" s="120" t="s">
        <v>251</v>
      </c>
      <c r="M114" s="120">
        <v>2905.6930047307214</v>
      </c>
      <c r="N114" s="120" t="s">
        <v>251</v>
      </c>
      <c r="O114" s="120">
        <v>90800896.185653523</v>
      </c>
      <c r="P114" s="120">
        <v>28010537.105059627</v>
      </c>
      <c r="Q114" s="120">
        <v>62790359.080593891</v>
      </c>
      <c r="R114" s="120"/>
      <c r="S114" s="121"/>
    </row>
    <row r="115" spans="1:19" ht="15">
      <c r="A115" s="105" t="s">
        <v>251</v>
      </c>
      <c r="B115" s="105"/>
      <c r="C115" s="107" t="s">
        <v>251</v>
      </c>
      <c r="D115" s="107" t="s">
        <v>251</v>
      </c>
      <c r="E115" s="120" t="s">
        <v>251</v>
      </c>
      <c r="F115" s="120" t="s">
        <v>251</v>
      </c>
      <c r="G115" s="120" t="s">
        <v>251</v>
      </c>
      <c r="H115" s="120" t="s">
        <v>251</v>
      </c>
      <c r="I115" s="120" t="s">
        <v>251</v>
      </c>
      <c r="J115" s="120" t="s">
        <v>251</v>
      </c>
      <c r="K115" s="120" t="s">
        <v>251</v>
      </c>
      <c r="L115" s="120" t="s">
        <v>251</v>
      </c>
      <c r="M115" s="120" t="s">
        <v>251</v>
      </c>
      <c r="N115" s="120" t="s">
        <v>251</v>
      </c>
      <c r="O115" s="120" t="s">
        <v>251</v>
      </c>
      <c r="P115" s="120" t="s">
        <v>251</v>
      </c>
      <c r="Q115" s="120" t="s">
        <v>251</v>
      </c>
      <c r="R115" s="120"/>
      <c r="S115" s="121"/>
    </row>
    <row r="116" spans="1:19" ht="15">
      <c r="A116" s="105">
        <v>37</v>
      </c>
      <c r="B116" s="105"/>
      <c r="C116" s="107" t="s">
        <v>336</v>
      </c>
      <c r="D116" s="107" t="s">
        <v>251</v>
      </c>
      <c r="E116" s="120">
        <v>6405581911.7000933</v>
      </c>
      <c r="F116" s="120" t="s">
        <v>251</v>
      </c>
      <c r="G116" s="120">
        <v>5575272525.8571291</v>
      </c>
      <c r="H116" s="120" t="s">
        <v>251</v>
      </c>
      <c r="I116" s="120">
        <v>260765657.22187072</v>
      </c>
      <c r="J116" s="120">
        <v>569543728.62109411</v>
      </c>
      <c r="K116" s="120" t="s">
        <v>251</v>
      </c>
      <c r="L116" s="120" t="s">
        <v>251</v>
      </c>
      <c r="M116" s="120">
        <v>17895.848128192618</v>
      </c>
      <c r="N116" s="120" t="s">
        <v>251</v>
      </c>
      <c r="O116" s="120">
        <v>569525832.77296591</v>
      </c>
      <c r="P116" s="120">
        <v>175689064.1096741</v>
      </c>
      <c r="Q116" s="120">
        <v>393836768.66329181</v>
      </c>
      <c r="R116" s="120"/>
      <c r="S116" s="121"/>
    </row>
    <row r="117" spans="1:19" ht="15">
      <c r="A117" s="105" t="s">
        <v>251</v>
      </c>
      <c r="B117" s="105"/>
      <c r="C117" s="107" t="s">
        <v>251</v>
      </c>
      <c r="D117" s="107" t="s">
        <v>251</v>
      </c>
      <c r="E117" s="120" t="s">
        <v>251</v>
      </c>
      <c r="F117" s="120" t="s">
        <v>251</v>
      </c>
      <c r="G117" s="120" t="s">
        <v>251</v>
      </c>
      <c r="H117" s="120" t="s">
        <v>251</v>
      </c>
      <c r="I117" s="120" t="s">
        <v>251</v>
      </c>
      <c r="J117" s="120" t="s">
        <v>251</v>
      </c>
      <c r="K117" s="120" t="s">
        <v>251</v>
      </c>
      <c r="L117" s="120" t="s">
        <v>251</v>
      </c>
      <c r="M117" s="120" t="s">
        <v>251</v>
      </c>
      <c r="N117" s="120" t="s">
        <v>251</v>
      </c>
      <c r="O117" s="120" t="s">
        <v>251</v>
      </c>
      <c r="P117" s="120" t="s">
        <v>251</v>
      </c>
      <c r="Q117" s="120" t="s">
        <v>251</v>
      </c>
      <c r="R117" s="120"/>
      <c r="S117" s="121"/>
    </row>
    <row r="118" spans="1:19" ht="15">
      <c r="A118" s="105" t="s">
        <v>251</v>
      </c>
      <c r="B118" s="105"/>
      <c r="C118" s="107" t="s">
        <v>337</v>
      </c>
      <c r="D118" s="107" t="s">
        <v>251</v>
      </c>
      <c r="E118" s="120" t="s">
        <v>251</v>
      </c>
      <c r="F118" s="120" t="s">
        <v>251</v>
      </c>
      <c r="G118" s="120" t="s">
        <v>251</v>
      </c>
      <c r="H118" s="120" t="s">
        <v>251</v>
      </c>
      <c r="I118" s="120" t="s">
        <v>251</v>
      </c>
      <c r="J118" s="120" t="s">
        <v>251</v>
      </c>
      <c r="K118" s="120" t="s">
        <v>251</v>
      </c>
      <c r="L118" s="120" t="s">
        <v>251</v>
      </c>
      <c r="M118" s="120" t="s">
        <v>251</v>
      </c>
      <c r="N118" s="120" t="s">
        <v>251</v>
      </c>
      <c r="O118" s="120" t="s">
        <v>251</v>
      </c>
      <c r="P118" s="120" t="s">
        <v>251</v>
      </c>
      <c r="Q118" s="120" t="s">
        <v>251</v>
      </c>
      <c r="R118" s="120"/>
      <c r="S118" s="121"/>
    </row>
    <row r="119" spans="1:19" ht="15">
      <c r="A119" s="105" t="s">
        <v>251</v>
      </c>
      <c r="B119" s="105"/>
      <c r="C119" s="107" t="s">
        <v>251</v>
      </c>
      <c r="D119" s="107" t="s">
        <v>251</v>
      </c>
      <c r="E119" s="120" t="s">
        <v>251</v>
      </c>
      <c r="F119" s="120" t="s">
        <v>251</v>
      </c>
      <c r="G119" s="120" t="s">
        <v>251</v>
      </c>
      <c r="H119" s="120" t="s">
        <v>251</v>
      </c>
      <c r="I119" s="120" t="s">
        <v>251</v>
      </c>
      <c r="J119" s="120" t="s">
        <v>251</v>
      </c>
      <c r="K119" s="120" t="s">
        <v>251</v>
      </c>
      <c r="L119" s="120" t="s">
        <v>251</v>
      </c>
      <c r="M119" s="120" t="s">
        <v>251</v>
      </c>
      <c r="N119" s="120" t="s">
        <v>251</v>
      </c>
      <c r="O119" s="120" t="s">
        <v>251</v>
      </c>
      <c r="P119" s="120" t="s">
        <v>251</v>
      </c>
      <c r="Q119" s="120" t="s">
        <v>251</v>
      </c>
      <c r="R119" s="120"/>
      <c r="S119" s="121"/>
    </row>
    <row r="120" spans="1:19" ht="15">
      <c r="A120" s="105" t="s">
        <v>251</v>
      </c>
      <c r="B120" s="105"/>
      <c r="C120" s="107" t="s">
        <v>338</v>
      </c>
      <c r="D120" s="107" t="s">
        <v>251</v>
      </c>
      <c r="E120" s="120" t="s">
        <v>251</v>
      </c>
      <c r="F120" s="120" t="s">
        <v>251</v>
      </c>
      <c r="G120" s="120" t="s">
        <v>251</v>
      </c>
      <c r="H120" s="120" t="s">
        <v>251</v>
      </c>
      <c r="I120" s="120" t="s">
        <v>251</v>
      </c>
      <c r="J120" s="120" t="s">
        <v>251</v>
      </c>
      <c r="K120" s="120" t="s">
        <v>251</v>
      </c>
      <c r="L120" s="120" t="s">
        <v>251</v>
      </c>
      <c r="M120" s="120" t="s">
        <v>251</v>
      </c>
      <c r="N120" s="120" t="s">
        <v>251</v>
      </c>
      <c r="O120" s="120" t="s">
        <v>251</v>
      </c>
      <c r="P120" s="120" t="s">
        <v>251</v>
      </c>
      <c r="Q120" s="120" t="s">
        <v>251</v>
      </c>
      <c r="R120" s="120"/>
      <c r="S120" s="121"/>
    </row>
    <row r="121" spans="1:19" ht="15">
      <c r="A121" s="105" t="s">
        <v>251</v>
      </c>
      <c r="B121" s="129"/>
      <c r="C121" s="107" t="s">
        <v>339</v>
      </c>
      <c r="D121" s="107" t="s">
        <v>251</v>
      </c>
      <c r="E121" s="120" t="s">
        <v>251</v>
      </c>
      <c r="F121" s="120" t="s">
        <v>251</v>
      </c>
      <c r="G121" s="120" t="s">
        <v>251</v>
      </c>
      <c r="H121" s="120" t="s">
        <v>251</v>
      </c>
      <c r="I121" s="120" t="s">
        <v>251</v>
      </c>
      <c r="J121" s="120" t="s">
        <v>251</v>
      </c>
      <c r="K121" s="120" t="s">
        <v>251</v>
      </c>
      <c r="L121" s="120" t="s">
        <v>251</v>
      </c>
      <c r="M121" s="120" t="s">
        <v>251</v>
      </c>
      <c r="N121" s="120" t="s">
        <v>251</v>
      </c>
      <c r="O121" s="120" t="s">
        <v>251</v>
      </c>
      <c r="P121" s="120" t="s">
        <v>251</v>
      </c>
      <c r="Q121" s="120" t="s">
        <v>251</v>
      </c>
      <c r="R121" s="120"/>
      <c r="S121" s="121"/>
    </row>
    <row r="122" spans="1:19" ht="15">
      <c r="A122" s="105">
        <v>1</v>
      </c>
      <c r="B122" s="129" t="str">
        <f t="shared" ref="B122:B130" si="2">MID(C122,2,3)</f>
        <v>350</v>
      </c>
      <c r="C122" s="107" t="s">
        <v>340</v>
      </c>
      <c r="D122" s="107" t="s">
        <v>341</v>
      </c>
      <c r="E122" s="120">
        <v>29679524.648327902</v>
      </c>
      <c r="F122" s="120" t="s">
        <v>251</v>
      </c>
      <c r="G122" s="120">
        <v>28379883.749940377</v>
      </c>
      <c r="H122" s="120" t="s">
        <v>251</v>
      </c>
      <c r="I122" s="120">
        <v>1299549.8029142306</v>
      </c>
      <c r="J122" s="120">
        <v>91.095473293767668</v>
      </c>
      <c r="K122" s="120" t="s">
        <v>251</v>
      </c>
      <c r="L122" s="120" t="s">
        <v>251</v>
      </c>
      <c r="M122" s="120">
        <v>91.095473293767668</v>
      </c>
      <c r="N122" s="120" t="s">
        <v>251</v>
      </c>
      <c r="O122" s="120">
        <v>0</v>
      </c>
      <c r="P122" s="120">
        <v>0</v>
      </c>
      <c r="Q122" s="120">
        <v>0</v>
      </c>
      <c r="R122" s="120"/>
      <c r="S122" s="121"/>
    </row>
    <row r="123" spans="1:19" ht="15">
      <c r="A123" s="105">
        <v>2</v>
      </c>
      <c r="B123" s="129" t="str">
        <f t="shared" si="2"/>
        <v>352</v>
      </c>
      <c r="C123" s="107" t="s">
        <v>342</v>
      </c>
      <c r="D123" s="107" t="s">
        <v>341</v>
      </c>
      <c r="E123" s="120">
        <v>27771698.27</v>
      </c>
      <c r="F123" s="120" t="s">
        <v>251</v>
      </c>
      <c r="G123" s="120">
        <v>26555599.450458981</v>
      </c>
      <c r="H123" s="120" t="s">
        <v>251</v>
      </c>
      <c r="I123" s="120">
        <v>1216013.5797661864</v>
      </c>
      <c r="J123" s="120">
        <v>85.239774829745727</v>
      </c>
      <c r="K123" s="120" t="s">
        <v>251</v>
      </c>
      <c r="L123" s="120" t="s">
        <v>251</v>
      </c>
      <c r="M123" s="120">
        <v>85.239774829745727</v>
      </c>
      <c r="N123" s="120" t="s">
        <v>251</v>
      </c>
      <c r="O123" s="120">
        <v>0</v>
      </c>
      <c r="P123" s="120">
        <v>0</v>
      </c>
      <c r="Q123" s="120">
        <v>0</v>
      </c>
      <c r="R123" s="120"/>
      <c r="S123" s="121"/>
    </row>
    <row r="124" spans="1:19" ht="15">
      <c r="A124" s="105">
        <v>3</v>
      </c>
      <c r="B124" s="129" t="str">
        <f t="shared" si="2"/>
        <v>353</v>
      </c>
      <c r="C124" s="107" t="s">
        <v>343</v>
      </c>
      <c r="D124" s="107" t="s">
        <v>341</v>
      </c>
      <c r="E124" s="120">
        <v>327162837.34075636</v>
      </c>
      <c r="F124" s="120" t="s">
        <v>251</v>
      </c>
      <c r="G124" s="120">
        <v>312836657.630041</v>
      </c>
      <c r="H124" s="120" t="s">
        <v>251</v>
      </c>
      <c r="I124" s="120">
        <v>14325175.548625018</v>
      </c>
      <c r="J124" s="120">
        <v>1004.1620903577101</v>
      </c>
      <c r="K124" s="120" t="s">
        <v>251</v>
      </c>
      <c r="L124" s="120" t="s">
        <v>251</v>
      </c>
      <c r="M124" s="120">
        <v>1004.1620903577101</v>
      </c>
      <c r="N124" s="120" t="s">
        <v>251</v>
      </c>
      <c r="O124" s="120">
        <v>0</v>
      </c>
      <c r="P124" s="120">
        <v>0</v>
      </c>
      <c r="Q124" s="120">
        <v>0</v>
      </c>
      <c r="R124" s="120"/>
      <c r="S124" s="121"/>
    </row>
    <row r="125" spans="1:19" ht="15">
      <c r="A125" s="105">
        <v>4</v>
      </c>
      <c r="B125" s="129" t="str">
        <f t="shared" si="2"/>
        <v>354</v>
      </c>
      <c r="C125" s="107" t="s">
        <v>344</v>
      </c>
      <c r="D125" s="107" t="s">
        <v>341</v>
      </c>
      <c r="E125" s="120">
        <v>69889664.11999999</v>
      </c>
      <c r="F125" s="120" t="s">
        <v>251</v>
      </c>
      <c r="G125" s="120">
        <v>66829255.742804624</v>
      </c>
      <c r="H125" s="120" t="s">
        <v>251</v>
      </c>
      <c r="I125" s="120">
        <v>3060193.8645942803</v>
      </c>
      <c r="J125" s="120">
        <v>214.51260108751563</v>
      </c>
      <c r="K125" s="120" t="s">
        <v>251</v>
      </c>
      <c r="L125" s="120" t="s">
        <v>251</v>
      </c>
      <c r="M125" s="120">
        <v>214.51260108751563</v>
      </c>
      <c r="N125" s="120" t="s">
        <v>251</v>
      </c>
      <c r="O125" s="120">
        <v>0</v>
      </c>
      <c r="P125" s="120">
        <v>0</v>
      </c>
      <c r="Q125" s="120">
        <v>0</v>
      </c>
      <c r="R125" s="120"/>
      <c r="S125" s="121"/>
    </row>
    <row r="126" spans="1:19" ht="15">
      <c r="A126" s="105">
        <v>5</v>
      </c>
      <c r="B126" s="129" t="str">
        <f t="shared" si="2"/>
        <v>355</v>
      </c>
      <c r="C126" s="107" t="s">
        <v>345</v>
      </c>
      <c r="D126" s="107" t="s">
        <v>341</v>
      </c>
      <c r="E126" s="120">
        <v>378397473.25113088</v>
      </c>
      <c r="F126" s="120" t="s">
        <v>251</v>
      </c>
      <c r="G126" s="120">
        <v>361827772.82934952</v>
      </c>
      <c r="H126" s="120" t="s">
        <v>251</v>
      </c>
      <c r="I126" s="120">
        <v>16568539.00503606</v>
      </c>
      <c r="J126" s="120">
        <v>1161.4167452954662</v>
      </c>
      <c r="K126" s="120" t="s">
        <v>251</v>
      </c>
      <c r="L126" s="120" t="s">
        <v>251</v>
      </c>
      <c r="M126" s="120">
        <v>1161.4167452954662</v>
      </c>
      <c r="N126" s="120" t="s">
        <v>251</v>
      </c>
      <c r="O126" s="120">
        <v>0</v>
      </c>
      <c r="P126" s="120">
        <v>0</v>
      </c>
      <c r="Q126" s="120">
        <v>0</v>
      </c>
      <c r="R126" s="120"/>
      <c r="S126" s="121"/>
    </row>
    <row r="127" spans="1:19" ht="15">
      <c r="A127" s="105">
        <v>6</v>
      </c>
      <c r="B127" s="129" t="str">
        <f t="shared" si="2"/>
        <v>356</v>
      </c>
      <c r="C127" s="107" t="s">
        <v>346</v>
      </c>
      <c r="D127" s="107" t="s">
        <v>341</v>
      </c>
      <c r="E127" s="120">
        <v>169743665.04710001</v>
      </c>
      <c r="F127" s="120" t="s">
        <v>251</v>
      </c>
      <c r="G127" s="120">
        <v>162310735.71445882</v>
      </c>
      <c r="H127" s="120" t="s">
        <v>251</v>
      </c>
      <c r="I127" s="120">
        <v>7432408.3377907388</v>
      </c>
      <c r="J127" s="120">
        <v>520.99485046690256</v>
      </c>
      <c r="K127" s="120" t="s">
        <v>251</v>
      </c>
      <c r="L127" s="120" t="s">
        <v>251</v>
      </c>
      <c r="M127" s="120">
        <v>520.99485046690256</v>
      </c>
      <c r="N127" s="120" t="s">
        <v>251</v>
      </c>
      <c r="O127" s="120">
        <v>0</v>
      </c>
      <c r="P127" s="120">
        <v>0</v>
      </c>
      <c r="Q127" s="120">
        <v>0</v>
      </c>
      <c r="R127" s="120"/>
      <c r="S127" s="121"/>
    </row>
    <row r="128" spans="1:19" ht="15">
      <c r="A128" s="105">
        <v>7</v>
      </c>
      <c r="B128" s="129" t="str">
        <f t="shared" si="2"/>
        <v>357</v>
      </c>
      <c r="C128" s="107" t="s">
        <v>347</v>
      </c>
      <c r="D128" s="107" t="s">
        <v>341</v>
      </c>
      <c r="E128" s="120">
        <v>447363.25999999995</v>
      </c>
      <c r="F128" s="120" t="s">
        <v>251</v>
      </c>
      <c r="G128" s="120">
        <v>427773.60699776676</v>
      </c>
      <c r="H128" s="120" t="s">
        <v>251</v>
      </c>
      <c r="I128" s="120">
        <v>19588.279908547029</v>
      </c>
      <c r="J128" s="120">
        <v>1.3730936861968506</v>
      </c>
      <c r="K128" s="120" t="s">
        <v>251</v>
      </c>
      <c r="L128" s="120" t="s">
        <v>251</v>
      </c>
      <c r="M128" s="120">
        <v>1.3730936861968506</v>
      </c>
      <c r="N128" s="120" t="s">
        <v>251</v>
      </c>
      <c r="O128" s="120">
        <v>0</v>
      </c>
      <c r="P128" s="120">
        <v>0</v>
      </c>
      <c r="Q128" s="120">
        <v>0</v>
      </c>
      <c r="R128" s="120"/>
      <c r="S128" s="121"/>
    </row>
    <row r="129" spans="1:19" ht="15">
      <c r="A129" s="105">
        <v>8</v>
      </c>
      <c r="B129" s="129" t="str">
        <f t="shared" si="2"/>
        <v>358</v>
      </c>
      <c r="C129" s="107" t="s">
        <v>348</v>
      </c>
      <c r="D129" s="107" t="s">
        <v>341</v>
      </c>
      <c r="E129" s="120">
        <v>1296253.5499999998</v>
      </c>
      <c r="F129" s="120" t="s">
        <v>251</v>
      </c>
      <c r="G129" s="120">
        <v>1239491.7201451901</v>
      </c>
      <c r="H129" s="120" t="s">
        <v>251</v>
      </c>
      <c r="I129" s="120">
        <v>56757.85125905904</v>
      </c>
      <c r="J129" s="120">
        <v>3.9785957506104839</v>
      </c>
      <c r="K129" s="120" t="s">
        <v>251</v>
      </c>
      <c r="L129" s="120" t="s">
        <v>251</v>
      </c>
      <c r="M129" s="120">
        <v>3.9785957506104839</v>
      </c>
      <c r="N129" s="120" t="s">
        <v>251</v>
      </c>
      <c r="O129" s="120">
        <v>0</v>
      </c>
      <c r="P129" s="120">
        <v>0</v>
      </c>
      <c r="Q129" s="120">
        <v>0</v>
      </c>
      <c r="R129" s="120"/>
      <c r="S129" s="121"/>
    </row>
    <row r="130" spans="1:19" ht="15">
      <c r="A130" s="105">
        <v>9</v>
      </c>
      <c r="B130" s="129" t="str">
        <f t="shared" si="2"/>
        <v>359</v>
      </c>
      <c r="C130" s="107" t="s">
        <v>349</v>
      </c>
      <c r="D130" s="107" t="s">
        <v>341</v>
      </c>
      <c r="E130" s="120">
        <v>551323.88</v>
      </c>
      <c r="F130" s="120" t="s">
        <v>251</v>
      </c>
      <c r="G130" s="120">
        <v>527181.88071949384</v>
      </c>
      <c r="H130" s="120" t="s">
        <v>251</v>
      </c>
      <c r="I130" s="120">
        <v>24140.307100109632</v>
      </c>
      <c r="J130" s="120">
        <v>1.6921803964803681</v>
      </c>
      <c r="K130" s="120" t="s">
        <v>251</v>
      </c>
      <c r="L130" s="120" t="s">
        <v>251</v>
      </c>
      <c r="M130" s="120">
        <v>1.6921803964803681</v>
      </c>
      <c r="N130" s="120" t="s">
        <v>251</v>
      </c>
      <c r="O130" s="120">
        <v>0</v>
      </c>
      <c r="P130" s="120">
        <v>0</v>
      </c>
      <c r="Q130" s="120">
        <v>0</v>
      </c>
      <c r="R130" s="120"/>
      <c r="S130" s="121"/>
    </row>
    <row r="131" spans="1:19" ht="15">
      <c r="A131" s="105">
        <v>10</v>
      </c>
      <c r="B131" s="105"/>
      <c r="C131" s="107" t="s">
        <v>311</v>
      </c>
      <c r="D131" s="107" t="s">
        <v>312</v>
      </c>
      <c r="E131" s="120">
        <v>2810844.66</v>
      </c>
      <c r="F131" s="120" t="s">
        <v>251</v>
      </c>
      <c r="G131" s="120">
        <v>0</v>
      </c>
      <c r="H131" s="120" t="s">
        <v>251</v>
      </c>
      <c r="I131" s="120">
        <v>915501.09019698645</v>
      </c>
      <c r="J131" s="120">
        <v>1895343.5698030139</v>
      </c>
      <c r="K131" s="120" t="s">
        <v>251</v>
      </c>
      <c r="L131" s="120" t="s">
        <v>251</v>
      </c>
      <c r="M131" s="120">
        <v>0</v>
      </c>
      <c r="N131" s="120" t="s">
        <v>251</v>
      </c>
      <c r="O131" s="120">
        <v>1895343.5698030139</v>
      </c>
      <c r="P131" s="120">
        <v>584681.35909424664</v>
      </c>
      <c r="Q131" s="120">
        <v>1310662.2107087672</v>
      </c>
      <c r="R131" s="120"/>
      <c r="S131" s="121"/>
    </row>
    <row r="132" spans="1:19" ht="15">
      <c r="A132" s="105">
        <v>11</v>
      </c>
      <c r="B132" s="105"/>
      <c r="C132" s="107" t="s">
        <v>313</v>
      </c>
      <c r="D132" s="107" t="s">
        <v>314</v>
      </c>
      <c r="E132" s="120">
        <v>1420230.45</v>
      </c>
      <c r="F132" s="120" t="s">
        <v>251</v>
      </c>
      <c r="G132" s="120">
        <v>0</v>
      </c>
      <c r="H132" s="120" t="s">
        <v>251</v>
      </c>
      <c r="I132" s="120">
        <v>0</v>
      </c>
      <c r="J132" s="120">
        <v>1420230.45</v>
      </c>
      <c r="K132" s="120" t="s">
        <v>251</v>
      </c>
      <c r="L132" s="120" t="s">
        <v>251</v>
      </c>
      <c r="M132" s="120">
        <v>0</v>
      </c>
      <c r="N132" s="120" t="s">
        <v>251</v>
      </c>
      <c r="O132" s="120">
        <v>1420230.45</v>
      </c>
      <c r="P132" s="120">
        <v>438117.01633563795</v>
      </c>
      <c r="Q132" s="120">
        <v>982113.43366436195</v>
      </c>
      <c r="R132" s="120"/>
      <c r="S132" s="121"/>
    </row>
    <row r="133" spans="1:19" ht="15">
      <c r="A133" s="105">
        <v>12</v>
      </c>
      <c r="B133" s="105"/>
      <c r="C133" s="107" t="s">
        <v>350</v>
      </c>
      <c r="D133" s="107" t="s">
        <v>251</v>
      </c>
      <c r="E133" s="120">
        <v>1009170878.4773153</v>
      </c>
      <c r="F133" s="120" t="s">
        <v>251</v>
      </c>
      <c r="G133" s="120">
        <v>960934352.32491589</v>
      </c>
      <c r="H133" s="120" t="s">
        <v>251</v>
      </c>
      <c r="I133" s="120">
        <v>44917867.667191222</v>
      </c>
      <c r="J133" s="120">
        <v>3318658.4852081779</v>
      </c>
      <c r="K133" s="120" t="s">
        <v>251</v>
      </c>
      <c r="L133" s="120" t="s">
        <v>251</v>
      </c>
      <c r="M133" s="120">
        <v>3084.4654051643961</v>
      </c>
      <c r="N133" s="120" t="s">
        <v>251</v>
      </c>
      <c r="O133" s="120">
        <v>3315574.0198030137</v>
      </c>
      <c r="P133" s="120">
        <v>1022798.3754298845</v>
      </c>
      <c r="Q133" s="120">
        <v>2292775.6443731291</v>
      </c>
      <c r="R133" s="120"/>
      <c r="S133" s="121"/>
    </row>
    <row r="134" spans="1:19" ht="15">
      <c r="A134" s="105" t="s">
        <v>251</v>
      </c>
      <c r="B134" s="105"/>
      <c r="C134" s="107" t="s">
        <v>251</v>
      </c>
      <c r="D134" s="107" t="s">
        <v>251</v>
      </c>
      <c r="E134" s="120" t="s">
        <v>251</v>
      </c>
      <c r="F134" s="120" t="s">
        <v>251</v>
      </c>
      <c r="G134" s="120" t="s">
        <v>251</v>
      </c>
      <c r="H134" s="120" t="s">
        <v>251</v>
      </c>
      <c r="I134" s="120" t="s">
        <v>251</v>
      </c>
      <c r="J134" s="120" t="s">
        <v>251</v>
      </c>
      <c r="K134" s="120" t="s">
        <v>251</v>
      </c>
      <c r="L134" s="120" t="s">
        <v>251</v>
      </c>
      <c r="M134" s="120" t="s">
        <v>251</v>
      </c>
      <c r="N134" s="120" t="s">
        <v>251</v>
      </c>
      <c r="O134" s="120" t="s">
        <v>251</v>
      </c>
      <c r="P134" s="120" t="s">
        <v>251</v>
      </c>
      <c r="Q134" s="120" t="s">
        <v>251</v>
      </c>
      <c r="R134" s="120"/>
      <c r="S134" s="121"/>
    </row>
    <row r="135" spans="1:19" ht="15">
      <c r="A135" s="105" t="s">
        <v>251</v>
      </c>
      <c r="B135" s="129"/>
      <c r="C135" s="107" t="s">
        <v>351</v>
      </c>
      <c r="D135" s="107" t="s">
        <v>251</v>
      </c>
      <c r="E135" s="120" t="s">
        <v>251</v>
      </c>
      <c r="F135" s="120" t="s">
        <v>251</v>
      </c>
      <c r="G135" s="120" t="s">
        <v>251</v>
      </c>
      <c r="H135" s="120" t="s">
        <v>251</v>
      </c>
      <c r="I135" s="120" t="s">
        <v>251</v>
      </c>
      <c r="J135" s="120" t="s">
        <v>251</v>
      </c>
      <c r="K135" s="120" t="s">
        <v>251</v>
      </c>
      <c r="L135" s="120" t="s">
        <v>251</v>
      </c>
      <c r="M135" s="120" t="s">
        <v>251</v>
      </c>
      <c r="N135" s="120" t="s">
        <v>251</v>
      </c>
      <c r="O135" s="120" t="s">
        <v>251</v>
      </c>
      <c r="P135" s="120" t="s">
        <v>251</v>
      </c>
      <c r="Q135" s="120" t="s">
        <v>251</v>
      </c>
      <c r="R135" s="120"/>
      <c r="S135" s="121"/>
    </row>
    <row r="136" spans="1:19" ht="15">
      <c r="A136" s="105">
        <v>13</v>
      </c>
      <c r="B136" s="129" t="str">
        <f t="shared" ref="B136:B141" si="3">MID(C136,2,3)</f>
        <v>350</v>
      </c>
      <c r="C136" s="107" t="s">
        <v>340</v>
      </c>
      <c r="D136" s="107" t="s">
        <v>352</v>
      </c>
      <c r="E136" s="120">
        <v>1984805.35</v>
      </c>
      <c r="F136" s="120" t="s">
        <v>251</v>
      </c>
      <c r="G136" s="120">
        <v>0</v>
      </c>
      <c r="H136" s="120" t="s">
        <v>251</v>
      </c>
      <c r="I136" s="120">
        <v>1984805.35</v>
      </c>
      <c r="J136" s="120">
        <v>0</v>
      </c>
      <c r="K136" s="120" t="s">
        <v>251</v>
      </c>
      <c r="L136" s="120" t="s">
        <v>251</v>
      </c>
      <c r="M136" s="120">
        <v>0</v>
      </c>
      <c r="N136" s="120" t="s">
        <v>251</v>
      </c>
      <c r="O136" s="120">
        <v>0</v>
      </c>
      <c r="P136" s="120">
        <v>0</v>
      </c>
      <c r="Q136" s="120">
        <v>0</v>
      </c>
      <c r="R136" s="120"/>
      <c r="S136" s="121"/>
    </row>
    <row r="137" spans="1:19" ht="15">
      <c r="A137" s="105">
        <v>14</v>
      </c>
      <c r="B137" s="129" t="str">
        <f t="shared" si="3"/>
        <v>352</v>
      </c>
      <c r="C137" s="107" t="s">
        <v>342</v>
      </c>
      <c r="D137" s="107" t="s">
        <v>352</v>
      </c>
      <c r="E137" s="120">
        <v>1743195.88</v>
      </c>
      <c r="F137" s="120" t="s">
        <v>251</v>
      </c>
      <c r="G137" s="120">
        <v>0</v>
      </c>
      <c r="H137" s="120" t="s">
        <v>251</v>
      </c>
      <c r="I137" s="120">
        <v>1743195.88</v>
      </c>
      <c r="J137" s="120">
        <v>0</v>
      </c>
      <c r="K137" s="120" t="s">
        <v>251</v>
      </c>
      <c r="L137" s="120" t="s">
        <v>251</v>
      </c>
      <c r="M137" s="120">
        <v>0</v>
      </c>
      <c r="N137" s="120" t="s">
        <v>251</v>
      </c>
      <c r="O137" s="120">
        <v>0</v>
      </c>
      <c r="P137" s="120">
        <v>0</v>
      </c>
      <c r="Q137" s="120">
        <v>0</v>
      </c>
      <c r="R137" s="120"/>
      <c r="S137" s="121"/>
    </row>
    <row r="138" spans="1:19" ht="15">
      <c r="A138" s="105">
        <v>15</v>
      </c>
      <c r="B138" s="129" t="str">
        <f t="shared" si="3"/>
        <v>353</v>
      </c>
      <c r="C138" s="107" t="s">
        <v>343</v>
      </c>
      <c r="D138" s="107" t="s">
        <v>352</v>
      </c>
      <c r="E138" s="120">
        <v>22950562.109999999</v>
      </c>
      <c r="F138" s="120" t="s">
        <v>251</v>
      </c>
      <c r="G138" s="120">
        <v>0</v>
      </c>
      <c r="H138" s="120" t="s">
        <v>251</v>
      </c>
      <c r="I138" s="120">
        <v>22950562.109999999</v>
      </c>
      <c r="J138" s="120">
        <v>0</v>
      </c>
      <c r="K138" s="120" t="s">
        <v>251</v>
      </c>
      <c r="L138" s="120" t="s">
        <v>251</v>
      </c>
      <c r="M138" s="120">
        <v>0</v>
      </c>
      <c r="N138" s="120" t="s">
        <v>251</v>
      </c>
      <c r="O138" s="120">
        <v>0</v>
      </c>
      <c r="P138" s="120">
        <v>0</v>
      </c>
      <c r="Q138" s="120">
        <v>0</v>
      </c>
      <c r="R138" s="120"/>
      <c r="S138" s="121"/>
    </row>
    <row r="139" spans="1:19" ht="15">
      <c r="A139" s="105">
        <v>16</v>
      </c>
      <c r="B139" s="129" t="str">
        <f t="shared" si="3"/>
        <v>354</v>
      </c>
      <c r="C139" s="107" t="s">
        <v>344</v>
      </c>
      <c r="D139" s="107" t="s">
        <v>352</v>
      </c>
      <c r="E139" s="120">
        <v>2411758.4300000006</v>
      </c>
      <c r="F139" s="120" t="s">
        <v>251</v>
      </c>
      <c r="G139" s="120">
        <v>0</v>
      </c>
      <c r="H139" s="120" t="s">
        <v>251</v>
      </c>
      <c r="I139" s="120">
        <v>2411758.4300000006</v>
      </c>
      <c r="J139" s="120">
        <v>0</v>
      </c>
      <c r="K139" s="120" t="s">
        <v>251</v>
      </c>
      <c r="L139" s="120" t="s">
        <v>251</v>
      </c>
      <c r="M139" s="120">
        <v>0</v>
      </c>
      <c r="N139" s="120" t="s">
        <v>251</v>
      </c>
      <c r="O139" s="120">
        <v>0</v>
      </c>
      <c r="P139" s="120">
        <v>0</v>
      </c>
      <c r="Q139" s="120">
        <v>0</v>
      </c>
      <c r="R139" s="120"/>
      <c r="S139" s="121"/>
    </row>
    <row r="140" spans="1:19" ht="15">
      <c r="A140" s="105">
        <v>17</v>
      </c>
      <c r="B140" s="129" t="str">
        <f t="shared" si="3"/>
        <v>355</v>
      </c>
      <c r="C140" s="107" t="s">
        <v>345</v>
      </c>
      <c r="D140" s="107" t="s">
        <v>352</v>
      </c>
      <c r="E140" s="120">
        <v>14143080.203870401</v>
      </c>
      <c r="F140" s="120" t="s">
        <v>251</v>
      </c>
      <c r="G140" s="120">
        <v>0</v>
      </c>
      <c r="H140" s="120" t="s">
        <v>251</v>
      </c>
      <c r="I140" s="120">
        <v>14143080.203870401</v>
      </c>
      <c r="J140" s="120">
        <v>0</v>
      </c>
      <c r="K140" s="120" t="s">
        <v>251</v>
      </c>
      <c r="L140" s="120" t="s">
        <v>251</v>
      </c>
      <c r="M140" s="120">
        <v>0</v>
      </c>
      <c r="N140" s="120" t="s">
        <v>251</v>
      </c>
      <c r="O140" s="120">
        <v>0</v>
      </c>
      <c r="P140" s="120">
        <v>0</v>
      </c>
      <c r="Q140" s="120">
        <v>0</v>
      </c>
      <c r="R140" s="120"/>
      <c r="S140" s="121"/>
    </row>
    <row r="141" spans="1:19" ht="15">
      <c r="A141" s="105">
        <v>18</v>
      </c>
      <c r="B141" s="129" t="str">
        <f t="shared" si="3"/>
        <v>356</v>
      </c>
      <c r="C141" s="107" t="s">
        <v>346</v>
      </c>
      <c r="D141" s="107" t="s">
        <v>352</v>
      </c>
      <c r="E141" s="120">
        <v>15565058.871008499</v>
      </c>
      <c r="F141" s="120" t="s">
        <v>251</v>
      </c>
      <c r="G141" s="120">
        <v>0</v>
      </c>
      <c r="H141" s="120" t="s">
        <v>251</v>
      </c>
      <c r="I141" s="120">
        <v>15565058.871008499</v>
      </c>
      <c r="J141" s="120">
        <v>0</v>
      </c>
      <c r="K141" s="120" t="s">
        <v>251</v>
      </c>
      <c r="L141" s="120" t="s">
        <v>251</v>
      </c>
      <c r="M141" s="120">
        <v>0</v>
      </c>
      <c r="N141" s="120" t="s">
        <v>251</v>
      </c>
      <c r="O141" s="120">
        <v>0</v>
      </c>
      <c r="P141" s="120">
        <v>0</v>
      </c>
      <c r="Q141" s="120">
        <v>0</v>
      </c>
      <c r="R141" s="120"/>
      <c r="S141" s="121"/>
    </row>
    <row r="142" spans="1:19" ht="15">
      <c r="A142" s="105">
        <v>19</v>
      </c>
      <c r="B142" s="105"/>
      <c r="C142" s="107" t="s">
        <v>311</v>
      </c>
      <c r="D142" s="107" t="s">
        <v>352</v>
      </c>
      <c r="E142" s="120">
        <v>2</v>
      </c>
      <c r="F142" s="120" t="s">
        <v>251</v>
      </c>
      <c r="G142" s="120">
        <v>0</v>
      </c>
      <c r="H142" s="120" t="s">
        <v>251</v>
      </c>
      <c r="I142" s="120">
        <v>2</v>
      </c>
      <c r="J142" s="120">
        <v>0</v>
      </c>
      <c r="K142" s="120" t="s">
        <v>251</v>
      </c>
      <c r="L142" s="120" t="s">
        <v>251</v>
      </c>
      <c r="M142" s="120">
        <v>0</v>
      </c>
      <c r="N142" s="120" t="s">
        <v>251</v>
      </c>
      <c r="O142" s="120">
        <v>0</v>
      </c>
      <c r="P142" s="120">
        <v>0</v>
      </c>
      <c r="Q142" s="120">
        <v>0</v>
      </c>
      <c r="R142" s="120"/>
      <c r="S142" s="121"/>
    </row>
    <row r="143" spans="1:19" ht="15">
      <c r="A143" s="105">
        <v>20</v>
      </c>
      <c r="B143" s="105"/>
      <c r="C143" s="107" t="s">
        <v>313</v>
      </c>
      <c r="D143" s="107" t="s">
        <v>352</v>
      </c>
      <c r="E143" s="120">
        <v>4288.38</v>
      </c>
      <c r="F143" s="120" t="s">
        <v>251</v>
      </c>
      <c r="G143" s="120">
        <v>0</v>
      </c>
      <c r="H143" s="120" t="s">
        <v>251</v>
      </c>
      <c r="I143" s="120">
        <v>4288.38</v>
      </c>
      <c r="J143" s="120">
        <v>0</v>
      </c>
      <c r="K143" s="120" t="s">
        <v>251</v>
      </c>
      <c r="L143" s="120" t="s">
        <v>251</v>
      </c>
      <c r="M143" s="120">
        <v>0</v>
      </c>
      <c r="N143" s="120" t="s">
        <v>251</v>
      </c>
      <c r="O143" s="120">
        <v>0</v>
      </c>
      <c r="P143" s="120">
        <v>0</v>
      </c>
      <c r="Q143" s="120">
        <v>0</v>
      </c>
      <c r="R143" s="120"/>
      <c r="S143" s="121"/>
    </row>
    <row r="144" spans="1:19" ht="15">
      <c r="A144" s="105">
        <v>21</v>
      </c>
      <c r="B144" s="105"/>
      <c r="C144" s="107" t="s">
        <v>353</v>
      </c>
      <c r="D144" s="107" t="s">
        <v>251</v>
      </c>
      <c r="E144" s="120">
        <v>58802751.2248789</v>
      </c>
      <c r="F144" s="120" t="s">
        <v>251</v>
      </c>
      <c r="G144" s="120">
        <v>0</v>
      </c>
      <c r="H144" s="120" t="s">
        <v>251</v>
      </c>
      <c r="I144" s="120">
        <v>58802751.2248789</v>
      </c>
      <c r="J144" s="120">
        <v>0</v>
      </c>
      <c r="K144" s="120" t="s">
        <v>251</v>
      </c>
      <c r="L144" s="120" t="s">
        <v>251</v>
      </c>
      <c r="M144" s="120">
        <v>0</v>
      </c>
      <c r="N144" s="120" t="s">
        <v>251</v>
      </c>
      <c r="O144" s="120">
        <v>0</v>
      </c>
      <c r="P144" s="120">
        <v>0</v>
      </c>
      <c r="Q144" s="120">
        <v>0</v>
      </c>
      <c r="R144" s="120"/>
      <c r="S144" s="121"/>
    </row>
    <row r="145" spans="1:19" ht="15">
      <c r="A145" s="105" t="s">
        <v>251</v>
      </c>
      <c r="B145" s="105"/>
      <c r="C145" s="107" t="s">
        <v>251</v>
      </c>
      <c r="D145" s="107" t="s">
        <v>251</v>
      </c>
      <c r="E145" s="120" t="s">
        <v>251</v>
      </c>
      <c r="F145" s="120" t="s">
        <v>251</v>
      </c>
      <c r="G145" s="120" t="s">
        <v>251</v>
      </c>
      <c r="H145" s="120" t="s">
        <v>251</v>
      </c>
      <c r="I145" s="120" t="s">
        <v>251</v>
      </c>
      <c r="J145" s="120" t="s">
        <v>251</v>
      </c>
      <c r="K145" s="120" t="s">
        <v>251</v>
      </c>
      <c r="L145" s="120" t="s">
        <v>251</v>
      </c>
      <c r="M145" s="120" t="s">
        <v>251</v>
      </c>
      <c r="N145" s="120" t="s">
        <v>251</v>
      </c>
      <c r="O145" s="120" t="s">
        <v>251</v>
      </c>
      <c r="P145" s="120" t="s">
        <v>251</v>
      </c>
      <c r="Q145" s="120" t="s">
        <v>251</v>
      </c>
      <c r="R145" s="120"/>
      <c r="S145" s="121"/>
    </row>
    <row r="146" spans="1:19" ht="15">
      <c r="A146" s="105" t="s">
        <v>251</v>
      </c>
      <c r="B146" s="129"/>
      <c r="C146" s="107" t="s">
        <v>354</v>
      </c>
      <c r="D146" s="107" t="s">
        <v>251</v>
      </c>
      <c r="E146" s="120" t="s">
        <v>251</v>
      </c>
      <c r="F146" s="120" t="s">
        <v>251</v>
      </c>
      <c r="G146" s="120" t="s">
        <v>251</v>
      </c>
      <c r="H146" s="120" t="s">
        <v>251</v>
      </c>
      <c r="I146" s="120" t="s">
        <v>251</v>
      </c>
      <c r="J146" s="120" t="s">
        <v>251</v>
      </c>
      <c r="K146" s="120" t="s">
        <v>251</v>
      </c>
      <c r="L146" s="120" t="s">
        <v>251</v>
      </c>
      <c r="M146" s="120" t="s">
        <v>251</v>
      </c>
      <c r="N146" s="120" t="s">
        <v>251</v>
      </c>
      <c r="O146" s="120" t="s">
        <v>251</v>
      </c>
      <c r="P146" s="120" t="s">
        <v>251</v>
      </c>
      <c r="Q146" s="120" t="s">
        <v>251</v>
      </c>
      <c r="R146" s="120"/>
      <c r="S146" s="121"/>
    </row>
    <row r="147" spans="1:19" ht="15">
      <c r="A147" s="105">
        <v>22</v>
      </c>
      <c r="B147" s="129" t="str">
        <f t="shared" ref="B147:B150" si="4">MID(C147,2,3)</f>
        <v>350</v>
      </c>
      <c r="C147" s="107" t="s">
        <v>340</v>
      </c>
      <c r="D147" s="107" t="s">
        <v>355</v>
      </c>
      <c r="E147" s="120">
        <v>280370.75</v>
      </c>
      <c r="F147" s="120" t="s">
        <v>251</v>
      </c>
      <c r="G147" s="120">
        <v>280369.85005183908</v>
      </c>
      <c r="H147" s="120" t="s">
        <v>251</v>
      </c>
      <c r="I147" s="120">
        <v>0</v>
      </c>
      <c r="J147" s="120">
        <v>0.89994816091621976</v>
      </c>
      <c r="K147" s="120" t="s">
        <v>251</v>
      </c>
      <c r="L147" s="120" t="s">
        <v>251</v>
      </c>
      <c r="M147" s="120">
        <v>0.89994816091621976</v>
      </c>
      <c r="N147" s="120" t="s">
        <v>251</v>
      </c>
      <c r="O147" s="120">
        <v>0</v>
      </c>
      <c r="P147" s="120">
        <v>0</v>
      </c>
      <c r="Q147" s="120">
        <v>0</v>
      </c>
      <c r="R147" s="120"/>
      <c r="S147" s="121"/>
    </row>
    <row r="148" spans="1:19" ht="15">
      <c r="A148" s="105">
        <v>23</v>
      </c>
      <c r="B148" s="129" t="str">
        <f t="shared" si="4"/>
        <v>354</v>
      </c>
      <c r="C148" s="107" t="s">
        <v>344</v>
      </c>
      <c r="D148" s="107" t="s">
        <v>355</v>
      </c>
      <c r="E148" s="120">
        <v>4769322.8699999992</v>
      </c>
      <c r="F148" s="120" t="s">
        <v>251</v>
      </c>
      <c r="G148" s="120">
        <v>4769307.5611871304</v>
      </c>
      <c r="H148" s="120" t="s">
        <v>251</v>
      </c>
      <c r="I148" s="120">
        <v>0</v>
      </c>
      <c r="J148" s="120">
        <v>15.308812868932177</v>
      </c>
      <c r="K148" s="120" t="s">
        <v>251</v>
      </c>
      <c r="L148" s="120" t="s">
        <v>251</v>
      </c>
      <c r="M148" s="120">
        <v>15.308812868932177</v>
      </c>
      <c r="N148" s="120" t="s">
        <v>251</v>
      </c>
      <c r="O148" s="120">
        <v>0</v>
      </c>
      <c r="P148" s="120">
        <v>0</v>
      </c>
      <c r="Q148" s="120">
        <v>0</v>
      </c>
      <c r="R148" s="120"/>
      <c r="S148" s="121"/>
    </row>
    <row r="149" spans="1:19" ht="15">
      <c r="A149" s="105">
        <v>24</v>
      </c>
      <c r="B149" s="129" t="str">
        <f t="shared" si="4"/>
        <v>355</v>
      </c>
      <c r="C149" s="107" t="s">
        <v>345</v>
      </c>
      <c r="D149" s="107" t="s">
        <v>355</v>
      </c>
      <c r="E149" s="120">
        <v>51357.98</v>
      </c>
      <c r="F149" s="120" t="s">
        <v>251</v>
      </c>
      <c r="G149" s="120">
        <v>51357.815148567926</v>
      </c>
      <c r="H149" s="120" t="s">
        <v>251</v>
      </c>
      <c r="I149" s="120">
        <v>0</v>
      </c>
      <c r="J149" s="120">
        <v>0.164851432074751</v>
      </c>
      <c r="K149" s="120" t="s">
        <v>251</v>
      </c>
      <c r="L149" s="120" t="s">
        <v>251</v>
      </c>
      <c r="M149" s="120">
        <v>0.164851432074751</v>
      </c>
      <c r="N149" s="120" t="s">
        <v>251</v>
      </c>
      <c r="O149" s="120">
        <v>0</v>
      </c>
      <c r="P149" s="120">
        <v>0</v>
      </c>
      <c r="Q149" s="120">
        <v>0</v>
      </c>
      <c r="R149" s="120"/>
      <c r="S149" s="121"/>
    </row>
    <row r="150" spans="1:19" ht="15">
      <c r="A150" s="105">
        <v>25</v>
      </c>
      <c r="B150" s="129" t="str">
        <f t="shared" si="4"/>
        <v>356</v>
      </c>
      <c r="C150" s="107" t="s">
        <v>346</v>
      </c>
      <c r="D150" s="107" t="s">
        <v>355</v>
      </c>
      <c r="E150" s="120">
        <v>3129377.81</v>
      </c>
      <c r="F150" s="120" t="s">
        <v>251</v>
      </c>
      <c r="G150" s="120">
        <v>3129367.7651654198</v>
      </c>
      <c r="H150" s="120" t="s">
        <v>251</v>
      </c>
      <c r="I150" s="120">
        <v>0</v>
      </c>
      <c r="J150" s="120">
        <v>10.044834580360209</v>
      </c>
      <c r="K150" s="120" t="s">
        <v>251</v>
      </c>
      <c r="L150" s="120" t="s">
        <v>251</v>
      </c>
      <c r="M150" s="120">
        <v>10.044834580360209</v>
      </c>
      <c r="N150" s="120" t="s">
        <v>251</v>
      </c>
      <c r="O150" s="120">
        <v>0</v>
      </c>
      <c r="P150" s="120">
        <v>0</v>
      </c>
      <c r="Q150" s="120">
        <v>0</v>
      </c>
      <c r="R150" s="120"/>
      <c r="S150" s="121"/>
    </row>
    <row r="151" spans="1:19" ht="15">
      <c r="A151" s="105">
        <v>26</v>
      </c>
      <c r="B151" s="105"/>
      <c r="C151" s="107" t="s">
        <v>311</v>
      </c>
      <c r="D151" s="107" t="s">
        <v>312</v>
      </c>
      <c r="E151" s="120">
        <v>0</v>
      </c>
      <c r="F151" s="120" t="s">
        <v>251</v>
      </c>
      <c r="G151" s="120">
        <v>0</v>
      </c>
      <c r="H151" s="120" t="s">
        <v>251</v>
      </c>
      <c r="I151" s="120">
        <v>0</v>
      </c>
      <c r="J151" s="120">
        <v>0</v>
      </c>
      <c r="K151" s="120" t="s">
        <v>251</v>
      </c>
      <c r="L151" s="120" t="s">
        <v>251</v>
      </c>
      <c r="M151" s="120">
        <v>0</v>
      </c>
      <c r="N151" s="120" t="s">
        <v>251</v>
      </c>
      <c r="O151" s="120">
        <v>0</v>
      </c>
      <c r="P151" s="120">
        <v>0</v>
      </c>
      <c r="Q151" s="120">
        <v>0</v>
      </c>
      <c r="R151" s="120"/>
      <c r="S151" s="121"/>
    </row>
    <row r="152" spans="1:19" ht="15">
      <c r="A152" s="105">
        <v>27</v>
      </c>
      <c r="B152" s="105"/>
      <c r="C152" s="107" t="s">
        <v>313</v>
      </c>
      <c r="D152" s="107" t="s">
        <v>314</v>
      </c>
      <c r="E152" s="120">
        <v>0</v>
      </c>
      <c r="F152" s="120" t="s">
        <v>251</v>
      </c>
      <c r="G152" s="120">
        <v>0</v>
      </c>
      <c r="H152" s="120" t="s">
        <v>251</v>
      </c>
      <c r="I152" s="120">
        <v>0</v>
      </c>
      <c r="J152" s="120">
        <v>0</v>
      </c>
      <c r="K152" s="120" t="s">
        <v>251</v>
      </c>
      <c r="L152" s="120" t="s">
        <v>251</v>
      </c>
      <c r="M152" s="120">
        <v>0</v>
      </c>
      <c r="N152" s="120" t="s">
        <v>251</v>
      </c>
      <c r="O152" s="120">
        <v>0</v>
      </c>
      <c r="P152" s="120">
        <v>0</v>
      </c>
      <c r="Q152" s="120">
        <v>0</v>
      </c>
      <c r="R152" s="120"/>
      <c r="S152" s="121"/>
    </row>
    <row r="153" spans="1:19" ht="15">
      <c r="A153" s="105">
        <v>28</v>
      </c>
      <c r="B153" s="105"/>
      <c r="C153" s="107" t="s">
        <v>356</v>
      </c>
      <c r="D153" s="107" t="s">
        <v>251</v>
      </c>
      <c r="E153" s="120">
        <v>8230429.4099999983</v>
      </c>
      <c r="F153" s="120" t="s">
        <v>251</v>
      </c>
      <c r="G153" s="120">
        <v>8230402.9915529564</v>
      </c>
      <c r="H153" s="120" t="s">
        <v>251</v>
      </c>
      <c r="I153" s="120">
        <v>0</v>
      </c>
      <c r="J153" s="120">
        <v>26.418447042283358</v>
      </c>
      <c r="K153" s="120" t="s">
        <v>251</v>
      </c>
      <c r="L153" s="120" t="s">
        <v>251</v>
      </c>
      <c r="M153" s="120">
        <v>26.418447042283358</v>
      </c>
      <c r="N153" s="120" t="s">
        <v>251</v>
      </c>
      <c r="O153" s="120">
        <v>0</v>
      </c>
      <c r="P153" s="120">
        <v>0</v>
      </c>
      <c r="Q153" s="120">
        <v>0</v>
      </c>
      <c r="R153" s="120"/>
      <c r="S153" s="121"/>
    </row>
    <row r="154" spans="1:19" ht="15">
      <c r="A154" s="105" t="s">
        <v>251</v>
      </c>
      <c r="B154" s="105"/>
      <c r="C154" s="107" t="s">
        <v>251</v>
      </c>
      <c r="D154" s="107" t="s">
        <v>251</v>
      </c>
      <c r="E154" s="120" t="s">
        <v>251</v>
      </c>
      <c r="F154" s="120" t="s">
        <v>251</v>
      </c>
      <c r="G154" s="120" t="s">
        <v>251</v>
      </c>
      <c r="H154" s="120" t="s">
        <v>251</v>
      </c>
      <c r="I154" s="120" t="s">
        <v>251</v>
      </c>
      <c r="J154" s="120" t="s">
        <v>251</v>
      </c>
      <c r="K154" s="120" t="s">
        <v>251</v>
      </c>
      <c r="L154" s="120" t="s">
        <v>251</v>
      </c>
      <c r="M154" s="120" t="s">
        <v>251</v>
      </c>
      <c r="N154" s="120" t="s">
        <v>251</v>
      </c>
      <c r="O154" s="120" t="s">
        <v>251</v>
      </c>
      <c r="P154" s="120" t="s">
        <v>251</v>
      </c>
      <c r="Q154" s="120" t="s">
        <v>251</v>
      </c>
      <c r="R154" s="120"/>
      <c r="S154" s="121"/>
    </row>
    <row r="155" spans="1:19" ht="15">
      <c r="A155" s="105">
        <v>29</v>
      </c>
      <c r="B155" s="105"/>
      <c r="C155" s="107" t="s">
        <v>357</v>
      </c>
      <c r="D155" s="107" t="s">
        <v>251</v>
      </c>
      <c r="E155" s="120">
        <v>1076204059.1121943</v>
      </c>
      <c r="F155" s="120" t="s">
        <v>251</v>
      </c>
      <c r="G155" s="120">
        <v>969164755.31646883</v>
      </c>
      <c r="H155" s="120" t="s">
        <v>251</v>
      </c>
      <c r="I155" s="120">
        <v>103720618.89207011</v>
      </c>
      <c r="J155" s="120">
        <v>3318684.9036552203</v>
      </c>
      <c r="K155" s="120" t="s">
        <v>251</v>
      </c>
      <c r="L155" s="120" t="s">
        <v>251</v>
      </c>
      <c r="M155" s="120">
        <v>3110.8838522066794</v>
      </c>
      <c r="N155" s="120" t="s">
        <v>251</v>
      </c>
      <c r="O155" s="120">
        <v>3315574.0198030137</v>
      </c>
      <c r="P155" s="120">
        <v>1022798.3754298845</v>
      </c>
      <c r="Q155" s="120">
        <v>2292775.6443731291</v>
      </c>
      <c r="R155" s="120"/>
      <c r="S155" s="121"/>
    </row>
    <row r="156" spans="1:19" ht="15">
      <c r="A156" s="105" t="s">
        <v>251</v>
      </c>
      <c r="B156" s="105"/>
      <c r="C156" s="107" t="s">
        <v>251</v>
      </c>
      <c r="D156" s="107" t="s">
        <v>251</v>
      </c>
      <c r="E156" s="120" t="s">
        <v>251</v>
      </c>
      <c r="F156" s="120" t="s">
        <v>251</v>
      </c>
      <c r="G156" s="120" t="s">
        <v>251</v>
      </c>
      <c r="H156" s="120" t="s">
        <v>251</v>
      </c>
      <c r="I156" s="120" t="s">
        <v>251</v>
      </c>
      <c r="J156" s="120" t="s">
        <v>251</v>
      </c>
      <c r="K156" s="120" t="s">
        <v>251</v>
      </c>
      <c r="L156" s="120" t="s">
        <v>251</v>
      </c>
      <c r="M156" s="120" t="s">
        <v>251</v>
      </c>
      <c r="N156" s="120" t="s">
        <v>251</v>
      </c>
      <c r="O156" s="120" t="s">
        <v>251</v>
      </c>
      <c r="P156" s="120" t="s">
        <v>251</v>
      </c>
      <c r="Q156" s="120" t="s">
        <v>251</v>
      </c>
      <c r="R156" s="120"/>
      <c r="S156" s="121"/>
    </row>
    <row r="157" spans="1:19" ht="15">
      <c r="A157" s="105" t="s">
        <v>251</v>
      </c>
      <c r="B157" s="105"/>
      <c r="C157" s="107" t="s">
        <v>337</v>
      </c>
      <c r="D157" s="107" t="s">
        <v>251</v>
      </c>
      <c r="E157" s="120" t="s">
        <v>251</v>
      </c>
      <c r="F157" s="120" t="s">
        <v>251</v>
      </c>
      <c r="G157" s="120" t="s">
        <v>251</v>
      </c>
      <c r="H157" s="120" t="s">
        <v>251</v>
      </c>
      <c r="I157" s="120" t="s">
        <v>251</v>
      </c>
      <c r="J157" s="120" t="s">
        <v>251</v>
      </c>
      <c r="K157" s="120" t="s">
        <v>251</v>
      </c>
      <c r="L157" s="120" t="s">
        <v>251</v>
      </c>
      <c r="M157" s="120" t="s">
        <v>251</v>
      </c>
      <c r="N157" s="120" t="s">
        <v>251</v>
      </c>
      <c r="O157" s="120" t="s">
        <v>251</v>
      </c>
      <c r="P157" s="120" t="s">
        <v>251</v>
      </c>
      <c r="Q157" s="120" t="s">
        <v>251</v>
      </c>
      <c r="R157" s="120"/>
      <c r="S157" s="121"/>
    </row>
    <row r="158" spans="1:19" ht="15">
      <c r="A158" s="105" t="s">
        <v>251</v>
      </c>
      <c r="B158" s="105"/>
      <c r="C158" s="107" t="s">
        <v>251</v>
      </c>
      <c r="D158" s="107" t="s">
        <v>251</v>
      </c>
      <c r="E158" s="120" t="s">
        <v>251</v>
      </c>
      <c r="F158" s="120" t="s">
        <v>251</v>
      </c>
      <c r="G158" s="120" t="s">
        <v>251</v>
      </c>
      <c r="H158" s="120" t="s">
        <v>251</v>
      </c>
      <c r="I158" s="120" t="s">
        <v>251</v>
      </c>
      <c r="J158" s="120" t="s">
        <v>251</v>
      </c>
      <c r="K158" s="120" t="s">
        <v>251</v>
      </c>
      <c r="L158" s="120" t="s">
        <v>251</v>
      </c>
      <c r="M158" s="120" t="s">
        <v>251</v>
      </c>
      <c r="N158" s="120" t="s">
        <v>251</v>
      </c>
      <c r="O158" s="120" t="s">
        <v>251</v>
      </c>
      <c r="P158" s="120" t="s">
        <v>251</v>
      </c>
      <c r="Q158" s="120" t="s">
        <v>251</v>
      </c>
      <c r="R158" s="120"/>
      <c r="S158" s="121"/>
    </row>
    <row r="159" spans="1:19" ht="15">
      <c r="A159" s="105" t="s">
        <v>251</v>
      </c>
      <c r="B159" s="105"/>
      <c r="C159" s="107" t="s">
        <v>358</v>
      </c>
      <c r="D159" s="107" t="s">
        <v>251</v>
      </c>
      <c r="E159" s="120" t="s">
        <v>251</v>
      </c>
      <c r="F159" s="120" t="s">
        <v>251</v>
      </c>
      <c r="G159" s="120" t="s">
        <v>251</v>
      </c>
      <c r="H159" s="120" t="s">
        <v>251</v>
      </c>
      <c r="I159" s="120" t="s">
        <v>251</v>
      </c>
      <c r="J159" s="120" t="s">
        <v>251</v>
      </c>
      <c r="K159" s="120" t="s">
        <v>251</v>
      </c>
      <c r="L159" s="120" t="s">
        <v>251</v>
      </c>
      <c r="M159" s="120" t="s">
        <v>251</v>
      </c>
      <c r="N159" s="120" t="s">
        <v>251</v>
      </c>
      <c r="O159" s="120" t="s">
        <v>251</v>
      </c>
      <c r="P159" s="120" t="s">
        <v>251</v>
      </c>
      <c r="Q159" s="120" t="s">
        <v>251</v>
      </c>
      <c r="R159" s="120"/>
      <c r="S159" s="121"/>
    </row>
    <row r="160" spans="1:19" ht="15">
      <c r="A160" s="105" t="s">
        <v>251</v>
      </c>
      <c r="B160" s="129"/>
      <c r="C160" s="107" t="s">
        <v>359</v>
      </c>
      <c r="D160" s="107" t="s">
        <v>251</v>
      </c>
      <c r="E160" s="120" t="s">
        <v>251</v>
      </c>
      <c r="F160" s="120" t="s">
        <v>251</v>
      </c>
      <c r="G160" s="120" t="s">
        <v>251</v>
      </c>
      <c r="H160" s="120" t="s">
        <v>251</v>
      </c>
      <c r="I160" s="120" t="s">
        <v>251</v>
      </c>
      <c r="J160" s="120" t="s">
        <v>251</v>
      </c>
      <c r="K160" s="120" t="s">
        <v>251</v>
      </c>
      <c r="L160" s="120" t="s">
        <v>251</v>
      </c>
      <c r="M160" s="120" t="s">
        <v>251</v>
      </c>
      <c r="N160" s="120" t="s">
        <v>251</v>
      </c>
      <c r="O160" s="120" t="s">
        <v>251</v>
      </c>
      <c r="P160" s="120" t="s">
        <v>251</v>
      </c>
      <c r="Q160" s="120" t="s">
        <v>251</v>
      </c>
      <c r="R160" s="120"/>
      <c r="S160" s="121"/>
    </row>
    <row r="161" spans="1:19" ht="15">
      <c r="A161" s="105">
        <v>1</v>
      </c>
      <c r="B161" s="129" t="str">
        <f t="shared" ref="B161:B167" si="5">MID(C161,2,3)</f>
        <v>360</v>
      </c>
      <c r="C161" s="107" t="s">
        <v>360</v>
      </c>
      <c r="D161" s="107" t="s">
        <v>361</v>
      </c>
      <c r="E161" s="120">
        <v>9123751.0063599907</v>
      </c>
      <c r="F161" s="120" t="s">
        <v>251</v>
      </c>
      <c r="G161" s="120">
        <v>9114594.0063599907</v>
      </c>
      <c r="H161" s="120" t="s">
        <v>251</v>
      </c>
      <c r="I161" s="120">
        <v>0</v>
      </c>
      <c r="J161" s="120">
        <v>9157</v>
      </c>
      <c r="K161" s="120" t="s">
        <v>251</v>
      </c>
      <c r="L161" s="120" t="s">
        <v>251</v>
      </c>
      <c r="M161" s="120">
        <v>0</v>
      </c>
      <c r="N161" s="120" t="s">
        <v>251</v>
      </c>
      <c r="O161" s="120">
        <v>9157</v>
      </c>
      <c r="P161" s="120">
        <v>9157</v>
      </c>
      <c r="Q161" s="120">
        <v>0</v>
      </c>
      <c r="R161" s="120"/>
      <c r="S161" s="121"/>
    </row>
    <row r="162" spans="1:19" ht="15">
      <c r="A162" s="105">
        <v>2</v>
      </c>
      <c r="B162" s="129" t="str">
        <f t="shared" si="5"/>
        <v>361</v>
      </c>
      <c r="C162" s="107" t="s">
        <v>362</v>
      </c>
      <c r="D162" s="107" t="s">
        <v>363</v>
      </c>
      <c r="E162" s="120">
        <v>19952952.210811999</v>
      </c>
      <c r="F162" s="120" t="s">
        <v>251</v>
      </c>
      <c r="G162" s="120">
        <v>19597540.210811999</v>
      </c>
      <c r="H162" s="120" t="s">
        <v>251</v>
      </c>
      <c r="I162" s="120">
        <v>0</v>
      </c>
      <c r="J162" s="120">
        <v>355412</v>
      </c>
      <c r="K162" s="120" t="s">
        <v>251</v>
      </c>
      <c r="L162" s="120" t="s">
        <v>251</v>
      </c>
      <c r="M162" s="120">
        <v>0</v>
      </c>
      <c r="N162" s="120" t="s">
        <v>251</v>
      </c>
      <c r="O162" s="120">
        <v>355412</v>
      </c>
      <c r="P162" s="120">
        <v>355412</v>
      </c>
      <c r="Q162" s="120">
        <v>0</v>
      </c>
      <c r="R162" s="120"/>
      <c r="S162" s="121"/>
    </row>
    <row r="163" spans="1:19" ht="15">
      <c r="A163" s="105">
        <v>3</v>
      </c>
      <c r="B163" s="129" t="str">
        <f t="shared" si="5"/>
        <v>362</v>
      </c>
      <c r="C163" s="107" t="s">
        <v>364</v>
      </c>
      <c r="D163" s="107" t="s">
        <v>365</v>
      </c>
      <c r="E163" s="120">
        <v>231274267.22590452</v>
      </c>
      <c r="F163" s="120" t="s">
        <v>251</v>
      </c>
      <c r="G163" s="120">
        <v>228021184.22590452</v>
      </c>
      <c r="H163" s="120" t="s">
        <v>251</v>
      </c>
      <c r="I163" s="120">
        <v>0</v>
      </c>
      <c r="J163" s="120">
        <v>3253083</v>
      </c>
      <c r="K163" s="120" t="s">
        <v>251</v>
      </c>
      <c r="L163" s="120" t="s">
        <v>251</v>
      </c>
      <c r="M163" s="120">
        <v>0</v>
      </c>
      <c r="N163" s="120" t="s">
        <v>251</v>
      </c>
      <c r="O163" s="120">
        <v>3253083</v>
      </c>
      <c r="P163" s="120">
        <v>3253083</v>
      </c>
      <c r="Q163" s="120">
        <v>0</v>
      </c>
      <c r="R163" s="120"/>
      <c r="S163" s="121"/>
    </row>
    <row r="164" spans="1:19" ht="15">
      <c r="A164" s="105">
        <v>4</v>
      </c>
      <c r="B164" s="129" t="str">
        <f t="shared" si="5"/>
        <v>364</v>
      </c>
      <c r="C164" s="107" t="s">
        <v>366</v>
      </c>
      <c r="D164" s="107" t="s">
        <v>367</v>
      </c>
      <c r="E164" s="120">
        <v>382248194.27387595</v>
      </c>
      <c r="F164" s="120" t="s">
        <v>251</v>
      </c>
      <c r="G164" s="120">
        <v>382248194.27387595</v>
      </c>
      <c r="H164" s="120" t="s">
        <v>251</v>
      </c>
      <c r="I164" s="120">
        <v>0</v>
      </c>
      <c r="J164" s="120">
        <v>0</v>
      </c>
      <c r="K164" s="120" t="s">
        <v>251</v>
      </c>
      <c r="L164" s="120" t="s">
        <v>251</v>
      </c>
      <c r="M164" s="120">
        <v>0</v>
      </c>
      <c r="N164" s="120" t="s">
        <v>251</v>
      </c>
      <c r="O164" s="120">
        <v>0</v>
      </c>
      <c r="P164" s="120">
        <v>0</v>
      </c>
      <c r="Q164" s="120">
        <v>0</v>
      </c>
      <c r="R164" s="120"/>
      <c r="S164" s="121"/>
    </row>
    <row r="165" spans="1:19" ht="15">
      <c r="A165" s="105">
        <v>5</v>
      </c>
      <c r="B165" s="129" t="str">
        <f t="shared" si="5"/>
        <v>365</v>
      </c>
      <c r="C165" s="107" t="s">
        <v>368</v>
      </c>
      <c r="D165" s="107" t="s">
        <v>369</v>
      </c>
      <c r="E165" s="120">
        <v>380519553.0463922</v>
      </c>
      <c r="F165" s="120" t="s">
        <v>251</v>
      </c>
      <c r="G165" s="120">
        <v>380519553.0463922</v>
      </c>
      <c r="H165" s="120" t="s">
        <v>251</v>
      </c>
      <c r="I165" s="120">
        <v>0</v>
      </c>
      <c r="J165" s="120">
        <v>0</v>
      </c>
      <c r="K165" s="120" t="s">
        <v>251</v>
      </c>
      <c r="L165" s="120" t="s">
        <v>251</v>
      </c>
      <c r="M165" s="120">
        <v>0</v>
      </c>
      <c r="N165" s="120" t="s">
        <v>251</v>
      </c>
      <c r="O165" s="120">
        <v>0</v>
      </c>
      <c r="P165" s="120">
        <v>0</v>
      </c>
      <c r="Q165" s="120">
        <v>0</v>
      </c>
      <c r="R165" s="120"/>
      <c r="S165" s="121"/>
    </row>
    <row r="166" spans="1:19" ht="15">
      <c r="A166" s="105">
        <v>6</v>
      </c>
      <c r="B166" s="129" t="str">
        <f t="shared" si="5"/>
        <v>366</v>
      </c>
      <c r="C166" s="107" t="s">
        <v>370</v>
      </c>
      <c r="D166" s="107" t="s">
        <v>371</v>
      </c>
      <c r="E166" s="120">
        <v>2390106.04</v>
      </c>
      <c r="F166" s="120" t="s">
        <v>251</v>
      </c>
      <c r="G166" s="120">
        <v>2390106.04</v>
      </c>
      <c r="H166" s="120" t="s">
        <v>251</v>
      </c>
      <c r="I166" s="120">
        <v>0</v>
      </c>
      <c r="J166" s="120">
        <v>0</v>
      </c>
      <c r="K166" s="120" t="s">
        <v>251</v>
      </c>
      <c r="L166" s="120" t="s">
        <v>251</v>
      </c>
      <c r="M166" s="120">
        <v>0</v>
      </c>
      <c r="N166" s="120" t="s">
        <v>251</v>
      </c>
      <c r="O166" s="120">
        <v>0</v>
      </c>
      <c r="P166" s="120">
        <v>0</v>
      </c>
      <c r="Q166" s="120">
        <v>0</v>
      </c>
      <c r="R166" s="120"/>
      <c r="S166" s="121"/>
    </row>
    <row r="167" spans="1:19" ht="15">
      <c r="A167" s="105">
        <v>7</v>
      </c>
      <c r="B167" s="129" t="str">
        <f t="shared" si="5"/>
        <v>367</v>
      </c>
      <c r="C167" s="107" t="s">
        <v>372</v>
      </c>
      <c r="D167" s="107" t="s">
        <v>373</v>
      </c>
      <c r="E167" s="120">
        <v>203134504.83742911</v>
      </c>
      <c r="F167" s="120" t="s">
        <v>251</v>
      </c>
      <c r="G167" s="120">
        <v>203134504.83742911</v>
      </c>
      <c r="H167" s="120" t="s">
        <v>251</v>
      </c>
      <c r="I167" s="120">
        <v>0</v>
      </c>
      <c r="J167" s="120">
        <v>0</v>
      </c>
      <c r="K167" s="120" t="s">
        <v>251</v>
      </c>
      <c r="L167" s="120" t="s">
        <v>251</v>
      </c>
      <c r="M167" s="120">
        <v>0</v>
      </c>
      <c r="N167" s="120" t="s">
        <v>251</v>
      </c>
      <c r="O167" s="120">
        <v>0</v>
      </c>
      <c r="P167" s="120">
        <v>0</v>
      </c>
      <c r="Q167" s="120">
        <v>0</v>
      </c>
      <c r="R167" s="120"/>
      <c r="S167" s="121"/>
    </row>
    <row r="168" spans="1:19" ht="15">
      <c r="A168" s="105" t="s">
        <v>251</v>
      </c>
      <c r="B168" s="105"/>
      <c r="C168" s="107" t="s">
        <v>374</v>
      </c>
      <c r="D168" s="107" t="s">
        <v>251</v>
      </c>
      <c r="E168" s="120" t="s">
        <v>251</v>
      </c>
      <c r="F168" s="120" t="s">
        <v>251</v>
      </c>
      <c r="G168" s="120" t="s">
        <v>251</v>
      </c>
      <c r="H168" s="120" t="s">
        <v>251</v>
      </c>
      <c r="I168" s="120" t="s">
        <v>251</v>
      </c>
      <c r="J168" s="120" t="s">
        <v>251</v>
      </c>
      <c r="K168" s="120" t="s">
        <v>251</v>
      </c>
      <c r="L168" s="120" t="s">
        <v>251</v>
      </c>
      <c r="M168" s="120" t="s">
        <v>251</v>
      </c>
      <c r="N168" s="120" t="s">
        <v>251</v>
      </c>
      <c r="O168" s="120" t="s">
        <v>251</v>
      </c>
      <c r="P168" s="120" t="s">
        <v>251</v>
      </c>
      <c r="Q168" s="120" t="s">
        <v>251</v>
      </c>
      <c r="R168" s="120"/>
      <c r="S168" s="121"/>
    </row>
    <row r="169" spans="1:19" ht="15">
      <c r="A169" s="105">
        <v>8</v>
      </c>
      <c r="B169" s="105"/>
      <c r="C169" s="107" t="s">
        <v>375</v>
      </c>
      <c r="D169" s="107" t="s">
        <v>378</v>
      </c>
      <c r="E169" s="120">
        <v>5932112.0200000023</v>
      </c>
      <c r="F169" s="120" t="s">
        <v>251</v>
      </c>
      <c r="G169" s="120">
        <v>5932112.0200000023</v>
      </c>
      <c r="H169" s="120" t="s">
        <v>251</v>
      </c>
      <c r="I169" s="120">
        <v>0</v>
      </c>
      <c r="J169" s="120">
        <v>0</v>
      </c>
      <c r="K169" s="120" t="s">
        <v>251</v>
      </c>
      <c r="L169" s="120" t="s">
        <v>251</v>
      </c>
      <c r="M169" s="120">
        <v>0</v>
      </c>
      <c r="N169" s="120" t="s">
        <v>251</v>
      </c>
      <c r="O169" s="120">
        <v>0</v>
      </c>
      <c r="P169" s="120">
        <v>0</v>
      </c>
      <c r="Q169" s="120">
        <v>0</v>
      </c>
      <c r="R169" s="120"/>
      <c r="S169" s="121"/>
    </row>
    <row r="170" spans="1:19" ht="15">
      <c r="A170" s="105">
        <v>9</v>
      </c>
      <c r="B170" s="129"/>
      <c r="C170" s="107" t="s">
        <v>377</v>
      </c>
      <c r="D170" s="107" t="s">
        <v>378</v>
      </c>
      <c r="E170" s="120">
        <v>304339136.41298902</v>
      </c>
      <c r="F170" s="120" t="s">
        <v>251</v>
      </c>
      <c r="G170" s="120">
        <v>304339136.41298902</v>
      </c>
      <c r="H170" s="120" t="s">
        <v>251</v>
      </c>
      <c r="I170" s="120">
        <v>0</v>
      </c>
      <c r="J170" s="120">
        <v>0</v>
      </c>
      <c r="K170" s="120" t="s">
        <v>251</v>
      </c>
      <c r="L170" s="120" t="s">
        <v>251</v>
      </c>
      <c r="M170" s="120">
        <v>0</v>
      </c>
      <c r="N170" s="120" t="s">
        <v>251</v>
      </c>
      <c r="O170" s="120">
        <v>0</v>
      </c>
      <c r="P170" s="120">
        <v>0</v>
      </c>
      <c r="Q170" s="120">
        <v>0</v>
      </c>
      <c r="R170" s="120"/>
      <c r="S170" s="121"/>
    </row>
    <row r="171" spans="1:19" ht="15">
      <c r="A171" s="105">
        <v>10</v>
      </c>
      <c r="B171" s="129">
        <v>368</v>
      </c>
      <c r="C171" s="107" t="s">
        <v>379</v>
      </c>
      <c r="D171" s="107" t="s">
        <v>251</v>
      </c>
      <c r="E171" s="120">
        <v>310271248.432989</v>
      </c>
      <c r="F171" s="120" t="s">
        <v>251</v>
      </c>
      <c r="G171" s="120">
        <v>310271248.432989</v>
      </c>
      <c r="H171" s="120" t="s">
        <v>251</v>
      </c>
      <c r="I171" s="120">
        <v>0</v>
      </c>
      <c r="J171" s="120">
        <v>0</v>
      </c>
      <c r="K171" s="120" t="s">
        <v>251</v>
      </c>
      <c r="L171" s="120" t="s">
        <v>251</v>
      </c>
      <c r="M171" s="120">
        <v>0</v>
      </c>
      <c r="N171" s="120" t="s">
        <v>251</v>
      </c>
      <c r="O171" s="120">
        <v>0</v>
      </c>
      <c r="P171" s="120">
        <v>0</v>
      </c>
      <c r="Q171" s="120">
        <v>0</v>
      </c>
      <c r="R171" s="120"/>
      <c r="S171" s="121"/>
    </row>
    <row r="172" spans="1:19" ht="15">
      <c r="A172" s="105">
        <v>11</v>
      </c>
      <c r="B172" s="129" t="str">
        <f t="shared" ref="B172:B176" si="6">MID(C172,2,3)</f>
        <v>369</v>
      </c>
      <c r="C172" s="107" t="s">
        <v>380</v>
      </c>
      <c r="D172" s="107" t="s">
        <v>381</v>
      </c>
      <c r="E172" s="120">
        <v>108650549.77</v>
      </c>
      <c r="F172" s="120" t="s">
        <v>251</v>
      </c>
      <c r="G172" s="120">
        <v>108650549.77</v>
      </c>
      <c r="H172" s="120" t="s">
        <v>251</v>
      </c>
      <c r="I172" s="120">
        <v>0</v>
      </c>
      <c r="J172" s="120">
        <v>0</v>
      </c>
      <c r="K172" s="120" t="s">
        <v>251</v>
      </c>
      <c r="L172" s="120" t="s">
        <v>251</v>
      </c>
      <c r="M172" s="120">
        <v>0</v>
      </c>
      <c r="N172" s="120" t="s">
        <v>251</v>
      </c>
      <c r="O172" s="120">
        <v>0</v>
      </c>
      <c r="P172" s="120">
        <v>0</v>
      </c>
      <c r="Q172" s="120">
        <v>0</v>
      </c>
      <c r="R172" s="120"/>
      <c r="S172" s="121"/>
    </row>
    <row r="173" spans="1:19" ht="15">
      <c r="A173" s="105">
        <v>12</v>
      </c>
      <c r="B173" s="129" t="str">
        <f t="shared" si="6"/>
        <v>370</v>
      </c>
      <c r="C173" s="107" t="s">
        <v>382</v>
      </c>
      <c r="D173" s="107" t="s">
        <v>383</v>
      </c>
      <c r="E173" s="120">
        <v>77220247.207870007</v>
      </c>
      <c r="F173" s="120" t="s">
        <v>251</v>
      </c>
      <c r="G173" s="120">
        <v>76878916.207870007</v>
      </c>
      <c r="H173" s="120" t="s">
        <v>251</v>
      </c>
      <c r="I173" s="120">
        <v>0</v>
      </c>
      <c r="J173" s="120">
        <v>341331</v>
      </c>
      <c r="K173" s="120" t="s">
        <v>251</v>
      </c>
      <c r="L173" s="120" t="s">
        <v>251</v>
      </c>
      <c r="M173" s="120">
        <v>0</v>
      </c>
      <c r="N173" s="120" t="s">
        <v>251</v>
      </c>
      <c r="O173" s="120">
        <v>341331</v>
      </c>
      <c r="P173" s="120">
        <v>63157</v>
      </c>
      <c r="Q173" s="120">
        <v>278174</v>
      </c>
      <c r="R173" s="120"/>
      <c r="S173" s="121"/>
    </row>
    <row r="174" spans="1:19" ht="15">
      <c r="A174" s="105">
        <v>13</v>
      </c>
      <c r="B174" s="129" t="str">
        <f t="shared" si="6"/>
        <v>371</v>
      </c>
      <c r="C174" s="107" t="s">
        <v>384</v>
      </c>
      <c r="D174" s="107" t="s">
        <v>385</v>
      </c>
      <c r="E174" s="120">
        <v>145659.96809999997</v>
      </c>
      <c r="F174" s="120" t="s">
        <v>251</v>
      </c>
      <c r="G174" s="120">
        <v>145659.96809999997</v>
      </c>
      <c r="H174" s="120" t="s">
        <v>251</v>
      </c>
      <c r="I174" s="120">
        <v>0</v>
      </c>
      <c r="J174" s="120">
        <v>0</v>
      </c>
      <c r="K174" s="120" t="s">
        <v>251</v>
      </c>
      <c r="L174" s="120" t="s">
        <v>251</v>
      </c>
      <c r="M174" s="120">
        <v>0</v>
      </c>
      <c r="N174" s="120" t="s">
        <v>251</v>
      </c>
      <c r="O174" s="120">
        <v>0</v>
      </c>
      <c r="P174" s="120">
        <v>0</v>
      </c>
      <c r="Q174" s="120">
        <v>0</v>
      </c>
      <c r="R174" s="120"/>
      <c r="S174" s="121"/>
    </row>
    <row r="175" spans="1:19" ht="15">
      <c r="A175" s="105">
        <v>14</v>
      </c>
      <c r="B175" s="129" t="str">
        <f t="shared" si="6"/>
        <v>373</v>
      </c>
      <c r="C175" s="107" t="s">
        <v>386</v>
      </c>
      <c r="D175" s="107" t="s">
        <v>387</v>
      </c>
      <c r="E175" s="120">
        <v>123797976.91996899</v>
      </c>
      <c r="F175" s="120" t="s">
        <v>251</v>
      </c>
      <c r="G175" s="120">
        <v>123797976.91996899</v>
      </c>
      <c r="H175" s="120" t="s">
        <v>251</v>
      </c>
      <c r="I175" s="120">
        <v>0</v>
      </c>
      <c r="J175" s="120">
        <v>0</v>
      </c>
      <c r="K175" s="120" t="s">
        <v>251</v>
      </c>
      <c r="L175" s="120" t="s">
        <v>251</v>
      </c>
      <c r="M175" s="120">
        <v>0</v>
      </c>
      <c r="N175" s="120" t="s">
        <v>251</v>
      </c>
      <c r="O175" s="120">
        <v>0</v>
      </c>
      <c r="P175" s="120">
        <v>0</v>
      </c>
      <c r="Q175" s="120">
        <v>0</v>
      </c>
      <c r="R175" s="120"/>
      <c r="S175" s="121"/>
    </row>
    <row r="176" spans="1:19" ht="15">
      <c r="A176" s="105">
        <v>15</v>
      </c>
      <c r="B176" s="129" t="str">
        <f t="shared" si="6"/>
        <v>374</v>
      </c>
      <c r="C176" s="107" t="s">
        <v>388</v>
      </c>
      <c r="D176" s="107" t="s">
        <v>389</v>
      </c>
      <c r="E176" s="120">
        <v>658287.18999999901</v>
      </c>
      <c r="F176" s="120" t="s">
        <v>251</v>
      </c>
      <c r="G176" s="120">
        <v>658287.18999999901</v>
      </c>
      <c r="H176" s="120" t="s">
        <v>251</v>
      </c>
      <c r="I176" s="120">
        <v>0</v>
      </c>
      <c r="J176" s="120">
        <v>0</v>
      </c>
      <c r="K176" s="120" t="s">
        <v>251</v>
      </c>
      <c r="L176" s="120" t="s">
        <v>251</v>
      </c>
      <c r="M176" s="120">
        <v>0</v>
      </c>
      <c r="N176" s="120" t="s">
        <v>251</v>
      </c>
      <c r="O176" s="120">
        <v>0</v>
      </c>
      <c r="P176" s="120">
        <v>0</v>
      </c>
      <c r="Q176" s="120">
        <v>0</v>
      </c>
      <c r="R176" s="120"/>
      <c r="S176" s="121"/>
    </row>
    <row r="177" spans="1:19" ht="15">
      <c r="A177" s="105">
        <v>16</v>
      </c>
      <c r="B177" s="105"/>
      <c r="C177" s="107" t="s">
        <v>390</v>
      </c>
      <c r="D177" s="107" t="s">
        <v>251</v>
      </c>
      <c r="E177" s="120">
        <v>1849387298.1297019</v>
      </c>
      <c r="F177" s="120" t="s">
        <v>251</v>
      </c>
      <c r="G177" s="120">
        <v>1845428315.1297019</v>
      </c>
      <c r="H177" s="120" t="s">
        <v>251</v>
      </c>
      <c r="I177" s="120">
        <v>0</v>
      </c>
      <c r="J177" s="120">
        <v>3958983</v>
      </c>
      <c r="K177" s="120" t="s">
        <v>251</v>
      </c>
      <c r="L177" s="120" t="s">
        <v>251</v>
      </c>
      <c r="M177" s="120">
        <v>0</v>
      </c>
      <c r="N177" s="120" t="s">
        <v>251</v>
      </c>
      <c r="O177" s="120">
        <v>3958983</v>
      </c>
      <c r="P177" s="120">
        <v>3680809</v>
      </c>
      <c r="Q177" s="120">
        <v>278174</v>
      </c>
      <c r="R177" s="120"/>
      <c r="S177" s="121"/>
    </row>
    <row r="178" spans="1:19" ht="15">
      <c r="A178" s="105" t="s">
        <v>251</v>
      </c>
      <c r="B178" s="105"/>
      <c r="C178" s="107" t="s">
        <v>251</v>
      </c>
      <c r="D178" s="107" t="s">
        <v>251</v>
      </c>
      <c r="E178" s="120"/>
      <c r="F178" s="120" t="s">
        <v>251</v>
      </c>
      <c r="G178" s="120" t="s">
        <v>251</v>
      </c>
      <c r="H178" s="120" t="s">
        <v>251</v>
      </c>
      <c r="I178" s="120" t="s">
        <v>251</v>
      </c>
      <c r="J178" s="120" t="s">
        <v>251</v>
      </c>
      <c r="K178" s="120" t="s">
        <v>251</v>
      </c>
      <c r="L178" s="120" t="s">
        <v>251</v>
      </c>
      <c r="M178" s="120" t="s">
        <v>251</v>
      </c>
      <c r="N178" s="120" t="s">
        <v>251</v>
      </c>
      <c r="O178" s="120" t="s">
        <v>251</v>
      </c>
      <c r="P178" s="120" t="s">
        <v>251</v>
      </c>
      <c r="Q178" s="120" t="s">
        <v>251</v>
      </c>
      <c r="R178" s="120"/>
      <c r="S178" s="121"/>
    </row>
    <row r="179" spans="1:19" ht="15">
      <c r="A179" s="105" t="s">
        <v>251</v>
      </c>
      <c r="B179" s="129"/>
      <c r="C179" s="107" t="s">
        <v>391</v>
      </c>
      <c r="D179" s="107" t="s">
        <v>251</v>
      </c>
      <c r="E179" s="120" t="s">
        <v>251</v>
      </c>
      <c r="F179" s="120" t="s">
        <v>251</v>
      </c>
      <c r="G179" s="120" t="s">
        <v>251</v>
      </c>
      <c r="H179" s="120" t="s">
        <v>251</v>
      </c>
      <c r="I179" s="120" t="s">
        <v>251</v>
      </c>
      <c r="J179" s="120" t="s">
        <v>251</v>
      </c>
      <c r="K179" s="120" t="s">
        <v>251</v>
      </c>
      <c r="L179" s="120" t="s">
        <v>251</v>
      </c>
      <c r="M179" s="120" t="s">
        <v>251</v>
      </c>
      <c r="N179" s="120" t="s">
        <v>251</v>
      </c>
      <c r="O179" s="120" t="s">
        <v>251</v>
      </c>
      <c r="P179" s="120" t="s">
        <v>251</v>
      </c>
      <c r="Q179" s="120" t="s">
        <v>251</v>
      </c>
      <c r="R179" s="120"/>
      <c r="S179" s="121"/>
    </row>
    <row r="180" spans="1:19" ht="15">
      <c r="A180" s="105">
        <v>17</v>
      </c>
      <c r="B180" s="129" t="str">
        <f t="shared" ref="B180:B185" si="7">MID(C180,2,3)</f>
        <v>360</v>
      </c>
      <c r="C180" s="107" t="s">
        <v>360</v>
      </c>
      <c r="D180" s="107" t="s">
        <v>392</v>
      </c>
      <c r="E180" s="120">
        <v>313284.19</v>
      </c>
      <c r="F180" s="120" t="s">
        <v>251</v>
      </c>
      <c r="G180" s="120">
        <v>0</v>
      </c>
      <c r="H180" s="120" t="s">
        <v>251</v>
      </c>
      <c r="I180" s="120">
        <v>313284.19</v>
      </c>
      <c r="J180" s="120">
        <v>0</v>
      </c>
      <c r="K180" s="120" t="s">
        <v>251</v>
      </c>
      <c r="L180" s="120" t="s">
        <v>251</v>
      </c>
      <c r="M180" s="120">
        <v>0</v>
      </c>
      <c r="N180" s="120" t="s">
        <v>251</v>
      </c>
      <c r="O180" s="120">
        <v>0</v>
      </c>
      <c r="P180" s="120">
        <v>0</v>
      </c>
      <c r="Q180" s="120">
        <v>0</v>
      </c>
      <c r="R180" s="120"/>
      <c r="S180" s="121"/>
    </row>
    <row r="181" spans="1:19" ht="15">
      <c r="A181" s="105">
        <v>18</v>
      </c>
      <c r="B181" s="129" t="str">
        <f t="shared" si="7"/>
        <v>361</v>
      </c>
      <c r="C181" s="107" t="s">
        <v>362</v>
      </c>
      <c r="D181" s="107" t="s">
        <v>393</v>
      </c>
      <c r="E181" s="120">
        <v>767594.02316999994</v>
      </c>
      <c r="F181" s="120" t="s">
        <v>251</v>
      </c>
      <c r="G181" s="120">
        <v>0</v>
      </c>
      <c r="H181" s="120" t="s">
        <v>251</v>
      </c>
      <c r="I181" s="120">
        <v>767594.02316999994</v>
      </c>
      <c r="J181" s="120">
        <v>0</v>
      </c>
      <c r="K181" s="120" t="s">
        <v>251</v>
      </c>
      <c r="L181" s="120" t="s">
        <v>251</v>
      </c>
      <c r="M181" s="120">
        <v>0</v>
      </c>
      <c r="N181" s="120" t="s">
        <v>251</v>
      </c>
      <c r="O181" s="120">
        <v>0</v>
      </c>
      <c r="P181" s="120">
        <v>0</v>
      </c>
      <c r="Q181" s="120">
        <v>0</v>
      </c>
      <c r="R181" s="120"/>
      <c r="S181" s="121"/>
    </row>
    <row r="182" spans="1:19" ht="15">
      <c r="A182" s="105">
        <v>19</v>
      </c>
      <c r="B182" s="129" t="str">
        <f t="shared" si="7"/>
        <v>362</v>
      </c>
      <c r="C182" s="107" t="s">
        <v>364</v>
      </c>
      <c r="D182" s="107" t="s">
        <v>394</v>
      </c>
      <c r="E182" s="120">
        <v>8513231.9300000016</v>
      </c>
      <c r="F182" s="120" t="s">
        <v>251</v>
      </c>
      <c r="G182" s="120">
        <v>0</v>
      </c>
      <c r="H182" s="120" t="s">
        <v>251</v>
      </c>
      <c r="I182" s="120">
        <v>8513231.9300000016</v>
      </c>
      <c r="J182" s="120">
        <v>0</v>
      </c>
      <c r="K182" s="120" t="s">
        <v>251</v>
      </c>
      <c r="L182" s="120" t="s">
        <v>251</v>
      </c>
      <c r="M182" s="120">
        <v>0</v>
      </c>
      <c r="N182" s="120" t="s">
        <v>251</v>
      </c>
      <c r="O182" s="120">
        <v>0</v>
      </c>
      <c r="P182" s="120">
        <v>0</v>
      </c>
      <c r="Q182" s="120">
        <v>0</v>
      </c>
      <c r="R182" s="120"/>
      <c r="S182" s="121"/>
    </row>
    <row r="183" spans="1:19" ht="15">
      <c r="A183" s="105">
        <v>20</v>
      </c>
      <c r="B183" s="129" t="str">
        <f t="shared" si="7"/>
        <v>364</v>
      </c>
      <c r="C183" s="107" t="s">
        <v>366</v>
      </c>
      <c r="D183" s="107" t="s">
        <v>395</v>
      </c>
      <c r="E183" s="120">
        <v>30404887.563453097</v>
      </c>
      <c r="F183" s="120" t="s">
        <v>251</v>
      </c>
      <c r="G183" s="120">
        <v>0</v>
      </c>
      <c r="H183" s="120" t="s">
        <v>251</v>
      </c>
      <c r="I183" s="120">
        <v>30404887.563453097</v>
      </c>
      <c r="J183" s="120">
        <v>0</v>
      </c>
      <c r="K183" s="120" t="s">
        <v>251</v>
      </c>
      <c r="L183" s="120" t="s">
        <v>251</v>
      </c>
      <c r="M183" s="120">
        <v>0</v>
      </c>
      <c r="N183" s="120" t="s">
        <v>251</v>
      </c>
      <c r="O183" s="120">
        <v>0</v>
      </c>
      <c r="P183" s="120">
        <v>0</v>
      </c>
      <c r="Q183" s="120">
        <v>0</v>
      </c>
      <c r="R183" s="120"/>
      <c r="S183" s="121"/>
    </row>
    <row r="184" spans="1:19" ht="15">
      <c r="A184" s="105">
        <v>21</v>
      </c>
      <c r="B184" s="129" t="str">
        <f t="shared" si="7"/>
        <v>365</v>
      </c>
      <c r="C184" s="107" t="s">
        <v>368</v>
      </c>
      <c r="D184" s="107" t="s">
        <v>396</v>
      </c>
      <c r="E184" s="120">
        <v>27973849.978206001</v>
      </c>
      <c r="F184" s="120" t="s">
        <v>251</v>
      </c>
      <c r="G184" s="120">
        <v>0</v>
      </c>
      <c r="H184" s="120" t="s">
        <v>251</v>
      </c>
      <c r="I184" s="120">
        <v>27973849.978206001</v>
      </c>
      <c r="J184" s="120">
        <v>0</v>
      </c>
      <c r="K184" s="120" t="s">
        <v>251</v>
      </c>
      <c r="L184" s="120" t="s">
        <v>251</v>
      </c>
      <c r="M184" s="120">
        <v>0</v>
      </c>
      <c r="N184" s="120" t="s">
        <v>251</v>
      </c>
      <c r="O184" s="120">
        <v>0</v>
      </c>
      <c r="P184" s="120">
        <v>0</v>
      </c>
      <c r="Q184" s="120">
        <v>0</v>
      </c>
      <c r="R184" s="120"/>
      <c r="S184" s="121"/>
    </row>
    <row r="185" spans="1:19" ht="15">
      <c r="A185" s="105">
        <v>22</v>
      </c>
      <c r="B185" s="129" t="str">
        <f t="shared" si="7"/>
        <v>367</v>
      </c>
      <c r="C185" s="107" t="s">
        <v>372</v>
      </c>
      <c r="D185" s="107" t="s">
        <v>397</v>
      </c>
      <c r="E185" s="120">
        <v>4682183.5035775006</v>
      </c>
      <c r="F185" s="120" t="s">
        <v>251</v>
      </c>
      <c r="G185" s="120">
        <v>0</v>
      </c>
      <c r="H185" s="120" t="s">
        <v>251</v>
      </c>
      <c r="I185" s="120">
        <v>4682183.5035775006</v>
      </c>
      <c r="J185" s="120">
        <v>0</v>
      </c>
      <c r="K185" s="120" t="s">
        <v>251</v>
      </c>
      <c r="L185" s="120" t="s">
        <v>251</v>
      </c>
      <c r="M185" s="120">
        <v>0</v>
      </c>
      <c r="N185" s="120" t="s">
        <v>251</v>
      </c>
      <c r="O185" s="120">
        <v>0</v>
      </c>
      <c r="P185" s="120">
        <v>0</v>
      </c>
      <c r="Q185" s="120">
        <v>0</v>
      </c>
      <c r="R185" s="120"/>
      <c r="S185" s="121"/>
    </row>
    <row r="186" spans="1:19" ht="15">
      <c r="A186" s="105" t="s">
        <v>251</v>
      </c>
      <c r="B186" s="105"/>
      <c r="C186" s="107" t="s">
        <v>374</v>
      </c>
      <c r="D186" s="107" t="s">
        <v>251</v>
      </c>
      <c r="E186" s="120" t="s">
        <v>251</v>
      </c>
      <c r="F186" s="120" t="s">
        <v>251</v>
      </c>
      <c r="G186" s="120" t="s">
        <v>251</v>
      </c>
      <c r="H186" s="120" t="s">
        <v>251</v>
      </c>
      <c r="I186" s="120" t="s">
        <v>251</v>
      </c>
      <c r="J186" s="120" t="s">
        <v>251</v>
      </c>
      <c r="K186" s="120" t="s">
        <v>251</v>
      </c>
      <c r="L186" s="120" t="s">
        <v>251</v>
      </c>
      <c r="M186" s="120" t="s">
        <v>251</v>
      </c>
      <c r="N186" s="120" t="s">
        <v>251</v>
      </c>
      <c r="O186" s="120" t="s">
        <v>251</v>
      </c>
      <c r="P186" s="120" t="s">
        <v>251</v>
      </c>
      <c r="Q186" s="120" t="s">
        <v>251</v>
      </c>
      <c r="R186" s="120"/>
      <c r="S186" s="121"/>
    </row>
    <row r="187" spans="1:19" ht="15">
      <c r="A187" s="105">
        <v>23</v>
      </c>
      <c r="B187" s="105"/>
      <c r="C187" s="107" t="s">
        <v>375</v>
      </c>
      <c r="D187" s="107" t="s">
        <v>399</v>
      </c>
      <c r="E187" s="120">
        <v>128027.56</v>
      </c>
      <c r="F187" s="120" t="s">
        <v>251</v>
      </c>
      <c r="G187" s="120">
        <v>0</v>
      </c>
      <c r="H187" s="120" t="s">
        <v>251</v>
      </c>
      <c r="I187" s="120">
        <v>128027.56</v>
      </c>
      <c r="J187" s="120">
        <v>0</v>
      </c>
      <c r="K187" s="120" t="s">
        <v>251</v>
      </c>
      <c r="L187" s="120" t="s">
        <v>251</v>
      </c>
      <c r="M187" s="120">
        <v>0</v>
      </c>
      <c r="N187" s="120" t="s">
        <v>251</v>
      </c>
      <c r="O187" s="120">
        <v>0</v>
      </c>
      <c r="P187" s="120">
        <v>0</v>
      </c>
      <c r="Q187" s="120">
        <v>0</v>
      </c>
      <c r="R187" s="120"/>
      <c r="S187" s="121"/>
    </row>
    <row r="188" spans="1:19" ht="15">
      <c r="A188" s="105">
        <v>24</v>
      </c>
      <c r="B188" s="129"/>
      <c r="C188" s="107" t="s">
        <v>377</v>
      </c>
      <c r="D188" s="107" t="s">
        <v>399</v>
      </c>
      <c r="E188" s="120">
        <v>10995691.653341999</v>
      </c>
      <c r="F188" s="120" t="s">
        <v>251</v>
      </c>
      <c r="G188" s="120">
        <v>0</v>
      </c>
      <c r="H188" s="120" t="s">
        <v>251</v>
      </c>
      <c r="I188" s="120">
        <v>10995691.653341999</v>
      </c>
      <c r="J188" s="120">
        <v>0</v>
      </c>
      <c r="K188" s="120" t="s">
        <v>251</v>
      </c>
      <c r="L188" s="120" t="s">
        <v>251</v>
      </c>
      <c r="M188" s="120">
        <v>0</v>
      </c>
      <c r="N188" s="120" t="s">
        <v>251</v>
      </c>
      <c r="O188" s="120">
        <v>0</v>
      </c>
      <c r="P188" s="120">
        <v>0</v>
      </c>
      <c r="Q188" s="120">
        <v>0</v>
      </c>
      <c r="R188" s="120"/>
      <c r="S188" s="121"/>
    </row>
    <row r="189" spans="1:19" ht="15">
      <c r="A189" s="105">
        <v>25</v>
      </c>
      <c r="B189" s="129">
        <v>368</v>
      </c>
      <c r="C189" s="107" t="s">
        <v>379</v>
      </c>
      <c r="D189" s="107" t="s">
        <v>251</v>
      </c>
      <c r="E189" s="120">
        <v>11123719.213342</v>
      </c>
      <c r="F189" s="120" t="s">
        <v>251</v>
      </c>
      <c r="G189" s="120">
        <v>0</v>
      </c>
      <c r="H189" s="120" t="s">
        <v>251</v>
      </c>
      <c r="I189" s="120">
        <v>11123719.213342</v>
      </c>
      <c r="J189" s="120">
        <v>0</v>
      </c>
      <c r="K189" s="120" t="s">
        <v>251</v>
      </c>
      <c r="L189" s="120" t="s">
        <v>251</v>
      </c>
      <c r="M189" s="120">
        <v>0</v>
      </c>
      <c r="N189" s="120" t="s">
        <v>251</v>
      </c>
      <c r="O189" s="120">
        <v>0</v>
      </c>
      <c r="P189" s="120">
        <v>0</v>
      </c>
      <c r="Q189" s="120">
        <v>0</v>
      </c>
      <c r="R189" s="120"/>
      <c r="S189" s="121"/>
    </row>
    <row r="190" spans="1:19" ht="15">
      <c r="A190" s="105">
        <v>26</v>
      </c>
      <c r="B190" s="129" t="str">
        <f t="shared" ref="B190:B193" si="8">MID(C190,2,3)</f>
        <v>369</v>
      </c>
      <c r="C190" s="107" t="s">
        <v>380</v>
      </c>
      <c r="D190" s="107" t="s">
        <v>400</v>
      </c>
      <c r="E190" s="120">
        <v>5852947.5300000003</v>
      </c>
      <c r="F190" s="120" t="s">
        <v>251</v>
      </c>
      <c r="G190" s="120">
        <v>0</v>
      </c>
      <c r="H190" s="120" t="s">
        <v>251</v>
      </c>
      <c r="I190" s="120">
        <v>5852947.5300000003</v>
      </c>
      <c r="J190" s="120">
        <v>0</v>
      </c>
      <c r="K190" s="120" t="s">
        <v>251</v>
      </c>
      <c r="L190" s="120" t="s">
        <v>251</v>
      </c>
      <c r="M190" s="120">
        <v>0</v>
      </c>
      <c r="N190" s="120" t="s">
        <v>251</v>
      </c>
      <c r="O190" s="120">
        <v>0</v>
      </c>
      <c r="P190" s="120">
        <v>0</v>
      </c>
      <c r="Q190" s="120">
        <v>0</v>
      </c>
      <c r="R190" s="120"/>
      <c r="S190" s="121"/>
    </row>
    <row r="191" spans="1:19" ht="15">
      <c r="A191" s="105">
        <v>27</v>
      </c>
      <c r="B191" s="129" t="str">
        <f t="shared" si="8"/>
        <v>370</v>
      </c>
      <c r="C191" s="107" t="s">
        <v>382</v>
      </c>
      <c r="D191" s="107" t="s">
        <v>401</v>
      </c>
      <c r="E191" s="120">
        <v>3783545.2000000011</v>
      </c>
      <c r="F191" s="120" t="s">
        <v>251</v>
      </c>
      <c r="G191" s="120">
        <v>0</v>
      </c>
      <c r="H191" s="120" t="s">
        <v>251</v>
      </c>
      <c r="I191" s="120">
        <v>3783545.2000000011</v>
      </c>
      <c r="J191" s="120">
        <v>0</v>
      </c>
      <c r="K191" s="120" t="s">
        <v>251</v>
      </c>
      <c r="L191" s="120" t="s">
        <v>251</v>
      </c>
      <c r="M191" s="120">
        <v>0</v>
      </c>
      <c r="N191" s="120" t="s">
        <v>251</v>
      </c>
      <c r="O191" s="120">
        <v>0</v>
      </c>
      <c r="P191" s="120">
        <v>0</v>
      </c>
      <c r="Q191" s="120">
        <v>0</v>
      </c>
      <c r="R191" s="120"/>
      <c r="S191" s="121"/>
    </row>
    <row r="192" spans="1:19" ht="15">
      <c r="A192" s="105">
        <v>28</v>
      </c>
      <c r="B192" s="129" t="str">
        <f t="shared" si="8"/>
        <v>371</v>
      </c>
      <c r="C192" s="107" t="s">
        <v>384</v>
      </c>
      <c r="D192" s="107" t="s">
        <v>402</v>
      </c>
      <c r="E192" s="120">
        <v>0</v>
      </c>
      <c r="F192" s="120" t="s">
        <v>251</v>
      </c>
      <c r="G192" s="120">
        <v>0</v>
      </c>
      <c r="H192" s="120" t="s">
        <v>251</v>
      </c>
      <c r="I192" s="120">
        <v>0</v>
      </c>
      <c r="J192" s="120">
        <v>0</v>
      </c>
      <c r="K192" s="120" t="s">
        <v>251</v>
      </c>
      <c r="L192" s="120" t="s">
        <v>251</v>
      </c>
      <c r="M192" s="120">
        <v>0</v>
      </c>
      <c r="N192" s="120" t="s">
        <v>251</v>
      </c>
      <c r="O192" s="120">
        <v>0</v>
      </c>
      <c r="P192" s="120">
        <v>0</v>
      </c>
      <c r="Q192" s="120">
        <v>0</v>
      </c>
      <c r="R192" s="120"/>
      <c r="S192" s="121"/>
    </row>
    <row r="193" spans="1:19" ht="15">
      <c r="A193" s="105">
        <v>29</v>
      </c>
      <c r="B193" s="129" t="str">
        <f t="shared" si="8"/>
        <v>373</v>
      </c>
      <c r="C193" s="107" t="s">
        <v>386</v>
      </c>
      <c r="D193" s="107" t="s">
        <v>403</v>
      </c>
      <c r="E193" s="120">
        <v>3821347.2900697999</v>
      </c>
      <c r="F193" s="120" t="s">
        <v>251</v>
      </c>
      <c r="G193" s="120">
        <v>0</v>
      </c>
      <c r="H193" s="120" t="s">
        <v>251</v>
      </c>
      <c r="I193" s="120">
        <v>3821347.2900697999</v>
      </c>
      <c r="J193" s="120">
        <v>0</v>
      </c>
      <c r="K193" s="120" t="s">
        <v>251</v>
      </c>
      <c r="L193" s="120" t="s">
        <v>251</v>
      </c>
      <c r="M193" s="120">
        <v>0</v>
      </c>
      <c r="N193" s="120" t="s">
        <v>251</v>
      </c>
      <c r="O193" s="120">
        <v>0</v>
      </c>
      <c r="P193" s="120">
        <v>0</v>
      </c>
      <c r="Q193" s="120">
        <v>0</v>
      </c>
      <c r="R193" s="120"/>
      <c r="S193" s="121"/>
    </row>
    <row r="194" spans="1:19" ht="15">
      <c r="A194" s="105">
        <v>30</v>
      </c>
      <c r="B194" s="105"/>
      <c r="C194" s="107" t="s">
        <v>404</v>
      </c>
      <c r="D194" s="107" t="s">
        <v>251</v>
      </c>
      <c r="E194" s="120">
        <v>97236590.421818405</v>
      </c>
      <c r="F194" s="120" t="s">
        <v>251</v>
      </c>
      <c r="G194" s="120">
        <v>0</v>
      </c>
      <c r="H194" s="120" t="s">
        <v>251</v>
      </c>
      <c r="I194" s="120">
        <v>97236590.421818405</v>
      </c>
      <c r="J194" s="120">
        <v>0</v>
      </c>
      <c r="K194" s="120" t="s">
        <v>251</v>
      </c>
      <c r="L194" s="120" t="s">
        <v>251</v>
      </c>
      <c r="M194" s="120">
        <v>0</v>
      </c>
      <c r="N194" s="120" t="s">
        <v>251</v>
      </c>
      <c r="O194" s="120">
        <v>0</v>
      </c>
      <c r="P194" s="120">
        <v>0</v>
      </c>
      <c r="Q194" s="120">
        <v>0</v>
      </c>
      <c r="R194" s="120"/>
      <c r="S194" s="121"/>
    </row>
    <row r="195" spans="1:19" ht="15">
      <c r="A195" s="105" t="s">
        <v>251</v>
      </c>
      <c r="B195" s="105"/>
      <c r="C195" s="107" t="s">
        <v>251</v>
      </c>
      <c r="D195" s="107" t="s">
        <v>251</v>
      </c>
      <c r="E195" s="120" t="s">
        <v>251</v>
      </c>
      <c r="F195" s="120" t="s">
        <v>251</v>
      </c>
      <c r="G195" s="120" t="s">
        <v>251</v>
      </c>
      <c r="H195" s="120" t="s">
        <v>251</v>
      </c>
      <c r="I195" s="120" t="s">
        <v>251</v>
      </c>
      <c r="J195" s="120" t="s">
        <v>251</v>
      </c>
      <c r="K195" s="120" t="s">
        <v>251</v>
      </c>
      <c r="L195" s="120" t="s">
        <v>251</v>
      </c>
      <c r="M195" s="120" t="s">
        <v>251</v>
      </c>
      <c r="N195" s="120" t="s">
        <v>251</v>
      </c>
      <c r="O195" s="120" t="s">
        <v>251</v>
      </c>
      <c r="P195" s="120" t="s">
        <v>251</v>
      </c>
      <c r="Q195" s="120" t="s">
        <v>251</v>
      </c>
      <c r="R195" s="120"/>
      <c r="S195" s="121"/>
    </row>
    <row r="196" spans="1:19" ht="15">
      <c r="A196" s="105" t="s">
        <v>251</v>
      </c>
      <c r="B196" s="129"/>
      <c r="C196" s="107" t="s">
        <v>405</v>
      </c>
      <c r="D196" s="107" t="s">
        <v>251</v>
      </c>
      <c r="E196" s="120" t="s">
        <v>251</v>
      </c>
      <c r="F196" s="120" t="s">
        <v>251</v>
      </c>
      <c r="G196" s="120" t="s">
        <v>251</v>
      </c>
      <c r="H196" s="120" t="s">
        <v>251</v>
      </c>
      <c r="I196" s="120" t="s">
        <v>251</v>
      </c>
      <c r="J196" s="120" t="s">
        <v>251</v>
      </c>
      <c r="K196" s="120" t="s">
        <v>251</v>
      </c>
      <c r="L196" s="120" t="s">
        <v>251</v>
      </c>
      <c r="M196" s="120" t="s">
        <v>251</v>
      </c>
      <c r="N196" s="120" t="s">
        <v>251</v>
      </c>
      <c r="O196" s="120" t="s">
        <v>251</v>
      </c>
      <c r="P196" s="120" t="s">
        <v>251</v>
      </c>
      <c r="Q196" s="120" t="s">
        <v>251</v>
      </c>
      <c r="R196" s="120"/>
      <c r="S196" s="121"/>
    </row>
    <row r="197" spans="1:19" ht="15">
      <c r="A197" s="105">
        <v>31</v>
      </c>
      <c r="B197" s="129" t="str">
        <f t="shared" ref="B197:B205" si="9">MID(C197,2,3)</f>
        <v>360</v>
      </c>
      <c r="C197" s="107" t="s">
        <v>360</v>
      </c>
      <c r="D197" s="107" t="s">
        <v>406</v>
      </c>
      <c r="E197" s="120">
        <v>475572.53</v>
      </c>
      <c r="F197" s="120" t="s">
        <v>251</v>
      </c>
      <c r="G197" s="120">
        <v>0</v>
      </c>
      <c r="H197" s="120" t="s">
        <v>251</v>
      </c>
      <c r="I197" s="120">
        <v>0</v>
      </c>
      <c r="J197" s="120">
        <v>475572.53</v>
      </c>
      <c r="K197" s="120" t="s">
        <v>251</v>
      </c>
      <c r="L197" s="120" t="s">
        <v>251</v>
      </c>
      <c r="M197" s="120">
        <v>475572.53</v>
      </c>
      <c r="N197" s="120" t="s">
        <v>251</v>
      </c>
      <c r="O197" s="120">
        <v>0</v>
      </c>
      <c r="P197" s="120">
        <v>0</v>
      </c>
      <c r="Q197" s="120">
        <v>0</v>
      </c>
      <c r="R197" s="120"/>
      <c r="S197" s="121"/>
    </row>
    <row r="198" spans="1:19" ht="15">
      <c r="A198" s="105">
        <v>32</v>
      </c>
      <c r="B198" s="129" t="str">
        <f t="shared" si="9"/>
        <v>361</v>
      </c>
      <c r="C198" s="107" t="s">
        <v>362</v>
      </c>
      <c r="D198" s="107" t="s">
        <v>407</v>
      </c>
      <c r="E198" s="120">
        <v>2545.13</v>
      </c>
      <c r="F198" s="120" t="s">
        <v>251</v>
      </c>
      <c r="G198" s="120">
        <v>0</v>
      </c>
      <c r="H198" s="120" t="s">
        <v>251</v>
      </c>
      <c r="I198" s="120">
        <v>0</v>
      </c>
      <c r="J198" s="120">
        <v>2545.13</v>
      </c>
      <c r="K198" s="120" t="s">
        <v>251</v>
      </c>
      <c r="L198" s="120" t="s">
        <v>251</v>
      </c>
      <c r="M198" s="120">
        <v>2545.13</v>
      </c>
      <c r="N198" s="120" t="s">
        <v>251</v>
      </c>
      <c r="O198" s="120">
        <v>0</v>
      </c>
      <c r="P198" s="120">
        <v>0</v>
      </c>
      <c r="Q198" s="120">
        <v>0</v>
      </c>
      <c r="R198" s="120"/>
      <c r="S198" s="121"/>
    </row>
    <row r="199" spans="1:19" ht="15">
      <c r="A199" s="105">
        <v>33</v>
      </c>
      <c r="B199" s="129" t="str">
        <f t="shared" si="9"/>
        <v>362</v>
      </c>
      <c r="C199" s="107" t="s">
        <v>364</v>
      </c>
      <c r="D199" s="107" t="s">
        <v>408</v>
      </c>
      <c r="E199" s="120">
        <v>66880.149999999994</v>
      </c>
      <c r="F199" s="120" t="s">
        <v>251</v>
      </c>
      <c r="G199" s="120">
        <v>0</v>
      </c>
      <c r="H199" s="120" t="s">
        <v>251</v>
      </c>
      <c r="I199" s="120">
        <v>0</v>
      </c>
      <c r="J199" s="120">
        <v>66880.149999999994</v>
      </c>
      <c r="K199" s="120" t="s">
        <v>251</v>
      </c>
      <c r="L199" s="120" t="s">
        <v>251</v>
      </c>
      <c r="M199" s="120">
        <v>66880.149999999994</v>
      </c>
      <c r="N199" s="120" t="s">
        <v>251</v>
      </c>
      <c r="O199" s="120">
        <v>0</v>
      </c>
      <c r="P199" s="120">
        <v>0</v>
      </c>
      <c r="Q199" s="120">
        <v>0</v>
      </c>
      <c r="R199" s="120"/>
      <c r="S199" s="121"/>
    </row>
    <row r="200" spans="1:19" ht="15">
      <c r="A200" s="105">
        <v>34</v>
      </c>
      <c r="B200" s="129" t="str">
        <f t="shared" si="9"/>
        <v>364</v>
      </c>
      <c r="C200" s="107" t="s">
        <v>366</v>
      </c>
      <c r="D200" s="107" t="s">
        <v>409</v>
      </c>
      <c r="E200" s="120">
        <v>47785.56</v>
      </c>
      <c r="F200" s="120" t="s">
        <v>251</v>
      </c>
      <c r="G200" s="120">
        <v>0</v>
      </c>
      <c r="H200" s="120" t="s">
        <v>251</v>
      </c>
      <c r="I200" s="120">
        <v>0</v>
      </c>
      <c r="J200" s="120">
        <v>47785.56</v>
      </c>
      <c r="K200" s="120" t="s">
        <v>251</v>
      </c>
      <c r="L200" s="120" t="s">
        <v>251</v>
      </c>
      <c r="M200" s="120">
        <v>47785.56</v>
      </c>
      <c r="N200" s="120" t="s">
        <v>251</v>
      </c>
      <c r="O200" s="120">
        <v>0</v>
      </c>
      <c r="P200" s="120">
        <v>0</v>
      </c>
      <c r="Q200" s="120">
        <v>0</v>
      </c>
      <c r="R200" s="120"/>
      <c r="S200" s="121"/>
    </row>
    <row r="201" spans="1:19" ht="15">
      <c r="A201" s="105">
        <v>35</v>
      </c>
      <c r="B201" s="129" t="str">
        <f t="shared" si="9"/>
        <v>365</v>
      </c>
      <c r="C201" s="107" t="s">
        <v>368</v>
      </c>
      <c r="D201" s="107" t="s">
        <v>410</v>
      </c>
      <c r="E201" s="120">
        <v>46763.219999999994</v>
      </c>
      <c r="F201" s="120" t="s">
        <v>251</v>
      </c>
      <c r="G201" s="120">
        <v>0</v>
      </c>
      <c r="H201" s="120" t="s">
        <v>251</v>
      </c>
      <c r="I201" s="120">
        <v>0</v>
      </c>
      <c r="J201" s="120">
        <v>46763.219999999994</v>
      </c>
      <c r="K201" s="120" t="s">
        <v>251</v>
      </c>
      <c r="L201" s="120" t="s">
        <v>251</v>
      </c>
      <c r="M201" s="120">
        <v>46763.219999999994</v>
      </c>
      <c r="N201" s="120" t="s">
        <v>251</v>
      </c>
      <c r="O201" s="120">
        <v>0</v>
      </c>
      <c r="P201" s="120">
        <v>0</v>
      </c>
      <c r="Q201" s="120">
        <v>0</v>
      </c>
      <c r="R201" s="120"/>
      <c r="S201" s="121"/>
    </row>
    <row r="202" spans="1:19" ht="15">
      <c r="A202" s="105">
        <v>36</v>
      </c>
      <c r="B202" s="129" t="str">
        <f t="shared" si="9"/>
        <v>368</v>
      </c>
      <c r="C202" s="107" t="s">
        <v>374</v>
      </c>
      <c r="D202" s="107" t="s">
        <v>411</v>
      </c>
      <c r="E202" s="120">
        <v>3118.2799999999997</v>
      </c>
      <c r="F202" s="120" t="s">
        <v>251</v>
      </c>
      <c r="G202" s="120">
        <v>0</v>
      </c>
      <c r="H202" s="120" t="s">
        <v>251</v>
      </c>
      <c r="I202" s="120">
        <v>0</v>
      </c>
      <c r="J202" s="120">
        <v>3118.2799999999997</v>
      </c>
      <c r="K202" s="120" t="s">
        <v>251</v>
      </c>
      <c r="L202" s="120" t="s">
        <v>251</v>
      </c>
      <c r="M202" s="120">
        <v>3118.2799999999997</v>
      </c>
      <c r="N202" s="120" t="s">
        <v>251</v>
      </c>
      <c r="O202" s="120">
        <v>0</v>
      </c>
      <c r="P202" s="120">
        <v>0</v>
      </c>
      <c r="Q202" s="120">
        <v>0</v>
      </c>
      <c r="R202" s="120"/>
      <c r="S202" s="121"/>
    </row>
    <row r="203" spans="1:19" ht="15">
      <c r="A203" s="105">
        <v>37</v>
      </c>
      <c r="B203" s="129" t="str">
        <f t="shared" si="9"/>
        <v>369</v>
      </c>
      <c r="C203" s="107" t="s">
        <v>380</v>
      </c>
      <c r="D203" s="107" t="s">
        <v>412</v>
      </c>
      <c r="E203" s="120">
        <v>254.62</v>
      </c>
      <c r="F203" s="120" t="s">
        <v>251</v>
      </c>
      <c r="G203" s="120">
        <v>0</v>
      </c>
      <c r="H203" s="120" t="s">
        <v>251</v>
      </c>
      <c r="I203" s="120">
        <v>0</v>
      </c>
      <c r="J203" s="120">
        <v>254.62</v>
      </c>
      <c r="K203" s="120" t="s">
        <v>251</v>
      </c>
      <c r="L203" s="120" t="s">
        <v>251</v>
      </c>
      <c r="M203" s="120">
        <v>254.62</v>
      </c>
      <c r="N203" s="120" t="s">
        <v>251</v>
      </c>
      <c r="O203" s="120">
        <v>0</v>
      </c>
      <c r="P203" s="120">
        <v>0</v>
      </c>
      <c r="Q203" s="120">
        <v>0</v>
      </c>
      <c r="R203" s="120"/>
      <c r="S203" s="121"/>
    </row>
    <row r="204" spans="1:19" ht="15">
      <c r="A204" s="105">
        <v>38</v>
      </c>
      <c r="B204" s="129" t="str">
        <f t="shared" si="9"/>
        <v>370</v>
      </c>
      <c r="C204" s="107" t="s">
        <v>382</v>
      </c>
      <c r="D204" s="107" t="s">
        <v>413</v>
      </c>
      <c r="E204" s="120">
        <v>4199.21</v>
      </c>
      <c r="F204" s="120" t="s">
        <v>251</v>
      </c>
      <c r="G204" s="120">
        <v>0</v>
      </c>
      <c r="H204" s="120" t="s">
        <v>251</v>
      </c>
      <c r="I204" s="120">
        <v>0</v>
      </c>
      <c r="J204" s="120">
        <v>4199.21</v>
      </c>
      <c r="K204" s="120" t="s">
        <v>251</v>
      </c>
      <c r="L204" s="120" t="s">
        <v>251</v>
      </c>
      <c r="M204" s="120">
        <v>4199.21</v>
      </c>
      <c r="N204" s="120" t="s">
        <v>251</v>
      </c>
      <c r="O204" s="120">
        <v>0</v>
      </c>
      <c r="P204" s="120">
        <v>0</v>
      </c>
      <c r="Q204" s="120">
        <v>0</v>
      </c>
      <c r="R204" s="120"/>
      <c r="S204" s="121"/>
    </row>
    <row r="205" spans="1:19" ht="15">
      <c r="A205" s="105">
        <v>39</v>
      </c>
      <c r="B205" s="129" t="str">
        <f t="shared" si="9"/>
        <v>371</v>
      </c>
      <c r="C205" s="107" t="s">
        <v>384</v>
      </c>
      <c r="D205" s="107" t="s">
        <v>414</v>
      </c>
      <c r="E205" s="120">
        <v>0</v>
      </c>
      <c r="F205" s="120" t="s">
        <v>251</v>
      </c>
      <c r="G205" s="120">
        <v>0</v>
      </c>
      <c r="H205" s="120" t="s">
        <v>251</v>
      </c>
      <c r="I205" s="120">
        <v>0</v>
      </c>
      <c r="J205" s="120">
        <v>0</v>
      </c>
      <c r="K205" s="120" t="s">
        <v>251</v>
      </c>
      <c r="L205" s="120" t="s">
        <v>251</v>
      </c>
      <c r="M205" s="120">
        <v>0</v>
      </c>
      <c r="N205" s="120" t="s">
        <v>251</v>
      </c>
      <c r="O205" s="120">
        <v>0</v>
      </c>
      <c r="P205" s="120">
        <v>0</v>
      </c>
      <c r="Q205" s="120">
        <v>0</v>
      </c>
      <c r="R205" s="120"/>
      <c r="S205" s="121"/>
    </row>
    <row r="206" spans="1:19" ht="15">
      <c r="A206" s="105">
        <v>40</v>
      </c>
      <c r="B206" s="105"/>
      <c r="C206" s="107" t="s">
        <v>415</v>
      </c>
      <c r="D206" s="107" t="s">
        <v>251</v>
      </c>
      <c r="E206" s="120">
        <v>647118.70000000007</v>
      </c>
      <c r="F206" s="120" t="s">
        <v>251</v>
      </c>
      <c r="G206" s="120">
        <v>0</v>
      </c>
      <c r="H206" s="120" t="s">
        <v>251</v>
      </c>
      <c r="I206" s="120">
        <v>0</v>
      </c>
      <c r="J206" s="120">
        <v>647118.70000000007</v>
      </c>
      <c r="K206" s="120" t="s">
        <v>251</v>
      </c>
      <c r="L206" s="120" t="s">
        <v>251</v>
      </c>
      <c r="M206" s="120">
        <v>647118.70000000007</v>
      </c>
      <c r="N206" s="120" t="s">
        <v>251</v>
      </c>
      <c r="O206" s="120">
        <v>0</v>
      </c>
      <c r="P206" s="120">
        <v>0</v>
      </c>
      <c r="Q206" s="120">
        <v>0</v>
      </c>
      <c r="R206" s="120"/>
      <c r="S206" s="121"/>
    </row>
    <row r="207" spans="1:19" ht="15">
      <c r="A207" s="105" t="s">
        <v>251</v>
      </c>
      <c r="B207" s="105"/>
      <c r="C207" s="107" t="s">
        <v>251</v>
      </c>
      <c r="D207" s="107" t="s">
        <v>251</v>
      </c>
      <c r="E207" s="120" t="s">
        <v>251</v>
      </c>
      <c r="F207" s="120" t="s">
        <v>251</v>
      </c>
      <c r="G207" s="120" t="s">
        <v>251</v>
      </c>
      <c r="H207" s="120" t="s">
        <v>251</v>
      </c>
      <c r="I207" s="120" t="s">
        <v>251</v>
      </c>
      <c r="J207" s="120" t="s">
        <v>251</v>
      </c>
      <c r="K207" s="120" t="s">
        <v>251</v>
      </c>
      <c r="L207" s="120" t="s">
        <v>251</v>
      </c>
      <c r="M207" s="120" t="s">
        <v>251</v>
      </c>
      <c r="N207" s="120" t="s">
        <v>251</v>
      </c>
      <c r="O207" s="120" t="s">
        <v>251</v>
      </c>
      <c r="P207" s="120" t="s">
        <v>251</v>
      </c>
      <c r="Q207" s="120" t="s">
        <v>251</v>
      </c>
      <c r="R207" s="120"/>
      <c r="S207" s="121"/>
    </row>
    <row r="208" spans="1:19" ht="15">
      <c r="A208" s="105">
        <v>41</v>
      </c>
      <c r="B208" s="105"/>
      <c r="C208" s="107" t="s">
        <v>416</v>
      </c>
      <c r="D208" s="107" t="s">
        <v>251</v>
      </c>
      <c r="E208" s="120">
        <v>1947271007.2515204</v>
      </c>
      <c r="F208" s="120" t="s">
        <v>251</v>
      </c>
      <c r="G208" s="120">
        <v>1845428315.1297019</v>
      </c>
      <c r="H208" s="120" t="s">
        <v>251</v>
      </c>
      <c r="I208" s="120">
        <v>97236590.421818405</v>
      </c>
      <c r="J208" s="120">
        <v>4606101.7</v>
      </c>
      <c r="K208" s="120" t="s">
        <v>251</v>
      </c>
      <c r="L208" s="120" t="s">
        <v>251</v>
      </c>
      <c r="M208" s="120">
        <v>647118.70000000007</v>
      </c>
      <c r="N208" s="120" t="s">
        <v>251</v>
      </c>
      <c r="O208" s="120">
        <v>3958983</v>
      </c>
      <c r="P208" s="120">
        <v>3680809</v>
      </c>
      <c r="Q208" s="120">
        <v>278174</v>
      </c>
      <c r="R208" s="120"/>
      <c r="S208" s="121"/>
    </row>
    <row r="209" spans="1:19" ht="15">
      <c r="A209" s="105" t="s">
        <v>251</v>
      </c>
      <c r="B209" s="105"/>
      <c r="C209" s="107" t="s">
        <v>251</v>
      </c>
      <c r="D209" s="107" t="s">
        <v>251</v>
      </c>
      <c r="E209" s="120" t="s">
        <v>251</v>
      </c>
      <c r="F209" s="120" t="s">
        <v>251</v>
      </c>
      <c r="G209" s="120" t="s">
        <v>251</v>
      </c>
      <c r="H209" s="120" t="s">
        <v>251</v>
      </c>
      <c r="I209" s="120" t="s">
        <v>251</v>
      </c>
      <c r="J209" s="120" t="s">
        <v>251</v>
      </c>
      <c r="K209" s="120" t="s">
        <v>251</v>
      </c>
      <c r="L209" s="120" t="s">
        <v>251</v>
      </c>
      <c r="M209" s="120" t="s">
        <v>251</v>
      </c>
      <c r="N209" s="120" t="s">
        <v>251</v>
      </c>
      <c r="O209" s="120" t="s">
        <v>251</v>
      </c>
      <c r="P209" s="120" t="s">
        <v>251</v>
      </c>
      <c r="Q209" s="120" t="s">
        <v>251</v>
      </c>
      <c r="R209" s="120"/>
      <c r="S209" s="121"/>
    </row>
    <row r="210" spans="1:19" ht="15">
      <c r="A210" s="105" t="s">
        <v>251</v>
      </c>
      <c r="B210" s="105"/>
      <c r="C210" s="107" t="s">
        <v>337</v>
      </c>
      <c r="D210" s="107" t="s">
        <v>251</v>
      </c>
      <c r="E210" s="120" t="s">
        <v>251</v>
      </c>
      <c r="F210" s="120" t="s">
        <v>251</v>
      </c>
      <c r="G210" s="120" t="s">
        <v>251</v>
      </c>
      <c r="H210" s="120" t="s">
        <v>251</v>
      </c>
      <c r="I210" s="120" t="s">
        <v>251</v>
      </c>
      <c r="J210" s="120" t="s">
        <v>251</v>
      </c>
      <c r="K210" s="120" t="s">
        <v>251</v>
      </c>
      <c r="L210" s="120" t="s">
        <v>251</v>
      </c>
      <c r="M210" s="120" t="s">
        <v>251</v>
      </c>
      <c r="N210" s="120" t="s">
        <v>251</v>
      </c>
      <c r="O210" s="120" t="s">
        <v>251</v>
      </c>
      <c r="P210" s="120" t="s">
        <v>251</v>
      </c>
      <c r="Q210" s="120" t="s">
        <v>251</v>
      </c>
      <c r="R210" s="120"/>
      <c r="S210" s="121"/>
    </row>
    <row r="211" spans="1:19" ht="15">
      <c r="A211" s="105" t="s">
        <v>251</v>
      </c>
      <c r="B211" s="105"/>
      <c r="C211" s="107" t="s">
        <v>251</v>
      </c>
      <c r="D211" s="107" t="s">
        <v>251</v>
      </c>
      <c r="E211" s="120" t="s">
        <v>251</v>
      </c>
      <c r="F211" s="120" t="s">
        <v>251</v>
      </c>
      <c r="G211" s="120" t="s">
        <v>251</v>
      </c>
      <c r="H211" s="120" t="s">
        <v>251</v>
      </c>
      <c r="I211" s="120" t="s">
        <v>251</v>
      </c>
      <c r="J211" s="120" t="s">
        <v>251</v>
      </c>
      <c r="K211" s="120" t="s">
        <v>251</v>
      </c>
      <c r="L211" s="120" t="s">
        <v>251</v>
      </c>
      <c r="M211" s="120" t="s">
        <v>251</v>
      </c>
      <c r="N211" s="120" t="s">
        <v>251</v>
      </c>
      <c r="O211" s="120" t="s">
        <v>251</v>
      </c>
      <c r="P211" s="120" t="s">
        <v>251</v>
      </c>
      <c r="Q211" s="120" t="s">
        <v>251</v>
      </c>
      <c r="R211" s="120"/>
      <c r="S211" s="121"/>
    </row>
    <row r="212" spans="1:19" ht="15">
      <c r="A212" s="105" t="s">
        <v>251</v>
      </c>
      <c r="B212" s="129"/>
      <c r="C212" s="107" t="s">
        <v>417</v>
      </c>
      <c r="D212" s="107" t="s">
        <v>251</v>
      </c>
      <c r="E212" s="120" t="s">
        <v>251</v>
      </c>
      <c r="F212" s="120" t="s">
        <v>251</v>
      </c>
      <c r="G212" s="120" t="s">
        <v>251</v>
      </c>
      <c r="H212" s="120" t="s">
        <v>251</v>
      </c>
      <c r="I212" s="120" t="s">
        <v>251</v>
      </c>
      <c r="J212" s="120" t="s">
        <v>251</v>
      </c>
      <c r="K212" s="120" t="s">
        <v>251</v>
      </c>
      <c r="L212" s="120" t="s">
        <v>251</v>
      </c>
      <c r="M212" s="120" t="s">
        <v>251</v>
      </c>
      <c r="N212" s="120" t="s">
        <v>251</v>
      </c>
      <c r="O212" s="120" t="s">
        <v>251</v>
      </c>
      <c r="P212" s="120" t="s">
        <v>251</v>
      </c>
      <c r="Q212" s="120" t="s">
        <v>251</v>
      </c>
      <c r="R212" s="120"/>
      <c r="S212" s="121"/>
    </row>
    <row r="213" spans="1:19" ht="15">
      <c r="A213" s="105">
        <v>1</v>
      </c>
      <c r="B213" s="129" t="str">
        <f t="shared" ref="B213:B220" si="10">MID(C213,2,3)</f>
        <v>389</v>
      </c>
      <c r="C213" s="107" t="s">
        <v>418</v>
      </c>
      <c r="D213" s="107" t="s">
        <v>419</v>
      </c>
      <c r="E213" s="120">
        <v>4114702.77275</v>
      </c>
      <c r="F213" s="120" t="s">
        <v>251</v>
      </c>
      <c r="G213" s="120">
        <v>3723910.0269606514</v>
      </c>
      <c r="H213" s="120" t="s">
        <v>251</v>
      </c>
      <c r="I213" s="120">
        <v>189562.12252273486</v>
      </c>
      <c r="J213" s="120">
        <v>201230.62326661361</v>
      </c>
      <c r="K213" s="120" t="s">
        <v>251</v>
      </c>
      <c r="L213" s="120" t="s">
        <v>251</v>
      </c>
      <c r="M213" s="120">
        <v>289.94401484327113</v>
      </c>
      <c r="N213" s="120" t="s">
        <v>251</v>
      </c>
      <c r="O213" s="120">
        <v>200940.67925177034</v>
      </c>
      <c r="P213" s="120">
        <v>64032.317343158851</v>
      </c>
      <c r="Q213" s="120">
        <v>136908.36190861149</v>
      </c>
      <c r="R213" s="120"/>
      <c r="S213" s="121"/>
    </row>
    <row r="214" spans="1:19" ht="15">
      <c r="A214" s="105">
        <v>2</v>
      </c>
      <c r="B214" s="129" t="str">
        <f t="shared" si="10"/>
        <v>390</v>
      </c>
      <c r="C214" s="107" t="s">
        <v>420</v>
      </c>
      <c r="D214" s="107" t="s">
        <v>419</v>
      </c>
      <c r="E214" s="120">
        <v>69509098.574726909</v>
      </c>
      <c r="F214" s="120" t="s">
        <v>251</v>
      </c>
      <c r="G214" s="120">
        <v>62907491.365269683</v>
      </c>
      <c r="H214" s="120" t="s">
        <v>251</v>
      </c>
      <c r="I214" s="120">
        <v>3202246.4290078138</v>
      </c>
      <c r="J214" s="120">
        <v>3399360.7804494067</v>
      </c>
      <c r="K214" s="120" t="s">
        <v>251</v>
      </c>
      <c r="L214" s="120" t="s">
        <v>251</v>
      </c>
      <c r="M214" s="120">
        <v>4897.9836994212728</v>
      </c>
      <c r="N214" s="120" t="s">
        <v>251</v>
      </c>
      <c r="O214" s="120">
        <v>3394462.7967499853</v>
      </c>
      <c r="P214" s="120">
        <v>1081688.9831386725</v>
      </c>
      <c r="Q214" s="120">
        <v>2312773.8136113128</v>
      </c>
      <c r="R214" s="120"/>
      <c r="S214" s="121"/>
    </row>
    <row r="215" spans="1:19" ht="15">
      <c r="A215" s="105">
        <v>3</v>
      </c>
      <c r="B215" s="129" t="str">
        <f t="shared" si="10"/>
        <v>391</v>
      </c>
      <c r="C215" s="107" t="s">
        <v>421</v>
      </c>
      <c r="D215" s="107" t="s">
        <v>419</v>
      </c>
      <c r="E215" s="120">
        <v>46160026.234825507</v>
      </c>
      <c r="F215" s="120" t="s">
        <v>251</v>
      </c>
      <c r="G215" s="120">
        <v>41775990.644823529</v>
      </c>
      <c r="H215" s="120" t="s">
        <v>251</v>
      </c>
      <c r="I215" s="120">
        <v>2126567.3444817467</v>
      </c>
      <c r="J215" s="120">
        <v>2257468.2455202308</v>
      </c>
      <c r="K215" s="120" t="s">
        <v>251</v>
      </c>
      <c r="L215" s="120" t="s">
        <v>251</v>
      </c>
      <c r="M215" s="120">
        <v>3252.6828961818674</v>
      </c>
      <c r="N215" s="120" t="s">
        <v>251</v>
      </c>
      <c r="O215" s="120">
        <v>2254215.5626240489</v>
      </c>
      <c r="P215" s="120">
        <v>718334.61896968668</v>
      </c>
      <c r="Q215" s="120">
        <v>1535880.9436543621</v>
      </c>
      <c r="R215" s="120"/>
      <c r="S215" s="121"/>
    </row>
    <row r="216" spans="1:19" ht="15">
      <c r="A216" s="105">
        <v>4</v>
      </c>
      <c r="B216" s="129" t="str">
        <f t="shared" si="10"/>
        <v>392</v>
      </c>
      <c r="C216" s="107" t="s">
        <v>422</v>
      </c>
      <c r="D216" s="107" t="s">
        <v>419</v>
      </c>
      <c r="E216" s="120">
        <v>7538271.7000000011</v>
      </c>
      <c r="F216" s="120" t="s">
        <v>251</v>
      </c>
      <c r="G216" s="120">
        <v>6822326.4522269061</v>
      </c>
      <c r="H216" s="120" t="s">
        <v>251</v>
      </c>
      <c r="I216" s="120">
        <v>347284.08405791939</v>
      </c>
      <c r="J216" s="120">
        <v>368661.16371517564</v>
      </c>
      <c r="K216" s="120" t="s">
        <v>251</v>
      </c>
      <c r="L216" s="120" t="s">
        <v>251</v>
      </c>
      <c r="M216" s="120">
        <v>531.18703400699019</v>
      </c>
      <c r="N216" s="120" t="s">
        <v>251</v>
      </c>
      <c r="O216" s="120">
        <v>368129.97668116866</v>
      </c>
      <c r="P216" s="120">
        <v>117309.32521056751</v>
      </c>
      <c r="Q216" s="120">
        <v>250820.65147060118</v>
      </c>
      <c r="R216" s="120"/>
      <c r="S216" s="121"/>
    </row>
    <row r="217" spans="1:19" ht="15">
      <c r="A217" s="105">
        <v>5</v>
      </c>
      <c r="B217" s="129" t="str">
        <f t="shared" si="10"/>
        <v>393</v>
      </c>
      <c r="C217" s="107" t="s">
        <v>423</v>
      </c>
      <c r="D217" s="107" t="s">
        <v>419</v>
      </c>
      <c r="E217" s="120">
        <v>949508.38742000004</v>
      </c>
      <c r="F217" s="120" t="s">
        <v>251</v>
      </c>
      <c r="G217" s="120">
        <v>859329.09371080098</v>
      </c>
      <c r="H217" s="120" t="s">
        <v>251</v>
      </c>
      <c r="I217" s="120">
        <v>43743.335840557032</v>
      </c>
      <c r="J217" s="120">
        <v>46435.957868642101</v>
      </c>
      <c r="K217" s="120" t="s">
        <v>251</v>
      </c>
      <c r="L217" s="120" t="s">
        <v>251</v>
      </c>
      <c r="M217" s="120">
        <v>66.907450958339695</v>
      </c>
      <c r="N217" s="120" t="s">
        <v>251</v>
      </c>
      <c r="O217" s="120">
        <v>46369.050417683764</v>
      </c>
      <c r="P217" s="120">
        <v>14776.09094535745</v>
      </c>
      <c r="Q217" s="120">
        <v>31592.959472326314</v>
      </c>
      <c r="R217" s="120"/>
      <c r="S217" s="121"/>
    </row>
    <row r="218" spans="1:19" ht="15">
      <c r="A218" s="105">
        <v>6</v>
      </c>
      <c r="B218" s="129" t="str">
        <f t="shared" si="10"/>
        <v>394</v>
      </c>
      <c r="C218" s="107" t="s">
        <v>424</v>
      </c>
      <c r="D218" s="107" t="s">
        <v>419</v>
      </c>
      <c r="E218" s="120">
        <v>15349972.9951082</v>
      </c>
      <c r="F218" s="120" t="s">
        <v>251</v>
      </c>
      <c r="G218" s="120">
        <v>13892113.600189727</v>
      </c>
      <c r="H218" s="120" t="s">
        <v>251</v>
      </c>
      <c r="I218" s="120">
        <v>707164.92109457252</v>
      </c>
      <c r="J218" s="120">
        <v>750694.47382390185</v>
      </c>
      <c r="K218" s="120" t="s">
        <v>251</v>
      </c>
      <c r="L218" s="120" t="s">
        <v>251</v>
      </c>
      <c r="M218" s="120">
        <v>1081.6413830452568</v>
      </c>
      <c r="N218" s="120" t="s">
        <v>251</v>
      </c>
      <c r="O218" s="120">
        <v>749612.83244085661</v>
      </c>
      <c r="P218" s="120">
        <v>238873.71611407649</v>
      </c>
      <c r="Q218" s="120">
        <v>510739.11632678006</v>
      </c>
      <c r="R218" s="120"/>
      <c r="S218" s="121"/>
    </row>
    <row r="219" spans="1:19" ht="15">
      <c r="A219" s="105">
        <v>7</v>
      </c>
      <c r="B219" s="129" t="str">
        <f t="shared" si="10"/>
        <v>395</v>
      </c>
      <c r="C219" s="107" t="s">
        <v>425</v>
      </c>
      <c r="D219" s="107" t="s">
        <v>419</v>
      </c>
      <c r="E219" s="120">
        <v>0</v>
      </c>
      <c r="F219" s="120" t="s">
        <v>251</v>
      </c>
      <c r="G219" s="120">
        <v>0</v>
      </c>
      <c r="H219" s="120" t="s">
        <v>251</v>
      </c>
      <c r="I219" s="120">
        <v>0</v>
      </c>
      <c r="J219" s="120">
        <v>0</v>
      </c>
      <c r="K219" s="120" t="s">
        <v>251</v>
      </c>
      <c r="L219" s="120" t="s">
        <v>251</v>
      </c>
      <c r="M219" s="120">
        <v>0</v>
      </c>
      <c r="N219" s="120" t="s">
        <v>251</v>
      </c>
      <c r="O219" s="120">
        <v>0</v>
      </c>
      <c r="P219" s="120">
        <v>0</v>
      </c>
      <c r="Q219" s="120">
        <v>0</v>
      </c>
      <c r="R219" s="120"/>
      <c r="S219" s="121"/>
    </row>
    <row r="220" spans="1:19" ht="15">
      <c r="A220" s="105">
        <v>8</v>
      </c>
      <c r="B220" s="129" t="str">
        <f t="shared" si="10"/>
        <v>396</v>
      </c>
      <c r="C220" s="107" t="s">
        <v>426</v>
      </c>
      <c r="D220" s="107" t="s">
        <v>419</v>
      </c>
      <c r="E220" s="120">
        <v>4137907.4</v>
      </c>
      <c r="F220" s="120" t="s">
        <v>251</v>
      </c>
      <c r="G220" s="120">
        <v>3744910.8012232375</v>
      </c>
      <c r="H220" s="120" t="s">
        <v>251</v>
      </c>
      <c r="I220" s="120">
        <v>190631.14710040056</v>
      </c>
      <c r="J220" s="120">
        <v>202365.45167636193</v>
      </c>
      <c r="K220" s="120" t="s">
        <v>251</v>
      </c>
      <c r="L220" s="120" t="s">
        <v>251</v>
      </c>
      <c r="M220" s="120">
        <v>291.5791372711567</v>
      </c>
      <c r="N220" s="120" t="s">
        <v>251</v>
      </c>
      <c r="O220" s="120">
        <v>202073.87253909078</v>
      </c>
      <c r="P220" s="120">
        <v>64393.423876962908</v>
      </c>
      <c r="Q220" s="120">
        <v>137680.44866212786</v>
      </c>
      <c r="R220" s="120"/>
      <c r="S220" s="121"/>
    </row>
    <row r="221" spans="1:19" ht="15">
      <c r="A221" s="105" t="s">
        <v>251</v>
      </c>
      <c r="B221" s="129"/>
      <c r="C221" s="107" t="s">
        <v>427</v>
      </c>
      <c r="D221" s="107" t="s">
        <v>251</v>
      </c>
      <c r="E221" s="120" t="s">
        <v>251</v>
      </c>
      <c r="F221" s="120" t="s">
        <v>251</v>
      </c>
      <c r="G221" s="120" t="s">
        <v>251</v>
      </c>
      <c r="H221" s="120" t="s">
        <v>251</v>
      </c>
      <c r="I221" s="120" t="s">
        <v>251</v>
      </c>
      <c r="J221" s="120" t="s">
        <v>251</v>
      </c>
      <c r="K221" s="120" t="s">
        <v>251</v>
      </c>
      <c r="L221" s="120" t="s">
        <v>251</v>
      </c>
      <c r="M221" s="120" t="s">
        <v>251</v>
      </c>
      <c r="N221" s="120" t="s">
        <v>251</v>
      </c>
      <c r="O221" s="120" t="s">
        <v>251</v>
      </c>
      <c r="P221" s="120" t="s">
        <v>251</v>
      </c>
      <c r="Q221" s="120" t="s">
        <v>251</v>
      </c>
      <c r="R221" s="120"/>
      <c r="S221" s="121"/>
    </row>
    <row r="222" spans="1:19" ht="15">
      <c r="A222" s="105">
        <v>9</v>
      </c>
      <c r="B222" s="105"/>
      <c r="C222" s="107" t="s">
        <v>428</v>
      </c>
      <c r="D222" s="107" t="s">
        <v>429</v>
      </c>
      <c r="E222" s="120">
        <v>7777190.3599999994</v>
      </c>
      <c r="F222" s="120" t="s">
        <v>251</v>
      </c>
      <c r="G222" s="120">
        <v>7777190.3599999994</v>
      </c>
      <c r="H222" s="120" t="s">
        <v>251</v>
      </c>
      <c r="I222" s="120">
        <v>0</v>
      </c>
      <c r="J222" s="120">
        <v>0</v>
      </c>
      <c r="K222" s="120" t="s">
        <v>251</v>
      </c>
      <c r="L222" s="120" t="s">
        <v>251</v>
      </c>
      <c r="M222" s="120">
        <v>0</v>
      </c>
      <c r="N222" s="120" t="s">
        <v>251</v>
      </c>
      <c r="O222" s="120">
        <v>0</v>
      </c>
      <c r="P222" s="120">
        <v>0</v>
      </c>
      <c r="Q222" s="120">
        <v>0</v>
      </c>
      <c r="R222" s="120"/>
      <c r="S222" s="121"/>
    </row>
    <row r="223" spans="1:19" ht="15">
      <c r="A223" s="105">
        <v>10</v>
      </c>
      <c r="B223" s="129"/>
      <c r="C223" s="107" t="s">
        <v>377</v>
      </c>
      <c r="D223" s="107" t="s">
        <v>419</v>
      </c>
      <c r="E223" s="120">
        <v>58195258.018516392</v>
      </c>
      <c r="F223" s="120" t="s">
        <v>251</v>
      </c>
      <c r="G223" s="120">
        <v>52668179.653685644</v>
      </c>
      <c r="H223" s="120" t="s">
        <v>251</v>
      </c>
      <c r="I223" s="120">
        <v>2681023.9378178362</v>
      </c>
      <c r="J223" s="120">
        <v>2846054.4270129134</v>
      </c>
      <c r="K223" s="120" t="s">
        <v>251</v>
      </c>
      <c r="L223" s="120" t="s">
        <v>251</v>
      </c>
      <c r="M223" s="120">
        <v>4100.7498443081104</v>
      </c>
      <c r="N223" s="120" t="s">
        <v>251</v>
      </c>
      <c r="O223" s="120">
        <v>2841953.6771686054</v>
      </c>
      <c r="P223" s="120">
        <v>905624.88595456514</v>
      </c>
      <c r="Q223" s="120">
        <v>1936328.7912140402</v>
      </c>
      <c r="R223" s="120"/>
      <c r="S223" s="121"/>
    </row>
    <row r="224" spans="1:19" ht="15">
      <c r="A224" s="105">
        <v>11</v>
      </c>
      <c r="B224" s="129">
        <v>397</v>
      </c>
      <c r="C224" s="107" t="s">
        <v>430</v>
      </c>
      <c r="D224" s="107" t="s">
        <v>251</v>
      </c>
      <c r="E224" s="120">
        <v>65972448.378516391</v>
      </c>
      <c r="F224" s="120" t="s">
        <v>251</v>
      </c>
      <c r="G224" s="120">
        <v>60445370.013685644</v>
      </c>
      <c r="H224" s="120" t="s">
        <v>251</v>
      </c>
      <c r="I224" s="120">
        <v>2681023.9378178362</v>
      </c>
      <c r="J224" s="120">
        <v>2846054.4270129134</v>
      </c>
      <c r="K224" s="120" t="s">
        <v>251</v>
      </c>
      <c r="L224" s="120" t="s">
        <v>251</v>
      </c>
      <c r="M224" s="120">
        <v>4100.7498443081104</v>
      </c>
      <c r="N224" s="120" t="s">
        <v>251</v>
      </c>
      <c r="O224" s="120">
        <v>2841953.6771686054</v>
      </c>
      <c r="P224" s="120">
        <v>905624.88595456514</v>
      </c>
      <c r="Q224" s="120">
        <v>1936328.7912140402</v>
      </c>
      <c r="R224" s="120"/>
      <c r="S224" s="121"/>
    </row>
    <row r="225" spans="1:19" ht="15">
      <c r="A225" s="105">
        <v>12</v>
      </c>
      <c r="B225" s="129" t="str">
        <f t="shared" ref="B225" si="11">MID(C225,2,3)</f>
        <v>398</v>
      </c>
      <c r="C225" s="107" t="s">
        <v>431</v>
      </c>
      <c r="D225" s="107" t="s">
        <v>419</v>
      </c>
      <c r="E225" s="120">
        <v>0</v>
      </c>
      <c r="F225" s="120" t="s">
        <v>251</v>
      </c>
      <c r="G225" s="120">
        <v>0</v>
      </c>
      <c r="H225" s="120" t="s">
        <v>251</v>
      </c>
      <c r="I225" s="120">
        <v>0</v>
      </c>
      <c r="J225" s="120">
        <v>0</v>
      </c>
      <c r="K225" s="120" t="s">
        <v>251</v>
      </c>
      <c r="L225" s="120" t="s">
        <v>251</v>
      </c>
      <c r="M225" s="120">
        <v>0</v>
      </c>
      <c r="N225" s="120" t="s">
        <v>251</v>
      </c>
      <c r="O225" s="120">
        <v>0</v>
      </c>
      <c r="P225" s="120">
        <v>0</v>
      </c>
      <c r="Q225" s="120">
        <v>0</v>
      </c>
      <c r="R225" s="120"/>
      <c r="S225" s="121"/>
    </row>
    <row r="226" spans="1:19" ht="15">
      <c r="A226" s="105">
        <v>13</v>
      </c>
      <c r="B226" s="105"/>
      <c r="C226" s="107" t="s">
        <v>432</v>
      </c>
      <c r="D226" s="107" t="s">
        <v>251</v>
      </c>
      <c r="E226" s="120">
        <v>213731936.44334698</v>
      </c>
      <c r="F226" s="120" t="s">
        <v>251</v>
      </c>
      <c r="G226" s="120">
        <v>194171441.99809015</v>
      </c>
      <c r="H226" s="120" t="s">
        <v>251</v>
      </c>
      <c r="I226" s="120">
        <v>9488223.32192358</v>
      </c>
      <c r="J226" s="120">
        <v>10072271.123333247</v>
      </c>
      <c r="K226" s="120" t="s">
        <v>251</v>
      </c>
      <c r="L226" s="120" t="s">
        <v>251</v>
      </c>
      <c r="M226" s="120">
        <v>14512.675460036266</v>
      </c>
      <c r="N226" s="120" t="s">
        <v>251</v>
      </c>
      <c r="O226" s="120">
        <v>10057758.447873211</v>
      </c>
      <c r="P226" s="120">
        <v>3205033.3615530478</v>
      </c>
      <c r="Q226" s="120">
        <v>6852725.0863201628</v>
      </c>
      <c r="R226" s="120"/>
      <c r="S226" s="121"/>
    </row>
    <row r="227" spans="1:19" ht="15">
      <c r="A227" s="105" t="s">
        <v>251</v>
      </c>
      <c r="B227" s="105"/>
      <c r="C227" s="107" t="s">
        <v>251</v>
      </c>
      <c r="D227" s="107" t="s">
        <v>251</v>
      </c>
      <c r="E227" s="120" t="s">
        <v>251</v>
      </c>
      <c r="F227" s="120" t="s">
        <v>251</v>
      </c>
      <c r="G227" s="120" t="s">
        <v>251</v>
      </c>
      <c r="H227" s="120" t="s">
        <v>251</v>
      </c>
      <c r="I227" s="120" t="s">
        <v>251</v>
      </c>
      <c r="J227" s="120" t="s">
        <v>251</v>
      </c>
      <c r="K227" s="120" t="s">
        <v>251</v>
      </c>
      <c r="L227" s="120" t="s">
        <v>251</v>
      </c>
      <c r="M227" s="120" t="s">
        <v>251</v>
      </c>
      <c r="N227" s="120" t="s">
        <v>251</v>
      </c>
      <c r="O227" s="120" t="s">
        <v>251</v>
      </c>
      <c r="P227" s="120" t="s">
        <v>251</v>
      </c>
      <c r="Q227" s="120" t="s">
        <v>251</v>
      </c>
      <c r="R227" s="120"/>
      <c r="S227" s="121"/>
    </row>
    <row r="228" spans="1:19" ht="15">
      <c r="A228" s="105" t="s">
        <v>251</v>
      </c>
      <c r="B228" s="105"/>
      <c r="C228" s="107" t="s">
        <v>433</v>
      </c>
      <c r="D228" s="107" t="s">
        <v>251</v>
      </c>
      <c r="E228" s="120" t="s">
        <v>251</v>
      </c>
      <c r="F228" s="120" t="s">
        <v>251</v>
      </c>
      <c r="G228" s="120" t="s">
        <v>251</v>
      </c>
      <c r="H228" s="120" t="s">
        <v>251</v>
      </c>
      <c r="I228" s="120" t="s">
        <v>251</v>
      </c>
      <c r="J228" s="120" t="s">
        <v>251</v>
      </c>
      <c r="K228" s="120" t="s">
        <v>251</v>
      </c>
      <c r="L228" s="120" t="s">
        <v>251</v>
      </c>
      <c r="M228" s="120" t="s">
        <v>251</v>
      </c>
      <c r="N228" s="120" t="s">
        <v>251</v>
      </c>
      <c r="O228" s="120" t="s">
        <v>251</v>
      </c>
      <c r="P228" s="120" t="s">
        <v>251</v>
      </c>
      <c r="Q228" s="120" t="s">
        <v>251</v>
      </c>
      <c r="R228" s="120"/>
      <c r="S228" s="121"/>
    </row>
    <row r="229" spans="1:19" ht="15">
      <c r="A229" s="105">
        <v>14</v>
      </c>
      <c r="B229" s="105"/>
      <c r="C229" s="107" t="s">
        <v>434</v>
      </c>
      <c r="D229" s="107" t="s">
        <v>304</v>
      </c>
      <c r="E229" s="120">
        <v>309540.84999999998</v>
      </c>
      <c r="F229" s="120" t="s">
        <v>251</v>
      </c>
      <c r="G229" s="120">
        <v>271385.39152250934</v>
      </c>
      <c r="H229" s="120" t="s">
        <v>251</v>
      </c>
      <c r="I229" s="120">
        <v>12427.071061121571</v>
      </c>
      <c r="J229" s="120">
        <v>25728.387416369063</v>
      </c>
      <c r="K229" s="120" t="s">
        <v>251</v>
      </c>
      <c r="L229" s="120" t="s">
        <v>251</v>
      </c>
      <c r="M229" s="120">
        <v>0.87110930064360703</v>
      </c>
      <c r="N229" s="120" t="s">
        <v>251</v>
      </c>
      <c r="O229" s="120">
        <v>25727.516307068421</v>
      </c>
      <c r="P229" s="120">
        <v>7936.5026163037755</v>
      </c>
      <c r="Q229" s="120">
        <v>17791.013690764645</v>
      </c>
      <c r="R229" s="120"/>
      <c r="S229" s="121"/>
    </row>
    <row r="230" spans="1:19" ht="15">
      <c r="A230" s="105">
        <v>15</v>
      </c>
      <c r="B230" s="105"/>
      <c r="C230" s="107" t="s">
        <v>435</v>
      </c>
      <c r="D230" s="107" t="s">
        <v>341</v>
      </c>
      <c r="E230" s="120">
        <v>0</v>
      </c>
      <c r="F230" s="120" t="s">
        <v>251</v>
      </c>
      <c r="G230" s="120">
        <v>0</v>
      </c>
      <c r="H230" s="120" t="s">
        <v>251</v>
      </c>
      <c r="I230" s="120">
        <v>0</v>
      </c>
      <c r="J230" s="120">
        <v>0</v>
      </c>
      <c r="K230" s="120" t="s">
        <v>251</v>
      </c>
      <c r="L230" s="120" t="s">
        <v>251</v>
      </c>
      <c r="M230" s="120">
        <v>0</v>
      </c>
      <c r="N230" s="120" t="s">
        <v>251</v>
      </c>
      <c r="O230" s="120">
        <v>0</v>
      </c>
      <c r="P230" s="120">
        <v>0</v>
      </c>
      <c r="Q230" s="120">
        <v>0</v>
      </c>
      <c r="R230" s="120"/>
      <c r="S230" s="121"/>
    </row>
    <row r="231" spans="1:19" ht="15">
      <c r="A231" s="105">
        <v>16</v>
      </c>
      <c r="B231" s="105"/>
      <c r="C231" s="107" t="s">
        <v>436</v>
      </c>
      <c r="D231" s="107" t="s">
        <v>2233</v>
      </c>
      <c r="E231" s="120">
        <v>1471422.5899999999</v>
      </c>
      <c r="F231" s="120" t="s">
        <v>251</v>
      </c>
      <c r="G231" s="120">
        <v>1147334.75</v>
      </c>
      <c r="H231" s="120" t="s">
        <v>251</v>
      </c>
      <c r="I231" s="120">
        <v>324087.83999999997</v>
      </c>
      <c r="J231" s="120">
        <v>0</v>
      </c>
      <c r="K231" s="120" t="s">
        <v>251</v>
      </c>
      <c r="L231" s="120" t="s">
        <v>251</v>
      </c>
      <c r="M231" s="120">
        <v>0</v>
      </c>
      <c r="N231" s="120" t="s">
        <v>251</v>
      </c>
      <c r="O231" s="120">
        <v>0</v>
      </c>
      <c r="P231" s="120">
        <v>0</v>
      </c>
      <c r="Q231" s="120">
        <v>0</v>
      </c>
      <c r="R231" s="120"/>
      <c r="S231" s="121"/>
    </row>
    <row r="232" spans="1:19" ht="15">
      <c r="A232" s="105">
        <v>17</v>
      </c>
      <c r="B232" s="105"/>
      <c r="C232" s="107" t="s">
        <v>437</v>
      </c>
      <c r="D232" s="107" t="s">
        <v>419</v>
      </c>
      <c r="E232" s="120">
        <v>131956.31</v>
      </c>
      <c r="F232" s="120" t="s">
        <v>251</v>
      </c>
      <c r="G232" s="120">
        <v>119423.79633931923</v>
      </c>
      <c r="H232" s="120" t="s">
        <v>251</v>
      </c>
      <c r="I232" s="120">
        <v>6079.1555515321725</v>
      </c>
      <c r="J232" s="120">
        <v>6453.3581091486094</v>
      </c>
      <c r="K232" s="120" t="s">
        <v>251</v>
      </c>
      <c r="L232" s="120" t="s">
        <v>251</v>
      </c>
      <c r="M232" s="120">
        <v>9.2983489739971734</v>
      </c>
      <c r="N232" s="120" t="s">
        <v>251</v>
      </c>
      <c r="O232" s="120">
        <v>6444.0597601746122</v>
      </c>
      <c r="P232" s="120">
        <v>2053.4820578802514</v>
      </c>
      <c r="Q232" s="120">
        <v>4390.5777022943603</v>
      </c>
      <c r="R232" s="120"/>
      <c r="S232" s="121"/>
    </row>
    <row r="233" spans="1:19" ht="15">
      <c r="A233" s="105">
        <v>18</v>
      </c>
      <c r="B233" s="105"/>
      <c r="C233" s="107" t="s">
        <v>438</v>
      </c>
      <c r="D233" s="107" t="s">
        <v>251</v>
      </c>
      <c r="E233" s="120">
        <v>1912919.75</v>
      </c>
      <c r="F233" s="120" t="s">
        <v>251</v>
      </c>
      <c r="G233" s="120">
        <v>1538143.9378618286</v>
      </c>
      <c r="H233" s="120" t="s">
        <v>251</v>
      </c>
      <c r="I233" s="120">
        <v>342594.06661265373</v>
      </c>
      <c r="J233" s="120">
        <v>32181.745525517672</v>
      </c>
      <c r="K233" s="120" t="s">
        <v>251</v>
      </c>
      <c r="L233" s="120" t="s">
        <v>251</v>
      </c>
      <c r="M233" s="120">
        <v>10.16945827464078</v>
      </c>
      <c r="N233" s="120" t="s">
        <v>251</v>
      </c>
      <c r="O233" s="120">
        <v>32171.57606724303</v>
      </c>
      <c r="P233" s="120">
        <v>9989.9846741840265</v>
      </c>
      <c r="Q233" s="120">
        <v>22181.591393059003</v>
      </c>
      <c r="R233" s="120"/>
      <c r="S233" s="121"/>
    </row>
    <row r="234" spans="1:19" ht="15">
      <c r="A234" s="105" t="s">
        <v>251</v>
      </c>
      <c r="B234" s="105"/>
      <c r="C234" s="107" t="s">
        <v>251</v>
      </c>
      <c r="D234" s="107" t="s">
        <v>251</v>
      </c>
      <c r="E234" s="120" t="s">
        <v>251</v>
      </c>
      <c r="F234" s="120" t="s">
        <v>251</v>
      </c>
      <c r="G234" s="120" t="s">
        <v>251</v>
      </c>
      <c r="H234" s="120" t="s">
        <v>251</v>
      </c>
      <c r="I234" s="120" t="s">
        <v>251</v>
      </c>
      <c r="J234" s="120" t="s">
        <v>251</v>
      </c>
      <c r="K234" s="120" t="s">
        <v>251</v>
      </c>
      <c r="L234" s="120" t="s">
        <v>251</v>
      </c>
      <c r="M234" s="120" t="s">
        <v>251</v>
      </c>
      <c r="N234" s="120" t="s">
        <v>251</v>
      </c>
      <c r="O234" s="120" t="s">
        <v>251</v>
      </c>
      <c r="P234" s="120" t="s">
        <v>251</v>
      </c>
      <c r="Q234" s="120" t="s">
        <v>251</v>
      </c>
      <c r="R234" s="120"/>
      <c r="S234" s="121"/>
    </row>
    <row r="235" spans="1:19" ht="15">
      <c r="A235" s="105">
        <v>19</v>
      </c>
      <c r="B235" s="105"/>
      <c r="C235" s="107" t="s">
        <v>439</v>
      </c>
      <c r="D235" s="107" t="s">
        <v>251</v>
      </c>
      <c r="E235" s="120">
        <v>9776298860.8313618</v>
      </c>
      <c r="F235" s="120" t="s">
        <v>251</v>
      </c>
      <c r="G235" s="120">
        <v>8702727107.7162933</v>
      </c>
      <c r="H235" s="120" t="s">
        <v>251</v>
      </c>
      <c r="I235" s="120">
        <v>477985058.8916316</v>
      </c>
      <c r="J235" s="120">
        <v>595586694.22343576</v>
      </c>
      <c r="K235" s="120" t="s">
        <v>251</v>
      </c>
      <c r="L235" s="120" t="s">
        <v>251</v>
      </c>
      <c r="M235" s="120">
        <v>691958.7057835079</v>
      </c>
      <c r="N235" s="120" t="s">
        <v>251</v>
      </c>
      <c r="O235" s="120">
        <v>594894735.51765227</v>
      </c>
      <c r="P235" s="120">
        <v>186111863.43949777</v>
      </c>
      <c r="Q235" s="120">
        <v>408782872.07815444</v>
      </c>
      <c r="R235" s="120"/>
      <c r="S235" s="121"/>
    </row>
    <row r="236" spans="1:19" ht="15">
      <c r="A236" s="105" t="s">
        <v>251</v>
      </c>
      <c r="B236" s="105"/>
      <c r="C236" s="107" t="s">
        <v>251</v>
      </c>
      <c r="D236" s="107" t="s">
        <v>251</v>
      </c>
      <c r="E236" s="120" t="s">
        <v>251</v>
      </c>
      <c r="F236" s="120" t="s">
        <v>251</v>
      </c>
      <c r="G236" s="120" t="s">
        <v>251</v>
      </c>
      <c r="H236" s="120" t="s">
        <v>251</v>
      </c>
      <c r="I236" s="120" t="s">
        <v>251</v>
      </c>
      <c r="J236" s="120" t="s">
        <v>251</v>
      </c>
      <c r="K236" s="120" t="s">
        <v>251</v>
      </c>
      <c r="L236" s="120" t="s">
        <v>251</v>
      </c>
      <c r="M236" s="120" t="s">
        <v>251</v>
      </c>
      <c r="N236" s="120" t="s">
        <v>251</v>
      </c>
      <c r="O236" s="120" t="s">
        <v>251</v>
      </c>
      <c r="P236" s="120" t="s">
        <v>251</v>
      </c>
      <c r="Q236" s="120" t="s">
        <v>251</v>
      </c>
      <c r="R236" s="120"/>
      <c r="S236" s="121"/>
    </row>
    <row r="237" spans="1:19" ht="15">
      <c r="A237" s="105" t="s">
        <v>251</v>
      </c>
      <c r="B237" s="105"/>
      <c r="C237" s="107" t="s">
        <v>337</v>
      </c>
      <c r="D237" s="107" t="s">
        <v>251</v>
      </c>
      <c r="E237" s="120" t="s">
        <v>251</v>
      </c>
      <c r="F237" s="120" t="s">
        <v>251</v>
      </c>
      <c r="G237" s="120" t="s">
        <v>251</v>
      </c>
      <c r="H237" s="120" t="s">
        <v>251</v>
      </c>
      <c r="I237" s="120" t="s">
        <v>251</v>
      </c>
      <c r="J237" s="120" t="s">
        <v>251</v>
      </c>
      <c r="K237" s="120" t="s">
        <v>251</v>
      </c>
      <c r="L237" s="120" t="s">
        <v>251</v>
      </c>
      <c r="M237" s="120" t="s">
        <v>251</v>
      </c>
      <c r="N237" s="120" t="s">
        <v>251</v>
      </c>
      <c r="O237" s="120" t="s">
        <v>251</v>
      </c>
      <c r="P237" s="120" t="s">
        <v>251</v>
      </c>
      <c r="Q237" s="120" t="s">
        <v>251</v>
      </c>
      <c r="R237" s="120"/>
      <c r="S237" s="121"/>
    </row>
    <row r="238" spans="1:19" ht="15">
      <c r="A238" s="105" t="s">
        <v>251</v>
      </c>
      <c r="B238" s="105"/>
      <c r="C238" s="107" t="s">
        <v>251</v>
      </c>
      <c r="D238" s="107" t="s">
        <v>251</v>
      </c>
      <c r="E238" s="120" t="s">
        <v>251</v>
      </c>
      <c r="F238" s="120" t="s">
        <v>251</v>
      </c>
      <c r="G238" s="120" t="s">
        <v>251</v>
      </c>
      <c r="H238" s="120" t="s">
        <v>251</v>
      </c>
      <c r="I238" s="120" t="s">
        <v>251</v>
      </c>
      <c r="J238" s="120" t="s">
        <v>251</v>
      </c>
      <c r="K238" s="120" t="s">
        <v>251</v>
      </c>
      <c r="L238" s="120" t="s">
        <v>251</v>
      </c>
      <c r="M238" s="120" t="s">
        <v>251</v>
      </c>
      <c r="N238" s="120" t="s">
        <v>251</v>
      </c>
      <c r="O238" s="120" t="s">
        <v>251</v>
      </c>
      <c r="P238" s="120" t="s">
        <v>251</v>
      </c>
      <c r="Q238" s="120" t="s">
        <v>251</v>
      </c>
      <c r="R238" s="120"/>
      <c r="S238" s="121"/>
    </row>
    <row r="239" spans="1:19" ht="15">
      <c r="A239" s="105" t="s">
        <v>251</v>
      </c>
      <c r="B239" s="105"/>
      <c r="C239" s="107" t="s">
        <v>440</v>
      </c>
      <c r="D239" s="107" t="s">
        <v>251</v>
      </c>
      <c r="E239" s="120" t="s">
        <v>251</v>
      </c>
      <c r="F239" s="120" t="s">
        <v>251</v>
      </c>
      <c r="G239" s="120" t="s">
        <v>251</v>
      </c>
      <c r="H239" s="120" t="s">
        <v>251</v>
      </c>
      <c r="I239" s="120" t="s">
        <v>251</v>
      </c>
      <c r="J239" s="120" t="s">
        <v>251</v>
      </c>
      <c r="K239" s="120" t="s">
        <v>251</v>
      </c>
      <c r="L239" s="120" t="s">
        <v>251</v>
      </c>
      <c r="M239" s="120" t="s">
        <v>251</v>
      </c>
      <c r="N239" s="120" t="s">
        <v>251</v>
      </c>
      <c r="O239" s="120" t="s">
        <v>251</v>
      </c>
      <c r="P239" s="120" t="s">
        <v>251</v>
      </c>
      <c r="Q239" s="120" t="s">
        <v>251</v>
      </c>
      <c r="R239" s="120"/>
      <c r="S239" s="121"/>
    </row>
    <row r="240" spans="1:19" ht="15">
      <c r="A240" s="105" t="s">
        <v>251</v>
      </c>
      <c r="B240" s="105"/>
      <c r="C240" s="107" t="s">
        <v>251</v>
      </c>
      <c r="D240" s="107" t="s">
        <v>251</v>
      </c>
      <c r="E240" s="120" t="s">
        <v>251</v>
      </c>
      <c r="F240" s="120" t="s">
        <v>251</v>
      </c>
      <c r="G240" s="120" t="s">
        <v>251</v>
      </c>
      <c r="H240" s="120" t="s">
        <v>251</v>
      </c>
      <c r="I240" s="120" t="s">
        <v>251</v>
      </c>
      <c r="J240" s="120" t="s">
        <v>251</v>
      </c>
      <c r="K240" s="120" t="s">
        <v>251</v>
      </c>
      <c r="L240" s="120" t="s">
        <v>251</v>
      </c>
      <c r="M240" s="120" t="s">
        <v>251</v>
      </c>
      <c r="N240" s="120" t="s">
        <v>251</v>
      </c>
      <c r="O240" s="120" t="s">
        <v>251</v>
      </c>
      <c r="P240" s="120" t="s">
        <v>251</v>
      </c>
      <c r="Q240" s="120" t="s">
        <v>251</v>
      </c>
      <c r="R240" s="120"/>
      <c r="S240" s="121"/>
    </row>
    <row r="241" spans="1:19" ht="15">
      <c r="A241" s="105" t="s">
        <v>251</v>
      </c>
      <c r="B241" s="105"/>
      <c r="C241" s="107" t="s">
        <v>441</v>
      </c>
      <c r="D241" s="107" t="s">
        <v>251</v>
      </c>
      <c r="E241" s="120" t="s">
        <v>251</v>
      </c>
      <c r="F241" s="120" t="s">
        <v>251</v>
      </c>
      <c r="G241" s="120" t="s">
        <v>251</v>
      </c>
      <c r="H241" s="120" t="s">
        <v>251</v>
      </c>
      <c r="I241" s="120" t="s">
        <v>251</v>
      </c>
      <c r="J241" s="120" t="s">
        <v>251</v>
      </c>
      <c r="K241" s="120" t="s">
        <v>251</v>
      </c>
      <c r="L241" s="120" t="s">
        <v>251</v>
      </c>
      <c r="M241" s="120" t="s">
        <v>251</v>
      </c>
      <c r="N241" s="120" t="s">
        <v>251</v>
      </c>
      <c r="O241" s="120" t="s">
        <v>251</v>
      </c>
      <c r="P241" s="120" t="s">
        <v>251</v>
      </c>
      <c r="Q241" s="120" t="s">
        <v>251</v>
      </c>
      <c r="R241" s="120"/>
      <c r="S241" s="121"/>
    </row>
    <row r="242" spans="1:19" ht="15">
      <c r="A242" s="105" t="s">
        <v>251</v>
      </c>
      <c r="B242" s="105"/>
      <c r="C242" s="107" t="s">
        <v>442</v>
      </c>
      <c r="D242" s="107" t="s">
        <v>251</v>
      </c>
      <c r="E242" s="120" t="s">
        <v>251</v>
      </c>
      <c r="F242" s="120" t="s">
        <v>251</v>
      </c>
      <c r="G242" s="120" t="s">
        <v>251</v>
      </c>
      <c r="H242" s="120" t="s">
        <v>251</v>
      </c>
      <c r="I242" s="120" t="s">
        <v>251</v>
      </c>
      <c r="J242" s="120" t="s">
        <v>251</v>
      </c>
      <c r="K242" s="120" t="s">
        <v>251</v>
      </c>
      <c r="L242" s="120" t="s">
        <v>251</v>
      </c>
      <c r="M242" s="120" t="s">
        <v>251</v>
      </c>
      <c r="N242" s="120" t="s">
        <v>251</v>
      </c>
      <c r="O242" s="120" t="s">
        <v>251</v>
      </c>
      <c r="P242" s="120" t="s">
        <v>251</v>
      </c>
      <c r="Q242" s="120" t="s">
        <v>251</v>
      </c>
      <c r="R242" s="120"/>
      <c r="S242" s="121"/>
    </row>
    <row r="243" spans="1:19" ht="15">
      <c r="A243" s="105">
        <v>1</v>
      </c>
      <c r="B243" s="105"/>
      <c r="C243" s="107" t="s">
        <v>443</v>
      </c>
      <c r="D243" s="107" t="s">
        <v>444</v>
      </c>
      <c r="E243" s="120">
        <v>1876126900.9488223</v>
      </c>
      <c r="F243" s="120" t="s">
        <v>251</v>
      </c>
      <c r="G243" s="120">
        <v>1644866690.6481271</v>
      </c>
      <c r="H243" s="120" t="s">
        <v>251</v>
      </c>
      <c r="I243" s="120">
        <v>75320470.037388608</v>
      </c>
      <c r="J243" s="120">
        <v>155939740.26330665</v>
      </c>
      <c r="K243" s="120" t="s">
        <v>251</v>
      </c>
      <c r="L243" s="120" t="s">
        <v>251</v>
      </c>
      <c r="M243" s="120">
        <v>5279.7929339671537</v>
      </c>
      <c r="N243" s="120" t="s">
        <v>251</v>
      </c>
      <c r="O243" s="120">
        <v>155934460.47037268</v>
      </c>
      <c r="P243" s="120">
        <v>48103137.462787934</v>
      </c>
      <c r="Q243" s="120">
        <v>107831323.00758475</v>
      </c>
      <c r="R243" s="120"/>
      <c r="S243" s="121"/>
    </row>
    <row r="244" spans="1:19" ht="15">
      <c r="A244" s="105">
        <v>2</v>
      </c>
      <c r="B244" s="105"/>
      <c r="C244" s="107" t="s">
        <v>445</v>
      </c>
      <c r="D244" s="107" t="s">
        <v>312</v>
      </c>
      <c r="E244" s="120">
        <v>17686323.153333403</v>
      </c>
      <c r="F244" s="120" t="s">
        <v>251</v>
      </c>
      <c r="G244" s="120">
        <v>0</v>
      </c>
      <c r="H244" s="120" t="s">
        <v>251</v>
      </c>
      <c r="I244" s="120">
        <v>5760491.9826672059</v>
      </c>
      <c r="J244" s="120">
        <v>11925831.170666195</v>
      </c>
      <c r="K244" s="120" t="s">
        <v>251</v>
      </c>
      <c r="L244" s="120" t="s">
        <v>251</v>
      </c>
      <c r="M244" s="120">
        <v>0</v>
      </c>
      <c r="N244" s="120" t="s">
        <v>251</v>
      </c>
      <c r="O244" s="120">
        <v>11925831.170666195</v>
      </c>
      <c r="P244" s="120">
        <v>3678916.7348262547</v>
      </c>
      <c r="Q244" s="120">
        <v>8246914.4358399399</v>
      </c>
      <c r="R244" s="120"/>
      <c r="S244" s="121"/>
    </row>
    <row r="245" spans="1:19" ht="15">
      <c r="A245" s="105">
        <v>3</v>
      </c>
      <c r="B245" s="105"/>
      <c r="C245" s="107" t="s">
        <v>446</v>
      </c>
      <c r="D245" s="107" t="s">
        <v>314</v>
      </c>
      <c r="E245" s="120">
        <v>6835395.0066666696</v>
      </c>
      <c r="F245" s="120" t="s">
        <v>251</v>
      </c>
      <c r="G245" s="120">
        <v>0</v>
      </c>
      <c r="H245" s="120" t="s">
        <v>251</v>
      </c>
      <c r="I245" s="120">
        <v>0</v>
      </c>
      <c r="J245" s="120">
        <v>6835395.0066666696</v>
      </c>
      <c r="K245" s="120" t="s">
        <v>251</v>
      </c>
      <c r="L245" s="120" t="s">
        <v>251</v>
      </c>
      <c r="M245" s="120">
        <v>0</v>
      </c>
      <c r="N245" s="120" t="s">
        <v>251</v>
      </c>
      <c r="O245" s="120">
        <v>6835395.0066666696</v>
      </c>
      <c r="P245" s="120">
        <v>2108603.477552759</v>
      </c>
      <c r="Q245" s="120">
        <v>4726791.5291139111</v>
      </c>
      <c r="R245" s="120"/>
      <c r="S245" s="121"/>
    </row>
    <row r="246" spans="1:19" ht="15">
      <c r="A246" s="105">
        <v>4</v>
      </c>
      <c r="B246" s="105"/>
      <c r="C246" s="107" t="s">
        <v>447</v>
      </c>
      <c r="D246" s="107" t="s">
        <v>251</v>
      </c>
      <c r="E246" s="120">
        <v>1900648619.1088223</v>
      </c>
      <c r="F246" s="120" t="s">
        <v>251</v>
      </c>
      <c r="G246" s="120">
        <v>1644866690.6481271</v>
      </c>
      <c r="H246" s="120" t="s">
        <v>251</v>
      </c>
      <c r="I246" s="120">
        <v>81080962.020055816</v>
      </c>
      <c r="J246" s="120">
        <v>174700966.4406395</v>
      </c>
      <c r="K246" s="120" t="s">
        <v>251</v>
      </c>
      <c r="L246" s="120" t="s">
        <v>251</v>
      </c>
      <c r="M246" s="120">
        <v>5279.7929339671537</v>
      </c>
      <c r="N246" s="120" t="s">
        <v>251</v>
      </c>
      <c r="O246" s="120">
        <v>174695686.64770553</v>
      </c>
      <c r="P246" s="120">
        <v>53890657.675166942</v>
      </c>
      <c r="Q246" s="120">
        <v>120805028.97253859</v>
      </c>
      <c r="R246" s="120"/>
      <c r="S246" s="121"/>
    </row>
    <row r="247" spans="1:19" ht="15">
      <c r="A247" s="105" t="s">
        <v>251</v>
      </c>
      <c r="B247" s="105"/>
      <c r="C247" s="107" t="s">
        <v>251</v>
      </c>
      <c r="D247" s="107" t="s">
        <v>251</v>
      </c>
      <c r="E247" s="120" t="s">
        <v>251</v>
      </c>
      <c r="F247" s="120" t="s">
        <v>251</v>
      </c>
      <c r="G247" s="120" t="s">
        <v>251</v>
      </c>
      <c r="H247" s="120" t="s">
        <v>251</v>
      </c>
      <c r="I247" s="120" t="s">
        <v>251</v>
      </c>
      <c r="J247" s="120" t="s">
        <v>251</v>
      </c>
      <c r="K247" s="120" t="s">
        <v>251</v>
      </c>
      <c r="L247" s="120" t="s">
        <v>251</v>
      </c>
      <c r="M247" s="120" t="s">
        <v>251</v>
      </c>
      <c r="N247" s="120" t="s">
        <v>251</v>
      </c>
      <c r="O247" s="120" t="s">
        <v>251</v>
      </c>
      <c r="P247" s="120" t="s">
        <v>251</v>
      </c>
      <c r="Q247" s="120" t="s">
        <v>251</v>
      </c>
      <c r="R247" s="120"/>
      <c r="S247" s="121"/>
    </row>
    <row r="248" spans="1:19" ht="15">
      <c r="A248" s="105" t="s">
        <v>251</v>
      </c>
      <c r="B248" s="105"/>
      <c r="C248" s="107" t="s">
        <v>448</v>
      </c>
      <c r="D248" s="107" t="s">
        <v>251</v>
      </c>
      <c r="E248" s="120" t="s">
        <v>251</v>
      </c>
      <c r="F248" s="120" t="s">
        <v>251</v>
      </c>
      <c r="G248" s="120" t="s">
        <v>251</v>
      </c>
      <c r="H248" s="120" t="s">
        <v>251</v>
      </c>
      <c r="I248" s="120" t="s">
        <v>251</v>
      </c>
      <c r="J248" s="120" t="s">
        <v>251</v>
      </c>
      <c r="K248" s="120" t="s">
        <v>251</v>
      </c>
      <c r="L248" s="120" t="s">
        <v>251</v>
      </c>
      <c r="M248" s="120" t="s">
        <v>251</v>
      </c>
      <c r="N248" s="120" t="s">
        <v>251</v>
      </c>
      <c r="O248" s="120" t="s">
        <v>251</v>
      </c>
      <c r="P248" s="120" t="s">
        <v>251</v>
      </c>
      <c r="Q248" s="120" t="s">
        <v>251</v>
      </c>
      <c r="R248" s="120"/>
      <c r="S248" s="121"/>
    </row>
    <row r="249" spans="1:19" ht="15">
      <c r="A249" s="105">
        <v>5</v>
      </c>
      <c r="B249" s="105"/>
      <c r="C249" s="107" t="s">
        <v>443</v>
      </c>
      <c r="D249" s="107" t="s">
        <v>449</v>
      </c>
      <c r="E249" s="120">
        <v>14172702.729999976</v>
      </c>
      <c r="F249" s="120" t="s">
        <v>251</v>
      </c>
      <c r="G249" s="120">
        <v>12425708.850102276</v>
      </c>
      <c r="H249" s="120" t="s">
        <v>251</v>
      </c>
      <c r="I249" s="120">
        <v>568988.50007635949</v>
      </c>
      <c r="J249" s="120">
        <v>1178005.3798213413</v>
      </c>
      <c r="K249" s="120" t="s">
        <v>251</v>
      </c>
      <c r="L249" s="120" t="s">
        <v>251</v>
      </c>
      <c r="M249" s="120">
        <v>39.884794408750956</v>
      </c>
      <c r="N249" s="120" t="s">
        <v>251</v>
      </c>
      <c r="O249" s="120">
        <v>1177965.4950269326</v>
      </c>
      <c r="P249" s="120">
        <v>363382.38489924837</v>
      </c>
      <c r="Q249" s="120">
        <v>814583.11012768431</v>
      </c>
      <c r="R249" s="120"/>
      <c r="S249" s="121"/>
    </row>
    <row r="250" spans="1:19" ht="15">
      <c r="A250" s="105">
        <v>6</v>
      </c>
      <c r="B250" s="105"/>
      <c r="C250" s="107" t="s">
        <v>445</v>
      </c>
      <c r="D250" s="107" t="s">
        <v>312</v>
      </c>
      <c r="E250" s="120">
        <v>3393.50000000001</v>
      </c>
      <c r="F250" s="120" t="s">
        <v>251</v>
      </c>
      <c r="G250" s="120">
        <v>0</v>
      </c>
      <c r="H250" s="120" t="s">
        <v>251</v>
      </c>
      <c r="I250" s="120">
        <v>1105.2737968036563</v>
      </c>
      <c r="J250" s="120">
        <v>2288.2262031963537</v>
      </c>
      <c r="K250" s="120" t="s">
        <v>251</v>
      </c>
      <c r="L250" s="120" t="s">
        <v>251</v>
      </c>
      <c r="M250" s="120">
        <v>0</v>
      </c>
      <c r="N250" s="120" t="s">
        <v>251</v>
      </c>
      <c r="O250" s="120">
        <v>2288.2262031963537</v>
      </c>
      <c r="P250" s="120">
        <v>705.87899086758205</v>
      </c>
      <c r="Q250" s="120">
        <v>1582.3472123287718</v>
      </c>
      <c r="R250" s="120"/>
      <c r="S250" s="121"/>
    </row>
    <row r="251" spans="1:19" ht="15">
      <c r="A251" s="105">
        <v>7</v>
      </c>
      <c r="B251" s="105"/>
      <c r="C251" s="107" t="s">
        <v>446</v>
      </c>
      <c r="D251" s="107" t="s">
        <v>314</v>
      </c>
      <c r="E251" s="120">
        <v>18771</v>
      </c>
      <c r="F251" s="120" t="s">
        <v>251</v>
      </c>
      <c r="G251" s="120">
        <v>0</v>
      </c>
      <c r="H251" s="120" t="s">
        <v>251</v>
      </c>
      <c r="I251" s="120">
        <v>0</v>
      </c>
      <c r="J251" s="120">
        <v>18771</v>
      </c>
      <c r="K251" s="120" t="s">
        <v>251</v>
      </c>
      <c r="L251" s="120" t="s">
        <v>251</v>
      </c>
      <c r="M251" s="120">
        <v>0</v>
      </c>
      <c r="N251" s="120" t="s">
        <v>251</v>
      </c>
      <c r="O251" s="120">
        <v>18771</v>
      </c>
      <c r="P251" s="120">
        <v>5790.5352709739891</v>
      </c>
      <c r="Q251" s="120">
        <v>12980.464729026009</v>
      </c>
      <c r="R251" s="120"/>
      <c r="S251" s="121"/>
    </row>
    <row r="252" spans="1:19" ht="15">
      <c r="A252" s="105">
        <v>8</v>
      </c>
      <c r="B252" s="105"/>
      <c r="C252" s="107" t="s">
        <v>450</v>
      </c>
      <c r="D252" s="107" t="s">
        <v>251</v>
      </c>
      <c r="E252" s="120">
        <v>14194867.229999976</v>
      </c>
      <c r="F252" s="120" t="s">
        <v>251</v>
      </c>
      <c r="G252" s="120">
        <v>12425708.850102276</v>
      </c>
      <c r="H252" s="120" t="s">
        <v>251</v>
      </c>
      <c r="I252" s="120">
        <v>570093.77387316315</v>
      </c>
      <c r="J252" s="120">
        <v>1199064.6060245377</v>
      </c>
      <c r="K252" s="120" t="s">
        <v>251</v>
      </c>
      <c r="L252" s="120" t="s">
        <v>251</v>
      </c>
      <c r="M252" s="120">
        <v>39.884794408750956</v>
      </c>
      <c r="N252" s="120" t="s">
        <v>251</v>
      </c>
      <c r="O252" s="120">
        <v>1199024.721230129</v>
      </c>
      <c r="P252" s="120">
        <v>369878.79916108993</v>
      </c>
      <c r="Q252" s="120">
        <v>829145.92206903908</v>
      </c>
      <c r="R252" s="120"/>
      <c r="S252" s="121"/>
    </row>
    <row r="253" spans="1:19" ht="15">
      <c r="A253" s="105" t="s">
        <v>251</v>
      </c>
      <c r="B253" s="105"/>
      <c r="C253" s="107" t="s">
        <v>251</v>
      </c>
      <c r="D253" s="107" t="s">
        <v>251</v>
      </c>
      <c r="E253" s="120" t="s">
        <v>251</v>
      </c>
      <c r="F253" s="120" t="s">
        <v>251</v>
      </c>
      <c r="G253" s="120" t="s">
        <v>251</v>
      </c>
      <c r="H253" s="120" t="s">
        <v>251</v>
      </c>
      <c r="I253" s="120" t="s">
        <v>251</v>
      </c>
      <c r="J253" s="120" t="s">
        <v>251</v>
      </c>
      <c r="K253" s="120" t="s">
        <v>251</v>
      </c>
      <c r="L253" s="120" t="s">
        <v>251</v>
      </c>
      <c r="M253" s="120" t="s">
        <v>251</v>
      </c>
      <c r="N253" s="120" t="s">
        <v>251</v>
      </c>
      <c r="O253" s="120" t="s">
        <v>251</v>
      </c>
      <c r="P253" s="120" t="s">
        <v>251</v>
      </c>
      <c r="Q253" s="120" t="s">
        <v>251</v>
      </c>
      <c r="R253" s="120"/>
      <c r="S253" s="121"/>
    </row>
    <row r="254" spans="1:19" ht="15">
      <c r="A254" s="105" t="s">
        <v>251</v>
      </c>
      <c r="B254" s="105"/>
      <c r="C254" s="107" t="s">
        <v>451</v>
      </c>
      <c r="D254" s="107" t="s">
        <v>251</v>
      </c>
      <c r="E254" s="120" t="s">
        <v>251</v>
      </c>
      <c r="F254" s="120" t="s">
        <v>251</v>
      </c>
      <c r="G254" s="120" t="s">
        <v>251</v>
      </c>
      <c r="H254" s="120" t="s">
        <v>251</v>
      </c>
      <c r="I254" s="120" t="s">
        <v>251</v>
      </c>
      <c r="J254" s="120" t="s">
        <v>251</v>
      </c>
      <c r="K254" s="120" t="s">
        <v>251</v>
      </c>
      <c r="L254" s="120" t="s">
        <v>251</v>
      </c>
      <c r="M254" s="120" t="s">
        <v>251</v>
      </c>
      <c r="N254" s="120" t="s">
        <v>251</v>
      </c>
      <c r="O254" s="120" t="s">
        <v>251</v>
      </c>
      <c r="P254" s="120" t="s">
        <v>251</v>
      </c>
      <c r="Q254" s="120" t="s">
        <v>251</v>
      </c>
      <c r="R254" s="120"/>
      <c r="S254" s="121"/>
    </row>
    <row r="255" spans="1:19" ht="15">
      <c r="A255" s="105">
        <v>9</v>
      </c>
      <c r="B255" s="105"/>
      <c r="C255" s="107" t="s">
        <v>443</v>
      </c>
      <c r="D255" s="107" t="s">
        <v>452</v>
      </c>
      <c r="E255" s="120">
        <v>345982025.9105128</v>
      </c>
      <c r="F255" s="120" t="s">
        <v>251</v>
      </c>
      <c r="G255" s="120">
        <v>303334656.99753523</v>
      </c>
      <c r="H255" s="120" t="s">
        <v>251</v>
      </c>
      <c r="I255" s="120">
        <v>13890067.245924883</v>
      </c>
      <c r="J255" s="120">
        <v>28757301.667052712</v>
      </c>
      <c r="K255" s="120" t="s">
        <v>251</v>
      </c>
      <c r="L255" s="120" t="s">
        <v>251</v>
      </c>
      <c r="M255" s="120">
        <v>973.66199203163387</v>
      </c>
      <c r="N255" s="120" t="s">
        <v>251</v>
      </c>
      <c r="O255" s="120">
        <v>28756328.00506068</v>
      </c>
      <c r="P255" s="120">
        <v>8870839.6770018097</v>
      </c>
      <c r="Q255" s="120">
        <v>19885488.328058869</v>
      </c>
      <c r="R255" s="120"/>
      <c r="S255" s="121"/>
    </row>
    <row r="256" spans="1:19" ht="15">
      <c r="A256" s="105">
        <v>10</v>
      </c>
      <c r="B256" s="105"/>
      <c r="C256" s="107" t="s">
        <v>445</v>
      </c>
      <c r="D256" s="107" t="s">
        <v>312</v>
      </c>
      <c r="E256" s="120">
        <v>1763.8233333333301</v>
      </c>
      <c r="F256" s="120" t="s">
        <v>251</v>
      </c>
      <c r="G256" s="120">
        <v>0</v>
      </c>
      <c r="H256" s="120" t="s">
        <v>251</v>
      </c>
      <c r="I256" s="120">
        <v>574.48289745814202</v>
      </c>
      <c r="J256" s="120">
        <v>1189.3404358751879</v>
      </c>
      <c r="K256" s="120" t="s">
        <v>251</v>
      </c>
      <c r="L256" s="120" t="s">
        <v>251</v>
      </c>
      <c r="M256" s="120">
        <v>0</v>
      </c>
      <c r="N256" s="120" t="s">
        <v>251</v>
      </c>
      <c r="O256" s="120">
        <v>1189.3404358751879</v>
      </c>
      <c r="P256" s="120">
        <v>366.89136130897953</v>
      </c>
      <c r="Q256" s="120">
        <v>822.44907456620842</v>
      </c>
      <c r="R256" s="120"/>
      <c r="S256" s="121"/>
    </row>
    <row r="257" spans="1:19" ht="15">
      <c r="A257" s="105">
        <v>11</v>
      </c>
      <c r="B257" s="105"/>
      <c r="C257" s="107" t="s">
        <v>446</v>
      </c>
      <c r="D257" s="107" t="s">
        <v>314</v>
      </c>
      <c r="E257" s="120">
        <v>1715044.3499999996</v>
      </c>
      <c r="F257" s="120" t="s">
        <v>251</v>
      </c>
      <c r="G257" s="120">
        <v>0</v>
      </c>
      <c r="H257" s="120" t="s">
        <v>251</v>
      </c>
      <c r="I257" s="120">
        <v>0</v>
      </c>
      <c r="J257" s="120">
        <v>1715044.3499999996</v>
      </c>
      <c r="K257" s="120" t="s">
        <v>251</v>
      </c>
      <c r="L257" s="120" t="s">
        <v>251</v>
      </c>
      <c r="M257" s="120">
        <v>0</v>
      </c>
      <c r="N257" s="120" t="s">
        <v>251</v>
      </c>
      <c r="O257" s="120">
        <v>1715044.3499999996</v>
      </c>
      <c r="P257" s="120">
        <v>529062.10643863713</v>
      </c>
      <c r="Q257" s="120">
        <v>1185982.2435613626</v>
      </c>
      <c r="R257" s="120"/>
      <c r="S257" s="121"/>
    </row>
    <row r="258" spans="1:19" ht="15">
      <c r="A258" s="105">
        <v>12</v>
      </c>
      <c r="B258" s="105"/>
      <c r="C258" s="107" t="s">
        <v>453</v>
      </c>
      <c r="D258" s="107" t="s">
        <v>251</v>
      </c>
      <c r="E258" s="120">
        <v>347698834.08384615</v>
      </c>
      <c r="F258" s="120" t="s">
        <v>251</v>
      </c>
      <c r="G258" s="120">
        <v>303334656.99753523</v>
      </c>
      <c r="H258" s="120" t="s">
        <v>251</v>
      </c>
      <c r="I258" s="120">
        <v>13890641.728822341</v>
      </c>
      <c r="J258" s="120">
        <v>30473535.357488584</v>
      </c>
      <c r="K258" s="120" t="s">
        <v>251</v>
      </c>
      <c r="L258" s="120" t="s">
        <v>251</v>
      </c>
      <c r="M258" s="120">
        <v>973.66199203163387</v>
      </c>
      <c r="N258" s="120" t="s">
        <v>251</v>
      </c>
      <c r="O258" s="120">
        <v>30472561.695496552</v>
      </c>
      <c r="P258" s="120">
        <v>9400268.6748017557</v>
      </c>
      <c r="Q258" s="120">
        <v>21072293.020694796</v>
      </c>
      <c r="R258" s="120"/>
      <c r="S258" s="121"/>
    </row>
    <row r="259" spans="1:19" ht="15">
      <c r="A259" s="105" t="s">
        <v>251</v>
      </c>
      <c r="B259" s="105"/>
      <c r="C259" s="107" t="s">
        <v>251</v>
      </c>
      <c r="D259" s="107" t="s">
        <v>251</v>
      </c>
      <c r="E259" s="120" t="s">
        <v>251</v>
      </c>
      <c r="F259" s="120" t="s">
        <v>251</v>
      </c>
      <c r="G259" s="120" t="s">
        <v>251</v>
      </c>
      <c r="H259" s="120" t="s">
        <v>251</v>
      </c>
      <c r="I259" s="120" t="s">
        <v>251</v>
      </c>
      <c r="J259" s="120" t="s">
        <v>251</v>
      </c>
      <c r="K259" s="120" t="s">
        <v>251</v>
      </c>
      <c r="L259" s="120" t="s">
        <v>251</v>
      </c>
      <c r="M259" s="120" t="s">
        <v>251</v>
      </c>
      <c r="N259" s="120" t="s">
        <v>251</v>
      </c>
      <c r="O259" s="120" t="s">
        <v>251</v>
      </c>
      <c r="P259" s="120" t="s">
        <v>251</v>
      </c>
      <c r="Q259" s="120" t="s">
        <v>251</v>
      </c>
      <c r="R259" s="120"/>
      <c r="S259" s="121"/>
    </row>
    <row r="260" spans="1:19" ht="15">
      <c r="A260" s="105">
        <v>13</v>
      </c>
      <c r="B260" s="105"/>
      <c r="C260" s="107" t="s">
        <v>454</v>
      </c>
      <c r="D260" s="107" t="s">
        <v>251</v>
      </c>
      <c r="E260" s="120">
        <v>2262542320.4226685</v>
      </c>
      <c r="F260" s="120" t="s">
        <v>251</v>
      </c>
      <c r="G260" s="120">
        <v>1960627056.4957645</v>
      </c>
      <c r="H260" s="120" t="s">
        <v>251</v>
      </c>
      <c r="I260" s="120">
        <v>95541697.522751316</v>
      </c>
      <c r="J260" s="120">
        <v>206373566.4041526</v>
      </c>
      <c r="K260" s="120" t="s">
        <v>251</v>
      </c>
      <c r="L260" s="120" t="s">
        <v>251</v>
      </c>
      <c r="M260" s="120">
        <v>6293.3397204075391</v>
      </c>
      <c r="N260" s="120" t="s">
        <v>251</v>
      </c>
      <c r="O260" s="120">
        <v>206367273.0644322</v>
      </c>
      <c r="P260" s="120">
        <v>63660805.149129793</v>
      </c>
      <c r="Q260" s="120">
        <v>142706467.91530243</v>
      </c>
      <c r="R260" s="120"/>
      <c r="S260" s="121"/>
    </row>
    <row r="261" spans="1:19" ht="15">
      <c r="A261" s="105" t="s">
        <v>251</v>
      </c>
      <c r="B261" s="105"/>
      <c r="C261" s="107" t="s">
        <v>251</v>
      </c>
      <c r="D261" s="107" t="s">
        <v>251</v>
      </c>
      <c r="E261" s="120" t="s">
        <v>251</v>
      </c>
      <c r="F261" s="120" t="s">
        <v>251</v>
      </c>
      <c r="G261" s="120" t="s">
        <v>251</v>
      </c>
      <c r="H261" s="120" t="s">
        <v>251</v>
      </c>
      <c r="I261" s="120" t="s">
        <v>251</v>
      </c>
      <c r="J261" s="120" t="s">
        <v>251</v>
      </c>
      <c r="K261" s="120" t="s">
        <v>251</v>
      </c>
      <c r="L261" s="120" t="s">
        <v>251</v>
      </c>
      <c r="M261" s="120" t="s">
        <v>251</v>
      </c>
      <c r="N261" s="120" t="s">
        <v>251</v>
      </c>
      <c r="O261" s="120" t="s">
        <v>251</v>
      </c>
      <c r="P261" s="120" t="s">
        <v>251</v>
      </c>
      <c r="Q261" s="120" t="s">
        <v>251</v>
      </c>
      <c r="R261" s="120"/>
      <c r="S261" s="121"/>
    </row>
    <row r="262" spans="1:19" ht="15">
      <c r="A262" s="105" t="s">
        <v>251</v>
      </c>
      <c r="B262" s="105"/>
      <c r="C262" s="107" t="s">
        <v>455</v>
      </c>
      <c r="D262" s="107" t="s">
        <v>251</v>
      </c>
      <c r="E262" s="120" t="s">
        <v>251</v>
      </c>
      <c r="F262" s="120" t="s">
        <v>251</v>
      </c>
      <c r="G262" s="120" t="s">
        <v>251</v>
      </c>
      <c r="H262" s="120" t="s">
        <v>251</v>
      </c>
      <c r="I262" s="120" t="s">
        <v>251</v>
      </c>
      <c r="J262" s="120" t="s">
        <v>251</v>
      </c>
      <c r="K262" s="120" t="s">
        <v>251</v>
      </c>
      <c r="L262" s="120" t="s">
        <v>251</v>
      </c>
      <c r="M262" s="120" t="s">
        <v>251</v>
      </c>
      <c r="N262" s="120" t="s">
        <v>251</v>
      </c>
      <c r="O262" s="120" t="s">
        <v>251</v>
      </c>
      <c r="P262" s="120" t="s">
        <v>251</v>
      </c>
      <c r="Q262" s="120" t="s">
        <v>251</v>
      </c>
      <c r="R262" s="120"/>
      <c r="S262" s="121"/>
    </row>
    <row r="263" spans="1:19" ht="15">
      <c r="A263" s="105">
        <v>14</v>
      </c>
      <c r="B263" s="105"/>
      <c r="C263" s="107" t="s">
        <v>456</v>
      </c>
      <c r="D263" s="107" t="s">
        <v>457</v>
      </c>
      <c r="E263" s="120">
        <v>315898923.11300731</v>
      </c>
      <c r="F263" s="120" t="s">
        <v>251</v>
      </c>
      <c r="G263" s="120">
        <v>301791048.60957515</v>
      </c>
      <c r="H263" s="120" t="s">
        <v>251</v>
      </c>
      <c r="I263" s="120">
        <v>14106905.796208035</v>
      </c>
      <c r="J263" s="120">
        <v>968.70722414320846</v>
      </c>
      <c r="K263" s="120" t="s">
        <v>251</v>
      </c>
      <c r="L263" s="120" t="s">
        <v>251</v>
      </c>
      <c r="M263" s="120">
        <v>968.70722414320846</v>
      </c>
      <c r="N263" s="120" t="s">
        <v>251</v>
      </c>
      <c r="O263" s="120">
        <v>0</v>
      </c>
      <c r="P263" s="120">
        <v>0</v>
      </c>
      <c r="Q263" s="120">
        <v>0</v>
      </c>
      <c r="R263" s="120"/>
      <c r="S263" s="121"/>
    </row>
    <row r="264" spans="1:19" ht="15">
      <c r="A264" s="105">
        <v>15</v>
      </c>
      <c r="B264" s="105"/>
      <c r="C264" s="107" t="s">
        <v>458</v>
      </c>
      <c r="D264" s="107" t="s">
        <v>459</v>
      </c>
      <c r="E264" s="120">
        <v>31469502.427410975</v>
      </c>
      <c r="F264" s="120" t="s">
        <v>251</v>
      </c>
      <c r="G264" s="120">
        <v>3863857.935251832</v>
      </c>
      <c r="H264" s="120" t="s">
        <v>251</v>
      </c>
      <c r="I264" s="120">
        <v>27605632.089713436</v>
      </c>
      <c r="J264" s="120">
        <v>12.402445706014742</v>
      </c>
      <c r="K264" s="120" t="s">
        <v>251</v>
      </c>
      <c r="L264" s="120" t="s">
        <v>251</v>
      </c>
      <c r="M264" s="120">
        <v>12.402445706014742</v>
      </c>
      <c r="N264" s="120" t="s">
        <v>251</v>
      </c>
      <c r="O264" s="120">
        <v>0</v>
      </c>
      <c r="P264" s="120">
        <v>0</v>
      </c>
      <c r="Q264" s="120">
        <v>0</v>
      </c>
      <c r="R264" s="120"/>
      <c r="S264" s="121"/>
    </row>
    <row r="265" spans="1:19" ht="15">
      <c r="A265" s="105">
        <v>16</v>
      </c>
      <c r="B265" s="105"/>
      <c r="C265" s="107" t="s">
        <v>460</v>
      </c>
      <c r="D265" s="107" t="s">
        <v>312</v>
      </c>
      <c r="E265" s="120">
        <v>2650953.6800000006</v>
      </c>
      <c r="F265" s="120" t="s">
        <v>251</v>
      </c>
      <c r="G265" s="120">
        <v>0</v>
      </c>
      <c r="H265" s="120" t="s">
        <v>251</v>
      </c>
      <c r="I265" s="120">
        <v>863424.0869439271</v>
      </c>
      <c r="J265" s="120">
        <v>1787529.5930560734</v>
      </c>
      <c r="K265" s="120" t="s">
        <v>251</v>
      </c>
      <c r="L265" s="120" t="s">
        <v>251</v>
      </c>
      <c r="M265" s="120">
        <v>0</v>
      </c>
      <c r="N265" s="120" t="s">
        <v>251</v>
      </c>
      <c r="O265" s="120">
        <v>1787529.5930560734</v>
      </c>
      <c r="P265" s="120">
        <v>551422.57506264851</v>
      </c>
      <c r="Q265" s="120">
        <v>1236107.0179934248</v>
      </c>
      <c r="R265" s="120"/>
      <c r="S265" s="121"/>
    </row>
    <row r="266" spans="1:19" ht="15">
      <c r="A266" s="105">
        <v>17</v>
      </c>
      <c r="B266" s="105"/>
      <c r="C266" s="107" t="s">
        <v>461</v>
      </c>
      <c r="D266" s="107" t="s">
        <v>314</v>
      </c>
      <c r="E266" s="120">
        <v>328401.563333333</v>
      </c>
      <c r="F266" s="120" t="s">
        <v>251</v>
      </c>
      <c r="G266" s="120">
        <v>0</v>
      </c>
      <c r="H266" s="120" t="s">
        <v>251</v>
      </c>
      <c r="I266" s="120">
        <v>0</v>
      </c>
      <c r="J266" s="120">
        <v>328401.563333333</v>
      </c>
      <c r="K266" s="120" t="s">
        <v>251</v>
      </c>
      <c r="L266" s="120" t="s">
        <v>251</v>
      </c>
      <c r="M266" s="120">
        <v>0</v>
      </c>
      <c r="N266" s="120" t="s">
        <v>251</v>
      </c>
      <c r="O266" s="120">
        <v>328401.563333333</v>
      </c>
      <c r="P266" s="120">
        <v>101306.31482204801</v>
      </c>
      <c r="Q266" s="120">
        <v>227095.24851128497</v>
      </c>
      <c r="R266" s="120"/>
      <c r="S266" s="121"/>
    </row>
    <row r="267" spans="1:19" ht="15">
      <c r="A267" s="105">
        <v>18</v>
      </c>
      <c r="B267" s="105"/>
      <c r="C267" s="107" t="s">
        <v>462</v>
      </c>
      <c r="D267" s="107" t="s">
        <v>251</v>
      </c>
      <c r="E267" s="120">
        <v>350347780.78375167</v>
      </c>
      <c r="F267" s="120" t="s">
        <v>251</v>
      </c>
      <c r="G267" s="120">
        <v>305654906.54482698</v>
      </c>
      <c r="H267" s="120" t="s">
        <v>251</v>
      </c>
      <c r="I267" s="120">
        <v>42575961.972865395</v>
      </c>
      <c r="J267" s="120">
        <v>2116912.2660592557</v>
      </c>
      <c r="K267" s="120" t="s">
        <v>251</v>
      </c>
      <c r="L267" s="120" t="s">
        <v>251</v>
      </c>
      <c r="M267" s="120">
        <v>981.10966984922322</v>
      </c>
      <c r="N267" s="120" t="s">
        <v>251</v>
      </c>
      <c r="O267" s="120">
        <v>2115931.1563894064</v>
      </c>
      <c r="P267" s="120">
        <v>652728.88988469657</v>
      </c>
      <c r="Q267" s="120">
        <v>1463202.2665047098</v>
      </c>
      <c r="R267" s="120"/>
      <c r="S267" s="121"/>
    </row>
    <row r="268" spans="1:19" ht="15">
      <c r="A268" s="105" t="s">
        <v>251</v>
      </c>
      <c r="B268" s="105"/>
      <c r="C268" s="107" t="s">
        <v>251</v>
      </c>
      <c r="D268" s="107" t="s">
        <v>251</v>
      </c>
      <c r="E268" s="120" t="s">
        <v>251</v>
      </c>
      <c r="F268" s="120" t="s">
        <v>251</v>
      </c>
      <c r="G268" s="120" t="s">
        <v>251</v>
      </c>
      <c r="H268" s="120" t="s">
        <v>251</v>
      </c>
      <c r="I268" s="120" t="s">
        <v>251</v>
      </c>
      <c r="J268" s="120" t="s">
        <v>251</v>
      </c>
      <c r="K268" s="120" t="s">
        <v>251</v>
      </c>
      <c r="L268" s="120" t="s">
        <v>251</v>
      </c>
      <c r="M268" s="120" t="s">
        <v>251</v>
      </c>
      <c r="N268" s="120" t="s">
        <v>251</v>
      </c>
      <c r="O268" s="120" t="s">
        <v>251</v>
      </c>
      <c r="P268" s="120" t="s">
        <v>251</v>
      </c>
      <c r="Q268" s="120" t="s">
        <v>251</v>
      </c>
      <c r="R268" s="120"/>
      <c r="S268" s="121"/>
    </row>
    <row r="269" spans="1:19" ht="15">
      <c r="A269" s="105">
        <v>19</v>
      </c>
      <c r="B269" s="105"/>
      <c r="C269" s="107" t="s">
        <v>463</v>
      </c>
      <c r="D269" s="107" t="s">
        <v>464</v>
      </c>
      <c r="E269" s="120">
        <v>40600116.172484577</v>
      </c>
      <c r="F269" s="120" t="s">
        <v>251</v>
      </c>
      <c r="G269" s="120">
        <v>0</v>
      </c>
      <c r="H269" s="120" t="s">
        <v>251</v>
      </c>
      <c r="I269" s="120">
        <v>40449386.222484574</v>
      </c>
      <c r="J269" s="120">
        <v>150729.9499999999</v>
      </c>
      <c r="K269" s="120" t="s">
        <v>251</v>
      </c>
      <c r="L269" s="120" t="s">
        <v>251</v>
      </c>
      <c r="M269" s="120">
        <v>150729.9499999999</v>
      </c>
      <c r="N269" s="120" t="s">
        <v>251</v>
      </c>
      <c r="O269" s="120">
        <v>0</v>
      </c>
      <c r="P269" s="120">
        <v>0</v>
      </c>
      <c r="Q269" s="120">
        <v>0</v>
      </c>
      <c r="R269" s="120"/>
      <c r="S269" s="121"/>
    </row>
    <row r="270" spans="1:19" ht="15">
      <c r="A270" s="105">
        <v>20</v>
      </c>
      <c r="B270" s="105"/>
      <c r="C270" s="107" t="s">
        <v>465</v>
      </c>
      <c r="D270" s="107" t="s">
        <v>466</v>
      </c>
      <c r="E270" s="120">
        <v>660907271.4837594</v>
      </c>
      <c r="F270" s="120" t="s">
        <v>251</v>
      </c>
      <c r="G270" s="120">
        <v>659492467.42674732</v>
      </c>
      <c r="H270" s="120" t="s">
        <v>251</v>
      </c>
      <c r="I270" s="120">
        <v>0</v>
      </c>
      <c r="J270" s="120">
        <v>1414804.0570121214</v>
      </c>
      <c r="K270" s="120" t="s">
        <v>251</v>
      </c>
      <c r="L270" s="120" t="s">
        <v>251</v>
      </c>
      <c r="M270" s="120">
        <v>0</v>
      </c>
      <c r="N270" s="120" t="s">
        <v>251</v>
      </c>
      <c r="O270" s="120">
        <v>1414804.0570121214</v>
      </c>
      <c r="P270" s="120">
        <v>1315394.2581432478</v>
      </c>
      <c r="Q270" s="120">
        <v>99409.798868873622</v>
      </c>
      <c r="R270" s="120"/>
      <c r="S270" s="121"/>
    </row>
    <row r="271" spans="1:19" ht="15">
      <c r="A271" s="105">
        <v>21</v>
      </c>
      <c r="B271" s="105"/>
      <c r="C271" s="107" t="s">
        <v>467</v>
      </c>
      <c r="D271" s="107" t="s">
        <v>251</v>
      </c>
      <c r="E271" s="120">
        <v>701507387.65624404</v>
      </c>
      <c r="F271" s="120" t="s">
        <v>251</v>
      </c>
      <c r="G271" s="120">
        <v>659492467.42674732</v>
      </c>
      <c r="H271" s="120" t="s">
        <v>251</v>
      </c>
      <c r="I271" s="120">
        <v>40449386.222484574</v>
      </c>
      <c r="J271" s="120">
        <v>1565534.0070121214</v>
      </c>
      <c r="K271" s="120" t="s">
        <v>251</v>
      </c>
      <c r="L271" s="120" t="s">
        <v>251</v>
      </c>
      <c r="M271" s="120">
        <v>150729.9499999999</v>
      </c>
      <c r="N271" s="120" t="s">
        <v>251</v>
      </c>
      <c r="O271" s="120">
        <v>1414804.0570121214</v>
      </c>
      <c r="P271" s="120">
        <v>1315394.2581432478</v>
      </c>
      <c r="Q271" s="120">
        <v>99409.798868873622</v>
      </c>
      <c r="R271" s="120"/>
      <c r="S271" s="121"/>
    </row>
    <row r="272" spans="1:19" ht="15">
      <c r="A272" s="105" t="s">
        <v>251</v>
      </c>
      <c r="B272" s="105"/>
      <c r="C272" s="107" t="s">
        <v>251</v>
      </c>
      <c r="D272" s="107" t="s">
        <v>251</v>
      </c>
      <c r="E272" s="120" t="s">
        <v>251</v>
      </c>
      <c r="F272" s="120" t="s">
        <v>251</v>
      </c>
      <c r="G272" s="120" t="s">
        <v>251</v>
      </c>
      <c r="H272" s="120" t="s">
        <v>251</v>
      </c>
      <c r="I272" s="120" t="s">
        <v>251</v>
      </c>
      <c r="J272" s="120" t="s">
        <v>251</v>
      </c>
      <c r="K272" s="120" t="s">
        <v>251</v>
      </c>
      <c r="L272" s="120" t="s">
        <v>251</v>
      </c>
      <c r="M272" s="120" t="s">
        <v>251</v>
      </c>
      <c r="N272" s="120" t="s">
        <v>251</v>
      </c>
      <c r="O272" s="120" t="s">
        <v>251</v>
      </c>
      <c r="P272" s="120" t="s">
        <v>251</v>
      </c>
      <c r="Q272" s="120" t="s">
        <v>251</v>
      </c>
      <c r="R272" s="120"/>
      <c r="S272" s="121"/>
    </row>
    <row r="273" spans="1:19" ht="15">
      <c r="A273" s="105">
        <v>22</v>
      </c>
      <c r="B273" s="105"/>
      <c r="C273" s="107" t="s">
        <v>417</v>
      </c>
      <c r="D273" s="107" t="s">
        <v>468</v>
      </c>
      <c r="E273" s="120">
        <v>73655686.974044576</v>
      </c>
      <c r="F273" s="120" t="s">
        <v>251</v>
      </c>
      <c r="G273" s="120">
        <v>66914805.475975774</v>
      </c>
      <c r="H273" s="120" t="s">
        <v>251</v>
      </c>
      <c r="I273" s="120">
        <v>3269804.3098705411</v>
      </c>
      <c r="J273" s="120">
        <v>3471077.18819826</v>
      </c>
      <c r="K273" s="120" t="s">
        <v>251</v>
      </c>
      <c r="L273" s="120" t="s">
        <v>251</v>
      </c>
      <c r="M273" s="120">
        <v>5001.3165960514716</v>
      </c>
      <c r="N273" s="120" t="s">
        <v>251</v>
      </c>
      <c r="O273" s="120">
        <v>3466075.8716022084</v>
      </c>
      <c r="P273" s="120">
        <v>1104509.4053246223</v>
      </c>
      <c r="Q273" s="120">
        <v>2361566.4662775858</v>
      </c>
      <c r="R273" s="120"/>
      <c r="S273" s="121"/>
    </row>
    <row r="274" spans="1:19" ht="15">
      <c r="A274" s="105" t="s">
        <v>251</v>
      </c>
      <c r="B274" s="105"/>
      <c r="C274" s="107" t="s">
        <v>251</v>
      </c>
      <c r="D274" s="107" t="s">
        <v>251</v>
      </c>
      <c r="E274" s="120" t="s">
        <v>251</v>
      </c>
      <c r="F274" s="120" t="s">
        <v>251</v>
      </c>
      <c r="G274" s="120" t="s">
        <v>251</v>
      </c>
      <c r="H274" s="120" t="s">
        <v>251</v>
      </c>
      <c r="I274" s="120" t="s">
        <v>251</v>
      </c>
      <c r="J274" s="120" t="s">
        <v>251</v>
      </c>
      <c r="K274" s="120" t="s">
        <v>251</v>
      </c>
      <c r="L274" s="120" t="s">
        <v>251</v>
      </c>
      <c r="M274" s="120" t="s">
        <v>251</v>
      </c>
      <c r="N274" s="120" t="s">
        <v>251</v>
      </c>
      <c r="O274" s="120" t="s">
        <v>251</v>
      </c>
      <c r="P274" s="120" t="s">
        <v>251</v>
      </c>
      <c r="Q274" s="120" t="s">
        <v>251</v>
      </c>
      <c r="R274" s="120"/>
      <c r="S274" s="121"/>
    </row>
    <row r="275" spans="1:19" ht="15">
      <c r="A275" s="105">
        <v>23</v>
      </c>
      <c r="B275" s="105"/>
      <c r="C275" s="107" t="s">
        <v>469</v>
      </c>
      <c r="D275" s="107" t="s">
        <v>470</v>
      </c>
      <c r="E275" s="120">
        <v>71375.27</v>
      </c>
      <c r="F275" s="120" t="s">
        <v>251</v>
      </c>
      <c r="G275" s="120">
        <v>71375.27</v>
      </c>
      <c r="H275" s="120" t="s">
        <v>251</v>
      </c>
      <c r="I275" s="120">
        <v>0</v>
      </c>
      <c r="J275" s="120">
        <v>0</v>
      </c>
      <c r="K275" s="120" t="s">
        <v>251</v>
      </c>
      <c r="L275" s="120" t="s">
        <v>251</v>
      </c>
      <c r="M275" s="120">
        <v>0</v>
      </c>
      <c r="N275" s="120" t="s">
        <v>251</v>
      </c>
      <c r="O275" s="120">
        <v>0</v>
      </c>
      <c r="P275" s="120">
        <v>0</v>
      </c>
      <c r="Q275" s="120">
        <v>0</v>
      </c>
      <c r="R275" s="120"/>
      <c r="S275" s="121"/>
    </row>
    <row r="276" spans="1:19" ht="15">
      <c r="A276" s="105">
        <v>24</v>
      </c>
      <c r="B276" s="105"/>
      <c r="C276" s="107" t="s">
        <v>471</v>
      </c>
      <c r="D276" s="107" t="s">
        <v>472</v>
      </c>
      <c r="E276" s="120">
        <v>70597930.191655308</v>
      </c>
      <c r="F276" s="120" t="s">
        <v>251</v>
      </c>
      <c r="G276" s="120">
        <v>62845264.455769382</v>
      </c>
      <c r="H276" s="120" t="s">
        <v>251</v>
      </c>
      <c r="I276" s="120">
        <v>3451710.0301700914</v>
      </c>
      <c r="J276" s="120">
        <v>4300955.7057158314</v>
      </c>
      <c r="K276" s="120" t="s">
        <v>251</v>
      </c>
      <c r="L276" s="120" t="s">
        <v>251</v>
      </c>
      <c r="M276" s="120">
        <v>4996.8942768940306</v>
      </c>
      <c r="N276" s="120" t="s">
        <v>251</v>
      </c>
      <c r="O276" s="120">
        <v>4295958.8114389377</v>
      </c>
      <c r="P276" s="120">
        <v>1343983.8208696104</v>
      </c>
      <c r="Q276" s="120">
        <v>2951974.990569327</v>
      </c>
      <c r="R276" s="120"/>
      <c r="S276" s="121"/>
    </row>
    <row r="277" spans="1:19" ht="15">
      <c r="A277" s="105" t="s">
        <v>251</v>
      </c>
      <c r="B277" s="105"/>
      <c r="C277" s="107" t="s">
        <v>251</v>
      </c>
      <c r="D277" s="107" t="s">
        <v>251</v>
      </c>
      <c r="E277" s="120" t="s">
        <v>251</v>
      </c>
      <c r="F277" s="120" t="s">
        <v>251</v>
      </c>
      <c r="G277" s="120" t="s">
        <v>251</v>
      </c>
      <c r="H277" s="120" t="s">
        <v>251</v>
      </c>
      <c r="I277" s="120" t="s">
        <v>251</v>
      </c>
      <c r="J277" s="120" t="s">
        <v>251</v>
      </c>
      <c r="K277" s="120" t="s">
        <v>251</v>
      </c>
      <c r="L277" s="120" t="s">
        <v>251</v>
      </c>
      <c r="M277" s="120" t="s">
        <v>251</v>
      </c>
      <c r="N277" s="120" t="s">
        <v>251</v>
      </c>
      <c r="O277" s="120" t="s">
        <v>251</v>
      </c>
      <c r="P277" s="120" t="s">
        <v>251</v>
      </c>
      <c r="Q277" s="120" t="s">
        <v>251</v>
      </c>
      <c r="R277" s="120"/>
      <c r="S277" s="121"/>
    </row>
    <row r="278" spans="1:19" ht="15">
      <c r="A278" s="105">
        <v>25</v>
      </c>
      <c r="B278" s="105"/>
      <c r="C278" s="107" t="s">
        <v>473</v>
      </c>
      <c r="D278" s="107" t="s">
        <v>251</v>
      </c>
      <c r="E278" s="120">
        <v>3458722481.2983637</v>
      </c>
      <c r="F278" s="120" t="s">
        <v>251</v>
      </c>
      <c r="G278" s="120">
        <v>3055605875.6690841</v>
      </c>
      <c r="H278" s="120" t="s">
        <v>251</v>
      </c>
      <c r="I278" s="120">
        <v>185288560.05814189</v>
      </c>
      <c r="J278" s="120">
        <v>217828045.57113808</v>
      </c>
      <c r="K278" s="120" t="s">
        <v>251</v>
      </c>
      <c r="L278" s="120" t="s">
        <v>251</v>
      </c>
      <c r="M278" s="120">
        <v>168002.61026320214</v>
      </c>
      <c r="N278" s="120" t="s">
        <v>251</v>
      </c>
      <c r="O278" s="120">
        <v>217660042.96087489</v>
      </c>
      <c r="P278" s="120">
        <v>68077421.523351967</v>
      </c>
      <c r="Q278" s="120">
        <v>149582621.43752292</v>
      </c>
      <c r="R278" s="120"/>
      <c r="S278" s="121"/>
    </row>
    <row r="279" spans="1:19" ht="15">
      <c r="A279" s="105" t="s">
        <v>251</v>
      </c>
      <c r="B279" s="105"/>
      <c r="C279" s="107" t="s">
        <v>251</v>
      </c>
      <c r="D279" s="107" t="s">
        <v>251</v>
      </c>
      <c r="E279" s="120" t="s">
        <v>251</v>
      </c>
      <c r="F279" s="120" t="s">
        <v>251</v>
      </c>
      <c r="G279" s="120" t="s">
        <v>251</v>
      </c>
      <c r="H279" s="120" t="s">
        <v>251</v>
      </c>
      <c r="I279" s="120" t="s">
        <v>251</v>
      </c>
      <c r="J279" s="120" t="s">
        <v>251</v>
      </c>
      <c r="K279" s="120" t="s">
        <v>251</v>
      </c>
      <c r="L279" s="120" t="s">
        <v>251</v>
      </c>
      <c r="M279" s="120" t="s">
        <v>251</v>
      </c>
      <c r="N279" s="120" t="s">
        <v>251</v>
      </c>
      <c r="O279" s="120" t="s">
        <v>251</v>
      </c>
      <c r="P279" s="120" t="s">
        <v>251</v>
      </c>
      <c r="Q279" s="120" t="s">
        <v>251</v>
      </c>
      <c r="R279" s="120"/>
      <c r="S279" s="121"/>
    </row>
    <row r="280" spans="1:19" ht="15">
      <c r="A280" s="105">
        <v>26</v>
      </c>
      <c r="B280" s="105"/>
      <c r="C280" s="107" t="s">
        <v>474</v>
      </c>
      <c r="D280" s="107" t="s">
        <v>251</v>
      </c>
      <c r="E280" s="120">
        <v>6317576379.5329962</v>
      </c>
      <c r="F280" s="120" t="s">
        <v>251</v>
      </c>
      <c r="G280" s="120">
        <v>5647121232.0472088</v>
      </c>
      <c r="H280" s="120" t="s">
        <v>251</v>
      </c>
      <c r="I280" s="120">
        <v>292696498.83348972</v>
      </c>
      <c r="J280" s="120">
        <v>377758648.65229768</v>
      </c>
      <c r="K280" s="120" t="s">
        <v>251</v>
      </c>
      <c r="L280" s="120" t="s">
        <v>251</v>
      </c>
      <c r="M280" s="120">
        <v>523956.0955203058</v>
      </c>
      <c r="N280" s="120" t="s">
        <v>251</v>
      </c>
      <c r="O280" s="120">
        <v>377234692.55677736</v>
      </c>
      <c r="P280" s="120">
        <v>118034441.9161458</v>
      </c>
      <c r="Q280" s="120">
        <v>259200250.64063153</v>
      </c>
      <c r="R280" s="120"/>
      <c r="S280" s="121"/>
    </row>
    <row r="281" spans="1:19" ht="15">
      <c r="A281" s="105" t="s">
        <v>251</v>
      </c>
      <c r="B281" s="105"/>
      <c r="C281" s="107" t="s">
        <v>251</v>
      </c>
      <c r="D281" s="107" t="s">
        <v>251</v>
      </c>
      <c r="E281" s="120" t="s">
        <v>251</v>
      </c>
      <c r="F281" s="120" t="s">
        <v>251</v>
      </c>
      <c r="G281" s="120" t="s">
        <v>251</v>
      </c>
      <c r="H281" s="120" t="s">
        <v>251</v>
      </c>
      <c r="I281" s="120" t="s">
        <v>251</v>
      </c>
      <c r="J281" s="120" t="s">
        <v>251</v>
      </c>
      <c r="K281" s="120" t="s">
        <v>251</v>
      </c>
      <c r="L281" s="120" t="s">
        <v>251</v>
      </c>
      <c r="M281" s="120" t="s">
        <v>251</v>
      </c>
      <c r="N281" s="120" t="s">
        <v>251</v>
      </c>
      <c r="O281" s="120" t="s">
        <v>251</v>
      </c>
      <c r="P281" s="120" t="s">
        <v>251</v>
      </c>
      <c r="Q281" s="120" t="s">
        <v>251</v>
      </c>
      <c r="R281" s="120"/>
      <c r="S281" s="121"/>
    </row>
    <row r="282" spans="1:19" ht="15">
      <c r="A282" s="105" t="s">
        <v>251</v>
      </c>
      <c r="B282" s="105"/>
      <c r="C282" s="107" t="s">
        <v>251</v>
      </c>
      <c r="D282" s="107" t="s">
        <v>251</v>
      </c>
      <c r="E282" s="120" t="s">
        <v>251</v>
      </c>
      <c r="F282" s="120" t="s">
        <v>251</v>
      </c>
      <c r="G282" s="120" t="s">
        <v>251</v>
      </c>
      <c r="H282" s="120" t="s">
        <v>251</v>
      </c>
      <c r="I282" s="120" t="s">
        <v>251</v>
      </c>
      <c r="J282" s="120" t="s">
        <v>251</v>
      </c>
      <c r="K282" s="120" t="s">
        <v>251</v>
      </c>
      <c r="L282" s="120" t="s">
        <v>251</v>
      </c>
      <c r="M282" s="120" t="s">
        <v>251</v>
      </c>
      <c r="N282" s="120" t="s">
        <v>251</v>
      </c>
      <c r="O282" s="120" t="s">
        <v>251</v>
      </c>
      <c r="P282" s="120" t="s">
        <v>251</v>
      </c>
      <c r="Q282" s="120" t="s">
        <v>251</v>
      </c>
      <c r="R282" s="120"/>
      <c r="S282" s="121"/>
    </row>
    <row r="283" spans="1:19" ht="15">
      <c r="A283" s="105" t="s">
        <v>251</v>
      </c>
      <c r="B283" s="105"/>
      <c r="C283" s="107" t="s">
        <v>475</v>
      </c>
      <c r="D283" s="107" t="s">
        <v>251</v>
      </c>
      <c r="E283" s="120" t="s">
        <v>251</v>
      </c>
      <c r="F283" s="120" t="s">
        <v>251</v>
      </c>
      <c r="G283" s="120" t="s">
        <v>251</v>
      </c>
      <c r="H283" s="120" t="s">
        <v>251</v>
      </c>
      <c r="I283" s="120" t="s">
        <v>251</v>
      </c>
      <c r="J283" s="120" t="s">
        <v>251</v>
      </c>
      <c r="K283" s="120" t="s">
        <v>251</v>
      </c>
      <c r="L283" s="120" t="s">
        <v>251</v>
      </c>
      <c r="M283" s="120" t="s">
        <v>251</v>
      </c>
      <c r="N283" s="120" t="s">
        <v>251</v>
      </c>
      <c r="O283" s="120" t="s">
        <v>251</v>
      </c>
      <c r="P283" s="120" t="s">
        <v>251</v>
      </c>
      <c r="Q283" s="120" t="s">
        <v>251</v>
      </c>
      <c r="R283" s="120"/>
      <c r="S283" s="121"/>
    </row>
    <row r="284" spans="1:19" ht="15">
      <c r="A284" s="105" t="s">
        <v>251</v>
      </c>
      <c r="B284" s="105"/>
      <c r="C284" s="107" t="s">
        <v>251</v>
      </c>
      <c r="D284" s="107" t="s">
        <v>251</v>
      </c>
      <c r="E284" s="120" t="s">
        <v>251</v>
      </c>
      <c r="F284" s="120" t="s">
        <v>251</v>
      </c>
      <c r="G284" s="120" t="s">
        <v>251</v>
      </c>
      <c r="H284" s="120" t="s">
        <v>251</v>
      </c>
      <c r="I284" s="120" t="s">
        <v>251</v>
      </c>
      <c r="J284" s="120" t="s">
        <v>251</v>
      </c>
      <c r="K284" s="120" t="s">
        <v>251</v>
      </c>
      <c r="L284" s="120" t="s">
        <v>251</v>
      </c>
      <c r="M284" s="120" t="s">
        <v>251</v>
      </c>
      <c r="N284" s="120" t="s">
        <v>251</v>
      </c>
      <c r="O284" s="120" t="s">
        <v>251</v>
      </c>
      <c r="P284" s="120" t="s">
        <v>251</v>
      </c>
      <c r="Q284" s="120" t="s">
        <v>251</v>
      </c>
      <c r="R284" s="120"/>
      <c r="S284" s="121"/>
    </row>
    <row r="285" spans="1:19" ht="15">
      <c r="A285" s="105" t="s">
        <v>251</v>
      </c>
      <c r="B285" s="105"/>
      <c r="C285" s="107" t="s">
        <v>476</v>
      </c>
      <c r="D285" s="107" t="s">
        <v>251</v>
      </c>
      <c r="E285" s="120" t="s">
        <v>251</v>
      </c>
      <c r="F285" s="120" t="s">
        <v>251</v>
      </c>
      <c r="G285" s="120" t="s">
        <v>251</v>
      </c>
      <c r="H285" s="120" t="s">
        <v>251</v>
      </c>
      <c r="I285" s="120" t="s">
        <v>251</v>
      </c>
      <c r="J285" s="120" t="s">
        <v>251</v>
      </c>
      <c r="K285" s="120" t="s">
        <v>251</v>
      </c>
      <c r="L285" s="120" t="s">
        <v>251</v>
      </c>
      <c r="M285" s="120" t="s">
        <v>251</v>
      </c>
      <c r="N285" s="120" t="s">
        <v>251</v>
      </c>
      <c r="O285" s="120" t="s">
        <v>251</v>
      </c>
      <c r="P285" s="120" t="s">
        <v>251</v>
      </c>
      <c r="Q285" s="120" t="s">
        <v>251</v>
      </c>
      <c r="R285" s="120"/>
      <c r="S285" s="121"/>
    </row>
    <row r="286" spans="1:19" ht="15">
      <c r="A286" s="105" t="s">
        <v>251</v>
      </c>
      <c r="B286" s="105"/>
      <c r="C286" s="107" t="s">
        <v>251</v>
      </c>
      <c r="D286" s="107" t="s">
        <v>251</v>
      </c>
      <c r="E286" s="120" t="s">
        <v>251</v>
      </c>
      <c r="F286" s="120" t="s">
        <v>251</v>
      </c>
      <c r="G286" s="120" t="s">
        <v>251</v>
      </c>
      <c r="H286" s="120" t="s">
        <v>251</v>
      </c>
      <c r="I286" s="120" t="s">
        <v>251</v>
      </c>
      <c r="J286" s="120" t="s">
        <v>251</v>
      </c>
      <c r="K286" s="120" t="s">
        <v>251</v>
      </c>
      <c r="L286" s="120" t="s">
        <v>251</v>
      </c>
      <c r="M286" s="120" t="s">
        <v>251</v>
      </c>
      <c r="N286" s="120" t="s">
        <v>251</v>
      </c>
      <c r="O286" s="120" t="s">
        <v>251</v>
      </c>
      <c r="P286" s="120" t="s">
        <v>251</v>
      </c>
      <c r="Q286" s="120" t="s">
        <v>251</v>
      </c>
      <c r="R286" s="120"/>
      <c r="S286" s="121"/>
    </row>
    <row r="287" spans="1:19" ht="15">
      <c r="A287" s="105" t="s">
        <v>251</v>
      </c>
      <c r="B287" s="105"/>
      <c r="C287" s="107" t="s">
        <v>441</v>
      </c>
      <c r="D287" s="107" t="s">
        <v>251</v>
      </c>
      <c r="E287" s="120" t="s">
        <v>251</v>
      </c>
      <c r="F287" s="120" t="s">
        <v>251</v>
      </c>
      <c r="G287" s="120" t="s">
        <v>251</v>
      </c>
      <c r="H287" s="120" t="s">
        <v>251</v>
      </c>
      <c r="I287" s="120" t="s">
        <v>251</v>
      </c>
      <c r="J287" s="120" t="s">
        <v>251</v>
      </c>
      <c r="K287" s="120" t="s">
        <v>251</v>
      </c>
      <c r="L287" s="120" t="s">
        <v>251</v>
      </c>
      <c r="M287" s="120" t="s">
        <v>251</v>
      </c>
      <c r="N287" s="120" t="s">
        <v>251</v>
      </c>
      <c r="O287" s="120" t="s">
        <v>251</v>
      </c>
      <c r="P287" s="120" t="s">
        <v>251</v>
      </c>
      <c r="Q287" s="120" t="s">
        <v>251</v>
      </c>
      <c r="R287" s="120"/>
      <c r="S287" s="121"/>
    </row>
    <row r="288" spans="1:19" ht="15">
      <c r="A288" s="105">
        <v>1</v>
      </c>
      <c r="B288" s="105"/>
      <c r="C288" s="107" t="s">
        <v>477</v>
      </c>
      <c r="D288" s="107" t="s">
        <v>478</v>
      </c>
      <c r="E288" s="120">
        <v>268040219.31219149</v>
      </c>
      <c r="F288" s="120" t="s">
        <v>251</v>
      </c>
      <c r="G288" s="120">
        <v>235000323.42037687</v>
      </c>
      <c r="H288" s="120" t="s">
        <v>251</v>
      </c>
      <c r="I288" s="120">
        <v>10760954.015055574</v>
      </c>
      <c r="J288" s="120">
        <v>22278941.876759056</v>
      </c>
      <c r="K288" s="120" t="s">
        <v>251</v>
      </c>
      <c r="L288" s="120" t="s">
        <v>251</v>
      </c>
      <c r="M288" s="120">
        <v>754.31830076515666</v>
      </c>
      <c r="N288" s="120" t="s">
        <v>251</v>
      </c>
      <c r="O288" s="120">
        <v>22278187.558458291</v>
      </c>
      <c r="P288" s="120">
        <v>6872443.1746111875</v>
      </c>
      <c r="Q288" s="120">
        <v>15405744.383847103</v>
      </c>
      <c r="R288" s="120"/>
      <c r="S288" s="121"/>
    </row>
    <row r="289" spans="1:19" ht="15">
      <c r="A289" s="105">
        <v>2</v>
      </c>
      <c r="B289" s="105"/>
      <c r="C289" s="107" t="s">
        <v>479</v>
      </c>
      <c r="D289" s="107" t="s">
        <v>312</v>
      </c>
      <c r="E289" s="120">
        <v>0</v>
      </c>
      <c r="F289" s="120" t="s">
        <v>251</v>
      </c>
      <c r="G289" s="120">
        <v>0</v>
      </c>
      <c r="H289" s="120" t="s">
        <v>251</v>
      </c>
      <c r="I289" s="120">
        <v>0</v>
      </c>
      <c r="J289" s="120">
        <v>0</v>
      </c>
      <c r="K289" s="120" t="s">
        <v>251</v>
      </c>
      <c r="L289" s="120" t="s">
        <v>251</v>
      </c>
      <c r="M289" s="120">
        <v>0</v>
      </c>
      <c r="N289" s="120" t="s">
        <v>251</v>
      </c>
      <c r="O289" s="120">
        <v>0</v>
      </c>
      <c r="P289" s="120">
        <v>0</v>
      </c>
      <c r="Q289" s="120">
        <v>0</v>
      </c>
      <c r="R289" s="120"/>
      <c r="S289" s="121"/>
    </row>
    <row r="290" spans="1:19" ht="15">
      <c r="A290" s="105">
        <v>3</v>
      </c>
      <c r="B290" s="105"/>
      <c r="C290" s="107" t="s">
        <v>480</v>
      </c>
      <c r="D290" s="107" t="s">
        <v>314</v>
      </c>
      <c r="E290" s="120">
        <v>938978.68124335003</v>
      </c>
      <c r="F290" s="120" t="s">
        <v>251</v>
      </c>
      <c r="G290" s="120">
        <v>0</v>
      </c>
      <c r="H290" s="120" t="s">
        <v>251</v>
      </c>
      <c r="I290" s="120">
        <v>0</v>
      </c>
      <c r="J290" s="120">
        <v>938978.68124335003</v>
      </c>
      <c r="K290" s="120" t="s">
        <v>251</v>
      </c>
      <c r="L290" s="120" t="s">
        <v>251</v>
      </c>
      <c r="M290" s="120">
        <v>0</v>
      </c>
      <c r="N290" s="120" t="s">
        <v>251</v>
      </c>
      <c r="O290" s="120">
        <v>938978.68124335003</v>
      </c>
      <c r="P290" s="120">
        <v>289659.00444474252</v>
      </c>
      <c r="Q290" s="120">
        <v>649319.67679860757</v>
      </c>
      <c r="R290" s="120"/>
      <c r="S290" s="121"/>
    </row>
    <row r="291" spans="1:19" ht="15">
      <c r="A291" s="105">
        <v>4</v>
      </c>
      <c r="B291" s="105"/>
      <c r="C291" s="107" t="s">
        <v>481</v>
      </c>
      <c r="D291" s="107" t="s">
        <v>251</v>
      </c>
      <c r="E291" s="120">
        <v>268979197.99343485</v>
      </c>
      <c r="F291" s="120" t="s">
        <v>251</v>
      </c>
      <c r="G291" s="120">
        <v>235000323.42037687</v>
      </c>
      <c r="H291" s="120" t="s">
        <v>251</v>
      </c>
      <c r="I291" s="120">
        <v>10760954.015055574</v>
      </c>
      <c r="J291" s="120">
        <v>23217920.558002405</v>
      </c>
      <c r="K291" s="120" t="s">
        <v>251</v>
      </c>
      <c r="L291" s="120" t="s">
        <v>251</v>
      </c>
      <c r="M291" s="120">
        <v>754.31830076515666</v>
      </c>
      <c r="N291" s="120" t="s">
        <v>251</v>
      </c>
      <c r="O291" s="120">
        <v>23217166.23970164</v>
      </c>
      <c r="P291" s="120">
        <v>7162102.1790559301</v>
      </c>
      <c r="Q291" s="120">
        <v>16055064.060645711</v>
      </c>
      <c r="R291" s="120"/>
      <c r="S291" s="121"/>
    </row>
    <row r="292" spans="1:19" ht="15">
      <c r="A292" s="105" t="s">
        <v>251</v>
      </c>
      <c r="B292" s="105"/>
      <c r="C292" s="107" t="s">
        <v>251</v>
      </c>
      <c r="D292" s="107" t="s">
        <v>251</v>
      </c>
      <c r="E292" s="120" t="s">
        <v>251</v>
      </c>
      <c r="F292" s="120" t="s">
        <v>251</v>
      </c>
      <c r="G292" s="120" t="s">
        <v>251</v>
      </c>
      <c r="H292" s="120" t="s">
        <v>251</v>
      </c>
      <c r="I292" s="120" t="s">
        <v>251</v>
      </c>
      <c r="J292" s="120" t="s">
        <v>251</v>
      </c>
      <c r="K292" s="120" t="s">
        <v>251</v>
      </c>
      <c r="L292" s="120" t="s">
        <v>251</v>
      </c>
      <c r="M292" s="120" t="s">
        <v>251</v>
      </c>
      <c r="N292" s="120" t="s">
        <v>251</v>
      </c>
      <c r="O292" s="120" t="s">
        <v>251</v>
      </c>
      <c r="P292" s="120" t="s">
        <v>251</v>
      </c>
      <c r="Q292" s="120" t="s">
        <v>251</v>
      </c>
      <c r="R292" s="120"/>
      <c r="S292" s="121"/>
    </row>
    <row r="293" spans="1:19" ht="15">
      <c r="A293" s="105" t="s">
        <v>251</v>
      </c>
      <c r="B293" s="105"/>
      <c r="C293" s="107" t="s">
        <v>455</v>
      </c>
      <c r="D293" s="107" t="s">
        <v>251</v>
      </c>
      <c r="E293" s="120" t="s">
        <v>251</v>
      </c>
      <c r="F293" s="120" t="s">
        <v>251</v>
      </c>
      <c r="G293" s="120" t="s">
        <v>251</v>
      </c>
      <c r="H293" s="120" t="s">
        <v>251</v>
      </c>
      <c r="I293" s="120" t="s">
        <v>251</v>
      </c>
      <c r="J293" s="120" t="s">
        <v>251</v>
      </c>
      <c r="K293" s="120" t="s">
        <v>251</v>
      </c>
      <c r="L293" s="120" t="s">
        <v>251</v>
      </c>
      <c r="M293" s="120" t="s">
        <v>251</v>
      </c>
      <c r="N293" s="120" t="s">
        <v>251</v>
      </c>
      <c r="O293" s="120" t="s">
        <v>251</v>
      </c>
      <c r="P293" s="120" t="s">
        <v>251</v>
      </c>
      <c r="Q293" s="120" t="s">
        <v>251</v>
      </c>
      <c r="R293" s="120"/>
      <c r="S293" s="121"/>
    </row>
    <row r="294" spans="1:19" ht="15">
      <c r="A294" s="105">
        <v>5</v>
      </c>
      <c r="B294" s="105"/>
      <c r="C294" s="107" t="s">
        <v>477</v>
      </c>
      <c r="D294" s="107" t="s">
        <v>457</v>
      </c>
      <c r="E294" s="120">
        <v>23591627.868792802</v>
      </c>
      <c r="F294" s="120" t="s">
        <v>251</v>
      </c>
      <c r="G294" s="120">
        <v>22538038.568693988</v>
      </c>
      <c r="H294" s="120" t="s">
        <v>251</v>
      </c>
      <c r="I294" s="120">
        <v>1053516.9561347349</v>
      </c>
      <c r="J294" s="120">
        <v>72.343964077466737</v>
      </c>
      <c r="K294" s="120" t="s">
        <v>251</v>
      </c>
      <c r="L294" s="120" t="s">
        <v>251</v>
      </c>
      <c r="M294" s="120">
        <v>72.343964077466737</v>
      </c>
      <c r="N294" s="120" t="s">
        <v>251</v>
      </c>
      <c r="O294" s="120">
        <v>0</v>
      </c>
      <c r="P294" s="120">
        <v>0</v>
      </c>
      <c r="Q294" s="120">
        <v>0</v>
      </c>
      <c r="R294" s="120"/>
      <c r="S294" s="121"/>
    </row>
    <row r="295" spans="1:19" ht="15">
      <c r="A295" s="105">
        <v>6</v>
      </c>
      <c r="B295" s="105"/>
      <c r="C295" s="107" t="s">
        <v>482</v>
      </c>
      <c r="D295" s="107" t="s">
        <v>457</v>
      </c>
      <c r="E295" s="120">
        <v>0</v>
      </c>
      <c r="F295" s="120" t="s">
        <v>251</v>
      </c>
      <c r="G295" s="120">
        <v>0</v>
      </c>
      <c r="H295" s="120" t="s">
        <v>251</v>
      </c>
      <c r="I295" s="120">
        <v>0</v>
      </c>
      <c r="J295" s="120">
        <v>0</v>
      </c>
      <c r="K295" s="120" t="s">
        <v>251</v>
      </c>
      <c r="L295" s="120" t="s">
        <v>251</v>
      </c>
      <c r="M295" s="120">
        <v>0</v>
      </c>
      <c r="N295" s="120" t="s">
        <v>251</v>
      </c>
      <c r="O295" s="120">
        <v>0</v>
      </c>
      <c r="P295" s="120">
        <v>0</v>
      </c>
      <c r="Q295" s="120">
        <v>0</v>
      </c>
      <c r="R295" s="120"/>
      <c r="S295" s="121"/>
    </row>
    <row r="296" spans="1:19" ht="15">
      <c r="A296" s="105">
        <v>7</v>
      </c>
      <c r="B296" s="105"/>
      <c r="C296" s="107" t="s">
        <v>483</v>
      </c>
      <c r="D296" s="107" t="s">
        <v>484</v>
      </c>
      <c r="E296" s="120">
        <v>558805.95618800004</v>
      </c>
      <c r="F296" s="120" t="s">
        <v>251</v>
      </c>
      <c r="G296" s="120">
        <v>0</v>
      </c>
      <c r="H296" s="120" t="s">
        <v>251</v>
      </c>
      <c r="I296" s="120">
        <v>558805.95618800004</v>
      </c>
      <c r="J296" s="120">
        <v>0</v>
      </c>
      <c r="K296" s="120" t="s">
        <v>251</v>
      </c>
      <c r="L296" s="120" t="s">
        <v>251</v>
      </c>
      <c r="M296" s="120">
        <v>0</v>
      </c>
      <c r="N296" s="120" t="s">
        <v>251</v>
      </c>
      <c r="O296" s="120">
        <v>0</v>
      </c>
      <c r="P296" s="120">
        <v>0</v>
      </c>
      <c r="Q296" s="120">
        <v>0</v>
      </c>
      <c r="R296" s="120"/>
      <c r="S296" s="121"/>
    </row>
    <row r="297" spans="1:19" ht="15">
      <c r="A297" s="105">
        <v>8</v>
      </c>
      <c r="B297" s="105"/>
      <c r="C297" s="107" t="s">
        <v>479</v>
      </c>
      <c r="D297" s="107" t="s">
        <v>312</v>
      </c>
      <c r="E297" s="120">
        <v>0</v>
      </c>
      <c r="F297" s="120" t="s">
        <v>251</v>
      </c>
      <c r="G297" s="120">
        <v>0</v>
      </c>
      <c r="H297" s="120" t="s">
        <v>251</v>
      </c>
      <c r="I297" s="120">
        <v>0</v>
      </c>
      <c r="J297" s="120">
        <v>0</v>
      </c>
      <c r="K297" s="120" t="s">
        <v>251</v>
      </c>
      <c r="L297" s="120" t="s">
        <v>251</v>
      </c>
      <c r="M297" s="120">
        <v>0</v>
      </c>
      <c r="N297" s="120" t="s">
        <v>251</v>
      </c>
      <c r="O297" s="120">
        <v>0</v>
      </c>
      <c r="P297" s="120">
        <v>0</v>
      </c>
      <c r="Q297" s="120">
        <v>0</v>
      </c>
      <c r="R297" s="120"/>
      <c r="S297" s="121"/>
    </row>
    <row r="298" spans="1:19" ht="15">
      <c r="A298" s="105">
        <v>9</v>
      </c>
      <c r="B298" s="105"/>
      <c r="C298" s="107" t="s">
        <v>480</v>
      </c>
      <c r="D298" s="107" t="s">
        <v>314</v>
      </c>
      <c r="E298" s="120">
        <v>0</v>
      </c>
      <c r="F298" s="120" t="s">
        <v>251</v>
      </c>
      <c r="G298" s="120">
        <v>0</v>
      </c>
      <c r="H298" s="120" t="s">
        <v>251</v>
      </c>
      <c r="I298" s="120">
        <v>0</v>
      </c>
      <c r="J298" s="120">
        <v>0</v>
      </c>
      <c r="K298" s="120" t="s">
        <v>251</v>
      </c>
      <c r="L298" s="120" t="s">
        <v>251</v>
      </c>
      <c r="M298" s="120">
        <v>0</v>
      </c>
      <c r="N298" s="120" t="s">
        <v>251</v>
      </c>
      <c r="O298" s="120">
        <v>0</v>
      </c>
      <c r="P298" s="120">
        <v>0</v>
      </c>
      <c r="Q298" s="120">
        <v>0</v>
      </c>
      <c r="R298" s="120"/>
      <c r="S298" s="121"/>
    </row>
    <row r="299" spans="1:19" ht="15">
      <c r="A299" s="105">
        <v>10</v>
      </c>
      <c r="B299" s="105"/>
      <c r="C299" s="107" t="s">
        <v>485</v>
      </c>
      <c r="D299" s="107" t="s">
        <v>251</v>
      </c>
      <c r="E299" s="120">
        <v>24150433.824980799</v>
      </c>
      <c r="F299" s="120" t="s">
        <v>251</v>
      </c>
      <c r="G299" s="120">
        <v>22538038.568693988</v>
      </c>
      <c r="H299" s="120" t="s">
        <v>251</v>
      </c>
      <c r="I299" s="120">
        <v>1612322.9123227349</v>
      </c>
      <c r="J299" s="120">
        <v>72.343964077466737</v>
      </c>
      <c r="K299" s="120" t="s">
        <v>251</v>
      </c>
      <c r="L299" s="120" t="s">
        <v>251</v>
      </c>
      <c r="M299" s="120">
        <v>72.343964077466737</v>
      </c>
      <c r="N299" s="120" t="s">
        <v>251</v>
      </c>
      <c r="O299" s="120">
        <v>0</v>
      </c>
      <c r="P299" s="120">
        <v>0</v>
      </c>
      <c r="Q299" s="120">
        <v>0</v>
      </c>
      <c r="R299" s="120"/>
      <c r="S299" s="121"/>
    </row>
    <row r="300" spans="1:19" ht="15">
      <c r="A300" s="105" t="s">
        <v>251</v>
      </c>
      <c r="B300" s="105"/>
      <c r="C300" s="107" t="s">
        <v>251</v>
      </c>
      <c r="D300" s="107" t="s">
        <v>251</v>
      </c>
      <c r="E300" s="120" t="s">
        <v>251</v>
      </c>
      <c r="F300" s="120" t="s">
        <v>251</v>
      </c>
      <c r="G300" s="120" t="s">
        <v>251</v>
      </c>
      <c r="H300" s="120" t="s">
        <v>251</v>
      </c>
      <c r="I300" s="120" t="s">
        <v>251</v>
      </c>
      <c r="J300" s="120" t="s">
        <v>251</v>
      </c>
      <c r="K300" s="120" t="s">
        <v>251</v>
      </c>
      <c r="L300" s="120" t="s">
        <v>251</v>
      </c>
      <c r="M300" s="120" t="s">
        <v>251</v>
      </c>
      <c r="N300" s="120" t="s">
        <v>251</v>
      </c>
      <c r="O300" s="120" t="s">
        <v>251</v>
      </c>
      <c r="P300" s="120" t="s">
        <v>251</v>
      </c>
      <c r="Q300" s="120" t="s">
        <v>251</v>
      </c>
      <c r="R300" s="120"/>
      <c r="S300" s="121"/>
    </row>
    <row r="301" spans="1:19" ht="15">
      <c r="A301" s="105">
        <v>11</v>
      </c>
      <c r="B301" s="105"/>
      <c r="C301" s="107" t="s">
        <v>486</v>
      </c>
      <c r="D301" s="107" t="s">
        <v>487</v>
      </c>
      <c r="E301" s="120">
        <v>2.8699915333163497E-5</v>
      </c>
      <c r="F301" s="120" t="s">
        <v>251</v>
      </c>
      <c r="G301" s="120">
        <v>0</v>
      </c>
      <c r="H301" s="120" t="s">
        <v>251</v>
      </c>
      <c r="I301" s="120">
        <v>2.8699915333163497E-5</v>
      </c>
      <c r="J301" s="120">
        <v>0</v>
      </c>
      <c r="K301" s="120" t="s">
        <v>251</v>
      </c>
      <c r="L301" s="120" t="s">
        <v>251</v>
      </c>
      <c r="M301" s="120">
        <v>0</v>
      </c>
      <c r="N301" s="120" t="s">
        <v>251</v>
      </c>
      <c r="O301" s="120">
        <v>0</v>
      </c>
      <c r="P301" s="120">
        <v>0</v>
      </c>
      <c r="Q301" s="120">
        <v>0</v>
      </c>
      <c r="R301" s="120"/>
      <c r="S301" s="121"/>
    </row>
    <row r="302" spans="1:19" ht="15">
      <c r="A302" s="105">
        <v>12</v>
      </c>
      <c r="B302" s="105"/>
      <c r="C302" s="107" t="s">
        <v>488</v>
      </c>
      <c r="D302" s="107" t="s">
        <v>489</v>
      </c>
      <c r="E302" s="120">
        <v>6818834.9314391101</v>
      </c>
      <c r="F302" s="120" t="s">
        <v>251</v>
      </c>
      <c r="G302" s="120">
        <v>6818834.9314391101</v>
      </c>
      <c r="H302" s="120" t="s">
        <v>251</v>
      </c>
      <c r="I302" s="120">
        <v>0</v>
      </c>
      <c r="J302" s="120">
        <v>0</v>
      </c>
      <c r="K302" s="120" t="s">
        <v>251</v>
      </c>
      <c r="L302" s="120" t="s">
        <v>251</v>
      </c>
      <c r="M302" s="120">
        <v>0</v>
      </c>
      <c r="N302" s="120" t="s">
        <v>251</v>
      </c>
      <c r="O302" s="120">
        <v>0</v>
      </c>
      <c r="P302" s="120">
        <v>0</v>
      </c>
      <c r="Q302" s="120">
        <v>0</v>
      </c>
      <c r="R302" s="120"/>
      <c r="S302" s="121"/>
    </row>
    <row r="303" spans="1:19" ht="15">
      <c r="A303" s="105">
        <v>13</v>
      </c>
      <c r="B303" s="105"/>
      <c r="C303" s="107" t="s">
        <v>490</v>
      </c>
      <c r="D303" s="107" t="s">
        <v>251</v>
      </c>
      <c r="E303" s="120">
        <v>6818834.9314678097</v>
      </c>
      <c r="F303" s="120" t="s">
        <v>251</v>
      </c>
      <c r="G303" s="120">
        <v>6818834.9314391101</v>
      </c>
      <c r="H303" s="120" t="s">
        <v>251</v>
      </c>
      <c r="I303" s="120">
        <v>2.8699915333163497E-5</v>
      </c>
      <c r="J303" s="120">
        <v>0</v>
      </c>
      <c r="K303" s="120" t="s">
        <v>251</v>
      </c>
      <c r="L303" s="120" t="s">
        <v>251</v>
      </c>
      <c r="M303" s="120">
        <v>0</v>
      </c>
      <c r="N303" s="120" t="s">
        <v>251</v>
      </c>
      <c r="O303" s="120">
        <v>0</v>
      </c>
      <c r="P303" s="120">
        <v>0</v>
      </c>
      <c r="Q303" s="120">
        <v>0</v>
      </c>
      <c r="R303" s="120"/>
      <c r="S303" s="121"/>
    </row>
    <row r="304" spans="1:19" ht="15">
      <c r="A304" s="105" t="s">
        <v>251</v>
      </c>
      <c r="B304" s="105"/>
      <c r="C304" s="107" t="s">
        <v>251</v>
      </c>
      <c r="D304" s="107" t="s">
        <v>251</v>
      </c>
      <c r="E304" s="120" t="s">
        <v>251</v>
      </c>
      <c r="F304" s="120" t="s">
        <v>251</v>
      </c>
      <c r="G304" s="120" t="s">
        <v>251</v>
      </c>
      <c r="H304" s="120" t="s">
        <v>251</v>
      </c>
      <c r="I304" s="120" t="s">
        <v>251</v>
      </c>
      <c r="J304" s="120" t="s">
        <v>251</v>
      </c>
      <c r="K304" s="120" t="s">
        <v>251</v>
      </c>
      <c r="L304" s="120" t="s">
        <v>251</v>
      </c>
      <c r="M304" s="120" t="s">
        <v>251</v>
      </c>
      <c r="N304" s="120" t="s">
        <v>251</v>
      </c>
      <c r="O304" s="120" t="s">
        <v>251</v>
      </c>
      <c r="P304" s="120" t="s">
        <v>251</v>
      </c>
      <c r="Q304" s="120" t="s">
        <v>251</v>
      </c>
      <c r="R304" s="120"/>
      <c r="S304" s="121"/>
    </row>
    <row r="305" spans="1:19" ht="15">
      <c r="A305" s="105">
        <v>14</v>
      </c>
      <c r="B305" s="105"/>
      <c r="C305" s="107" t="s">
        <v>437</v>
      </c>
      <c r="D305" s="107" t="s">
        <v>468</v>
      </c>
      <c r="E305" s="120">
        <v>19313873.2895118</v>
      </c>
      <c r="F305" s="120" t="s">
        <v>251</v>
      </c>
      <c r="G305" s="120">
        <v>17546290.412181586</v>
      </c>
      <c r="H305" s="120" t="s">
        <v>251</v>
      </c>
      <c r="I305" s="120">
        <v>857402.71684104262</v>
      </c>
      <c r="J305" s="120">
        <v>910180.16048917163</v>
      </c>
      <c r="K305" s="120" t="s">
        <v>251</v>
      </c>
      <c r="L305" s="120" t="s">
        <v>251</v>
      </c>
      <c r="M305" s="120">
        <v>1311.4370252348538</v>
      </c>
      <c r="N305" s="120" t="s">
        <v>251</v>
      </c>
      <c r="O305" s="120">
        <v>908868.72346393683</v>
      </c>
      <c r="P305" s="120">
        <v>289622.64256704389</v>
      </c>
      <c r="Q305" s="120">
        <v>619246.08089689293</v>
      </c>
      <c r="R305" s="120"/>
      <c r="S305" s="121"/>
    </row>
    <row r="306" spans="1:19" ht="15">
      <c r="A306" s="105" t="s">
        <v>251</v>
      </c>
      <c r="B306" s="105"/>
      <c r="C306" s="107" t="s">
        <v>251</v>
      </c>
      <c r="D306" s="107" t="s">
        <v>251</v>
      </c>
      <c r="E306" s="120" t="s">
        <v>251</v>
      </c>
      <c r="F306" s="120" t="s">
        <v>251</v>
      </c>
      <c r="G306" s="120" t="s">
        <v>251</v>
      </c>
      <c r="H306" s="120" t="s">
        <v>251</v>
      </c>
      <c r="I306" s="120" t="s">
        <v>251</v>
      </c>
      <c r="J306" s="120" t="s">
        <v>251</v>
      </c>
      <c r="K306" s="120" t="s">
        <v>251</v>
      </c>
      <c r="L306" s="120" t="s">
        <v>251</v>
      </c>
      <c r="M306" s="120" t="s">
        <v>251</v>
      </c>
      <c r="N306" s="120" t="s">
        <v>251</v>
      </c>
      <c r="O306" s="120" t="s">
        <v>251</v>
      </c>
      <c r="P306" s="120" t="s">
        <v>251</v>
      </c>
      <c r="Q306" s="120" t="s">
        <v>251</v>
      </c>
      <c r="R306" s="120"/>
      <c r="S306" s="121"/>
    </row>
    <row r="307" spans="1:19" ht="15">
      <c r="A307" s="105">
        <v>15</v>
      </c>
      <c r="B307" s="105"/>
      <c r="C307" s="107" t="s">
        <v>491</v>
      </c>
      <c r="D307" s="107" t="s">
        <v>251</v>
      </c>
      <c r="E307" s="120">
        <v>319262340.03939527</v>
      </c>
      <c r="F307" s="120" t="s">
        <v>251</v>
      </c>
      <c r="G307" s="120">
        <v>281903487.33269155</v>
      </c>
      <c r="H307" s="120" t="s">
        <v>251</v>
      </c>
      <c r="I307" s="120">
        <v>13230679.644248052</v>
      </c>
      <c r="J307" s="120">
        <v>24128173.062455654</v>
      </c>
      <c r="K307" s="120" t="s">
        <v>251</v>
      </c>
      <c r="L307" s="120" t="s">
        <v>251</v>
      </c>
      <c r="M307" s="120">
        <v>2138.0992900774772</v>
      </c>
      <c r="N307" s="120" t="s">
        <v>251</v>
      </c>
      <c r="O307" s="120">
        <v>24126034.963165578</v>
      </c>
      <c r="P307" s="120">
        <v>7451724.8216229742</v>
      </c>
      <c r="Q307" s="120">
        <v>16674310.141542604</v>
      </c>
      <c r="R307" s="120"/>
      <c r="S307" s="121"/>
    </row>
    <row r="308" spans="1:19" ht="15">
      <c r="A308" s="105" t="s">
        <v>251</v>
      </c>
      <c r="B308" s="105"/>
      <c r="C308" s="107" t="s">
        <v>251</v>
      </c>
      <c r="D308" s="107" t="s">
        <v>251</v>
      </c>
      <c r="E308" s="120" t="s">
        <v>251</v>
      </c>
      <c r="F308" s="120" t="s">
        <v>251</v>
      </c>
      <c r="G308" s="120" t="s">
        <v>251</v>
      </c>
      <c r="H308" s="120" t="s">
        <v>251</v>
      </c>
      <c r="I308" s="120" t="s">
        <v>251</v>
      </c>
      <c r="J308" s="120" t="s">
        <v>251</v>
      </c>
      <c r="K308" s="120" t="s">
        <v>251</v>
      </c>
      <c r="L308" s="120" t="s">
        <v>251</v>
      </c>
      <c r="M308" s="120" t="s">
        <v>251</v>
      </c>
      <c r="N308" s="120" t="s">
        <v>251</v>
      </c>
      <c r="O308" s="120" t="s">
        <v>251</v>
      </c>
      <c r="P308" s="120" t="s">
        <v>251</v>
      </c>
      <c r="Q308" s="120" t="s">
        <v>251</v>
      </c>
      <c r="R308" s="120"/>
      <c r="S308" s="121"/>
    </row>
    <row r="309" spans="1:19" ht="15">
      <c r="A309" s="105" t="s">
        <v>251</v>
      </c>
      <c r="B309" s="105"/>
      <c r="C309" s="107" t="s">
        <v>492</v>
      </c>
      <c r="D309" s="107" t="s">
        <v>251</v>
      </c>
      <c r="E309" s="120" t="s">
        <v>251</v>
      </c>
      <c r="F309" s="120" t="s">
        <v>251</v>
      </c>
      <c r="G309" s="120" t="s">
        <v>251</v>
      </c>
      <c r="H309" s="120" t="s">
        <v>251</v>
      </c>
      <c r="I309" s="120" t="s">
        <v>251</v>
      </c>
      <c r="J309" s="120" t="s">
        <v>251</v>
      </c>
      <c r="K309" s="120" t="s">
        <v>251</v>
      </c>
      <c r="L309" s="120" t="s">
        <v>251</v>
      </c>
      <c r="M309" s="120" t="s">
        <v>251</v>
      </c>
      <c r="N309" s="120" t="s">
        <v>251</v>
      </c>
      <c r="O309" s="120" t="s">
        <v>251</v>
      </c>
      <c r="P309" s="120" t="s">
        <v>251</v>
      </c>
      <c r="Q309" s="120" t="s">
        <v>251</v>
      </c>
      <c r="R309" s="120"/>
      <c r="S309" s="121"/>
    </row>
    <row r="310" spans="1:19" ht="15">
      <c r="A310" s="105" t="s">
        <v>251</v>
      </c>
      <c r="B310" s="105"/>
      <c r="C310" s="107" t="s">
        <v>493</v>
      </c>
      <c r="D310" s="107" t="s">
        <v>251</v>
      </c>
      <c r="E310" s="120" t="s">
        <v>251</v>
      </c>
      <c r="F310" s="120" t="s">
        <v>251</v>
      </c>
      <c r="G310" s="120" t="s">
        <v>251</v>
      </c>
      <c r="H310" s="120" t="s">
        <v>251</v>
      </c>
      <c r="I310" s="120" t="s">
        <v>251</v>
      </c>
      <c r="J310" s="120" t="s">
        <v>251</v>
      </c>
      <c r="K310" s="120" t="s">
        <v>251</v>
      </c>
      <c r="L310" s="120" t="s">
        <v>251</v>
      </c>
      <c r="M310" s="120" t="s">
        <v>251</v>
      </c>
      <c r="N310" s="120" t="s">
        <v>251</v>
      </c>
      <c r="O310" s="120" t="s">
        <v>251</v>
      </c>
      <c r="P310" s="120" t="s">
        <v>251</v>
      </c>
      <c r="Q310" s="120" t="s">
        <v>251</v>
      </c>
      <c r="R310" s="120"/>
      <c r="S310" s="121"/>
    </row>
    <row r="311" spans="1:19" ht="15">
      <c r="A311" s="105">
        <v>16</v>
      </c>
      <c r="B311" s="105"/>
      <c r="C311" s="107" t="s">
        <v>494</v>
      </c>
      <c r="D311" s="107" t="s">
        <v>495</v>
      </c>
      <c r="E311" s="120">
        <v>61292297</v>
      </c>
      <c r="F311" s="120" t="s">
        <v>251</v>
      </c>
      <c r="G311" s="120">
        <v>53953416.041710377</v>
      </c>
      <c r="H311" s="120" t="s">
        <v>251</v>
      </c>
      <c r="I311" s="120">
        <v>2201053.2959116343</v>
      </c>
      <c r="J311" s="120">
        <v>5137827.6623779899</v>
      </c>
      <c r="K311" s="120" t="s">
        <v>251</v>
      </c>
      <c r="L311" s="120" t="s">
        <v>251</v>
      </c>
      <c r="M311" s="120">
        <v>241.46600568449119</v>
      </c>
      <c r="N311" s="120" t="s">
        <v>251</v>
      </c>
      <c r="O311" s="120">
        <v>5137586.196372305</v>
      </c>
      <c r="P311" s="120">
        <v>1643878.5826842112</v>
      </c>
      <c r="Q311" s="120">
        <v>3493707.6136880941</v>
      </c>
      <c r="R311" s="120"/>
      <c r="S311" s="121"/>
    </row>
    <row r="312" spans="1:19" ht="15">
      <c r="A312" s="105" t="s">
        <v>251</v>
      </c>
      <c r="B312" s="105"/>
      <c r="C312" s="107" t="s">
        <v>496</v>
      </c>
      <c r="D312" s="107" t="s">
        <v>251</v>
      </c>
      <c r="E312" s="120" t="s">
        <v>251</v>
      </c>
      <c r="F312" s="120" t="s">
        <v>251</v>
      </c>
      <c r="G312" s="120" t="s">
        <v>251</v>
      </c>
      <c r="H312" s="120" t="s">
        <v>251</v>
      </c>
      <c r="I312" s="120" t="s">
        <v>251</v>
      </c>
      <c r="J312" s="120" t="s">
        <v>251</v>
      </c>
      <c r="K312" s="120" t="s">
        <v>251</v>
      </c>
      <c r="L312" s="120" t="s">
        <v>251</v>
      </c>
      <c r="M312" s="120" t="s">
        <v>251</v>
      </c>
      <c r="N312" s="120" t="s">
        <v>251</v>
      </c>
      <c r="O312" s="120" t="s">
        <v>251</v>
      </c>
      <c r="P312" s="120" t="s">
        <v>251</v>
      </c>
      <c r="Q312" s="120" t="s">
        <v>251</v>
      </c>
      <c r="R312" s="120"/>
      <c r="S312" s="121"/>
    </row>
    <row r="313" spans="1:19" ht="15">
      <c r="A313" s="105">
        <v>17</v>
      </c>
      <c r="B313" s="105"/>
      <c r="C313" s="107" t="s">
        <v>497</v>
      </c>
      <c r="D313" s="107" t="s">
        <v>498</v>
      </c>
      <c r="E313" s="120">
        <v>32752130.594000004</v>
      </c>
      <c r="F313" s="120" t="s">
        <v>251</v>
      </c>
      <c r="G313" s="120">
        <v>28506718.17754617</v>
      </c>
      <c r="H313" s="120" t="s">
        <v>251</v>
      </c>
      <c r="I313" s="120">
        <v>1333309.8033397333</v>
      </c>
      <c r="J313" s="120">
        <v>2912102.6131140999</v>
      </c>
      <c r="K313" s="120" t="s">
        <v>251</v>
      </c>
      <c r="L313" s="120" t="s">
        <v>251</v>
      </c>
      <c r="M313" s="120">
        <v>91.50259413733761</v>
      </c>
      <c r="N313" s="120" t="s">
        <v>251</v>
      </c>
      <c r="O313" s="120">
        <v>2912011.1105199624</v>
      </c>
      <c r="P313" s="120">
        <v>898306.05960971583</v>
      </c>
      <c r="Q313" s="120">
        <v>2013705.0509102468</v>
      </c>
      <c r="R313" s="120"/>
      <c r="S313" s="121"/>
    </row>
    <row r="314" spans="1:19" ht="15">
      <c r="A314" s="105">
        <v>18</v>
      </c>
      <c r="B314" s="105"/>
      <c r="C314" s="107" t="s">
        <v>499</v>
      </c>
      <c r="D314" s="107" t="s">
        <v>500</v>
      </c>
      <c r="E314" s="120">
        <v>10090885.30625</v>
      </c>
      <c r="F314" s="120" t="s">
        <v>251</v>
      </c>
      <c r="G314" s="120">
        <v>9115327.9438134301</v>
      </c>
      <c r="H314" s="120" t="s">
        <v>251</v>
      </c>
      <c r="I314" s="120">
        <v>975528.1035037078</v>
      </c>
      <c r="J314" s="120">
        <v>29.258932861954904</v>
      </c>
      <c r="K314" s="120" t="s">
        <v>251</v>
      </c>
      <c r="L314" s="120" t="s">
        <v>251</v>
      </c>
      <c r="M314" s="120">
        <v>29.258932861954904</v>
      </c>
      <c r="N314" s="120" t="s">
        <v>251</v>
      </c>
      <c r="O314" s="120">
        <v>0</v>
      </c>
      <c r="P314" s="120">
        <v>0</v>
      </c>
      <c r="Q314" s="120">
        <v>0</v>
      </c>
      <c r="R314" s="120"/>
      <c r="S314" s="121"/>
    </row>
    <row r="315" spans="1:19" ht="15">
      <c r="A315" s="105">
        <v>19</v>
      </c>
      <c r="B315" s="105"/>
      <c r="C315" s="107" t="s">
        <v>501</v>
      </c>
      <c r="D315" s="107" t="s">
        <v>502</v>
      </c>
      <c r="E315" s="120">
        <v>7298029.0997500001</v>
      </c>
      <c r="F315" s="120" t="s">
        <v>251</v>
      </c>
      <c r="G315" s="120">
        <v>6916340.6095839739</v>
      </c>
      <c r="H315" s="120" t="s">
        <v>251</v>
      </c>
      <c r="I315" s="120">
        <v>364425.63146899582</v>
      </c>
      <c r="J315" s="120">
        <v>17262.858697030861</v>
      </c>
      <c r="K315" s="120" t="s">
        <v>251</v>
      </c>
      <c r="L315" s="120" t="s">
        <v>251</v>
      </c>
      <c r="M315" s="120">
        <v>2425.2870227130034</v>
      </c>
      <c r="N315" s="120" t="s">
        <v>251</v>
      </c>
      <c r="O315" s="120">
        <v>14837.571674317856</v>
      </c>
      <c r="P315" s="120">
        <v>13795.024468903815</v>
      </c>
      <c r="Q315" s="120">
        <v>1042.5472054140407</v>
      </c>
      <c r="R315" s="120"/>
      <c r="S315" s="121"/>
    </row>
    <row r="316" spans="1:19" ht="15">
      <c r="A316" s="105">
        <v>20</v>
      </c>
      <c r="B316" s="105"/>
      <c r="C316" s="107" t="s">
        <v>503</v>
      </c>
      <c r="D316" s="107" t="s">
        <v>468</v>
      </c>
      <c r="E316" s="120">
        <v>0</v>
      </c>
      <c r="F316" s="120" t="s">
        <v>251</v>
      </c>
      <c r="G316" s="120">
        <v>0</v>
      </c>
      <c r="H316" s="120" t="s">
        <v>251</v>
      </c>
      <c r="I316" s="120">
        <v>0</v>
      </c>
      <c r="J316" s="120">
        <v>0</v>
      </c>
      <c r="K316" s="120" t="s">
        <v>251</v>
      </c>
      <c r="L316" s="120" t="s">
        <v>251</v>
      </c>
      <c r="M316" s="120">
        <v>0</v>
      </c>
      <c r="N316" s="120" t="s">
        <v>251</v>
      </c>
      <c r="O316" s="120">
        <v>0</v>
      </c>
      <c r="P316" s="120">
        <v>0</v>
      </c>
      <c r="Q316" s="120">
        <v>0</v>
      </c>
      <c r="R316" s="120"/>
      <c r="S316" s="121"/>
    </row>
    <row r="317" spans="1:19" ht="15">
      <c r="A317" s="105">
        <v>21</v>
      </c>
      <c r="B317" s="105"/>
      <c r="C317" s="107" t="s">
        <v>504</v>
      </c>
      <c r="D317" s="107" t="s">
        <v>505</v>
      </c>
      <c r="E317" s="120">
        <v>11905959.000000002</v>
      </c>
      <c r="F317" s="120" t="s">
        <v>251</v>
      </c>
      <c r="G317" s="120">
        <v>10575611.384739952</v>
      </c>
      <c r="H317" s="120" t="s">
        <v>251</v>
      </c>
      <c r="I317" s="120">
        <v>634764.71388545667</v>
      </c>
      <c r="J317" s="120">
        <v>695582.90137459268</v>
      </c>
      <c r="K317" s="120" t="s">
        <v>251</v>
      </c>
      <c r="L317" s="120" t="s">
        <v>251</v>
      </c>
      <c r="M317" s="120">
        <v>604.55759637406959</v>
      </c>
      <c r="N317" s="120" t="s">
        <v>251</v>
      </c>
      <c r="O317" s="120">
        <v>694978.34377821861</v>
      </c>
      <c r="P317" s="120">
        <v>216577.81785153455</v>
      </c>
      <c r="Q317" s="120">
        <v>478400.52592668409</v>
      </c>
      <c r="R317" s="120"/>
      <c r="S317" s="121"/>
    </row>
    <row r="318" spans="1:19" ht="15">
      <c r="A318" s="105">
        <v>22</v>
      </c>
      <c r="B318" s="105"/>
      <c r="C318" s="107" t="s">
        <v>506</v>
      </c>
      <c r="D318" s="107" t="s">
        <v>251</v>
      </c>
      <c r="E318" s="120">
        <v>62047004</v>
      </c>
      <c r="F318" s="120" t="s">
        <v>251</v>
      </c>
      <c r="G318" s="120">
        <v>55113998.115683526</v>
      </c>
      <c r="H318" s="120" t="s">
        <v>251</v>
      </c>
      <c r="I318" s="120">
        <v>3308028.2521978938</v>
      </c>
      <c r="J318" s="120">
        <v>3624977.6321185851</v>
      </c>
      <c r="K318" s="120" t="s">
        <v>251</v>
      </c>
      <c r="L318" s="120" t="s">
        <v>251</v>
      </c>
      <c r="M318" s="120">
        <v>3150.6061460863657</v>
      </c>
      <c r="N318" s="120" t="s">
        <v>251</v>
      </c>
      <c r="O318" s="120">
        <v>3621827.0259724986</v>
      </c>
      <c r="P318" s="120">
        <v>1128678.9019301541</v>
      </c>
      <c r="Q318" s="120">
        <v>2493148.1240423447</v>
      </c>
      <c r="R318" s="120"/>
      <c r="S318" s="121"/>
    </row>
    <row r="319" spans="1:19" ht="15">
      <c r="A319" s="105">
        <v>23</v>
      </c>
      <c r="B319" s="105"/>
      <c r="C319" s="107" t="s">
        <v>507</v>
      </c>
      <c r="D319" s="107" t="s">
        <v>251</v>
      </c>
      <c r="E319" s="120">
        <v>123339301.00000001</v>
      </c>
      <c r="F319" s="120" t="s">
        <v>251</v>
      </c>
      <c r="G319" s="120">
        <v>109067414.1573939</v>
      </c>
      <c r="H319" s="120" t="s">
        <v>251</v>
      </c>
      <c r="I319" s="120">
        <v>5509081.5481095277</v>
      </c>
      <c r="J319" s="120">
        <v>8762805.2944965754</v>
      </c>
      <c r="K319" s="120" t="s">
        <v>251</v>
      </c>
      <c r="L319" s="120" t="s">
        <v>251</v>
      </c>
      <c r="M319" s="120">
        <v>3392.0721517708571</v>
      </c>
      <c r="N319" s="120" t="s">
        <v>251</v>
      </c>
      <c r="O319" s="120">
        <v>8759413.2223448046</v>
      </c>
      <c r="P319" s="120">
        <v>2772557.4846143653</v>
      </c>
      <c r="Q319" s="120">
        <v>5986855.7377304388</v>
      </c>
      <c r="R319" s="120"/>
      <c r="S319" s="121"/>
    </row>
    <row r="320" spans="1:19" ht="15">
      <c r="A320" s="105" t="s">
        <v>251</v>
      </c>
      <c r="B320" s="105"/>
      <c r="C320" s="107" t="s">
        <v>251</v>
      </c>
      <c r="D320" s="107" t="s">
        <v>251</v>
      </c>
      <c r="E320" s="120" t="s">
        <v>251</v>
      </c>
      <c r="F320" s="120" t="s">
        <v>251</v>
      </c>
      <c r="G320" s="120" t="s">
        <v>251</v>
      </c>
      <c r="H320" s="120" t="s">
        <v>251</v>
      </c>
      <c r="I320" s="120" t="s">
        <v>251</v>
      </c>
      <c r="J320" s="120" t="s">
        <v>251</v>
      </c>
      <c r="K320" s="120" t="s">
        <v>251</v>
      </c>
      <c r="L320" s="120" t="s">
        <v>251</v>
      </c>
      <c r="M320" s="120" t="s">
        <v>251</v>
      </c>
      <c r="N320" s="120" t="s">
        <v>251</v>
      </c>
      <c r="O320" s="120" t="s">
        <v>251</v>
      </c>
      <c r="P320" s="120" t="s">
        <v>251</v>
      </c>
      <c r="Q320" s="120" t="s">
        <v>251</v>
      </c>
      <c r="R320" s="120"/>
      <c r="S320" s="121"/>
    </row>
    <row r="321" spans="1:19" ht="15">
      <c r="A321" s="105" t="s">
        <v>251</v>
      </c>
      <c r="B321" s="105"/>
      <c r="C321" s="107" t="s">
        <v>508</v>
      </c>
      <c r="D321" s="107" t="s">
        <v>251</v>
      </c>
      <c r="E321" s="120" t="s">
        <v>251</v>
      </c>
      <c r="F321" s="120" t="s">
        <v>251</v>
      </c>
      <c r="G321" s="120" t="s">
        <v>251</v>
      </c>
      <c r="H321" s="120" t="s">
        <v>251</v>
      </c>
      <c r="I321" s="120" t="s">
        <v>251</v>
      </c>
      <c r="J321" s="120" t="s">
        <v>251</v>
      </c>
      <c r="K321" s="120" t="s">
        <v>251</v>
      </c>
      <c r="L321" s="120" t="s">
        <v>251</v>
      </c>
      <c r="M321" s="120" t="s">
        <v>251</v>
      </c>
      <c r="N321" s="120" t="s">
        <v>251</v>
      </c>
      <c r="O321" s="120" t="s">
        <v>251</v>
      </c>
      <c r="P321" s="120" t="s">
        <v>251</v>
      </c>
      <c r="Q321" s="120" t="s">
        <v>251</v>
      </c>
      <c r="R321" s="120"/>
      <c r="S321" s="121"/>
    </row>
    <row r="322" spans="1:19" ht="15">
      <c r="A322" s="105">
        <v>24</v>
      </c>
      <c r="B322" s="105"/>
      <c r="C322" s="107" t="s">
        <v>509</v>
      </c>
      <c r="D322" s="107" t="s">
        <v>510</v>
      </c>
      <c r="E322" s="120">
        <v>16286108.63695264</v>
      </c>
      <c r="F322" s="120" t="s">
        <v>251</v>
      </c>
      <c r="G322" s="120">
        <v>15329715.377801962</v>
      </c>
      <c r="H322" s="120" t="s">
        <v>251</v>
      </c>
      <c r="I322" s="120">
        <v>0</v>
      </c>
      <c r="J322" s="120">
        <v>956393.25915067829</v>
      </c>
      <c r="K322" s="120" t="s">
        <v>251</v>
      </c>
      <c r="L322" s="120" t="s">
        <v>251</v>
      </c>
      <c r="M322" s="120">
        <v>1208.097727840141</v>
      </c>
      <c r="N322" s="120" t="s">
        <v>251</v>
      </c>
      <c r="O322" s="120">
        <v>955185.16142283811</v>
      </c>
      <c r="P322" s="120">
        <v>300845.37032763287</v>
      </c>
      <c r="Q322" s="120">
        <v>654339.79109520523</v>
      </c>
      <c r="R322" s="120"/>
      <c r="S322" s="121"/>
    </row>
    <row r="323" spans="1:19" ht="15">
      <c r="A323" s="105">
        <v>25</v>
      </c>
      <c r="B323" s="105"/>
      <c r="C323" s="107" t="s">
        <v>511</v>
      </c>
      <c r="D323" s="107" t="s">
        <v>512</v>
      </c>
      <c r="E323" s="120">
        <v>0</v>
      </c>
      <c r="F323" s="120" t="s">
        <v>251</v>
      </c>
      <c r="G323" s="120">
        <v>0</v>
      </c>
      <c r="H323" s="120" t="s">
        <v>251</v>
      </c>
      <c r="I323" s="120">
        <v>0</v>
      </c>
      <c r="J323" s="120">
        <v>0</v>
      </c>
      <c r="K323" s="120" t="s">
        <v>251</v>
      </c>
      <c r="L323" s="120" t="s">
        <v>251</v>
      </c>
      <c r="M323" s="120">
        <v>0</v>
      </c>
      <c r="N323" s="120" t="s">
        <v>251</v>
      </c>
      <c r="O323" s="120">
        <v>0</v>
      </c>
      <c r="P323" s="120">
        <v>0</v>
      </c>
      <c r="Q323" s="120">
        <v>0</v>
      </c>
      <c r="R323" s="120"/>
      <c r="S323" s="121"/>
    </row>
    <row r="324" spans="1:19" ht="15">
      <c r="A324" s="105">
        <v>26</v>
      </c>
      <c r="B324" s="105"/>
      <c r="C324" s="107" t="s">
        <v>513</v>
      </c>
      <c r="D324" s="107" t="s">
        <v>251</v>
      </c>
      <c r="E324" s="120">
        <v>16286108.63695264</v>
      </c>
      <c r="F324" s="120" t="s">
        <v>251</v>
      </c>
      <c r="G324" s="120">
        <v>15329715.377801962</v>
      </c>
      <c r="H324" s="120" t="s">
        <v>251</v>
      </c>
      <c r="I324" s="120">
        <v>0</v>
      </c>
      <c r="J324" s="120">
        <v>956393.25915067829</v>
      </c>
      <c r="K324" s="120" t="s">
        <v>251</v>
      </c>
      <c r="L324" s="120" t="s">
        <v>251</v>
      </c>
      <c r="M324" s="120">
        <v>1208.097727840141</v>
      </c>
      <c r="N324" s="120" t="s">
        <v>251</v>
      </c>
      <c r="O324" s="120">
        <v>955185.16142283811</v>
      </c>
      <c r="P324" s="120">
        <v>300845.37032763287</v>
      </c>
      <c r="Q324" s="120">
        <v>654339.79109520523</v>
      </c>
      <c r="R324" s="120"/>
      <c r="S324" s="121"/>
    </row>
    <row r="325" spans="1:19" ht="15">
      <c r="A325" s="105" t="s">
        <v>251</v>
      </c>
      <c r="B325" s="105"/>
      <c r="C325" s="107" t="s">
        <v>251</v>
      </c>
      <c r="D325" s="107" t="s">
        <v>251</v>
      </c>
      <c r="E325" s="120" t="s">
        <v>251</v>
      </c>
      <c r="F325" s="120" t="s">
        <v>251</v>
      </c>
      <c r="G325" s="120" t="s">
        <v>251</v>
      </c>
      <c r="H325" s="120" t="s">
        <v>251</v>
      </c>
      <c r="I325" s="120" t="s">
        <v>251</v>
      </c>
      <c r="J325" s="120" t="s">
        <v>251</v>
      </c>
      <c r="K325" s="120" t="s">
        <v>251</v>
      </c>
      <c r="L325" s="120" t="s">
        <v>251</v>
      </c>
      <c r="M325" s="120" t="s">
        <v>251</v>
      </c>
      <c r="N325" s="120" t="s">
        <v>251</v>
      </c>
      <c r="O325" s="120" t="s">
        <v>251</v>
      </c>
      <c r="P325" s="120" t="s">
        <v>251</v>
      </c>
      <c r="Q325" s="120" t="s">
        <v>251</v>
      </c>
      <c r="R325" s="120"/>
      <c r="S325" s="121"/>
    </row>
    <row r="326" spans="1:19" ht="15">
      <c r="A326" s="105">
        <v>27</v>
      </c>
      <c r="B326" s="105"/>
      <c r="C326" s="107" t="s">
        <v>514</v>
      </c>
      <c r="D326" s="107" t="s">
        <v>251</v>
      </c>
      <c r="E326" s="120">
        <v>69078890.62745893</v>
      </c>
      <c r="F326" s="120" t="s">
        <v>251</v>
      </c>
      <c r="G326" s="120">
        <v>55945780.897078075</v>
      </c>
      <c r="H326" s="120" t="s">
        <v>251</v>
      </c>
      <c r="I326" s="120">
        <v>5453566.5818548538</v>
      </c>
      <c r="J326" s="120">
        <v>7679543.148524154</v>
      </c>
      <c r="K326" s="120" t="s">
        <v>251</v>
      </c>
      <c r="L326" s="120" t="s">
        <v>251</v>
      </c>
      <c r="M326" s="120">
        <v>3134.0710286411836</v>
      </c>
      <c r="N326" s="120" t="s">
        <v>251</v>
      </c>
      <c r="O326" s="120">
        <v>7676409.0774955126</v>
      </c>
      <c r="P326" s="120">
        <v>2447393.7470243629</v>
      </c>
      <c r="Q326" s="120">
        <v>5229015.3304711496</v>
      </c>
      <c r="R326" s="120"/>
      <c r="S326" s="121"/>
    </row>
    <row r="327" spans="1:19" ht="15">
      <c r="A327" s="105" t="s">
        <v>251</v>
      </c>
      <c r="B327" s="105"/>
      <c r="C327" s="107" t="s">
        <v>251</v>
      </c>
      <c r="D327" s="107" t="s">
        <v>251</v>
      </c>
      <c r="E327" s="120" t="s">
        <v>251</v>
      </c>
      <c r="F327" s="120" t="s">
        <v>251</v>
      </c>
      <c r="G327" s="120" t="s">
        <v>251</v>
      </c>
      <c r="H327" s="120" t="s">
        <v>251</v>
      </c>
      <c r="I327" s="120" t="s">
        <v>251</v>
      </c>
      <c r="J327" s="120" t="s">
        <v>251</v>
      </c>
      <c r="K327" s="120" t="s">
        <v>251</v>
      </c>
      <c r="L327" s="120" t="s">
        <v>251</v>
      </c>
      <c r="M327" s="120" t="s">
        <v>251</v>
      </c>
      <c r="N327" s="120" t="s">
        <v>251</v>
      </c>
      <c r="O327" s="120" t="s">
        <v>251</v>
      </c>
      <c r="P327" s="120" t="s">
        <v>251</v>
      </c>
      <c r="Q327" s="120" t="s">
        <v>251</v>
      </c>
      <c r="R327" s="120"/>
      <c r="S327" s="121"/>
    </row>
    <row r="328" spans="1:19" ht="15">
      <c r="A328" s="105">
        <v>28</v>
      </c>
      <c r="B328" s="105"/>
      <c r="C328" s="107" t="s">
        <v>515</v>
      </c>
      <c r="D328" s="107" t="s">
        <v>251</v>
      </c>
      <c r="E328" s="120">
        <v>208704300.2644116</v>
      </c>
      <c r="F328" s="120" t="s">
        <v>251</v>
      </c>
      <c r="G328" s="120">
        <v>180342910.43227392</v>
      </c>
      <c r="H328" s="120" t="s">
        <v>251</v>
      </c>
      <c r="I328" s="120">
        <v>10962648.129964381</v>
      </c>
      <c r="J328" s="120">
        <v>17398741.702171411</v>
      </c>
      <c r="K328" s="120" t="s">
        <v>251</v>
      </c>
      <c r="L328" s="120" t="s">
        <v>251</v>
      </c>
      <c r="M328" s="120">
        <v>7734.2409082521817</v>
      </c>
      <c r="N328" s="120" t="s">
        <v>251</v>
      </c>
      <c r="O328" s="120">
        <v>17391007.461263157</v>
      </c>
      <c r="P328" s="120">
        <v>5520796.6019663606</v>
      </c>
      <c r="Q328" s="120">
        <v>11870210.859296795</v>
      </c>
      <c r="R328" s="120"/>
      <c r="S328" s="121"/>
    </row>
    <row r="329" spans="1:19" ht="15">
      <c r="A329" s="105" t="s">
        <v>251</v>
      </c>
      <c r="B329" s="105"/>
      <c r="C329" s="107" t="s">
        <v>251</v>
      </c>
      <c r="D329" s="107" t="s">
        <v>251</v>
      </c>
      <c r="E329" s="120" t="s">
        <v>251</v>
      </c>
      <c r="F329" s="120" t="s">
        <v>251</v>
      </c>
      <c r="G329" s="120" t="s">
        <v>251</v>
      </c>
      <c r="H329" s="120" t="s">
        <v>251</v>
      </c>
      <c r="I329" s="120" t="s">
        <v>251</v>
      </c>
      <c r="J329" s="120" t="s">
        <v>251</v>
      </c>
      <c r="K329" s="120" t="s">
        <v>251</v>
      </c>
      <c r="L329" s="120" t="s">
        <v>251</v>
      </c>
      <c r="M329" s="120" t="s">
        <v>251</v>
      </c>
      <c r="N329" s="120" t="s">
        <v>251</v>
      </c>
      <c r="O329" s="120" t="s">
        <v>251</v>
      </c>
      <c r="P329" s="120" t="s">
        <v>251</v>
      </c>
      <c r="Q329" s="120" t="s">
        <v>251</v>
      </c>
      <c r="R329" s="120"/>
      <c r="S329" s="121"/>
    </row>
    <row r="330" spans="1:19" ht="15">
      <c r="A330" s="105">
        <v>29</v>
      </c>
      <c r="B330" s="105"/>
      <c r="C330" s="107" t="s">
        <v>516</v>
      </c>
      <c r="D330" s="107" t="s">
        <v>304</v>
      </c>
      <c r="E330" s="120">
        <v>130006</v>
      </c>
      <c r="F330" s="120" t="s">
        <v>251</v>
      </c>
      <c r="G330" s="120">
        <v>113980.8500567061</v>
      </c>
      <c r="H330" s="120" t="s">
        <v>251</v>
      </c>
      <c r="I330" s="120">
        <v>5219.3233958366754</v>
      </c>
      <c r="J330" s="120">
        <v>10805.826547457233</v>
      </c>
      <c r="K330" s="120" t="s">
        <v>251</v>
      </c>
      <c r="L330" s="120" t="s">
        <v>251</v>
      </c>
      <c r="M330" s="120">
        <v>0.36586265024300602</v>
      </c>
      <c r="N330" s="120" t="s">
        <v>251</v>
      </c>
      <c r="O330" s="120">
        <v>10805.460684806989</v>
      </c>
      <c r="P330" s="120">
        <v>3333.3014338339794</v>
      </c>
      <c r="Q330" s="120">
        <v>7472.159250973009</v>
      </c>
      <c r="R330" s="120"/>
      <c r="S330" s="121"/>
    </row>
    <row r="331" spans="1:19" ht="15">
      <c r="A331" s="105" t="s">
        <v>251</v>
      </c>
      <c r="B331" s="105"/>
      <c r="C331" s="107" t="s">
        <v>251</v>
      </c>
      <c r="D331" s="107" t="s">
        <v>251</v>
      </c>
      <c r="E331" s="120" t="s">
        <v>251</v>
      </c>
      <c r="F331" s="120" t="s">
        <v>251</v>
      </c>
      <c r="G331" s="120" t="s">
        <v>251</v>
      </c>
      <c r="H331" s="120" t="s">
        <v>251</v>
      </c>
      <c r="I331" s="120" t="s">
        <v>251</v>
      </c>
      <c r="J331" s="120" t="s">
        <v>251</v>
      </c>
      <c r="K331" s="120" t="s">
        <v>251</v>
      </c>
      <c r="L331" s="120" t="s">
        <v>251</v>
      </c>
      <c r="M331" s="120" t="s">
        <v>251</v>
      </c>
      <c r="N331" s="120" t="s">
        <v>251</v>
      </c>
      <c r="O331" s="120" t="s">
        <v>251</v>
      </c>
      <c r="P331" s="120" t="s">
        <v>251</v>
      </c>
      <c r="Q331" s="120" t="s">
        <v>251</v>
      </c>
      <c r="R331" s="120"/>
      <c r="S331" s="121"/>
    </row>
    <row r="332" spans="1:19" ht="15">
      <c r="A332" s="105">
        <v>30</v>
      </c>
      <c r="B332" s="105"/>
      <c r="C332" s="107" t="s">
        <v>2494</v>
      </c>
      <c r="D332" s="107" t="s">
        <v>304</v>
      </c>
      <c r="E332" s="120">
        <v>69633622.427637115</v>
      </c>
      <c r="F332" s="120" t="s">
        <v>251</v>
      </c>
      <c r="G332" s="120">
        <v>62293698</v>
      </c>
      <c r="H332" s="120" t="s">
        <v>251</v>
      </c>
      <c r="I332" s="120">
        <v>2379186.7071387768</v>
      </c>
      <c r="J332" s="120">
        <v>4960737.7204983374</v>
      </c>
      <c r="K332" s="120" t="s">
        <v>251</v>
      </c>
      <c r="L332" s="120" t="s">
        <v>251</v>
      </c>
      <c r="M332" s="120">
        <v>213.1170847158082</v>
      </c>
      <c r="N332" s="120" t="s">
        <v>251</v>
      </c>
      <c r="O332" s="120">
        <v>4960524.6034136219</v>
      </c>
      <c r="P332" s="120">
        <v>1530237.7432529349</v>
      </c>
      <c r="Q332" s="120">
        <v>3430286.860160687</v>
      </c>
      <c r="R332" s="120"/>
      <c r="S332" s="121"/>
    </row>
    <row r="333" spans="1:19" ht="15">
      <c r="A333" s="105" t="s">
        <v>251</v>
      </c>
      <c r="B333" s="105"/>
      <c r="C333" s="107" t="s">
        <v>251</v>
      </c>
      <c r="D333" s="107" t="s">
        <v>251</v>
      </c>
      <c r="E333" s="120" t="s">
        <v>251</v>
      </c>
      <c r="F333" s="120" t="s">
        <v>251</v>
      </c>
      <c r="G333" s="120" t="s">
        <v>251</v>
      </c>
      <c r="H333" s="120" t="s">
        <v>251</v>
      </c>
      <c r="I333" s="120" t="s">
        <v>251</v>
      </c>
      <c r="J333" s="120" t="s">
        <v>251</v>
      </c>
      <c r="K333" s="120" t="s">
        <v>251</v>
      </c>
      <c r="L333" s="120" t="s">
        <v>251</v>
      </c>
      <c r="M333" s="120" t="s">
        <v>251</v>
      </c>
      <c r="N333" s="120" t="s">
        <v>251</v>
      </c>
      <c r="O333" s="120" t="s">
        <v>251</v>
      </c>
      <c r="P333" s="120" t="s">
        <v>251</v>
      </c>
      <c r="Q333" s="120" t="s">
        <v>251</v>
      </c>
      <c r="R333" s="120"/>
      <c r="S333" s="121"/>
    </row>
    <row r="334" spans="1:19" ht="15">
      <c r="A334" s="105">
        <v>31</v>
      </c>
      <c r="B334" s="105"/>
      <c r="C334" s="107" t="s">
        <v>517</v>
      </c>
      <c r="D334" s="107" t="s">
        <v>251</v>
      </c>
      <c r="E334" s="120">
        <v>597730268.73144388</v>
      </c>
      <c r="F334" s="120" t="s">
        <v>251</v>
      </c>
      <c r="G334" s="120">
        <v>524654076.61502218</v>
      </c>
      <c r="H334" s="120" t="s">
        <v>251</v>
      </c>
      <c r="I334" s="120">
        <v>26577733.804747045</v>
      </c>
      <c r="J334" s="120">
        <v>46498458.311672859</v>
      </c>
      <c r="K334" s="120" t="s">
        <v>251</v>
      </c>
      <c r="L334" s="120" t="s">
        <v>251</v>
      </c>
      <c r="M334" s="120">
        <v>10085.823145695711</v>
      </c>
      <c r="N334" s="120" t="s">
        <v>251</v>
      </c>
      <c r="O334" s="120">
        <v>46488372.488527164</v>
      </c>
      <c r="P334" s="120">
        <v>14506092.468276104</v>
      </c>
      <c r="Q334" s="120">
        <v>31982280.020251058</v>
      </c>
      <c r="R334" s="120"/>
      <c r="S334" s="121"/>
    </row>
    <row r="335" spans="1:19" ht="15">
      <c r="A335" s="105" t="s">
        <v>251</v>
      </c>
      <c r="B335" s="105"/>
      <c r="C335" s="107" t="s">
        <v>251</v>
      </c>
      <c r="D335" s="107" t="s">
        <v>251</v>
      </c>
      <c r="E335" s="120" t="s">
        <v>251</v>
      </c>
      <c r="F335" s="120" t="s">
        <v>251</v>
      </c>
      <c r="G335" s="120" t="s">
        <v>251</v>
      </c>
      <c r="H335" s="120" t="s">
        <v>251</v>
      </c>
      <c r="I335" s="120" t="s">
        <v>251</v>
      </c>
      <c r="J335" s="120" t="s">
        <v>251</v>
      </c>
      <c r="K335" s="120" t="s">
        <v>251</v>
      </c>
      <c r="L335" s="120" t="s">
        <v>251</v>
      </c>
      <c r="M335" s="120" t="s">
        <v>251</v>
      </c>
      <c r="N335" s="120" t="s">
        <v>251</v>
      </c>
      <c r="O335" s="120" t="s">
        <v>251</v>
      </c>
      <c r="P335" s="120" t="s">
        <v>251</v>
      </c>
      <c r="Q335" s="120" t="s">
        <v>251</v>
      </c>
      <c r="R335" s="120"/>
      <c r="S335" s="121"/>
    </row>
    <row r="336" spans="1:19" ht="15">
      <c r="A336" s="105" t="s">
        <v>251</v>
      </c>
      <c r="B336" s="105"/>
      <c r="C336" s="107" t="s">
        <v>251</v>
      </c>
      <c r="D336" s="107" t="s">
        <v>251</v>
      </c>
      <c r="E336" s="120" t="s">
        <v>251</v>
      </c>
      <c r="F336" s="120" t="s">
        <v>251</v>
      </c>
      <c r="G336" s="120" t="s">
        <v>251</v>
      </c>
      <c r="H336" s="120" t="s">
        <v>251</v>
      </c>
      <c r="I336" s="120" t="s">
        <v>251</v>
      </c>
      <c r="J336" s="120" t="s">
        <v>251</v>
      </c>
      <c r="K336" s="120" t="s">
        <v>251</v>
      </c>
      <c r="L336" s="120" t="s">
        <v>251</v>
      </c>
      <c r="M336" s="120" t="s">
        <v>251</v>
      </c>
      <c r="N336" s="120" t="s">
        <v>251</v>
      </c>
      <c r="O336" s="120" t="s">
        <v>251</v>
      </c>
      <c r="P336" s="120" t="s">
        <v>251</v>
      </c>
      <c r="Q336" s="120" t="s">
        <v>251</v>
      </c>
      <c r="R336" s="120"/>
      <c r="S336" s="121"/>
    </row>
    <row r="337" spans="1:19" ht="15">
      <c r="A337" s="105" t="s">
        <v>251</v>
      </c>
      <c r="B337" s="105"/>
      <c r="C337" s="107" t="s">
        <v>518</v>
      </c>
      <c r="D337" s="107" t="s">
        <v>251</v>
      </c>
      <c r="E337" s="120" t="s">
        <v>251</v>
      </c>
      <c r="F337" s="120" t="s">
        <v>251</v>
      </c>
      <c r="G337" s="120" t="s">
        <v>251</v>
      </c>
      <c r="H337" s="120" t="s">
        <v>251</v>
      </c>
      <c r="I337" s="120" t="s">
        <v>251</v>
      </c>
      <c r="J337" s="120" t="s">
        <v>251</v>
      </c>
      <c r="K337" s="120" t="s">
        <v>251</v>
      </c>
      <c r="L337" s="120" t="s">
        <v>251</v>
      </c>
      <c r="M337" s="120" t="s">
        <v>251</v>
      </c>
      <c r="N337" s="120" t="s">
        <v>251</v>
      </c>
      <c r="O337" s="120" t="s">
        <v>251</v>
      </c>
      <c r="P337" s="120" t="s">
        <v>251</v>
      </c>
      <c r="Q337" s="120" t="s">
        <v>251</v>
      </c>
      <c r="R337" s="120"/>
      <c r="S337" s="121"/>
    </row>
    <row r="338" spans="1:19" ht="15">
      <c r="A338" s="105" t="s">
        <v>251</v>
      </c>
      <c r="B338" s="105"/>
      <c r="C338" s="107" t="s">
        <v>251</v>
      </c>
      <c r="D338" s="107" t="s">
        <v>251</v>
      </c>
      <c r="E338" s="120" t="s">
        <v>251</v>
      </c>
      <c r="F338" s="120" t="s">
        <v>251</v>
      </c>
      <c r="G338" s="120" t="s">
        <v>251</v>
      </c>
      <c r="H338" s="120" t="s">
        <v>251</v>
      </c>
      <c r="I338" s="120" t="s">
        <v>251</v>
      </c>
      <c r="J338" s="120" t="s">
        <v>251</v>
      </c>
      <c r="K338" s="120" t="s">
        <v>251</v>
      </c>
      <c r="L338" s="120" t="s">
        <v>251</v>
      </c>
      <c r="M338" s="120" t="s">
        <v>251</v>
      </c>
      <c r="N338" s="120" t="s">
        <v>251</v>
      </c>
      <c r="O338" s="120" t="s">
        <v>251</v>
      </c>
      <c r="P338" s="120" t="s">
        <v>251</v>
      </c>
      <c r="Q338" s="120" t="s">
        <v>251</v>
      </c>
      <c r="R338" s="120"/>
      <c r="S338" s="121"/>
    </row>
    <row r="339" spans="1:19" ht="15">
      <c r="A339" s="105" t="s">
        <v>251</v>
      </c>
      <c r="B339" s="105"/>
      <c r="C339" s="107" t="s">
        <v>519</v>
      </c>
      <c r="D339" s="107" t="s">
        <v>251</v>
      </c>
      <c r="E339" s="120" t="s">
        <v>251</v>
      </c>
      <c r="F339" s="120" t="s">
        <v>251</v>
      </c>
      <c r="G339" s="120" t="s">
        <v>251</v>
      </c>
      <c r="H339" s="120" t="s">
        <v>251</v>
      </c>
      <c r="I339" s="120" t="s">
        <v>251</v>
      </c>
      <c r="J339" s="120" t="s">
        <v>251</v>
      </c>
      <c r="K339" s="120" t="s">
        <v>251</v>
      </c>
      <c r="L339" s="120" t="s">
        <v>251</v>
      </c>
      <c r="M339" s="120" t="s">
        <v>251</v>
      </c>
      <c r="N339" s="120" t="s">
        <v>251</v>
      </c>
      <c r="O339" s="120" t="s">
        <v>251</v>
      </c>
      <c r="P339" s="120" t="s">
        <v>251</v>
      </c>
      <c r="Q339" s="120" t="s">
        <v>251</v>
      </c>
      <c r="R339" s="120"/>
      <c r="S339" s="121"/>
    </row>
    <row r="340" spans="1:19" ht="15">
      <c r="A340" s="105" t="s">
        <v>251</v>
      </c>
      <c r="B340" s="105"/>
      <c r="C340" s="107" t="s">
        <v>251</v>
      </c>
      <c r="D340" s="107" t="s">
        <v>251</v>
      </c>
      <c r="E340" s="120" t="s">
        <v>251</v>
      </c>
      <c r="F340" s="120" t="s">
        <v>251</v>
      </c>
      <c r="G340" s="120" t="s">
        <v>251</v>
      </c>
      <c r="H340" s="120" t="s">
        <v>251</v>
      </c>
      <c r="I340" s="120" t="s">
        <v>251</v>
      </c>
      <c r="J340" s="120" t="s">
        <v>251</v>
      </c>
      <c r="K340" s="120" t="s">
        <v>251</v>
      </c>
      <c r="L340" s="120" t="s">
        <v>251</v>
      </c>
      <c r="M340" s="120" t="s">
        <v>251</v>
      </c>
      <c r="N340" s="120" t="s">
        <v>251</v>
      </c>
      <c r="O340" s="120" t="s">
        <v>251</v>
      </c>
      <c r="P340" s="120" t="s">
        <v>251</v>
      </c>
      <c r="Q340" s="120" t="s">
        <v>251</v>
      </c>
      <c r="R340" s="120"/>
      <c r="S340" s="121"/>
    </row>
    <row r="341" spans="1:19" ht="15">
      <c r="A341" s="105" t="s">
        <v>251</v>
      </c>
      <c r="B341" s="105"/>
      <c r="C341" s="107" t="s">
        <v>441</v>
      </c>
      <c r="D341" s="107" t="s">
        <v>251</v>
      </c>
      <c r="E341" s="120" t="s">
        <v>251</v>
      </c>
      <c r="F341" s="120" t="s">
        <v>251</v>
      </c>
      <c r="G341" s="120" t="s">
        <v>251</v>
      </c>
      <c r="H341" s="120" t="s">
        <v>251</v>
      </c>
      <c r="I341" s="120" t="s">
        <v>251</v>
      </c>
      <c r="J341" s="120" t="s">
        <v>251</v>
      </c>
      <c r="K341" s="120" t="s">
        <v>251</v>
      </c>
      <c r="L341" s="120" t="s">
        <v>251</v>
      </c>
      <c r="M341" s="120" t="s">
        <v>251</v>
      </c>
      <c r="N341" s="120" t="s">
        <v>251</v>
      </c>
      <c r="O341" s="120" t="s">
        <v>251</v>
      </c>
      <c r="P341" s="120" t="s">
        <v>251</v>
      </c>
      <c r="Q341" s="120" t="s">
        <v>251</v>
      </c>
      <c r="R341" s="120"/>
      <c r="S341" s="121"/>
    </row>
    <row r="342" spans="1:19" ht="15">
      <c r="A342" s="105">
        <v>1</v>
      </c>
      <c r="B342" s="105"/>
      <c r="C342" s="107" t="s">
        <v>477</v>
      </c>
      <c r="D342" s="107" t="s">
        <v>478</v>
      </c>
      <c r="E342" s="120">
        <v>907012363</v>
      </c>
      <c r="F342" s="120" t="s">
        <v>251</v>
      </c>
      <c r="G342" s="120">
        <v>795209760.67782784</v>
      </c>
      <c r="H342" s="120" t="s">
        <v>251</v>
      </c>
      <c r="I342" s="120">
        <v>36413633.574750468</v>
      </c>
      <c r="J342" s="120">
        <v>75388968.747421801</v>
      </c>
      <c r="K342" s="120" t="s">
        <v>251</v>
      </c>
      <c r="L342" s="120" t="s">
        <v>251</v>
      </c>
      <c r="M342" s="120">
        <v>2552.5125527310388</v>
      </c>
      <c r="N342" s="120" t="s">
        <v>251</v>
      </c>
      <c r="O342" s="120">
        <v>75386416.234869063</v>
      </c>
      <c r="P342" s="120">
        <v>23255431.365421943</v>
      </c>
      <c r="Q342" s="120">
        <v>52130984.869447112</v>
      </c>
      <c r="R342" s="120"/>
      <c r="S342" s="121"/>
    </row>
    <row r="343" spans="1:19" ht="15">
      <c r="A343" s="105">
        <v>2</v>
      </c>
      <c r="B343" s="105"/>
      <c r="C343" s="107" t="s">
        <v>479</v>
      </c>
      <c r="D343" s="107" t="s">
        <v>312</v>
      </c>
      <c r="E343" s="120">
        <v>19105</v>
      </c>
      <c r="F343" s="120" t="s">
        <v>251</v>
      </c>
      <c r="G343" s="120">
        <v>0</v>
      </c>
      <c r="H343" s="120" t="s">
        <v>251</v>
      </c>
      <c r="I343" s="120">
        <v>6222.5595662100459</v>
      </c>
      <c r="J343" s="120">
        <v>12882.440433789956</v>
      </c>
      <c r="K343" s="120" t="s">
        <v>251</v>
      </c>
      <c r="L343" s="120" t="s">
        <v>251</v>
      </c>
      <c r="M343" s="120">
        <v>0</v>
      </c>
      <c r="N343" s="120" t="s">
        <v>251</v>
      </c>
      <c r="O343" s="120">
        <v>12882.440433789956</v>
      </c>
      <c r="P343" s="120">
        <v>3974.0144748858452</v>
      </c>
      <c r="Q343" s="120">
        <v>8908.4259589041103</v>
      </c>
      <c r="R343" s="120"/>
      <c r="S343" s="121"/>
    </row>
    <row r="344" spans="1:19" ht="15">
      <c r="A344" s="105">
        <v>3</v>
      </c>
      <c r="B344" s="105"/>
      <c r="C344" s="107" t="s">
        <v>480</v>
      </c>
      <c r="D344" s="107" t="s">
        <v>314</v>
      </c>
      <c r="E344" s="120">
        <v>1973812</v>
      </c>
      <c r="F344" s="120" t="s">
        <v>251</v>
      </c>
      <c r="G344" s="120">
        <v>0</v>
      </c>
      <c r="H344" s="120" t="s">
        <v>251</v>
      </c>
      <c r="I344" s="120">
        <v>0</v>
      </c>
      <c r="J344" s="120">
        <v>1973812</v>
      </c>
      <c r="K344" s="120" t="s">
        <v>251</v>
      </c>
      <c r="L344" s="120" t="s">
        <v>251</v>
      </c>
      <c r="M344" s="120">
        <v>0</v>
      </c>
      <c r="N344" s="120" t="s">
        <v>251</v>
      </c>
      <c r="O344" s="120">
        <v>1973812</v>
      </c>
      <c r="P344" s="120">
        <v>608887.53951689904</v>
      </c>
      <c r="Q344" s="120">
        <v>1364924.460483101</v>
      </c>
      <c r="R344" s="120"/>
      <c r="S344" s="121"/>
    </row>
    <row r="345" spans="1:19" ht="15">
      <c r="A345" s="105">
        <v>4</v>
      </c>
      <c r="B345" s="105"/>
      <c r="C345" s="107" t="s">
        <v>481</v>
      </c>
      <c r="D345" s="107" t="s">
        <v>251</v>
      </c>
      <c r="E345" s="120">
        <v>909005280.00000012</v>
      </c>
      <c r="F345" s="120" t="s">
        <v>251</v>
      </c>
      <c r="G345" s="120">
        <v>795209760.67782784</v>
      </c>
      <c r="H345" s="120" t="s">
        <v>251</v>
      </c>
      <c r="I345" s="120">
        <v>36419856.134316675</v>
      </c>
      <c r="J345" s="120">
        <v>77375663.187855586</v>
      </c>
      <c r="K345" s="120" t="s">
        <v>251</v>
      </c>
      <c r="L345" s="120" t="s">
        <v>251</v>
      </c>
      <c r="M345" s="120">
        <v>2552.5125527310388</v>
      </c>
      <c r="N345" s="120" t="s">
        <v>251</v>
      </c>
      <c r="O345" s="120">
        <v>77373110.675302848</v>
      </c>
      <c r="P345" s="120">
        <v>23868292.919413731</v>
      </c>
      <c r="Q345" s="120">
        <v>53504817.755889118</v>
      </c>
      <c r="R345" s="120"/>
      <c r="S345" s="121"/>
    </row>
    <row r="346" spans="1:19" ht="15">
      <c r="A346" s="105" t="s">
        <v>251</v>
      </c>
      <c r="B346" s="105"/>
      <c r="C346" s="107" t="s">
        <v>251</v>
      </c>
      <c r="D346" s="107" t="s">
        <v>251</v>
      </c>
      <c r="E346" s="120" t="s">
        <v>251</v>
      </c>
      <c r="F346" s="120" t="s">
        <v>251</v>
      </c>
      <c r="G346" s="120" t="s">
        <v>251</v>
      </c>
      <c r="H346" s="120" t="s">
        <v>251</v>
      </c>
      <c r="I346" s="120" t="s">
        <v>251</v>
      </c>
      <c r="J346" s="120" t="s">
        <v>251</v>
      </c>
      <c r="K346" s="120" t="s">
        <v>251</v>
      </c>
      <c r="L346" s="120" t="s">
        <v>251</v>
      </c>
      <c r="M346" s="120" t="s">
        <v>251</v>
      </c>
      <c r="N346" s="120" t="s">
        <v>251</v>
      </c>
      <c r="O346" s="120" t="s">
        <v>251</v>
      </c>
      <c r="P346" s="120" t="s">
        <v>251</v>
      </c>
      <c r="Q346" s="120" t="s">
        <v>251</v>
      </c>
      <c r="R346" s="120"/>
      <c r="S346" s="121"/>
    </row>
    <row r="347" spans="1:19" ht="15">
      <c r="A347" s="105" t="s">
        <v>251</v>
      </c>
      <c r="B347" s="105"/>
      <c r="C347" s="107" t="s">
        <v>455</v>
      </c>
      <c r="D347" s="107" t="s">
        <v>251</v>
      </c>
      <c r="E347" s="120" t="s">
        <v>251</v>
      </c>
      <c r="F347" s="120" t="s">
        <v>251</v>
      </c>
      <c r="G347" s="120" t="s">
        <v>251</v>
      </c>
      <c r="H347" s="120" t="s">
        <v>251</v>
      </c>
      <c r="I347" s="120" t="s">
        <v>251</v>
      </c>
      <c r="J347" s="120" t="s">
        <v>251</v>
      </c>
      <c r="K347" s="120" t="s">
        <v>251</v>
      </c>
      <c r="L347" s="120" t="s">
        <v>251</v>
      </c>
      <c r="M347" s="120" t="s">
        <v>251</v>
      </c>
      <c r="N347" s="120" t="s">
        <v>251</v>
      </c>
      <c r="O347" s="120" t="s">
        <v>251</v>
      </c>
      <c r="P347" s="120" t="s">
        <v>251</v>
      </c>
      <c r="Q347" s="120" t="s">
        <v>251</v>
      </c>
      <c r="R347" s="120"/>
      <c r="S347" s="121"/>
    </row>
    <row r="348" spans="1:19" ht="15">
      <c r="A348" s="105">
        <v>5</v>
      </c>
      <c r="B348" s="105"/>
      <c r="C348" s="107" t="s">
        <v>456</v>
      </c>
      <c r="D348" s="107" t="s">
        <v>457</v>
      </c>
      <c r="E348" s="120">
        <v>153656117</v>
      </c>
      <c r="F348" s="120" t="s">
        <v>251</v>
      </c>
      <c r="G348" s="120">
        <v>146793918.18666244</v>
      </c>
      <c r="H348" s="120" t="s">
        <v>251</v>
      </c>
      <c r="I348" s="120">
        <v>6861727.6253097402</v>
      </c>
      <c r="J348" s="120">
        <v>471.18802781877918</v>
      </c>
      <c r="K348" s="120" t="s">
        <v>251</v>
      </c>
      <c r="L348" s="120" t="s">
        <v>251</v>
      </c>
      <c r="M348" s="120">
        <v>471.18802781877918</v>
      </c>
      <c r="N348" s="120" t="s">
        <v>251</v>
      </c>
      <c r="O348" s="120">
        <v>0</v>
      </c>
      <c r="P348" s="120">
        <v>0</v>
      </c>
      <c r="Q348" s="120">
        <v>0</v>
      </c>
      <c r="R348" s="120"/>
      <c r="S348" s="121"/>
    </row>
    <row r="349" spans="1:19" ht="15">
      <c r="A349" s="105">
        <v>6</v>
      </c>
      <c r="B349" s="105"/>
      <c r="C349" s="107" t="s">
        <v>520</v>
      </c>
      <c r="D349" s="107" t="s">
        <v>355</v>
      </c>
      <c r="E349" s="120">
        <v>0</v>
      </c>
      <c r="F349" s="120" t="s">
        <v>251</v>
      </c>
      <c r="G349" s="120">
        <v>0</v>
      </c>
      <c r="H349" s="120" t="s">
        <v>251</v>
      </c>
      <c r="I349" s="120">
        <v>0</v>
      </c>
      <c r="J349" s="120">
        <v>0</v>
      </c>
      <c r="K349" s="120" t="s">
        <v>251</v>
      </c>
      <c r="L349" s="120" t="s">
        <v>251</v>
      </c>
      <c r="M349" s="120">
        <v>0</v>
      </c>
      <c r="N349" s="120" t="s">
        <v>251</v>
      </c>
      <c r="O349" s="120">
        <v>0</v>
      </c>
      <c r="P349" s="120">
        <v>0</v>
      </c>
      <c r="Q349" s="120">
        <v>0</v>
      </c>
      <c r="R349" s="120"/>
      <c r="S349" s="121"/>
    </row>
    <row r="350" spans="1:19" ht="15">
      <c r="A350" s="105">
        <v>7</v>
      </c>
      <c r="B350" s="105"/>
      <c r="C350" s="107" t="s">
        <v>521</v>
      </c>
      <c r="D350" s="107" t="s">
        <v>484</v>
      </c>
      <c r="E350" s="120">
        <v>7942834</v>
      </c>
      <c r="F350" s="120" t="s">
        <v>251</v>
      </c>
      <c r="G350" s="120">
        <v>0</v>
      </c>
      <c r="H350" s="120" t="s">
        <v>251</v>
      </c>
      <c r="I350" s="120">
        <v>7942834</v>
      </c>
      <c r="J350" s="120">
        <v>0</v>
      </c>
      <c r="K350" s="120" t="s">
        <v>251</v>
      </c>
      <c r="L350" s="120" t="s">
        <v>251</v>
      </c>
      <c r="M350" s="120">
        <v>0</v>
      </c>
      <c r="N350" s="120" t="s">
        <v>251</v>
      </c>
      <c r="O350" s="120">
        <v>0</v>
      </c>
      <c r="P350" s="120">
        <v>0</v>
      </c>
      <c r="Q350" s="120">
        <v>0</v>
      </c>
      <c r="R350" s="120"/>
      <c r="S350" s="121"/>
    </row>
    <row r="351" spans="1:19" ht="15">
      <c r="A351" s="105">
        <v>8</v>
      </c>
      <c r="B351" s="105"/>
      <c r="C351" s="107" t="s">
        <v>460</v>
      </c>
      <c r="D351" s="107" t="s">
        <v>312</v>
      </c>
      <c r="E351" s="120">
        <v>3372.0000000000005</v>
      </c>
      <c r="F351" s="120" t="s">
        <v>251</v>
      </c>
      <c r="G351" s="120">
        <v>0</v>
      </c>
      <c r="H351" s="120" t="s">
        <v>251</v>
      </c>
      <c r="I351" s="120">
        <v>1098.2711780821919</v>
      </c>
      <c r="J351" s="120">
        <v>2273.7288219178085</v>
      </c>
      <c r="K351" s="120" t="s">
        <v>251</v>
      </c>
      <c r="L351" s="120" t="s">
        <v>251</v>
      </c>
      <c r="M351" s="120">
        <v>0</v>
      </c>
      <c r="N351" s="120" t="s">
        <v>251</v>
      </c>
      <c r="O351" s="120">
        <v>2273.7288219178085</v>
      </c>
      <c r="P351" s="120">
        <v>701.40679452054803</v>
      </c>
      <c r="Q351" s="120">
        <v>1572.3220273972604</v>
      </c>
      <c r="R351" s="120"/>
      <c r="S351" s="121"/>
    </row>
    <row r="352" spans="1:19" ht="15">
      <c r="A352" s="105">
        <v>9</v>
      </c>
      <c r="B352" s="105"/>
      <c r="C352" s="107" t="s">
        <v>461</v>
      </c>
      <c r="D352" s="107" t="s">
        <v>314</v>
      </c>
      <c r="E352" s="120">
        <v>348320</v>
      </c>
      <c r="F352" s="120" t="s">
        <v>251</v>
      </c>
      <c r="G352" s="120">
        <v>0</v>
      </c>
      <c r="H352" s="120" t="s">
        <v>251</v>
      </c>
      <c r="I352" s="120">
        <v>0</v>
      </c>
      <c r="J352" s="120">
        <v>348320</v>
      </c>
      <c r="K352" s="120" t="s">
        <v>251</v>
      </c>
      <c r="L352" s="120" t="s">
        <v>251</v>
      </c>
      <c r="M352" s="120">
        <v>0</v>
      </c>
      <c r="N352" s="120" t="s">
        <v>251</v>
      </c>
      <c r="O352" s="120">
        <v>348320</v>
      </c>
      <c r="P352" s="120">
        <v>107450.81485193437</v>
      </c>
      <c r="Q352" s="120">
        <v>240869.18514806562</v>
      </c>
      <c r="R352" s="120"/>
      <c r="S352" s="121"/>
    </row>
    <row r="353" spans="1:19" ht="15">
      <c r="A353" s="105">
        <v>10</v>
      </c>
      <c r="B353" s="105"/>
      <c r="C353" s="107" t="s">
        <v>462</v>
      </c>
      <c r="D353" s="107" t="s">
        <v>251</v>
      </c>
      <c r="E353" s="120">
        <v>161950643</v>
      </c>
      <c r="F353" s="120" t="s">
        <v>251</v>
      </c>
      <c r="G353" s="120">
        <v>146793918.18666244</v>
      </c>
      <c r="H353" s="120" t="s">
        <v>251</v>
      </c>
      <c r="I353" s="120">
        <v>14805659.896487821</v>
      </c>
      <c r="J353" s="120">
        <v>351064.91684973659</v>
      </c>
      <c r="K353" s="120" t="s">
        <v>251</v>
      </c>
      <c r="L353" s="120" t="s">
        <v>251</v>
      </c>
      <c r="M353" s="120">
        <v>471.18802781877918</v>
      </c>
      <c r="N353" s="120" t="s">
        <v>251</v>
      </c>
      <c r="O353" s="120">
        <v>350593.72882191779</v>
      </c>
      <c r="P353" s="120">
        <v>108152.22164645491</v>
      </c>
      <c r="Q353" s="120">
        <v>242441.50717546287</v>
      </c>
      <c r="R353" s="120"/>
      <c r="S353" s="121"/>
    </row>
    <row r="354" spans="1:19" ht="15">
      <c r="A354" s="105" t="s">
        <v>251</v>
      </c>
      <c r="B354" s="105"/>
      <c r="C354" s="107" t="s">
        <v>251</v>
      </c>
      <c r="D354" s="107" t="s">
        <v>251</v>
      </c>
      <c r="E354" s="120" t="s">
        <v>251</v>
      </c>
      <c r="F354" s="120" t="s">
        <v>251</v>
      </c>
      <c r="G354" s="120" t="s">
        <v>251</v>
      </c>
      <c r="H354" s="120" t="s">
        <v>251</v>
      </c>
      <c r="I354" s="120" t="s">
        <v>251</v>
      </c>
      <c r="J354" s="120" t="s">
        <v>251</v>
      </c>
      <c r="K354" s="120" t="s">
        <v>251</v>
      </c>
      <c r="L354" s="120" t="s">
        <v>251</v>
      </c>
      <c r="M354" s="120" t="s">
        <v>251</v>
      </c>
      <c r="N354" s="120" t="s">
        <v>251</v>
      </c>
      <c r="O354" s="120" t="s">
        <v>251</v>
      </c>
      <c r="P354" s="120" t="s">
        <v>251</v>
      </c>
      <c r="Q354" s="120" t="s">
        <v>251</v>
      </c>
      <c r="R354" s="120"/>
      <c r="S354" s="121"/>
    </row>
    <row r="355" spans="1:19" ht="15">
      <c r="A355" s="105">
        <v>11</v>
      </c>
      <c r="B355" s="105"/>
      <c r="C355" s="107" t="s">
        <v>522</v>
      </c>
      <c r="D355" s="107" t="s">
        <v>523</v>
      </c>
      <c r="E355" s="120">
        <v>12687385</v>
      </c>
      <c r="F355" s="120" t="s">
        <v>251</v>
      </c>
      <c r="G355" s="120">
        <v>0</v>
      </c>
      <c r="H355" s="120" t="s">
        <v>251</v>
      </c>
      <c r="I355" s="120">
        <v>12687385</v>
      </c>
      <c r="J355" s="120">
        <v>0</v>
      </c>
      <c r="K355" s="120" t="s">
        <v>251</v>
      </c>
      <c r="L355" s="120" t="s">
        <v>251</v>
      </c>
      <c r="M355" s="120">
        <v>0</v>
      </c>
      <c r="N355" s="120" t="s">
        <v>251</v>
      </c>
      <c r="O355" s="120">
        <v>0</v>
      </c>
      <c r="P355" s="120">
        <v>0</v>
      </c>
      <c r="Q355" s="120">
        <v>0</v>
      </c>
      <c r="R355" s="120"/>
      <c r="S355" s="121"/>
    </row>
    <row r="356" spans="1:19" ht="15">
      <c r="A356" s="105">
        <v>12</v>
      </c>
      <c r="B356" s="105"/>
      <c r="C356" s="107" t="s">
        <v>524</v>
      </c>
      <c r="D356" s="107" t="s">
        <v>525</v>
      </c>
      <c r="E356" s="120">
        <v>265525946</v>
      </c>
      <c r="F356" s="120" t="s">
        <v>251</v>
      </c>
      <c r="G356" s="120">
        <v>264864855.8601957</v>
      </c>
      <c r="H356" s="120" t="s">
        <v>251</v>
      </c>
      <c r="I356" s="120">
        <v>0</v>
      </c>
      <c r="J356" s="120">
        <v>661090.13980429678</v>
      </c>
      <c r="K356" s="120" t="s">
        <v>251</v>
      </c>
      <c r="L356" s="120" t="s">
        <v>251</v>
      </c>
      <c r="M356" s="120">
        <v>92877.626182890148</v>
      </c>
      <c r="N356" s="120" t="s">
        <v>251</v>
      </c>
      <c r="O356" s="120">
        <v>568212.51362140663</v>
      </c>
      <c r="P356" s="120">
        <v>528287.62691082433</v>
      </c>
      <c r="Q356" s="120">
        <v>39924.886710582272</v>
      </c>
      <c r="R356" s="120"/>
      <c r="S356" s="121"/>
    </row>
    <row r="357" spans="1:19" ht="15">
      <c r="A357" s="105">
        <v>13</v>
      </c>
      <c r="B357" s="105"/>
      <c r="C357" s="107" t="s">
        <v>467</v>
      </c>
      <c r="D357" s="107" t="s">
        <v>251</v>
      </c>
      <c r="E357" s="120">
        <v>278213331</v>
      </c>
      <c r="F357" s="120" t="s">
        <v>251</v>
      </c>
      <c r="G357" s="120">
        <v>264864855.8601957</v>
      </c>
      <c r="H357" s="120" t="s">
        <v>251</v>
      </c>
      <c r="I357" s="120">
        <v>12687385</v>
      </c>
      <c r="J357" s="120">
        <v>661090.13980429678</v>
      </c>
      <c r="K357" s="120" t="s">
        <v>251</v>
      </c>
      <c r="L357" s="120" t="s">
        <v>251</v>
      </c>
      <c r="M357" s="120">
        <v>92877.626182890148</v>
      </c>
      <c r="N357" s="120" t="s">
        <v>251</v>
      </c>
      <c r="O357" s="120">
        <v>568212.51362140663</v>
      </c>
      <c r="P357" s="120">
        <v>528287.62691082433</v>
      </c>
      <c r="Q357" s="120">
        <v>39924.886710582272</v>
      </c>
      <c r="R357" s="120"/>
      <c r="S357" s="121"/>
    </row>
    <row r="358" spans="1:19" ht="15">
      <c r="A358" s="105" t="s">
        <v>251</v>
      </c>
      <c r="B358" s="105"/>
      <c r="C358" s="107" t="s">
        <v>251</v>
      </c>
      <c r="D358" s="107" t="s">
        <v>251</v>
      </c>
      <c r="E358" s="120" t="s">
        <v>251</v>
      </c>
      <c r="F358" s="120" t="s">
        <v>251</v>
      </c>
      <c r="G358" s="120" t="s">
        <v>251</v>
      </c>
      <c r="H358" s="120" t="s">
        <v>251</v>
      </c>
      <c r="I358" s="120" t="s">
        <v>251</v>
      </c>
      <c r="J358" s="120" t="s">
        <v>251</v>
      </c>
      <c r="K358" s="120" t="s">
        <v>251</v>
      </c>
      <c r="L358" s="120" t="s">
        <v>251</v>
      </c>
      <c r="M358" s="120" t="s">
        <v>251</v>
      </c>
      <c r="N358" s="120" t="s">
        <v>251</v>
      </c>
      <c r="O358" s="120" t="s">
        <v>251</v>
      </c>
      <c r="P358" s="120" t="s">
        <v>251</v>
      </c>
      <c r="Q358" s="120" t="s">
        <v>251</v>
      </c>
      <c r="R358" s="120"/>
      <c r="S358" s="121"/>
    </row>
    <row r="359" spans="1:19" ht="15">
      <c r="A359" s="105">
        <v>14</v>
      </c>
      <c r="B359" s="105"/>
      <c r="C359" s="107" t="s">
        <v>437</v>
      </c>
      <c r="D359" s="107" t="s">
        <v>468</v>
      </c>
      <c r="E359" s="120">
        <v>31325288</v>
      </c>
      <c r="F359" s="120" t="s">
        <v>251</v>
      </c>
      <c r="G359" s="120">
        <v>28458434.631633658</v>
      </c>
      <c r="H359" s="120" t="s">
        <v>251</v>
      </c>
      <c r="I359" s="120">
        <v>1390626.6565191397</v>
      </c>
      <c r="J359" s="120">
        <v>1476226.7118472029</v>
      </c>
      <c r="K359" s="120" t="s">
        <v>251</v>
      </c>
      <c r="L359" s="120" t="s">
        <v>251</v>
      </c>
      <c r="M359" s="120">
        <v>2127.0276496871165</v>
      </c>
      <c r="N359" s="120" t="s">
        <v>251</v>
      </c>
      <c r="O359" s="120">
        <v>1474099.6841975157</v>
      </c>
      <c r="P359" s="120">
        <v>469740.71713830926</v>
      </c>
      <c r="Q359" s="120">
        <v>1004358.9670592065</v>
      </c>
      <c r="R359" s="120"/>
      <c r="S359" s="121"/>
    </row>
    <row r="360" spans="1:19" ht="15">
      <c r="A360" s="105" t="s">
        <v>251</v>
      </c>
      <c r="B360" s="105"/>
      <c r="C360" s="107" t="s">
        <v>251</v>
      </c>
      <c r="D360" s="107" t="s">
        <v>251</v>
      </c>
      <c r="E360" s="120" t="s">
        <v>251</v>
      </c>
      <c r="F360" s="120" t="s">
        <v>251</v>
      </c>
      <c r="G360" s="120" t="s">
        <v>251</v>
      </c>
      <c r="H360" s="120" t="s">
        <v>251</v>
      </c>
      <c r="I360" s="120" t="s">
        <v>251</v>
      </c>
      <c r="J360" s="120" t="s">
        <v>251</v>
      </c>
      <c r="K360" s="120" t="s">
        <v>251</v>
      </c>
      <c r="L360" s="120" t="s">
        <v>251</v>
      </c>
      <c r="M360" s="120" t="s">
        <v>251</v>
      </c>
      <c r="N360" s="120" t="s">
        <v>251</v>
      </c>
      <c r="O360" s="120" t="s">
        <v>251</v>
      </c>
      <c r="P360" s="120" t="s">
        <v>251</v>
      </c>
      <c r="Q360" s="120" t="s">
        <v>251</v>
      </c>
      <c r="R360" s="120"/>
      <c r="S360" s="121"/>
    </row>
    <row r="361" spans="1:19" ht="15">
      <c r="A361" s="105">
        <v>15</v>
      </c>
      <c r="B361" s="105"/>
      <c r="C361" s="107" t="s">
        <v>526</v>
      </c>
      <c r="D361" s="107" t="s">
        <v>251</v>
      </c>
      <c r="E361" s="120">
        <v>1380494542</v>
      </c>
      <c r="F361" s="120" t="s">
        <v>251</v>
      </c>
      <c r="G361" s="120">
        <v>1235326969.3563197</v>
      </c>
      <c r="H361" s="120" t="s">
        <v>251</v>
      </c>
      <c r="I361" s="120">
        <v>65303527.687323637</v>
      </c>
      <c r="J361" s="120">
        <v>79864044.956356809</v>
      </c>
      <c r="K361" s="120" t="s">
        <v>251</v>
      </c>
      <c r="L361" s="120" t="s">
        <v>251</v>
      </c>
      <c r="M361" s="120">
        <v>98028.35441312709</v>
      </c>
      <c r="N361" s="120" t="s">
        <v>251</v>
      </c>
      <c r="O361" s="120">
        <v>79766016.601943687</v>
      </c>
      <c r="P361" s="120">
        <v>24974473.485109318</v>
      </c>
      <c r="Q361" s="120">
        <v>54791543.116834372</v>
      </c>
      <c r="R361" s="120"/>
      <c r="S361" s="121"/>
    </row>
    <row r="362" spans="1:19" ht="15">
      <c r="A362" s="105" t="s">
        <v>251</v>
      </c>
      <c r="B362" s="105"/>
      <c r="C362" s="107" t="s">
        <v>251</v>
      </c>
      <c r="D362" s="107" t="s">
        <v>251</v>
      </c>
      <c r="E362" s="120" t="s">
        <v>251</v>
      </c>
      <c r="F362" s="120" t="s">
        <v>251</v>
      </c>
      <c r="G362" s="120" t="s">
        <v>251</v>
      </c>
      <c r="H362" s="120" t="s">
        <v>251</v>
      </c>
      <c r="I362" s="120" t="s">
        <v>251</v>
      </c>
      <c r="J362" s="120" t="s">
        <v>251</v>
      </c>
      <c r="K362" s="120" t="s">
        <v>251</v>
      </c>
      <c r="L362" s="120" t="s">
        <v>251</v>
      </c>
      <c r="M362" s="120" t="s">
        <v>251</v>
      </c>
      <c r="N362" s="120" t="s">
        <v>251</v>
      </c>
      <c r="O362" s="120" t="s">
        <v>251</v>
      </c>
      <c r="P362" s="120" t="s">
        <v>251</v>
      </c>
      <c r="Q362" s="120" t="s">
        <v>251</v>
      </c>
      <c r="R362" s="120"/>
      <c r="S362" s="121"/>
    </row>
    <row r="363" spans="1:19" ht="15">
      <c r="A363" s="105" t="s">
        <v>251</v>
      </c>
      <c r="B363" s="105"/>
      <c r="C363" s="107" t="s">
        <v>527</v>
      </c>
      <c r="D363" s="107" t="s">
        <v>251</v>
      </c>
      <c r="E363" s="120" t="s">
        <v>251</v>
      </c>
      <c r="F363" s="120" t="s">
        <v>251</v>
      </c>
      <c r="G363" s="120" t="s">
        <v>251</v>
      </c>
      <c r="H363" s="120" t="s">
        <v>251</v>
      </c>
      <c r="I363" s="120" t="s">
        <v>251</v>
      </c>
      <c r="J363" s="120" t="s">
        <v>251</v>
      </c>
      <c r="K363" s="120" t="s">
        <v>251</v>
      </c>
      <c r="L363" s="120" t="s">
        <v>251</v>
      </c>
      <c r="M363" s="120" t="s">
        <v>251</v>
      </c>
      <c r="N363" s="120" t="s">
        <v>251</v>
      </c>
      <c r="O363" s="120" t="s">
        <v>251</v>
      </c>
      <c r="P363" s="120" t="s">
        <v>251</v>
      </c>
      <c r="Q363" s="120" t="s">
        <v>251</v>
      </c>
      <c r="R363" s="120"/>
      <c r="S363" s="121"/>
    </row>
    <row r="364" spans="1:19" ht="15">
      <c r="A364" s="105">
        <v>16</v>
      </c>
      <c r="B364" s="105"/>
      <c r="C364" s="107" t="s">
        <v>528</v>
      </c>
      <c r="D364" s="107" t="s">
        <v>498</v>
      </c>
      <c r="E364" s="120">
        <v>91624046.000000015</v>
      </c>
      <c r="F364" s="120" t="s">
        <v>251</v>
      </c>
      <c r="G364" s="120">
        <v>79747509.863892987</v>
      </c>
      <c r="H364" s="120" t="s">
        <v>251</v>
      </c>
      <c r="I364" s="120">
        <v>3729932.5734805865</v>
      </c>
      <c r="J364" s="120">
        <v>8146603.5626264298</v>
      </c>
      <c r="K364" s="120" t="s">
        <v>251</v>
      </c>
      <c r="L364" s="120" t="s">
        <v>251</v>
      </c>
      <c r="M364" s="120">
        <v>255.97839720065789</v>
      </c>
      <c r="N364" s="120" t="s">
        <v>251</v>
      </c>
      <c r="O364" s="120">
        <v>8146347.584229229</v>
      </c>
      <c r="P364" s="120">
        <v>2513010.1228540349</v>
      </c>
      <c r="Q364" s="120">
        <v>5633337.4613751937</v>
      </c>
      <c r="R364" s="120"/>
      <c r="S364" s="121"/>
    </row>
    <row r="365" spans="1:19" ht="15">
      <c r="A365" s="105">
        <v>17</v>
      </c>
      <c r="B365" s="105"/>
      <c r="C365" s="107" t="s">
        <v>529</v>
      </c>
      <c r="D365" s="107" t="s">
        <v>500</v>
      </c>
      <c r="E365" s="120">
        <v>0</v>
      </c>
      <c r="F365" s="120" t="s">
        <v>251</v>
      </c>
      <c r="G365" s="120">
        <v>0</v>
      </c>
      <c r="H365" s="120" t="s">
        <v>251</v>
      </c>
      <c r="I365" s="120">
        <v>0</v>
      </c>
      <c r="J365" s="120">
        <v>0</v>
      </c>
      <c r="K365" s="120" t="s">
        <v>251</v>
      </c>
      <c r="L365" s="120" t="s">
        <v>251</v>
      </c>
      <c r="M365" s="120">
        <v>0</v>
      </c>
      <c r="N365" s="120" t="s">
        <v>251</v>
      </c>
      <c r="O365" s="120">
        <v>0</v>
      </c>
      <c r="P365" s="120">
        <v>0</v>
      </c>
      <c r="Q365" s="120">
        <v>0</v>
      </c>
      <c r="R365" s="120"/>
      <c r="S365" s="121"/>
    </row>
    <row r="366" spans="1:19" ht="15">
      <c r="A366" s="105">
        <v>18</v>
      </c>
      <c r="B366" s="105"/>
      <c r="C366" s="107" t="s">
        <v>530</v>
      </c>
      <c r="D366" s="107" t="s">
        <v>459</v>
      </c>
      <c r="E366" s="120">
        <v>0</v>
      </c>
      <c r="F366" s="120" t="s">
        <v>251</v>
      </c>
      <c r="G366" s="120">
        <v>0</v>
      </c>
      <c r="H366" s="120" t="s">
        <v>251</v>
      </c>
      <c r="I366" s="120">
        <v>0</v>
      </c>
      <c r="J366" s="120">
        <v>0</v>
      </c>
      <c r="K366" s="120" t="s">
        <v>251</v>
      </c>
      <c r="L366" s="120" t="s">
        <v>251</v>
      </c>
      <c r="M366" s="120">
        <v>0</v>
      </c>
      <c r="N366" s="120" t="s">
        <v>251</v>
      </c>
      <c r="O366" s="120">
        <v>0</v>
      </c>
      <c r="P366" s="120">
        <v>0</v>
      </c>
      <c r="Q366" s="120">
        <v>0</v>
      </c>
      <c r="R366" s="120"/>
      <c r="S366" s="121"/>
    </row>
    <row r="367" spans="1:19" ht="15">
      <c r="A367" s="105">
        <v>18</v>
      </c>
      <c r="B367" s="105"/>
      <c r="C367" s="107" t="s">
        <v>531</v>
      </c>
      <c r="D367" s="107" t="s">
        <v>532</v>
      </c>
      <c r="E367" s="120">
        <v>0</v>
      </c>
      <c r="F367" s="120" t="s">
        <v>251</v>
      </c>
      <c r="G367" s="120">
        <v>0</v>
      </c>
      <c r="H367" s="120" t="s">
        <v>251</v>
      </c>
      <c r="I367" s="120">
        <v>0</v>
      </c>
      <c r="J367" s="120">
        <v>0</v>
      </c>
      <c r="K367" s="120" t="s">
        <v>251</v>
      </c>
      <c r="L367" s="120" t="s">
        <v>251</v>
      </c>
      <c r="M367" s="120">
        <v>0</v>
      </c>
      <c r="N367" s="120" t="s">
        <v>251</v>
      </c>
      <c r="O367" s="120">
        <v>0</v>
      </c>
      <c r="P367" s="120">
        <v>0</v>
      </c>
      <c r="Q367" s="120">
        <v>0</v>
      </c>
      <c r="R367" s="120"/>
      <c r="S367" s="121"/>
    </row>
    <row r="368" spans="1:19" ht="15">
      <c r="A368" s="105">
        <v>20</v>
      </c>
      <c r="B368" s="105"/>
      <c r="C368" s="107" t="s">
        <v>533</v>
      </c>
      <c r="D368" s="107" t="s">
        <v>525</v>
      </c>
      <c r="E368" s="120">
        <v>0</v>
      </c>
      <c r="F368" s="120" t="s">
        <v>251</v>
      </c>
      <c r="G368" s="120">
        <v>0</v>
      </c>
      <c r="H368" s="120" t="s">
        <v>251</v>
      </c>
      <c r="I368" s="120">
        <v>0</v>
      </c>
      <c r="J368" s="120">
        <v>0</v>
      </c>
      <c r="K368" s="120" t="s">
        <v>251</v>
      </c>
      <c r="L368" s="120" t="s">
        <v>251</v>
      </c>
      <c r="M368" s="120">
        <v>0</v>
      </c>
      <c r="N368" s="120" t="s">
        <v>251</v>
      </c>
      <c r="O368" s="120">
        <v>0</v>
      </c>
      <c r="P368" s="120">
        <v>0</v>
      </c>
      <c r="Q368" s="120">
        <v>0</v>
      </c>
      <c r="R368" s="120"/>
      <c r="S368" s="121"/>
    </row>
    <row r="369" spans="1:19" ht="15">
      <c r="A369" s="105">
        <v>21</v>
      </c>
      <c r="B369" s="105"/>
      <c r="C369" s="107" t="s">
        <v>534</v>
      </c>
      <c r="D369" s="107" t="s">
        <v>468</v>
      </c>
      <c r="E369" s="120">
        <v>0</v>
      </c>
      <c r="F369" s="120" t="s">
        <v>251</v>
      </c>
      <c r="G369" s="120">
        <v>0</v>
      </c>
      <c r="H369" s="120" t="s">
        <v>251</v>
      </c>
      <c r="I369" s="120">
        <v>0</v>
      </c>
      <c r="J369" s="120">
        <v>0</v>
      </c>
      <c r="K369" s="120" t="s">
        <v>251</v>
      </c>
      <c r="L369" s="120" t="s">
        <v>251</v>
      </c>
      <c r="M369" s="120">
        <v>0</v>
      </c>
      <c r="N369" s="120" t="s">
        <v>251</v>
      </c>
      <c r="O369" s="120" t="s">
        <v>2495</v>
      </c>
      <c r="P369" s="120">
        <v>0</v>
      </c>
      <c r="Q369" s="120">
        <v>0</v>
      </c>
      <c r="R369" s="120"/>
      <c r="S369" s="121"/>
    </row>
    <row r="370" spans="1:19" ht="15">
      <c r="A370" s="105">
        <v>22</v>
      </c>
      <c r="B370" s="105"/>
      <c r="C370" s="107" t="s">
        <v>535</v>
      </c>
      <c r="D370" s="107" t="s">
        <v>251</v>
      </c>
      <c r="E370" s="120">
        <v>91624046.000000015</v>
      </c>
      <c r="F370" s="120" t="s">
        <v>251</v>
      </c>
      <c r="G370" s="120">
        <v>79747509.863892987</v>
      </c>
      <c r="H370" s="120" t="s">
        <v>251</v>
      </c>
      <c r="I370" s="120">
        <v>3729932.5734805865</v>
      </c>
      <c r="J370" s="120">
        <v>8146603.5626264298</v>
      </c>
      <c r="K370" s="120" t="s">
        <v>251</v>
      </c>
      <c r="L370" s="120" t="s">
        <v>251</v>
      </c>
      <c r="M370" s="120">
        <v>255.97839720065789</v>
      </c>
      <c r="N370" s="120" t="s">
        <v>251</v>
      </c>
      <c r="O370" s="120">
        <v>8146347.584229229</v>
      </c>
      <c r="P370" s="120">
        <v>2513010.1228540349</v>
      </c>
      <c r="Q370" s="120">
        <v>5633337.4613751937</v>
      </c>
      <c r="R370" s="120"/>
      <c r="S370" s="121"/>
    </row>
    <row r="371" spans="1:19" ht="15">
      <c r="A371" s="105" t="s">
        <v>251</v>
      </c>
      <c r="B371" s="105"/>
      <c r="C371" s="107" t="s">
        <v>251</v>
      </c>
      <c r="D371" s="107" t="s">
        <v>251</v>
      </c>
      <c r="E371" s="120" t="s">
        <v>251</v>
      </c>
      <c r="F371" s="120" t="s">
        <v>251</v>
      </c>
      <c r="G371" s="120" t="s">
        <v>251</v>
      </c>
      <c r="H371" s="120" t="s">
        <v>251</v>
      </c>
      <c r="I371" s="120" t="s">
        <v>251</v>
      </c>
      <c r="J371" s="120" t="s">
        <v>251</v>
      </c>
      <c r="K371" s="120" t="s">
        <v>251</v>
      </c>
      <c r="L371" s="120" t="s">
        <v>251</v>
      </c>
      <c r="M371" s="120" t="s">
        <v>251</v>
      </c>
      <c r="N371" s="120" t="s">
        <v>251</v>
      </c>
      <c r="O371" s="120" t="s">
        <v>251</v>
      </c>
      <c r="P371" s="120" t="s">
        <v>251</v>
      </c>
      <c r="Q371" s="120" t="s">
        <v>251</v>
      </c>
      <c r="R371" s="120"/>
      <c r="S371" s="121"/>
    </row>
    <row r="372" spans="1:19" ht="15">
      <c r="A372" s="105">
        <v>23</v>
      </c>
      <c r="B372" s="105"/>
      <c r="C372" s="107" t="s">
        <v>536</v>
      </c>
      <c r="D372" s="107" t="s">
        <v>537</v>
      </c>
      <c r="E372" s="120">
        <v>980981.37</v>
      </c>
      <c r="F372" s="120" t="s">
        <v>251</v>
      </c>
      <c r="G372" s="120">
        <v>951646.55364259379</v>
      </c>
      <c r="H372" s="120" t="s">
        <v>251</v>
      </c>
      <c r="I372" s="120">
        <v>29334.816357406242</v>
      </c>
      <c r="J372" s="120">
        <v>0</v>
      </c>
      <c r="K372" s="120" t="s">
        <v>251</v>
      </c>
      <c r="L372" s="120" t="s">
        <v>251</v>
      </c>
      <c r="M372" s="120">
        <v>0</v>
      </c>
      <c r="N372" s="120" t="s">
        <v>251</v>
      </c>
      <c r="O372" s="120">
        <v>0</v>
      </c>
      <c r="P372" s="120">
        <v>0</v>
      </c>
      <c r="Q372" s="120">
        <v>0</v>
      </c>
      <c r="R372" s="120"/>
      <c r="S372" s="121"/>
    </row>
    <row r="373" spans="1:19" ht="15">
      <c r="A373" s="105">
        <v>24</v>
      </c>
      <c r="B373" s="105"/>
      <c r="C373" s="107" t="s">
        <v>538</v>
      </c>
      <c r="D373" s="107" t="s">
        <v>539</v>
      </c>
      <c r="E373" s="120">
        <v>30898393.370000001</v>
      </c>
      <c r="F373" s="120" t="s">
        <v>251</v>
      </c>
      <c r="G373" s="120">
        <v>0</v>
      </c>
      <c r="H373" s="120" t="s">
        <v>251</v>
      </c>
      <c r="I373" s="120">
        <v>1710542.4421739152</v>
      </c>
      <c r="J373" s="120">
        <v>1.0102626508301783E-2</v>
      </c>
      <c r="K373" s="120" t="s">
        <v>251</v>
      </c>
      <c r="L373" s="120" t="s">
        <v>251</v>
      </c>
      <c r="M373" s="120">
        <v>0</v>
      </c>
      <c r="N373" s="120" t="s">
        <v>251</v>
      </c>
      <c r="O373" s="120">
        <v>1.0102626508301783E-2</v>
      </c>
      <c r="P373" s="120">
        <v>1.0102626508301783E-2</v>
      </c>
      <c r="Q373" s="120">
        <v>0</v>
      </c>
      <c r="R373" s="120"/>
      <c r="S373" s="121"/>
    </row>
    <row r="374" spans="1:19" ht="15">
      <c r="A374" s="105">
        <v>25</v>
      </c>
      <c r="B374" s="105"/>
      <c r="C374" s="107" t="s">
        <v>540</v>
      </c>
      <c r="D374" s="107" t="s">
        <v>541</v>
      </c>
      <c r="E374" s="120">
        <v>234962</v>
      </c>
      <c r="F374" s="120" t="s">
        <v>251</v>
      </c>
      <c r="G374" s="120">
        <v>0</v>
      </c>
      <c r="H374" s="120" t="s">
        <v>251</v>
      </c>
      <c r="I374" s="120">
        <v>234962</v>
      </c>
      <c r="J374" s="120">
        <v>0</v>
      </c>
      <c r="K374" s="120" t="s">
        <v>251</v>
      </c>
      <c r="L374" s="120" t="s">
        <v>251</v>
      </c>
      <c r="M374" s="120">
        <v>0</v>
      </c>
      <c r="N374" s="120" t="s">
        <v>251</v>
      </c>
      <c r="O374" s="120">
        <v>0</v>
      </c>
      <c r="P374" s="120">
        <v>0</v>
      </c>
      <c r="Q374" s="120">
        <v>0</v>
      </c>
      <c r="R374" s="120"/>
      <c r="S374" s="121"/>
    </row>
    <row r="375" spans="1:19" ht="15">
      <c r="A375" s="105">
        <v>26</v>
      </c>
      <c r="B375" s="105"/>
      <c r="C375" s="107" t="s">
        <v>542</v>
      </c>
      <c r="D375" s="107" t="s">
        <v>419</v>
      </c>
      <c r="E375" s="120">
        <v>22095899.68</v>
      </c>
      <c r="F375" s="120" t="s">
        <v>251</v>
      </c>
      <c r="G375" s="120">
        <v>0</v>
      </c>
      <c r="H375" s="120" t="s">
        <v>251</v>
      </c>
      <c r="I375" s="120">
        <v>1017946.1005371396</v>
      </c>
      <c r="J375" s="120">
        <v>1.2044233615074357E-12</v>
      </c>
      <c r="K375" s="120" t="s">
        <v>251</v>
      </c>
      <c r="L375" s="120" t="s">
        <v>251</v>
      </c>
      <c r="M375" s="120">
        <v>0</v>
      </c>
      <c r="N375" s="120" t="s">
        <v>251</v>
      </c>
      <c r="O375" s="120">
        <v>1.2044233615074357E-12</v>
      </c>
      <c r="P375" s="120">
        <v>0</v>
      </c>
      <c r="Q375" s="120">
        <v>0</v>
      </c>
      <c r="R375" s="120"/>
      <c r="S375" s="121"/>
    </row>
    <row r="376" spans="1:19" ht="15">
      <c r="A376" s="105">
        <v>27</v>
      </c>
      <c r="B376" s="105"/>
      <c r="C376" s="107" t="s">
        <v>543</v>
      </c>
      <c r="D376" s="107" t="s">
        <v>419</v>
      </c>
      <c r="E376" s="120">
        <v>6914670.8461538451</v>
      </c>
      <c r="F376" s="120" t="s">
        <v>251</v>
      </c>
      <c r="G376" s="120">
        <v>0</v>
      </c>
      <c r="H376" s="120" t="s">
        <v>251</v>
      </c>
      <c r="I376" s="120">
        <v>0</v>
      </c>
      <c r="J376" s="120">
        <v>337676.55487299187</v>
      </c>
      <c r="K376" s="120" t="s">
        <v>251</v>
      </c>
      <c r="L376" s="120" t="s">
        <v>251</v>
      </c>
      <c r="M376" s="120">
        <v>0</v>
      </c>
      <c r="N376" s="120" t="s">
        <v>251</v>
      </c>
      <c r="O376" s="120">
        <v>337676.55487299187</v>
      </c>
      <c r="P376" s="120">
        <v>107604.95287208757</v>
      </c>
      <c r="Q376" s="120">
        <v>230071.60200090433</v>
      </c>
      <c r="R376" s="120"/>
      <c r="S376" s="121"/>
    </row>
    <row r="377" spans="1:19" ht="15">
      <c r="A377" s="105">
        <v>28</v>
      </c>
      <c r="B377" s="105"/>
      <c r="C377" s="107" t="s">
        <v>544</v>
      </c>
      <c r="D377" s="107" t="s">
        <v>419</v>
      </c>
      <c r="E377" s="120">
        <v>6319401.2276923079</v>
      </c>
      <c r="F377" s="120" t="s">
        <v>251</v>
      </c>
      <c r="G377" s="120">
        <v>0</v>
      </c>
      <c r="H377" s="120" t="s">
        <v>251</v>
      </c>
      <c r="I377" s="120">
        <v>0</v>
      </c>
      <c r="J377" s="120">
        <v>308606.68322545581</v>
      </c>
      <c r="K377" s="120" t="s">
        <v>251</v>
      </c>
      <c r="L377" s="120" t="s">
        <v>251</v>
      </c>
      <c r="M377" s="120">
        <v>0</v>
      </c>
      <c r="N377" s="120" t="s">
        <v>251</v>
      </c>
      <c r="O377" s="120">
        <v>308606.68322545581</v>
      </c>
      <c r="P377" s="120">
        <v>98341.466486995487</v>
      </c>
      <c r="Q377" s="120">
        <v>210265.21673846029</v>
      </c>
      <c r="R377" s="120"/>
      <c r="S377" s="121"/>
    </row>
    <row r="378" spans="1:19" ht="15">
      <c r="A378" s="105">
        <v>29</v>
      </c>
      <c r="B378" s="105"/>
      <c r="C378" s="107" t="s">
        <v>545</v>
      </c>
      <c r="D378" s="107" t="s">
        <v>419</v>
      </c>
      <c r="E378" s="120">
        <v>1535072.4738461531</v>
      </c>
      <c r="F378" s="120" t="s">
        <v>251</v>
      </c>
      <c r="G378" s="120">
        <v>0</v>
      </c>
      <c r="H378" s="120" t="s">
        <v>251</v>
      </c>
      <c r="I378" s="120">
        <v>0</v>
      </c>
      <c r="J378" s="120">
        <v>74964.954367575832</v>
      </c>
      <c r="K378" s="120" t="s">
        <v>251</v>
      </c>
      <c r="L378" s="120" t="s">
        <v>251</v>
      </c>
      <c r="M378" s="120">
        <v>0</v>
      </c>
      <c r="N378" s="120" t="s">
        <v>251</v>
      </c>
      <c r="O378" s="120">
        <v>74964.954367575832</v>
      </c>
      <c r="P378" s="120">
        <v>23888.541461859058</v>
      </c>
      <c r="Q378" s="120">
        <v>51076.412905716774</v>
      </c>
      <c r="R378" s="120"/>
      <c r="S378" s="121"/>
    </row>
    <row r="379" spans="1:19" ht="15">
      <c r="A379" s="105">
        <v>30</v>
      </c>
      <c r="B379" s="105"/>
      <c r="C379" s="107" t="s">
        <v>546</v>
      </c>
      <c r="D379" s="107" t="s">
        <v>251</v>
      </c>
      <c r="E379" s="120">
        <v>1541097968.9676921</v>
      </c>
      <c r="F379" s="120" t="s">
        <v>251</v>
      </c>
      <c r="G379" s="120">
        <v>1316026125.7738552</v>
      </c>
      <c r="H379" s="120" t="s">
        <v>251</v>
      </c>
      <c r="I379" s="120">
        <v>72026245.619872674</v>
      </c>
      <c r="J379" s="120">
        <v>88731896.721551895</v>
      </c>
      <c r="K379" s="120" t="s">
        <v>251</v>
      </c>
      <c r="L379" s="120" t="s">
        <v>251</v>
      </c>
      <c r="M379" s="120">
        <v>98284.332810327745</v>
      </c>
      <c r="N379" s="120" t="s">
        <v>251</v>
      </c>
      <c r="O379" s="120">
        <v>88633612.388741568</v>
      </c>
      <c r="P379" s="120">
        <v>27717318.578886919</v>
      </c>
      <c r="Q379" s="120">
        <v>60916293.809854649</v>
      </c>
      <c r="R379" s="120"/>
      <c r="S379" s="121"/>
    </row>
    <row r="380" spans="1:19" ht="15">
      <c r="A380" s="105" t="s">
        <v>251</v>
      </c>
      <c r="B380" s="105"/>
      <c r="C380" s="107" t="s">
        <v>251</v>
      </c>
      <c r="D380" s="107" t="s">
        <v>251</v>
      </c>
      <c r="E380" s="120" t="s">
        <v>251</v>
      </c>
      <c r="F380" s="120" t="s">
        <v>251</v>
      </c>
      <c r="G380" s="120" t="s">
        <v>251</v>
      </c>
      <c r="H380" s="120" t="s">
        <v>251</v>
      </c>
      <c r="I380" s="120" t="s">
        <v>251</v>
      </c>
      <c r="J380" s="120" t="s">
        <v>251</v>
      </c>
      <c r="K380" s="120" t="s">
        <v>251</v>
      </c>
      <c r="L380" s="120" t="s">
        <v>251</v>
      </c>
      <c r="M380" s="120" t="s">
        <v>251</v>
      </c>
      <c r="N380" s="120" t="s">
        <v>251</v>
      </c>
      <c r="O380" s="120" t="s">
        <v>251</v>
      </c>
      <c r="P380" s="120" t="s">
        <v>251</v>
      </c>
      <c r="Q380" s="120" t="s">
        <v>251</v>
      </c>
      <c r="R380" s="120"/>
      <c r="S380" s="121"/>
    </row>
    <row r="381" spans="1:19" ht="15">
      <c r="A381" s="105">
        <v>31</v>
      </c>
      <c r="B381" s="105"/>
      <c r="C381" s="107" t="s">
        <v>547</v>
      </c>
      <c r="D381" s="107" t="s">
        <v>251</v>
      </c>
      <c r="E381" s="120">
        <v>5374208679.2967482</v>
      </c>
      <c r="F381" s="120" t="s">
        <v>251</v>
      </c>
      <c r="G381" s="120">
        <v>4855749182.8883762</v>
      </c>
      <c r="H381" s="120" t="s">
        <v>251</v>
      </c>
      <c r="I381" s="120">
        <v>247247987.01836407</v>
      </c>
      <c r="J381" s="120">
        <v>335525210.24241859</v>
      </c>
      <c r="K381" s="120" t="s">
        <v>251</v>
      </c>
      <c r="L381" s="120" t="s">
        <v>251</v>
      </c>
      <c r="M381" s="120">
        <v>435757.58585567377</v>
      </c>
      <c r="N381" s="120" t="s">
        <v>251</v>
      </c>
      <c r="O381" s="120">
        <v>335089452.65656292</v>
      </c>
      <c r="P381" s="120">
        <v>104823215.80553499</v>
      </c>
      <c r="Q381" s="120">
        <v>230266236.85102794</v>
      </c>
      <c r="R381" s="120"/>
      <c r="S381" s="121"/>
    </row>
    <row r="382" spans="1:19" ht="15">
      <c r="A382" s="105" t="s">
        <v>251</v>
      </c>
      <c r="B382" s="105"/>
      <c r="C382" s="107" t="s">
        <v>251</v>
      </c>
      <c r="D382" s="107" t="s">
        <v>251</v>
      </c>
      <c r="E382" s="120" t="s">
        <v>251</v>
      </c>
      <c r="F382" s="120" t="s">
        <v>251</v>
      </c>
      <c r="G382" s="120" t="s">
        <v>251</v>
      </c>
      <c r="H382" s="120" t="s">
        <v>251</v>
      </c>
      <c r="I382" s="120" t="s">
        <v>251</v>
      </c>
      <c r="J382" s="120" t="s">
        <v>251</v>
      </c>
      <c r="K382" s="120" t="s">
        <v>251</v>
      </c>
      <c r="L382" s="120" t="s">
        <v>251</v>
      </c>
      <c r="M382" s="120" t="s">
        <v>251</v>
      </c>
      <c r="N382" s="120" t="s">
        <v>251</v>
      </c>
      <c r="O382" s="120" t="s">
        <v>251</v>
      </c>
      <c r="P382" s="120" t="s">
        <v>251</v>
      </c>
      <c r="Q382" s="120" t="s">
        <v>251</v>
      </c>
      <c r="R382" s="120"/>
      <c r="S382" s="121"/>
    </row>
    <row r="383" spans="1:19" ht="15">
      <c r="A383" s="105" t="s">
        <v>251</v>
      </c>
      <c r="B383" s="105"/>
      <c r="C383" s="107" t="s">
        <v>251</v>
      </c>
      <c r="D383" s="107" t="s">
        <v>251</v>
      </c>
      <c r="E383" s="120" t="s">
        <v>251</v>
      </c>
      <c r="F383" s="120" t="s">
        <v>251</v>
      </c>
      <c r="G383" s="120" t="s">
        <v>251</v>
      </c>
      <c r="H383" s="120" t="s">
        <v>251</v>
      </c>
      <c r="I383" s="120" t="s">
        <v>251</v>
      </c>
      <c r="J383" s="120" t="s">
        <v>251</v>
      </c>
      <c r="K383" s="120" t="s">
        <v>251</v>
      </c>
      <c r="L383" s="120" t="s">
        <v>251</v>
      </c>
      <c r="M383" s="120" t="s">
        <v>251</v>
      </c>
      <c r="N383" s="120" t="s">
        <v>251</v>
      </c>
      <c r="O383" s="120" t="s">
        <v>251</v>
      </c>
      <c r="P383" s="120" t="s">
        <v>251</v>
      </c>
      <c r="Q383" s="120" t="s">
        <v>251</v>
      </c>
      <c r="R383" s="120"/>
      <c r="S383" s="121"/>
    </row>
    <row r="384" spans="1:19" ht="15">
      <c r="A384" s="105" t="s">
        <v>251</v>
      </c>
      <c r="B384" s="129"/>
      <c r="C384" s="107" t="s">
        <v>279</v>
      </c>
      <c r="D384" s="107" t="s">
        <v>251</v>
      </c>
      <c r="E384" s="120" t="s">
        <v>251</v>
      </c>
      <c r="F384" s="120" t="s">
        <v>251</v>
      </c>
      <c r="G384" s="120" t="s">
        <v>251</v>
      </c>
      <c r="H384" s="120" t="s">
        <v>251</v>
      </c>
      <c r="I384" s="120" t="s">
        <v>251</v>
      </c>
      <c r="J384" s="120" t="s">
        <v>251</v>
      </c>
      <c r="K384" s="120" t="s">
        <v>251</v>
      </c>
      <c r="L384" s="120" t="s">
        <v>251</v>
      </c>
      <c r="M384" s="120" t="s">
        <v>251</v>
      </c>
      <c r="N384" s="120" t="s">
        <v>251</v>
      </c>
      <c r="O384" s="120" t="s">
        <v>251</v>
      </c>
      <c r="P384" s="120" t="s">
        <v>251</v>
      </c>
      <c r="Q384" s="120" t="s">
        <v>251</v>
      </c>
      <c r="R384" s="120"/>
      <c r="S384" s="121"/>
    </row>
    <row r="385" spans="1:19" ht="15">
      <c r="A385" s="105" t="s">
        <v>251</v>
      </c>
      <c r="B385" s="129" t="str">
        <f t="shared" ref="B385:B448" si="12">MID(C385,3,3)</f>
        <v/>
      </c>
      <c r="C385" s="107" t="s">
        <v>251</v>
      </c>
      <c r="D385" s="107" t="s">
        <v>251</v>
      </c>
      <c r="E385" s="120" t="s">
        <v>251</v>
      </c>
      <c r="F385" s="120" t="s">
        <v>251</v>
      </c>
      <c r="G385" s="120" t="s">
        <v>251</v>
      </c>
      <c r="H385" s="120" t="s">
        <v>251</v>
      </c>
      <c r="I385" s="120" t="s">
        <v>251</v>
      </c>
      <c r="J385" s="120" t="s">
        <v>251</v>
      </c>
      <c r="K385" s="120" t="s">
        <v>251</v>
      </c>
      <c r="L385" s="120" t="s">
        <v>251</v>
      </c>
      <c r="M385" s="120" t="s">
        <v>251</v>
      </c>
      <c r="N385" s="120" t="s">
        <v>251</v>
      </c>
      <c r="O385" s="120" t="s">
        <v>251</v>
      </c>
      <c r="P385" s="120" t="s">
        <v>251</v>
      </c>
      <c r="Q385" s="120" t="s">
        <v>251</v>
      </c>
      <c r="R385" s="120"/>
      <c r="S385" s="121"/>
    </row>
    <row r="386" spans="1:19" ht="15">
      <c r="A386" s="105" t="s">
        <v>251</v>
      </c>
      <c r="B386" s="129"/>
      <c r="C386" s="107" t="s">
        <v>548</v>
      </c>
      <c r="D386" s="107" t="s">
        <v>251</v>
      </c>
      <c r="E386" s="120" t="s">
        <v>251</v>
      </c>
      <c r="F386" s="120" t="s">
        <v>251</v>
      </c>
      <c r="G386" s="120" t="s">
        <v>251</v>
      </c>
      <c r="H386" s="120" t="s">
        <v>251</v>
      </c>
      <c r="I386" s="120" t="s">
        <v>251</v>
      </c>
      <c r="J386" s="120" t="s">
        <v>251</v>
      </c>
      <c r="K386" s="120" t="s">
        <v>251</v>
      </c>
      <c r="L386" s="120" t="s">
        <v>251</v>
      </c>
      <c r="M386" s="120" t="s">
        <v>251</v>
      </c>
      <c r="N386" s="120" t="s">
        <v>251</v>
      </c>
      <c r="O386" s="120" t="s">
        <v>251</v>
      </c>
      <c r="P386" s="120" t="s">
        <v>251</v>
      </c>
      <c r="Q386" s="120" t="s">
        <v>251</v>
      </c>
      <c r="R386" s="120"/>
      <c r="S386" s="121"/>
    </row>
    <row r="387" spans="1:19" ht="15">
      <c r="A387" s="105">
        <v>1</v>
      </c>
      <c r="B387" s="129" t="str">
        <f t="shared" si="12"/>
        <v>440</v>
      </c>
      <c r="C387" s="107" t="s">
        <v>549</v>
      </c>
      <c r="D387" s="107" t="s">
        <v>251</v>
      </c>
      <c r="E387" s="120">
        <v>636757119.21117699</v>
      </c>
      <c r="F387" s="120" t="s">
        <v>251</v>
      </c>
      <c r="G387" s="120">
        <v>599721559.53082466</v>
      </c>
      <c r="H387" s="120" t="s">
        <v>251</v>
      </c>
      <c r="I387" s="120">
        <v>37031853.000352375</v>
      </c>
      <c r="J387" s="120">
        <v>3706.6799999999994</v>
      </c>
      <c r="K387" s="120" t="s">
        <v>251</v>
      </c>
      <c r="L387" s="120" t="s">
        <v>251</v>
      </c>
      <c r="M387" s="120">
        <v>3706.6799999999994</v>
      </c>
      <c r="N387" s="120" t="s">
        <v>251</v>
      </c>
      <c r="O387" s="120">
        <v>0</v>
      </c>
      <c r="P387" s="120">
        <v>0</v>
      </c>
      <c r="Q387" s="120">
        <v>0</v>
      </c>
      <c r="R387" s="120"/>
      <c r="S387" s="121"/>
    </row>
    <row r="388" spans="1:19" ht="15">
      <c r="A388" s="105">
        <v>2</v>
      </c>
      <c r="B388" s="129" t="str">
        <f t="shared" si="12"/>
        <v>442</v>
      </c>
      <c r="C388" s="107" t="s">
        <v>550</v>
      </c>
      <c r="D388" s="107" t="s">
        <v>251</v>
      </c>
      <c r="E388" s="120">
        <v>398311565.84494227</v>
      </c>
      <c r="F388" s="120" t="s">
        <v>251</v>
      </c>
      <c r="G388" s="120">
        <v>380416371.6344763</v>
      </c>
      <c r="H388" s="120" t="s">
        <v>251</v>
      </c>
      <c r="I388" s="120">
        <v>17895194.210465994</v>
      </c>
      <c r="J388" s="120">
        <v>0</v>
      </c>
      <c r="K388" s="120" t="s">
        <v>251</v>
      </c>
      <c r="L388" s="120" t="s">
        <v>251</v>
      </c>
      <c r="M388" s="120">
        <v>0</v>
      </c>
      <c r="N388" s="120" t="s">
        <v>251</v>
      </c>
      <c r="O388" s="120">
        <v>0</v>
      </c>
      <c r="P388" s="120">
        <v>0</v>
      </c>
      <c r="Q388" s="120">
        <v>0</v>
      </c>
      <c r="R388" s="120"/>
      <c r="S388" s="121"/>
    </row>
    <row r="389" spans="1:19" ht="15">
      <c r="A389" s="105">
        <v>3</v>
      </c>
      <c r="B389" s="129" t="str">
        <f t="shared" si="12"/>
        <v>442</v>
      </c>
      <c r="C389" s="107" t="s">
        <v>551</v>
      </c>
      <c r="D389" s="107" t="s">
        <v>251</v>
      </c>
      <c r="E389" s="120">
        <v>392838781.45972246</v>
      </c>
      <c r="F389" s="120" t="s">
        <v>251</v>
      </c>
      <c r="G389" s="120">
        <v>383942631.03851056</v>
      </c>
      <c r="H389" s="120" t="s">
        <v>251</v>
      </c>
      <c r="I389" s="120">
        <v>8896150.4212119058</v>
      </c>
      <c r="J389" s="120">
        <v>0</v>
      </c>
      <c r="K389" s="120" t="s">
        <v>251</v>
      </c>
      <c r="L389" s="120" t="s">
        <v>251</v>
      </c>
      <c r="M389" s="120">
        <v>0</v>
      </c>
      <c r="N389" s="120" t="s">
        <v>251</v>
      </c>
      <c r="O389" s="120">
        <v>0</v>
      </c>
      <c r="P389" s="120">
        <v>0</v>
      </c>
      <c r="Q389" s="120">
        <v>0</v>
      </c>
      <c r="R389" s="120"/>
      <c r="S389" s="121"/>
    </row>
    <row r="390" spans="1:19" ht="15">
      <c r="A390" s="105">
        <v>4</v>
      </c>
      <c r="B390" s="129" t="str">
        <f t="shared" si="12"/>
        <v>444</v>
      </c>
      <c r="C390" s="107" t="s">
        <v>552</v>
      </c>
      <c r="D390" s="107" t="s">
        <v>251</v>
      </c>
      <c r="E390" s="120">
        <v>12435613.177185208</v>
      </c>
      <c r="F390" s="120" t="s">
        <v>251</v>
      </c>
      <c r="G390" s="120">
        <v>12045993.086333271</v>
      </c>
      <c r="H390" s="120" t="s">
        <v>251</v>
      </c>
      <c r="I390" s="120">
        <v>389620.09085193585</v>
      </c>
      <c r="J390" s="120">
        <v>0</v>
      </c>
      <c r="K390" s="120" t="s">
        <v>251</v>
      </c>
      <c r="L390" s="120" t="s">
        <v>251</v>
      </c>
      <c r="M390" s="120">
        <v>0</v>
      </c>
      <c r="N390" s="120" t="s">
        <v>251</v>
      </c>
      <c r="O390" s="120">
        <v>0</v>
      </c>
      <c r="P390" s="120">
        <v>0</v>
      </c>
      <c r="Q390" s="120">
        <v>0</v>
      </c>
      <c r="R390" s="120"/>
      <c r="S390" s="121"/>
    </row>
    <row r="391" spans="1:19" ht="15">
      <c r="A391" s="105">
        <v>5</v>
      </c>
      <c r="B391" s="129" t="str">
        <f t="shared" si="12"/>
        <v>445</v>
      </c>
      <c r="C391" s="107" t="s">
        <v>553</v>
      </c>
      <c r="D391" s="107" t="s">
        <v>251</v>
      </c>
      <c r="E391" s="120">
        <v>130146515.73229703</v>
      </c>
      <c r="F391" s="120" t="s">
        <v>251</v>
      </c>
      <c r="G391" s="120">
        <v>123360800.96802673</v>
      </c>
      <c r="H391" s="120" t="s">
        <v>251</v>
      </c>
      <c r="I391" s="120">
        <v>6785714.7642702982</v>
      </c>
      <c r="J391" s="120">
        <v>0</v>
      </c>
      <c r="K391" s="120" t="s">
        <v>251</v>
      </c>
      <c r="L391" s="120" t="s">
        <v>251</v>
      </c>
      <c r="M391" s="120">
        <v>0</v>
      </c>
      <c r="N391" s="120" t="s">
        <v>251</v>
      </c>
      <c r="O391" s="120">
        <v>0</v>
      </c>
      <c r="P391" s="120">
        <v>0</v>
      </c>
      <c r="Q391" s="120">
        <v>0</v>
      </c>
      <c r="R391" s="120"/>
      <c r="S391" s="121"/>
    </row>
    <row r="392" spans="1:19" ht="15">
      <c r="A392" s="105">
        <v>6</v>
      </c>
      <c r="B392" s="129" t="str">
        <f t="shared" si="12"/>
        <v>447</v>
      </c>
      <c r="C392" s="107" t="s">
        <v>554</v>
      </c>
      <c r="D392" s="107" t="s">
        <v>251</v>
      </c>
      <c r="E392" s="120">
        <v>111592441.68546264</v>
      </c>
      <c r="F392" s="120" t="s">
        <v>251</v>
      </c>
      <c r="G392" s="120">
        <v>0</v>
      </c>
      <c r="H392" s="120" t="s">
        <v>251</v>
      </c>
      <c r="I392" s="120">
        <v>0</v>
      </c>
      <c r="J392" s="120">
        <v>111592441.68546264</v>
      </c>
      <c r="K392" s="120" t="s">
        <v>251</v>
      </c>
      <c r="L392" s="120" t="s">
        <v>251</v>
      </c>
      <c r="M392" s="120">
        <v>0</v>
      </c>
      <c r="N392" s="120" t="s">
        <v>251</v>
      </c>
      <c r="O392" s="120">
        <v>111592441.68546264</v>
      </c>
      <c r="P392" s="120">
        <v>34576695.387562007</v>
      </c>
      <c r="Q392" s="120">
        <v>77015746.297900632</v>
      </c>
      <c r="R392" s="120"/>
      <c r="S392" s="121"/>
    </row>
    <row r="393" spans="1:19" ht="15">
      <c r="A393" s="105">
        <v>7</v>
      </c>
      <c r="B393" s="129" t="str">
        <f t="shared" si="12"/>
        <v>447</v>
      </c>
      <c r="C393" s="107" t="s">
        <v>2234</v>
      </c>
      <c r="D393" s="107" t="s">
        <v>251</v>
      </c>
      <c r="E393" s="120">
        <v>3198.182756594138</v>
      </c>
      <c r="F393" s="120" t="s">
        <v>251</v>
      </c>
      <c r="G393" s="120">
        <v>0</v>
      </c>
      <c r="H393" s="120" t="s">
        <v>251</v>
      </c>
      <c r="I393" s="120">
        <v>3198.182756594138</v>
      </c>
      <c r="J393" s="120">
        <v>0</v>
      </c>
      <c r="K393" s="120" t="s">
        <v>251</v>
      </c>
      <c r="L393" s="120" t="s">
        <v>251</v>
      </c>
      <c r="M393" s="120">
        <v>0</v>
      </c>
      <c r="N393" s="120" t="s">
        <v>251</v>
      </c>
      <c r="O393" s="120">
        <v>0</v>
      </c>
      <c r="P393" s="120">
        <v>0</v>
      </c>
      <c r="Q393" s="120">
        <v>0</v>
      </c>
      <c r="R393" s="120"/>
      <c r="S393" s="121"/>
    </row>
    <row r="394" spans="1:19" ht="15">
      <c r="A394" s="105">
        <v>8</v>
      </c>
      <c r="B394" s="129"/>
      <c r="C394" s="107" t="s">
        <v>555</v>
      </c>
      <c r="D394" s="107" t="s">
        <v>251</v>
      </c>
      <c r="E394" s="120" t="s">
        <v>251</v>
      </c>
      <c r="F394" s="120" t="s">
        <v>251</v>
      </c>
      <c r="G394" s="120" t="s">
        <v>251</v>
      </c>
      <c r="H394" s="120" t="s">
        <v>251</v>
      </c>
      <c r="I394" s="120" t="s">
        <v>251</v>
      </c>
      <c r="J394" s="120" t="s">
        <v>251</v>
      </c>
      <c r="K394" s="120" t="s">
        <v>251</v>
      </c>
      <c r="L394" s="120" t="s">
        <v>251</v>
      </c>
      <c r="M394" s="120" t="s">
        <v>251</v>
      </c>
      <c r="N394" s="120" t="s">
        <v>251</v>
      </c>
      <c r="O394" s="120" t="s">
        <v>251</v>
      </c>
      <c r="P394" s="120" t="s">
        <v>251</v>
      </c>
      <c r="Q394" s="120" t="s">
        <v>251</v>
      </c>
      <c r="R394" s="120"/>
      <c r="S394" s="121"/>
    </row>
    <row r="395" spans="1:19" ht="15">
      <c r="A395" s="105">
        <v>9</v>
      </c>
      <c r="B395" s="129" t="str">
        <f t="shared" si="12"/>
        <v xml:space="preserve">   </v>
      </c>
      <c r="C395" s="107" t="s">
        <v>556</v>
      </c>
      <c r="D395" s="107" t="s">
        <v>304</v>
      </c>
      <c r="E395" s="120">
        <v>0</v>
      </c>
      <c r="F395" s="120" t="s">
        <v>251</v>
      </c>
      <c r="G395" s="120">
        <v>0</v>
      </c>
      <c r="H395" s="120" t="s">
        <v>251</v>
      </c>
      <c r="I395" s="120">
        <v>0</v>
      </c>
      <c r="J395" s="120">
        <v>0</v>
      </c>
      <c r="K395" s="120" t="s">
        <v>251</v>
      </c>
      <c r="L395" s="120" t="s">
        <v>251</v>
      </c>
      <c r="M395" s="120">
        <v>0</v>
      </c>
      <c r="N395" s="120" t="s">
        <v>251</v>
      </c>
      <c r="O395" s="120">
        <v>0</v>
      </c>
      <c r="P395" s="120">
        <v>0</v>
      </c>
      <c r="Q395" s="120">
        <v>0</v>
      </c>
      <c r="R395" s="120"/>
      <c r="S395" s="121"/>
    </row>
    <row r="396" spans="1:19" ht="15">
      <c r="A396" s="105">
        <v>10</v>
      </c>
      <c r="B396" s="129" t="str">
        <f t="shared" si="12"/>
        <v xml:space="preserve">   </v>
      </c>
      <c r="C396" s="107" t="s">
        <v>557</v>
      </c>
      <c r="D396" s="107" t="s">
        <v>495</v>
      </c>
      <c r="E396" s="120">
        <v>19566109.554343909</v>
      </c>
      <c r="F396" s="120" t="s">
        <v>251</v>
      </c>
      <c r="G396" s="120">
        <v>17223346.175184157</v>
      </c>
      <c r="H396" s="120" t="s">
        <v>251</v>
      </c>
      <c r="I396" s="120">
        <v>702633.96920426679</v>
      </c>
      <c r="J396" s="120">
        <v>1640129.4099554862</v>
      </c>
      <c r="K396" s="120" t="s">
        <v>251</v>
      </c>
      <c r="L396" s="120" t="s">
        <v>251</v>
      </c>
      <c r="M396" s="120">
        <v>77.082285248219421</v>
      </c>
      <c r="N396" s="120" t="s">
        <v>251</v>
      </c>
      <c r="O396" s="120">
        <v>1640052.327670238</v>
      </c>
      <c r="P396" s="120">
        <v>524769.18009515724</v>
      </c>
      <c r="Q396" s="120">
        <v>1115283.1475750806</v>
      </c>
      <c r="R396" s="120"/>
      <c r="S396" s="121"/>
    </row>
    <row r="397" spans="1:19" ht="15">
      <c r="A397" s="105">
        <v>11</v>
      </c>
      <c r="B397" s="129">
        <v>447</v>
      </c>
      <c r="C397" s="107" t="s">
        <v>558</v>
      </c>
      <c r="D397" s="107" t="s">
        <v>251</v>
      </c>
      <c r="E397" s="120">
        <v>19566109.554343909</v>
      </c>
      <c r="F397" s="120" t="s">
        <v>251</v>
      </c>
      <c r="G397" s="120">
        <v>17223346.175184157</v>
      </c>
      <c r="H397" s="120" t="s">
        <v>251</v>
      </c>
      <c r="I397" s="120">
        <v>702633.96920426679</v>
      </c>
      <c r="J397" s="120">
        <v>1640129.4099554862</v>
      </c>
      <c r="K397" s="120" t="s">
        <v>251</v>
      </c>
      <c r="L397" s="120" t="s">
        <v>251</v>
      </c>
      <c r="M397" s="120">
        <v>77.082285248219421</v>
      </c>
      <c r="N397" s="120" t="s">
        <v>251</v>
      </c>
      <c r="O397" s="120">
        <v>1640052.327670238</v>
      </c>
      <c r="P397" s="120">
        <v>524769.18009515724</v>
      </c>
      <c r="Q397" s="120">
        <v>1115283.1475750806</v>
      </c>
      <c r="R397" s="120"/>
      <c r="S397" s="121"/>
    </row>
    <row r="398" spans="1:19" ht="15">
      <c r="A398" s="105" t="s">
        <v>251</v>
      </c>
      <c r="B398" s="129" t="str">
        <f t="shared" si="12"/>
        <v/>
      </c>
      <c r="C398" s="107" t="s">
        <v>251</v>
      </c>
      <c r="D398" s="107" t="s">
        <v>251</v>
      </c>
      <c r="E398" s="120" t="s">
        <v>251</v>
      </c>
      <c r="F398" s="120" t="s">
        <v>251</v>
      </c>
      <c r="G398" s="120" t="s">
        <v>251</v>
      </c>
      <c r="H398" s="120" t="s">
        <v>251</v>
      </c>
      <c r="I398" s="120" t="s">
        <v>251</v>
      </c>
      <c r="J398" s="120" t="s">
        <v>251</v>
      </c>
      <c r="K398" s="120" t="s">
        <v>251</v>
      </c>
      <c r="L398" s="120" t="s">
        <v>251</v>
      </c>
      <c r="M398" s="120" t="s">
        <v>251</v>
      </c>
      <c r="N398" s="120" t="s">
        <v>251</v>
      </c>
      <c r="O398" s="120" t="s">
        <v>251</v>
      </c>
      <c r="P398" s="120" t="s">
        <v>251</v>
      </c>
      <c r="Q398" s="120" t="s">
        <v>251</v>
      </c>
      <c r="R398" s="120"/>
      <c r="S398" s="121"/>
    </row>
    <row r="399" spans="1:19" ht="15">
      <c r="A399" s="105">
        <v>12</v>
      </c>
      <c r="B399" s="129" t="str">
        <f t="shared" si="12"/>
        <v>449</v>
      </c>
      <c r="C399" s="107" t="s">
        <v>559</v>
      </c>
      <c r="D399" s="107" t="s">
        <v>251</v>
      </c>
      <c r="E399" s="120">
        <v>0</v>
      </c>
      <c r="F399" s="120" t="s">
        <v>251</v>
      </c>
      <c r="G399" s="120">
        <v>0</v>
      </c>
      <c r="H399" s="120" t="s">
        <v>251</v>
      </c>
      <c r="I399" s="120">
        <v>0</v>
      </c>
      <c r="J399" s="120">
        <v>0</v>
      </c>
      <c r="K399" s="120" t="s">
        <v>251</v>
      </c>
      <c r="L399" s="120" t="s">
        <v>251</v>
      </c>
      <c r="M399" s="120">
        <v>0</v>
      </c>
      <c r="N399" s="120" t="s">
        <v>251</v>
      </c>
      <c r="O399" s="120">
        <v>0</v>
      </c>
      <c r="P399" s="120">
        <v>0</v>
      </c>
      <c r="Q399" s="120">
        <v>0</v>
      </c>
      <c r="R399" s="120"/>
      <c r="S399" s="121"/>
    </row>
    <row r="400" spans="1:19" ht="15">
      <c r="A400" s="105" t="s">
        <v>251</v>
      </c>
      <c r="B400" s="129" t="str">
        <f t="shared" si="12"/>
        <v/>
      </c>
      <c r="C400" s="107" t="s">
        <v>251</v>
      </c>
      <c r="D400" s="107" t="s">
        <v>251</v>
      </c>
      <c r="E400" s="120" t="s">
        <v>251</v>
      </c>
      <c r="F400" s="120" t="s">
        <v>251</v>
      </c>
      <c r="G400" s="120" t="s">
        <v>251</v>
      </c>
      <c r="H400" s="120" t="s">
        <v>251</v>
      </c>
      <c r="I400" s="120" t="s">
        <v>251</v>
      </c>
      <c r="J400" s="120" t="s">
        <v>251</v>
      </c>
      <c r="K400" s="120" t="s">
        <v>251</v>
      </c>
      <c r="L400" s="120" t="s">
        <v>251</v>
      </c>
      <c r="M400" s="120" t="s">
        <v>251</v>
      </c>
      <c r="N400" s="120" t="s">
        <v>251</v>
      </c>
      <c r="O400" s="120" t="s">
        <v>251</v>
      </c>
      <c r="P400" s="120" t="s">
        <v>251</v>
      </c>
      <c r="Q400" s="120" t="s">
        <v>251</v>
      </c>
      <c r="R400" s="120"/>
      <c r="S400" s="121"/>
    </row>
    <row r="401" spans="1:19" ht="15">
      <c r="A401" s="105">
        <v>13</v>
      </c>
      <c r="B401" s="129"/>
      <c r="C401" s="107" t="s">
        <v>560</v>
      </c>
      <c r="D401" s="107" t="s">
        <v>251</v>
      </c>
      <c r="E401" s="120">
        <v>1701651344.8478873</v>
      </c>
      <c r="F401" s="120" t="s">
        <v>251</v>
      </c>
      <c r="G401" s="120">
        <v>1516710702.4333558</v>
      </c>
      <c r="H401" s="120" t="s">
        <v>251</v>
      </c>
      <c r="I401" s="120">
        <v>71704364.639113352</v>
      </c>
      <c r="J401" s="120">
        <v>113236277.77541812</v>
      </c>
      <c r="K401" s="120" t="s">
        <v>251</v>
      </c>
      <c r="L401" s="120" t="s">
        <v>251</v>
      </c>
      <c r="M401" s="120">
        <v>3783.7622852482186</v>
      </c>
      <c r="N401" s="120" t="s">
        <v>251</v>
      </c>
      <c r="O401" s="120">
        <v>113232494.01313287</v>
      </c>
      <c r="P401" s="120">
        <v>35101464.567657165</v>
      </c>
      <c r="Q401" s="120">
        <v>78131029.445475712</v>
      </c>
      <c r="R401" s="120"/>
      <c r="S401" s="121"/>
    </row>
    <row r="402" spans="1:19" ht="15">
      <c r="A402" s="105" t="s">
        <v>251</v>
      </c>
      <c r="B402" s="129" t="str">
        <f t="shared" si="12"/>
        <v/>
      </c>
      <c r="C402" s="107" t="s">
        <v>251</v>
      </c>
      <c r="D402" s="107" t="s">
        <v>251</v>
      </c>
      <c r="E402" s="120" t="s">
        <v>251</v>
      </c>
      <c r="F402" s="120" t="s">
        <v>251</v>
      </c>
      <c r="G402" s="120" t="s">
        <v>251</v>
      </c>
      <c r="H402" s="120" t="s">
        <v>251</v>
      </c>
      <c r="I402" s="120" t="s">
        <v>251</v>
      </c>
      <c r="J402" s="120" t="s">
        <v>251</v>
      </c>
      <c r="K402" s="120" t="s">
        <v>251</v>
      </c>
      <c r="L402" s="120" t="s">
        <v>251</v>
      </c>
      <c r="M402" s="120" t="s">
        <v>251</v>
      </c>
      <c r="N402" s="120" t="s">
        <v>251</v>
      </c>
      <c r="O402" s="120" t="s">
        <v>251</v>
      </c>
      <c r="P402" s="120" t="s">
        <v>251</v>
      </c>
      <c r="Q402" s="120" t="s">
        <v>251</v>
      </c>
      <c r="R402" s="120"/>
      <c r="S402" s="121"/>
    </row>
    <row r="403" spans="1:19" ht="15">
      <c r="A403" s="105" t="s">
        <v>251</v>
      </c>
      <c r="B403" s="129"/>
      <c r="C403" s="107" t="s">
        <v>561</v>
      </c>
      <c r="D403" s="107" t="s">
        <v>251</v>
      </c>
      <c r="E403" s="120" t="s">
        <v>251</v>
      </c>
      <c r="F403" s="120" t="s">
        <v>251</v>
      </c>
      <c r="G403" s="120" t="s">
        <v>251</v>
      </c>
      <c r="H403" s="120" t="s">
        <v>251</v>
      </c>
      <c r="I403" s="120" t="s">
        <v>251</v>
      </c>
      <c r="J403" s="120" t="s">
        <v>251</v>
      </c>
      <c r="K403" s="120" t="s">
        <v>251</v>
      </c>
      <c r="L403" s="120" t="s">
        <v>251</v>
      </c>
      <c r="M403" s="120" t="s">
        <v>251</v>
      </c>
      <c r="N403" s="120" t="s">
        <v>251</v>
      </c>
      <c r="O403" s="120" t="s">
        <v>251</v>
      </c>
      <c r="P403" s="120" t="s">
        <v>251</v>
      </c>
      <c r="Q403" s="120" t="s">
        <v>251</v>
      </c>
      <c r="R403" s="120"/>
      <c r="S403" s="121"/>
    </row>
    <row r="404" spans="1:19" ht="15">
      <c r="A404" s="105">
        <v>14</v>
      </c>
      <c r="B404" s="129" t="str">
        <f t="shared" si="12"/>
        <v>450</v>
      </c>
      <c r="C404" s="107" t="s">
        <v>562</v>
      </c>
      <c r="D404" s="107" t="s">
        <v>563</v>
      </c>
      <c r="E404" s="120">
        <v>4217202.873333334</v>
      </c>
      <c r="F404" s="120" t="s">
        <v>251</v>
      </c>
      <c r="G404" s="120">
        <v>4052472.731854388</v>
      </c>
      <c r="H404" s="120" t="s">
        <v>251</v>
      </c>
      <c r="I404" s="120">
        <v>164598.33428258865</v>
      </c>
      <c r="J404" s="120">
        <v>131.80719635766738</v>
      </c>
      <c r="K404" s="120" t="s">
        <v>251</v>
      </c>
      <c r="L404" s="120" t="s">
        <v>251</v>
      </c>
      <c r="M404" s="120">
        <v>0</v>
      </c>
      <c r="N404" s="120" t="s">
        <v>251</v>
      </c>
      <c r="O404" s="120">
        <v>131.80719635766738</v>
      </c>
      <c r="P404" s="120">
        <v>29.585139040042744</v>
      </c>
      <c r="Q404" s="120">
        <v>102.22205731762463</v>
      </c>
      <c r="R404" s="120"/>
      <c r="S404" s="121"/>
    </row>
    <row r="405" spans="1:19" ht="15">
      <c r="A405" s="105">
        <v>15</v>
      </c>
      <c r="B405" s="129" t="str">
        <f t="shared" si="12"/>
        <v>451</v>
      </c>
      <c r="C405" s="107" t="s">
        <v>564</v>
      </c>
      <c r="D405" s="107" t="s">
        <v>565</v>
      </c>
      <c r="E405" s="120">
        <v>2332613.8166666655</v>
      </c>
      <c r="F405" s="120" t="s">
        <v>251</v>
      </c>
      <c r="G405" s="120">
        <v>2184498.593804033</v>
      </c>
      <c r="H405" s="120" t="s">
        <v>251</v>
      </c>
      <c r="I405" s="120">
        <v>148115.22286263265</v>
      </c>
      <c r="J405" s="120">
        <v>0</v>
      </c>
      <c r="K405" s="120" t="s">
        <v>251</v>
      </c>
      <c r="L405" s="120" t="s">
        <v>251</v>
      </c>
      <c r="M405" s="120">
        <v>0</v>
      </c>
      <c r="N405" s="120" t="s">
        <v>251</v>
      </c>
      <c r="O405" s="120">
        <v>0</v>
      </c>
      <c r="P405" s="120">
        <v>0</v>
      </c>
      <c r="Q405" s="120">
        <v>0</v>
      </c>
      <c r="R405" s="120"/>
      <c r="S405" s="121"/>
    </row>
    <row r="406" spans="1:19" ht="15">
      <c r="A406" s="105">
        <v>16</v>
      </c>
      <c r="B406" s="129" t="str">
        <f t="shared" si="12"/>
        <v>451</v>
      </c>
      <c r="C406" s="107" t="s">
        <v>566</v>
      </c>
      <c r="D406" s="107" t="s">
        <v>567</v>
      </c>
      <c r="E406" s="120">
        <v>60783.496666666717</v>
      </c>
      <c r="F406" s="120" t="s">
        <v>251</v>
      </c>
      <c r="G406" s="120">
        <v>60321.1663863332</v>
      </c>
      <c r="H406" s="120" t="s">
        <v>251</v>
      </c>
      <c r="I406" s="120">
        <v>462.33028033351934</v>
      </c>
      <c r="J406" s="120">
        <v>0</v>
      </c>
      <c r="K406" s="120" t="s">
        <v>251</v>
      </c>
      <c r="L406" s="120" t="s">
        <v>251</v>
      </c>
      <c r="M406" s="120">
        <v>0</v>
      </c>
      <c r="N406" s="120" t="s">
        <v>251</v>
      </c>
      <c r="O406" s="120">
        <v>0</v>
      </c>
      <c r="P406" s="120">
        <v>0</v>
      </c>
      <c r="Q406" s="120">
        <v>0</v>
      </c>
      <c r="R406" s="120"/>
      <c r="S406" s="121"/>
    </row>
    <row r="407" spans="1:19" ht="15">
      <c r="A407" s="105">
        <v>17</v>
      </c>
      <c r="B407" s="129" t="str">
        <f t="shared" si="12"/>
        <v>454</v>
      </c>
      <c r="C407" s="107" t="s">
        <v>568</v>
      </c>
      <c r="D407" s="107" t="s">
        <v>569</v>
      </c>
      <c r="E407" s="120">
        <v>3533818.1549999975</v>
      </c>
      <c r="F407" s="120" t="s">
        <v>251</v>
      </c>
      <c r="G407" s="120">
        <v>3142710.7749999976</v>
      </c>
      <c r="H407" s="120" t="s">
        <v>251</v>
      </c>
      <c r="I407" s="120">
        <v>387734.87</v>
      </c>
      <c r="J407" s="120">
        <v>3372.5100000000011</v>
      </c>
      <c r="K407" s="120" t="s">
        <v>251</v>
      </c>
      <c r="L407" s="120" t="s">
        <v>251</v>
      </c>
      <c r="M407" s="120">
        <v>57.500000000000007</v>
      </c>
      <c r="N407" s="120" t="s">
        <v>251</v>
      </c>
      <c r="O407" s="120">
        <v>3315.0100000000011</v>
      </c>
      <c r="P407" s="120">
        <v>3315.0100000000011</v>
      </c>
      <c r="Q407" s="120">
        <v>0</v>
      </c>
      <c r="R407" s="120"/>
      <c r="S407" s="121"/>
    </row>
    <row r="408" spans="1:19" ht="15">
      <c r="A408" s="105">
        <v>18</v>
      </c>
      <c r="B408" s="129" t="str">
        <f t="shared" si="12"/>
        <v>454</v>
      </c>
      <c r="C408" s="107" t="s">
        <v>2496</v>
      </c>
      <c r="D408" s="107" t="s">
        <v>512</v>
      </c>
      <c r="E408" s="120">
        <v>204.31</v>
      </c>
      <c r="F408" s="120" t="s">
        <v>251</v>
      </c>
      <c r="G408" s="120">
        <v>204.31</v>
      </c>
      <c r="H408" s="120" t="s">
        <v>251</v>
      </c>
      <c r="I408" s="120">
        <v>0</v>
      </c>
      <c r="J408" s="120">
        <v>0</v>
      </c>
      <c r="K408" s="120" t="s">
        <v>251</v>
      </c>
      <c r="L408" s="120" t="s">
        <v>251</v>
      </c>
      <c r="M408" s="120">
        <v>0</v>
      </c>
      <c r="N408" s="120" t="s">
        <v>251</v>
      </c>
      <c r="O408" s="120">
        <v>0</v>
      </c>
      <c r="P408" s="120">
        <v>0</v>
      </c>
      <c r="Q408" s="120">
        <v>0</v>
      </c>
      <c r="R408" s="120"/>
      <c r="S408" s="121"/>
    </row>
    <row r="409" spans="1:19" ht="15">
      <c r="A409" s="105">
        <v>19</v>
      </c>
      <c r="B409" s="129" t="str">
        <f t="shared" si="12"/>
        <v>454</v>
      </c>
      <c r="C409" s="107" t="s">
        <v>2497</v>
      </c>
      <c r="D409" s="107" t="s">
        <v>733</v>
      </c>
      <c r="E409" s="120">
        <v>7209624.9799999995</v>
      </c>
      <c r="F409" s="120" t="s">
        <v>251</v>
      </c>
      <c r="G409" s="120">
        <v>6425489.3999999994</v>
      </c>
      <c r="H409" s="120" t="s">
        <v>251</v>
      </c>
      <c r="I409" s="120">
        <v>210169.88</v>
      </c>
      <c r="J409" s="120">
        <v>573965.69999999984</v>
      </c>
      <c r="K409" s="120" t="s">
        <v>251</v>
      </c>
      <c r="L409" s="120" t="s">
        <v>251</v>
      </c>
      <c r="M409" s="120">
        <v>0</v>
      </c>
      <c r="N409" s="120" t="s">
        <v>251</v>
      </c>
      <c r="O409" s="120">
        <v>573965.69999999984</v>
      </c>
      <c r="P409" s="120">
        <v>177842.12686865285</v>
      </c>
      <c r="Q409" s="120">
        <v>396123.57313134696</v>
      </c>
      <c r="R409" s="120"/>
      <c r="S409" s="121"/>
    </row>
    <row r="410" spans="1:19" ht="15">
      <c r="A410" s="105">
        <v>20</v>
      </c>
      <c r="B410" s="129" t="str">
        <f t="shared" si="12"/>
        <v>456</v>
      </c>
      <c r="C410" s="107" t="s">
        <v>570</v>
      </c>
      <c r="D410" s="107" t="s">
        <v>341</v>
      </c>
      <c r="E410" s="120">
        <v>24015475.237099051</v>
      </c>
      <c r="F410" s="120" t="s">
        <v>251</v>
      </c>
      <c r="G410" s="120">
        <v>22963858.198680442</v>
      </c>
      <c r="H410" s="120" t="s">
        <v>251</v>
      </c>
      <c r="I410" s="120">
        <v>1051543.3276328414</v>
      </c>
      <c r="J410" s="120">
        <v>73.710785769661811</v>
      </c>
      <c r="K410" s="120" t="s">
        <v>251</v>
      </c>
      <c r="L410" s="120" t="s">
        <v>251</v>
      </c>
      <c r="M410" s="120">
        <v>73.710785769661811</v>
      </c>
      <c r="N410" s="120" t="s">
        <v>251</v>
      </c>
      <c r="O410" s="120">
        <v>0</v>
      </c>
      <c r="P410" s="120">
        <v>0</v>
      </c>
      <c r="Q410" s="120">
        <v>0</v>
      </c>
      <c r="R410" s="120"/>
      <c r="S410" s="121"/>
    </row>
    <row r="411" spans="1:19" ht="15">
      <c r="A411" s="105">
        <v>21</v>
      </c>
      <c r="B411" s="129" t="str">
        <f t="shared" si="12"/>
        <v>456</v>
      </c>
      <c r="C411" s="107" t="s">
        <v>571</v>
      </c>
      <c r="D411" s="107" t="s">
        <v>572</v>
      </c>
      <c r="E411" s="120">
        <v>865460.89607927389</v>
      </c>
      <c r="F411" s="120" t="s">
        <v>251</v>
      </c>
      <c r="G411" s="120">
        <v>758780.12265552522</v>
      </c>
      <c r="H411" s="120" t="s">
        <v>251</v>
      </c>
      <c r="I411" s="120">
        <v>34745.475617189419</v>
      </c>
      <c r="J411" s="120">
        <v>71935.297806559247</v>
      </c>
      <c r="K411" s="120" t="s">
        <v>251</v>
      </c>
      <c r="L411" s="120" t="s">
        <v>251</v>
      </c>
      <c r="M411" s="120">
        <v>2.4355784896177863</v>
      </c>
      <c r="N411" s="120" t="s">
        <v>251</v>
      </c>
      <c r="O411" s="120">
        <v>71932.862228069629</v>
      </c>
      <c r="P411" s="120">
        <v>22190.068503209732</v>
      </c>
      <c r="Q411" s="120">
        <v>49742.793724859897</v>
      </c>
      <c r="R411" s="120"/>
      <c r="S411" s="121"/>
    </row>
    <row r="412" spans="1:19" ht="15">
      <c r="A412" s="105">
        <v>22</v>
      </c>
      <c r="B412" s="129" t="str">
        <f t="shared" si="12"/>
        <v>456</v>
      </c>
      <c r="C412" s="107" t="s">
        <v>573</v>
      </c>
      <c r="D412" s="107" t="s">
        <v>512</v>
      </c>
      <c r="E412" s="120">
        <v>805.51000000000033</v>
      </c>
      <c r="F412" s="120" t="s">
        <v>251</v>
      </c>
      <c r="G412" s="120">
        <v>805.51000000000033</v>
      </c>
      <c r="H412" s="120" t="s">
        <v>251</v>
      </c>
      <c r="I412" s="120">
        <v>0</v>
      </c>
      <c r="J412" s="120">
        <v>0</v>
      </c>
      <c r="K412" s="120" t="s">
        <v>251</v>
      </c>
      <c r="L412" s="120" t="s">
        <v>251</v>
      </c>
      <c r="M412" s="120">
        <v>0</v>
      </c>
      <c r="N412" s="120" t="s">
        <v>251</v>
      </c>
      <c r="O412" s="120">
        <v>0</v>
      </c>
      <c r="P412" s="120">
        <v>0</v>
      </c>
      <c r="Q412" s="120">
        <v>0</v>
      </c>
      <c r="R412" s="120"/>
      <c r="S412" s="121"/>
    </row>
    <row r="413" spans="1:19" ht="15">
      <c r="A413" s="105">
        <v>23</v>
      </c>
      <c r="B413" s="129" t="str">
        <f t="shared" si="12"/>
        <v>456</v>
      </c>
      <c r="C413" s="107" t="s">
        <v>574</v>
      </c>
      <c r="D413" s="107" t="s">
        <v>575</v>
      </c>
      <c r="E413" s="120">
        <v>173593.33333333355</v>
      </c>
      <c r="F413" s="120" t="s">
        <v>251</v>
      </c>
      <c r="G413" s="120">
        <v>173593.33333333355</v>
      </c>
      <c r="H413" s="120" t="s">
        <v>251</v>
      </c>
      <c r="I413" s="120">
        <v>0</v>
      </c>
      <c r="J413" s="120">
        <v>0</v>
      </c>
      <c r="K413" s="120" t="s">
        <v>251</v>
      </c>
      <c r="L413" s="120" t="s">
        <v>251</v>
      </c>
      <c r="M413" s="120">
        <v>0</v>
      </c>
      <c r="N413" s="120" t="s">
        <v>251</v>
      </c>
      <c r="O413" s="120">
        <v>0</v>
      </c>
      <c r="P413" s="120">
        <v>0</v>
      </c>
      <c r="Q413" s="120">
        <v>0</v>
      </c>
      <c r="R413" s="120"/>
      <c r="S413" s="121"/>
    </row>
    <row r="414" spans="1:19" ht="15">
      <c r="A414" s="105">
        <v>24</v>
      </c>
      <c r="B414" s="129" t="str">
        <f t="shared" si="12"/>
        <v>456</v>
      </c>
      <c r="C414" s="107" t="s">
        <v>576</v>
      </c>
      <c r="D414" s="107" t="s">
        <v>577</v>
      </c>
      <c r="E414" s="120">
        <v>33724.023333326302</v>
      </c>
      <c r="F414" s="120" t="s">
        <v>251</v>
      </c>
      <c r="G414" s="120">
        <v>33724.023333326302</v>
      </c>
      <c r="H414" s="120" t="s">
        <v>251</v>
      </c>
      <c r="I414" s="120">
        <v>0</v>
      </c>
      <c r="J414" s="120">
        <v>0</v>
      </c>
      <c r="K414" s="120" t="s">
        <v>251</v>
      </c>
      <c r="L414" s="120" t="s">
        <v>251</v>
      </c>
      <c r="M414" s="120">
        <v>0</v>
      </c>
      <c r="N414" s="120" t="s">
        <v>251</v>
      </c>
      <c r="O414" s="120">
        <v>0</v>
      </c>
      <c r="P414" s="120">
        <v>0</v>
      </c>
      <c r="Q414" s="120">
        <v>0</v>
      </c>
      <c r="R414" s="120"/>
      <c r="S414" s="121"/>
    </row>
    <row r="415" spans="1:19" ht="15">
      <c r="A415" s="105">
        <v>25</v>
      </c>
      <c r="B415" s="129" t="str">
        <f t="shared" si="12"/>
        <v>456</v>
      </c>
      <c r="C415" s="107" t="s">
        <v>578</v>
      </c>
      <c r="D415" s="107" t="s">
        <v>579</v>
      </c>
      <c r="E415" s="120">
        <v>40271.294999999969</v>
      </c>
      <c r="F415" s="120" t="s">
        <v>251</v>
      </c>
      <c r="G415" s="120">
        <v>38581.978854472662</v>
      </c>
      <c r="H415" s="120" t="s">
        <v>251</v>
      </c>
      <c r="I415" s="120">
        <v>1689.31614552731</v>
      </c>
      <c r="J415" s="120">
        <v>0</v>
      </c>
      <c r="K415" s="120" t="s">
        <v>251</v>
      </c>
      <c r="L415" s="120" t="s">
        <v>251</v>
      </c>
      <c r="M415" s="120">
        <v>0</v>
      </c>
      <c r="N415" s="120" t="s">
        <v>251</v>
      </c>
      <c r="O415" s="120">
        <v>0</v>
      </c>
      <c r="P415" s="120">
        <v>0</v>
      </c>
      <c r="Q415" s="120">
        <v>0</v>
      </c>
      <c r="R415" s="120"/>
      <c r="S415" s="121"/>
    </row>
    <row r="416" spans="1:19" ht="15">
      <c r="A416" s="105">
        <v>26</v>
      </c>
      <c r="B416" s="129" t="str">
        <f t="shared" si="12"/>
        <v>456</v>
      </c>
      <c r="C416" s="107" t="s">
        <v>2498</v>
      </c>
      <c r="D416" s="107" t="s">
        <v>733</v>
      </c>
      <c r="E416" s="120">
        <v>173880.63</v>
      </c>
      <c r="F416" s="120" t="s">
        <v>251</v>
      </c>
      <c r="G416" s="120">
        <v>161938.82</v>
      </c>
      <c r="H416" s="120" t="s">
        <v>251</v>
      </c>
      <c r="I416" s="120">
        <v>5145.91</v>
      </c>
      <c r="J416" s="120">
        <v>6795.899999999996</v>
      </c>
      <c r="K416" s="120" t="s">
        <v>251</v>
      </c>
      <c r="L416" s="120" t="s">
        <v>251</v>
      </c>
      <c r="M416" s="120">
        <v>0</v>
      </c>
      <c r="N416" s="120" t="s">
        <v>251</v>
      </c>
      <c r="O416" s="120">
        <v>6795.899999999996</v>
      </c>
      <c r="P416" s="120">
        <v>2105.6960546365012</v>
      </c>
      <c r="Q416" s="120">
        <v>4690.2039453634943</v>
      </c>
      <c r="R416" s="120"/>
      <c r="S416" s="121"/>
    </row>
    <row r="417" spans="1:19" ht="15">
      <c r="A417" s="105">
        <v>27</v>
      </c>
      <c r="B417" s="129" t="str">
        <f t="shared" si="12"/>
        <v>TAL</v>
      </c>
      <c r="C417" s="107" t="s">
        <v>580</v>
      </c>
      <c r="D417" s="107" t="s">
        <v>251</v>
      </c>
      <c r="E417" s="120">
        <v>42657458.556511648</v>
      </c>
      <c r="F417" s="120" t="s">
        <v>251</v>
      </c>
      <c r="G417" s="120">
        <v>39996978.963901848</v>
      </c>
      <c r="H417" s="120" t="s">
        <v>251</v>
      </c>
      <c r="I417" s="120">
        <v>2004204.6668211129</v>
      </c>
      <c r="J417" s="120">
        <v>656274.92578868638</v>
      </c>
      <c r="K417" s="120" t="s">
        <v>251</v>
      </c>
      <c r="L417" s="120" t="s">
        <v>251</v>
      </c>
      <c r="M417" s="120">
        <v>133.64636425927961</v>
      </c>
      <c r="N417" s="120" t="s">
        <v>251</v>
      </c>
      <c r="O417" s="120">
        <v>656141.27942442708</v>
      </c>
      <c r="P417" s="120">
        <v>205482.48656553912</v>
      </c>
      <c r="Q417" s="120">
        <v>450658.79285888799</v>
      </c>
      <c r="R417" s="120"/>
      <c r="S417" s="121"/>
    </row>
    <row r="418" spans="1:19" ht="15">
      <c r="A418" s="105" t="s">
        <v>251</v>
      </c>
      <c r="B418" s="129"/>
      <c r="C418" s="107" t="s">
        <v>251</v>
      </c>
      <c r="D418" s="107" t="s">
        <v>251</v>
      </c>
      <c r="E418" s="120" t="s">
        <v>251</v>
      </c>
      <c r="F418" s="120" t="s">
        <v>251</v>
      </c>
      <c r="G418" s="120" t="s">
        <v>251</v>
      </c>
      <c r="H418" s="120" t="s">
        <v>251</v>
      </c>
      <c r="I418" s="120" t="s">
        <v>251</v>
      </c>
      <c r="J418" s="120" t="s">
        <v>251</v>
      </c>
      <c r="K418" s="120" t="s">
        <v>251</v>
      </c>
      <c r="L418" s="120" t="s">
        <v>251</v>
      </c>
      <c r="M418" s="120" t="s">
        <v>251</v>
      </c>
      <c r="N418" s="120" t="s">
        <v>251</v>
      </c>
      <c r="O418" s="120" t="s">
        <v>251</v>
      </c>
      <c r="P418" s="120" t="s">
        <v>251</v>
      </c>
      <c r="Q418" s="120" t="s">
        <v>251</v>
      </c>
      <c r="R418" s="120"/>
      <c r="S418" s="121"/>
    </row>
    <row r="419" spans="1:19" ht="15">
      <c r="A419" s="105">
        <v>28</v>
      </c>
      <c r="B419" s="129" t="str">
        <f t="shared" si="12"/>
        <v>TAL</v>
      </c>
      <c r="C419" s="107" t="s">
        <v>581</v>
      </c>
      <c r="D419" s="107" t="s">
        <v>251</v>
      </c>
      <c r="E419" s="120">
        <v>1744308803.4043989</v>
      </c>
      <c r="F419" s="120" t="s">
        <v>251</v>
      </c>
      <c r="G419" s="120">
        <v>1556707681.3972576</v>
      </c>
      <c r="H419" s="120" t="s">
        <v>251</v>
      </c>
      <c r="I419" s="120">
        <v>73708569.305934459</v>
      </c>
      <c r="J419" s="120">
        <v>113892552.7012068</v>
      </c>
      <c r="K419" s="120" t="s">
        <v>251</v>
      </c>
      <c r="L419" s="120" t="s">
        <v>251</v>
      </c>
      <c r="M419" s="120">
        <v>3917.408649507498</v>
      </c>
      <c r="N419" s="120" t="s">
        <v>251</v>
      </c>
      <c r="O419" s="120">
        <v>113888635.2925573</v>
      </c>
      <c r="P419" s="120">
        <v>35306947.054222703</v>
      </c>
      <c r="Q419" s="120">
        <v>78581688.238334596</v>
      </c>
      <c r="R419" s="120"/>
      <c r="S419" s="121"/>
    </row>
    <row r="420" spans="1:19" ht="15">
      <c r="A420" s="105" t="s">
        <v>251</v>
      </c>
      <c r="B420" s="129"/>
      <c r="C420" s="107" t="s">
        <v>251</v>
      </c>
      <c r="D420" s="107" t="s">
        <v>251</v>
      </c>
      <c r="E420" s="120" t="s">
        <v>251</v>
      </c>
      <c r="F420" s="120" t="s">
        <v>251</v>
      </c>
      <c r="G420" s="120" t="s">
        <v>251</v>
      </c>
      <c r="H420" s="120" t="s">
        <v>251</v>
      </c>
      <c r="I420" s="120" t="s">
        <v>251</v>
      </c>
      <c r="J420" s="120" t="s">
        <v>251</v>
      </c>
      <c r="K420" s="120" t="s">
        <v>251</v>
      </c>
      <c r="L420" s="120" t="s">
        <v>251</v>
      </c>
      <c r="M420" s="120" t="s">
        <v>251</v>
      </c>
      <c r="N420" s="120" t="s">
        <v>251</v>
      </c>
      <c r="O420" s="120" t="s">
        <v>251</v>
      </c>
      <c r="P420" s="120" t="s">
        <v>251</v>
      </c>
      <c r="Q420" s="120" t="s">
        <v>251</v>
      </c>
      <c r="R420" s="120"/>
      <c r="S420" s="121"/>
    </row>
    <row r="421" spans="1:19" ht="15">
      <c r="A421" s="105" t="s">
        <v>251</v>
      </c>
      <c r="B421" s="129" t="str">
        <f t="shared" si="12"/>
        <v/>
      </c>
      <c r="C421" s="107" t="s">
        <v>251</v>
      </c>
      <c r="D421" s="107" t="s">
        <v>251</v>
      </c>
      <c r="E421" s="120" t="s">
        <v>251</v>
      </c>
      <c r="F421" s="120" t="s">
        <v>251</v>
      </c>
      <c r="G421" s="120" t="s">
        <v>251</v>
      </c>
      <c r="H421" s="120" t="s">
        <v>251</v>
      </c>
      <c r="I421" s="120" t="s">
        <v>251</v>
      </c>
      <c r="J421" s="120" t="s">
        <v>251</v>
      </c>
      <c r="K421" s="120" t="s">
        <v>251</v>
      </c>
      <c r="L421" s="120" t="s">
        <v>251</v>
      </c>
      <c r="M421" s="120" t="s">
        <v>251</v>
      </c>
      <c r="N421" s="120" t="s">
        <v>251</v>
      </c>
      <c r="O421" s="120" t="s">
        <v>251</v>
      </c>
      <c r="P421" s="120" t="s">
        <v>251</v>
      </c>
      <c r="Q421" s="120" t="s">
        <v>251</v>
      </c>
      <c r="R421" s="120"/>
      <c r="S421" s="121"/>
    </row>
    <row r="422" spans="1:19" ht="15">
      <c r="A422" s="105" t="s">
        <v>251</v>
      </c>
      <c r="B422" s="129" t="str">
        <f t="shared" si="12"/>
        <v>ERA</v>
      </c>
      <c r="C422" s="107" t="s">
        <v>582</v>
      </c>
      <c r="D422" s="107" t="s">
        <v>251</v>
      </c>
      <c r="E422" s="120" t="s">
        <v>251</v>
      </c>
      <c r="F422" s="120" t="s">
        <v>251</v>
      </c>
      <c r="G422" s="120" t="s">
        <v>251</v>
      </c>
      <c r="H422" s="120" t="s">
        <v>251</v>
      </c>
      <c r="I422" s="120" t="s">
        <v>251</v>
      </c>
      <c r="J422" s="120" t="s">
        <v>251</v>
      </c>
      <c r="K422" s="120" t="s">
        <v>251</v>
      </c>
      <c r="L422" s="120" t="s">
        <v>251</v>
      </c>
      <c r="M422" s="120" t="s">
        <v>251</v>
      </c>
      <c r="N422" s="120" t="s">
        <v>251</v>
      </c>
      <c r="O422" s="120" t="s">
        <v>251</v>
      </c>
      <c r="P422" s="120" t="s">
        <v>251</v>
      </c>
      <c r="Q422" s="120" t="s">
        <v>251</v>
      </c>
      <c r="R422" s="120"/>
      <c r="S422" s="121"/>
    </row>
    <row r="423" spans="1:19" ht="15">
      <c r="A423" s="105" t="s">
        <v>251</v>
      </c>
      <c r="B423" s="129"/>
      <c r="C423" s="107" t="s">
        <v>251</v>
      </c>
      <c r="D423" s="107" t="s">
        <v>251</v>
      </c>
      <c r="E423" s="120" t="s">
        <v>251</v>
      </c>
      <c r="F423" s="120" t="s">
        <v>251</v>
      </c>
      <c r="G423" s="120" t="s">
        <v>251</v>
      </c>
      <c r="H423" s="120" t="s">
        <v>251</v>
      </c>
      <c r="I423" s="120" t="s">
        <v>251</v>
      </c>
      <c r="J423" s="120" t="s">
        <v>251</v>
      </c>
      <c r="K423" s="120" t="s">
        <v>251</v>
      </c>
      <c r="L423" s="120" t="s">
        <v>251</v>
      </c>
      <c r="M423" s="120" t="s">
        <v>251</v>
      </c>
      <c r="N423" s="120" t="s">
        <v>251</v>
      </c>
      <c r="O423" s="120" t="s">
        <v>251</v>
      </c>
      <c r="P423" s="120" t="s">
        <v>251</v>
      </c>
      <c r="Q423" s="120" t="s">
        <v>251</v>
      </c>
      <c r="R423" s="120"/>
      <c r="S423" s="121"/>
    </row>
    <row r="424" spans="1:19" ht="15">
      <c r="A424" s="105" t="s">
        <v>251</v>
      </c>
      <c r="B424" s="129" t="str">
        <f t="shared" si="12"/>
        <v>ODU</v>
      </c>
      <c r="C424" s="107" t="s">
        <v>583</v>
      </c>
      <c r="D424" s="107" t="s">
        <v>251</v>
      </c>
      <c r="E424" s="120" t="s">
        <v>251</v>
      </c>
      <c r="F424" s="120" t="s">
        <v>251</v>
      </c>
      <c r="G424" s="120" t="s">
        <v>251</v>
      </c>
      <c r="H424" s="120" t="s">
        <v>251</v>
      </c>
      <c r="I424" s="120" t="s">
        <v>251</v>
      </c>
      <c r="J424" s="120" t="s">
        <v>251</v>
      </c>
      <c r="K424" s="120" t="s">
        <v>251</v>
      </c>
      <c r="L424" s="120" t="s">
        <v>251</v>
      </c>
      <c r="M424" s="120" t="s">
        <v>251</v>
      </c>
      <c r="N424" s="120" t="s">
        <v>251</v>
      </c>
      <c r="O424" s="120" t="s">
        <v>251</v>
      </c>
      <c r="P424" s="120" t="s">
        <v>251</v>
      </c>
      <c r="Q424" s="120" t="s">
        <v>251</v>
      </c>
      <c r="R424" s="120"/>
      <c r="S424" s="121"/>
    </row>
    <row r="425" spans="1:19" ht="15">
      <c r="A425" s="105">
        <v>1</v>
      </c>
      <c r="B425" s="129"/>
      <c r="C425" s="107" t="s">
        <v>584</v>
      </c>
      <c r="D425" s="107" t="s">
        <v>585</v>
      </c>
      <c r="E425" s="120">
        <v>9469934.6199999973</v>
      </c>
      <c r="F425" s="120" t="s">
        <v>251</v>
      </c>
      <c r="G425" s="120">
        <v>8310195.8424413204</v>
      </c>
      <c r="H425" s="120" t="s">
        <v>251</v>
      </c>
      <c r="I425" s="120">
        <v>364316.20279818826</v>
      </c>
      <c r="J425" s="120">
        <v>795422.57476048963</v>
      </c>
      <c r="K425" s="120" t="s">
        <v>251</v>
      </c>
      <c r="L425" s="120" t="s">
        <v>251</v>
      </c>
      <c r="M425" s="120">
        <v>24.89610014965378</v>
      </c>
      <c r="N425" s="120" t="s">
        <v>251</v>
      </c>
      <c r="O425" s="120">
        <v>795397.67866034003</v>
      </c>
      <c r="P425" s="120">
        <v>245366.69930922877</v>
      </c>
      <c r="Q425" s="120">
        <v>550030.97935111122</v>
      </c>
      <c r="R425" s="120"/>
      <c r="S425" s="121"/>
    </row>
    <row r="426" spans="1:19" ht="15">
      <c r="A426" s="105">
        <v>2</v>
      </c>
      <c r="B426" s="129" t="str">
        <f t="shared" si="12"/>
        <v>501</v>
      </c>
      <c r="C426" s="107" t="s">
        <v>586</v>
      </c>
      <c r="D426" s="107" t="s">
        <v>495</v>
      </c>
      <c r="E426" s="120">
        <v>355588685.1835674</v>
      </c>
      <c r="F426" s="120" t="s">
        <v>251</v>
      </c>
      <c r="G426" s="120">
        <v>312982793.77714741</v>
      </c>
      <c r="H426" s="120" t="s">
        <v>251</v>
      </c>
      <c r="I426" s="120">
        <v>12788936.992635259</v>
      </c>
      <c r="J426" s="120">
        <v>29816954.413784754</v>
      </c>
      <c r="K426" s="120" t="s">
        <v>251</v>
      </c>
      <c r="L426" s="120" t="s">
        <v>251</v>
      </c>
      <c r="M426" s="120">
        <v>1412.8885714608402</v>
      </c>
      <c r="N426" s="120" t="s">
        <v>251</v>
      </c>
      <c r="O426" s="120">
        <v>29815541.525213294</v>
      </c>
      <c r="P426" s="120">
        <v>9542598.6866041776</v>
      </c>
      <c r="Q426" s="120">
        <v>20272942.838609118</v>
      </c>
      <c r="R426" s="120"/>
      <c r="S426" s="121"/>
    </row>
    <row r="427" spans="1:19" ht="15">
      <c r="A427" s="105">
        <v>3</v>
      </c>
      <c r="B427" s="129" t="str">
        <f t="shared" si="12"/>
        <v>502</v>
      </c>
      <c r="C427" s="107" t="s">
        <v>2235</v>
      </c>
      <c r="D427" s="107" t="s">
        <v>585</v>
      </c>
      <c r="E427" s="120">
        <v>21055631.709999897</v>
      </c>
      <c r="F427" s="120" t="s">
        <v>251</v>
      </c>
      <c r="G427" s="120">
        <v>18324366.712854285</v>
      </c>
      <c r="H427" s="120" t="s">
        <v>251</v>
      </c>
      <c r="I427" s="120">
        <v>857989.84379079135</v>
      </c>
      <c r="J427" s="120">
        <v>1873275.1533548196</v>
      </c>
      <c r="K427" s="120" t="s">
        <v>251</v>
      </c>
      <c r="L427" s="120" t="s">
        <v>251</v>
      </c>
      <c r="M427" s="120">
        <v>58.632036989675086</v>
      </c>
      <c r="N427" s="120" t="s">
        <v>251</v>
      </c>
      <c r="O427" s="120">
        <v>1873216.5213178298</v>
      </c>
      <c r="P427" s="120">
        <v>577855.53976144537</v>
      </c>
      <c r="Q427" s="120">
        <v>1295360.9815563844</v>
      </c>
      <c r="R427" s="120"/>
      <c r="S427" s="121"/>
    </row>
    <row r="428" spans="1:19" ht="15">
      <c r="A428" s="105">
        <v>4</v>
      </c>
      <c r="B428" s="129" t="str">
        <f t="shared" si="12"/>
        <v>504</v>
      </c>
      <c r="C428" s="107" t="s">
        <v>2236</v>
      </c>
      <c r="D428" s="107" t="s">
        <v>585</v>
      </c>
      <c r="E428" s="120">
        <v>0</v>
      </c>
      <c r="F428" s="120" t="s">
        <v>251</v>
      </c>
      <c r="G428" s="120">
        <v>0</v>
      </c>
      <c r="H428" s="120" t="s">
        <v>251</v>
      </c>
      <c r="I428" s="120">
        <v>0</v>
      </c>
      <c r="J428" s="120">
        <v>0</v>
      </c>
      <c r="K428" s="120" t="s">
        <v>251</v>
      </c>
      <c r="L428" s="120" t="s">
        <v>251</v>
      </c>
      <c r="M428" s="120">
        <v>0</v>
      </c>
      <c r="N428" s="120" t="s">
        <v>251</v>
      </c>
      <c r="O428" s="120">
        <v>0</v>
      </c>
      <c r="P428" s="120">
        <v>0</v>
      </c>
      <c r="Q428" s="120">
        <v>0</v>
      </c>
      <c r="R428" s="120"/>
      <c r="S428" s="121"/>
    </row>
    <row r="429" spans="1:19" ht="15">
      <c r="A429" s="105">
        <v>5</v>
      </c>
      <c r="B429" s="129" t="str">
        <f t="shared" si="12"/>
        <v>505</v>
      </c>
      <c r="C429" s="107" t="s">
        <v>588</v>
      </c>
      <c r="D429" s="107" t="s">
        <v>585</v>
      </c>
      <c r="E429" s="120">
        <v>7627042.9000000004</v>
      </c>
      <c r="F429" s="120" t="s">
        <v>251</v>
      </c>
      <c r="G429" s="120">
        <v>6640088.4610574711</v>
      </c>
      <c r="H429" s="120" t="s">
        <v>251</v>
      </c>
      <c r="I429" s="120">
        <v>310038.34698643244</v>
      </c>
      <c r="J429" s="120">
        <v>676916.09195609635</v>
      </c>
      <c r="K429" s="120" t="s">
        <v>251</v>
      </c>
      <c r="L429" s="120" t="s">
        <v>251</v>
      </c>
      <c r="M429" s="120">
        <v>21.186940568446541</v>
      </c>
      <c r="N429" s="120" t="s">
        <v>251</v>
      </c>
      <c r="O429" s="120">
        <v>676894.90501552785</v>
      </c>
      <c r="P429" s="120">
        <v>208810.60264423853</v>
      </c>
      <c r="Q429" s="120">
        <v>468084.30237128929</v>
      </c>
      <c r="R429" s="120"/>
      <c r="S429" s="121"/>
    </row>
    <row r="430" spans="1:19" ht="15">
      <c r="A430" s="105">
        <v>6</v>
      </c>
      <c r="B430" s="129" t="str">
        <f t="shared" si="12"/>
        <v>506</v>
      </c>
      <c r="C430" s="107" t="s">
        <v>589</v>
      </c>
      <c r="D430" s="107" t="s">
        <v>585</v>
      </c>
      <c r="E430" s="120">
        <v>27996016.729999878</v>
      </c>
      <c r="F430" s="120" t="s">
        <v>251</v>
      </c>
      <c r="G430" s="120">
        <v>24362689.698508553</v>
      </c>
      <c r="H430" s="120" t="s">
        <v>251</v>
      </c>
      <c r="I430" s="120">
        <v>1141360.3936080865</v>
      </c>
      <c r="J430" s="120">
        <v>2491966.6378832404</v>
      </c>
      <c r="K430" s="120" t="s">
        <v>251</v>
      </c>
      <c r="L430" s="120" t="s">
        <v>251</v>
      </c>
      <c r="M430" s="120">
        <v>77.99659320081301</v>
      </c>
      <c r="N430" s="120" t="s">
        <v>251</v>
      </c>
      <c r="O430" s="120">
        <v>2491888.6412900398</v>
      </c>
      <c r="P430" s="120">
        <v>768705.40028391802</v>
      </c>
      <c r="Q430" s="120">
        <v>1723183.241006122</v>
      </c>
      <c r="R430" s="120"/>
      <c r="S430" s="121"/>
    </row>
    <row r="431" spans="1:19" ht="15">
      <c r="A431" s="105">
        <v>7</v>
      </c>
      <c r="B431" s="129" t="str">
        <f t="shared" si="12"/>
        <v>507</v>
      </c>
      <c r="C431" s="107" t="s">
        <v>2237</v>
      </c>
      <c r="D431" s="107" t="s">
        <v>585</v>
      </c>
      <c r="E431" s="120">
        <v>5000</v>
      </c>
      <c r="F431" s="120" t="s">
        <v>251</v>
      </c>
      <c r="G431" s="120">
        <v>4349.6210682699384</v>
      </c>
      <c r="H431" s="120" t="s">
        <v>251</v>
      </c>
      <c r="I431" s="120">
        <v>204.30771771434524</v>
      </c>
      <c r="J431" s="120">
        <v>446.07121401571652</v>
      </c>
      <c r="K431" s="120" t="s">
        <v>251</v>
      </c>
      <c r="L431" s="120" t="s">
        <v>251</v>
      </c>
      <c r="M431" s="120">
        <v>1.3961677692334655E-2</v>
      </c>
      <c r="N431" s="120" t="s">
        <v>251</v>
      </c>
      <c r="O431" s="120">
        <v>446.05725233802417</v>
      </c>
      <c r="P431" s="120">
        <v>137.60110023637918</v>
      </c>
      <c r="Q431" s="120">
        <v>308.45615210164499</v>
      </c>
      <c r="R431" s="120"/>
      <c r="S431" s="121"/>
    </row>
    <row r="432" spans="1:19" ht="15">
      <c r="A432" s="105">
        <v>8</v>
      </c>
      <c r="B432" s="129" t="str">
        <f t="shared" si="12"/>
        <v>509</v>
      </c>
      <c r="C432" s="107" t="s">
        <v>2238</v>
      </c>
      <c r="D432" s="107" t="s">
        <v>585</v>
      </c>
      <c r="E432" s="120">
        <v>4215.8500000000004</v>
      </c>
      <c r="F432" s="120" t="s">
        <v>251</v>
      </c>
      <c r="G432" s="120">
        <v>3667.4699961331639</v>
      </c>
      <c r="H432" s="120" t="s">
        <v>251</v>
      </c>
      <c r="I432" s="120">
        <v>172.2661383452045</v>
      </c>
      <c r="J432" s="120">
        <v>376.11386552163174</v>
      </c>
      <c r="K432" s="120" t="s">
        <v>251</v>
      </c>
      <c r="L432" s="120" t="s">
        <v>251</v>
      </c>
      <c r="M432" s="120">
        <v>1.1772067779845812E-2</v>
      </c>
      <c r="N432" s="120" t="s">
        <v>251</v>
      </c>
      <c r="O432" s="120">
        <v>376.10209345385186</v>
      </c>
      <c r="P432" s="120">
        <v>116.02111968630784</v>
      </c>
      <c r="Q432" s="120">
        <v>260.08097376754404</v>
      </c>
      <c r="R432" s="120"/>
      <c r="S432" s="121"/>
    </row>
    <row r="433" spans="1:19" ht="15">
      <c r="A433" s="105">
        <v>9</v>
      </c>
      <c r="B433" s="129" t="str">
        <f t="shared" si="12"/>
        <v xml:space="preserve">  T</v>
      </c>
      <c r="C433" s="107" t="s">
        <v>590</v>
      </c>
      <c r="D433" s="107" t="s">
        <v>251</v>
      </c>
      <c r="E433" s="120">
        <v>421746526.99356723</v>
      </c>
      <c r="F433" s="120" t="s">
        <v>251</v>
      </c>
      <c r="G433" s="120">
        <v>370628151.5830735</v>
      </c>
      <c r="H433" s="120" t="s">
        <v>251</v>
      </c>
      <c r="I433" s="120">
        <v>15463018.353674816</v>
      </c>
      <c r="J433" s="120">
        <v>35655357.056818932</v>
      </c>
      <c r="K433" s="120" t="s">
        <v>251</v>
      </c>
      <c r="L433" s="120" t="s">
        <v>251</v>
      </c>
      <c r="M433" s="120">
        <v>1595.6259761149011</v>
      </c>
      <c r="N433" s="120" t="s">
        <v>251</v>
      </c>
      <c r="O433" s="120">
        <v>35653761.430842817</v>
      </c>
      <c r="P433" s="120">
        <v>11343590.550822929</v>
      </c>
      <c r="Q433" s="120">
        <v>24310170.880019892</v>
      </c>
      <c r="R433" s="120"/>
      <c r="S433" s="121"/>
    </row>
    <row r="434" spans="1:19" ht="15">
      <c r="A434" s="105">
        <v>10</v>
      </c>
      <c r="B434" s="129" t="str">
        <f t="shared" si="12"/>
        <v>510</v>
      </c>
      <c r="C434" s="107" t="s">
        <v>591</v>
      </c>
      <c r="D434" s="107" t="s">
        <v>585</v>
      </c>
      <c r="E434" s="120">
        <v>10175102.129999999</v>
      </c>
      <c r="F434" s="120" t="s">
        <v>251</v>
      </c>
      <c r="G434" s="120">
        <v>8766091.0675537959</v>
      </c>
      <c r="H434" s="120" t="s">
        <v>251</v>
      </c>
      <c r="I434" s="120">
        <v>442543.12133146235</v>
      </c>
      <c r="J434" s="120">
        <v>966467.94111474103</v>
      </c>
      <c r="K434" s="120" t="s">
        <v>251</v>
      </c>
      <c r="L434" s="120" t="s">
        <v>251</v>
      </c>
      <c r="M434" s="120">
        <v>24.929433270989936</v>
      </c>
      <c r="N434" s="120" t="s">
        <v>251</v>
      </c>
      <c r="O434" s="120">
        <v>966443.01168147009</v>
      </c>
      <c r="P434" s="120">
        <v>298131.28477587126</v>
      </c>
      <c r="Q434" s="120">
        <v>668311.72690559877</v>
      </c>
      <c r="R434" s="120"/>
      <c r="S434" s="121"/>
    </row>
    <row r="435" spans="1:19" ht="15">
      <c r="A435" s="105">
        <v>11</v>
      </c>
      <c r="B435" s="129" t="str">
        <f t="shared" si="12"/>
        <v>511</v>
      </c>
      <c r="C435" s="107" t="s">
        <v>592</v>
      </c>
      <c r="D435" s="107" t="s">
        <v>585</v>
      </c>
      <c r="E435" s="120">
        <v>9054166.8400000017</v>
      </c>
      <c r="F435" s="120" t="s">
        <v>251</v>
      </c>
      <c r="G435" s="120">
        <v>7865956.6301026819</v>
      </c>
      <c r="H435" s="120" t="s">
        <v>251</v>
      </c>
      <c r="I435" s="120">
        <v>373249.11639570596</v>
      </c>
      <c r="J435" s="120">
        <v>814961.09350161313</v>
      </c>
      <c r="K435" s="120" t="s">
        <v>251</v>
      </c>
      <c r="L435" s="120" t="s">
        <v>251</v>
      </c>
      <c r="M435" s="120">
        <v>24.762920488458604</v>
      </c>
      <c r="N435" s="120" t="s">
        <v>251</v>
      </c>
      <c r="O435" s="120">
        <v>814936.33058112464</v>
      </c>
      <c r="P435" s="120">
        <v>251394.0421835875</v>
      </c>
      <c r="Q435" s="120">
        <v>563542.2883975372</v>
      </c>
      <c r="R435" s="120"/>
      <c r="S435" s="121"/>
    </row>
    <row r="436" spans="1:19" ht="15">
      <c r="A436" s="105">
        <v>12</v>
      </c>
      <c r="B436" s="129" t="str">
        <f t="shared" si="12"/>
        <v>512</v>
      </c>
      <c r="C436" s="107" t="s">
        <v>593</v>
      </c>
      <c r="D436" s="107" t="s">
        <v>495</v>
      </c>
      <c r="E436" s="120">
        <v>46425771.31000001</v>
      </c>
      <c r="F436" s="120" t="s">
        <v>251</v>
      </c>
      <c r="G436" s="120">
        <v>40788938.176085837</v>
      </c>
      <c r="H436" s="120" t="s">
        <v>251</v>
      </c>
      <c r="I436" s="120">
        <v>1690597.8264017825</v>
      </c>
      <c r="J436" s="120">
        <v>3946235.3075123872</v>
      </c>
      <c r="K436" s="120" t="s">
        <v>251</v>
      </c>
      <c r="L436" s="120" t="s">
        <v>251</v>
      </c>
      <c r="M436" s="120">
        <v>128.19930562528057</v>
      </c>
      <c r="N436" s="120" t="s">
        <v>251</v>
      </c>
      <c r="O436" s="120">
        <v>3946107.108206762</v>
      </c>
      <c r="P436" s="120">
        <v>1262639.8297199362</v>
      </c>
      <c r="Q436" s="120">
        <v>2683467.2784868255</v>
      </c>
      <c r="R436" s="120"/>
      <c r="S436" s="121"/>
    </row>
    <row r="437" spans="1:19" ht="15">
      <c r="A437" s="105">
        <v>13</v>
      </c>
      <c r="B437" s="129" t="str">
        <f t="shared" si="12"/>
        <v>513</v>
      </c>
      <c r="C437" s="107" t="s">
        <v>594</v>
      </c>
      <c r="D437" s="107" t="s">
        <v>495</v>
      </c>
      <c r="E437" s="120">
        <v>10967946.110000001</v>
      </c>
      <c r="F437" s="120" t="s">
        <v>251</v>
      </c>
      <c r="G437" s="120">
        <v>9405907.7872505225</v>
      </c>
      <c r="H437" s="120" t="s">
        <v>251</v>
      </c>
      <c r="I437" s="120">
        <v>468491.7366656746</v>
      </c>
      <c r="J437" s="120">
        <v>1093546.5860838026</v>
      </c>
      <c r="K437" s="120" t="s">
        <v>251</v>
      </c>
      <c r="L437" s="120" t="s">
        <v>251</v>
      </c>
      <c r="M437" s="120">
        <v>17.100051452790538</v>
      </c>
      <c r="N437" s="120" t="s">
        <v>251</v>
      </c>
      <c r="O437" s="120">
        <v>1093529.4860323498</v>
      </c>
      <c r="P437" s="120">
        <v>349897.72101372725</v>
      </c>
      <c r="Q437" s="120">
        <v>743631.76501862251</v>
      </c>
      <c r="R437" s="120"/>
      <c r="S437" s="121"/>
    </row>
    <row r="438" spans="1:19" ht="15">
      <c r="A438" s="105">
        <v>14</v>
      </c>
      <c r="B438" s="129" t="str">
        <f t="shared" si="12"/>
        <v>514</v>
      </c>
      <c r="C438" s="107" t="s">
        <v>595</v>
      </c>
      <c r="D438" s="107" t="s">
        <v>585</v>
      </c>
      <c r="E438" s="120">
        <v>4093071.8899999899</v>
      </c>
      <c r="F438" s="120" t="s">
        <v>251</v>
      </c>
      <c r="G438" s="120">
        <v>3599867.8620512243</v>
      </c>
      <c r="H438" s="120" t="s">
        <v>251</v>
      </c>
      <c r="I438" s="120">
        <v>154933.27334001416</v>
      </c>
      <c r="J438" s="120">
        <v>338270.7546087511</v>
      </c>
      <c r="K438" s="120" t="s">
        <v>251</v>
      </c>
      <c r="L438" s="120" t="s">
        <v>251</v>
      </c>
      <c r="M438" s="120">
        <v>10.582142076412596</v>
      </c>
      <c r="N438" s="120" t="s">
        <v>251</v>
      </c>
      <c r="O438" s="120">
        <v>338260.1724666747</v>
      </c>
      <c r="P438" s="120">
        <v>104347.52860444432</v>
      </c>
      <c r="Q438" s="120">
        <v>233912.64386223041</v>
      </c>
      <c r="R438" s="120"/>
      <c r="S438" s="121"/>
    </row>
    <row r="439" spans="1:19" ht="15">
      <c r="A439" s="105">
        <v>15</v>
      </c>
      <c r="B439" s="129" t="str">
        <f t="shared" si="12"/>
        <v xml:space="preserve">  T</v>
      </c>
      <c r="C439" s="107" t="s">
        <v>596</v>
      </c>
      <c r="D439" s="107" t="s">
        <v>251</v>
      </c>
      <c r="E439" s="120">
        <v>80716058.279999971</v>
      </c>
      <c r="F439" s="120" t="s">
        <v>251</v>
      </c>
      <c r="G439" s="120">
        <v>70426761.52304405</v>
      </c>
      <c r="H439" s="120" t="s">
        <v>251</v>
      </c>
      <c r="I439" s="120">
        <v>3129815.0741346395</v>
      </c>
      <c r="J439" s="120">
        <v>7159481.6828212952</v>
      </c>
      <c r="K439" s="120" t="s">
        <v>251</v>
      </c>
      <c r="L439" s="120" t="s">
        <v>251</v>
      </c>
      <c r="M439" s="120">
        <v>205.57385291393223</v>
      </c>
      <c r="N439" s="120" t="s">
        <v>251</v>
      </c>
      <c r="O439" s="120">
        <v>7159276.1089683808</v>
      </c>
      <c r="P439" s="120">
        <v>2266410.4062975664</v>
      </c>
      <c r="Q439" s="120">
        <v>4892865.7026708145</v>
      </c>
      <c r="R439" s="120"/>
      <c r="S439" s="121"/>
    </row>
    <row r="440" spans="1:19" ht="15">
      <c r="A440" s="105" t="s">
        <v>251</v>
      </c>
      <c r="B440" s="129" t="str">
        <f t="shared" si="12"/>
        <v/>
      </c>
      <c r="C440" s="107" t="s">
        <v>251</v>
      </c>
      <c r="D440" s="107" t="s">
        <v>251</v>
      </c>
      <c r="E440" s="120" t="s">
        <v>251</v>
      </c>
      <c r="F440" s="120" t="s">
        <v>251</v>
      </c>
      <c r="G440" s="120" t="s">
        <v>251</v>
      </c>
      <c r="H440" s="120" t="s">
        <v>251</v>
      </c>
      <c r="I440" s="120" t="s">
        <v>251</v>
      </c>
      <c r="J440" s="120" t="s">
        <v>251</v>
      </c>
      <c r="K440" s="120" t="s">
        <v>251</v>
      </c>
      <c r="L440" s="120" t="s">
        <v>251</v>
      </c>
      <c r="M440" s="120" t="s">
        <v>251</v>
      </c>
      <c r="N440" s="120" t="s">
        <v>251</v>
      </c>
      <c r="O440" s="120" t="s">
        <v>251</v>
      </c>
      <c r="P440" s="120" t="s">
        <v>251</v>
      </c>
      <c r="Q440" s="120" t="s">
        <v>251</v>
      </c>
      <c r="R440" s="120"/>
      <c r="S440" s="121"/>
    </row>
    <row r="441" spans="1:19" ht="15">
      <c r="A441" s="105">
        <v>16</v>
      </c>
      <c r="B441" s="129" t="str">
        <f t="shared" si="12"/>
        <v>TAL</v>
      </c>
      <c r="C441" s="107" t="s">
        <v>597</v>
      </c>
      <c r="D441" s="107" t="s">
        <v>251</v>
      </c>
      <c r="E441" s="120">
        <v>502462585.27356726</v>
      </c>
      <c r="F441" s="120" t="s">
        <v>251</v>
      </c>
      <c r="G441" s="120">
        <v>441054913.10611755</v>
      </c>
      <c r="H441" s="120" t="s">
        <v>251</v>
      </c>
      <c r="I441" s="120">
        <v>18592833.427809455</v>
      </c>
      <c r="J441" s="120">
        <v>42814838.739640228</v>
      </c>
      <c r="K441" s="120" t="s">
        <v>251</v>
      </c>
      <c r="L441" s="120" t="s">
        <v>251</v>
      </c>
      <c r="M441" s="120">
        <v>1801.1998290288334</v>
      </c>
      <c r="N441" s="120" t="s">
        <v>251</v>
      </c>
      <c r="O441" s="120">
        <v>42813037.539811201</v>
      </c>
      <c r="P441" s="120">
        <v>13610000.957120495</v>
      </c>
      <c r="Q441" s="120">
        <v>29203036.582690708</v>
      </c>
      <c r="R441" s="120"/>
      <c r="S441" s="121"/>
    </row>
    <row r="442" spans="1:19" ht="15">
      <c r="A442" s="105" t="s">
        <v>251</v>
      </c>
      <c r="B442" s="129" t="str">
        <f t="shared" si="12"/>
        <v/>
      </c>
      <c r="C442" s="107" t="s">
        <v>251</v>
      </c>
      <c r="D442" s="107" t="s">
        <v>251</v>
      </c>
      <c r="E442" s="120" t="s">
        <v>251</v>
      </c>
      <c r="F442" s="120" t="s">
        <v>251</v>
      </c>
      <c r="G442" s="120" t="s">
        <v>251</v>
      </c>
      <c r="H442" s="120" t="s">
        <v>251</v>
      </c>
      <c r="I442" s="120" t="s">
        <v>251</v>
      </c>
      <c r="J442" s="120" t="s">
        <v>251</v>
      </c>
      <c r="K442" s="120" t="s">
        <v>251</v>
      </c>
      <c r="L442" s="120" t="s">
        <v>251</v>
      </c>
      <c r="M442" s="120" t="s">
        <v>251</v>
      </c>
      <c r="N442" s="120" t="s">
        <v>251</v>
      </c>
      <c r="O442" s="120" t="s">
        <v>251</v>
      </c>
      <c r="P442" s="120" t="s">
        <v>251</v>
      </c>
      <c r="Q442" s="120" t="s">
        <v>251</v>
      </c>
      <c r="R442" s="120"/>
      <c r="S442" s="121"/>
    </row>
    <row r="443" spans="1:19" ht="15">
      <c r="A443" s="105" t="s">
        <v>251</v>
      </c>
      <c r="B443" s="129" t="str">
        <f t="shared" si="12"/>
        <v>ODU</v>
      </c>
      <c r="C443" s="107" t="s">
        <v>598</v>
      </c>
      <c r="D443" s="107" t="s">
        <v>251</v>
      </c>
      <c r="E443" s="120" t="s">
        <v>251</v>
      </c>
      <c r="F443" s="120" t="s">
        <v>251</v>
      </c>
      <c r="G443" s="120" t="s">
        <v>251</v>
      </c>
      <c r="H443" s="120" t="s">
        <v>251</v>
      </c>
      <c r="I443" s="120" t="s">
        <v>251</v>
      </c>
      <c r="J443" s="120" t="s">
        <v>251</v>
      </c>
      <c r="K443" s="120" t="s">
        <v>251</v>
      </c>
      <c r="L443" s="120" t="s">
        <v>251</v>
      </c>
      <c r="M443" s="120" t="s">
        <v>251</v>
      </c>
      <c r="N443" s="120" t="s">
        <v>251</v>
      </c>
      <c r="O443" s="120" t="s">
        <v>251</v>
      </c>
      <c r="P443" s="120" t="s">
        <v>251</v>
      </c>
      <c r="Q443" s="120" t="s">
        <v>251</v>
      </c>
      <c r="R443" s="120"/>
      <c r="S443" s="121"/>
    </row>
    <row r="444" spans="1:19" ht="15">
      <c r="A444" s="105">
        <v>17</v>
      </c>
      <c r="B444" s="129" t="str">
        <f t="shared" si="12"/>
        <v>535</v>
      </c>
      <c r="C444" s="107" t="s">
        <v>599</v>
      </c>
      <c r="D444" s="107" t="s">
        <v>600</v>
      </c>
      <c r="E444" s="120">
        <v>0</v>
      </c>
      <c r="F444" s="120" t="s">
        <v>251</v>
      </c>
      <c r="G444" s="120">
        <v>0</v>
      </c>
      <c r="H444" s="120" t="s">
        <v>251</v>
      </c>
      <c r="I444" s="120">
        <v>0</v>
      </c>
      <c r="J444" s="120">
        <v>0</v>
      </c>
      <c r="K444" s="120" t="s">
        <v>251</v>
      </c>
      <c r="L444" s="120" t="s">
        <v>251</v>
      </c>
      <c r="M444" s="120">
        <v>0</v>
      </c>
      <c r="N444" s="120" t="s">
        <v>251</v>
      </c>
      <c r="O444" s="120">
        <v>0</v>
      </c>
      <c r="P444" s="120">
        <v>0</v>
      </c>
      <c r="Q444" s="120">
        <v>0</v>
      </c>
      <c r="R444" s="120"/>
      <c r="S444" s="121"/>
    </row>
    <row r="445" spans="1:19" ht="15">
      <c r="A445" s="105">
        <v>18</v>
      </c>
      <c r="B445" s="129" t="str">
        <f t="shared" si="12"/>
        <v>536</v>
      </c>
      <c r="C445" s="107" t="s">
        <v>601</v>
      </c>
      <c r="D445" s="107" t="s">
        <v>600</v>
      </c>
      <c r="E445" s="120">
        <v>0</v>
      </c>
      <c r="F445" s="120" t="s">
        <v>251</v>
      </c>
      <c r="G445" s="120">
        <v>0</v>
      </c>
      <c r="H445" s="120" t="s">
        <v>251</v>
      </c>
      <c r="I445" s="120">
        <v>0</v>
      </c>
      <c r="J445" s="120">
        <v>0</v>
      </c>
      <c r="K445" s="120" t="s">
        <v>251</v>
      </c>
      <c r="L445" s="120" t="s">
        <v>251</v>
      </c>
      <c r="M445" s="120">
        <v>0</v>
      </c>
      <c r="N445" s="120" t="s">
        <v>251</v>
      </c>
      <c r="O445" s="120">
        <v>0</v>
      </c>
      <c r="P445" s="120">
        <v>0</v>
      </c>
      <c r="Q445" s="120">
        <v>0</v>
      </c>
      <c r="R445" s="120"/>
      <c r="S445" s="121"/>
    </row>
    <row r="446" spans="1:19" ht="15">
      <c r="A446" s="105">
        <v>19</v>
      </c>
      <c r="B446" s="129" t="str">
        <f t="shared" si="12"/>
        <v>537</v>
      </c>
      <c r="C446" s="107" t="s">
        <v>602</v>
      </c>
      <c r="D446" s="107" t="s">
        <v>600</v>
      </c>
      <c r="E446" s="120">
        <v>0</v>
      </c>
      <c r="F446" s="120" t="s">
        <v>251</v>
      </c>
      <c r="G446" s="120">
        <v>0</v>
      </c>
      <c r="H446" s="120" t="s">
        <v>251</v>
      </c>
      <c r="I446" s="120">
        <v>0</v>
      </c>
      <c r="J446" s="120">
        <v>0</v>
      </c>
      <c r="K446" s="120" t="s">
        <v>251</v>
      </c>
      <c r="L446" s="120" t="s">
        <v>251</v>
      </c>
      <c r="M446" s="120">
        <v>0</v>
      </c>
      <c r="N446" s="120" t="s">
        <v>251</v>
      </c>
      <c r="O446" s="120">
        <v>0</v>
      </c>
      <c r="P446" s="120">
        <v>0</v>
      </c>
      <c r="Q446" s="120">
        <v>0</v>
      </c>
      <c r="R446" s="120"/>
      <c r="S446" s="121"/>
    </row>
    <row r="447" spans="1:19" ht="15">
      <c r="A447" s="105">
        <v>20</v>
      </c>
      <c r="B447" s="129" t="str">
        <f t="shared" si="12"/>
        <v>538</v>
      </c>
      <c r="C447" s="107" t="s">
        <v>603</v>
      </c>
      <c r="D447" s="107" t="s">
        <v>600</v>
      </c>
      <c r="E447" s="120">
        <v>0</v>
      </c>
      <c r="F447" s="120" t="s">
        <v>251</v>
      </c>
      <c r="G447" s="120">
        <v>0</v>
      </c>
      <c r="H447" s="120" t="s">
        <v>251</v>
      </c>
      <c r="I447" s="120">
        <v>0</v>
      </c>
      <c r="J447" s="120">
        <v>0</v>
      </c>
      <c r="K447" s="120" t="s">
        <v>251</v>
      </c>
      <c r="L447" s="120" t="s">
        <v>251</v>
      </c>
      <c r="M447" s="120">
        <v>0</v>
      </c>
      <c r="N447" s="120" t="s">
        <v>251</v>
      </c>
      <c r="O447" s="120">
        <v>0</v>
      </c>
      <c r="P447" s="120">
        <v>0</v>
      </c>
      <c r="Q447" s="120">
        <v>0</v>
      </c>
      <c r="R447" s="120"/>
      <c r="S447" s="121"/>
    </row>
    <row r="448" spans="1:19" ht="15">
      <c r="A448" s="105">
        <v>21</v>
      </c>
      <c r="B448" s="129" t="str">
        <f t="shared" si="12"/>
        <v>539</v>
      </c>
      <c r="C448" s="107" t="s">
        <v>2239</v>
      </c>
      <c r="D448" s="107" t="s">
        <v>600</v>
      </c>
      <c r="E448" s="120">
        <v>49405.589999999902</v>
      </c>
      <c r="F448" s="120" t="s">
        <v>251</v>
      </c>
      <c r="G448" s="120">
        <v>43210.576884245405</v>
      </c>
      <c r="H448" s="120" t="s">
        <v>251</v>
      </c>
      <c r="I448" s="120">
        <v>1978.9669380617438</v>
      </c>
      <c r="J448" s="120">
        <v>4216.0461776927577</v>
      </c>
      <c r="K448" s="120" t="s">
        <v>251</v>
      </c>
      <c r="L448" s="120" t="s">
        <v>251</v>
      </c>
      <c r="M448" s="120">
        <v>0.13869993222136931</v>
      </c>
      <c r="N448" s="120" t="s">
        <v>251</v>
      </c>
      <c r="O448" s="120">
        <v>4215.9074777605365</v>
      </c>
      <c r="P448" s="120">
        <v>1300.5359836521964</v>
      </c>
      <c r="Q448" s="120">
        <v>2915.3714941083399</v>
      </c>
      <c r="R448" s="120"/>
      <c r="S448" s="121"/>
    </row>
    <row r="449" spans="1:19" ht="15">
      <c r="A449" s="105">
        <v>22</v>
      </c>
      <c r="B449" s="129" t="str">
        <f t="shared" ref="B449:B512" si="13">MID(C449,3,3)</f>
        <v>540</v>
      </c>
      <c r="C449" s="107" t="s">
        <v>604</v>
      </c>
      <c r="D449" s="107" t="s">
        <v>600</v>
      </c>
      <c r="E449" s="120">
        <v>0</v>
      </c>
      <c r="F449" s="120" t="s">
        <v>251</v>
      </c>
      <c r="G449" s="120">
        <v>0</v>
      </c>
      <c r="H449" s="120" t="s">
        <v>251</v>
      </c>
      <c r="I449" s="120">
        <v>0</v>
      </c>
      <c r="J449" s="120">
        <v>0</v>
      </c>
      <c r="K449" s="120" t="s">
        <v>251</v>
      </c>
      <c r="L449" s="120" t="s">
        <v>251</v>
      </c>
      <c r="M449" s="120">
        <v>0</v>
      </c>
      <c r="N449" s="120" t="s">
        <v>251</v>
      </c>
      <c r="O449" s="120">
        <v>0</v>
      </c>
      <c r="P449" s="120">
        <v>0</v>
      </c>
      <c r="Q449" s="120">
        <v>0</v>
      </c>
      <c r="R449" s="120"/>
      <c r="S449" s="121"/>
    </row>
    <row r="450" spans="1:19" ht="15">
      <c r="A450" s="105">
        <v>23</v>
      </c>
      <c r="B450" s="129" t="str">
        <f t="shared" si="13"/>
        <v xml:space="preserve">  T</v>
      </c>
      <c r="C450" s="107" t="s">
        <v>605</v>
      </c>
      <c r="D450" s="107" t="s">
        <v>251</v>
      </c>
      <c r="E450" s="120">
        <v>49405.589999999902</v>
      </c>
      <c r="F450" s="120" t="s">
        <v>251</v>
      </c>
      <c r="G450" s="120">
        <v>43210.576884245405</v>
      </c>
      <c r="H450" s="120" t="s">
        <v>251</v>
      </c>
      <c r="I450" s="120">
        <v>1978.9669380617438</v>
      </c>
      <c r="J450" s="120">
        <v>4216.0461776927577</v>
      </c>
      <c r="K450" s="120" t="s">
        <v>251</v>
      </c>
      <c r="L450" s="120" t="s">
        <v>251</v>
      </c>
      <c r="M450" s="120">
        <v>0.13869993222136931</v>
      </c>
      <c r="N450" s="120" t="s">
        <v>251</v>
      </c>
      <c r="O450" s="120">
        <v>4215.9074777605365</v>
      </c>
      <c r="P450" s="120">
        <v>1300.5359836521964</v>
      </c>
      <c r="Q450" s="120">
        <v>2915.3714941083399</v>
      </c>
      <c r="R450" s="120"/>
      <c r="S450" s="121"/>
    </row>
    <row r="451" spans="1:19" ht="15">
      <c r="A451" s="105">
        <v>24</v>
      </c>
      <c r="B451" s="129" t="str">
        <f t="shared" si="13"/>
        <v>541</v>
      </c>
      <c r="C451" s="107" t="s">
        <v>606</v>
      </c>
      <c r="D451" s="107" t="s">
        <v>600</v>
      </c>
      <c r="E451" s="120">
        <v>195367.01999999996</v>
      </c>
      <c r="F451" s="120" t="s">
        <v>251</v>
      </c>
      <c r="G451" s="120">
        <v>170869.76672793351</v>
      </c>
      <c r="H451" s="120" t="s">
        <v>251</v>
      </c>
      <c r="I451" s="120">
        <v>7825.528920262831</v>
      </c>
      <c r="J451" s="120">
        <v>16671.72435180363</v>
      </c>
      <c r="K451" s="120" t="s">
        <v>251</v>
      </c>
      <c r="L451" s="120" t="s">
        <v>251</v>
      </c>
      <c r="M451" s="120">
        <v>0.54846814767905716</v>
      </c>
      <c r="N451" s="120" t="s">
        <v>251</v>
      </c>
      <c r="O451" s="120">
        <v>16671.175883655953</v>
      </c>
      <c r="P451" s="120">
        <v>5142.775129876979</v>
      </c>
      <c r="Q451" s="120">
        <v>11528.400753778973</v>
      </c>
      <c r="R451" s="120"/>
      <c r="S451" s="121"/>
    </row>
    <row r="452" spans="1:19" ht="15">
      <c r="A452" s="105">
        <v>25</v>
      </c>
      <c r="B452" s="129" t="str">
        <f t="shared" si="13"/>
        <v>542</v>
      </c>
      <c r="C452" s="107" t="s">
        <v>607</v>
      </c>
      <c r="D452" s="107" t="s">
        <v>600</v>
      </c>
      <c r="E452" s="120">
        <v>123467.83000000002</v>
      </c>
      <c r="F452" s="120" t="s">
        <v>251</v>
      </c>
      <c r="G452" s="120">
        <v>107986.0833753013</v>
      </c>
      <c r="H452" s="120" t="s">
        <v>251</v>
      </c>
      <c r="I452" s="120">
        <v>4945.5689828666837</v>
      </c>
      <c r="J452" s="120">
        <v>10536.177641832031</v>
      </c>
      <c r="K452" s="120" t="s">
        <v>251</v>
      </c>
      <c r="L452" s="120" t="s">
        <v>251</v>
      </c>
      <c r="M452" s="120">
        <v>0.34662028431437786</v>
      </c>
      <c r="N452" s="120" t="s">
        <v>251</v>
      </c>
      <c r="O452" s="120">
        <v>10535.831021547718</v>
      </c>
      <c r="P452" s="120">
        <v>3250.1252538114104</v>
      </c>
      <c r="Q452" s="120">
        <v>7285.7057677363073</v>
      </c>
      <c r="R452" s="120"/>
      <c r="S452" s="121"/>
    </row>
    <row r="453" spans="1:19" ht="15">
      <c r="A453" s="105">
        <v>26</v>
      </c>
      <c r="B453" s="129" t="str">
        <f t="shared" si="13"/>
        <v>543</v>
      </c>
      <c r="C453" s="107" t="s">
        <v>608</v>
      </c>
      <c r="D453" s="107" t="s">
        <v>600</v>
      </c>
      <c r="E453" s="120">
        <v>13092</v>
      </c>
      <c r="F453" s="120" t="s">
        <v>251</v>
      </c>
      <c r="G453" s="120">
        <v>11450.381881251533</v>
      </c>
      <c r="H453" s="120" t="s">
        <v>251</v>
      </c>
      <c r="I453" s="120">
        <v>524.40695785850141</v>
      </c>
      <c r="J453" s="120">
        <v>1117.2111608899659</v>
      </c>
      <c r="K453" s="120" t="s">
        <v>251</v>
      </c>
      <c r="L453" s="120" t="s">
        <v>251</v>
      </c>
      <c r="M453" s="120">
        <v>3.675413070954462E-2</v>
      </c>
      <c r="N453" s="120" t="s">
        <v>251</v>
      </c>
      <c r="O453" s="120">
        <v>1117.1744067592563</v>
      </c>
      <c r="P453" s="120">
        <v>344.6293647737956</v>
      </c>
      <c r="Q453" s="120">
        <v>772.54504198546078</v>
      </c>
      <c r="R453" s="120"/>
      <c r="S453" s="121"/>
    </row>
    <row r="454" spans="1:19" ht="15">
      <c r="A454" s="105">
        <v>27</v>
      </c>
      <c r="B454" s="129" t="str">
        <f t="shared" si="13"/>
        <v>544</v>
      </c>
      <c r="C454" s="107" t="s">
        <v>609</v>
      </c>
      <c r="D454" s="107" t="s">
        <v>495</v>
      </c>
      <c r="E454" s="120">
        <v>44249.38</v>
      </c>
      <c r="F454" s="120" t="s">
        <v>251</v>
      </c>
      <c r="G454" s="120">
        <v>38951.145993561608</v>
      </c>
      <c r="H454" s="120" t="s">
        <v>251</v>
      </c>
      <c r="I454" s="120">
        <v>1589.0291024832425</v>
      </c>
      <c r="J454" s="120">
        <v>3709.2049039551471</v>
      </c>
      <c r="K454" s="120" t="s">
        <v>251</v>
      </c>
      <c r="L454" s="120" t="s">
        <v>251</v>
      </c>
      <c r="M454" s="120">
        <v>0.17432404340491939</v>
      </c>
      <c r="N454" s="120" t="s">
        <v>251</v>
      </c>
      <c r="O454" s="120">
        <v>3709.0305799117423</v>
      </c>
      <c r="P454" s="120">
        <v>1186.782216353469</v>
      </c>
      <c r="Q454" s="120">
        <v>2522.2483635582735</v>
      </c>
      <c r="R454" s="120"/>
      <c r="S454" s="121"/>
    </row>
    <row r="455" spans="1:19" ht="15">
      <c r="A455" s="105">
        <v>28</v>
      </c>
      <c r="B455" s="129" t="str">
        <f t="shared" si="13"/>
        <v>545</v>
      </c>
      <c r="C455" s="107" t="s">
        <v>610</v>
      </c>
      <c r="D455" s="107" t="s">
        <v>600</v>
      </c>
      <c r="E455" s="120">
        <v>8505.6700000000019</v>
      </c>
      <c r="F455" s="120" t="s">
        <v>251</v>
      </c>
      <c r="G455" s="120">
        <v>7439.1360873743306</v>
      </c>
      <c r="H455" s="120" t="s">
        <v>251</v>
      </c>
      <c r="I455" s="120">
        <v>340.69909328202874</v>
      </c>
      <c r="J455" s="120">
        <v>725.83481934364158</v>
      </c>
      <c r="K455" s="120" t="s">
        <v>251</v>
      </c>
      <c r="L455" s="120" t="s">
        <v>251</v>
      </c>
      <c r="M455" s="120">
        <v>2.3878590509643478E-2</v>
      </c>
      <c r="N455" s="120" t="s">
        <v>251</v>
      </c>
      <c r="O455" s="120">
        <v>725.81094075313194</v>
      </c>
      <c r="P455" s="120">
        <v>223.90037038462648</v>
      </c>
      <c r="Q455" s="120">
        <v>501.91057036850549</v>
      </c>
      <c r="R455" s="120"/>
      <c r="S455" s="121"/>
    </row>
    <row r="456" spans="1:19" ht="15">
      <c r="A456" s="105">
        <v>29</v>
      </c>
      <c r="B456" s="129" t="str">
        <f t="shared" si="13"/>
        <v xml:space="preserve">  T</v>
      </c>
      <c r="C456" s="107" t="s">
        <v>611</v>
      </c>
      <c r="D456" s="107" t="s">
        <v>251</v>
      </c>
      <c r="E456" s="120">
        <v>384681.9</v>
      </c>
      <c r="F456" s="120" t="s">
        <v>251</v>
      </c>
      <c r="G456" s="120">
        <v>336696.51406542229</v>
      </c>
      <c r="H456" s="120" t="s">
        <v>251</v>
      </c>
      <c r="I456" s="120">
        <v>15225.233056753286</v>
      </c>
      <c r="J456" s="120">
        <v>32760.152877824417</v>
      </c>
      <c r="K456" s="120" t="s">
        <v>251</v>
      </c>
      <c r="L456" s="120" t="s">
        <v>251</v>
      </c>
      <c r="M456" s="120">
        <v>1.1300451966175424</v>
      </c>
      <c r="N456" s="120" t="s">
        <v>251</v>
      </c>
      <c r="O456" s="120">
        <v>32759.022832627801</v>
      </c>
      <c r="P456" s="120">
        <v>10148.21233520028</v>
      </c>
      <c r="Q456" s="120">
        <v>22610.810497427519</v>
      </c>
      <c r="R456" s="120"/>
      <c r="S456" s="121"/>
    </row>
    <row r="457" spans="1:19" ht="15">
      <c r="A457" s="105" t="s">
        <v>251</v>
      </c>
      <c r="B457" s="129" t="str">
        <f t="shared" si="13"/>
        <v/>
      </c>
      <c r="C457" s="107" t="s">
        <v>251</v>
      </c>
      <c r="D457" s="107" t="s">
        <v>251</v>
      </c>
      <c r="E457" s="120" t="s">
        <v>251</v>
      </c>
      <c r="F457" s="120" t="s">
        <v>251</v>
      </c>
      <c r="G457" s="120" t="s">
        <v>251</v>
      </c>
      <c r="H457" s="120" t="s">
        <v>251</v>
      </c>
      <c r="I457" s="120" t="s">
        <v>251</v>
      </c>
      <c r="J457" s="120" t="s">
        <v>251</v>
      </c>
      <c r="K457" s="120" t="s">
        <v>251</v>
      </c>
      <c r="L457" s="120" t="s">
        <v>251</v>
      </c>
      <c r="M457" s="120" t="s">
        <v>251</v>
      </c>
      <c r="N457" s="120" t="s">
        <v>251</v>
      </c>
      <c r="O457" s="120" t="s">
        <v>251</v>
      </c>
      <c r="P457" s="120" t="s">
        <v>251</v>
      </c>
      <c r="Q457" s="120" t="s">
        <v>251</v>
      </c>
      <c r="R457" s="120"/>
      <c r="S457" s="121"/>
    </row>
    <row r="458" spans="1:19" ht="15">
      <c r="A458" s="105">
        <v>30</v>
      </c>
      <c r="B458" s="129" t="str">
        <f t="shared" si="13"/>
        <v>TAL</v>
      </c>
      <c r="C458" s="107" t="s">
        <v>612</v>
      </c>
      <c r="D458" s="107" t="s">
        <v>251</v>
      </c>
      <c r="E458" s="120">
        <v>434087.48999999987</v>
      </c>
      <c r="F458" s="120" t="s">
        <v>251</v>
      </c>
      <c r="G458" s="120">
        <v>379907.09094966768</v>
      </c>
      <c r="H458" s="120" t="s">
        <v>251</v>
      </c>
      <c r="I458" s="120">
        <v>17204.19999481503</v>
      </c>
      <c r="J458" s="120">
        <v>36976.199055517172</v>
      </c>
      <c r="K458" s="120" t="s">
        <v>251</v>
      </c>
      <c r="L458" s="120" t="s">
        <v>251</v>
      </c>
      <c r="M458" s="120">
        <v>1.2687451288389118</v>
      </c>
      <c r="N458" s="120" t="s">
        <v>251</v>
      </c>
      <c r="O458" s="120">
        <v>36974.930310388336</v>
      </c>
      <c r="P458" s="120">
        <v>11448.748318852477</v>
      </c>
      <c r="Q458" s="120">
        <v>25526.181991535857</v>
      </c>
      <c r="R458" s="120"/>
      <c r="S458" s="121"/>
    </row>
    <row r="459" spans="1:19" ht="15">
      <c r="A459" s="105" t="s">
        <v>251</v>
      </c>
      <c r="B459" s="129" t="str">
        <f t="shared" si="13"/>
        <v/>
      </c>
      <c r="C459" s="107" t="s">
        <v>251</v>
      </c>
      <c r="D459" s="107" t="s">
        <v>251</v>
      </c>
      <c r="E459" s="120" t="s">
        <v>251</v>
      </c>
      <c r="F459" s="120" t="s">
        <v>251</v>
      </c>
      <c r="G459" s="120" t="s">
        <v>251</v>
      </c>
      <c r="H459" s="120" t="s">
        <v>251</v>
      </c>
      <c r="I459" s="120" t="s">
        <v>251</v>
      </c>
      <c r="J459" s="120" t="s">
        <v>251</v>
      </c>
      <c r="K459" s="120" t="s">
        <v>251</v>
      </c>
      <c r="L459" s="120" t="s">
        <v>251</v>
      </c>
      <c r="M459" s="120" t="s">
        <v>251</v>
      </c>
      <c r="N459" s="120" t="s">
        <v>251</v>
      </c>
      <c r="O459" s="120" t="s">
        <v>251</v>
      </c>
      <c r="P459" s="120" t="s">
        <v>251</v>
      </c>
      <c r="Q459" s="120" t="s">
        <v>251</v>
      </c>
      <c r="R459" s="120"/>
      <c r="S459" s="121"/>
    </row>
    <row r="460" spans="1:19" ht="15">
      <c r="A460" s="105" t="s">
        <v>251</v>
      </c>
      <c r="B460" s="129" t="str">
        <f t="shared" si="13"/>
        <v>ODU</v>
      </c>
      <c r="C460" s="107" t="s">
        <v>613</v>
      </c>
      <c r="D460" s="107" t="s">
        <v>251</v>
      </c>
      <c r="E460" s="120" t="s">
        <v>251</v>
      </c>
      <c r="F460" s="120" t="s">
        <v>251</v>
      </c>
      <c r="G460" s="120" t="s">
        <v>251</v>
      </c>
      <c r="H460" s="120" t="s">
        <v>251</v>
      </c>
      <c r="I460" s="120" t="s">
        <v>251</v>
      </c>
      <c r="J460" s="120" t="s">
        <v>251</v>
      </c>
      <c r="K460" s="120" t="s">
        <v>251</v>
      </c>
      <c r="L460" s="120" t="s">
        <v>251</v>
      </c>
      <c r="M460" s="120" t="s">
        <v>251</v>
      </c>
      <c r="N460" s="120" t="s">
        <v>251</v>
      </c>
      <c r="O460" s="120" t="s">
        <v>251</v>
      </c>
      <c r="P460" s="120" t="s">
        <v>251</v>
      </c>
      <c r="Q460" s="120" t="s">
        <v>251</v>
      </c>
      <c r="R460" s="120"/>
      <c r="S460" s="121"/>
    </row>
    <row r="461" spans="1:19" ht="15">
      <c r="A461" s="105">
        <v>31</v>
      </c>
      <c r="B461" s="129" t="str">
        <f t="shared" si="13"/>
        <v>546</v>
      </c>
      <c r="C461" s="107" t="s">
        <v>614</v>
      </c>
      <c r="D461" s="107" t="s">
        <v>615</v>
      </c>
      <c r="E461" s="120">
        <v>1406615.45</v>
      </c>
      <c r="F461" s="120" t="s">
        <v>251</v>
      </c>
      <c r="G461" s="120">
        <v>1227304.9001404312</v>
      </c>
      <c r="H461" s="120" t="s">
        <v>251</v>
      </c>
      <c r="I461" s="120">
        <v>56200.655906781707</v>
      </c>
      <c r="J461" s="120">
        <v>123109.89395278686</v>
      </c>
      <c r="K461" s="120" t="s">
        <v>251</v>
      </c>
      <c r="L461" s="120" t="s">
        <v>251</v>
      </c>
      <c r="M461" s="120">
        <v>3.9394777561161689</v>
      </c>
      <c r="N461" s="120" t="s">
        <v>251</v>
      </c>
      <c r="O461" s="120">
        <v>123105.95447503075</v>
      </c>
      <c r="P461" s="120">
        <v>37976.099912342645</v>
      </c>
      <c r="Q461" s="120">
        <v>85129.85456268811</v>
      </c>
      <c r="R461" s="120"/>
      <c r="S461" s="121"/>
    </row>
    <row r="462" spans="1:19" ht="15">
      <c r="A462" s="105">
        <v>32</v>
      </c>
      <c r="B462" s="129" t="str">
        <f t="shared" si="13"/>
        <v>547</v>
      </c>
      <c r="C462" s="107" t="s">
        <v>616</v>
      </c>
      <c r="D462" s="107" t="s">
        <v>495</v>
      </c>
      <c r="E462" s="120">
        <v>133864101.041485</v>
      </c>
      <c r="F462" s="120" t="s">
        <v>251</v>
      </c>
      <c r="G462" s="120">
        <v>117835778.55698238</v>
      </c>
      <c r="H462" s="120" t="s">
        <v>251</v>
      </c>
      <c r="I462" s="120">
        <v>4807162.3225608366</v>
      </c>
      <c r="J462" s="120">
        <v>11221160.161941784</v>
      </c>
      <c r="K462" s="120" t="s">
        <v>251</v>
      </c>
      <c r="L462" s="120" t="s">
        <v>251</v>
      </c>
      <c r="M462" s="120">
        <v>527.36854980377905</v>
      </c>
      <c r="N462" s="120" t="s">
        <v>251</v>
      </c>
      <c r="O462" s="120">
        <v>11220632.79339198</v>
      </c>
      <c r="P462" s="120">
        <v>3590277.0733551132</v>
      </c>
      <c r="Q462" s="120">
        <v>7630355.7200368661</v>
      </c>
      <c r="R462" s="120"/>
      <c r="S462" s="121"/>
    </row>
    <row r="463" spans="1:19" ht="15">
      <c r="A463" s="105">
        <v>33</v>
      </c>
      <c r="B463" s="129" t="str">
        <f t="shared" si="13"/>
        <v>548</v>
      </c>
      <c r="C463" s="107" t="s">
        <v>617</v>
      </c>
      <c r="D463" s="107" t="s">
        <v>615</v>
      </c>
      <c r="E463" s="120">
        <v>626352.97999999905</v>
      </c>
      <c r="F463" s="120" t="s">
        <v>251</v>
      </c>
      <c r="G463" s="120">
        <v>546507.63403143373</v>
      </c>
      <c r="H463" s="120" t="s">
        <v>251</v>
      </c>
      <c r="I463" s="120">
        <v>25025.637465568339</v>
      </c>
      <c r="J463" s="120">
        <v>54819.708502996982</v>
      </c>
      <c r="K463" s="120" t="s">
        <v>251</v>
      </c>
      <c r="L463" s="120" t="s">
        <v>251</v>
      </c>
      <c r="M463" s="120">
        <v>1.7542133723805409</v>
      </c>
      <c r="N463" s="120" t="s">
        <v>251</v>
      </c>
      <c r="O463" s="120">
        <v>54817.954289624598</v>
      </c>
      <c r="P463" s="120">
        <v>16910.40955712062</v>
      </c>
      <c r="Q463" s="120">
        <v>37907.544732503979</v>
      </c>
      <c r="R463" s="120"/>
      <c r="S463" s="121"/>
    </row>
    <row r="464" spans="1:19" ht="15">
      <c r="A464" s="105">
        <v>34</v>
      </c>
      <c r="B464" s="129" t="str">
        <f t="shared" si="13"/>
        <v>549</v>
      </c>
      <c r="C464" s="107" t="s">
        <v>2240</v>
      </c>
      <c r="D464" s="107" t="s">
        <v>615</v>
      </c>
      <c r="E464" s="120">
        <v>4003761.2899999996</v>
      </c>
      <c r="F464" s="120" t="s">
        <v>251</v>
      </c>
      <c r="G464" s="120">
        <v>3494196.3596343203</v>
      </c>
      <c r="H464" s="120" t="s">
        <v>251</v>
      </c>
      <c r="I464" s="120">
        <v>159711.08970483433</v>
      </c>
      <c r="J464" s="120">
        <v>349853.84066084505</v>
      </c>
      <c r="K464" s="120" t="s">
        <v>251</v>
      </c>
      <c r="L464" s="120" t="s">
        <v>251</v>
      </c>
      <c r="M464" s="120">
        <v>11.195212496111568</v>
      </c>
      <c r="N464" s="120" t="s">
        <v>251</v>
      </c>
      <c r="O464" s="120">
        <v>349842.64544834895</v>
      </c>
      <c r="P464" s="120">
        <v>107920.52515899592</v>
      </c>
      <c r="Q464" s="120">
        <v>241922.12028935301</v>
      </c>
      <c r="R464" s="120"/>
      <c r="S464" s="121"/>
    </row>
    <row r="465" spans="1:19" ht="15">
      <c r="A465" s="105">
        <v>35</v>
      </c>
      <c r="B465" s="129" t="str">
        <f t="shared" si="13"/>
        <v>550</v>
      </c>
      <c r="C465" s="107" t="s">
        <v>2241</v>
      </c>
      <c r="D465" s="107" t="s">
        <v>615</v>
      </c>
      <c r="E465" s="120">
        <v>15016.59</v>
      </c>
      <c r="F465" s="120" t="s">
        <v>251</v>
      </c>
      <c r="G465" s="120">
        <v>13102.326218867993</v>
      </c>
      <c r="H465" s="120" t="s">
        <v>251</v>
      </c>
      <c r="I465" s="120">
        <v>599.98076054348689</v>
      </c>
      <c r="J465" s="120">
        <v>1314.2830205885198</v>
      </c>
      <c r="K465" s="120" t="s">
        <v>251</v>
      </c>
      <c r="L465" s="120" t="s">
        <v>251</v>
      </c>
      <c r="M465" s="120">
        <v>4.2056641904307607E-2</v>
      </c>
      <c r="N465" s="120" t="s">
        <v>251</v>
      </c>
      <c r="O465" s="120">
        <v>1314.2409639466155</v>
      </c>
      <c r="P465" s="120">
        <v>405.42105675199679</v>
      </c>
      <c r="Q465" s="120">
        <v>908.81990719461862</v>
      </c>
      <c r="R465" s="120"/>
      <c r="S465" s="121"/>
    </row>
    <row r="466" spans="1:19" ht="15">
      <c r="A466" s="105">
        <v>36</v>
      </c>
      <c r="B466" s="129" t="str">
        <f t="shared" si="13"/>
        <v xml:space="preserve">  T</v>
      </c>
      <c r="C466" s="107" t="s">
        <v>618</v>
      </c>
      <c r="D466" s="107" t="s">
        <v>251</v>
      </c>
      <c r="E466" s="120">
        <v>139915847.35148501</v>
      </c>
      <c r="F466" s="120" t="s">
        <v>251</v>
      </c>
      <c r="G466" s="120">
        <v>123116889.77700745</v>
      </c>
      <c r="H466" s="120" t="s">
        <v>251</v>
      </c>
      <c r="I466" s="120">
        <v>5048699.6863985639</v>
      </c>
      <c r="J466" s="120">
        <v>11750257.888079001</v>
      </c>
      <c r="K466" s="120" t="s">
        <v>251</v>
      </c>
      <c r="L466" s="120" t="s">
        <v>251</v>
      </c>
      <c r="M466" s="120">
        <v>544.2995100702916</v>
      </c>
      <c r="N466" s="120" t="s">
        <v>251</v>
      </c>
      <c r="O466" s="120">
        <v>11749713.58856893</v>
      </c>
      <c r="P466" s="120">
        <v>3753489.529040324</v>
      </c>
      <c r="Q466" s="120">
        <v>7996224.0595286051</v>
      </c>
      <c r="R466" s="120"/>
      <c r="S466" s="121"/>
    </row>
    <row r="467" spans="1:19" ht="15">
      <c r="A467" s="105">
        <v>37</v>
      </c>
      <c r="B467" s="129" t="str">
        <f t="shared" si="13"/>
        <v>551</v>
      </c>
      <c r="C467" s="107" t="s">
        <v>619</v>
      </c>
      <c r="D467" s="107" t="s">
        <v>615</v>
      </c>
      <c r="E467" s="120">
        <v>488200.54</v>
      </c>
      <c r="F467" s="120" t="s">
        <v>251</v>
      </c>
      <c r="G467" s="120">
        <v>428580.37775994331</v>
      </c>
      <c r="H467" s="120" t="s">
        <v>251</v>
      </c>
      <c r="I467" s="120">
        <v>18686.53141593788</v>
      </c>
      <c r="J467" s="120">
        <v>40933.63082411878</v>
      </c>
      <c r="K467" s="120" t="s">
        <v>251</v>
      </c>
      <c r="L467" s="120" t="s">
        <v>251</v>
      </c>
      <c r="M467" s="120">
        <v>1.3098632687518179</v>
      </c>
      <c r="N467" s="120" t="s">
        <v>251</v>
      </c>
      <c r="O467" s="120">
        <v>40932.320960850026</v>
      </c>
      <c r="P467" s="120">
        <v>12626.927081488999</v>
      </c>
      <c r="Q467" s="120">
        <v>28305.393879361025</v>
      </c>
      <c r="R467" s="120"/>
      <c r="S467" s="121"/>
    </row>
    <row r="468" spans="1:19" ht="15">
      <c r="A468" s="105">
        <v>38</v>
      </c>
      <c r="B468" s="129" t="str">
        <f t="shared" si="13"/>
        <v>552</v>
      </c>
      <c r="C468" s="107" t="s">
        <v>620</v>
      </c>
      <c r="D468" s="107" t="s">
        <v>615</v>
      </c>
      <c r="E468" s="120">
        <v>1324983.1499999999</v>
      </c>
      <c r="F468" s="120" t="s">
        <v>251</v>
      </c>
      <c r="G468" s="120">
        <v>1218969.6188792668</v>
      </c>
      <c r="H468" s="120" t="s">
        <v>251</v>
      </c>
      <c r="I468" s="120">
        <v>33227.083998360409</v>
      </c>
      <c r="J468" s="120">
        <v>72786.447122372658</v>
      </c>
      <c r="K468" s="120" t="s">
        <v>251</v>
      </c>
      <c r="L468" s="120" t="s">
        <v>251</v>
      </c>
      <c r="M468" s="120">
        <v>2.2617760806367384</v>
      </c>
      <c r="N468" s="120" t="s">
        <v>251</v>
      </c>
      <c r="O468" s="120">
        <v>72784.185346292026</v>
      </c>
      <c r="P468" s="120">
        <v>22452.687252507174</v>
      </c>
      <c r="Q468" s="120">
        <v>50331.498093784852</v>
      </c>
      <c r="R468" s="120"/>
      <c r="S468" s="121"/>
    </row>
    <row r="469" spans="1:19" ht="15">
      <c r="A469" s="105">
        <v>39</v>
      </c>
      <c r="B469" s="129" t="str">
        <f t="shared" si="13"/>
        <v>553</v>
      </c>
      <c r="C469" s="107" t="s">
        <v>621</v>
      </c>
      <c r="D469" s="107" t="s">
        <v>615</v>
      </c>
      <c r="E469" s="120">
        <v>3942758.9799999902</v>
      </c>
      <c r="F469" s="120" t="s">
        <v>251</v>
      </c>
      <c r="G469" s="120">
        <v>3458619.0696131727</v>
      </c>
      <c r="H469" s="120" t="s">
        <v>251</v>
      </c>
      <c r="I469" s="120">
        <v>151733.09824463568</v>
      </c>
      <c r="J469" s="120">
        <v>332406.81214218156</v>
      </c>
      <c r="K469" s="120" t="s">
        <v>251</v>
      </c>
      <c r="L469" s="120" t="s">
        <v>251</v>
      </c>
      <c r="M469" s="120">
        <v>8.8961119722786268</v>
      </c>
      <c r="N469" s="120" t="s">
        <v>251</v>
      </c>
      <c r="O469" s="120">
        <v>332397.91603020928</v>
      </c>
      <c r="P469" s="120">
        <v>102539.12187795946</v>
      </c>
      <c r="Q469" s="120">
        <v>229858.79415224981</v>
      </c>
      <c r="R469" s="120"/>
      <c r="S469" s="121"/>
    </row>
    <row r="470" spans="1:19" ht="15">
      <c r="A470" s="105">
        <v>40</v>
      </c>
      <c r="B470" s="129" t="str">
        <f t="shared" si="13"/>
        <v>554</v>
      </c>
      <c r="C470" s="107" t="s">
        <v>622</v>
      </c>
      <c r="D470" s="107" t="s">
        <v>615</v>
      </c>
      <c r="E470" s="120">
        <v>3597173.7000000007</v>
      </c>
      <c r="F470" s="120" t="s">
        <v>251</v>
      </c>
      <c r="G470" s="120">
        <v>3093961.3314062525</v>
      </c>
      <c r="H470" s="120" t="s">
        <v>251</v>
      </c>
      <c r="I470" s="120">
        <v>157705.24257289138</v>
      </c>
      <c r="J470" s="120">
        <v>345507.12602085661</v>
      </c>
      <c r="K470" s="120" t="s">
        <v>251</v>
      </c>
      <c r="L470" s="120" t="s">
        <v>251</v>
      </c>
      <c r="M470" s="120">
        <v>8.2335395277224617</v>
      </c>
      <c r="N470" s="120" t="s">
        <v>251</v>
      </c>
      <c r="O470" s="120">
        <v>345498.89248132886</v>
      </c>
      <c r="P470" s="120">
        <v>106580.55100930078</v>
      </c>
      <c r="Q470" s="120">
        <v>238918.34147202809</v>
      </c>
      <c r="R470" s="120"/>
      <c r="S470" s="121"/>
    </row>
    <row r="471" spans="1:19" ht="15">
      <c r="A471" s="105">
        <v>41</v>
      </c>
      <c r="B471" s="129" t="str">
        <f t="shared" si="13"/>
        <v xml:space="preserve">  T</v>
      </c>
      <c r="C471" s="107" t="s">
        <v>623</v>
      </c>
      <c r="D471" s="107" t="s">
        <v>251</v>
      </c>
      <c r="E471" s="120">
        <v>9353116.3699999899</v>
      </c>
      <c r="F471" s="120" t="s">
        <v>251</v>
      </c>
      <c r="G471" s="120">
        <v>8200130.3976586349</v>
      </c>
      <c r="H471" s="120" t="s">
        <v>251</v>
      </c>
      <c r="I471" s="120">
        <v>361351.95623182534</v>
      </c>
      <c r="J471" s="120">
        <v>791634.01610952953</v>
      </c>
      <c r="K471" s="120" t="s">
        <v>251</v>
      </c>
      <c r="L471" s="120" t="s">
        <v>251</v>
      </c>
      <c r="M471" s="120">
        <v>20.701290849389643</v>
      </c>
      <c r="N471" s="120" t="s">
        <v>251</v>
      </c>
      <c r="O471" s="120">
        <v>791613.31481868017</v>
      </c>
      <c r="P471" s="120">
        <v>244199.28722125641</v>
      </c>
      <c r="Q471" s="120">
        <v>547414.02759742376</v>
      </c>
      <c r="R471" s="120"/>
      <c r="S471" s="121"/>
    </row>
    <row r="472" spans="1:19" ht="15">
      <c r="A472" s="105" t="s">
        <v>251</v>
      </c>
      <c r="B472" s="129" t="str">
        <f t="shared" si="13"/>
        <v/>
      </c>
      <c r="C472" s="107" t="s">
        <v>251</v>
      </c>
      <c r="D472" s="107" t="s">
        <v>251</v>
      </c>
      <c r="E472" s="120" t="s">
        <v>251</v>
      </c>
      <c r="F472" s="120" t="s">
        <v>251</v>
      </c>
      <c r="G472" s="120" t="s">
        <v>251</v>
      </c>
      <c r="H472" s="120" t="s">
        <v>251</v>
      </c>
      <c r="I472" s="120" t="s">
        <v>251</v>
      </c>
      <c r="J472" s="120" t="s">
        <v>251</v>
      </c>
      <c r="K472" s="120" t="s">
        <v>251</v>
      </c>
      <c r="L472" s="120" t="s">
        <v>251</v>
      </c>
      <c r="M472" s="120" t="s">
        <v>251</v>
      </c>
      <c r="N472" s="120" t="s">
        <v>251</v>
      </c>
      <c r="O472" s="120" t="s">
        <v>251</v>
      </c>
      <c r="P472" s="120" t="s">
        <v>251</v>
      </c>
      <c r="Q472" s="120" t="s">
        <v>251</v>
      </c>
      <c r="R472" s="120"/>
      <c r="S472" s="121"/>
    </row>
    <row r="473" spans="1:19" ht="15">
      <c r="A473" s="105">
        <v>42</v>
      </c>
      <c r="B473" s="129" t="str">
        <f t="shared" si="13"/>
        <v>TAL</v>
      </c>
      <c r="C473" s="107" t="s">
        <v>624</v>
      </c>
      <c r="D473" s="107" t="s">
        <v>251</v>
      </c>
      <c r="E473" s="120">
        <v>149268963.72148502</v>
      </c>
      <c r="F473" s="120" t="s">
        <v>251</v>
      </c>
      <c r="G473" s="120">
        <v>131317020.17466608</v>
      </c>
      <c r="H473" s="120" t="s">
        <v>251</v>
      </c>
      <c r="I473" s="120">
        <v>5410051.642630389</v>
      </c>
      <c r="J473" s="120">
        <v>12541891.904188529</v>
      </c>
      <c r="K473" s="120" t="s">
        <v>251</v>
      </c>
      <c r="L473" s="120" t="s">
        <v>251</v>
      </c>
      <c r="M473" s="120">
        <v>565.0008009196813</v>
      </c>
      <c r="N473" s="120" t="s">
        <v>251</v>
      </c>
      <c r="O473" s="120">
        <v>12541326.90338761</v>
      </c>
      <c r="P473" s="120">
        <v>3997688.8162615802</v>
      </c>
      <c r="Q473" s="120">
        <v>8543638.0871260297</v>
      </c>
      <c r="R473" s="120"/>
      <c r="S473" s="121"/>
    </row>
    <row r="474" spans="1:19" ht="15">
      <c r="A474" s="105" t="s">
        <v>251</v>
      </c>
      <c r="B474" s="129" t="str">
        <f t="shared" si="13"/>
        <v/>
      </c>
      <c r="C474" s="107" t="s">
        <v>251</v>
      </c>
      <c r="D474" s="107" t="s">
        <v>251</v>
      </c>
      <c r="E474" s="120" t="s">
        <v>251</v>
      </c>
      <c r="F474" s="120" t="s">
        <v>251</v>
      </c>
      <c r="G474" s="120" t="s">
        <v>251</v>
      </c>
      <c r="H474" s="120" t="s">
        <v>251</v>
      </c>
      <c r="I474" s="120" t="s">
        <v>251</v>
      </c>
      <c r="J474" s="120" t="s">
        <v>251</v>
      </c>
      <c r="K474" s="120" t="s">
        <v>251</v>
      </c>
      <c r="L474" s="120" t="s">
        <v>251</v>
      </c>
      <c r="M474" s="120" t="s">
        <v>251</v>
      </c>
      <c r="N474" s="120" t="s">
        <v>251</v>
      </c>
      <c r="O474" s="120" t="s">
        <v>251</v>
      </c>
      <c r="P474" s="120" t="s">
        <v>251</v>
      </c>
      <c r="Q474" s="120" t="s">
        <v>251</v>
      </c>
      <c r="R474" s="120"/>
      <c r="S474" s="121"/>
    </row>
    <row r="475" spans="1:19" ht="15">
      <c r="A475" s="105" t="s">
        <v>251</v>
      </c>
      <c r="B475" s="129" t="str">
        <f t="shared" si="13"/>
        <v>ERA</v>
      </c>
      <c r="C475" s="107" t="s">
        <v>632</v>
      </c>
      <c r="D475" s="107" t="s">
        <v>251</v>
      </c>
      <c r="E475" s="120" t="s">
        <v>251</v>
      </c>
      <c r="F475" s="120" t="s">
        <v>251</v>
      </c>
      <c r="G475" s="120" t="s">
        <v>251</v>
      </c>
      <c r="H475" s="120" t="s">
        <v>251</v>
      </c>
      <c r="I475" s="120" t="s">
        <v>251</v>
      </c>
      <c r="J475" s="120" t="s">
        <v>251</v>
      </c>
      <c r="K475" s="120" t="s">
        <v>251</v>
      </c>
      <c r="L475" s="120" t="s">
        <v>251</v>
      </c>
      <c r="M475" s="120" t="s">
        <v>251</v>
      </c>
      <c r="N475" s="120" t="s">
        <v>251</v>
      </c>
      <c r="O475" s="120" t="s">
        <v>251</v>
      </c>
      <c r="P475" s="120" t="s">
        <v>251</v>
      </c>
      <c r="Q475" s="120" t="s">
        <v>251</v>
      </c>
      <c r="R475" s="120"/>
      <c r="S475" s="121"/>
    </row>
    <row r="476" spans="1:19" ht="15">
      <c r="A476" s="105" t="s">
        <v>251</v>
      </c>
      <c r="B476" s="129" t="str">
        <f t="shared" si="13"/>
        <v/>
      </c>
      <c r="C476" s="107" t="s">
        <v>251</v>
      </c>
      <c r="D476" s="107" t="s">
        <v>251</v>
      </c>
      <c r="E476" s="120" t="s">
        <v>251</v>
      </c>
      <c r="F476" s="120" t="s">
        <v>251</v>
      </c>
      <c r="G476" s="120" t="s">
        <v>251</v>
      </c>
      <c r="H476" s="120" t="s">
        <v>251</v>
      </c>
      <c r="I476" s="120" t="s">
        <v>251</v>
      </c>
      <c r="J476" s="120" t="s">
        <v>251</v>
      </c>
      <c r="K476" s="120" t="s">
        <v>251</v>
      </c>
      <c r="L476" s="120" t="s">
        <v>251</v>
      </c>
      <c r="M476" s="120" t="s">
        <v>251</v>
      </c>
      <c r="N476" s="120" t="s">
        <v>251</v>
      </c>
      <c r="O476" s="120" t="s">
        <v>251</v>
      </c>
      <c r="P476" s="120" t="s">
        <v>251</v>
      </c>
      <c r="Q476" s="120" t="s">
        <v>251</v>
      </c>
      <c r="R476" s="120"/>
      <c r="S476" s="121"/>
    </row>
    <row r="477" spans="1:19" ht="15">
      <c r="A477" s="105" t="s">
        <v>251</v>
      </c>
      <c r="B477" s="129" t="str">
        <f t="shared" si="13"/>
        <v>5-P</v>
      </c>
      <c r="C477" s="107" t="s">
        <v>625</v>
      </c>
      <c r="D477" s="107" t="s">
        <v>251</v>
      </c>
      <c r="E477" s="120" t="s">
        <v>251</v>
      </c>
      <c r="F477" s="120" t="s">
        <v>251</v>
      </c>
      <c r="G477" s="120" t="s">
        <v>251</v>
      </c>
      <c r="H477" s="120" t="s">
        <v>251</v>
      </c>
      <c r="I477" s="120" t="s">
        <v>251</v>
      </c>
      <c r="J477" s="120" t="s">
        <v>251</v>
      </c>
      <c r="K477" s="120" t="s">
        <v>251</v>
      </c>
      <c r="L477" s="120" t="s">
        <v>251</v>
      </c>
      <c r="M477" s="120" t="s">
        <v>251</v>
      </c>
      <c r="N477" s="120" t="s">
        <v>251</v>
      </c>
      <c r="O477" s="120" t="s">
        <v>251</v>
      </c>
      <c r="P477" s="120" t="s">
        <v>251</v>
      </c>
      <c r="Q477" s="120" t="s">
        <v>251</v>
      </c>
      <c r="R477" s="120"/>
      <c r="S477" s="121"/>
    </row>
    <row r="478" spans="1:19" ht="15">
      <c r="A478" s="105">
        <v>43</v>
      </c>
      <c r="B478" s="129" t="str">
        <f t="shared" si="13"/>
        <v>CAP</v>
      </c>
      <c r="C478" s="107" t="s">
        <v>626</v>
      </c>
      <c r="D478" s="107" t="s">
        <v>304</v>
      </c>
      <c r="E478" s="120">
        <v>9548770.1919117998</v>
      </c>
      <c r="F478" s="120" t="s">
        <v>251</v>
      </c>
      <c r="G478" s="120">
        <v>8371743.9462043559</v>
      </c>
      <c r="H478" s="120" t="s">
        <v>251</v>
      </c>
      <c r="I478" s="120">
        <v>383352.45807203604</v>
      </c>
      <c r="J478" s="120">
        <v>793673.78763540764</v>
      </c>
      <c r="K478" s="120" t="s">
        <v>251</v>
      </c>
      <c r="L478" s="120" t="s">
        <v>251</v>
      </c>
      <c r="M478" s="120">
        <v>26.872131816795132</v>
      </c>
      <c r="N478" s="120" t="s">
        <v>251</v>
      </c>
      <c r="O478" s="120">
        <v>793646.91550359083</v>
      </c>
      <c r="P478" s="120">
        <v>244826.61855645711</v>
      </c>
      <c r="Q478" s="120">
        <v>548820.29694713373</v>
      </c>
      <c r="R478" s="120"/>
      <c r="S478" s="121"/>
    </row>
    <row r="479" spans="1:19" ht="15">
      <c r="A479" s="105">
        <v>44</v>
      </c>
      <c r="B479" s="129" t="str">
        <f t="shared" si="13"/>
        <v>ENE</v>
      </c>
      <c r="C479" s="107" t="s">
        <v>627</v>
      </c>
      <c r="D479" s="107" t="s">
        <v>495</v>
      </c>
      <c r="E479" s="120">
        <v>39149149.399999991</v>
      </c>
      <c r="F479" s="120" t="s">
        <v>251</v>
      </c>
      <c r="G479" s="120">
        <v>34461595.480053157</v>
      </c>
      <c r="H479" s="120" t="s">
        <v>251</v>
      </c>
      <c r="I479" s="120">
        <v>1405875.918127313</v>
      </c>
      <c r="J479" s="120">
        <v>3281678.0018195212</v>
      </c>
      <c r="K479" s="120" t="s">
        <v>251</v>
      </c>
      <c r="L479" s="120" t="s">
        <v>251</v>
      </c>
      <c r="M479" s="120">
        <v>154.2312687606306</v>
      </c>
      <c r="N479" s="120" t="s">
        <v>251</v>
      </c>
      <c r="O479" s="120">
        <v>3281523.7705507604</v>
      </c>
      <c r="P479" s="120">
        <v>1049992.4359004595</v>
      </c>
      <c r="Q479" s="120">
        <v>2231531.3346503009</v>
      </c>
      <c r="R479" s="120"/>
      <c r="S479" s="121"/>
    </row>
    <row r="480" spans="1:19" ht="15">
      <c r="A480" s="105">
        <v>45</v>
      </c>
      <c r="B480" s="129" t="str">
        <f t="shared" si="13"/>
        <v xml:space="preserve">  T</v>
      </c>
      <c r="C480" s="107" t="s">
        <v>628</v>
      </c>
      <c r="D480" s="107" t="s">
        <v>251</v>
      </c>
      <c r="E480" s="120">
        <v>48697919.591911793</v>
      </c>
      <c r="F480" s="120" t="s">
        <v>251</v>
      </c>
      <c r="G480" s="120">
        <v>42833339.426257513</v>
      </c>
      <c r="H480" s="120" t="s">
        <v>251</v>
      </c>
      <c r="I480" s="120">
        <v>1789228.3761993491</v>
      </c>
      <c r="J480" s="120">
        <v>4075351.7894549286</v>
      </c>
      <c r="K480" s="120" t="s">
        <v>251</v>
      </c>
      <c r="L480" s="120" t="s">
        <v>251</v>
      </c>
      <c r="M480" s="120">
        <v>181.10340057742573</v>
      </c>
      <c r="N480" s="120" t="s">
        <v>251</v>
      </c>
      <c r="O480" s="120">
        <v>4075170.6860543513</v>
      </c>
      <c r="P480" s="120">
        <v>1294819.0544569166</v>
      </c>
      <c r="Q480" s="120">
        <v>2780351.6315974346</v>
      </c>
      <c r="R480" s="120"/>
      <c r="S480" s="121"/>
    </row>
    <row r="481" spans="1:19" ht="15">
      <c r="A481" s="105" t="s">
        <v>251</v>
      </c>
      <c r="B481" s="129">
        <v>555</v>
      </c>
      <c r="C481" s="107" t="s">
        <v>251</v>
      </c>
      <c r="D481" s="107" t="s">
        <v>251</v>
      </c>
      <c r="E481" s="120" t="s">
        <v>251</v>
      </c>
      <c r="F481" s="120" t="s">
        <v>251</v>
      </c>
      <c r="G481" s="120" t="s">
        <v>251</v>
      </c>
      <c r="H481" s="120" t="s">
        <v>251</v>
      </c>
      <c r="I481" s="120" t="s">
        <v>251</v>
      </c>
      <c r="J481" s="120" t="s">
        <v>251</v>
      </c>
      <c r="K481" s="120" t="s">
        <v>251</v>
      </c>
      <c r="L481" s="120" t="s">
        <v>251</v>
      </c>
      <c r="M481" s="120" t="s">
        <v>251</v>
      </c>
      <c r="N481" s="120" t="s">
        <v>251</v>
      </c>
      <c r="O481" s="120" t="s">
        <v>251</v>
      </c>
      <c r="P481" s="120" t="s">
        <v>251</v>
      </c>
      <c r="Q481" s="120" t="s">
        <v>251</v>
      </c>
      <c r="R481" s="120"/>
      <c r="S481" s="121"/>
    </row>
    <row r="482" spans="1:19" ht="15">
      <c r="A482" s="105">
        <v>46</v>
      </c>
      <c r="B482" s="129" t="str">
        <f t="shared" si="13"/>
        <v>6-S</v>
      </c>
      <c r="C482" s="107" t="s">
        <v>629</v>
      </c>
      <c r="D482" s="107" t="s">
        <v>304</v>
      </c>
      <c r="E482" s="120">
        <v>1827132.25</v>
      </c>
      <c r="F482" s="120" t="s">
        <v>251</v>
      </c>
      <c r="G482" s="120">
        <v>1601911.3504070737</v>
      </c>
      <c r="H482" s="120" t="s">
        <v>251</v>
      </c>
      <c r="I482" s="120">
        <v>73353.492144306467</v>
      </c>
      <c r="J482" s="120">
        <v>151867.40744861978</v>
      </c>
      <c r="K482" s="120" t="s">
        <v>251</v>
      </c>
      <c r="L482" s="120" t="s">
        <v>251</v>
      </c>
      <c r="M482" s="120">
        <v>5.1419122758139366</v>
      </c>
      <c r="N482" s="120" t="s">
        <v>251</v>
      </c>
      <c r="O482" s="120">
        <v>151862.26553634397</v>
      </c>
      <c r="P482" s="120">
        <v>46846.934362485612</v>
      </c>
      <c r="Q482" s="120">
        <v>105015.33117385834</v>
      </c>
      <c r="R482" s="120"/>
      <c r="S482" s="121"/>
    </row>
    <row r="483" spans="1:19" ht="15">
      <c r="A483" s="105">
        <v>47</v>
      </c>
      <c r="B483" s="129">
        <v>556</v>
      </c>
      <c r="C483" s="107" t="s">
        <v>630</v>
      </c>
      <c r="D483" s="107" t="s">
        <v>498</v>
      </c>
      <c r="E483" s="120">
        <v>286458.05999999901</v>
      </c>
      <c r="F483" s="120" t="s">
        <v>251</v>
      </c>
      <c r="G483" s="120">
        <v>249326.65564061175</v>
      </c>
      <c r="H483" s="120" t="s">
        <v>251</v>
      </c>
      <c r="I483" s="120">
        <v>11661.450193217319</v>
      </c>
      <c r="J483" s="120">
        <v>25469.954166169951</v>
      </c>
      <c r="K483" s="120" t="s">
        <v>251</v>
      </c>
      <c r="L483" s="120" t="s">
        <v>251</v>
      </c>
      <c r="M483" s="120">
        <v>0.80030383142007988</v>
      </c>
      <c r="N483" s="120" t="s">
        <v>251</v>
      </c>
      <c r="O483" s="120">
        <v>25469.153862338531</v>
      </c>
      <c r="P483" s="120">
        <v>7856.8021821818047</v>
      </c>
      <c r="Q483" s="120">
        <v>17612.351680156728</v>
      </c>
      <c r="R483" s="120"/>
      <c r="S483" s="121"/>
    </row>
    <row r="484" spans="1:19" ht="15">
      <c r="A484" s="105" t="s">
        <v>251</v>
      </c>
      <c r="B484" s="129">
        <v>557</v>
      </c>
      <c r="C484" s="107" t="s">
        <v>251</v>
      </c>
      <c r="D484" s="107" t="s">
        <v>251</v>
      </c>
      <c r="E484" s="120" t="s">
        <v>251</v>
      </c>
      <c r="F484" s="120" t="s">
        <v>251</v>
      </c>
      <c r="G484" s="120" t="s">
        <v>251</v>
      </c>
      <c r="H484" s="120" t="s">
        <v>251</v>
      </c>
      <c r="I484" s="120" t="s">
        <v>251</v>
      </c>
      <c r="J484" s="120" t="s">
        <v>251</v>
      </c>
      <c r="K484" s="120" t="s">
        <v>251</v>
      </c>
      <c r="L484" s="120" t="s">
        <v>251</v>
      </c>
      <c r="M484" s="120" t="s">
        <v>251</v>
      </c>
      <c r="N484" s="120" t="s">
        <v>251</v>
      </c>
      <c r="O484" s="120" t="s">
        <v>251</v>
      </c>
      <c r="P484" s="120" t="s">
        <v>251</v>
      </c>
      <c r="Q484" s="120" t="s">
        <v>251</v>
      </c>
      <c r="R484" s="120"/>
      <c r="S484" s="121"/>
    </row>
    <row r="485" spans="1:19" ht="15">
      <c r="A485" s="105">
        <v>48</v>
      </c>
      <c r="B485" s="129" t="str">
        <f t="shared" si="13"/>
        <v>TAL</v>
      </c>
      <c r="C485" s="107" t="s">
        <v>631</v>
      </c>
      <c r="D485" s="107" t="s">
        <v>251</v>
      </c>
      <c r="E485" s="120">
        <v>702977146.38696408</v>
      </c>
      <c r="F485" s="120" t="s">
        <v>251</v>
      </c>
      <c r="G485" s="120">
        <v>617436417.80403852</v>
      </c>
      <c r="H485" s="120" t="s">
        <v>251</v>
      </c>
      <c r="I485" s="120">
        <v>25894332.588971529</v>
      </c>
      <c r="J485" s="120">
        <v>59646395.993954003</v>
      </c>
      <c r="K485" s="120" t="s">
        <v>251</v>
      </c>
      <c r="L485" s="120" t="s">
        <v>251</v>
      </c>
      <c r="M485" s="120">
        <v>2554.5149917620133</v>
      </c>
      <c r="N485" s="120" t="s">
        <v>251</v>
      </c>
      <c r="O485" s="120">
        <v>59643841.478962243</v>
      </c>
      <c r="P485" s="120">
        <v>18968661.312702511</v>
      </c>
      <c r="Q485" s="120">
        <v>40675180.166259728</v>
      </c>
      <c r="R485" s="120"/>
      <c r="S485" s="121"/>
    </row>
    <row r="486" spans="1:19" ht="15">
      <c r="A486" s="105" t="s">
        <v>251</v>
      </c>
      <c r="B486" s="129" t="str">
        <f t="shared" si="13"/>
        <v/>
      </c>
      <c r="C486" s="107" t="s">
        <v>251</v>
      </c>
      <c r="D486" s="107" t="s">
        <v>251</v>
      </c>
      <c r="E486" s="120" t="s">
        <v>251</v>
      </c>
      <c r="F486" s="120" t="s">
        <v>251</v>
      </c>
      <c r="G486" s="120" t="s">
        <v>251</v>
      </c>
      <c r="H486" s="120" t="s">
        <v>251</v>
      </c>
      <c r="I486" s="120" t="s">
        <v>251</v>
      </c>
      <c r="J486" s="120" t="s">
        <v>251</v>
      </c>
      <c r="K486" s="120" t="s">
        <v>251</v>
      </c>
      <c r="L486" s="120" t="s">
        <v>251</v>
      </c>
      <c r="M486" s="120" t="s">
        <v>251</v>
      </c>
      <c r="N486" s="120" t="s">
        <v>251</v>
      </c>
      <c r="O486" s="120" t="s">
        <v>251</v>
      </c>
      <c r="P486" s="120" t="s">
        <v>251</v>
      </c>
      <c r="Q486" s="120" t="s">
        <v>251</v>
      </c>
      <c r="R486" s="120"/>
      <c r="S486" s="121"/>
    </row>
    <row r="487" spans="1:19" ht="15">
      <c r="A487" s="105" t="s">
        <v>251</v>
      </c>
      <c r="B487" s="129" t="str">
        <f t="shared" si="13"/>
        <v>ERA</v>
      </c>
      <c r="C487" s="107" t="s">
        <v>632</v>
      </c>
      <c r="D487" s="107" t="s">
        <v>251</v>
      </c>
      <c r="E487" s="120" t="s">
        <v>251</v>
      </c>
      <c r="F487" s="120" t="s">
        <v>251</v>
      </c>
      <c r="G487" s="120" t="s">
        <v>251</v>
      </c>
      <c r="H487" s="120" t="s">
        <v>251</v>
      </c>
      <c r="I487" s="120" t="s">
        <v>251</v>
      </c>
      <c r="J487" s="120" t="s">
        <v>251</v>
      </c>
      <c r="K487" s="120" t="s">
        <v>251</v>
      </c>
      <c r="L487" s="120" t="s">
        <v>251</v>
      </c>
      <c r="M487" s="120" t="s">
        <v>251</v>
      </c>
      <c r="N487" s="120" t="s">
        <v>251</v>
      </c>
      <c r="O487" s="120" t="s">
        <v>251</v>
      </c>
      <c r="P487" s="120" t="s">
        <v>251</v>
      </c>
      <c r="Q487" s="120" t="s">
        <v>251</v>
      </c>
      <c r="R487" s="120"/>
      <c r="S487" s="121"/>
    </row>
    <row r="488" spans="1:19" ht="15">
      <c r="A488" s="105" t="s">
        <v>251</v>
      </c>
      <c r="B488" s="129" t="str">
        <f t="shared" si="13"/>
        <v/>
      </c>
      <c r="C488" s="107" t="s">
        <v>251</v>
      </c>
      <c r="D488" s="107" t="s">
        <v>251</v>
      </c>
      <c r="E488" s="120" t="s">
        <v>251</v>
      </c>
      <c r="F488" s="120" t="s">
        <v>251</v>
      </c>
      <c r="G488" s="120" t="s">
        <v>251</v>
      </c>
      <c r="H488" s="120" t="s">
        <v>251</v>
      </c>
      <c r="I488" s="120" t="s">
        <v>251</v>
      </c>
      <c r="J488" s="120" t="s">
        <v>251</v>
      </c>
      <c r="K488" s="120" t="s">
        <v>251</v>
      </c>
      <c r="L488" s="120" t="s">
        <v>251</v>
      </c>
      <c r="M488" s="120" t="s">
        <v>251</v>
      </c>
      <c r="N488" s="120" t="s">
        <v>251</v>
      </c>
      <c r="O488" s="120" t="s">
        <v>251</v>
      </c>
      <c r="P488" s="120" t="s">
        <v>251</v>
      </c>
      <c r="Q488" s="120" t="s">
        <v>251</v>
      </c>
      <c r="R488" s="120"/>
      <c r="S488" s="121"/>
    </row>
    <row r="489" spans="1:19" ht="15">
      <c r="A489" s="105" t="s">
        <v>251</v>
      </c>
      <c r="B489" s="129" t="str">
        <f t="shared" si="13"/>
        <v>ANS</v>
      </c>
      <c r="C489" s="107" t="s">
        <v>633</v>
      </c>
      <c r="D489" s="107" t="s">
        <v>251</v>
      </c>
      <c r="E489" s="120" t="s">
        <v>251</v>
      </c>
      <c r="F489" s="120" t="s">
        <v>251</v>
      </c>
      <c r="G489" s="120" t="s">
        <v>251</v>
      </c>
      <c r="H489" s="120" t="s">
        <v>251</v>
      </c>
      <c r="I489" s="120" t="s">
        <v>251</v>
      </c>
      <c r="J489" s="120" t="s">
        <v>251</v>
      </c>
      <c r="K489" s="120" t="s">
        <v>251</v>
      </c>
      <c r="L489" s="120" t="s">
        <v>251</v>
      </c>
      <c r="M489" s="120" t="s">
        <v>251</v>
      </c>
      <c r="N489" s="120" t="s">
        <v>251</v>
      </c>
      <c r="O489" s="120" t="s">
        <v>251</v>
      </c>
      <c r="P489" s="120" t="s">
        <v>251</v>
      </c>
      <c r="Q489" s="120" t="s">
        <v>251</v>
      </c>
      <c r="R489" s="120"/>
      <c r="S489" s="121"/>
    </row>
    <row r="490" spans="1:19" ht="15">
      <c r="A490" s="105">
        <v>1</v>
      </c>
      <c r="B490" s="129" t="str">
        <f t="shared" si="13"/>
        <v>560</v>
      </c>
      <c r="C490" s="107" t="s">
        <v>634</v>
      </c>
      <c r="D490" s="107" t="s">
        <v>635</v>
      </c>
      <c r="E490" s="120">
        <v>1670183.7799999998</v>
      </c>
      <c r="F490" s="120" t="s">
        <v>251</v>
      </c>
      <c r="G490" s="120">
        <v>1508715.2830593041</v>
      </c>
      <c r="H490" s="120" t="s">
        <v>251</v>
      </c>
      <c r="I490" s="120">
        <v>161463.65417481319</v>
      </c>
      <c r="J490" s="120">
        <v>4.8427658825810624</v>
      </c>
      <c r="K490" s="120" t="s">
        <v>251</v>
      </c>
      <c r="L490" s="120" t="s">
        <v>251</v>
      </c>
      <c r="M490" s="120">
        <v>4.8427658825810624</v>
      </c>
      <c r="N490" s="120" t="s">
        <v>251</v>
      </c>
      <c r="O490" s="120">
        <v>0</v>
      </c>
      <c r="P490" s="120">
        <v>0</v>
      </c>
      <c r="Q490" s="120">
        <v>0</v>
      </c>
      <c r="R490" s="120"/>
      <c r="S490" s="121"/>
    </row>
    <row r="491" spans="1:19" ht="15">
      <c r="A491" s="105">
        <v>2</v>
      </c>
      <c r="B491" s="129" t="str">
        <f t="shared" si="13"/>
        <v>561</v>
      </c>
      <c r="C491" s="107" t="s">
        <v>636</v>
      </c>
      <c r="D491" s="107" t="s">
        <v>500</v>
      </c>
      <c r="E491" s="120">
        <v>3856316.2699999991</v>
      </c>
      <c r="F491" s="120" t="s">
        <v>251</v>
      </c>
      <c r="G491" s="120">
        <v>3483498.8595442167</v>
      </c>
      <c r="H491" s="120" t="s">
        <v>251</v>
      </c>
      <c r="I491" s="120">
        <v>372806.22890972241</v>
      </c>
      <c r="J491" s="120">
        <v>11.181546060037931</v>
      </c>
      <c r="K491" s="120" t="s">
        <v>251</v>
      </c>
      <c r="L491" s="120" t="s">
        <v>251</v>
      </c>
      <c r="M491" s="120">
        <v>11.181546060037931</v>
      </c>
      <c r="N491" s="120" t="s">
        <v>251</v>
      </c>
      <c r="O491" s="120">
        <v>0</v>
      </c>
      <c r="P491" s="120">
        <v>0</v>
      </c>
      <c r="Q491" s="120">
        <v>0</v>
      </c>
      <c r="R491" s="120"/>
      <c r="S491" s="121"/>
    </row>
    <row r="492" spans="1:19" ht="15">
      <c r="A492" s="105">
        <v>3</v>
      </c>
      <c r="B492" s="129" t="str">
        <f t="shared" si="13"/>
        <v>562</v>
      </c>
      <c r="C492" s="107" t="s">
        <v>637</v>
      </c>
      <c r="D492" s="107" t="s">
        <v>500</v>
      </c>
      <c r="E492" s="120">
        <v>1521641.7099999997</v>
      </c>
      <c r="F492" s="120" t="s">
        <v>251</v>
      </c>
      <c r="G492" s="120">
        <v>1374533.8271800803</v>
      </c>
      <c r="H492" s="120" t="s">
        <v>251</v>
      </c>
      <c r="I492" s="120">
        <v>147103.47075781767</v>
      </c>
      <c r="J492" s="120">
        <v>4.4120621017528423</v>
      </c>
      <c r="K492" s="120" t="s">
        <v>251</v>
      </c>
      <c r="L492" s="120" t="s">
        <v>251</v>
      </c>
      <c r="M492" s="120">
        <v>4.4120621017528423</v>
      </c>
      <c r="N492" s="120" t="s">
        <v>251</v>
      </c>
      <c r="O492" s="120">
        <v>0</v>
      </c>
      <c r="P492" s="120">
        <v>0</v>
      </c>
      <c r="Q492" s="120">
        <v>0</v>
      </c>
      <c r="R492" s="120"/>
      <c r="S492" s="121"/>
    </row>
    <row r="493" spans="1:19" ht="15">
      <c r="A493" s="105">
        <v>4</v>
      </c>
      <c r="B493" s="129" t="str">
        <f t="shared" si="13"/>
        <v>563</v>
      </c>
      <c r="C493" s="107" t="s">
        <v>638</v>
      </c>
      <c r="D493" s="107" t="s">
        <v>500</v>
      </c>
      <c r="E493" s="120">
        <v>851736.38999999897</v>
      </c>
      <c r="F493" s="120" t="s">
        <v>251</v>
      </c>
      <c r="G493" s="120">
        <v>769392.99981152872</v>
      </c>
      <c r="H493" s="120" t="s">
        <v>251</v>
      </c>
      <c r="I493" s="120">
        <v>82340.920544123379</v>
      </c>
      <c r="J493" s="120">
        <v>2.4696443468303548</v>
      </c>
      <c r="K493" s="120" t="s">
        <v>251</v>
      </c>
      <c r="L493" s="120" t="s">
        <v>251</v>
      </c>
      <c r="M493" s="120">
        <v>2.4696443468303548</v>
      </c>
      <c r="N493" s="120" t="s">
        <v>251</v>
      </c>
      <c r="O493" s="120">
        <v>0</v>
      </c>
      <c r="P493" s="120">
        <v>0</v>
      </c>
      <c r="Q493" s="120">
        <v>0</v>
      </c>
      <c r="R493" s="120"/>
      <c r="S493" s="121"/>
    </row>
    <row r="494" spans="1:19" ht="15">
      <c r="A494" s="105">
        <v>5</v>
      </c>
      <c r="B494" s="129" t="str">
        <f t="shared" si="13"/>
        <v>564</v>
      </c>
      <c r="C494" s="107" t="s">
        <v>639</v>
      </c>
      <c r="D494" s="107" t="s">
        <v>500</v>
      </c>
      <c r="E494" s="120">
        <v>0</v>
      </c>
      <c r="F494" s="120" t="s">
        <v>251</v>
      </c>
      <c r="G494" s="120">
        <v>0</v>
      </c>
      <c r="H494" s="120" t="s">
        <v>251</v>
      </c>
      <c r="I494" s="120">
        <v>0</v>
      </c>
      <c r="J494" s="120">
        <v>0</v>
      </c>
      <c r="K494" s="120" t="s">
        <v>251</v>
      </c>
      <c r="L494" s="120" t="s">
        <v>251</v>
      </c>
      <c r="M494" s="120">
        <v>0</v>
      </c>
      <c r="N494" s="120" t="s">
        <v>251</v>
      </c>
      <c r="O494" s="120">
        <v>0</v>
      </c>
      <c r="P494" s="120">
        <v>0</v>
      </c>
      <c r="Q494" s="120">
        <v>0</v>
      </c>
      <c r="R494" s="120"/>
      <c r="S494" s="121"/>
    </row>
    <row r="495" spans="1:19" ht="15">
      <c r="A495" s="105">
        <v>6</v>
      </c>
      <c r="B495" s="129" t="str">
        <f t="shared" si="13"/>
        <v>565</v>
      </c>
      <c r="C495" s="107" t="s">
        <v>640</v>
      </c>
      <c r="D495" s="107" t="s">
        <v>500</v>
      </c>
      <c r="E495" s="120">
        <v>3742075.63</v>
      </c>
      <c r="F495" s="120" t="s">
        <v>251</v>
      </c>
      <c r="G495" s="120">
        <v>3380302.6714489907</v>
      </c>
      <c r="H495" s="120" t="s">
        <v>251</v>
      </c>
      <c r="I495" s="120">
        <v>361762.10825033649</v>
      </c>
      <c r="J495" s="120">
        <v>10.850300672302083</v>
      </c>
      <c r="K495" s="120" t="s">
        <v>251</v>
      </c>
      <c r="L495" s="120" t="s">
        <v>251</v>
      </c>
      <c r="M495" s="120">
        <v>10.850300672302083</v>
      </c>
      <c r="N495" s="120" t="s">
        <v>251</v>
      </c>
      <c r="O495" s="120">
        <v>0</v>
      </c>
      <c r="P495" s="120">
        <v>0</v>
      </c>
      <c r="Q495" s="120">
        <v>0</v>
      </c>
      <c r="R495" s="120"/>
      <c r="S495" s="121"/>
    </row>
    <row r="496" spans="1:19" ht="15">
      <c r="A496" s="105">
        <v>7</v>
      </c>
      <c r="B496" s="129" t="str">
        <f t="shared" si="13"/>
        <v>566</v>
      </c>
      <c r="C496" s="107" t="s">
        <v>641</v>
      </c>
      <c r="D496" s="107" t="s">
        <v>500</v>
      </c>
      <c r="E496" s="120">
        <v>16718867.629999999</v>
      </c>
      <c r="F496" s="120" t="s">
        <v>251</v>
      </c>
      <c r="G496" s="120">
        <v>15102536.266294291</v>
      </c>
      <c r="H496" s="120" t="s">
        <v>251</v>
      </c>
      <c r="I496" s="120">
        <v>1616282.8866681955</v>
      </c>
      <c r="J496" s="120">
        <v>48.477037511376686</v>
      </c>
      <c r="K496" s="120" t="s">
        <v>251</v>
      </c>
      <c r="L496" s="120" t="s">
        <v>251</v>
      </c>
      <c r="M496" s="120">
        <v>48.477037511376686</v>
      </c>
      <c r="N496" s="120" t="s">
        <v>251</v>
      </c>
      <c r="O496" s="120">
        <v>0</v>
      </c>
      <c r="P496" s="120">
        <v>0</v>
      </c>
      <c r="Q496" s="120">
        <v>0</v>
      </c>
      <c r="R496" s="120"/>
      <c r="S496" s="121"/>
    </row>
    <row r="497" spans="1:19" ht="15">
      <c r="A497" s="105">
        <v>8</v>
      </c>
      <c r="B497" s="129" t="str">
        <f t="shared" si="13"/>
        <v>567</v>
      </c>
      <c r="C497" s="107" t="s">
        <v>642</v>
      </c>
      <c r="D497" s="107" t="s">
        <v>500</v>
      </c>
      <c r="E497" s="120">
        <v>142716.83999999901</v>
      </c>
      <c r="F497" s="120" t="s">
        <v>251</v>
      </c>
      <c r="G497" s="120">
        <v>128919.39212697175</v>
      </c>
      <c r="H497" s="120" t="s">
        <v>251</v>
      </c>
      <c r="I497" s="120">
        <v>13797.034059738016</v>
      </c>
      <c r="J497" s="120">
        <v>0.41381328923082672</v>
      </c>
      <c r="K497" s="120" t="s">
        <v>251</v>
      </c>
      <c r="L497" s="120" t="s">
        <v>251</v>
      </c>
      <c r="M497" s="120">
        <v>0.41381328923082672</v>
      </c>
      <c r="N497" s="120" t="s">
        <v>251</v>
      </c>
      <c r="O497" s="120">
        <v>0</v>
      </c>
      <c r="P497" s="120">
        <v>0</v>
      </c>
      <c r="Q497" s="120">
        <v>0</v>
      </c>
      <c r="R497" s="120"/>
      <c r="S497" s="121"/>
    </row>
    <row r="498" spans="1:19" ht="15">
      <c r="A498" s="105">
        <v>9</v>
      </c>
      <c r="B498" s="129" t="str">
        <f t="shared" si="13"/>
        <v>575</v>
      </c>
      <c r="C498" s="107" t="s">
        <v>643</v>
      </c>
      <c r="D498" s="107" t="s">
        <v>500</v>
      </c>
      <c r="E498" s="120">
        <v>1548.6099999999997</v>
      </c>
      <c r="F498" s="120" t="s">
        <v>251</v>
      </c>
      <c r="G498" s="120">
        <v>1398.8949015529709</v>
      </c>
      <c r="H498" s="120" t="s">
        <v>251</v>
      </c>
      <c r="I498" s="120">
        <v>149.71060818927211</v>
      </c>
      <c r="J498" s="120">
        <v>4.4902577567983923E-3</v>
      </c>
      <c r="K498" s="120" t="s">
        <v>251</v>
      </c>
      <c r="L498" s="120" t="s">
        <v>251</v>
      </c>
      <c r="M498" s="120">
        <v>4.4902577567983923E-3</v>
      </c>
      <c r="N498" s="120" t="s">
        <v>251</v>
      </c>
      <c r="O498" s="120">
        <v>0</v>
      </c>
      <c r="P498" s="120">
        <v>0</v>
      </c>
      <c r="Q498" s="120">
        <v>0</v>
      </c>
      <c r="R498" s="120"/>
      <c r="S498" s="121"/>
    </row>
    <row r="499" spans="1:19" ht="15">
      <c r="A499" s="105">
        <v>10</v>
      </c>
      <c r="B499" s="129" t="str">
        <f t="shared" si="13"/>
        <v xml:space="preserve">  T</v>
      </c>
      <c r="C499" s="107" t="s">
        <v>644</v>
      </c>
      <c r="D499" s="107" t="s">
        <v>251</v>
      </c>
      <c r="E499" s="120">
        <v>28505086.859999988</v>
      </c>
      <c r="F499" s="120" t="s">
        <v>251</v>
      </c>
      <c r="G499" s="120">
        <v>25749298.194366932</v>
      </c>
      <c r="H499" s="120" t="s">
        <v>251</v>
      </c>
      <c r="I499" s="120">
        <v>2755706.0139729357</v>
      </c>
      <c r="J499" s="120">
        <v>82.651660121868588</v>
      </c>
      <c r="K499" s="120" t="s">
        <v>251</v>
      </c>
      <c r="L499" s="120" t="s">
        <v>251</v>
      </c>
      <c r="M499" s="120">
        <v>82.651660121868588</v>
      </c>
      <c r="N499" s="120" t="s">
        <v>251</v>
      </c>
      <c r="O499" s="120">
        <v>0</v>
      </c>
      <c r="P499" s="120">
        <v>0</v>
      </c>
      <c r="Q499" s="120">
        <v>0</v>
      </c>
      <c r="R499" s="120"/>
      <c r="S499" s="121"/>
    </row>
    <row r="500" spans="1:19" ht="15">
      <c r="A500" s="105">
        <v>11</v>
      </c>
      <c r="B500" s="129" t="str">
        <f t="shared" si="13"/>
        <v>568</v>
      </c>
      <c r="C500" s="107" t="s">
        <v>645</v>
      </c>
      <c r="D500" s="107" t="s">
        <v>500</v>
      </c>
      <c r="E500" s="120">
        <v>0</v>
      </c>
      <c r="F500" s="120" t="s">
        <v>251</v>
      </c>
      <c r="G500" s="120">
        <v>0</v>
      </c>
      <c r="H500" s="120" t="s">
        <v>251</v>
      </c>
      <c r="I500" s="120">
        <v>0</v>
      </c>
      <c r="J500" s="120">
        <v>0</v>
      </c>
      <c r="K500" s="120" t="s">
        <v>251</v>
      </c>
      <c r="L500" s="120" t="s">
        <v>251</v>
      </c>
      <c r="M500" s="120">
        <v>0</v>
      </c>
      <c r="N500" s="120" t="s">
        <v>251</v>
      </c>
      <c r="O500" s="120">
        <v>0</v>
      </c>
      <c r="P500" s="120">
        <v>0</v>
      </c>
      <c r="Q500" s="120">
        <v>0</v>
      </c>
      <c r="R500" s="120"/>
      <c r="S500" s="121"/>
    </row>
    <row r="501" spans="1:19" ht="15">
      <c r="A501" s="105">
        <v>12</v>
      </c>
      <c r="B501" s="129" t="str">
        <f t="shared" si="13"/>
        <v>569</v>
      </c>
      <c r="C501" s="107" t="s">
        <v>646</v>
      </c>
      <c r="D501" s="107" t="s">
        <v>500</v>
      </c>
      <c r="E501" s="120">
        <v>0</v>
      </c>
      <c r="F501" s="120" t="s">
        <v>251</v>
      </c>
      <c r="G501" s="120">
        <v>0</v>
      </c>
      <c r="H501" s="120" t="s">
        <v>251</v>
      </c>
      <c r="I501" s="120">
        <v>0</v>
      </c>
      <c r="J501" s="120">
        <v>0</v>
      </c>
      <c r="K501" s="120" t="s">
        <v>251</v>
      </c>
      <c r="L501" s="120" t="s">
        <v>251</v>
      </c>
      <c r="M501" s="120">
        <v>0</v>
      </c>
      <c r="N501" s="120" t="s">
        <v>251</v>
      </c>
      <c r="O501" s="120">
        <v>0</v>
      </c>
      <c r="P501" s="120">
        <v>0</v>
      </c>
      <c r="Q501" s="120">
        <v>0</v>
      </c>
      <c r="R501" s="120"/>
      <c r="S501" s="121"/>
    </row>
    <row r="502" spans="1:19" ht="15">
      <c r="A502" s="105">
        <v>13</v>
      </c>
      <c r="B502" s="129" t="str">
        <f t="shared" si="13"/>
        <v>570</v>
      </c>
      <c r="C502" s="107" t="s">
        <v>647</v>
      </c>
      <c r="D502" s="107" t="s">
        <v>500</v>
      </c>
      <c r="E502" s="120">
        <v>1743687.3599999899</v>
      </c>
      <c r="F502" s="120" t="s">
        <v>251</v>
      </c>
      <c r="G502" s="120">
        <v>1575112.7513101078</v>
      </c>
      <c r="H502" s="120" t="s">
        <v>251</v>
      </c>
      <c r="I502" s="120">
        <v>168569.55279737624</v>
      </c>
      <c r="J502" s="120">
        <v>5.0558925059706876</v>
      </c>
      <c r="K502" s="120" t="s">
        <v>251</v>
      </c>
      <c r="L502" s="120" t="s">
        <v>251</v>
      </c>
      <c r="M502" s="120">
        <v>5.0558925059706876</v>
      </c>
      <c r="N502" s="120" t="s">
        <v>251</v>
      </c>
      <c r="O502" s="120">
        <v>0</v>
      </c>
      <c r="P502" s="120">
        <v>0</v>
      </c>
      <c r="Q502" s="120">
        <v>0</v>
      </c>
      <c r="R502" s="120"/>
      <c r="S502" s="121"/>
    </row>
    <row r="503" spans="1:19" ht="15">
      <c r="A503" s="105">
        <v>14</v>
      </c>
      <c r="B503" s="129" t="str">
        <f t="shared" si="13"/>
        <v>571</v>
      </c>
      <c r="C503" s="107" t="s">
        <v>648</v>
      </c>
      <c r="D503" s="107" t="s">
        <v>500</v>
      </c>
      <c r="E503" s="120">
        <v>13199135.629999999</v>
      </c>
      <c r="F503" s="120" t="s">
        <v>251</v>
      </c>
      <c r="G503" s="120">
        <v>11930467.000503987</v>
      </c>
      <c r="H503" s="120" t="s">
        <v>251</v>
      </c>
      <c r="I503" s="120">
        <v>1268630.5795650866</v>
      </c>
      <c r="J503" s="120">
        <v>38.049930925415644</v>
      </c>
      <c r="K503" s="120" t="s">
        <v>251</v>
      </c>
      <c r="L503" s="120" t="s">
        <v>251</v>
      </c>
      <c r="M503" s="120">
        <v>38.049930925415644</v>
      </c>
      <c r="N503" s="120" t="s">
        <v>251</v>
      </c>
      <c r="O503" s="120">
        <v>0</v>
      </c>
      <c r="P503" s="120">
        <v>0</v>
      </c>
      <c r="Q503" s="120">
        <v>0</v>
      </c>
      <c r="R503" s="120"/>
      <c r="S503" s="121"/>
    </row>
    <row r="504" spans="1:19" ht="15">
      <c r="A504" s="105">
        <v>15</v>
      </c>
      <c r="B504" s="129" t="str">
        <f t="shared" si="13"/>
        <v>572</v>
      </c>
      <c r="C504" s="107" t="s">
        <v>649</v>
      </c>
      <c r="D504" s="107" t="s">
        <v>500</v>
      </c>
      <c r="E504" s="120">
        <v>0</v>
      </c>
      <c r="F504" s="120" t="s">
        <v>251</v>
      </c>
      <c r="G504" s="120">
        <v>0</v>
      </c>
      <c r="H504" s="120" t="s">
        <v>251</v>
      </c>
      <c r="I504" s="120">
        <v>0</v>
      </c>
      <c r="J504" s="120">
        <v>0</v>
      </c>
      <c r="K504" s="120" t="s">
        <v>251</v>
      </c>
      <c r="L504" s="120" t="s">
        <v>251</v>
      </c>
      <c r="M504" s="120">
        <v>0</v>
      </c>
      <c r="N504" s="120" t="s">
        <v>251</v>
      </c>
      <c r="O504" s="120">
        <v>0</v>
      </c>
      <c r="P504" s="120">
        <v>0</v>
      </c>
      <c r="Q504" s="120">
        <v>0</v>
      </c>
      <c r="R504" s="120"/>
      <c r="S504" s="121"/>
    </row>
    <row r="505" spans="1:19" ht="15">
      <c r="A505" s="105">
        <v>16</v>
      </c>
      <c r="B505" s="129" t="str">
        <f t="shared" si="13"/>
        <v>573</v>
      </c>
      <c r="C505" s="107" t="s">
        <v>650</v>
      </c>
      <c r="D505" s="107" t="s">
        <v>500</v>
      </c>
      <c r="E505" s="120">
        <v>358106.95</v>
      </c>
      <c r="F505" s="120" t="s">
        <v>251</v>
      </c>
      <c r="G505" s="120">
        <v>323486.21445404895</v>
      </c>
      <c r="H505" s="120" t="s">
        <v>251</v>
      </c>
      <c r="I505" s="120">
        <v>34619.697200266863</v>
      </c>
      <c r="J505" s="120">
        <v>1.0383456841948031</v>
      </c>
      <c r="K505" s="120" t="s">
        <v>251</v>
      </c>
      <c r="L505" s="120" t="s">
        <v>251</v>
      </c>
      <c r="M505" s="120">
        <v>1.0383456841948031</v>
      </c>
      <c r="N505" s="120" t="s">
        <v>251</v>
      </c>
      <c r="O505" s="120">
        <v>0</v>
      </c>
      <c r="P505" s="120">
        <v>0</v>
      </c>
      <c r="Q505" s="120">
        <v>0</v>
      </c>
      <c r="R505" s="120"/>
      <c r="S505" s="121"/>
    </row>
    <row r="506" spans="1:19" ht="15">
      <c r="A506" s="105">
        <v>17</v>
      </c>
      <c r="B506" s="129" t="str">
        <f t="shared" si="13"/>
        <v xml:space="preserve">  T</v>
      </c>
      <c r="C506" s="107" t="s">
        <v>651</v>
      </c>
      <c r="D506" s="107" t="s">
        <v>251</v>
      </c>
      <c r="E506" s="120">
        <v>15300929.93999999</v>
      </c>
      <c r="F506" s="120" t="s">
        <v>251</v>
      </c>
      <c r="G506" s="120">
        <v>13829065.966268145</v>
      </c>
      <c r="H506" s="120" t="s">
        <v>251</v>
      </c>
      <c r="I506" s="120">
        <v>1471819.8295627297</v>
      </c>
      <c r="J506" s="120">
        <v>44.144169115581136</v>
      </c>
      <c r="K506" s="120" t="s">
        <v>251</v>
      </c>
      <c r="L506" s="120" t="s">
        <v>251</v>
      </c>
      <c r="M506" s="120">
        <v>44.144169115581136</v>
      </c>
      <c r="N506" s="120" t="s">
        <v>251</v>
      </c>
      <c r="O506" s="120">
        <v>0</v>
      </c>
      <c r="P506" s="120">
        <v>0</v>
      </c>
      <c r="Q506" s="120">
        <v>0</v>
      </c>
      <c r="R506" s="120"/>
      <c r="S506" s="121"/>
    </row>
    <row r="507" spans="1:19" ht="15">
      <c r="A507" s="105" t="s">
        <v>251</v>
      </c>
      <c r="B507" s="129" t="str">
        <f t="shared" si="13"/>
        <v/>
      </c>
      <c r="C507" s="107" t="s">
        <v>251</v>
      </c>
      <c r="D507" s="107" t="s">
        <v>251</v>
      </c>
      <c r="E507" s="120" t="s">
        <v>251</v>
      </c>
      <c r="F507" s="120" t="s">
        <v>251</v>
      </c>
      <c r="G507" s="120" t="s">
        <v>251</v>
      </c>
      <c r="H507" s="120" t="s">
        <v>251</v>
      </c>
      <c r="I507" s="120" t="s">
        <v>251</v>
      </c>
      <c r="J507" s="120" t="s">
        <v>251</v>
      </c>
      <c r="K507" s="120" t="s">
        <v>251</v>
      </c>
      <c r="L507" s="120" t="s">
        <v>251</v>
      </c>
      <c r="M507" s="120" t="s">
        <v>251</v>
      </c>
      <c r="N507" s="120" t="s">
        <v>251</v>
      </c>
      <c r="O507" s="120" t="s">
        <v>251</v>
      </c>
      <c r="P507" s="120" t="s">
        <v>251</v>
      </c>
      <c r="Q507" s="120" t="s">
        <v>251</v>
      </c>
      <c r="R507" s="120"/>
      <c r="S507" s="121"/>
    </row>
    <row r="508" spans="1:19" ht="15">
      <c r="A508" s="105">
        <v>18</v>
      </c>
      <c r="B508" s="129" t="str">
        <f t="shared" si="13"/>
        <v>TAL</v>
      </c>
      <c r="C508" s="107" t="s">
        <v>652</v>
      </c>
      <c r="D508" s="107" t="s">
        <v>251</v>
      </c>
      <c r="E508" s="120">
        <v>43806016.799999982</v>
      </c>
      <c r="F508" s="120" t="s">
        <v>251</v>
      </c>
      <c r="G508" s="120">
        <v>39578364.160635076</v>
      </c>
      <c r="H508" s="120" t="s">
        <v>251</v>
      </c>
      <c r="I508" s="120">
        <v>4227525.8435356654</v>
      </c>
      <c r="J508" s="120">
        <v>126.79582923744972</v>
      </c>
      <c r="K508" s="120" t="s">
        <v>251</v>
      </c>
      <c r="L508" s="120" t="s">
        <v>251</v>
      </c>
      <c r="M508" s="120">
        <v>126.79582923744972</v>
      </c>
      <c r="N508" s="120" t="s">
        <v>251</v>
      </c>
      <c r="O508" s="120">
        <v>0</v>
      </c>
      <c r="P508" s="120">
        <v>0</v>
      </c>
      <c r="Q508" s="120">
        <v>0</v>
      </c>
      <c r="R508" s="120"/>
      <c r="S508" s="121"/>
    </row>
    <row r="509" spans="1:19" ht="15">
      <c r="A509" s="105" t="s">
        <v>251</v>
      </c>
      <c r="B509" s="129" t="str">
        <f t="shared" si="13"/>
        <v/>
      </c>
      <c r="C509" s="107" t="s">
        <v>251</v>
      </c>
      <c r="D509" s="107" t="s">
        <v>251</v>
      </c>
      <c r="E509" s="120" t="s">
        <v>251</v>
      </c>
      <c r="F509" s="120" t="s">
        <v>251</v>
      </c>
      <c r="G509" s="120" t="s">
        <v>251</v>
      </c>
      <c r="H509" s="120" t="s">
        <v>251</v>
      </c>
      <c r="I509" s="120" t="s">
        <v>251</v>
      </c>
      <c r="J509" s="120" t="s">
        <v>251</v>
      </c>
      <c r="K509" s="120" t="s">
        <v>251</v>
      </c>
      <c r="L509" s="120" t="s">
        <v>251</v>
      </c>
      <c r="M509" s="120" t="s">
        <v>251</v>
      </c>
      <c r="N509" s="120" t="s">
        <v>251</v>
      </c>
      <c r="O509" s="120" t="s">
        <v>251</v>
      </c>
      <c r="P509" s="120" t="s">
        <v>251</v>
      </c>
      <c r="Q509" s="120" t="s">
        <v>251</v>
      </c>
      <c r="R509" s="120"/>
      <c r="S509" s="121"/>
    </row>
    <row r="510" spans="1:19" ht="15">
      <c r="A510" s="105" t="s">
        <v>251</v>
      </c>
      <c r="B510" s="129" t="str">
        <f t="shared" si="13"/>
        <v>STR</v>
      </c>
      <c r="C510" s="107" t="s">
        <v>653</v>
      </c>
      <c r="D510" s="107" t="s">
        <v>251</v>
      </c>
      <c r="E510" s="120" t="s">
        <v>251</v>
      </c>
      <c r="F510" s="120" t="s">
        <v>251</v>
      </c>
      <c r="G510" s="120" t="s">
        <v>251</v>
      </c>
      <c r="H510" s="120" t="s">
        <v>251</v>
      </c>
      <c r="I510" s="120" t="s">
        <v>251</v>
      </c>
      <c r="J510" s="120" t="s">
        <v>251</v>
      </c>
      <c r="K510" s="120" t="s">
        <v>251</v>
      </c>
      <c r="L510" s="120" t="s">
        <v>251</v>
      </c>
      <c r="M510" s="120" t="s">
        <v>251</v>
      </c>
      <c r="N510" s="120" t="s">
        <v>251</v>
      </c>
      <c r="O510" s="120" t="s">
        <v>251</v>
      </c>
      <c r="P510" s="120" t="s">
        <v>251</v>
      </c>
      <c r="Q510" s="120" t="s">
        <v>251</v>
      </c>
      <c r="R510" s="120"/>
      <c r="S510" s="121"/>
    </row>
    <row r="511" spans="1:19" ht="15">
      <c r="A511" s="105">
        <v>19</v>
      </c>
      <c r="B511" s="129" t="str">
        <f t="shared" si="13"/>
        <v>580</v>
      </c>
      <c r="C511" s="107" t="s">
        <v>654</v>
      </c>
      <c r="D511" s="107" t="s">
        <v>502</v>
      </c>
      <c r="E511" s="120">
        <v>1925239.65</v>
      </c>
      <c r="F511" s="120" t="s">
        <v>251</v>
      </c>
      <c r="G511" s="120">
        <v>1824549.2025966807</v>
      </c>
      <c r="H511" s="120" t="s">
        <v>251</v>
      </c>
      <c r="I511" s="120">
        <v>96136.458979648698</v>
      </c>
      <c r="J511" s="120">
        <v>4553.9884236703901</v>
      </c>
      <c r="K511" s="120" t="s">
        <v>251</v>
      </c>
      <c r="L511" s="120" t="s">
        <v>251</v>
      </c>
      <c r="M511" s="120">
        <v>639.79722126861259</v>
      </c>
      <c r="N511" s="120" t="s">
        <v>251</v>
      </c>
      <c r="O511" s="120">
        <v>3914.1912024017779</v>
      </c>
      <c r="P511" s="120">
        <v>3639.1644534773918</v>
      </c>
      <c r="Q511" s="120">
        <v>275.02674892438591</v>
      </c>
      <c r="R511" s="120"/>
      <c r="S511" s="121"/>
    </row>
    <row r="512" spans="1:19" ht="15">
      <c r="A512" s="105">
        <v>20</v>
      </c>
      <c r="B512" s="129" t="str">
        <f t="shared" si="13"/>
        <v>581</v>
      </c>
      <c r="C512" s="107" t="s">
        <v>655</v>
      </c>
      <c r="D512" s="107" t="s">
        <v>656</v>
      </c>
      <c r="E512" s="120">
        <v>374704.98000000004</v>
      </c>
      <c r="F512" s="120" t="s">
        <v>251</v>
      </c>
      <c r="G512" s="120">
        <v>355647.99094635312</v>
      </c>
      <c r="H512" s="120" t="s">
        <v>251</v>
      </c>
      <c r="I512" s="120">
        <v>13290.546073368279</v>
      </c>
      <c r="J512" s="120">
        <v>5766.4429802786372</v>
      </c>
      <c r="K512" s="120" t="s">
        <v>251</v>
      </c>
      <c r="L512" s="120" t="s">
        <v>251</v>
      </c>
      <c r="M512" s="120">
        <v>754.97554182722149</v>
      </c>
      <c r="N512" s="120" t="s">
        <v>251</v>
      </c>
      <c r="O512" s="120">
        <v>5011.4674384514155</v>
      </c>
      <c r="P512" s="120">
        <v>5011.4674384514155</v>
      </c>
      <c r="Q512" s="120">
        <v>0</v>
      </c>
      <c r="R512" s="120"/>
      <c r="S512" s="121"/>
    </row>
    <row r="513" spans="1:19" ht="15">
      <c r="A513" s="105">
        <v>21</v>
      </c>
      <c r="B513" s="129" t="str">
        <f t="shared" ref="B513:B576" si="14">MID(C513,3,3)</f>
        <v>582</v>
      </c>
      <c r="C513" s="107" t="s">
        <v>657</v>
      </c>
      <c r="D513" s="107" t="s">
        <v>656</v>
      </c>
      <c r="E513" s="120">
        <v>1857209.4700000002</v>
      </c>
      <c r="F513" s="120" t="s">
        <v>251</v>
      </c>
      <c r="G513" s="120">
        <v>1762754.305459301</v>
      </c>
      <c r="H513" s="120" t="s">
        <v>251</v>
      </c>
      <c r="I513" s="120">
        <v>65874.032495994266</v>
      </c>
      <c r="J513" s="120">
        <v>28581.1320447049</v>
      </c>
      <c r="K513" s="120" t="s">
        <v>251</v>
      </c>
      <c r="L513" s="120" t="s">
        <v>251</v>
      </c>
      <c r="M513" s="120">
        <v>3742.004512189555</v>
      </c>
      <c r="N513" s="120" t="s">
        <v>251</v>
      </c>
      <c r="O513" s="120">
        <v>24839.127532515344</v>
      </c>
      <c r="P513" s="120">
        <v>24839.127532515344</v>
      </c>
      <c r="Q513" s="120">
        <v>0</v>
      </c>
      <c r="R513" s="120"/>
      <c r="S513" s="121"/>
    </row>
    <row r="514" spans="1:19" ht="15">
      <c r="A514" s="105">
        <v>22</v>
      </c>
      <c r="B514" s="129" t="str">
        <f t="shared" si="14"/>
        <v>583</v>
      </c>
      <c r="C514" s="107" t="s">
        <v>658</v>
      </c>
      <c r="D514" s="107" t="s">
        <v>659</v>
      </c>
      <c r="E514" s="120">
        <v>6001576.0799999991</v>
      </c>
      <c r="F514" s="120" t="s">
        <v>251</v>
      </c>
      <c r="G514" s="120">
        <v>5574257.105263928</v>
      </c>
      <c r="H514" s="120" t="s">
        <v>251</v>
      </c>
      <c r="I514" s="120">
        <v>426628.01839902112</v>
      </c>
      <c r="J514" s="120">
        <v>690.95633705097475</v>
      </c>
      <c r="K514" s="120" t="s">
        <v>251</v>
      </c>
      <c r="L514" s="120" t="s">
        <v>251</v>
      </c>
      <c r="M514" s="120">
        <v>690.95633705097475</v>
      </c>
      <c r="N514" s="120" t="s">
        <v>251</v>
      </c>
      <c r="O514" s="120">
        <v>0</v>
      </c>
      <c r="P514" s="120">
        <v>0</v>
      </c>
      <c r="Q514" s="120">
        <v>0</v>
      </c>
      <c r="R514" s="120"/>
      <c r="S514" s="121"/>
    </row>
    <row r="515" spans="1:19" ht="15">
      <c r="A515" s="105">
        <v>23</v>
      </c>
      <c r="B515" s="129" t="str">
        <f t="shared" si="14"/>
        <v>584</v>
      </c>
      <c r="C515" s="107" t="s">
        <v>660</v>
      </c>
      <c r="D515" s="107" t="s">
        <v>661</v>
      </c>
      <c r="E515" s="120">
        <v>169</v>
      </c>
      <c r="F515" s="120" t="s">
        <v>251</v>
      </c>
      <c r="G515" s="120">
        <v>165.23566395922313</v>
      </c>
      <c r="H515" s="120" t="s">
        <v>251</v>
      </c>
      <c r="I515" s="120">
        <v>3.764336040776878</v>
      </c>
      <c r="J515" s="120">
        <v>0</v>
      </c>
      <c r="K515" s="120" t="s">
        <v>251</v>
      </c>
      <c r="L515" s="120" t="s">
        <v>251</v>
      </c>
      <c r="M515" s="120">
        <v>0</v>
      </c>
      <c r="N515" s="120" t="s">
        <v>251</v>
      </c>
      <c r="O515" s="120">
        <v>0</v>
      </c>
      <c r="P515" s="120">
        <v>0</v>
      </c>
      <c r="Q515" s="120">
        <v>0</v>
      </c>
      <c r="R515" s="120"/>
      <c r="S515" s="121"/>
    </row>
    <row r="516" spans="1:19" ht="15">
      <c r="A516" s="105">
        <v>24</v>
      </c>
      <c r="B516" s="129" t="str">
        <f t="shared" si="14"/>
        <v>585</v>
      </c>
      <c r="C516" s="107" t="s">
        <v>662</v>
      </c>
      <c r="D516" s="107" t="s">
        <v>663</v>
      </c>
      <c r="E516" s="120">
        <v>0</v>
      </c>
      <c r="F516" s="120" t="s">
        <v>251</v>
      </c>
      <c r="G516" s="120">
        <v>0</v>
      </c>
      <c r="H516" s="120" t="s">
        <v>251</v>
      </c>
      <c r="I516" s="120">
        <v>0</v>
      </c>
      <c r="J516" s="120">
        <v>0</v>
      </c>
      <c r="K516" s="120" t="s">
        <v>251</v>
      </c>
      <c r="L516" s="120" t="s">
        <v>251</v>
      </c>
      <c r="M516" s="120">
        <v>0</v>
      </c>
      <c r="N516" s="120" t="s">
        <v>251</v>
      </c>
      <c r="O516" s="120">
        <v>0</v>
      </c>
      <c r="P516" s="120">
        <v>0</v>
      </c>
      <c r="Q516" s="120">
        <v>0</v>
      </c>
      <c r="R516" s="120"/>
      <c r="S516" s="121"/>
    </row>
    <row r="517" spans="1:19" ht="15">
      <c r="A517" s="105">
        <v>25</v>
      </c>
      <c r="B517" s="129" t="str">
        <f t="shared" si="14"/>
        <v>586</v>
      </c>
      <c r="C517" s="107" t="s">
        <v>664</v>
      </c>
      <c r="D517" s="107" t="s">
        <v>665</v>
      </c>
      <c r="E517" s="120">
        <v>8206644.8499999996</v>
      </c>
      <c r="F517" s="120" t="s">
        <v>251</v>
      </c>
      <c r="G517" s="120">
        <v>7788342.2261232827</v>
      </c>
      <c r="H517" s="120" t="s">
        <v>251</v>
      </c>
      <c r="I517" s="120">
        <v>383298.13034733589</v>
      </c>
      <c r="J517" s="120">
        <v>35004.493529381463</v>
      </c>
      <c r="K517" s="120" t="s">
        <v>251</v>
      </c>
      <c r="L517" s="120" t="s">
        <v>251</v>
      </c>
      <c r="M517" s="120">
        <v>425.40772129161712</v>
      </c>
      <c r="N517" s="120" t="s">
        <v>251</v>
      </c>
      <c r="O517" s="120">
        <v>34579.085808089847</v>
      </c>
      <c r="P517" s="120">
        <v>6398.2214401315159</v>
      </c>
      <c r="Q517" s="120">
        <v>28180.864367958329</v>
      </c>
      <c r="R517" s="120"/>
      <c r="S517" s="121"/>
    </row>
    <row r="518" spans="1:19" ht="15">
      <c r="A518" s="105">
        <v>26</v>
      </c>
      <c r="B518" s="129" t="str">
        <f t="shared" si="14"/>
        <v>587</v>
      </c>
      <c r="C518" s="107" t="s">
        <v>666</v>
      </c>
      <c r="D518" s="107" t="s">
        <v>663</v>
      </c>
      <c r="E518" s="120">
        <v>205.43</v>
      </c>
      <c r="F518" s="120" t="s">
        <v>251</v>
      </c>
      <c r="G518" s="120">
        <v>199.27874211912425</v>
      </c>
      <c r="H518" s="120" t="s">
        <v>251</v>
      </c>
      <c r="I518" s="120">
        <v>6.1512578808757539</v>
      </c>
      <c r="J518" s="120">
        <v>0</v>
      </c>
      <c r="K518" s="120" t="s">
        <v>251</v>
      </c>
      <c r="L518" s="120" t="s">
        <v>251</v>
      </c>
      <c r="M518" s="120">
        <v>0</v>
      </c>
      <c r="N518" s="120" t="s">
        <v>251</v>
      </c>
      <c r="O518" s="120">
        <v>0</v>
      </c>
      <c r="P518" s="120">
        <v>0</v>
      </c>
      <c r="Q518" s="120">
        <v>0</v>
      </c>
      <c r="R518" s="120"/>
      <c r="S518" s="121"/>
    </row>
    <row r="519" spans="1:19" ht="15">
      <c r="A519" s="105">
        <v>27</v>
      </c>
      <c r="B519" s="129" t="str">
        <f t="shared" si="14"/>
        <v>588</v>
      </c>
      <c r="C519" s="107" t="s">
        <v>668</v>
      </c>
      <c r="D519" s="107" t="s">
        <v>502</v>
      </c>
      <c r="E519" s="120">
        <v>7161824.1200000001</v>
      </c>
      <c r="F519" s="120" t="s">
        <v>251</v>
      </c>
      <c r="G519" s="120">
        <v>6787259.1795435315</v>
      </c>
      <c r="H519" s="120" t="s">
        <v>251</v>
      </c>
      <c r="I519" s="120">
        <v>357624.26289726514</v>
      </c>
      <c r="J519" s="120">
        <v>16940.677559203283</v>
      </c>
      <c r="K519" s="120" t="s">
        <v>251</v>
      </c>
      <c r="L519" s="120" t="s">
        <v>251</v>
      </c>
      <c r="M519" s="120">
        <v>2380.0232720069557</v>
      </c>
      <c r="N519" s="120" t="s">
        <v>251</v>
      </c>
      <c r="O519" s="120">
        <v>14560.654287196328</v>
      </c>
      <c r="P519" s="120">
        <v>13537.564406364167</v>
      </c>
      <c r="Q519" s="120">
        <v>1023.0898808321609</v>
      </c>
      <c r="R519" s="120"/>
      <c r="S519" s="121"/>
    </row>
    <row r="520" spans="1:19" ht="15">
      <c r="A520" s="105">
        <v>28</v>
      </c>
      <c r="B520" s="129" t="str">
        <f t="shared" si="14"/>
        <v>589</v>
      </c>
      <c r="C520" s="107" t="s">
        <v>669</v>
      </c>
      <c r="D520" s="107" t="s">
        <v>502</v>
      </c>
      <c r="E520" s="120">
        <v>0</v>
      </c>
      <c r="F520" s="120" t="s">
        <v>251</v>
      </c>
      <c r="G520" s="120">
        <v>0</v>
      </c>
      <c r="H520" s="120" t="s">
        <v>251</v>
      </c>
      <c r="I520" s="120">
        <v>0</v>
      </c>
      <c r="J520" s="120">
        <v>0</v>
      </c>
      <c r="K520" s="120" t="s">
        <v>251</v>
      </c>
      <c r="L520" s="120" t="s">
        <v>251</v>
      </c>
      <c r="M520" s="120">
        <v>0</v>
      </c>
      <c r="N520" s="120" t="s">
        <v>251</v>
      </c>
      <c r="O520" s="120">
        <v>0</v>
      </c>
      <c r="P520" s="120">
        <v>0</v>
      </c>
      <c r="Q520" s="120">
        <v>0</v>
      </c>
      <c r="R520" s="120"/>
      <c r="S520" s="121"/>
    </row>
    <row r="521" spans="1:19" ht="15">
      <c r="A521" s="105">
        <v>29</v>
      </c>
      <c r="B521" s="129" t="str">
        <f t="shared" si="14"/>
        <v xml:space="preserve">  T</v>
      </c>
      <c r="C521" s="107" t="s">
        <v>670</v>
      </c>
      <c r="D521" s="107" t="s">
        <v>251</v>
      </c>
      <c r="E521" s="120">
        <v>25527573.580000002</v>
      </c>
      <c r="F521" s="120" t="s">
        <v>251</v>
      </c>
      <c r="G521" s="120">
        <v>24093174.524339158</v>
      </c>
      <c r="H521" s="120" t="s">
        <v>251</v>
      </c>
      <c r="I521" s="120">
        <v>1342861.3647865551</v>
      </c>
      <c r="J521" s="120">
        <v>91537.690874289648</v>
      </c>
      <c r="K521" s="120" t="s">
        <v>251</v>
      </c>
      <c r="L521" s="120" t="s">
        <v>251</v>
      </c>
      <c r="M521" s="120">
        <v>8633.1646056349364</v>
      </c>
      <c r="N521" s="120" t="s">
        <v>251</v>
      </c>
      <c r="O521" s="120">
        <v>82904.526268654707</v>
      </c>
      <c r="P521" s="120">
        <v>53425.545270939831</v>
      </c>
      <c r="Q521" s="120">
        <v>29478.980997714876</v>
      </c>
      <c r="R521" s="120"/>
      <c r="S521" s="121"/>
    </row>
    <row r="522" spans="1:19" ht="15">
      <c r="A522" s="105">
        <v>30</v>
      </c>
      <c r="B522" s="129" t="str">
        <f t="shared" si="14"/>
        <v>590</v>
      </c>
      <c r="C522" s="107" t="s">
        <v>671</v>
      </c>
      <c r="D522" s="107" t="s">
        <v>502</v>
      </c>
      <c r="E522" s="120">
        <v>32556.539999999997</v>
      </c>
      <c r="F522" s="120" t="s">
        <v>251</v>
      </c>
      <c r="G522" s="120">
        <v>30853.825962033839</v>
      </c>
      <c r="H522" s="120" t="s">
        <v>251</v>
      </c>
      <c r="I522" s="120">
        <v>1625.7043491854597</v>
      </c>
      <c r="J522" s="120">
        <v>77.009688780699079</v>
      </c>
      <c r="K522" s="120" t="s">
        <v>251</v>
      </c>
      <c r="L522" s="120" t="s">
        <v>251</v>
      </c>
      <c r="M522" s="120">
        <v>10.819216104405722</v>
      </c>
      <c r="N522" s="120" t="s">
        <v>251</v>
      </c>
      <c r="O522" s="120">
        <v>66.190472676293354</v>
      </c>
      <c r="P522" s="120">
        <v>61.539664995064307</v>
      </c>
      <c r="Q522" s="120">
        <v>4.6508076812290504</v>
      </c>
      <c r="R522" s="120"/>
      <c r="S522" s="121"/>
    </row>
    <row r="523" spans="1:19" ht="15">
      <c r="A523" s="105">
        <v>31</v>
      </c>
      <c r="B523" s="129" t="str">
        <f t="shared" si="14"/>
        <v>591</v>
      </c>
      <c r="C523" s="107" t="s">
        <v>672</v>
      </c>
      <c r="D523" s="107" t="s">
        <v>656</v>
      </c>
      <c r="E523" s="120">
        <v>0</v>
      </c>
      <c r="F523" s="120" t="s">
        <v>251</v>
      </c>
      <c r="G523" s="120">
        <v>0</v>
      </c>
      <c r="H523" s="120" t="s">
        <v>251</v>
      </c>
      <c r="I523" s="120">
        <v>0</v>
      </c>
      <c r="J523" s="120">
        <v>0</v>
      </c>
      <c r="K523" s="120" t="s">
        <v>251</v>
      </c>
      <c r="L523" s="120" t="s">
        <v>251</v>
      </c>
      <c r="M523" s="120">
        <v>0</v>
      </c>
      <c r="N523" s="120" t="s">
        <v>251</v>
      </c>
      <c r="O523" s="120">
        <v>0</v>
      </c>
      <c r="P523" s="120">
        <v>0</v>
      </c>
      <c r="Q523" s="120">
        <v>0</v>
      </c>
      <c r="R523" s="120"/>
      <c r="S523" s="121"/>
    </row>
    <row r="524" spans="1:19" ht="15">
      <c r="A524" s="105">
        <v>32</v>
      </c>
      <c r="B524" s="129" t="str">
        <f t="shared" si="14"/>
        <v>592</v>
      </c>
      <c r="C524" s="107" t="s">
        <v>673</v>
      </c>
      <c r="D524" s="107" t="s">
        <v>656</v>
      </c>
      <c r="E524" s="120">
        <v>1299273.6400000001</v>
      </c>
      <c r="F524" s="120" t="s">
        <v>251</v>
      </c>
      <c r="G524" s="120">
        <v>1233194.3379977369</v>
      </c>
      <c r="H524" s="120" t="s">
        <v>251</v>
      </c>
      <c r="I524" s="120">
        <v>46084.405321575687</v>
      </c>
      <c r="J524" s="120">
        <v>19994.896680687492</v>
      </c>
      <c r="K524" s="120" t="s">
        <v>251</v>
      </c>
      <c r="L524" s="120" t="s">
        <v>251</v>
      </c>
      <c r="M524" s="120">
        <v>2617.8456991439675</v>
      </c>
      <c r="N524" s="120" t="s">
        <v>251</v>
      </c>
      <c r="O524" s="120">
        <v>17377.050981543525</v>
      </c>
      <c r="P524" s="120">
        <v>17377.050981543525</v>
      </c>
      <c r="Q524" s="120">
        <v>0</v>
      </c>
      <c r="R524" s="120"/>
      <c r="S524" s="121"/>
    </row>
    <row r="525" spans="1:19" ht="15">
      <c r="A525" s="105">
        <v>33</v>
      </c>
      <c r="B525" s="129" t="str">
        <f t="shared" si="14"/>
        <v>593</v>
      </c>
      <c r="C525" s="107" t="s">
        <v>674</v>
      </c>
      <c r="D525" s="107" t="s">
        <v>659</v>
      </c>
      <c r="E525" s="120">
        <v>32995564.18</v>
      </c>
      <c r="F525" s="120" t="s">
        <v>251</v>
      </c>
      <c r="G525" s="120">
        <v>31063968.177796282</v>
      </c>
      <c r="H525" s="120" t="s">
        <v>251</v>
      </c>
      <c r="I525" s="120">
        <v>1928472.6948449253</v>
      </c>
      <c r="J525" s="120">
        <v>3123.3073587928448</v>
      </c>
      <c r="K525" s="120" t="s">
        <v>251</v>
      </c>
      <c r="L525" s="120" t="s">
        <v>251</v>
      </c>
      <c r="M525" s="120">
        <v>3123.3073587928448</v>
      </c>
      <c r="N525" s="120" t="s">
        <v>251</v>
      </c>
      <c r="O525" s="120">
        <v>0</v>
      </c>
      <c r="P525" s="120">
        <v>0</v>
      </c>
      <c r="Q525" s="120">
        <v>0</v>
      </c>
      <c r="R525" s="120"/>
      <c r="S525" s="121"/>
    </row>
    <row r="526" spans="1:19" ht="15">
      <c r="A526" s="105">
        <v>34</v>
      </c>
      <c r="B526" s="129" t="str">
        <f t="shared" si="14"/>
        <v>594</v>
      </c>
      <c r="C526" s="107" t="s">
        <v>675</v>
      </c>
      <c r="D526" s="107" t="s">
        <v>661</v>
      </c>
      <c r="E526" s="120">
        <v>550815.55000000005</v>
      </c>
      <c r="F526" s="120" t="s">
        <v>251</v>
      </c>
      <c r="G526" s="120">
        <v>538546.58652848913</v>
      </c>
      <c r="H526" s="120" t="s">
        <v>251</v>
      </c>
      <c r="I526" s="120">
        <v>12268.963471510879</v>
      </c>
      <c r="J526" s="120">
        <v>0</v>
      </c>
      <c r="K526" s="120" t="s">
        <v>251</v>
      </c>
      <c r="L526" s="120" t="s">
        <v>251</v>
      </c>
      <c r="M526" s="120">
        <v>0</v>
      </c>
      <c r="N526" s="120" t="s">
        <v>251</v>
      </c>
      <c r="O526" s="120">
        <v>0</v>
      </c>
      <c r="P526" s="120">
        <v>0</v>
      </c>
      <c r="Q526" s="120">
        <v>0</v>
      </c>
      <c r="R526" s="120"/>
      <c r="S526" s="121"/>
    </row>
    <row r="527" spans="1:19" ht="15">
      <c r="A527" s="105">
        <v>35</v>
      </c>
      <c r="B527" s="129" t="str">
        <f t="shared" si="14"/>
        <v>595</v>
      </c>
      <c r="C527" s="107" t="s">
        <v>676</v>
      </c>
      <c r="D527" s="107" t="s">
        <v>677</v>
      </c>
      <c r="E527" s="120">
        <v>148153.38</v>
      </c>
      <c r="F527" s="120" t="s">
        <v>251</v>
      </c>
      <c r="G527" s="120">
        <v>143024.29350093729</v>
      </c>
      <c r="H527" s="120" t="s">
        <v>251</v>
      </c>
      <c r="I527" s="120">
        <v>5127.6490800424599</v>
      </c>
      <c r="J527" s="120">
        <v>1.4374190202622836</v>
      </c>
      <c r="K527" s="120" t="s">
        <v>251</v>
      </c>
      <c r="L527" s="120" t="s">
        <v>251</v>
      </c>
      <c r="M527" s="120">
        <v>1.4374190202622836</v>
      </c>
      <c r="N527" s="120" t="s">
        <v>251</v>
      </c>
      <c r="O527" s="120">
        <v>0</v>
      </c>
      <c r="P527" s="120">
        <v>0</v>
      </c>
      <c r="Q527" s="120">
        <v>0</v>
      </c>
      <c r="R527" s="120"/>
      <c r="S527" s="121"/>
    </row>
    <row r="528" spans="1:19" ht="15">
      <c r="A528" s="105">
        <v>36</v>
      </c>
      <c r="B528" s="129" t="str">
        <f t="shared" si="14"/>
        <v>596</v>
      </c>
      <c r="C528" s="107" t="s">
        <v>678</v>
      </c>
      <c r="D528" s="107" t="s">
        <v>663</v>
      </c>
      <c r="E528" s="120">
        <v>7.9999999999999991</v>
      </c>
      <c r="F528" s="120" t="s">
        <v>251</v>
      </c>
      <c r="G528" s="120">
        <v>7.7604533756169687</v>
      </c>
      <c r="H528" s="120" t="s">
        <v>251</v>
      </c>
      <c r="I528" s="120">
        <v>0.23954662438303084</v>
      </c>
      <c r="J528" s="120">
        <v>0</v>
      </c>
      <c r="K528" s="120" t="s">
        <v>251</v>
      </c>
      <c r="L528" s="120" t="s">
        <v>251</v>
      </c>
      <c r="M528" s="120">
        <v>0</v>
      </c>
      <c r="N528" s="120" t="s">
        <v>251</v>
      </c>
      <c r="O528" s="120">
        <v>0</v>
      </c>
      <c r="P528" s="120">
        <v>0</v>
      </c>
      <c r="Q528" s="120">
        <v>0</v>
      </c>
      <c r="R528" s="120"/>
      <c r="S528" s="121"/>
    </row>
    <row r="529" spans="1:19" ht="15">
      <c r="A529" s="105">
        <v>37</v>
      </c>
      <c r="B529" s="129" t="str">
        <f t="shared" si="14"/>
        <v>597</v>
      </c>
      <c r="C529" s="107" t="s">
        <v>679</v>
      </c>
      <c r="D529" s="107" t="s">
        <v>665</v>
      </c>
      <c r="E529" s="120">
        <v>0</v>
      </c>
      <c r="F529" s="120" t="s">
        <v>251</v>
      </c>
      <c r="G529" s="120">
        <v>0</v>
      </c>
      <c r="H529" s="120" t="s">
        <v>251</v>
      </c>
      <c r="I529" s="120">
        <v>0</v>
      </c>
      <c r="J529" s="120">
        <v>0</v>
      </c>
      <c r="K529" s="120" t="s">
        <v>251</v>
      </c>
      <c r="L529" s="120" t="s">
        <v>251</v>
      </c>
      <c r="M529" s="120">
        <v>0</v>
      </c>
      <c r="N529" s="120" t="s">
        <v>251</v>
      </c>
      <c r="O529" s="120">
        <v>0</v>
      </c>
      <c r="P529" s="120">
        <v>0</v>
      </c>
      <c r="Q529" s="120">
        <v>0</v>
      </c>
      <c r="R529" s="120"/>
      <c r="S529" s="121"/>
    </row>
    <row r="530" spans="1:19" ht="15">
      <c r="A530" s="105">
        <v>38</v>
      </c>
      <c r="B530" s="129" t="str">
        <f t="shared" si="14"/>
        <v>598</v>
      </c>
      <c r="C530" s="107" t="s">
        <v>680</v>
      </c>
      <c r="D530" s="107" t="s">
        <v>502</v>
      </c>
      <c r="E530" s="120">
        <v>281952.46999999997</v>
      </c>
      <c r="F530" s="120" t="s">
        <v>251</v>
      </c>
      <c r="G530" s="120">
        <v>267206.29523117526</v>
      </c>
      <c r="H530" s="120" t="s">
        <v>251</v>
      </c>
      <c r="I530" s="120">
        <v>14079.240507209392</v>
      </c>
      <c r="J530" s="120">
        <v>666.93426161531272</v>
      </c>
      <c r="K530" s="120" t="s">
        <v>251</v>
      </c>
      <c r="L530" s="120" t="s">
        <v>251</v>
      </c>
      <c r="M530" s="120">
        <v>93.69867633664299</v>
      </c>
      <c r="N530" s="120" t="s">
        <v>251</v>
      </c>
      <c r="O530" s="120">
        <v>573.23558527866976</v>
      </c>
      <c r="P530" s="120">
        <v>532.95775743770434</v>
      </c>
      <c r="Q530" s="120">
        <v>40.277827840965379</v>
      </c>
      <c r="R530" s="120"/>
      <c r="S530" s="121"/>
    </row>
    <row r="531" spans="1:19" ht="15">
      <c r="A531" s="105">
        <v>39</v>
      </c>
      <c r="B531" s="129" t="str">
        <f t="shared" si="14"/>
        <v xml:space="preserve">  T</v>
      </c>
      <c r="C531" s="107" t="s">
        <v>681</v>
      </c>
      <c r="D531" s="107" t="s">
        <v>251</v>
      </c>
      <c r="E531" s="120">
        <v>35308323.759999998</v>
      </c>
      <c r="F531" s="120" t="s">
        <v>251</v>
      </c>
      <c r="G531" s="120">
        <v>33276801.27747003</v>
      </c>
      <c r="H531" s="120" t="s">
        <v>251</v>
      </c>
      <c r="I531" s="120">
        <v>2007658.8971210737</v>
      </c>
      <c r="J531" s="120">
        <v>23863.585408896612</v>
      </c>
      <c r="K531" s="120" t="s">
        <v>251</v>
      </c>
      <c r="L531" s="120" t="s">
        <v>251</v>
      </c>
      <c r="M531" s="120">
        <v>5847.1083693981236</v>
      </c>
      <c r="N531" s="120" t="s">
        <v>251</v>
      </c>
      <c r="O531" s="120">
        <v>18016.477039498488</v>
      </c>
      <c r="P531" s="120">
        <v>17971.548403976292</v>
      </c>
      <c r="Q531" s="120">
        <v>44.928635522194426</v>
      </c>
      <c r="R531" s="120"/>
      <c r="S531" s="121"/>
    </row>
    <row r="532" spans="1:19" ht="15">
      <c r="A532" s="105" t="s">
        <v>251</v>
      </c>
      <c r="B532" s="129" t="str">
        <f t="shared" si="14"/>
        <v/>
      </c>
      <c r="C532" s="107" t="s">
        <v>251</v>
      </c>
      <c r="D532" s="107" t="s">
        <v>251</v>
      </c>
      <c r="E532" s="120" t="s">
        <v>251</v>
      </c>
      <c r="F532" s="120" t="s">
        <v>251</v>
      </c>
      <c r="G532" s="120" t="s">
        <v>251</v>
      </c>
      <c r="H532" s="120" t="s">
        <v>251</v>
      </c>
      <c r="I532" s="120" t="s">
        <v>251</v>
      </c>
      <c r="J532" s="120" t="s">
        <v>251</v>
      </c>
      <c r="K532" s="120" t="s">
        <v>251</v>
      </c>
      <c r="L532" s="120" t="s">
        <v>251</v>
      </c>
      <c r="M532" s="120" t="s">
        <v>251</v>
      </c>
      <c r="N532" s="120" t="s">
        <v>251</v>
      </c>
      <c r="O532" s="120" t="s">
        <v>251</v>
      </c>
      <c r="P532" s="120" t="s">
        <v>251</v>
      </c>
      <c r="Q532" s="120" t="s">
        <v>251</v>
      </c>
      <c r="R532" s="120"/>
      <c r="S532" s="121"/>
    </row>
    <row r="533" spans="1:19" ht="15">
      <c r="A533" s="105">
        <v>40</v>
      </c>
      <c r="B533" s="129" t="str">
        <f t="shared" si="14"/>
        <v>TAL</v>
      </c>
      <c r="C533" s="107" t="s">
        <v>682</v>
      </c>
      <c r="D533" s="107" t="s">
        <v>251</v>
      </c>
      <c r="E533" s="120">
        <v>60835897.340000011</v>
      </c>
      <c r="F533" s="120" t="s">
        <v>251</v>
      </c>
      <c r="G533" s="120">
        <v>57369975.801809192</v>
      </c>
      <c r="H533" s="120" t="s">
        <v>251</v>
      </c>
      <c r="I533" s="120">
        <v>3350520.2619076287</v>
      </c>
      <c r="J533" s="120">
        <v>115401.27628318625</v>
      </c>
      <c r="K533" s="120" t="s">
        <v>251</v>
      </c>
      <c r="L533" s="120" t="s">
        <v>251</v>
      </c>
      <c r="M533" s="120">
        <v>14480.27297503306</v>
      </c>
      <c r="N533" s="120" t="s">
        <v>251</v>
      </c>
      <c r="O533" s="120">
        <v>100921.00330815319</v>
      </c>
      <c r="P533" s="120">
        <v>71397.093674916119</v>
      </c>
      <c r="Q533" s="120">
        <v>29523.909633237072</v>
      </c>
      <c r="R533" s="120"/>
      <c r="S533" s="121"/>
    </row>
    <row r="534" spans="1:19" ht="15">
      <c r="A534" s="105" t="s">
        <v>251</v>
      </c>
      <c r="B534" s="129" t="str">
        <f t="shared" si="14"/>
        <v/>
      </c>
      <c r="C534" s="107" t="s">
        <v>251</v>
      </c>
      <c r="D534" s="107" t="s">
        <v>251</v>
      </c>
      <c r="E534" s="120" t="s">
        <v>251</v>
      </c>
      <c r="F534" s="120" t="s">
        <v>251</v>
      </c>
      <c r="G534" s="120" t="s">
        <v>251</v>
      </c>
      <c r="H534" s="120" t="s">
        <v>251</v>
      </c>
      <c r="I534" s="120" t="s">
        <v>251</v>
      </c>
      <c r="J534" s="120" t="s">
        <v>251</v>
      </c>
      <c r="K534" s="120" t="s">
        <v>251</v>
      </c>
      <c r="L534" s="120" t="s">
        <v>251</v>
      </c>
      <c r="M534" s="120" t="s">
        <v>251</v>
      </c>
      <c r="N534" s="120" t="s">
        <v>251</v>
      </c>
      <c r="O534" s="120" t="s">
        <v>251</v>
      </c>
      <c r="P534" s="120" t="s">
        <v>251</v>
      </c>
      <c r="Q534" s="120" t="s">
        <v>251</v>
      </c>
      <c r="R534" s="120"/>
      <c r="S534" s="121"/>
    </row>
    <row r="535" spans="1:19" ht="15">
      <c r="A535" s="105" t="s">
        <v>251</v>
      </c>
      <c r="B535" s="129" t="str">
        <f t="shared" si="14"/>
        <v/>
      </c>
      <c r="C535" s="107" t="s">
        <v>251</v>
      </c>
      <c r="D535" s="107" t="s">
        <v>251</v>
      </c>
      <c r="E535" s="120" t="s">
        <v>251</v>
      </c>
      <c r="F535" s="120" t="s">
        <v>251</v>
      </c>
      <c r="G535" s="120" t="s">
        <v>251</v>
      </c>
      <c r="H535" s="120" t="s">
        <v>251</v>
      </c>
      <c r="I535" s="120" t="s">
        <v>251</v>
      </c>
      <c r="J535" s="120" t="s">
        <v>251</v>
      </c>
      <c r="K535" s="120" t="s">
        <v>251</v>
      </c>
      <c r="L535" s="120" t="s">
        <v>251</v>
      </c>
      <c r="M535" s="120" t="s">
        <v>251</v>
      </c>
      <c r="N535" s="120" t="s">
        <v>251</v>
      </c>
      <c r="O535" s="120" t="s">
        <v>251</v>
      </c>
      <c r="P535" s="120" t="s">
        <v>251</v>
      </c>
      <c r="Q535" s="120" t="s">
        <v>251</v>
      </c>
      <c r="R535" s="120"/>
      <c r="S535" s="121"/>
    </row>
    <row r="536" spans="1:19" ht="15">
      <c r="A536" s="105" t="s">
        <v>251</v>
      </c>
      <c r="B536" s="129" t="str">
        <f t="shared" si="14"/>
        <v>ERA</v>
      </c>
      <c r="C536" s="107" t="s">
        <v>632</v>
      </c>
      <c r="D536" s="107" t="s">
        <v>251</v>
      </c>
      <c r="E536" s="120" t="s">
        <v>251</v>
      </c>
      <c r="F536" s="120" t="s">
        <v>251</v>
      </c>
      <c r="G536" s="120" t="s">
        <v>251</v>
      </c>
      <c r="H536" s="120" t="s">
        <v>251</v>
      </c>
      <c r="I536" s="120" t="s">
        <v>251</v>
      </c>
      <c r="J536" s="120" t="s">
        <v>251</v>
      </c>
      <c r="K536" s="120" t="s">
        <v>251</v>
      </c>
      <c r="L536" s="120" t="s">
        <v>251</v>
      </c>
      <c r="M536" s="120" t="s">
        <v>251</v>
      </c>
      <c r="N536" s="120" t="s">
        <v>251</v>
      </c>
      <c r="O536" s="120" t="s">
        <v>251</v>
      </c>
      <c r="P536" s="120" t="s">
        <v>251</v>
      </c>
      <c r="Q536" s="120" t="s">
        <v>251</v>
      </c>
      <c r="R536" s="120"/>
      <c r="S536" s="121"/>
    </row>
    <row r="537" spans="1:19" ht="15">
      <c r="A537" s="105" t="s">
        <v>251</v>
      </c>
      <c r="B537" s="129" t="str">
        <f t="shared" si="14"/>
        <v/>
      </c>
      <c r="C537" s="107" t="s">
        <v>251</v>
      </c>
      <c r="D537" s="107" t="s">
        <v>251</v>
      </c>
      <c r="E537" s="120" t="s">
        <v>251</v>
      </c>
      <c r="F537" s="120" t="s">
        <v>251</v>
      </c>
      <c r="G537" s="120" t="s">
        <v>251</v>
      </c>
      <c r="H537" s="120" t="s">
        <v>251</v>
      </c>
      <c r="I537" s="120" t="s">
        <v>251</v>
      </c>
      <c r="J537" s="120" t="s">
        <v>251</v>
      </c>
      <c r="K537" s="120" t="s">
        <v>251</v>
      </c>
      <c r="L537" s="120" t="s">
        <v>251</v>
      </c>
      <c r="M537" s="120" t="s">
        <v>251</v>
      </c>
      <c r="N537" s="120" t="s">
        <v>251</v>
      </c>
      <c r="O537" s="120" t="s">
        <v>251</v>
      </c>
      <c r="P537" s="120" t="s">
        <v>251</v>
      </c>
      <c r="Q537" s="120" t="s">
        <v>251</v>
      </c>
      <c r="R537" s="120"/>
      <c r="S537" s="121"/>
    </row>
    <row r="538" spans="1:19" ht="15">
      <c r="A538" s="105" t="s">
        <v>251</v>
      </c>
      <c r="B538" s="129" t="str">
        <f t="shared" si="14"/>
        <v>STO</v>
      </c>
      <c r="C538" s="107" t="s">
        <v>683</v>
      </c>
      <c r="D538" s="107" t="s">
        <v>251</v>
      </c>
      <c r="E538" s="120" t="s">
        <v>251</v>
      </c>
      <c r="F538" s="120" t="s">
        <v>251</v>
      </c>
      <c r="G538" s="120" t="s">
        <v>251</v>
      </c>
      <c r="H538" s="120" t="s">
        <v>251</v>
      </c>
      <c r="I538" s="120" t="s">
        <v>251</v>
      </c>
      <c r="J538" s="120" t="s">
        <v>251</v>
      </c>
      <c r="K538" s="120" t="s">
        <v>251</v>
      </c>
      <c r="L538" s="120" t="s">
        <v>251</v>
      </c>
      <c r="M538" s="120" t="s">
        <v>251</v>
      </c>
      <c r="N538" s="120" t="s">
        <v>251</v>
      </c>
      <c r="O538" s="120" t="s">
        <v>251</v>
      </c>
      <c r="P538" s="120" t="s">
        <v>251</v>
      </c>
      <c r="Q538" s="120" t="s">
        <v>251</v>
      </c>
      <c r="R538" s="120"/>
      <c r="S538" s="121"/>
    </row>
    <row r="539" spans="1:19" ht="15">
      <c r="A539" s="105">
        <v>1</v>
      </c>
      <c r="B539" s="129" t="str">
        <f t="shared" si="14"/>
        <v>901</v>
      </c>
      <c r="C539" s="107" t="s">
        <v>684</v>
      </c>
      <c r="D539" s="107" t="s">
        <v>685</v>
      </c>
      <c r="E539" s="120">
        <v>4283076.95</v>
      </c>
      <c r="F539" s="120" t="s">
        <v>251</v>
      </c>
      <c r="G539" s="120">
        <v>4066502.8338429593</v>
      </c>
      <c r="H539" s="120" t="s">
        <v>251</v>
      </c>
      <c r="I539" s="120">
        <v>212668.72753474329</v>
      </c>
      <c r="J539" s="120">
        <v>3905.3886222976498</v>
      </c>
      <c r="K539" s="120" t="s">
        <v>251</v>
      </c>
      <c r="L539" s="120" t="s">
        <v>251</v>
      </c>
      <c r="M539" s="120">
        <v>28.218125883653542</v>
      </c>
      <c r="N539" s="120" t="s">
        <v>251</v>
      </c>
      <c r="O539" s="120">
        <v>3877.1704964139963</v>
      </c>
      <c r="P539" s="120">
        <v>2009.1305629161322</v>
      </c>
      <c r="Q539" s="120">
        <v>1868.0399334978642</v>
      </c>
      <c r="R539" s="120"/>
      <c r="S539" s="121"/>
    </row>
    <row r="540" spans="1:19" ht="15">
      <c r="A540" s="105">
        <v>2</v>
      </c>
      <c r="B540" s="129" t="str">
        <f t="shared" si="14"/>
        <v>902</v>
      </c>
      <c r="C540" s="107" t="s">
        <v>686</v>
      </c>
      <c r="D540" s="107" t="s">
        <v>687</v>
      </c>
      <c r="E540" s="120">
        <v>5530868.3600000013</v>
      </c>
      <c r="F540" s="120" t="s">
        <v>251</v>
      </c>
      <c r="G540" s="120">
        <v>5251199.5750046847</v>
      </c>
      <c r="H540" s="120" t="s">
        <v>251</v>
      </c>
      <c r="I540" s="120">
        <v>274625.63713298982</v>
      </c>
      <c r="J540" s="120">
        <v>5043.1478623259545</v>
      </c>
      <c r="K540" s="120" t="s">
        <v>251</v>
      </c>
      <c r="L540" s="120" t="s">
        <v>251</v>
      </c>
      <c r="M540" s="120">
        <v>36.438929641083483</v>
      </c>
      <c r="N540" s="120" t="s">
        <v>251</v>
      </c>
      <c r="O540" s="120">
        <v>5006.7089326848709</v>
      </c>
      <c r="P540" s="120">
        <v>2594.4517904451441</v>
      </c>
      <c r="Q540" s="120">
        <v>2412.2571422397264</v>
      </c>
      <c r="R540" s="120"/>
      <c r="S540" s="121"/>
    </row>
    <row r="541" spans="1:19" ht="15">
      <c r="A541" s="105">
        <v>3</v>
      </c>
      <c r="B541" s="129" t="str">
        <f t="shared" si="14"/>
        <v>903</v>
      </c>
      <c r="C541" s="107" t="s">
        <v>688</v>
      </c>
      <c r="D541" s="107" t="s">
        <v>689</v>
      </c>
      <c r="E541" s="120">
        <v>19915838.710000005</v>
      </c>
      <c r="F541" s="120" t="s">
        <v>251</v>
      </c>
      <c r="G541" s="120">
        <v>18908792.790326662</v>
      </c>
      <c r="H541" s="120" t="s">
        <v>251</v>
      </c>
      <c r="I541" s="120">
        <v>988886.29032053321</v>
      </c>
      <c r="J541" s="120">
        <v>18159.629352806543</v>
      </c>
      <c r="K541" s="120" t="s">
        <v>251</v>
      </c>
      <c r="L541" s="120" t="s">
        <v>251</v>
      </c>
      <c r="M541" s="120">
        <v>131.21119474571202</v>
      </c>
      <c r="N541" s="120" t="s">
        <v>251</v>
      </c>
      <c r="O541" s="120">
        <v>18028.418158060831</v>
      </c>
      <c r="P541" s="120">
        <v>9342.2370658946966</v>
      </c>
      <c r="Q541" s="120">
        <v>8686.1810921661345</v>
      </c>
      <c r="R541" s="120"/>
      <c r="S541" s="121"/>
    </row>
    <row r="542" spans="1:19" ht="15">
      <c r="A542" s="105">
        <v>4</v>
      </c>
      <c r="B542" s="129" t="str">
        <f t="shared" si="14"/>
        <v>904</v>
      </c>
      <c r="C542" s="107" t="s">
        <v>690</v>
      </c>
      <c r="D542" s="107" t="s">
        <v>691</v>
      </c>
      <c r="E542" s="120">
        <v>4726254.5199999996</v>
      </c>
      <c r="F542" s="120" t="s">
        <v>251</v>
      </c>
      <c r="G542" s="120">
        <v>4487271.0958515685</v>
      </c>
      <c r="H542" s="120" t="s">
        <v>251</v>
      </c>
      <c r="I542" s="120">
        <v>234673.93803740299</v>
      </c>
      <c r="J542" s="120">
        <v>4309.486111028391</v>
      </c>
      <c r="K542" s="120" t="s">
        <v>251</v>
      </c>
      <c r="L542" s="120" t="s">
        <v>251</v>
      </c>
      <c r="M542" s="120">
        <v>31.137905426505714</v>
      </c>
      <c r="N542" s="120" t="s">
        <v>251</v>
      </c>
      <c r="O542" s="120">
        <v>4278.3482056018856</v>
      </c>
      <c r="P542" s="120">
        <v>2217.018866367207</v>
      </c>
      <c r="Q542" s="120">
        <v>2061.3293392346782</v>
      </c>
      <c r="R542" s="120"/>
      <c r="S542" s="121"/>
    </row>
    <row r="543" spans="1:19" ht="15">
      <c r="A543" s="105">
        <v>5</v>
      </c>
      <c r="B543" s="129" t="str">
        <f t="shared" si="14"/>
        <v>905</v>
      </c>
      <c r="C543" s="107" t="s">
        <v>692</v>
      </c>
      <c r="D543" s="107" t="s">
        <v>693</v>
      </c>
      <c r="E543" s="120">
        <v>495.45999999999992</v>
      </c>
      <c r="F543" s="120" t="s">
        <v>251</v>
      </c>
      <c r="G543" s="120">
        <v>470.40702690523278</v>
      </c>
      <c r="H543" s="120" t="s">
        <v>251</v>
      </c>
      <c r="I543" s="120">
        <v>24.601203521305848</v>
      </c>
      <c r="J543" s="120">
        <v>0.45176957346133928</v>
      </c>
      <c r="K543" s="120" t="s">
        <v>251</v>
      </c>
      <c r="L543" s="120" t="s">
        <v>251</v>
      </c>
      <c r="M543" s="120">
        <v>3.2642310221195035E-3</v>
      </c>
      <c r="N543" s="120" t="s">
        <v>251</v>
      </c>
      <c r="O543" s="120">
        <v>0.4485053424392198</v>
      </c>
      <c r="P543" s="120">
        <v>0.23241324877490865</v>
      </c>
      <c r="Q543" s="120">
        <v>0.21609209366431112</v>
      </c>
      <c r="R543" s="120"/>
      <c r="S543" s="121"/>
    </row>
    <row r="544" spans="1:19" ht="15">
      <c r="A544" s="105">
        <v>6</v>
      </c>
      <c r="B544" s="129" t="str">
        <f t="shared" si="14"/>
        <v>TAL</v>
      </c>
      <c r="C544" s="107" t="s">
        <v>694</v>
      </c>
      <c r="D544" s="107" t="s">
        <v>251</v>
      </c>
      <c r="E544" s="120">
        <v>34456534.000000007</v>
      </c>
      <c r="F544" s="120" t="s">
        <v>251</v>
      </c>
      <c r="G544" s="120">
        <v>32714236.702052783</v>
      </c>
      <c r="H544" s="120" t="s">
        <v>251</v>
      </c>
      <c r="I544" s="120">
        <v>1710879.1942291905</v>
      </c>
      <c r="J544" s="120">
        <v>31418.103718032002</v>
      </c>
      <c r="K544" s="120" t="s">
        <v>251</v>
      </c>
      <c r="L544" s="120" t="s">
        <v>251</v>
      </c>
      <c r="M544" s="120">
        <v>227.00941992797686</v>
      </c>
      <c r="N544" s="120" t="s">
        <v>251</v>
      </c>
      <c r="O544" s="120">
        <v>31191.094298104024</v>
      </c>
      <c r="P544" s="120">
        <v>16163.070698871956</v>
      </c>
      <c r="Q544" s="120">
        <v>15028.023599232069</v>
      </c>
      <c r="R544" s="120"/>
      <c r="S544" s="121"/>
    </row>
    <row r="545" spans="1:19" ht="15">
      <c r="A545" s="105" t="s">
        <v>251</v>
      </c>
      <c r="B545" s="129" t="str">
        <f t="shared" si="14"/>
        <v/>
      </c>
      <c r="C545" s="107" t="s">
        <v>251</v>
      </c>
      <c r="D545" s="107" t="s">
        <v>251</v>
      </c>
      <c r="E545" s="120" t="s">
        <v>251</v>
      </c>
      <c r="F545" s="120" t="s">
        <v>251</v>
      </c>
      <c r="G545" s="120" t="s">
        <v>251</v>
      </c>
      <c r="H545" s="120" t="s">
        <v>251</v>
      </c>
      <c r="I545" s="120" t="s">
        <v>251</v>
      </c>
      <c r="J545" s="120" t="s">
        <v>251</v>
      </c>
      <c r="K545" s="120" t="s">
        <v>251</v>
      </c>
      <c r="L545" s="120" t="s">
        <v>251</v>
      </c>
      <c r="M545" s="120" t="s">
        <v>251</v>
      </c>
      <c r="N545" s="120" t="s">
        <v>251</v>
      </c>
      <c r="O545" s="120" t="s">
        <v>251</v>
      </c>
      <c r="P545" s="120" t="s">
        <v>251</v>
      </c>
      <c r="Q545" s="120" t="s">
        <v>251</v>
      </c>
      <c r="R545" s="120"/>
      <c r="S545" s="121"/>
    </row>
    <row r="546" spans="1:19" ht="15">
      <c r="A546" s="105" t="s">
        <v>251</v>
      </c>
      <c r="B546" s="129" t="str">
        <f t="shared" si="14"/>
        <v>STO</v>
      </c>
      <c r="C546" s="107" t="s">
        <v>695</v>
      </c>
      <c r="D546" s="107" t="s">
        <v>251</v>
      </c>
      <c r="E546" s="120" t="s">
        <v>251</v>
      </c>
      <c r="F546" s="120" t="s">
        <v>251</v>
      </c>
      <c r="G546" s="120" t="s">
        <v>251</v>
      </c>
      <c r="H546" s="120" t="s">
        <v>251</v>
      </c>
      <c r="I546" s="120" t="s">
        <v>251</v>
      </c>
      <c r="J546" s="120" t="s">
        <v>251</v>
      </c>
      <c r="K546" s="120" t="s">
        <v>251</v>
      </c>
      <c r="L546" s="120" t="s">
        <v>251</v>
      </c>
      <c r="M546" s="120" t="s">
        <v>251</v>
      </c>
      <c r="N546" s="120" t="s">
        <v>251</v>
      </c>
      <c r="O546" s="120" t="s">
        <v>251</v>
      </c>
      <c r="P546" s="120" t="s">
        <v>251</v>
      </c>
      <c r="Q546" s="120" t="s">
        <v>251</v>
      </c>
      <c r="R546" s="120"/>
      <c r="S546" s="121"/>
    </row>
    <row r="547" spans="1:19" ht="15">
      <c r="A547" s="105">
        <v>7</v>
      </c>
      <c r="B547" s="129" t="str">
        <f t="shared" si="14"/>
        <v>907</v>
      </c>
      <c r="C547" s="107" t="s">
        <v>696</v>
      </c>
      <c r="D547" s="107" t="s">
        <v>697</v>
      </c>
      <c r="E547" s="120">
        <v>611035.6</v>
      </c>
      <c r="F547" s="120" t="s">
        <v>251</v>
      </c>
      <c r="G547" s="120">
        <v>608267.11681187467</v>
      </c>
      <c r="H547" s="120" t="s">
        <v>251</v>
      </c>
      <c r="I547" s="120">
        <v>2768.1878937512588</v>
      </c>
      <c r="J547" s="120">
        <v>0.2952943740445107</v>
      </c>
      <c r="K547" s="120" t="s">
        <v>251</v>
      </c>
      <c r="L547" s="120" t="s">
        <v>251</v>
      </c>
      <c r="M547" s="120">
        <v>0.2952943740445107</v>
      </c>
      <c r="N547" s="120" t="s">
        <v>251</v>
      </c>
      <c r="O547" s="120">
        <v>0</v>
      </c>
      <c r="P547" s="120">
        <v>0</v>
      </c>
      <c r="Q547" s="120">
        <v>0</v>
      </c>
      <c r="R547" s="120"/>
      <c r="S547" s="121"/>
    </row>
    <row r="548" spans="1:19" ht="15">
      <c r="A548" s="105">
        <v>8</v>
      </c>
      <c r="B548" s="129" t="str">
        <f t="shared" si="14"/>
        <v>908</v>
      </c>
      <c r="C548" s="107" t="s">
        <v>698</v>
      </c>
      <c r="D548" s="107" t="s">
        <v>699</v>
      </c>
      <c r="E548" s="120">
        <v>15519021.450000001</v>
      </c>
      <c r="F548" s="120" t="s">
        <v>251</v>
      </c>
      <c r="G548" s="120">
        <v>15519021.450000001</v>
      </c>
      <c r="H548" s="120" t="s">
        <v>251</v>
      </c>
      <c r="I548" s="120">
        <v>0</v>
      </c>
      <c r="J548" s="120">
        <v>0</v>
      </c>
      <c r="K548" s="120" t="s">
        <v>251</v>
      </c>
      <c r="L548" s="120" t="s">
        <v>251</v>
      </c>
      <c r="M548" s="120">
        <v>0</v>
      </c>
      <c r="N548" s="120" t="s">
        <v>251</v>
      </c>
      <c r="O548" s="120">
        <v>0</v>
      </c>
      <c r="P548" s="120">
        <v>0</v>
      </c>
      <c r="Q548" s="120">
        <v>0</v>
      </c>
      <c r="R548" s="120"/>
      <c r="S548" s="121"/>
    </row>
    <row r="549" spans="1:19" ht="15">
      <c r="A549" s="105">
        <v>9</v>
      </c>
      <c r="B549" s="129" t="str">
        <f t="shared" si="14"/>
        <v>909</v>
      </c>
      <c r="C549" s="107" t="s">
        <v>700</v>
      </c>
      <c r="D549" s="107" t="s">
        <v>701</v>
      </c>
      <c r="E549" s="120">
        <v>574864.88999999897</v>
      </c>
      <c r="F549" s="120" t="s">
        <v>251</v>
      </c>
      <c r="G549" s="120">
        <v>545501.35304890422</v>
      </c>
      <c r="H549" s="120" t="s">
        <v>251</v>
      </c>
      <c r="I549" s="120">
        <v>29360.404951846627</v>
      </c>
      <c r="J549" s="120">
        <v>3.1319992481435084</v>
      </c>
      <c r="K549" s="120" t="s">
        <v>251</v>
      </c>
      <c r="L549" s="120" t="s">
        <v>251</v>
      </c>
      <c r="M549" s="120">
        <v>3.1319992481435084</v>
      </c>
      <c r="N549" s="120" t="s">
        <v>251</v>
      </c>
      <c r="O549" s="120">
        <v>0</v>
      </c>
      <c r="P549" s="120">
        <v>0</v>
      </c>
      <c r="Q549" s="120">
        <v>0</v>
      </c>
      <c r="R549" s="120"/>
      <c r="S549" s="121"/>
    </row>
    <row r="550" spans="1:19" ht="15">
      <c r="A550" s="105">
        <v>10</v>
      </c>
      <c r="B550" s="129" t="str">
        <f t="shared" si="14"/>
        <v>910</v>
      </c>
      <c r="C550" s="107" t="s">
        <v>702</v>
      </c>
      <c r="D550" s="107" t="s">
        <v>703</v>
      </c>
      <c r="E550" s="120">
        <v>1511431.39</v>
      </c>
      <c r="F550" s="120" t="s">
        <v>251</v>
      </c>
      <c r="G550" s="120">
        <v>1508673.7607654126</v>
      </c>
      <c r="H550" s="120" t="s">
        <v>251</v>
      </c>
      <c r="I550" s="120">
        <v>2757.3350979271568</v>
      </c>
      <c r="J550" s="120">
        <v>0.29413666016361945</v>
      </c>
      <c r="K550" s="120" t="s">
        <v>251</v>
      </c>
      <c r="L550" s="120" t="s">
        <v>251</v>
      </c>
      <c r="M550" s="120">
        <v>0.29413666016361945</v>
      </c>
      <c r="N550" s="120" t="s">
        <v>251</v>
      </c>
      <c r="O550" s="120">
        <v>0</v>
      </c>
      <c r="P550" s="120">
        <v>0</v>
      </c>
      <c r="Q550" s="120">
        <v>0</v>
      </c>
      <c r="R550" s="120"/>
      <c r="S550" s="121"/>
    </row>
    <row r="551" spans="1:19" ht="15">
      <c r="A551" s="105">
        <v>11</v>
      </c>
      <c r="B551" s="129" t="str">
        <f t="shared" si="14"/>
        <v>TAL</v>
      </c>
      <c r="C551" s="107" t="s">
        <v>704</v>
      </c>
      <c r="D551" s="107" t="s">
        <v>251</v>
      </c>
      <c r="E551" s="120">
        <v>18216353.329999998</v>
      </c>
      <c r="F551" s="120" t="s">
        <v>251</v>
      </c>
      <c r="G551" s="120">
        <v>18181463.680626191</v>
      </c>
      <c r="H551" s="120" t="s">
        <v>251</v>
      </c>
      <c r="I551" s="120">
        <v>34885.927943525043</v>
      </c>
      <c r="J551" s="120">
        <v>3.7214302823516383</v>
      </c>
      <c r="K551" s="120" t="s">
        <v>251</v>
      </c>
      <c r="L551" s="120" t="s">
        <v>251</v>
      </c>
      <c r="M551" s="120">
        <v>3.7214302823516383</v>
      </c>
      <c r="N551" s="120" t="s">
        <v>251</v>
      </c>
      <c r="O551" s="120">
        <v>0</v>
      </c>
      <c r="P551" s="120">
        <v>0</v>
      </c>
      <c r="Q551" s="120">
        <v>0</v>
      </c>
      <c r="R551" s="120"/>
      <c r="S551" s="121"/>
    </row>
    <row r="552" spans="1:19" ht="15">
      <c r="A552" s="105" t="s">
        <v>251</v>
      </c>
      <c r="B552" s="129" t="str">
        <f t="shared" si="14"/>
        <v/>
      </c>
      <c r="C552" s="107" t="s">
        <v>251</v>
      </c>
      <c r="D552" s="107" t="s">
        <v>251</v>
      </c>
      <c r="E552" s="120" t="s">
        <v>251</v>
      </c>
      <c r="F552" s="120" t="s">
        <v>251</v>
      </c>
      <c r="G552" s="120" t="s">
        <v>251</v>
      </c>
      <c r="H552" s="120" t="s">
        <v>251</v>
      </c>
      <c r="I552" s="120" t="s">
        <v>251</v>
      </c>
      <c r="J552" s="120" t="s">
        <v>251</v>
      </c>
      <c r="K552" s="120" t="s">
        <v>251</v>
      </c>
      <c r="L552" s="120" t="s">
        <v>251</v>
      </c>
      <c r="M552" s="120" t="s">
        <v>251</v>
      </c>
      <c r="N552" s="120" t="s">
        <v>251</v>
      </c>
      <c r="O552" s="120" t="s">
        <v>251</v>
      </c>
      <c r="P552" s="120" t="s">
        <v>251</v>
      </c>
      <c r="Q552" s="120" t="s">
        <v>251</v>
      </c>
      <c r="R552" s="120"/>
      <c r="S552" s="121"/>
    </row>
    <row r="553" spans="1:19" ht="15">
      <c r="A553" s="105" t="s">
        <v>251</v>
      </c>
      <c r="B553" s="129" t="str">
        <f t="shared" si="14"/>
        <v>LES</v>
      </c>
      <c r="C553" s="107" t="s">
        <v>705</v>
      </c>
      <c r="D553" s="107" t="s">
        <v>251</v>
      </c>
      <c r="E553" s="120" t="s">
        <v>251</v>
      </c>
      <c r="F553" s="120" t="s">
        <v>251</v>
      </c>
      <c r="G553" s="120" t="s">
        <v>251</v>
      </c>
      <c r="H553" s="120" t="s">
        <v>251</v>
      </c>
      <c r="I553" s="120" t="s">
        <v>251</v>
      </c>
      <c r="J553" s="120" t="s">
        <v>251</v>
      </c>
      <c r="K553" s="120" t="s">
        <v>251</v>
      </c>
      <c r="L553" s="120" t="s">
        <v>251</v>
      </c>
      <c r="M553" s="120" t="s">
        <v>251</v>
      </c>
      <c r="N553" s="120" t="s">
        <v>251</v>
      </c>
      <c r="O553" s="120" t="s">
        <v>251</v>
      </c>
      <c r="P553" s="120" t="s">
        <v>251</v>
      </c>
      <c r="Q553" s="120" t="s">
        <v>251</v>
      </c>
      <c r="R553" s="120"/>
      <c r="S553" s="121"/>
    </row>
    <row r="554" spans="1:19" ht="15">
      <c r="A554" s="105">
        <v>12</v>
      </c>
      <c r="B554" s="129" t="str">
        <f t="shared" si="14"/>
        <v>911</v>
      </c>
      <c r="C554" s="107" t="s">
        <v>706</v>
      </c>
      <c r="D554" s="107" t="s">
        <v>697</v>
      </c>
      <c r="E554" s="120">
        <v>0</v>
      </c>
      <c r="F554" s="120" t="s">
        <v>251</v>
      </c>
      <c r="G554" s="120">
        <v>0</v>
      </c>
      <c r="H554" s="120" t="s">
        <v>251</v>
      </c>
      <c r="I554" s="120">
        <v>0</v>
      </c>
      <c r="J554" s="120">
        <v>0</v>
      </c>
      <c r="K554" s="120" t="s">
        <v>251</v>
      </c>
      <c r="L554" s="120" t="s">
        <v>251</v>
      </c>
      <c r="M554" s="120">
        <v>0</v>
      </c>
      <c r="N554" s="120" t="s">
        <v>251</v>
      </c>
      <c r="O554" s="120">
        <v>0</v>
      </c>
      <c r="P554" s="120">
        <v>0</v>
      </c>
      <c r="Q554" s="120">
        <v>0</v>
      </c>
      <c r="R554" s="120"/>
      <c r="S554" s="121"/>
    </row>
    <row r="555" spans="1:19" ht="15">
      <c r="A555" s="105">
        <v>13</v>
      </c>
      <c r="B555" s="129" t="str">
        <f t="shared" si="14"/>
        <v>912</v>
      </c>
      <c r="C555" s="107" t="s">
        <v>707</v>
      </c>
      <c r="D555" s="107" t="s">
        <v>708</v>
      </c>
      <c r="E555" s="120">
        <v>0</v>
      </c>
      <c r="F555" s="120" t="s">
        <v>251</v>
      </c>
      <c r="G555" s="120">
        <v>0</v>
      </c>
      <c r="H555" s="120" t="s">
        <v>251</v>
      </c>
      <c r="I555" s="120">
        <v>0</v>
      </c>
      <c r="J555" s="120">
        <v>0</v>
      </c>
      <c r="K555" s="120" t="s">
        <v>251</v>
      </c>
      <c r="L555" s="120" t="s">
        <v>251</v>
      </c>
      <c r="M555" s="120">
        <v>0</v>
      </c>
      <c r="N555" s="120" t="s">
        <v>251</v>
      </c>
      <c r="O555" s="120">
        <v>0</v>
      </c>
      <c r="P555" s="120">
        <v>0</v>
      </c>
      <c r="Q555" s="120">
        <v>0</v>
      </c>
      <c r="R555" s="120"/>
      <c r="S555" s="121"/>
    </row>
    <row r="556" spans="1:19" ht="15">
      <c r="A556" s="105">
        <v>14</v>
      </c>
      <c r="B556" s="129" t="str">
        <f t="shared" si="14"/>
        <v>913</v>
      </c>
      <c r="C556" s="107" t="s">
        <v>709</v>
      </c>
      <c r="D556" s="107" t="s">
        <v>710</v>
      </c>
      <c r="E556" s="120">
        <v>1023564.35</v>
      </c>
      <c r="F556" s="120" t="s">
        <v>251</v>
      </c>
      <c r="G556" s="120">
        <v>971281.68300141476</v>
      </c>
      <c r="H556" s="120" t="s">
        <v>251</v>
      </c>
      <c r="I556" s="120">
        <v>52277.090379051901</v>
      </c>
      <c r="J556" s="120">
        <v>5.5766195333767978</v>
      </c>
      <c r="K556" s="120" t="s">
        <v>251</v>
      </c>
      <c r="L556" s="120" t="s">
        <v>251</v>
      </c>
      <c r="M556" s="120">
        <v>5.5766195333767978</v>
      </c>
      <c r="N556" s="120" t="s">
        <v>251</v>
      </c>
      <c r="O556" s="120">
        <v>0</v>
      </c>
      <c r="P556" s="120">
        <v>0</v>
      </c>
      <c r="Q556" s="120">
        <v>0</v>
      </c>
      <c r="R556" s="120"/>
      <c r="S556" s="121"/>
    </row>
    <row r="557" spans="1:19" ht="15">
      <c r="A557" s="105">
        <v>15</v>
      </c>
      <c r="B557" s="129" t="str">
        <f t="shared" si="14"/>
        <v>916</v>
      </c>
      <c r="C557" s="107" t="s">
        <v>711</v>
      </c>
      <c r="D557" s="107" t="s">
        <v>712</v>
      </c>
      <c r="E557" s="120">
        <v>0</v>
      </c>
      <c r="F557" s="120" t="s">
        <v>251</v>
      </c>
      <c r="G557" s="120">
        <v>0</v>
      </c>
      <c r="H557" s="120" t="s">
        <v>251</v>
      </c>
      <c r="I557" s="120">
        <v>0</v>
      </c>
      <c r="J557" s="120">
        <v>0</v>
      </c>
      <c r="K557" s="120" t="s">
        <v>251</v>
      </c>
      <c r="L557" s="120" t="s">
        <v>251</v>
      </c>
      <c r="M557" s="120">
        <v>0</v>
      </c>
      <c r="N557" s="120" t="s">
        <v>251</v>
      </c>
      <c r="O557" s="120">
        <v>0</v>
      </c>
      <c r="P557" s="120">
        <v>0</v>
      </c>
      <c r="Q557" s="120">
        <v>0</v>
      </c>
      <c r="R557" s="120"/>
      <c r="S557" s="121"/>
    </row>
    <row r="558" spans="1:19" ht="15">
      <c r="A558" s="105">
        <v>16</v>
      </c>
      <c r="B558" s="129" t="str">
        <f t="shared" si="14"/>
        <v>TAL</v>
      </c>
      <c r="C558" s="107" t="s">
        <v>713</v>
      </c>
      <c r="D558" s="107" t="s">
        <v>251</v>
      </c>
      <c r="E558" s="120">
        <v>1023564.35</v>
      </c>
      <c r="F558" s="120" t="s">
        <v>251</v>
      </c>
      <c r="G558" s="120">
        <v>971281.68300141476</v>
      </c>
      <c r="H558" s="120" t="s">
        <v>251</v>
      </c>
      <c r="I558" s="120">
        <v>52277.090379051901</v>
      </c>
      <c r="J558" s="120">
        <v>5.5766195333767978</v>
      </c>
      <c r="K558" s="120" t="s">
        <v>251</v>
      </c>
      <c r="L558" s="120" t="s">
        <v>251</v>
      </c>
      <c r="M558" s="120">
        <v>5.5766195333767978</v>
      </c>
      <c r="N558" s="120" t="s">
        <v>251</v>
      </c>
      <c r="O558" s="120">
        <v>0</v>
      </c>
      <c r="P558" s="120">
        <v>0</v>
      </c>
      <c r="Q558" s="120">
        <v>0</v>
      </c>
      <c r="R558" s="120"/>
      <c r="S558" s="121"/>
    </row>
    <row r="559" spans="1:19" ht="15">
      <c r="A559" s="105" t="s">
        <v>251</v>
      </c>
      <c r="B559" s="129" t="str">
        <f t="shared" si="14"/>
        <v/>
      </c>
      <c r="C559" s="107" t="s">
        <v>251</v>
      </c>
      <c r="D559" s="107" t="s">
        <v>251</v>
      </c>
      <c r="E559" s="120" t="s">
        <v>251</v>
      </c>
      <c r="F559" s="120" t="s">
        <v>251</v>
      </c>
      <c r="G559" s="120" t="s">
        <v>251</v>
      </c>
      <c r="H559" s="120" t="s">
        <v>251</v>
      </c>
      <c r="I559" s="120" t="s">
        <v>251</v>
      </c>
      <c r="J559" s="120" t="s">
        <v>251</v>
      </c>
      <c r="K559" s="120" t="s">
        <v>251</v>
      </c>
      <c r="L559" s="120" t="s">
        <v>251</v>
      </c>
      <c r="M559" s="120" t="s">
        <v>251</v>
      </c>
      <c r="N559" s="120" t="s">
        <v>251</v>
      </c>
      <c r="O559" s="120" t="s">
        <v>251</v>
      </c>
      <c r="P559" s="120" t="s">
        <v>251</v>
      </c>
      <c r="Q559" s="120" t="s">
        <v>251</v>
      </c>
      <c r="R559" s="120"/>
      <c r="S559" s="121"/>
    </row>
    <row r="560" spans="1:19" ht="15">
      <c r="A560" s="105" t="s">
        <v>251</v>
      </c>
      <c r="B560" s="129" t="str">
        <f t="shared" si="14"/>
        <v>MIN</v>
      </c>
      <c r="C560" s="107" t="s">
        <v>714</v>
      </c>
      <c r="D560" s="107" t="s">
        <v>251</v>
      </c>
      <c r="E560" s="120" t="s">
        <v>251</v>
      </c>
      <c r="F560" s="120" t="s">
        <v>251</v>
      </c>
      <c r="G560" s="120" t="s">
        <v>251</v>
      </c>
      <c r="H560" s="120" t="s">
        <v>251</v>
      </c>
      <c r="I560" s="120" t="s">
        <v>251</v>
      </c>
      <c r="J560" s="120" t="s">
        <v>251</v>
      </c>
      <c r="K560" s="120" t="s">
        <v>251</v>
      </c>
      <c r="L560" s="120" t="s">
        <v>251</v>
      </c>
      <c r="M560" s="120" t="s">
        <v>251</v>
      </c>
      <c r="N560" s="120" t="s">
        <v>251</v>
      </c>
      <c r="O560" s="120" t="s">
        <v>251</v>
      </c>
      <c r="P560" s="120" t="s">
        <v>251</v>
      </c>
      <c r="Q560" s="120" t="s">
        <v>251</v>
      </c>
      <c r="R560" s="120"/>
      <c r="S560" s="121"/>
    </row>
    <row r="561" spans="1:19" ht="15">
      <c r="A561" s="105" t="s">
        <v>251</v>
      </c>
      <c r="B561" s="129" t="str">
        <f t="shared" si="14"/>
        <v/>
      </c>
      <c r="C561" s="107" t="s">
        <v>251</v>
      </c>
      <c r="D561" s="107" t="s">
        <v>251</v>
      </c>
      <c r="E561" s="120" t="s">
        <v>251</v>
      </c>
      <c r="F561" s="120" t="s">
        <v>251</v>
      </c>
      <c r="G561" s="120" t="s">
        <v>251</v>
      </c>
      <c r="H561" s="120" t="s">
        <v>251</v>
      </c>
      <c r="I561" s="120" t="s">
        <v>251</v>
      </c>
      <c r="J561" s="120" t="s">
        <v>251</v>
      </c>
      <c r="K561" s="120" t="s">
        <v>251</v>
      </c>
      <c r="L561" s="120" t="s">
        <v>251</v>
      </c>
      <c r="M561" s="120" t="s">
        <v>251</v>
      </c>
      <c r="N561" s="120" t="s">
        <v>251</v>
      </c>
      <c r="O561" s="120" t="s">
        <v>251</v>
      </c>
      <c r="P561" s="120" t="s">
        <v>251</v>
      </c>
      <c r="Q561" s="120" t="s">
        <v>251</v>
      </c>
      <c r="R561" s="120"/>
      <c r="S561" s="121"/>
    </row>
    <row r="562" spans="1:19" ht="15">
      <c r="A562" s="105" t="s">
        <v>251</v>
      </c>
      <c r="B562" s="129" t="str">
        <f t="shared" si="14"/>
        <v>LAN</v>
      </c>
      <c r="C562" s="107" t="s">
        <v>715</v>
      </c>
      <c r="D562" s="107" t="s">
        <v>251</v>
      </c>
      <c r="E562" s="120" t="s">
        <v>251</v>
      </c>
      <c r="F562" s="120" t="s">
        <v>251</v>
      </c>
      <c r="G562" s="120" t="s">
        <v>251</v>
      </c>
      <c r="H562" s="120" t="s">
        <v>251</v>
      </c>
      <c r="I562" s="120" t="s">
        <v>251</v>
      </c>
      <c r="J562" s="120" t="s">
        <v>251</v>
      </c>
      <c r="K562" s="120" t="s">
        <v>251</v>
      </c>
      <c r="L562" s="120" t="s">
        <v>251</v>
      </c>
      <c r="M562" s="120" t="s">
        <v>251</v>
      </c>
      <c r="N562" s="120" t="s">
        <v>251</v>
      </c>
      <c r="O562" s="120" t="s">
        <v>251</v>
      </c>
      <c r="P562" s="120" t="s">
        <v>251</v>
      </c>
      <c r="Q562" s="120" t="s">
        <v>251</v>
      </c>
      <c r="R562" s="120"/>
      <c r="S562" s="121"/>
    </row>
    <row r="563" spans="1:19" ht="15">
      <c r="A563" s="105">
        <v>17</v>
      </c>
      <c r="B563" s="129" t="str">
        <f t="shared" si="14"/>
        <v>924</v>
      </c>
      <c r="C563" s="107" t="s">
        <v>716</v>
      </c>
      <c r="D563" s="107" t="s">
        <v>717</v>
      </c>
      <c r="E563" s="120">
        <v>5703899.7499999991</v>
      </c>
      <c r="F563" s="120" t="s">
        <v>251</v>
      </c>
      <c r="G563" s="120">
        <v>5077533.2956423061</v>
      </c>
      <c r="H563" s="120" t="s">
        <v>251</v>
      </c>
      <c r="I563" s="120">
        <v>278876.38223079708</v>
      </c>
      <c r="J563" s="120">
        <v>347490.07212689606</v>
      </c>
      <c r="K563" s="120" t="s">
        <v>251</v>
      </c>
      <c r="L563" s="120" t="s">
        <v>251</v>
      </c>
      <c r="M563" s="120">
        <v>403.71751570954319</v>
      </c>
      <c r="N563" s="120" t="s">
        <v>251</v>
      </c>
      <c r="O563" s="120">
        <v>347086.35461118654</v>
      </c>
      <c r="P563" s="120">
        <v>108585.40910586604</v>
      </c>
      <c r="Q563" s="120">
        <v>238500.94550532047</v>
      </c>
      <c r="R563" s="120"/>
      <c r="S563" s="121"/>
    </row>
    <row r="564" spans="1:19" ht="15">
      <c r="A564" s="105">
        <v>18</v>
      </c>
      <c r="B564" s="129" t="str">
        <f t="shared" si="14"/>
        <v xml:space="preserve">   </v>
      </c>
      <c r="C564" s="107" t="s">
        <v>718</v>
      </c>
      <c r="D564" s="107" t="s">
        <v>251</v>
      </c>
      <c r="E564" s="120">
        <v>5703899.7499999991</v>
      </c>
      <c r="F564" s="120" t="s">
        <v>251</v>
      </c>
      <c r="G564" s="120">
        <v>5077533.2956423061</v>
      </c>
      <c r="H564" s="120" t="s">
        <v>251</v>
      </c>
      <c r="I564" s="120">
        <v>278876.38223079708</v>
      </c>
      <c r="J564" s="120">
        <v>347490.07212689606</v>
      </c>
      <c r="K564" s="120" t="s">
        <v>251</v>
      </c>
      <c r="L564" s="120" t="s">
        <v>251</v>
      </c>
      <c r="M564" s="120">
        <v>403.71751570954319</v>
      </c>
      <c r="N564" s="120" t="s">
        <v>251</v>
      </c>
      <c r="O564" s="120">
        <v>347086.35461118654</v>
      </c>
      <c r="P564" s="120">
        <v>108585.40910586604</v>
      </c>
      <c r="Q564" s="120">
        <v>238500.94550532047</v>
      </c>
      <c r="R564" s="120"/>
      <c r="S564" s="121"/>
    </row>
    <row r="565" spans="1:19" ht="15">
      <c r="A565" s="105" t="s">
        <v>251</v>
      </c>
      <c r="B565" s="129" t="str">
        <f t="shared" si="14"/>
        <v/>
      </c>
      <c r="C565" s="107" t="s">
        <v>251</v>
      </c>
      <c r="D565" s="107" t="s">
        <v>251</v>
      </c>
      <c r="E565" s="120" t="s">
        <v>251</v>
      </c>
      <c r="F565" s="120" t="s">
        <v>251</v>
      </c>
      <c r="G565" s="120" t="s">
        <v>251</v>
      </c>
      <c r="H565" s="120" t="s">
        <v>251</v>
      </c>
      <c r="I565" s="120" t="s">
        <v>251</v>
      </c>
      <c r="J565" s="120" t="s">
        <v>251</v>
      </c>
      <c r="K565" s="120" t="s">
        <v>251</v>
      </c>
      <c r="L565" s="120" t="s">
        <v>251</v>
      </c>
      <c r="M565" s="120" t="s">
        <v>251</v>
      </c>
      <c r="N565" s="120" t="s">
        <v>251</v>
      </c>
      <c r="O565" s="120" t="s">
        <v>251</v>
      </c>
      <c r="P565" s="120" t="s">
        <v>251</v>
      </c>
      <c r="Q565" s="120" t="s">
        <v>251</v>
      </c>
      <c r="R565" s="120"/>
      <c r="S565" s="121"/>
    </row>
    <row r="566" spans="1:19" ht="15">
      <c r="A566" s="105" t="s">
        <v>251</v>
      </c>
      <c r="B566" s="129" t="str">
        <f t="shared" si="14"/>
        <v>ABO</v>
      </c>
      <c r="C566" s="107" t="s">
        <v>719</v>
      </c>
      <c r="D566" s="107" t="s">
        <v>251</v>
      </c>
      <c r="E566" s="120" t="s">
        <v>251</v>
      </c>
      <c r="F566" s="120" t="s">
        <v>251</v>
      </c>
      <c r="G566" s="120" t="s">
        <v>251</v>
      </c>
      <c r="H566" s="120" t="s">
        <v>251</v>
      </c>
      <c r="I566" s="120" t="s">
        <v>251</v>
      </c>
      <c r="J566" s="120" t="s">
        <v>251</v>
      </c>
      <c r="K566" s="120" t="s">
        <v>251</v>
      </c>
      <c r="L566" s="120" t="s">
        <v>251</v>
      </c>
      <c r="M566" s="120" t="s">
        <v>251</v>
      </c>
      <c r="N566" s="120" t="s">
        <v>251</v>
      </c>
      <c r="O566" s="120" t="s">
        <v>251</v>
      </c>
      <c r="P566" s="120" t="s">
        <v>251</v>
      </c>
      <c r="Q566" s="120" t="s">
        <v>251</v>
      </c>
      <c r="R566" s="120"/>
      <c r="S566" s="121"/>
    </row>
    <row r="567" spans="1:19" ht="15">
      <c r="A567" s="105">
        <v>19</v>
      </c>
      <c r="B567" s="129" t="str">
        <f t="shared" si="14"/>
        <v>920</v>
      </c>
      <c r="C567" s="107" t="s">
        <v>720</v>
      </c>
      <c r="D567" s="107" t="s">
        <v>419</v>
      </c>
      <c r="E567" s="120">
        <v>35712703.68</v>
      </c>
      <c r="F567" s="120" t="s">
        <v>251</v>
      </c>
      <c r="G567" s="120">
        <v>32320899.629633296</v>
      </c>
      <c r="H567" s="120" t="s">
        <v>251</v>
      </c>
      <c r="I567" s="120">
        <v>1645264.8671101478</v>
      </c>
      <c r="J567" s="120">
        <v>1746539.1832565595</v>
      </c>
      <c r="K567" s="120" t="s">
        <v>251</v>
      </c>
      <c r="L567" s="120" t="s">
        <v>251</v>
      </c>
      <c r="M567" s="120">
        <v>2516.5085445447294</v>
      </c>
      <c r="N567" s="120" t="s">
        <v>251</v>
      </c>
      <c r="O567" s="120">
        <v>1744022.6747120149</v>
      </c>
      <c r="P567" s="120">
        <v>555755.13020388363</v>
      </c>
      <c r="Q567" s="120">
        <v>1188267.5445081312</v>
      </c>
      <c r="R567" s="120"/>
      <c r="S567" s="121"/>
    </row>
    <row r="568" spans="1:19" ht="15">
      <c r="A568" s="105">
        <v>20</v>
      </c>
      <c r="B568" s="129" t="str">
        <f t="shared" si="14"/>
        <v>921</v>
      </c>
      <c r="C568" s="107" t="s">
        <v>721</v>
      </c>
      <c r="D568" s="107" t="s">
        <v>419</v>
      </c>
      <c r="E568" s="120">
        <v>10170056.130000003</v>
      </c>
      <c r="F568" s="120" t="s">
        <v>251</v>
      </c>
      <c r="G568" s="120">
        <v>9204157.8915670291</v>
      </c>
      <c r="H568" s="120" t="s">
        <v>251</v>
      </c>
      <c r="I568" s="120">
        <v>468528.96373112669</v>
      </c>
      <c r="J568" s="120">
        <v>497369.27470184659</v>
      </c>
      <c r="K568" s="120" t="s">
        <v>251</v>
      </c>
      <c r="L568" s="120" t="s">
        <v>251</v>
      </c>
      <c r="M568" s="120">
        <v>716.6366730160853</v>
      </c>
      <c r="N568" s="120" t="s">
        <v>251</v>
      </c>
      <c r="O568" s="120">
        <v>496652.63802883052</v>
      </c>
      <c r="P568" s="120">
        <v>158264.71496959915</v>
      </c>
      <c r="Q568" s="120">
        <v>338387.92305923137</v>
      </c>
      <c r="R568" s="120"/>
      <c r="S568" s="121"/>
    </row>
    <row r="569" spans="1:19" ht="15">
      <c r="A569" s="105">
        <v>21</v>
      </c>
      <c r="B569" s="129" t="str">
        <f t="shared" si="14"/>
        <v>922</v>
      </c>
      <c r="C569" s="107" t="s">
        <v>722</v>
      </c>
      <c r="D569" s="107" t="s">
        <v>419</v>
      </c>
      <c r="E569" s="120">
        <v>-5917127.9199999999</v>
      </c>
      <c r="F569" s="120" t="s">
        <v>251</v>
      </c>
      <c r="G569" s="120">
        <v>-5355150.3496254142</v>
      </c>
      <c r="H569" s="120" t="s">
        <v>251</v>
      </c>
      <c r="I569" s="120">
        <v>-272598.87036848802</v>
      </c>
      <c r="J569" s="120">
        <v>-289378.70000609779</v>
      </c>
      <c r="K569" s="120" t="s">
        <v>251</v>
      </c>
      <c r="L569" s="120" t="s">
        <v>251</v>
      </c>
      <c r="M569" s="120">
        <v>-416.95255288619416</v>
      </c>
      <c r="N569" s="120" t="s">
        <v>251</v>
      </c>
      <c r="O569" s="120">
        <v>-288961.74745321157</v>
      </c>
      <c r="P569" s="120">
        <v>-92081.35645731751</v>
      </c>
      <c r="Q569" s="120">
        <v>-196880.39099589409</v>
      </c>
      <c r="R569" s="120"/>
      <c r="S569" s="121"/>
    </row>
    <row r="570" spans="1:19" ht="15">
      <c r="A570" s="105">
        <v>22</v>
      </c>
      <c r="B570" s="129" t="str">
        <f t="shared" si="14"/>
        <v>923</v>
      </c>
      <c r="C570" s="107" t="s">
        <v>723</v>
      </c>
      <c r="D570" s="107" t="s">
        <v>419</v>
      </c>
      <c r="E570" s="120">
        <v>18253161.610000003</v>
      </c>
      <c r="F570" s="120" t="s">
        <v>251</v>
      </c>
      <c r="G570" s="120">
        <v>16519572.687818568</v>
      </c>
      <c r="H570" s="120" t="s">
        <v>251</v>
      </c>
      <c r="I570" s="120">
        <v>840913.24419760925</v>
      </c>
      <c r="J570" s="120">
        <v>892675.67798382335</v>
      </c>
      <c r="K570" s="120" t="s">
        <v>251</v>
      </c>
      <c r="L570" s="120" t="s">
        <v>251</v>
      </c>
      <c r="M570" s="120">
        <v>1286.2156158242688</v>
      </c>
      <c r="N570" s="120" t="s">
        <v>251</v>
      </c>
      <c r="O570" s="120">
        <v>891389.46236799913</v>
      </c>
      <c r="P570" s="120">
        <v>284052.65247053059</v>
      </c>
      <c r="Q570" s="120">
        <v>607336.80989746854</v>
      </c>
      <c r="R570" s="120"/>
      <c r="S570" s="121"/>
    </row>
    <row r="571" spans="1:19" ht="15">
      <c r="A571" s="105">
        <v>23</v>
      </c>
      <c r="B571" s="129" t="str">
        <f t="shared" si="14"/>
        <v>925</v>
      </c>
      <c r="C571" s="107" t="s">
        <v>724</v>
      </c>
      <c r="D571" s="107" t="s">
        <v>419</v>
      </c>
      <c r="E571" s="120">
        <v>4055118.9100000006</v>
      </c>
      <c r="F571" s="120" t="s">
        <v>251</v>
      </c>
      <c r="G571" s="120">
        <v>3670097.4606757895</v>
      </c>
      <c r="H571" s="120" t="s">
        <v>251</v>
      </c>
      <c r="I571" s="120">
        <v>186762.63553269458</v>
      </c>
      <c r="J571" s="120">
        <v>198258.8137915165</v>
      </c>
      <c r="K571" s="120" t="s">
        <v>251</v>
      </c>
      <c r="L571" s="120" t="s">
        <v>251</v>
      </c>
      <c r="M571" s="120">
        <v>285.66207029342343</v>
      </c>
      <c r="N571" s="120" t="s">
        <v>251</v>
      </c>
      <c r="O571" s="120">
        <v>197973.15172122308</v>
      </c>
      <c r="P571" s="120">
        <v>63086.676742817901</v>
      </c>
      <c r="Q571" s="120">
        <v>134886.47497840517</v>
      </c>
      <c r="R571" s="120"/>
      <c r="S571" s="121"/>
    </row>
    <row r="572" spans="1:19" ht="15">
      <c r="A572" s="105">
        <v>24</v>
      </c>
      <c r="B572" s="129" t="str">
        <f t="shared" si="14"/>
        <v>926</v>
      </c>
      <c r="C572" s="107" t="s">
        <v>725</v>
      </c>
      <c r="D572" s="107" t="s">
        <v>419</v>
      </c>
      <c r="E572" s="120">
        <v>32380769.743636269</v>
      </c>
      <c r="F572" s="120" t="s">
        <v>251</v>
      </c>
      <c r="G572" s="120">
        <v>29305415.187605713</v>
      </c>
      <c r="H572" s="120" t="s">
        <v>251</v>
      </c>
      <c r="I572" s="120">
        <v>1491764.4798487576</v>
      </c>
      <c r="J572" s="120">
        <v>1583590.0761817985</v>
      </c>
      <c r="K572" s="120" t="s">
        <v>251</v>
      </c>
      <c r="L572" s="120" t="s">
        <v>251</v>
      </c>
      <c r="M572" s="120">
        <v>2281.7226180618345</v>
      </c>
      <c r="N572" s="120" t="s">
        <v>251</v>
      </c>
      <c r="O572" s="120">
        <v>1581308.3535637367</v>
      </c>
      <c r="P572" s="120">
        <v>503904.13076046744</v>
      </c>
      <c r="Q572" s="120">
        <v>1077404.2228032693</v>
      </c>
      <c r="R572" s="120"/>
      <c r="S572" s="121"/>
    </row>
    <row r="573" spans="1:19" ht="15">
      <c r="A573" s="105">
        <v>25</v>
      </c>
      <c r="B573" s="129" t="str">
        <f t="shared" si="14"/>
        <v>926</v>
      </c>
      <c r="C573" s="107" t="s">
        <v>2242</v>
      </c>
      <c r="D573" s="107" t="s">
        <v>733</v>
      </c>
      <c r="E573" s="120">
        <v>128217.55636363632</v>
      </c>
      <c r="F573" s="120" t="s">
        <v>251</v>
      </c>
      <c r="G573" s="120">
        <v>128217.55636363632</v>
      </c>
      <c r="H573" s="120" t="s">
        <v>251</v>
      </c>
      <c r="I573" s="120">
        <v>0</v>
      </c>
      <c r="J573" s="120">
        <v>0</v>
      </c>
      <c r="K573" s="120" t="s">
        <v>251</v>
      </c>
      <c r="L573" s="120" t="s">
        <v>251</v>
      </c>
      <c r="M573" s="120">
        <v>0</v>
      </c>
      <c r="N573" s="120" t="s">
        <v>251</v>
      </c>
      <c r="O573" s="120">
        <v>0</v>
      </c>
      <c r="P573" s="120">
        <v>0</v>
      </c>
      <c r="Q573" s="120">
        <v>0</v>
      </c>
      <c r="R573" s="120"/>
      <c r="S573" s="121"/>
    </row>
    <row r="574" spans="1:19" ht="15">
      <c r="A574" s="105">
        <v>26</v>
      </c>
      <c r="B574" s="129" t="str">
        <f t="shared" si="14"/>
        <v>926</v>
      </c>
      <c r="C574" s="107" t="s">
        <v>2243</v>
      </c>
      <c r="D574" s="107" t="s">
        <v>733</v>
      </c>
      <c r="E574" s="120">
        <v>235860.83525142801</v>
      </c>
      <c r="F574" s="120" t="s">
        <v>251</v>
      </c>
      <c r="G574" s="120">
        <v>0</v>
      </c>
      <c r="H574" s="120" t="s">
        <v>251</v>
      </c>
      <c r="I574" s="120">
        <v>235860.83525142801</v>
      </c>
      <c r="J574" s="120">
        <v>0</v>
      </c>
      <c r="K574" s="120" t="s">
        <v>251</v>
      </c>
      <c r="L574" s="120" t="s">
        <v>251</v>
      </c>
      <c r="M574" s="120">
        <v>0</v>
      </c>
      <c r="N574" s="120" t="s">
        <v>251</v>
      </c>
      <c r="O574" s="120">
        <v>0</v>
      </c>
      <c r="P574" s="120">
        <v>0</v>
      </c>
      <c r="Q574" s="120">
        <v>0</v>
      </c>
      <c r="R574" s="120"/>
      <c r="S574" s="121"/>
    </row>
    <row r="575" spans="1:19" ht="15">
      <c r="A575" s="105">
        <v>27</v>
      </c>
      <c r="B575" s="129" t="str">
        <f t="shared" si="14"/>
        <v>926</v>
      </c>
      <c r="C575" s="107" t="s">
        <v>2244</v>
      </c>
      <c r="D575" s="107" t="s">
        <v>733</v>
      </c>
      <c r="E575" s="120">
        <v>246941.16474857161</v>
      </c>
      <c r="F575" s="120" t="s">
        <v>251</v>
      </c>
      <c r="G575" s="120">
        <v>0</v>
      </c>
      <c r="H575" s="120" t="s">
        <v>251</v>
      </c>
      <c r="I575" s="120">
        <v>0</v>
      </c>
      <c r="J575" s="120">
        <v>246941.16474857161</v>
      </c>
      <c r="K575" s="120" t="s">
        <v>251</v>
      </c>
      <c r="L575" s="120" t="s">
        <v>251</v>
      </c>
      <c r="M575" s="120">
        <v>114.916631805633</v>
      </c>
      <c r="N575" s="120" t="s">
        <v>251</v>
      </c>
      <c r="O575" s="120">
        <v>246826.24811676599</v>
      </c>
      <c r="P575" s="120">
        <v>78654.340708340067</v>
      </c>
      <c r="Q575" s="120">
        <v>168171.9074084259</v>
      </c>
      <c r="R575" s="120"/>
      <c r="S575" s="121"/>
    </row>
    <row r="576" spans="1:19" ht="15">
      <c r="A576" s="105">
        <v>28</v>
      </c>
      <c r="B576" s="129" t="str">
        <f t="shared" si="14"/>
        <v>930</v>
      </c>
      <c r="C576" s="107" t="s">
        <v>2245</v>
      </c>
      <c r="D576" s="107" t="s">
        <v>728</v>
      </c>
      <c r="E576" s="120">
        <v>31759.27</v>
      </c>
      <c r="F576" s="120" t="s">
        <v>251</v>
      </c>
      <c r="G576" s="120">
        <v>30218.664593442056</v>
      </c>
      <c r="H576" s="120" t="s">
        <v>251</v>
      </c>
      <c r="I576" s="120">
        <v>1538.2525782479172</v>
      </c>
      <c r="J576" s="120">
        <v>2.352828310026561</v>
      </c>
      <c r="K576" s="120" t="s">
        <v>251</v>
      </c>
      <c r="L576" s="120" t="s">
        <v>251</v>
      </c>
      <c r="M576" s="120">
        <v>2.352828310026561</v>
      </c>
      <c r="N576" s="120" t="s">
        <v>251</v>
      </c>
      <c r="O576" s="120">
        <v>0</v>
      </c>
      <c r="P576" s="120">
        <v>0</v>
      </c>
      <c r="Q576" s="120">
        <v>0</v>
      </c>
      <c r="R576" s="120"/>
      <c r="S576" s="121"/>
    </row>
    <row r="577" spans="1:19" ht="15">
      <c r="A577" s="105">
        <v>29</v>
      </c>
      <c r="B577" s="129" t="str">
        <f t="shared" ref="B577:B591" si="15">MID(C577,3,3)</f>
        <v>930</v>
      </c>
      <c r="C577" s="107" t="s">
        <v>2246</v>
      </c>
      <c r="D577" s="107" t="s">
        <v>419</v>
      </c>
      <c r="E577" s="120">
        <v>4924631.0600000005</v>
      </c>
      <c r="F577" s="120" t="s">
        <v>251</v>
      </c>
      <c r="G577" s="120">
        <v>4466644.8156698719</v>
      </c>
      <c r="H577" s="120" t="s">
        <v>251</v>
      </c>
      <c r="I577" s="120">
        <v>222155.72191872893</v>
      </c>
      <c r="J577" s="120">
        <v>235830.52241139967</v>
      </c>
      <c r="K577" s="120" t="s">
        <v>251</v>
      </c>
      <c r="L577" s="120" t="s">
        <v>251</v>
      </c>
      <c r="M577" s="120">
        <v>339.79742934032777</v>
      </c>
      <c r="N577" s="120" t="s">
        <v>251</v>
      </c>
      <c r="O577" s="120">
        <v>235490.72498205933</v>
      </c>
      <c r="P577" s="120">
        <v>75042.131287554701</v>
      </c>
      <c r="Q577" s="120">
        <v>160448.59369450461</v>
      </c>
      <c r="R577" s="120"/>
      <c r="S577" s="121"/>
    </row>
    <row r="578" spans="1:19" ht="15">
      <c r="A578" s="105">
        <v>30</v>
      </c>
      <c r="B578" s="129" t="str">
        <f t="shared" si="15"/>
        <v>931</v>
      </c>
      <c r="C578" s="107" t="s">
        <v>729</v>
      </c>
      <c r="D578" s="107" t="s">
        <v>419</v>
      </c>
      <c r="E578" s="120">
        <v>3068463.9099999997</v>
      </c>
      <c r="F578" s="120" t="s">
        <v>251</v>
      </c>
      <c r="G578" s="120">
        <v>2777037.4077783101</v>
      </c>
      <c r="H578" s="120" t="s">
        <v>251</v>
      </c>
      <c r="I578" s="120">
        <v>141362.4662068272</v>
      </c>
      <c r="J578" s="120">
        <v>150064.03601486236</v>
      </c>
      <c r="K578" s="120" t="s">
        <v>251</v>
      </c>
      <c r="L578" s="120" t="s">
        <v>251</v>
      </c>
      <c r="M578" s="120">
        <v>216.22041605510074</v>
      </c>
      <c r="N578" s="120" t="s">
        <v>251</v>
      </c>
      <c r="O578" s="120">
        <v>149847.81559880727</v>
      </c>
      <c r="P578" s="120">
        <v>47750.922895904565</v>
      </c>
      <c r="Q578" s="120">
        <v>102096.8927029027</v>
      </c>
      <c r="R578" s="120"/>
      <c r="S578" s="121"/>
    </row>
    <row r="579" spans="1:19" ht="15">
      <c r="A579" s="105">
        <v>31</v>
      </c>
      <c r="B579" s="129" t="str">
        <f t="shared" si="15"/>
        <v>935</v>
      </c>
      <c r="C579" s="107" t="s">
        <v>730</v>
      </c>
      <c r="D579" s="107" t="s">
        <v>419</v>
      </c>
      <c r="E579" s="120">
        <v>1523635.71</v>
      </c>
      <c r="F579" s="120" t="s">
        <v>251</v>
      </c>
      <c r="G579" s="120">
        <v>1378928.8342963974</v>
      </c>
      <c r="H579" s="120" t="s">
        <v>251</v>
      </c>
      <c r="I579" s="120">
        <v>70193.069849855339</v>
      </c>
      <c r="J579" s="120">
        <v>74513.805853747341</v>
      </c>
      <c r="K579" s="120" t="s">
        <v>251</v>
      </c>
      <c r="L579" s="120" t="s">
        <v>251</v>
      </c>
      <c r="M579" s="120">
        <v>107.36353980210538</v>
      </c>
      <c r="N579" s="120" t="s">
        <v>251</v>
      </c>
      <c r="O579" s="120">
        <v>74406.442313945241</v>
      </c>
      <c r="P579" s="120">
        <v>23710.564452966577</v>
      </c>
      <c r="Q579" s="120">
        <v>50695.87786097866</v>
      </c>
      <c r="R579" s="120"/>
      <c r="S579" s="121"/>
    </row>
    <row r="580" spans="1:19" ht="15">
      <c r="A580" s="105">
        <v>32</v>
      </c>
      <c r="B580" s="129" t="str">
        <f t="shared" si="15"/>
        <v xml:space="preserve">   </v>
      </c>
      <c r="C580" s="107" t="s">
        <v>731</v>
      </c>
      <c r="D580" s="107" t="s">
        <v>251</v>
      </c>
      <c r="E580" s="120">
        <v>104814191.65999992</v>
      </c>
      <c r="F580" s="120" t="s">
        <v>251</v>
      </c>
      <c r="G580" s="120">
        <v>94446039.78637664</v>
      </c>
      <c r="H580" s="120" t="s">
        <v>251</v>
      </c>
      <c r="I580" s="120">
        <v>5031745.6658569351</v>
      </c>
      <c r="J580" s="120">
        <v>5336406.2077663383</v>
      </c>
      <c r="K580" s="120" t="s">
        <v>251</v>
      </c>
      <c r="L580" s="120" t="s">
        <v>251</v>
      </c>
      <c r="M580" s="120">
        <v>7450.4438141673409</v>
      </c>
      <c r="N580" s="120" t="s">
        <v>251</v>
      </c>
      <c r="O580" s="120">
        <v>5328955.7639521705</v>
      </c>
      <c r="P580" s="120">
        <v>1698139.9080347472</v>
      </c>
      <c r="Q580" s="120">
        <v>3630815.855917423</v>
      </c>
      <c r="R580" s="120"/>
      <c r="S580" s="121"/>
    </row>
    <row r="581" spans="1:19" ht="15">
      <c r="A581" s="105" t="s">
        <v>251</v>
      </c>
      <c r="B581" s="129" t="str">
        <f t="shared" si="15"/>
        <v/>
      </c>
      <c r="C581" s="107" t="s">
        <v>251</v>
      </c>
      <c r="D581" s="107" t="s">
        <v>251</v>
      </c>
      <c r="E581" s="120" t="s">
        <v>251</v>
      </c>
      <c r="F581" s="120" t="s">
        <v>251</v>
      </c>
      <c r="G581" s="120" t="s">
        <v>251</v>
      </c>
      <c r="H581" s="120" t="s">
        <v>251</v>
      </c>
      <c r="I581" s="120" t="s">
        <v>251</v>
      </c>
      <c r="J581" s="120" t="s">
        <v>251</v>
      </c>
      <c r="K581" s="120" t="s">
        <v>251</v>
      </c>
      <c r="L581" s="120" t="s">
        <v>251</v>
      </c>
      <c r="M581" s="120" t="s">
        <v>251</v>
      </c>
      <c r="N581" s="120" t="s">
        <v>251</v>
      </c>
      <c r="O581" s="120" t="s">
        <v>251</v>
      </c>
      <c r="P581" s="120" t="s">
        <v>251</v>
      </c>
      <c r="Q581" s="120" t="s">
        <v>251</v>
      </c>
      <c r="R581" s="120"/>
      <c r="S581" s="121"/>
    </row>
    <row r="582" spans="1:19" ht="15">
      <c r="A582" s="105" t="s">
        <v>251</v>
      </c>
      <c r="B582" s="129" t="str">
        <f t="shared" si="15"/>
        <v>928</v>
      </c>
      <c r="C582" s="107" t="s">
        <v>732</v>
      </c>
      <c r="D582" s="107" t="s">
        <v>251</v>
      </c>
      <c r="E582" s="120" t="s">
        <v>251</v>
      </c>
      <c r="F582" s="120" t="s">
        <v>251</v>
      </c>
      <c r="G582" s="120" t="s">
        <v>251</v>
      </c>
      <c r="H582" s="120" t="s">
        <v>251</v>
      </c>
      <c r="I582" s="120" t="s">
        <v>251</v>
      </c>
      <c r="J582" s="120" t="s">
        <v>251</v>
      </c>
      <c r="K582" s="120" t="s">
        <v>251</v>
      </c>
      <c r="L582" s="120" t="s">
        <v>251</v>
      </c>
      <c r="M582" s="120" t="s">
        <v>251</v>
      </c>
      <c r="N582" s="120" t="s">
        <v>251</v>
      </c>
      <c r="O582" s="120" t="s">
        <v>251</v>
      </c>
      <c r="P582" s="120" t="s">
        <v>251</v>
      </c>
      <c r="Q582" s="120" t="s">
        <v>251</v>
      </c>
      <c r="R582" s="120"/>
      <c r="S582" s="121"/>
    </row>
    <row r="583" spans="1:19" ht="15">
      <c r="A583" s="105">
        <v>33</v>
      </c>
      <c r="B583" s="129"/>
      <c r="C583" s="107" t="s">
        <v>2247</v>
      </c>
      <c r="D583" s="107" t="s">
        <v>733</v>
      </c>
      <c r="E583" s="120">
        <v>1450262.95</v>
      </c>
      <c r="F583" s="120" t="s">
        <v>251</v>
      </c>
      <c r="G583" s="120">
        <v>1450262.95</v>
      </c>
      <c r="H583" s="120" t="s">
        <v>251</v>
      </c>
      <c r="I583" s="120">
        <v>0</v>
      </c>
      <c r="J583" s="120">
        <v>0</v>
      </c>
      <c r="K583" s="120" t="s">
        <v>251</v>
      </c>
      <c r="L583" s="120" t="s">
        <v>251</v>
      </c>
      <c r="M583" s="120">
        <v>0</v>
      </c>
      <c r="N583" s="120" t="s">
        <v>251</v>
      </c>
      <c r="O583" s="120">
        <v>0</v>
      </c>
      <c r="P583" s="120">
        <v>0</v>
      </c>
      <c r="Q583" s="120">
        <v>0</v>
      </c>
      <c r="R583" s="120"/>
      <c r="S583" s="121"/>
    </row>
    <row r="584" spans="1:19" ht="15">
      <c r="A584" s="105">
        <v>34</v>
      </c>
      <c r="B584" s="129" t="str">
        <f t="shared" si="15"/>
        <v xml:space="preserve">  V</v>
      </c>
      <c r="C584" s="107" t="s">
        <v>735</v>
      </c>
      <c r="D584" s="107" t="s">
        <v>733</v>
      </c>
      <c r="E584" s="120">
        <v>158787.79999999999</v>
      </c>
      <c r="F584" s="120" t="s">
        <v>251</v>
      </c>
      <c r="G584" s="120">
        <v>0</v>
      </c>
      <c r="H584" s="120" t="s">
        <v>251</v>
      </c>
      <c r="I584" s="120">
        <v>158787.79999999999</v>
      </c>
      <c r="J584" s="120">
        <v>0</v>
      </c>
      <c r="K584" s="120" t="s">
        <v>251</v>
      </c>
      <c r="L584" s="120" t="s">
        <v>251</v>
      </c>
      <c r="M584" s="120">
        <v>0</v>
      </c>
      <c r="N584" s="120" t="s">
        <v>251</v>
      </c>
      <c r="O584" s="120">
        <v>0</v>
      </c>
      <c r="P584" s="120">
        <v>0</v>
      </c>
      <c r="Q584" s="120">
        <v>0</v>
      </c>
      <c r="R584" s="120"/>
      <c r="S584" s="121"/>
    </row>
    <row r="585" spans="1:19" ht="15">
      <c r="A585" s="105">
        <v>35</v>
      </c>
      <c r="B585" s="129" t="str">
        <f t="shared" si="15"/>
        <v xml:space="preserve">  F</v>
      </c>
      <c r="C585" s="107" t="s">
        <v>734</v>
      </c>
      <c r="D585" s="107" t="s">
        <v>1122</v>
      </c>
      <c r="E585" s="120">
        <v>0</v>
      </c>
      <c r="F585" s="120" t="s">
        <v>251</v>
      </c>
      <c r="G585" s="120">
        <v>0</v>
      </c>
      <c r="H585" s="120" t="s">
        <v>251</v>
      </c>
      <c r="I585" s="120">
        <v>0</v>
      </c>
      <c r="J585" s="120">
        <v>0</v>
      </c>
      <c r="K585" s="120" t="s">
        <v>251</v>
      </c>
      <c r="L585" s="120" t="s">
        <v>251</v>
      </c>
      <c r="M585" s="120">
        <v>0</v>
      </c>
      <c r="N585" s="120" t="s">
        <v>251</v>
      </c>
      <c r="O585" s="120">
        <v>0</v>
      </c>
      <c r="P585" s="120">
        <v>0</v>
      </c>
      <c r="Q585" s="120">
        <v>0</v>
      </c>
      <c r="R585" s="120"/>
      <c r="S585" s="121"/>
    </row>
    <row r="586" spans="1:19" ht="15">
      <c r="A586" s="105">
        <v>36</v>
      </c>
      <c r="B586" s="129" t="str">
        <f t="shared" si="15"/>
        <v xml:space="preserve">  9</v>
      </c>
      <c r="C586" s="107" t="s">
        <v>737</v>
      </c>
      <c r="D586" s="107" t="s">
        <v>495</v>
      </c>
      <c r="E586" s="120">
        <v>410965.98999998998</v>
      </c>
      <c r="F586" s="120" t="s">
        <v>251</v>
      </c>
      <c r="G586" s="120">
        <v>361758.65684170468</v>
      </c>
      <c r="H586" s="120" t="s">
        <v>251</v>
      </c>
      <c r="I586" s="120">
        <v>14758.103237623247</v>
      </c>
      <c r="J586" s="120">
        <v>34449.229920662045</v>
      </c>
      <c r="K586" s="120" t="s">
        <v>251</v>
      </c>
      <c r="L586" s="120" t="s">
        <v>251</v>
      </c>
      <c r="M586" s="120">
        <v>1.6190340537811811</v>
      </c>
      <c r="N586" s="120" t="s">
        <v>251</v>
      </c>
      <c r="O586" s="120">
        <v>34447.610886608265</v>
      </c>
      <c r="P586" s="120">
        <v>11022.236434907918</v>
      </c>
      <c r="Q586" s="120">
        <v>23425.374451700351</v>
      </c>
      <c r="R586" s="120"/>
      <c r="S586" s="121"/>
    </row>
    <row r="587" spans="1:19" ht="15">
      <c r="A587" s="105">
        <v>37</v>
      </c>
      <c r="B587" s="129" t="str">
        <f t="shared" si="15"/>
        <v xml:space="preserve">   </v>
      </c>
      <c r="C587" s="107" t="s">
        <v>738</v>
      </c>
      <c r="D587" s="107" t="s">
        <v>251</v>
      </c>
      <c r="E587" s="120">
        <v>2020016.7399999897</v>
      </c>
      <c r="F587" s="120" t="s">
        <v>251</v>
      </c>
      <c r="G587" s="120">
        <v>1812021.6068417046</v>
      </c>
      <c r="H587" s="120" t="s">
        <v>251</v>
      </c>
      <c r="I587" s="120">
        <v>173545.90323762322</v>
      </c>
      <c r="J587" s="120">
        <v>34449.229920662045</v>
      </c>
      <c r="K587" s="120" t="s">
        <v>251</v>
      </c>
      <c r="L587" s="120" t="s">
        <v>251</v>
      </c>
      <c r="M587" s="120">
        <v>1.6190340537811811</v>
      </c>
      <c r="N587" s="120" t="s">
        <v>251</v>
      </c>
      <c r="O587" s="120">
        <v>34447.610886608265</v>
      </c>
      <c r="P587" s="120">
        <v>11022.236434907918</v>
      </c>
      <c r="Q587" s="120">
        <v>23425.374451700351</v>
      </c>
      <c r="R587" s="120"/>
      <c r="S587" s="121"/>
    </row>
    <row r="588" spans="1:19" ht="15">
      <c r="A588" s="105" t="s">
        <v>251</v>
      </c>
      <c r="B588" s="129">
        <v>928</v>
      </c>
      <c r="C588" s="107" t="s">
        <v>251</v>
      </c>
      <c r="D588" s="107" t="s">
        <v>251</v>
      </c>
      <c r="E588" s="120" t="s">
        <v>251</v>
      </c>
      <c r="F588" s="120" t="s">
        <v>251</v>
      </c>
      <c r="G588" s="120" t="s">
        <v>251</v>
      </c>
      <c r="H588" s="120" t="s">
        <v>251</v>
      </c>
      <c r="I588" s="120" t="s">
        <v>251</v>
      </c>
      <c r="J588" s="120" t="s">
        <v>251</v>
      </c>
      <c r="K588" s="120" t="s">
        <v>251</v>
      </c>
      <c r="L588" s="120" t="s">
        <v>251</v>
      </c>
      <c r="M588" s="120" t="s">
        <v>251</v>
      </c>
      <c r="N588" s="120" t="s">
        <v>251</v>
      </c>
      <c r="O588" s="120" t="s">
        <v>251</v>
      </c>
      <c r="P588" s="120" t="s">
        <v>251</v>
      </c>
      <c r="Q588" s="120" t="s">
        <v>251</v>
      </c>
      <c r="R588" s="120"/>
      <c r="S588" s="121"/>
    </row>
    <row r="589" spans="1:19" ht="15">
      <c r="A589" s="105">
        <v>38</v>
      </c>
      <c r="B589" s="129" t="str">
        <f t="shared" si="15"/>
        <v>927</v>
      </c>
      <c r="C589" s="107" t="s">
        <v>739</v>
      </c>
      <c r="D589" s="107" t="s">
        <v>727</v>
      </c>
      <c r="E589" s="120">
        <v>2080.5</v>
      </c>
      <c r="F589" s="120" t="s">
        <v>251</v>
      </c>
      <c r="G589" s="120">
        <v>0</v>
      </c>
      <c r="H589" s="120" t="s">
        <v>251</v>
      </c>
      <c r="I589" s="120">
        <v>2080.5</v>
      </c>
      <c r="J589" s="120">
        <v>0</v>
      </c>
      <c r="K589" s="120" t="s">
        <v>251</v>
      </c>
      <c r="L589" s="120" t="s">
        <v>251</v>
      </c>
      <c r="M589" s="120">
        <v>0</v>
      </c>
      <c r="N589" s="120" t="s">
        <v>251</v>
      </c>
      <c r="O589" s="120">
        <v>0</v>
      </c>
      <c r="P589" s="120">
        <v>0</v>
      </c>
      <c r="Q589" s="120">
        <v>0</v>
      </c>
      <c r="R589" s="120"/>
      <c r="S589" s="121"/>
    </row>
    <row r="590" spans="1:19" ht="15">
      <c r="A590" s="105">
        <v>39</v>
      </c>
      <c r="B590" s="129" t="str">
        <f t="shared" si="15"/>
        <v>929</v>
      </c>
      <c r="C590" s="107" t="s">
        <v>726</v>
      </c>
      <c r="D590" s="107" t="s">
        <v>727</v>
      </c>
      <c r="E590" s="120">
        <v>-2080.5</v>
      </c>
      <c r="F590" s="120" t="s">
        <v>251</v>
      </c>
      <c r="G590" s="120">
        <v>0</v>
      </c>
      <c r="H590" s="120" t="s">
        <v>251</v>
      </c>
      <c r="I590" s="120">
        <v>-2080.5</v>
      </c>
      <c r="J590" s="120">
        <v>0</v>
      </c>
      <c r="K590" s="120" t="s">
        <v>251</v>
      </c>
      <c r="L590" s="120" t="s">
        <v>251</v>
      </c>
      <c r="M590" s="120">
        <v>0</v>
      </c>
      <c r="N590" s="120" t="s">
        <v>251</v>
      </c>
      <c r="O590" s="120">
        <v>0</v>
      </c>
      <c r="P590" s="120">
        <v>0</v>
      </c>
      <c r="Q590" s="120">
        <v>0</v>
      </c>
      <c r="R590" s="120"/>
      <c r="S590" s="121"/>
    </row>
    <row r="591" spans="1:19" ht="15">
      <c r="A591" s="105" t="s">
        <v>251</v>
      </c>
      <c r="B591" s="129" t="str">
        <f t="shared" si="15"/>
        <v/>
      </c>
      <c r="C591" s="107" t="s">
        <v>251</v>
      </c>
      <c r="D591" s="107" t="s">
        <v>251</v>
      </c>
      <c r="E591" s="120" t="s">
        <v>251</v>
      </c>
      <c r="F591" s="120" t="s">
        <v>251</v>
      </c>
      <c r="G591" s="120" t="s">
        <v>251</v>
      </c>
      <c r="H591" s="120" t="s">
        <v>251</v>
      </c>
      <c r="I591" s="120" t="s">
        <v>251</v>
      </c>
      <c r="J591" s="120" t="s">
        <v>251</v>
      </c>
      <c r="K591" s="120" t="s">
        <v>251</v>
      </c>
      <c r="L591" s="120" t="s">
        <v>251</v>
      </c>
      <c r="M591" s="120" t="s">
        <v>251</v>
      </c>
      <c r="N591" s="120" t="s">
        <v>251</v>
      </c>
      <c r="O591" s="120" t="s">
        <v>251</v>
      </c>
      <c r="P591" s="120" t="s">
        <v>251</v>
      </c>
      <c r="Q591" s="120" t="s">
        <v>251</v>
      </c>
      <c r="R591" s="120"/>
      <c r="S591" s="121"/>
    </row>
    <row r="592" spans="1:19" ht="15">
      <c r="A592" s="105">
        <v>40</v>
      </c>
      <c r="B592" s="105"/>
      <c r="C592" s="107" t="s">
        <v>741</v>
      </c>
      <c r="D592" s="107" t="s">
        <v>251</v>
      </c>
      <c r="E592" s="120">
        <v>112538108.14999989</v>
      </c>
      <c r="F592" s="120" t="s">
        <v>251</v>
      </c>
      <c r="G592" s="120">
        <v>101335594.68886064</v>
      </c>
      <c r="H592" s="120" t="s">
        <v>251</v>
      </c>
      <c r="I592" s="120">
        <v>5484167.9513253551</v>
      </c>
      <c r="J592" s="120">
        <v>5718345.5098138954</v>
      </c>
      <c r="K592" s="120" t="s">
        <v>251</v>
      </c>
      <c r="L592" s="120" t="s">
        <v>251</v>
      </c>
      <c r="M592" s="120">
        <v>7855.7803639306658</v>
      </c>
      <c r="N592" s="120" t="s">
        <v>251</v>
      </c>
      <c r="O592" s="120">
        <v>5710489.7294499651</v>
      </c>
      <c r="P592" s="120">
        <v>1817747.5535755211</v>
      </c>
      <c r="Q592" s="120">
        <v>3892742.1758744437</v>
      </c>
      <c r="R592" s="120"/>
      <c r="S592" s="121"/>
    </row>
    <row r="593" spans="1:19" ht="15">
      <c r="A593" s="105" t="s">
        <v>251</v>
      </c>
      <c r="B593" s="105"/>
      <c r="C593" s="107" t="s">
        <v>251</v>
      </c>
      <c r="D593" s="107" t="s">
        <v>251</v>
      </c>
      <c r="E593" s="120" t="s">
        <v>251</v>
      </c>
      <c r="F593" s="120" t="s">
        <v>251</v>
      </c>
      <c r="G593" s="120" t="s">
        <v>251</v>
      </c>
      <c r="H593" s="120" t="s">
        <v>251</v>
      </c>
      <c r="I593" s="120" t="s">
        <v>251</v>
      </c>
      <c r="J593" s="120" t="s">
        <v>251</v>
      </c>
      <c r="K593" s="120" t="s">
        <v>251</v>
      </c>
      <c r="L593" s="120" t="s">
        <v>251</v>
      </c>
      <c r="M593" s="120" t="s">
        <v>251</v>
      </c>
      <c r="N593" s="120" t="s">
        <v>251</v>
      </c>
      <c r="O593" s="120" t="s">
        <v>251</v>
      </c>
      <c r="P593" s="120" t="s">
        <v>251</v>
      </c>
      <c r="Q593" s="120" t="s">
        <v>251</v>
      </c>
      <c r="R593" s="120"/>
      <c r="S593" s="121"/>
    </row>
    <row r="594" spans="1:19" ht="15">
      <c r="A594" s="105">
        <v>41</v>
      </c>
      <c r="B594" s="105"/>
      <c r="C594" s="107" t="s">
        <v>742</v>
      </c>
      <c r="D594" s="107" t="s">
        <v>251</v>
      </c>
      <c r="E594" s="120">
        <v>973853620.35696399</v>
      </c>
      <c r="F594" s="120" t="s">
        <v>251</v>
      </c>
      <c r="G594" s="120">
        <v>867587334.52102387</v>
      </c>
      <c r="H594" s="120" t="s">
        <v>251</v>
      </c>
      <c r="I594" s="120">
        <v>40754588.858291954</v>
      </c>
      <c r="J594" s="120">
        <v>65511696.977648161</v>
      </c>
      <c r="K594" s="120" t="s">
        <v>251</v>
      </c>
      <c r="L594" s="120" t="s">
        <v>251</v>
      </c>
      <c r="M594" s="120">
        <v>25253.671629706896</v>
      </c>
      <c r="N594" s="120" t="s">
        <v>251</v>
      </c>
      <c r="O594" s="120">
        <v>65486443.306018457</v>
      </c>
      <c r="P594" s="120">
        <v>20873969.030651819</v>
      </c>
      <c r="Q594" s="120">
        <v>44612474.275366634</v>
      </c>
      <c r="R594" s="120"/>
      <c r="S594" s="121"/>
    </row>
    <row r="595" spans="1:19" ht="15">
      <c r="A595" s="105"/>
      <c r="B595" s="105"/>
      <c r="C595" s="107"/>
      <c r="D595" s="107"/>
      <c r="E595" s="120"/>
      <c r="F595" s="120"/>
      <c r="G595" s="120"/>
      <c r="H595" s="120"/>
      <c r="I595" s="120"/>
      <c r="J595" s="120"/>
      <c r="K595" s="120"/>
      <c r="L595" s="120"/>
      <c r="M595" s="120"/>
      <c r="N595" s="120"/>
      <c r="O595" s="120"/>
      <c r="P595" s="120"/>
      <c r="Q595" s="120"/>
      <c r="R595" s="120"/>
      <c r="S595" s="121"/>
    </row>
    <row r="596" spans="1:19" ht="15">
      <c r="A596" s="105"/>
      <c r="B596" s="105"/>
      <c r="C596" s="107"/>
      <c r="D596" s="107"/>
      <c r="E596" s="120"/>
      <c r="F596" s="120"/>
      <c r="G596" s="120"/>
      <c r="H596" s="120"/>
      <c r="I596" s="120"/>
      <c r="J596" s="120"/>
      <c r="K596" s="120"/>
      <c r="L596" s="120"/>
      <c r="M596" s="120"/>
      <c r="N596" s="120"/>
      <c r="O596" s="120"/>
      <c r="P596" s="120"/>
      <c r="Q596" s="120"/>
      <c r="R596" s="120"/>
      <c r="S596" s="121"/>
    </row>
    <row r="597" spans="1:19" ht="15">
      <c r="A597" s="105" t="s">
        <v>251</v>
      </c>
      <c r="B597" s="105"/>
      <c r="C597" s="107" t="s">
        <v>743</v>
      </c>
      <c r="D597" s="107" t="s">
        <v>251</v>
      </c>
      <c r="E597" s="120" t="s">
        <v>251</v>
      </c>
      <c r="F597" s="120" t="s">
        <v>251</v>
      </c>
      <c r="G597" s="120" t="s">
        <v>251</v>
      </c>
      <c r="H597" s="120" t="s">
        <v>251</v>
      </c>
      <c r="I597" s="120" t="s">
        <v>251</v>
      </c>
      <c r="J597" s="120" t="s">
        <v>251</v>
      </c>
      <c r="K597" s="120" t="s">
        <v>251</v>
      </c>
      <c r="L597" s="120" t="s">
        <v>251</v>
      </c>
      <c r="M597" s="120" t="s">
        <v>251</v>
      </c>
      <c r="N597" s="120" t="s">
        <v>251</v>
      </c>
      <c r="O597" s="120" t="s">
        <v>251</v>
      </c>
      <c r="P597" s="120" t="s">
        <v>251</v>
      </c>
      <c r="Q597" s="120" t="s">
        <v>251</v>
      </c>
      <c r="R597" s="120"/>
      <c r="S597" s="121"/>
    </row>
    <row r="598" spans="1:19" ht="15">
      <c r="A598" s="105" t="s">
        <v>251</v>
      </c>
      <c r="B598" s="105"/>
      <c r="C598" s="107" t="s">
        <v>251</v>
      </c>
      <c r="D598" s="107" t="s">
        <v>251</v>
      </c>
      <c r="E598" s="120" t="s">
        <v>251</v>
      </c>
      <c r="F598" s="120" t="s">
        <v>251</v>
      </c>
      <c r="G598" s="120" t="s">
        <v>251</v>
      </c>
      <c r="H598" s="120" t="s">
        <v>251</v>
      </c>
      <c r="I598" s="120" t="s">
        <v>251</v>
      </c>
      <c r="J598" s="120" t="s">
        <v>251</v>
      </c>
      <c r="K598" s="120" t="s">
        <v>251</v>
      </c>
      <c r="L598" s="120" t="s">
        <v>251</v>
      </c>
      <c r="M598" s="120" t="s">
        <v>251</v>
      </c>
      <c r="N598" s="120" t="s">
        <v>251</v>
      </c>
      <c r="O598" s="120" t="s">
        <v>251</v>
      </c>
      <c r="P598" s="120" t="s">
        <v>251</v>
      </c>
      <c r="Q598" s="120" t="s">
        <v>251</v>
      </c>
      <c r="R598" s="120"/>
      <c r="S598" s="121"/>
    </row>
    <row r="599" spans="1:19" ht="15">
      <c r="A599" s="105" t="s">
        <v>251</v>
      </c>
      <c r="B599" s="105"/>
      <c r="C599" s="107" t="s">
        <v>744</v>
      </c>
      <c r="D599" s="107" t="s">
        <v>251</v>
      </c>
      <c r="E599" s="120" t="s">
        <v>251</v>
      </c>
      <c r="F599" s="120" t="s">
        <v>251</v>
      </c>
      <c r="G599" s="120" t="s">
        <v>251</v>
      </c>
      <c r="H599" s="120" t="s">
        <v>251</v>
      </c>
      <c r="I599" s="120" t="s">
        <v>251</v>
      </c>
      <c r="J599" s="120" t="s">
        <v>251</v>
      </c>
      <c r="K599" s="120" t="s">
        <v>251</v>
      </c>
      <c r="L599" s="120" t="s">
        <v>251</v>
      </c>
      <c r="M599" s="120" t="s">
        <v>251</v>
      </c>
      <c r="N599" s="120" t="s">
        <v>251</v>
      </c>
      <c r="O599" s="120" t="s">
        <v>251</v>
      </c>
      <c r="P599" s="120" t="s">
        <v>251</v>
      </c>
      <c r="Q599" s="120" t="s">
        <v>251</v>
      </c>
      <c r="R599" s="120"/>
      <c r="S599" s="121"/>
    </row>
    <row r="600" spans="1:19" ht="15">
      <c r="A600" s="105" t="s">
        <v>251</v>
      </c>
      <c r="B600" s="105"/>
      <c r="C600" s="107" t="s">
        <v>251</v>
      </c>
      <c r="D600" s="107" t="s">
        <v>251</v>
      </c>
      <c r="E600" s="120" t="s">
        <v>251</v>
      </c>
      <c r="F600" s="120" t="s">
        <v>251</v>
      </c>
      <c r="G600" s="120" t="s">
        <v>251</v>
      </c>
      <c r="H600" s="120" t="s">
        <v>251</v>
      </c>
      <c r="I600" s="120" t="s">
        <v>251</v>
      </c>
      <c r="J600" s="120" t="s">
        <v>251</v>
      </c>
      <c r="K600" s="120" t="s">
        <v>251</v>
      </c>
      <c r="L600" s="120" t="s">
        <v>251</v>
      </c>
      <c r="M600" s="120" t="s">
        <v>251</v>
      </c>
      <c r="N600" s="120" t="s">
        <v>251</v>
      </c>
      <c r="O600" s="120" t="s">
        <v>251</v>
      </c>
      <c r="P600" s="120" t="s">
        <v>251</v>
      </c>
      <c r="Q600" s="120" t="s">
        <v>251</v>
      </c>
      <c r="R600" s="120"/>
      <c r="S600" s="121"/>
    </row>
    <row r="601" spans="1:19" ht="15">
      <c r="A601" s="105" t="s">
        <v>251</v>
      </c>
      <c r="B601" s="105"/>
      <c r="C601" s="107" t="s">
        <v>441</v>
      </c>
      <c r="D601" s="107" t="s">
        <v>251</v>
      </c>
      <c r="E601" s="120" t="s">
        <v>251</v>
      </c>
      <c r="F601" s="120" t="s">
        <v>251</v>
      </c>
      <c r="G601" s="120" t="s">
        <v>251</v>
      </c>
      <c r="H601" s="120" t="s">
        <v>251</v>
      </c>
      <c r="I601" s="120" t="s">
        <v>251</v>
      </c>
      <c r="J601" s="120" t="s">
        <v>251</v>
      </c>
      <c r="K601" s="120" t="s">
        <v>251</v>
      </c>
      <c r="L601" s="120" t="s">
        <v>251</v>
      </c>
      <c r="M601" s="120" t="s">
        <v>251</v>
      </c>
      <c r="N601" s="120" t="s">
        <v>251</v>
      </c>
      <c r="O601" s="120" t="s">
        <v>251</v>
      </c>
      <c r="P601" s="120" t="s">
        <v>251</v>
      </c>
      <c r="Q601" s="120" t="s">
        <v>251</v>
      </c>
      <c r="R601" s="120"/>
      <c r="S601" s="121"/>
    </row>
    <row r="602" spans="1:19" ht="15">
      <c r="A602" s="105" t="s">
        <v>251</v>
      </c>
      <c r="B602" s="105"/>
      <c r="C602" s="107" t="s">
        <v>442</v>
      </c>
      <c r="D602" s="107" t="s">
        <v>251</v>
      </c>
      <c r="E602" s="120" t="s">
        <v>251</v>
      </c>
      <c r="F602" s="120" t="s">
        <v>251</v>
      </c>
      <c r="G602" s="120" t="s">
        <v>251</v>
      </c>
      <c r="H602" s="120" t="s">
        <v>251</v>
      </c>
      <c r="I602" s="120" t="s">
        <v>251</v>
      </c>
      <c r="J602" s="120" t="s">
        <v>251</v>
      </c>
      <c r="K602" s="120" t="s">
        <v>251</v>
      </c>
      <c r="L602" s="120" t="s">
        <v>251</v>
      </c>
      <c r="M602" s="120" t="s">
        <v>251</v>
      </c>
      <c r="N602" s="120" t="s">
        <v>251</v>
      </c>
      <c r="O602" s="120" t="s">
        <v>251</v>
      </c>
      <c r="P602" s="120" t="s">
        <v>251</v>
      </c>
      <c r="Q602" s="120" t="s">
        <v>251</v>
      </c>
      <c r="R602" s="120"/>
      <c r="S602" s="121"/>
    </row>
    <row r="603" spans="1:19" ht="15">
      <c r="A603" s="105">
        <v>1</v>
      </c>
      <c r="B603" s="105"/>
      <c r="C603" s="107" t="s">
        <v>443</v>
      </c>
      <c r="D603" s="107" t="s">
        <v>444</v>
      </c>
      <c r="E603" s="120">
        <v>133731139.44618559</v>
      </c>
      <c r="F603" s="120" t="s">
        <v>251</v>
      </c>
      <c r="G603" s="120">
        <v>117246811.32507834</v>
      </c>
      <c r="H603" s="120" t="s">
        <v>251</v>
      </c>
      <c r="I603" s="120">
        <v>5368875.7816052586</v>
      </c>
      <c r="J603" s="120">
        <v>11115452.339501999</v>
      </c>
      <c r="K603" s="120" t="s">
        <v>251</v>
      </c>
      <c r="L603" s="120" t="s">
        <v>251</v>
      </c>
      <c r="M603" s="120">
        <v>376.34593094009864</v>
      </c>
      <c r="N603" s="120" t="s">
        <v>251</v>
      </c>
      <c r="O603" s="120">
        <v>11115075.99357106</v>
      </c>
      <c r="P603" s="120">
        <v>3428812.5076090503</v>
      </c>
      <c r="Q603" s="120">
        <v>7686263.48596201</v>
      </c>
      <c r="R603" s="120"/>
      <c r="S603" s="121"/>
    </row>
    <row r="604" spans="1:19" ht="15">
      <c r="A604" s="105">
        <v>2</v>
      </c>
      <c r="B604" s="105"/>
      <c r="C604" s="107" t="s">
        <v>445</v>
      </c>
      <c r="D604" s="107" t="s">
        <v>312</v>
      </c>
      <c r="E604" s="120">
        <v>0</v>
      </c>
      <c r="F604" s="120" t="s">
        <v>251</v>
      </c>
      <c r="G604" s="120">
        <v>0</v>
      </c>
      <c r="H604" s="120" t="s">
        <v>251</v>
      </c>
      <c r="I604" s="120">
        <v>0</v>
      </c>
      <c r="J604" s="120">
        <v>0</v>
      </c>
      <c r="K604" s="120" t="s">
        <v>251</v>
      </c>
      <c r="L604" s="120" t="s">
        <v>251</v>
      </c>
      <c r="M604" s="120">
        <v>0</v>
      </c>
      <c r="N604" s="120" t="s">
        <v>251</v>
      </c>
      <c r="O604" s="120">
        <v>0</v>
      </c>
      <c r="P604" s="120">
        <v>0</v>
      </c>
      <c r="Q604" s="120">
        <v>0</v>
      </c>
      <c r="R604" s="120"/>
      <c r="S604" s="121"/>
    </row>
    <row r="605" spans="1:19" ht="15">
      <c r="A605" s="105">
        <v>3</v>
      </c>
      <c r="B605" s="105"/>
      <c r="C605" s="107" t="s">
        <v>446</v>
      </c>
      <c r="D605" s="107" t="s">
        <v>314</v>
      </c>
      <c r="E605" s="120">
        <v>690309.50000000023</v>
      </c>
      <c r="F605" s="120" t="s">
        <v>251</v>
      </c>
      <c r="G605" s="120">
        <v>0</v>
      </c>
      <c r="H605" s="120" t="s">
        <v>251</v>
      </c>
      <c r="I605" s="120">
        <v>0</v>
      </c>
      <c r="J605" s="120">
        <v>690309.50000000023</v>
      </c>
      <c r="K605" s="120" t="s">
        <v>251</v>
      </c>
      <c r="L605" s="120" t="s">
        <v>251</v>
      </c>
      <c r="M605" s="120">
        <v>0</v>
      </c>
      <c r="N605" s="120" t="s">
        <v>251</v>
      </c>
      <c r="O605" s="120">
        <v>690309.50000000023</v>
      </c>
      <c r="P605" s="120">
        <v>212948.777776273</v>
      </c>
      <c r="Q605" s="120">
        <v>477360.72222372721</v>
      </c>
      <c r="R605" s="120"/>
      <c r="S605" s="121"/>
    </row>
    <row r="606" spans="1:19" ht="15">
      <c r="A606" s="105">
        <v>4</v>
      </c>
      <c r="B606" s="105"/>
      <c r="C606" s="107" t="s">
        <v>447</v>
      </c>
      <c r="D606" s="107" t="s">
        <v>251</v>
      </c>
      <c r="E606" s="120">
        <v>134421448.94618559</v>
      </c>
      <c r="F606" s="120" t="s">
        <v>251</v>
      </c>
      <c r="G606" s="120">
        <v>117246811.32507834</v>
      </c>
      <c r="H606" s="120" t="s">
        <v>251</v>
      </c>
      <c r="I606" s="120">
        <v>5368875.7816052586</v>
      </c>
      <c r="J606" s="120">
        <v>11805761.839501999</v>
      </c>
      <c r="K606" s="120" t="s">
        <v>251</v>
      </c>
      <c r="L606" s="120" t="s">
        <v>251</v>
      </c>
      <c r="M606" s="120">
        <v>376.34593094009864</v>
      </c>
      <c r="N606" s="120" t="s">
        <v>251</v>
      </c>
      <c r="O606" s="120">
        <v>11805385.49357106</v>
      </c>
      <c r="P606" s="120">
        <v>3641761.2853853232</v>
      </c>
      <c r="Q606" s="120">
        <v>8163624.208185737</v>
      </c>
      <c r="R606" s="120"/>
      <c r="S606" s="121"/>
    </row>
    <row r="607" spans="1:19" ht="15">
      <c r="A607" s="105" t="s">
        <v>251</v>
      </c>
      <c r="B607" s="105"/>
      <c r="C607" s="107" t="s">
        <v>251</v>
      </c>
      <c r="D607" s="107" t="s">
        <v>251</v>
      </c>
      <c r="E607" s="120" t="s">
        <v>251</v>
      </c>
      <c r="F607" s="120" t="s">
        <v>251</v>
      </c>
      <c r="G607" s="120" t="s">
        <v>251</v>
      </c>
      <c r="H607" s="120" t="s">
        <v>251</v>
      </c>
      <c r="I607" s="120" t="s">
        <v>251</v>
      </c>
      <c r="J607" s="120" t="s">
        <v>251</v>
      </c>
      <c r="K607" s="120" t="s">
        <v>251</v>
      </c>
      <c r="L607" s="120" t="s">
        <v>251</v>
      </c>
      <c r="M607" s="120" t="s">
        <v>251</v>
      </c>
      <c r="N607" s="120" t="s">
        <v>251</v>
      </c>
      <c r="O607" s="120" t="s">
        <v>251</v>
      </c>
      <c r="P607" s="120" t="s">
        <v>251</v>
      </c>
      <c r="Q607" s="120" t="s">
        <v>251</v>
      </c>
      <c r="R607" s="120"/>
      <c r="S607" s="121"/>
    </row>
    <row r="608" spans="1:19" ht="15">
      <c r="A608" s="105" t="s">
        <v>251</v>
      </c>
      <c r="B608" s="105"/>
      <c r="C608" s="107" t="s">
        <v>448</v>
      </c>
      <c r="D608" s="107" t="s">
        <v>251</v>
      </c>
      <c r="E608" s="120" t="s">
        <v>251</v>
      </c>
      <c r="F608" s="120" t="s">
        <v>251</v>
      </c>
      <c r="G608" s="120" t="s">
        <v>251</v>
      </c>
      <c r="H608" s="120" t="s">
        <v>251</v>
      </c>
      <c r="I608" s="120" t="s">
        <v>251</v>
      </c>
      <c r="J608" s="120" t="s">
        <v>251</v>
      </c>
      <c r="K608" s="120" t="s">
        <v>251</v>
      </c>
      <c r="L608" s="120" t="s">
        <v>251</v>
      </c>
      <c r="M608" s="120" t="s">
        <v>251</v>
      </c>
      <c r="N608" s="120" t="s">
        <v>251</v>
      </c>
      <c r="O608" s="120" t="s">
        <v>251</v>
      </c>
      <c r="P608" s="120" t="s">
        <v>251</v>
      </c>
      <c r="Q608" s="120" t="s">
        <v>251</v>
      </c>
      <c r="R608" s="120"/>
      <c r="S608" s="121"/>
    </row>
    <row r="609" spans="1:19" ht="15">
      <c r="A609" s="105">
        <v>5</v>
      </c>
      <c r="B609" s="105"/>
      <c r="C609" s="107" t="s">
        <v>443</v>
      </c>
      <c r="D609" s="107" t="s">
        <v>449</v>
      </c>
      <c r="E609" s="120">
        <v>1268015.28</v>
      </c>
      <c r="F609" s="120" t="s">
        <v>251</v>
      </c>
      <c r="G609" s="120">
        <v>1111713.7632054843</v>
      </c>
      <c r="H609" s="120" t="s">
        <v>251</v>
      </c>
      <c r="I609" s="120">
        <v>50906.741359494117</v>
      </c>
      <c r="J609" s="120">
        <v>105394.77543502157</v>
      </c>
      <c r="K609" s="120" t="s">
        <v>251</v>
      </c>
      <c r="L609" s="120" t="s">
        <v>251</v>
      </c>
      <c r="M609" s="120">
        <v>3.5684463093197798</v>
      </c>
      <c r="N609" s="120" t="s">
        <v>251</v>
      </c>
      <c r="O609" s="120">
        <v>105391.20698871225</v>
      </c>
      <c r="P609" s="120">
        <v>32511.40063495066</v>
      </c>
      <c r="Q609" s="120">
        <v>72879.806353761582</v>
      </c>
      <c r="R609" s="120"/>
      <c r="S609" s="121"/>
    </row>
    <row r="610" spans="1:19" ht="15">
      <c r="A610" s="105">
        <v>6</v>
      </c>
      <c r="B610" s="105"/>
      <c r="C610" s="107" t="s">
        <v>445</v>
      </c>
      <c r="D610" s="107" t="s">
        <v>312</v>
      </c>
      <c r="E610" s="120">
        <v>0</v>
      </c>
      <c r="F610" s="120" t="s">
        <v>251</v>
      </c>
      <c r="G610" s="120">
        <v>0</v>
      </c>
      <c r="H610" s="120" t="s">
        <v>251</v>
      </c>
      <c r="I610" s="120">
        <v>0</v>
      </c>
      <c r="J610" s="120">
        <v>0</v>
      </c>
      <c r="K610" s="120" t="s">
        <v>251</v>
      </c>
      <c r="L610" s="120" t="s">
        <v>251</v>
      </c>
      <c r="M610" s="120">
        <v>0</v>
      </c>
      <c r="N610" s="120" t="s">
        <v>251</v>
      </c>
      <c r="O610" s="120">
        <v>0</v>
      </c>
      <c r="P610" s="120">
        <v>0</v>
      </c>
      <c r="Q610" s="120">
        <v>0</v>
      </c>
      <c r="R610" s="120"/>
      <c r="S610" s="121"/>
    </row>
    <row r="611" spans="1:19" ht="15">
      <c r="A611" s="105">
        <v>7</v>
      </c>
      <c r="B611" s="105"/>
      <c r="C611" s="107" t="s">
        <v>446</v>
      </c>
      <c r="D611" s="107" t="s">
        <v>314</v>
      </c>
      <c r="E611" s="120">
        <v>3212.9999999999991</v>
      </c>
      <c r="F611" s="120" t="s">
        <v>251</v>
      </c>
      <c r="G611" s="120">
        <v>0</v>
      </c>
      <c r="H611" s="120" t="s">
        <v>251</v>
      </c>
      <c r="I611" s="120">
        <v>0</v>
      </c>
      <c r="J611" s="120">
        <v>3212.9999999999991</v>
      </c>
      <c r="K611" s="120" t="s">
        <v>251</v>
      </c>
      <c r="L611" s="120" t="s">
        <v>251</v>
      </c>
      <c r="M611" s="120">
        <v>0</v>
      </c>
      <c r="N611" s="120" t="s">
        <v>251</v>
      </c>
      <c r="O611" s="120">
        <v>3212.9999999999991</v>
      </c>
      <c r="P611" s="120">
        <v>991.15602928130761</v>
      </c>
      <c r="Q611" s="120">
        <v>2221.8439707186917</v>
      </c>
      <c r="R611" s="120"/>
      <c r="S611" s="121"/>
    </row>
    <row r="612" spans="1:19" ht="15">
      <c r="A612" s="105">
        <v>8</v>
      </c>
      <c r="B612" s="105"/>
      <c r="C612" s="107" t="s">
        <v>450</v>
      </c>
      <c r="D612" s="107" t="s">
        <v>251</v>
      </c>
      <c r="E612" s="120">
        <v>1271228.28</v>
      </c>
      <c r="F612" s="120" t="s">
        <v>251</v>
      </c>
      <c r="G612" s="120">
        <v>1111713.7632054843</v>
      </c>
      <c r="H612" s="120" t="s">
        <v>251</v>
      </c>
      <c r="I612" s="120">
        <v>50906.741359494117</v>
      </c>
      <c r="J612" s="120">
        <v>108607.77543502157</v>
      </c>
      <c r="K612" s="120" t="s">
        <v>251</v>
      </c>
      <c r="L612" s="120" t="s">
        <v>251</v>
      </c>
      <c r="M612" s="120">
        <v>3.5684463093197798</v>
      </c>
      <c r="N612" s="120" t="s">
        <v>251</v>
      </c>
      <c r="O612" s="120">
        <v>108604.20698871225</v>
      </c>
      <c r="P612" s="120">
        <v>33502.556664231968</v>
      </c>
      <c r="Q612" s="120">
        <v>75101.650324480273</v>
      </c>
      <c r="R612" s="120"/>
      <c r="S612" s="121"/>
    </row>
    <row r="613" spans="1:19" ht="15">
      <c r="A613" s="105" t="s">
        <v>251</v>
      </c>
      <c r="B613" s="105"/>
      <c r="C613" s="107" t="s">
        <v>251</v>
      </c>
      <c r="D613" s="107" t="s">
        <v>251</v>
      </c>
      <c r="E613" s="120" t="s">
        <v>251</v>
      </c>
      <c r="F613" s="120" t="s">
        <v>251</v>
      </c>
      <c r="G613" s="120" t="s">
        <v>251</v>
      </c>
      <c r="H613" s="120" t="s">
        <v>251</v>
      </c>
      <c r="I613" s="120" t="s">
        <v>251</v>
      </c>
      <c r="J613" s="120" t="s">
        <v>251</v>
      </c>
      <c r="K613" s="120" t="s">
        <v>251</v>
      </c>
      <c r="L613" s="120" t="s">
        <v>251</v>
      </c>
      <c r="M613" s="120" t="s">
        <v>251</v>
      </c>
      <c r="N613" s="120" t="s">
        <v>251</v>
      </c>
      <c r="O613" s="120" t="s">
        <v>251</v>
      </c>
      <c r="P613" s="120" t="s">
        <v>251</v>
      </c>
      <c r="Q613" s="120" t="s">
        <v>251</v>
      </c>
      <c r="R613" s="120"/>
      <c r="S613" s="121"/>
    </row>
    <row r="614" spans="1:19" ht="15">
      <c r="A614" s="105" t="s">
        <v>251</v>
      </c>
      <c r="B614" s="105"/>
      <c r="C614" s="107" t="s">
        <v>451</v>
      </c>
      <c r="D614" s="107" t="s">
        <v>251</v>
      </c>
      <c r="E614" s="120" t="s">
        <v>251</v>
      </c>
      <c r="F614" s="120" t="s">
        <v>251</v>
      </c>
      <c r="G614" s="120" t="s">
        <v>251</v>
      </c>
      <c r="H614" s="120" t="s">
        <v>251</v>
      </c>
      <c r="I614" s="120" t="s">
        <v>251</v>
      </c>
      <c r="J614" s="120" t="s">
        <v>251</v>
      </c>
      <c r="K614" s="120" t="s">
        <v>251</v>
      </c>
      <c r="L614" s="120" t="s">
        <v>251</v>
      </c>
      <c r="M614" s="120" t="s">
        <v>251</v>
      </c>
      <c r="N614" s="120" t="s">
        <v>251</v>
      </c>
      <c r="O614" s="120" t="s">
        <v>251</v>
      </c>
      <c r="P614" s="120" t="s">
        <v>251</v>
      </c>
      <c r="Q614" s="120" t="s">
        <v>251</v>
      </c>
      <c r="R614" s="120"/>
      <c r="S614" s="121"/>
    </row>
    <row r="615" spans="1:19" ht="15">
      <c r="A615" s="105">
        <v>9</v>
      </c>
      <c r="B615" s="105"/>
      <c r="C615" s="107" t="s">
        <v>443</v>
      </c>
      <c r="D615" s="107" t="s">
        <v>452</v>
      </c>
      <c r="E615" s="120">
        <v>40110431.319999963</v>
      </c>
      <c r="F615" s="120" t="s">
        <v>251</v>
      </c>
      <c r="G615" s="120">
        <v>35166231.23544085</v>
      </c>
      <c r="H615" s="120" t="s">
        <v>251</v>
      </c>
      <c r="I615" s="120">
        <v>1610305.0059656932</v>
      </c>
      <c r="J615" s="120">
        <v>3333895.0785934147</v>
      </c>
      <c r="K615" s="120" t="s">
        <v>251</v>
      </c>
      <c r="L615" s="120" t="s">
        <v>251</v>
      </c>
      <c r="M615" s="120">
        <v>112.87870333004059</v>
      </c>
      <c r="N615" s="120" t="s">
        <v>251</v>
      </c>
      <c r="O615" s="120">
        <v>3333782.1998900846</v>
      </c>
      <c r="P615" s="120">
        <v>1028415.2902993339</v>
      </c>
      <c r="Q615" s="120">
        <v>2305366.9095907509</v>
      </c>
      <c r="R615" s="120"/>
      <c r="S615" s="121"/>
    </row>
    <row r="616" spans="1:19" ht="15">
      <c r="A616" s="105">
        <v>10</v>
      </c>
      <c r="B616" s="105"/>
      <c r="C616" s="107" t="s">
        <v>445</v>
      </c>
      <c r="D616" s="107" t="s">
        <v>312</v>
      </c>
      <c r="E616" s="120">
        <v>93.999999999999972</v>
      </c>
      <c r="F616" s="120" t="s">
        <v>251</v>
      </c>
      <c r="G616" s="120">
        <v>0</v>
      </c>
      <c r="H616" s="120" t="s">
        <v>251</v>
      </c>
      <c r="I616" s="120">
        <v>30.616100456620991</v>
      </c>
      <c r="J616" s="120">
        <v>63.383899543378973</v>
      </c>
      <c r="K616" s="120" t="s">
        <v>251</v>
      </c>
      <c r="L616" s="120" t="s">
        <v>251</v>
      </c>
      <c r="M616" s="120">
        <v>0</v>
      </c>
      <c r="N616" s="120" t="s">
        <v>251</v>
      </c>
      <c r="O616" s="120">
        <v>63.383899543378973</v>
      </c>
      <c r="P616" s="120">
        <v>19.552858447488578</v>
      </c>
      <c r="Q616" s="120">
        <v>43.831041095890392</v>
      </c>
      <c r="R616" s="120"/>
      <c r="S616" s="121"/>
    </row>
    <row r="617" spans="1:19" ht="15">
      <c r="A617" s="105">
        <v>11</v>
      </c>
      <c r="B617" s="105"/>
      <c r="C617" s="107" t="s">
        <v>446</v>
      </c>
      <c r="D617" s="107" t="s">
        <v>314</v>
      </c>
      <c r="E617" s="120">
        <v>184266.00000000006</v>
      </c>
      <c r="F617" s="120" t="s">
        <v>251</v>
      </c>
      <c r="G617" s="120">
        <v>0</v>
      </c>
      <c r="H617" s="120" t="s">
        <v>251</v>
      </c>
      <c r="I617" s="120">
        <v>0</v>
      </c>
      <c r="J617" s="120">
        <v>184266.00000000006</v>
      </c>
      <c r="K617" s="120" t="s">
        <v>251</v>
      </c>
      <c r="L617" s="120" t="s">
        <v>251</v>
      </c>
      <c r="M617" s="120">
        <v>0</v>
      </c>
      <c r="N617" s="120" t="s">
        <v>251</v>
      </c>
      <c r="O617" s="120">
        <v>184266.00000000006</v>
      </c>
      <c r="P617" s="120">
        <v>56842.937096654066</v>
      </c>
      <c r="Q617" s="120">
        <v>127423.06290334598</v>
      </c>
      <c r="R617" s="120"/>
      <c r="S617" s="121"/>
    </row>
    <row r="618" spans="1:19" ht="15">
      <c r="A618" s="105">
        <v>12</v>
      </c>
      <c r="B618" s="105"/>
      <c r="C618" s="107" t="s">
        <v>453</v>
      </c>
      <c r="D618" s="107" t="s">
        <v>251</v>
      </c>
      <c r="E618" s="120">
        <v>40294791.319999956</v>
      </c>
      <c r="F618" s="120" t="s">
        <v>251</v>
      </c>
      <c r="G618" s="120">
        <v>35166231.23544085</v>
      </c>
      <c r="H618" s="120" t="s">
        <v>251</v>
      </c>
      <c r="I618" s="120">
        <v>1610335.6220661497</v>
      </c>
      <c r="J618" s="120">
        <v>3518224.4624929582</v>
      </c>
      <c r="K618" s="120" t="s">
        <v>251</v>
      </c>
      <c r="L618" s="120" t="s">
        <v>251</v>
      </c>
      <c r="M618" s="120">
        <v>112.87870333004059</v>
      </c>
      <c r="N618" s="120" t="s">
        <v>251</v>
      </c>
      <c r="O618" s="120">
        <v>3518111.583789628</v>
      </c>
      <c r="P618" s="120">
        <v>1085277.7802544355</v>
      </c>
      <c r="Q618" s="120">
        <v>2432833.8035351927</v>
      </c>
      <c r="R618" s="120"/>
      <c r="S618" s="121"/>
    </row>
    <row r="619" spans="1:19" ht="15">
      <c r="A619" s="105" t="s">
        <v>251</v>
      </c>
      <c r="B619" s="105"/>
      <c r="C619" s="107" t="s">
        <v>251</v>
      </c>
      <c r="D619" s="107" t="s">
        <v>251</v>
      </c>
      <c r="E619" s="120" t="s">
        <v>251</v>
      </c>
      <c r="F619" s="120" t="s">
        <v>251</v>
      </c>
      <c r="G619" s="120" t="s">
        <v>251</v>
      </c>
      <c r="H619" s="120" t="s">
        <v>251</v>
      </c>
      <c r="I619" s="120" t="s">
        <v>251</v>
      </c>
      <c r="J619" s="120" t="s">
        <v>251</v>
      </c>
      <c r="K619" s="120" t="s">
        <v>251</v>
      </c>
      <c r="L619" s="120" t="s">
        <v>251</v>
      </c>
      <c r="M619" s="120" t="s">
        <v>251</v>
      </c>
      <c r="N619" s="120" t="s">
        <v>251</v>
      </c>
      <c r="O619" s="120" t="s">
        <v>251</v>
      </c>
      <c r="P619" s="120" t="s">
        <v>251</v>
      </c>
      <c r="Q619" s="120" t="s">
        <v>251</v>
      </c>
      <c r="R619" s="120"/>
      <c r="S619" s="121"/>
    </row>
    <row r="620" spans="1:19" ht="15">
      <c r="A620" s="105">
        <v>13</v>
      </c>
      <c r="B620" s="105"/>
      <c r="C620" s="107" t="s">
        <v>454</v>
      </c>
      <c r="D620" s="107" t="s">
        <v>251</v>
      </c>
      <c r="E620" s="120">
        <v>175987468.54618558</v>
      </c>
      <c r="F620" s="120" t="s">
        <v>251</v>
      </c>
      <c r="G620" s="120">
        <v>153524756.32372469</v>
      </c>
      <c r="H620" s="120" t="s">
        <v>251</v>
      </c>
      <c r="I620" s="120">
        <v>7030118.1450309018</v>
      </c>
      <c r="J620" s="120">
        <v>15432594.07742998</v>
      </c>
      <c r="K620" s="120" t="s">
        <v>251</v>
      </c>
      <c r="L620" s="120" t="s">
        <v>251</v>
      </c>
      <c r="M620" s="120">
        <v>492.793080579459</v>
      </c>
      <c r="N620" s="120" t="s">
        <v>251</v>
      </c>
      <c r="O620" s="120">
        <v>15432101.284349401</v>
      </c>
      <c r="P620" s="120">
        <v>4760541.6223039906</v>
      </c>
      <c r="Q620" s="120">
        <v>10671559.66204541</v>
      </c>
      <c r="R620" s="120"/>
      <c r="S620" s="121"/>
    </row>
    <row r="621" spans="1:19" ht="15">
      <c r="A621" s="105" t="s">
        <v>251</v>
      </c>
      <c r="B621" s="105"/>
      <c r="C621" s="107" t="s">
        <v>251</v>
      </c>
      <c r="D621" s="107" t="s">
        <v>251</v>
      </c>
      <c r="E621" s="120" t="s">
        <v>251</v>
      </c>
      <c r="F621" s="120" t="s">
        <v>251</v>
      </c>
      <c r="G621" s="120" t="s">
        <v>251</v>
      </c>
      <c r="H621" s="120" t="s">
        <v>251</v>
      </c>
      <c r="I621" s="120" t="s">
        <v>251</v>
      </c>
      <c r="J621" s="120" t="s">
        <v>251</v>
      </c>
      <c r="K621" s="120" t="s">
        <v>251</v>
      </c>
      <c r="L621" s="120" t="s">
        <v>251</v>
      </c>
      <c r="M621" s="120" t="s">
        <v>251</v>
      </c>
      <c r="N621" s="120" t="s">
        <v>251</v>
      </c>
      <c r="O621" s="120" t="s">
        <v>251</v>
      </c>
      <c r="P621" s="120" t="s">
        <v>251</v>
      </c>
      <c r="Q621" s="120" t="s">
        <v>251</v>
      </c>
      <c r="R621" s="120"/>
      <c r="S621" s="121"/>
    </row>
    <row r="622" spans="1:19" ht="15">
      <c r="A622" s="105" t="s">
        <v>251</v>
      </c>
      <c r="B622" s="105"/>
      <c r="C622" s="107" t="s">
        <v>455</v>
      </c>
      <c r="D622" s="107" t="s">
        <v>251</v>
      </c>
      <c r="E622" s="120" t="s">
        <v>251</v>
      </c>
      <c r="F622" s="120" t="s">
        <v>251</v>
      </c>
      <c r="G622" s="120" t="s">
        <v>251</v>
      </c>
      <c r="H622" s="120" t="s">
        <v>251</v>
      </c>
      <c r="I622" s="120" t="s">
        <v>251</v>
      </c>
      <c r="J622" s="120" t="s">
        <v>251</v>
      </c>
      <c r="K622" s="120" t="s">
        <v>251</v>
      </c>
      <c r="L622" s="120" t="s">
        <v>251</v>
      </c>
      <c r="M622" s="120" t="s">
        <v>251</v>
      </c>
      <c r="N622" s="120" t="s">
        <v>251</v>
      </c>
      <c r="O622" s="120" t="s">
        <v>251</v>
      </c>
      <c r="P622" s="120" t="s">
        <v>251</v>
      </c>
      <c r="Q622" s="120" t="s">
        <v>251</v>
      </c>
      <c r="R622" s="120"/>
      <c r="S622" s="121"/>
    </row>
    <row r="623" spans="1:19" ht="15">
      <c r="A623" s="105">
        <v>14</v>
      </c>
      <c r="B623" s="105"/>
      <c r="C623" s="107" t="s">
        <v>456</v>
      </c>
      <c r="D623" s="107" t="s">
        <v>457</v>
      </c>
      <c r="E623" s="120">
        <v>21092755.45999999</v>
      </c>
      <c r="F623" s="120" t="s">
        <v>251</v>
      </c>
      <c r="G623" s="120">
        <v>20150764.445821024</v>
      </c>
      <c r="H623" s="120" t="s">
        <v>251</v>
      </c>
      <c r="I623" s="120">
        <v>941926.33303225262</v>
      </c>
      <c r="J623" s="120">
        <v>64.681146709318313</v>
      </c>
      <c r="K623" s="120" t="s">
        <v>251</v>
      </c>
      <c r="L623" s="120" t="s">
        <v>251</v>
      </c>
      <c r="M623" s="120">
        <v>64.681146709318313</v>
      </c>
      <c r="N623" s="120" t="s">
        <v>251</v>
      </c>
      <c r="O623" s="120">
        <v>0</v>
      </c>
      <c r="P623" s="120">
        <v>0</v>
      </c>
      <c r="Q623" s="120">
        <v>0</v>
      </c>
      <c r="R623" s="120"/>
      <c r="S623" s="121"/>
    </row>
    <row r="624" spans="1:19" ht="15">
      <c r="A624" s="105">
        <v>15</v>
      </c>
      <c r="B624" s="105"/>
      <c r="C624" s="107" t="s">
        <v>458</v>
      </c>
      <c r="D624" s="107" t="s">
        <v>459</v>
      </c>
      <c r="E624" s="120">
        <v>1465079.73</v>
      </c>
      <c r="F624" s="120" t="s">
        <v>251</v>
      </c>
      <c r="G624" s="120">
        <v>179883.99891592553</v>
      </c>
      <c r="H624" s="120" t="s">
        <v>251</v>
      </c>
      <c r="I624" s="120">
        <v>1285195.1536814971</v>
      </c>
      <c r="J624" s="120">
        <v>0.57740257724826849</v>
      </c>
      <c r="K624" s="120" t="s">
        <v>251</v>
      </c>
      <c r="L624" s="120" t="s">
        <v>251</v>
      </c>
      <c r="M624" s="120">
        <v>0.57740257724826849</v>
      </c>
      <c r="N624" s="120" t="s">
        <v>251</v>
      </c>
      <c r="O624" s="120">
        <v>0</v>
      </c>
      <c r="P624" s="120">
        <v>0</v>
      </c>
      <c r="Q624" s="120">
        <v>0</v>
      </c>
      <c r="R624" s="120"/>
      <c r="S624" s="121"/>
    </row>
    <row r="625" spans="1:19" ht="15">
      <c r="A625" s="105">
        <v>17</v>
      </c>
      <c r="B625" s="105"/>
      <c r="C625" s="107" t="s">
        <v>460</v>
      </c>
      <c r="D625" s="107" t="s">
        <v>312</v>
      </c>
      <c r="E625" s="120">
        <v>63368.833333333299</v>
      </c>
      <c r="F625" s="120" t="s">
        <v>251</v>
      </c>
      <c r="G625" s="120">
        <v>0</v>
      </c>
      <c r="H625" s="120" t="s">
        <v>251</v>
      </c>
      <c r="I625" s="120">
        <v>20639.431565449002</v>
      </c>
      <c r="J625" s="120">
        <v>42729.401767884301</v>
      </c>
      <c r="K625" s="120" t="s">
        <v>251</v>
      </c>
      <c r="L625" s="120" t="s">
        <v>251</v>
      </c>
      <c r="M625" s="120">
        <v>0</v>
      </c>
      <c r="N625" s="120" t="s">
        <v>251</v>
      </c>
      <c r="O625" s="120">
        <v>42729.401767884301</v>
      </c>
      <c r="P625" s="120">
        <v>13181.296044140025</v>
      </c>
      <c r="Q625" s="120">
        <v>29548.105723744276</v>
      </c>
      <c r="R625" s="120"/>
      <c r="S625" s="121"/>
    </row>
    <row r="626" spans="1:19" ht="15">
      <c r="A626" s="105">
        <v>18</v>
      </c>
      <c r="B626" s="105"/>
      <c r="C626" s="107" t="s">
        <v>461</v>
      </c>
      <c r="D626" s="107" t="s">
        <v>314</v>
      </c>
      <c r="E626" s="120">
        <v>32054.666666666657</v>
      </c>
      <c r="F626" s="120" t="s">
        <v>251</v>
      </c>
      <c r="G626" s="120">
        <v>0</v>
      </c>
      <c r="H626" s="120" t="s">
        <v>251</v>
      </c>
      <c r="I626" s="120">
        <v>0</v>
      </c>
      <c r="J626" s="120">
        <v>32054.666666666657</v>
      </c>
      <c r="K626" s="120" t="s">
        <v>251</v>
      </c>
      <c r="L626" s="120" t="s">
        <v>251</v>
      </c>
      <c r="M626" s="120">
        <v>0</v>
      </c>
      <c r="N626" s="120" t="s">
        <v>251</v>
      </c>
      <c r="O626" s="120">
        <v>32054.666666666657</v>
      </c>
      <c r="P626" s="120">
        <v>9888.321236622849</v>
      </c>
      <c r="Q626" s="120">
        <v>22166.345430043806</v>
      </c>
      <c r="R626" s="120"/>
      <c r="S626" s="121"/>
    </row>
    <row r="627" spans="1:19" ht="15">
      <c r="A627" s="105">
        <v>19</v>
      </c>
      <c r="B627" s="105"/>
      <c r="C627" s="107" t="s">
        <v>462</v>
      </c>
      <c r="D627" s="107" t="s">
        <v>251</v>
      </c>
      <c r="E627" s="120">
        <v>22653258.68999999</v>
      </c>
      <c r="F627" s="120" t="s">
        <v>251</v>
      </c>
      <c r="G627" s="120">
        <v>20330648.44473695</v>
      </c>
      <c r="H627" s="120" t="s">
        <v>251</v>
      </c>
      <c r="I627" s="120">
        <v>2247760.9182791989</v>
      </c>
      <c r="J627" s="120">
        <v>74849.326983837513</v>
      </c>
      <c r="K627" s="120" t="s">
        <v>251</v>
      </c>
      <c r="L627" s="120" t="s">
        <v>251</v>
      </c>
      <c r="M627" s="120">
        <v>65.258549286566577</v>
      </c>
      <c r="N627" s="120" t="s">
        <v>251</v>
      </c>
      <c r="O627" s="120">
        <v>74784.068434550951</v>
      </c>
      <c r="P627" s="120">
        <v>23069.617280762875</v>
      </c>
      <c r="Q627" s="120">
        <v>51714.451153788083</v>
      </c>
      <c r="R627" s="120"/>
      <c r="S627" s="121"/>
    </row>
    <row r="628" spans="1:19" ht="15">
      <c r="A628" s="105" t="s">
        <v>251</v>
      </c>
      <c r="B628" s="105"/>
      <c r="C628" s="107" t="s">
        <v>251</v>
      </c>
      <c r="D628" s="107" t="s">
        <v>251</v>
      </c>
      <c r="E628" s="120" t="s">
        <v>251</v>
      </c>
      <c r="F628" s="120" t="s">
        <v>251</v>
      </c>
      <c r="G628" s="120" t="s">
        <v>251</v>
      </c>
      <c r="H628" s="120" t="s">
        <v>251</v>
      </c>
      <c r="I628" s="120" t="s">
        <v>251</v>
      </c>
      <c r="J628" s="120" t="s">
        <v>251</v>
      </c>
      <c r="K628" s="120" t="s">
        <v>251</v>
      </c>
      <c r="L628" s="120" t="s">
        <v>251</v>
      </c>
      <c r="M628" s="120" t="s">
        <v>251</v>
      </c>
      <c r="N628" s="120" t="s">
        <v>251</v>
      </c>
      <c r="O628" s="120" t="s">
        <v>251</v>
      </c>
      <c r="P628" s="120" t="s">
        <v>251</v>
      </c>
      <c r="Q628" s="120" t="s">
        <v>251</v>
      </c>
      <c r="R628" s="120"/>
      <c r="S628" s="121"/>
    </row>
    <row r="629" spans="1:19" ht="15">
      <c r="A629" s="105" t="s">
        <v>251</v>
      </c>
      <c r="B629" s="105"/>
      <c r="C629" s="107" t="s">
        <v>745</v>
      </c>
      <c r="D629" s="107" t="s">
        <v>251</v>
      </c>
      <c r="E629" s="120" t="s">
        <v>251</v>
      </c>
      <c r="F629" s="120" t="s">
        <v>251</v>
      </c>
      <c r="G629" s="120" t="s">
        <v>251</v>
      </c>
      <c r="H629" s="120" t="s">
        <v>251</v>
      </c>
      <c r="I629" s="120" t="s">
        <v>251</v>
      </c>
      <c r="J629" s="120" t="s">
        <v>251</v>
      </c>
      <c r="K629" s="120" t="s">
        <v>251</v>
      </c>
      <c r="L629" s="120" t="s">
        <v>251</v>
      </c>
      <c r="M629" s="120" t="s">
        <v>251</v>
      </c>
      <c r="N629" s="120" t="s">
        <v>251</v>
      </c>
      <c r="O629" s="120" t="s">
        <v>251</v>
      </c>
      <c r="P629" s="120" t="s">
        <v>251</v>
      </c>
      <c r="Q629" s="120" t="s">
        <v>251</v>
      </c>
      <c r="R629" s="120"/>
      <c r="S629" s="121"/>
    </row>
    <row r="630" spans="1:19" ht="15">
      <c r="A630" s="105">
        <v>20</v>
      </c>
      <c r="B630" s="105"/>
      <c r="C630" s="107" t="s">
        <v>746</v>
      </c>
      <c r="D630" s="107" t="s">
        <v>747</v>
      </c>
      <c r="E630" s="120">
        <v>43335649.791012079</v>
      </c>
      <c r="F630" s="120" t="s">
        <v>251</v>
      </c>
      <c r="G630" s="120">
        <v>43242881.174622163</v>
      </c>
      <c r="H630" s="120" t="s">
        <v>251</v>
      </c>
      <c r="I630" s="120">
        <v>0</v>
      </c>
      <c r="J630" s="120">
        <v>92768.616389912117</v>
      </c>
      <c r="K630" s="120" t="s">
        <v>251</v>
      </c>
      <c r="L630" s="120" t="s">
        <v>251</v>
      </c>
      <c r="M630" s="120">
        <v>0</v>
      </c>
      <c r="N630" s="120" t="s">
        <v>251</v>
      </c>
      <c r="O630" s="120">
        <v>92768.616389912117</v>
      </c>
      <c r="P630" s="120">
        <v>86250.321894672452</v>
      </c>
      <c r="Q630" s="120">
        <v>6518.2944952396647</v>
      </c>
      <c r="R630" s="120"/>
      <c r="S630" s="121"/>
    </row>
    <row r="631" spans="1:19" ht="15">
      <c r="A631" s="105">
        <v>21</v>
      </c>
      <c r="B631" s="105"/>
      <c r="C631" s="107" t="s">
        <v>748</v>
      </c>
      <c r="D631" s="107" t="s">
        <v>749</v>
      </c>
      <c r="E631" s="120">
        <v>2355404.4999999995</v>
      </c>
      <c r="F631" s="120" t="s">
        <v>251</v>
      </c>
      <c r="G631" s="120">
        <v>0</v>
      </c>
      <c r="H631" s="120" t="s">
        <v>251</v>
      </c>
      <c r="I631" s="120">
        <v>2355404.4999999995</v>
      </c>
      <c r="J631" s="120">
        <v>0</v>
      </c>
      <c r="K631" s="120" t="s">
        <v>251</v>
      </c>
      <c r="L631" s="120" t="s">
        <v>251</v>
      </c>
      <c r="M631" s="120">
        <v>0</v>
      </c>
      <c r="N631" s="120" t="s">
        <v>251</v>
      </c>
      <c r="O631" s="120">
        <v>0</v>
      </c>
      <c r="P631" s="120">
        <v>0</v>
      </c>
      <c r="Q631" s="120">
        <v>0</v>
      </c>
      <c r="R631" s="120"/>
      <c r="S631" s="121"/>
    </row>
    <row r="632" spans="1:19" ht="15">
      <c r="A632" s="105">
        <v>22</v>
      </c>
      <c r="B632" s="105"/>
      <c r="C632" s="107" t="s">
        <v>750</v>
      </c>
      <c r="D632" s="107" t="s">
        <v>751</v>
      </c>
      <c r="E632" s="120">
        <v>4271.7599999999984</v>
      </c>
      <c r="F632" s="120" t="s">
        <v>251</v>
      </c>
      <c r="G632" s="120">
        <v>0</v>
      </c>
      <c r="H632" s="120" t="s">
        <v>251</v>
      </c>
      <c r="I632" s="120">
        <v>0</v>
      </c>
      <c r="J632" s="120">
        <v>4271.7599999999984</v>
      </c>
      <c r="K632" s="120" t="s">
        <v>251</v>
      </c>
      <c r="L632" s="120" t="s">
        <v>251</v>
      </c>
      <c r="M632" s="120">
        <v>4271.7599999999984</v>
      </c>
      <c r="N632" s="120" t="s">
        <v>251</v>
      </c>
      <c r="O632" s="120">
        <v>0</v>
      </c>
      <c r="P632" s="120">
        <v>0</v>
      </c>
      <c r="Q632" s="120">
        <v>0</v>
      </c>
      <c r="R632" s="120"/>
      <c r="S632" s="121"/>
    </row>
    <row r="633" spans="1:19" ht="15">
      <c r="A633" s="105">
        <v>23</v>
      </c>
      <c r="B633" s="105"/>
      <c r="C633" s="107" t="s">
        <v>467</v>
      </c>
      <c r="D633" s="107" t="s">
        <v>251</v>
      </c>
      <c r="E633" s="120">
        <v>45695326.051012076</v>
      </c>
      <c r="F633" s="120" t="s">
        <v>251</v>
      </c>
      <c r="G633" s="120">
        <v>43242881.174622163</v>
      </c>
      <c r="H633" s="120" t="s">
        <v>251</v>
      </c>
      <c r="I633" s="120">
        <v>2355404.4999999995</v>
      </c>
      <c r="J633" s="120">
        <v>97040.376389912111</v>
      </c>
      <c r="K633" s="120" t="s">
        <v>251</v>
      </c>
      <c r="L633" s="120" t="s">
        <v>251</v>
      </c>
      <c r="M633" s="120">
        <v>4271.7599999999984</v>
      </c>
      <c r="N633" s="120" t="s">
        <v>251</v>
      </c>
      <c r="O633" s="120">
        <v>92768.616389912117</v>
      </c>
      <c r="P633" s="120">
        <v>86250.321894672452</v>
      </c>
      <c r="Q633" s="120">
        <v>6518.2944952396647</v>
      </c>
      <c r="R633" s="120"/>
      <c r="S633" s="121"/>
    </row>
    <row r="634" spans="1:19" ht="15">
      <c r="A634" s="105" t="s">
        <v>251</v>
      </c>
      <c r="B634" s="105"/>
      <c r="C634" s="107" t="s">
        <v>251</v>
      </c>
      <c r="D634" s="107" t="s">
        <v>251</v>
      </c>
      <c r="E634" s="120" t="s">
        <v>251</v>
      </c>
      <c r="F634" s="120" t="s">
        <v>251</v>
      </c>
      <c r="G634" s="120" t="s">
        <v>251</v>
      </c>
      <c r="H634" s="120" t="s">
        <v>251</v>
      </c>
      <c r="I634" s="120" t="s">
        <v>251</v>
      </c>
      <c r="J634" s="120" t="s">
        <v>251</v>
      </c>
      <c r="K634" s="120" t="s">
        <v>251</v>
      </c>
      <c r="L634" s="120" t="s">
        <v>251</v>
      </c>
      <c r="M634" s="120" t="s">
        <v>251</v>
      </c>
      <c r="N634" s="120" t="s">
        <v>251</v>
      </c>
      <c r="O634" s="120" t="s">
        <v>251</v>
      </c>
      <c r="P634" s="120" t="s">
        <v>251</v>
      </c>
      <c r="Q634" s="120" t="s">
        <v>251</v>
      </c>
      <c r="R634" s="120"/>
      <c r="S634" s="121"/>
    </row>
    <row r="635" spans="1:19" ht="15">
      <c r="A635" s="105">
        <v>24</v>
      </c>
      <c r="B635" s="105"/>
      <c r="C635" s="107" t="s">
        <v>417</v>
      </c>
      <c r="D635" s="107" t="s">
        <v>468</v>
      </c>
      <c r="E635" s="120">
        <v>12311988.557816993</v>
      </c>
      <c r="F635" s="120" t="s">
        <v>251</v>
      </c>
      <c r="G635" s="120">
        <v>11185209.903195668</v>
      </c>
      <c r="H635" s="120" t="s">
        <v>251</v>
      </c>
      <c r="I635" s="120">
        <v>546567.34467242402</v>
      </c>
      <c r="J635" s="120">
        <v>580211.30994890013</v>
      </c>
      <c r="K635" s="120" t="s">
        <v>251</v>
      </c>
      <c r="L635" s="120" t="s">
        <v>251</v>
      </c>
      <c r="M635" s="120">
        <v>835.9999781999818</v>
      </c>
      <c r="N635" s="120" t="s">
        <v>251</v>
      </c>
      <c r="O635" s="120">
        <v>579375.30997070018</v>
      </c>
      <c r="P635" s="120">
        <v>184625.35235263</v>
      </c>
      <c r="Q635" s="120">
        <v>394749.95761807024</v>
      </c>
      <c r="R635" s="120"/>
      <c r="S635" s="121"/>
    </row>
    <row r="636" spans="1:19" ht="15">
      <c r="A636" s="105" t="s">
        <v>251</v>
      </c>
      <c r="B636" s="105"/>
      <c r="C636" s="107" t="s">
        <v>251</v>
      </c>
      <c r="D636" s="107" t="s">
        <v>251</v>
      </c>
      <c r="E636" s="120" t="s">
        <v>251</v>
      </c>
      <c r="F636" s="120" t="s">
        <v>251</v>
      </c>
      <c r="G636" s="120" t="s">
        <v>251</v>
      </c>
      <c r="H636" s="120" t="s">
        <v>251</v>
      </c>
      <c r="I636" s="120" t="s">
        <v>251</v>
      </c>
      <c r="J636" s="120" t="s">
        <v>251</v>
      </c>
      <c r="K636" s="120" t="s">
        <v>251</v>
      </c>
      <c r="L636" s="120" t="s">
        <v>251</v>
      </c>
      <c r="M636" s="120" t="s">
        <v>251</v>
      </c>
      <c r="N636" s="120" t="s">
        <v>251</v>
      </c>
      <c r="O636" s="120" t="s">
        <v>251</v>
      </c>
      <c r="P636" s="120" t="s">
        <v>251</v>
      </c>
      <c r="Q636" s="120" t="s">
        <v>251</v>
      </c>
      <c r="R636" s="120"/>
      <c r="S636" s="121"/>
    </row>
    <row r="637" spans="1:19" ht="15">
      <c r="A637" s="105">
        <v>25</v>
      </c>
      <c r="B637" s="105"/>
      <c r="C637" s="107" t="s">
        <v>471</v>
      </c>
      <c r="D637" s="107" t="s">
        <v>472</v>
      </c>
      <c r="E637" s="120">
        <v>19091675.139999993</v>
      </c>
      <c r="F637" s="120" t="s">
        <v>251</v>
      </c>
      <c r="G637" s="120">
        <v>16995135.265576903</v>
      </c>
      <c r="H637" s="120" t="s">
        <v>251</v>
      </c>
      <c r="I637" s="120">
        <v>933439.92372847535</v>
      </c>
      <c r="J637" s="120">
        <v>1163099.9506946136</v>
      </c>
      <c r="K637" s="120" t="s">
        <v>251</v>
      </c>
      <c r="L637" s="120" t="s">
        <v>251</v>
      </c>
      <c r="M637" s="120">
        <v>1351.3014047919241</v>
      </c>
      <c r="N637" s="120" t="s">
        <v>251</v>
      </c>
      <c r="O637" s="120">
        <v>1161748.6492898217</v>
      </c>
      <c r="P637" s="120">
        <v>363451.2007901817</v>
      </c>
      <c r="Q637" s="120">
        <v>798297.44849963998</v>
      </c>
      <c r="R637" s="120"/>
      <c r="S637" s="121"/>
    </row>
    <row r="638" spans="1:19" ht="15">
      <c r="A638" s="105" t="s">
        <v>251</v>
      </c>
      <c r="B638" s="105"/>
      <c r="C638" s="107" t="s">
        <v>251</v>
      </c>
      <c r="D638" s="107" t="s">
        <v>251</v>
      </c>
      <c r="E638" s="120" t="s">
        <v>251</v>
      </c>
      <c r="F638" s="120" t="s">
        <v>251</v>
      </c>
      <c r="G638" s="120" t="s">
        <v>251</v>
      </c>
      <c r="H638" s="120" t="s">
        <v>251</v>
      </c>
      <c r="I638" s="120" t="s">
        <v>251</v>
      </c>
      <c r="J638" s="120" t="s">
        <v>251</v>
      </c>
      <c r="K638" s="120" t="s">
        <v>251</v>
      </c>
      <c r="L638" s="120" t="s">
        <v>251</v>
      </c>
      <c r="M638" s="120" t="s">
        <v>251</v>
      </c>
      <c r="N638" s="120" t="s">
        <v>251</v>
      </c>
      <c r="O638" s="120" t="s">
        <v>251</v>
      </c>
      <c r="P638" s="120" t="s">
        <v>251</v>
      </c>
      <c r="Q638" s="120" t="s">
        <v>251</v>
      </c>
      <c r="R638" s="120"/>
      <c r="S638" s="121"/>
    </row>
    <row r="639" spans="1:19" ht="15">
      <c r="A639" s="105">
        <v>26</v>
      </c>
      <c r="B639" s="105"/>
      <c r="C639" s="107" t="s">
        <v>469</v>
      </c>
      <c r="D639" s="107" t="s">
        <v>470</v>
      </c>
      <c r="E639" s="120">
        <v>2029.7999999999993</v>
      </c>
      <c r="F639" s="120" t="s">
        <v>251</v>
      </c>
      <c r="G639" s="120">
        <v>2029.7999999999993</v>
      </c>
      <c r="H639" s="120" t="s">
        <v>251</v>
      </c>
      <c r="I639" s="120">
        <v>0</v>
      </c>
      <c r="J639" s="120">
        <v>0</v>
      </c>
      <c r="K639" s="120" t="s">
        <v>251</v>
      </c>
      <c r="L639" s="120" t="s">
        <v>251</v>
      </c>
      <c r="M639" s="120">
        <v>0</v>
      </c>
      <c r="N639" s="120" t="s">
        <v>251</v>
      </c>
      <c r="O639" s="120">
        <v>0</v>
      </c>
      <c r="P639" s="120">
        <v>0</v>
      </c>
      <c r="Q639" s="120">
        <v>0</v>
      </c>
      <c r="R639" s="120"/>
      <c r="S639" s="121"/>
    </row>
    <row r="640" spans="1:19" ht="15">
      <c r="A640" s="105" t="s">
        <v>251</v>
      </c>
      <c r="B640" s="105"/>
      <c r="C640" s="107" t="s">
        <v>251</v>
      </c>
      <c r="D640" s="107" t="s">
        <v>251</v>
      </c>
      <c r="E640" s="120" t="s">
        <v>251</v>
      </c>
      <c r="F640" s="120" t="s">
        <v>251</v>
      </c>
      <c r="G640" s="120" t="s">
        <v>251</v>
      </c>
      <c r="H640" s="120" t="s">
        <v>251</v>
      </c>
      <c r="I640" s="120" t="s">
        <v>251</v>
      </c>
      <c r="J640" s="120" t="s">
        <v>251</v>
      </c>
      <c r="K640" s="120" t="s">
        <v>251</v>
      </c>
      <c r="L640" s="120" t="s">
        <v>251</v>
      </c>
      <c r="M640" s="120" t="s">
        <v>251</v>
      </c>
      <c r="N640" s="120" t="s">
        <v>251</v>
      </c>
      <c r="O640" s="120" t="s">
        <v>251</v>
      </c>
      <c r="P640" s="120" t="s">
        <v>251</v>
      </c>
      <c r="Q640" s="120" t="s">
        <v>251</v>
      </c>
      <c r="R640" s="120"/>
      <c r="S640" s="121"/>
    </row>
    <row r="641" spans="1:19" ht="15">
      <c r="A641" s="105">
        <v>27</v>
      </c>
      <c r="B641" s="105"/>
      <c r="C641" s="107" t="s">
        <v>752</v>
      </c>
      <c r="D641" s="107" t="s">
        <v>251</v>
      </c>
      <c r="E641" s="120">
        <v>275741746.78501463</v>
      </c>
      <c r="F641" s="120" t="s">
        <v>251</v>
      </c>
      <c r="G641" s="120">
        <v>245280660.91185641</v>
      </c>
      <c r="H641" s="120" t="s">
        <v>251</v>
      </c>
      <c r="I641" s="120">
        <v>13113290.831711002</v>
      </c>
      <c r="J641" s="120">
        <v>17347795.041447245</v>
      </c>
      <c r="K641" s="120" t="s">
        <v>251</v>
      </c>
      <c r="L641" s="120" t="s">
        <v>251</v>
      </c>
      <c r="M641" s="120">
        <v>7017.1130128579298</v>
      </c>
      <c r="N641" s="120" t="s">
        <v>251</v>
      </c>
      <c r="O641" s="120">
        <v>17340777.928434387</v>
      </c>
      <c r="P641" s="120">
        <v>5417938.1146222381</v>
      </c>
      <c r="Q641" s="120">
        <v>11922839.81381215</v>
      </c>
      <c r="R641" s="120"/>
      <c r="S641" s="121"/>
    </row>
    <row r="642" spans="1:19" ht="15">
      <c r="A642" s="105" t="s">
        <v>251</v>
      </c>
      <c r="B642" s="105"/>
      <c r="C642" s="107" t="s">
        <v>251</v>
      </c>
      <c r="D642" s="107" t="s">
        <v>251</v>
      </c>
      <c r="E642" s="120" t="s">
        <v>251</v>
      </c>
      <c r="F642" s="120" t="s">
        <v>251</v>
      </c>
      <c r="G642" s="120" t="s">
        <v>251</v>
      </c>
      <c r="H642" s="120" t="s">
        <v>251</v>
      </c>
      <c r="I642" s="120" t="s">
        <v>251</v>
      </c>
      <c r="J642" s="120" t="s">
        <v>251</v>
      </c>
      <c r="K642" s="120" t="s">
        <v>251</v>
      </c>
      <c r="L642" s="120" t="s">
        <v>251</v>
      </c>
      <c r="M642" s="120" t="s">
        <v>251</v>
      </c>
      <c r="N642" s="120" t="s">
        <v>251</v>
      </c>
      <c r="O642" s="120" t="s">
        <v>251</v>
      </c>
      <c r="P642" s="120" t="s">
        <v>251</v>
      </c>
      <c r="Q642" s="120" t="s">
        <v>251</v>
      </c>
      <c r="R642" s="120"/>
      <c r="S642" s="121"/>
    </row>
    <row r="643" spans="1:19" ht="15">
      <c r="A643" s="105" t="s">
        <v>251</v>
      </c>
      <c r="B643" s="105"/>
      <c r="C643" s="107" t="s">
        <v>251</v>
      </c>
      <c r="D643" s="107" t="s">
        <v>251</v>
      </c>
      <c r="E643" s="120" t="s">
        <v>251</v>
      </c>
      <c r="F643" s="120" t="s">
        <v>251</v>
      </c>
      <c r="G643" s="120" t="s">
        <v>251</v>
      </c>
      <c r="H643" s="120" t="s">
        <v>251</v>
      </c>
      <c r="I643" s="120" t="s">
        <v>251</v>
      </c>
      <c r="J643" s="120" t="s">
        <v>251</v>
      </c>
      <c r="K643" s="120" t="s">
        <v>251</v>
      </c>
      <c r="L643" s="120" t="s">
        <v>251</v>
      </c>
      <c r="M643" s="120" t="s">
        <v>251</v>
      </c>
      <c r="N643" s="120" t="s">
        <v>251</v>
      </c>
      <c r="O643" s="120" t="s">
        <v>251</v>
      </c>
      <c r="P643" s="120" t="s">
        <v>251</v>
      </c>
      <c r="Q643" s="120" t="s">
        <v>251</v>
      </c>
      <c r="R643" s="120"/>
      <c r="S643" s="121"/>
    </row>
    <row r="644" spans="1:19" ht="15">
      <c r="A644" s="105" t="s">
        <v>251</v>
      </c>
      <c r="B644" s="105"/>
      <c r="C644" s="107" t="s">
        <v>2248</v>
      </c>
      <c r="D644" s="107" t="s">
        <v>251</v>
      </c>
      <c r="E644" s="120" t="s">
        <v>251</v>
      </c>
      <c r="F644" s="120" t="s">
        <v>251</v>
      </c>
      <c r="G644" s="120" t="s">
        <v>251</v>
      </c>
      <c r="H644" s="120" t="s">
        <v>251</v>
      </c>
      <c r="I644" s="120" t="s">
        <v>251</v>
      </c>
      <c r="J644" s="120" t="s">
        <v>251</v>
      </c>
      <c r="K644" s="120" t="s">
        <v>251</v>
      </c>
      <c r="L644" s="120" t="s">
        <v>251</v>
      </c>
      <c r="M644" s="120" t="s">
        <v>251</v>
      </c>
      <c r="N644" s="120" t="s">
        <v>251</v>
      </c>
      <c r="O644" s="120" t="s">
        <v>251</v>
      </c>
      <c r="P644" s="120" t="s">
        <v>251</v>
      </c>
      <c r="Q644" s="120" t="s">
        <v>251</v>
      </c>
      <c r="R644" s="120"/>
      <c r="S644" s="121"/>
    </row>
    <row r="645" spans="1:19" ht="15">
      <c r="A645" s="105" t="s">
        <v>251</v>
      </c>
      <c r="B645" s="105"/>
      <c r="C645" s="107" t="s">
        <v>251</v>
      </c>
      <c r="D645" s="107" t="s">
        <v>251</v>
      </c>
      <c r="E645" s="120" t="s">
        <v>251</v>
      </c>
      <c r="F645" s="120" t="s">
        <v>251</v>
      </c>
      <c r="G645" s="120" t="s">
        <v>251</v>
      </c>
      <c r="H645" s="120" t="s">
        <v>251</v>
      </c>
      <c r="I645" s="120" t="s">
        <v>251</v>
      </c>
      <c r="J645" s="120" t="s">
        <v>251</v>
      </c>
      <c r="K645" s="120" t="s">
        <v>251</v>
      </c>
      <c r="L645" s="120" t="s">
        <v>251</v>
      </c>
      <c r="M645" s="120" t="s">
        <v>251</v>
      </c>
      <c r="N645" s="120" t="s">
        <v>251</v>
      </c>
      <c r="O645" s="120" t="s">
        <v>251</v>
      </c>
      <c r="P645" s="120" t="s">
        <v>251</v>
      </c>
      <c r="Q645" s="120" t="s">
        <v>251</v>
      </c>
      <c r="R645" s="120"/>
      <c r="S645" s="121"/>
    </row>
    <row r="646" spans="1:19" ht="15">
      <c r="A646" s="105" t="s">
        <v>251</v>
      </c>
      <c r="B646" s="105"/>
      <c r="C646" s="107" t="s">
        <v>2249</v>
      </c>
      <c r="D646" s="107" t="s">
        <v>251</v>
      </c>
      <c r="E646" s="120" t="s">
        <v>251</v>
      </c>
      <c r="F646" s="120" t="s">
        <v>251</v>
      </c>
      <c r="G646" s="120" t="s">
        <v>251</v>
      </c>
      <c r="H646" s="120" t="s">
        <v>251</v>
      </c>
      <c r="I646" s="120" t="s">
        <v>251</v>
      </c>
      <c r="J646" s="120" t="s">
        <v>251</v>
      </c>
      <c r="K646" s="120" t="s">
        <v>251</v>
      </c>
      <c r="L646" s="120" t="s">
        <v>251</v>
      </c>
      <c r="M646" s="120" t="s">
        <v>251</v>
      </c>
      <c r="N646" s="120" t="s">
        <v>251</v>
      </c>
      <c r="O646" s="120" t="s">
        <v>251</v>
      </c>
      <c r="P646" s="120" t="s">
        <v>251</v>
      </c>
      <c r="Q646" s="120" t="s">
        <v>251</v>
      </c>
      <c r="R646" s="120"/>
      <c r="S646" s="121"/>
    </row>
    <row r="647" spans="1:19" ht="15">
      <c r="A647" s="105" t="s">
        <v>251</v>
      </c>
      <c r="B647" s="105"/>
      <c r="C647" s="107" t="s">
        <v>251</v>
      </c>
      <c r="D647" s="107" t="s">
        <v>251</v>
      </c>
      <c r="E647" s="120" t="s">
        <v>251</v>
      </c>
      <c r="F647" s="120" t="s">
        <v>251</v>
      </c>
      <c r="G647" s="120" t="s">
        <v>251</v>
      </c>
      <c r="H647" s="120" t="s">
        <v>251</v>
      </c>
      <c r="I647" s="120" t="s">
        <v>251</v>
      </c>
      <c r="J647" s="120" t="s">
        <v>251</v>
      </c>
      <c r="K647" s="120" t="s">
        <v>251</v>
      </c>
      <c r="L647" s="120" t="s">
        <v>251</v>
      </c>
      <c r="M647" s="120" t="s">
        <v>251</v>
      </c>
      <c r="N647" s="120" t="s">
        <v>251</v>
      </c>
      <c r="O647" s="120" t="s">
        <v>251</v>
      </c>
      <c r="P647" s="120" t="s">
        <v>251</v>
      </c>
      <c r="Q647" s="120" t="s">
        <v>251</v>
      </c>
      <c r="R647" s="120"/>
      <c r="S647" s="121"/>
    </row>
    <row r="648" spans="1:19" ht="15">
      <c r="A648" s="105" t="s">
        <v>251</v>
      </c>
      <c r="B648" s="105"/>
      <c r="C648" s="107" t="s">
        <v>441</v>
      </c>
      <c r="D648" s="107" t="s">
        <v>251</v>
      </c>
      <c r="E648" s="120" t="s">
        <v>251</v>
      </c>
      <c r="F648" s="120" t="s">
        <v>251</v>
      </c>
      <c r="G648" s="120" t="s">
        <v>251</v>
      </c>
      <c r="H648" s="120" t="s">
        <v>251</v>
      </c>
      <c r="I648" s="120" t="s">
        <v>251</v>
      </c>
      <c r="J648" s="120" t="s">
        <v>251</v>
      </c>
      <c r="K648" s="120" t="s">
        <v>251</v>
      </c>
      <c r="L648" s="120" t="s">
        <v>251</v>
      </c>
      <c r="M648" s="120" t="s">
        <v>251</v>
      </c>
      <c r="N648" s="120" t="s">
        <v>251</v>
      </c>
      <c r="O648" s="120" t="s">
        <v>251</v>
      </c>
      <c r="P648" s="120" t="s">
        <v>251</v>
      </c>
      <c r="Q648" s="120" t="s">
        <v>251</v>
      </c>
      <c r="R648" s="120"/>
      <c r="S648" s="121"/>
    </row>
    <row r="649" spans="1:19" ht="15">
      <c r="A649" s="105">
        <v>1</v>
      </c>
      <c r="B649" s="105"/>
      <c r="C649" s="107" t="s">
        <v>442</v>
      </c>
      <c r="D649" s="107" t="s">
        <v>733</v>
      </c>
      <c r="E649" s="120">
        <v>5423472.9843401499</v>
      </c>
      <c r="F649" s="120" t="s">
        <v>251</v>
      </c>
      <c r="G649" s="120">
        <v>3560915.8346543</v>
      </c>
      <c r="H649" s="120" t="s">
        <v>251</v>
      </c>
      <c r="I649" s="120">
        <v>661098.55000000005</v>
      </c>
      <c r="J649" s="120">
        <v>1201458.5996858501</v>
      </c>
      <c r="K649" s="120" t="s">
        <v>251</v>
      </c>
      <c r="L649" s="120" t="s">
        <v>251</v>
      </c>
      <c r="M649" s="120">
        <v>0</v>
      </c>
      <c r="N649" s="120" t="s">
        <v>251</v>
      </c>
      <c r="O649" s="120">
        <v>1201458.5996858501</v>
      </c>
      <c r="P649" s="120">
        <v>372269.54975317343</v>
      </c>
      <c r="Q649" s="120">
        <v>829189.0499326766</v>
      </c>
      <c r="R649" s="120"/>
      <c r="S649" s="121"/>
    </row>
    <row r="650" spans="1:19" ht="15">
      <c r="A650" s="105">
        <v>2</v>
      </c>
      <c r="B650" s="105"/>
      <c r="C650" s="107" t="s">
        <v>448</v>
      </c>
      <c r="D650" s="107" t="s">
        <v>449</v>
      </c>
      <c r="E650" s="120">
        <v>0</v>
      </c>
      <c r="F650" s="120" t="s">
        <v>251</v>
      </c>
      <c r="G650" s="120">
        <v>0</v>
      </c>
      <c r="H650" s="120" t="s">
        <v>251</v>
      </c>
      <c r="I650" s="120">
        <v>0</v>
      </c>
      <c r="J650" s="120">
        <v>0</v>
      </c>
      <c r="K650" s="120" t="s">
        <v>251</v>
      </c>
      <c r="L650" s="120" t="s">
        <v>251</v>
      </c>
      <c r="M650" s="120">
        <v>0</v>
      </c>
      <c r="N650" s="120" t="s">
        <v>251</v>
      </c>
      <c r="O650" s="120">
        <v>0</v>
      </c>
      <c r="P650" s="120">
        <v>0</v>
      </c>
      <c r="Q650" s="120">
        <v>0</v>
      </c>
      <c r="R650" s="120"/>
      <c r="S650" s="121"/>
    </row>
    <row r="651" spans="1:19" ht="15">
      <c r="A651" s="105">
        <v>3</v>
      </c>
      <c r="B651" s="105"/>
      <c r="C651" s="107" t="s">
        <v>451</v>
      </c>
      <c r="D651" s="107" t="s">
        <v>452</v>
      </c>
      <c r="E651" s="120">
        <v>0</v>
      </c>
      <c r="F651" s="120" t="s">
        <v>251</v>
      </c>
      <c r="G651" s="120">
        <v>0</v>
      </c>
      <c r="H651" s="120" t="s">
        <v>251</v>
      </c>
      <c r="I651" s="120">
        <v>0</v>
      </c>
      <c r="J651" s="120">
        <v>0</v>
      </c>
      <c r="K651" s="120" t="s">
        <v>251</v>
      </c>
      <c r="L651" s="120" t="s">
        <v>251</v>
      </c>
      <c r="M651" s="120">
        <v>0</v>
      </c>
      <c r="N651" s="120" t="s">
        <v>251</v>
      </c>
      <c r="O651" s="120">
        <v>0</v>
      </c>
      <c r="P651" s="120">
        <v>0</v>
      </c>
      <c r="Q651" s="120">
        <v>0</v>
      </c>
      <c r="R651" s="120"/>
      <c r="S651" s="121"/>
    </row>
    <row r="652" spans="1:19" ht="15">
      <c r="A652" s="105" t="s">
        <v>251</v>
      </c>
      <c r="B652" s="105"/>
      <c r="C652" s="107" t="s">
        <v>251</v>
      </c>
      <c r="D652" s="107" t="s">
        <v>251</v>
      </c>
      <c r="E652" s="120" t="s">
        <v>251</v>
      </c>
      <c r="F652" s="120" t="s">
        <v>251</v>
      </c>
      <c r="G652" s="120" t="s">
        <v>251</v>
      </c>
      <c r="H652" s="120" t="s">
        <v>251</v>
      </c>
      <c r="I652" s="120" t="s">
        <v>251</v>
      </c>
      <c r="J652" s="120" t="s">
        <v>251</v>
      </c>
      <c r="K652" s="120" t="s">
        <v>251</v>
      </c>
      <c r="L652" s="120" t="s">
        <v>251</v>
      </c>
      <c r="M652" s="120" t="s">
        <v>251</v>
      </c>
      <c r="N652" s="120" t="s">
        <v>251</v>
      </c>
      <c r="O652" s="120" t="s">
        <v>251</v>
      </c>
      <c r="P652" s="120" t="s">
        <v>251</v>
      </c>
      <c r="Q652" s="120" t="s">
        <v>251</v>
      </c>
      <c r="R652" s="120"/>
      <c r="S652" s="121"/>
    </row>
    <row r="653" spans="1:19" ht="15">
      <c r="A653" s="105">
        <v>4</v>
      </c>
      <c r="B653" s="105"/>
      <c r="C653" s="107" t="s">
        <v>454</v>
      </c>
      <c r="D653" s="107" t="s">
        <v>251</v>
      </c>
      <c r="E653" s="120">
        <v>5423472.9843401499</v>
      </c>
      <c r="F653" s="120" t="s">
        <v>251</v>
      </c>
      <c r="G653" s="120">
        <v>3560915.8346543</v>
      </c>
      <c r="H653" s="120" t="s">
        <v>251</v>
      </c>
      <c r="I653" s="120">
        <v>661098.55000000005</v>
      </c>
      <c r="J653" s="120">
        <v>1201458.5996858501</v>
      </c>
      <c r="K653" s="120" t="s">
        <v>251</v>
      </c>
      <c r="L653" s="120" t="s">
        <v>251</v>
      </c>
      <c r="M653" s="120">
        <v>0</v>
      </c>
      <c r="N653" s="120" t="s">
        <v>251</v>
      </c>
      <c r="O653" s="120">
        <v>1201458.5996858501</v>
      </c>
      <c r="P653" s="120">
        <v>372269.54975317343</v>
      </c>
      <c r="Q653" s="120">
        <v>829189.0499326766</v>
      </c>
      <c r="R653" s="120"/>
      <c r="S653" s="121"/>
    </row>
    <row r="654" spans="1:19" ht="15">
      <c r="A654" s="105" t="s">
        <v>251</v>
      </c>
      <c r="B654" s="105"/>
      <c r="C654" s="107" t="s">
        <v>251</v>
      </c>
      <c r="D654" s="107" t="s">
        <v>251</v>
      </c>
      <c r="E654" s="120" t="s">
        <v>251</v>
      </c>
      <c r="F654" s="120" t="s">
        <v>251</v>
      </c>
      <c r="G654" s="120" t="s">
        <v>251</v>
      </c>
      <c r="H654" s="120" t="s">
        <v>251</v>
      </c>
      <c r="I654" s="120" t="s">
        <v>251</v>
      </c>
      <c r="J654" s="120" t="s">
        <v>251</v>
      </c>
      <c r="K654" s="120" t="s">
        <v>251</v>
      </c>
      <c r="L654" s="120" t="s">
        <v>251</v>
      </c>
      <c r="M654" s="120" t="s">
        <v>251</v>
      </c>
      <c r="N654" s="120" t="s">
        <v>251</v>
      </c>
      <c r="O654" s="120" t="s">
        <v>251</v>
      </c>
      <c r="P654" s="120" t="s">
        <v>251</v>
      </c>
      <c r="Q654" s="120" t="s">
        <v>251</v>
      </c>
      <c r="R654" s="120"/>
      <c r="S654" s="121"/>
    </row>
    <row r="655" spans="1:19" ht="15">
      <c r="A655" s="105" t="s">
        <v>251</v>
      </c>
      <c r="B655" s="105"/>
      <c r="C655" s="107" t="s">
        <v>455</v>
      </c>
      <c r="D655" s="107" t="s">
        <v>251</v>
      </c>
      <c r="E655" s="120" t="s">
        <v>251</v>
      </c>
      <c r="F655" s="120" t="s">
        <v>251</v>
      </c>
      <c r="G655" s="120" t="s">
        <v>251</v>
      </c>
      <c r="H655" s="120" t="s">
        <v>251</v>
      </c>
      <c r="I655" s="120" t="s">
        <v>251</v>
      </c>
      <c r="J655" s="120" t="s">
        <v>251</v>
      </c>
      <c r="K655" s="120" t="s">
        <v>251</v>
      </c>
      <c r="L655" s="120" t="s">
        <v>251</v>
      </c>
      <c r="M655" s="120" t="s">
        <v>251</v>
      </c>
      <c r="N655" s="120" t="s">
        <v>251</v>
      </c>
      <c r="O655" s="120" t="s">
        <v>251</v>
      </c>
      <c r="P655" s="120" t="s">
        <v>251</v>
      </c>
      <c r="Q655" s="120" t="s">
        <v>251</v>
      </c>
      <c r="R655" s="120"/>
      <c r="S655" s="121"/>
    </row>
    <row r="656" spans="1:19" ht="15">
      <c r="A656" s="105">
        <v>5</v>
      </c>
      <c r="B656" s="105"/>
      <c r="C656" s="107" t="s">
        <v>456</v>
      </c>
      <c r="D656" s="107" t="s">
        <v>457</v>
      </c>
      <c r="E656" s="120">
        <v>0</v>
      </c>
      <c r="F656" s="120" t="s">
        <v>251</v>
      </c>
      <c r="G656" s="120">
        <v>0</v>
      </c>
      <c r="H656" s="120" t="s">
        <v>251</v>
      </c>
      <c r="I656" s="120">
        <v>0</v>
      </c>
      <c r="J656" s="120">
        <v>0</v>
      </c>
      <c r="K656" s="120" t="s">
        <v>251</v>
      </c>
      <c r="L656" s="120" t="s">
        <v>251</v>
      </c>
      <c r="M656" s="120">
        <v>0</v>
      </c>
      <c r="N656" s="120" t="s">
        <v>251</v>
      </c>
      <c r="O656" s="120">
        <v>0</v>
      </c>
      <c r="P656" s="120">
        <v>0</v>
      </c>
      <c r="Q656" s="120">
        <v>0</v>
      </c>
      <c r="R656" s="120"/>
      <c r="S656" s="121"/>
    </row>
    <row r="657" spans="1:19" ht="15">
      <c r="A657" s="105">
        <v>6</v>
      </c>
      <c r="B657" s="105"/>
      <c r="C657" s="107" t="s">
        <v>458</v>
      </c>
      <c r="D657" s="107" t="s">
        <v>459</v>
      </c>
      <c r="E657" s="120">
        <v>0</v>
      </c>
      <c r="F657" s="120" t="s">
        <v>251</v>
      </c>
      <c r="G657" s="120">
        <v>0</v>
      </c>
      <c r="H657" s="120" t="s">
        <v>251</v>
      </c>
      <c r="I657" s="120">
        <v>0</v>
      </c>
      <c r="J657" s="120">
        <v>0</v>
      </c>
      <c r="K657" s="120" t="s">
        <v>251</v>
      </c>
      <c r="L657" s="120" t="s">
        <v>251</v>
      </c>
      <c r="M657" s="120">
        <v>0</v>
      </c>
      <c r="N657" s="120" t="s">
        <v>251</v>
      </c>
      <c r="O657" s="120">
        <v>0</v>
      </c>
      <c r="P657" s="120">
        <v>0</v>
      </c>
      <c r="Q657" s="120">
        <v>0</v>
      </c>
      <c r="R657" s="120"/>
      <c r="S657" s="121"/>
    </row>
    <row r="658" spans="1:19" ht="15">
      <c r="A658" s="105" t="s">
        <v>251</v>
      </c>
      <c r="B658" s="105"/>
      <c r="C658" s="107" t="s">
        <v>251</v>
      </c>
      <c r="D658" s="107" t="s">
        <v>251</v>
      </c>
      <c r="E658" s="120" t="s">
        <v>251</v>
      </c>
      <c r="F658" s="120" t="s">
        <v>251</v>
      </c>
      <c r="G658" s="120" t="s">
        <v>251</v>
      </c>
      <c r="H658" s="120" t="s">
        <v>251</v>
      </c>
      <c r="I658" s="120" t="s">
        <v>251</v>
      </c>
      <c r="J658" s="120" t="s">
        <v>251</v>
      </c>
      <c r="K658" s="120" t="s">
        <v>251</v>
      </c>
      <c r="L658" s="120" t="s">
        <v>251</v>
      </c>
      <c r="M658" s="120" t="s">
        <v>251</v>
      </c>
      <c r="N658" s="120" t="s">
        <v>251</v>
      </c>
      <c r="O658" s="120" t="s">
        <v>251</v>
      </c>
      <c r="P658" s="120" t="s">
        <v>251</v>
      </c>
      <c r="Q658" s="120" t="s">
        <v>251</v>
      </c>
      <c r="R658" s="120"/>
      <c r="S658" s="121"/>
    </row>
    <row r="659" spans="1:19" ht="15">
      <c r="A659" s="105">
        <v>7</v>
      </c>
      <c r="B659" s="105"/>
      <c r="C659" s="107" t="s">
        <v>462</v>
      </c>
      <c r="D659" s="107" t="s">
        <v>251</v>
      </c>
      <c r="E659" s="120">
        <v>0</v>
      </c>
      <c r="F659" s="120" t="s">
        <v>251</v>
      </c>
      <c r="G659" s="120">
        <v>0</v>
      </c>
      <c r="H659" s="120" t="s">
        <v>251</v>
      </c>
      <c r="I659" s="120">
        <v>0</v>
      </c>
      <c r="J659" s="120">
        <v>0</v>
      </c>
      <c r="K659" s="120" t="s">
        <v>251</v>
      </c>
      <c r="L659" s="120" t="s">
        <v>251</v>
      </c>
      <c r="M659" s="120">
        <v>0</v>
      </c>
      <c r="N659" s="120" t="s">
        <v>251</v>
      </c>
      <c r="O659" s="120">
        <v>0</v>
      </c>
      <c r="P659" s="120">
        <v>0</v>
      </c>
      <c r="Q659" s="120">
        <v>0</v>
      </c>
      <c r="R659" s="120"/>
      <c r="S659" s="121"/>
    </row>
    <row r="660" spans="1:19" ht="15">
      <c r="A660" s="105" t="s">
        <v>251</v>
      </c>
      <c r="B660" s="105"/>
      <c r="C660" s="107" t="s">
        <v>251</v>
      </c>
      <c r="D660" s="107" t="s">
        <v>251</v>
      </c>
      <c r="E660" s="120" t="s">
        <v>251</v>
      </c>
      <c r="F660" s="120" t="s">
        <v>251</v>
      </c>
      <c r="G660" s="120" t="s">
        <v>251</v>
      </c>
      <c r="H660" s="120" t="s">
        <v>251</v>
      </c>
      <c r="I660" s="120" t="s">
        <v>251</v>
      </c>
      <c r="J660" s="120" t="s">
        <v>251</v>
      </c>
      <c r="K660" s="120" t="s">
        <v>251</v>
      </c>
      <c r="L660" s="120" t="s">
        <v>251</v>
      </c>
      <c r="M660" s="120" t="s">
        <v>251</v>
      </c>
      <c r="N660" s="120" t="s">
        <v>251</v>
      </c>
      <c r="O660" s="120" t="s">
        <v>251</v>
      </c>
      <c r="P660" s="120" t="s">
        <v>251</v>
      </c>
      <c r="Q660" s="120" t="s">
        <v>251</v>
      </c>
      <c r="R660" s="120"/>
      <c r="S660" s="121"/>
    </row>
    <row r="661" spans="1:19" ht="15">
      <c r="A661" s="105" t="s">
        <v>251</v>
      </c>
      <c r="B661" s="105"/>
      <c r="C661" s="107" t="s">
        <v>745</v>
      </c>
      <c r="D661" s="107" t="s">
        <v>251</v>
      </c>
      <c r="E661" s="120" t="s">
        <v>251</v>
      </c>
      <c r="F661" s="120" t="s">
        <v>251</v>
      </c>
      <c r="G661" s="120" t="s">
        <v>251</v>
      </c>
      <c r="H661" s="120" t="s">
        <v>251</v>
      </c>
      <c r="I661" s="120" t="s">
        <v>251</v>
      </c>
      <c r="J661" s="120" t="s">
        <v>251</v>
      </c>
      <c r="K661" s="120" t="s">
        <v>251</v>
      </c>
      <c r="L661" s="120" t="s">
        <v>251</v>
      </c>
      <c r="M661" s="120" t="s">
        <v>251</v>
      </c>
      <c r="N661" s="120" t="s">
        <v>251</v>
      </c>
      <c r="O661" s="120" t="s">
        <v>251</v>
      </c>
      <c r="P661" s="120" t="s">
        <v>251</v>
      </c>
      <c r="Q661" s="120" t="s">
        <v>251</v>
      </c>
      <c r="R661" s="120"/>
      <c r="S661" s="121"/>
    </row>
    <row r="662" spans="1:19" ht="15">
      <c r="A662" s="105">
        <v>8</v>
      </c>
      <c r="B662" s="105"/>
      <c r="C662" s="107" t="s">
        <v>753</v>
      </c>
      <c r="D662" s="107" t="s">
        <v>747</v>
      </c>
      <c r="E662" s="120">
        <v>0</v>
      </c>
      <c r="F662" s="120" t="s">
        <v>251</v>
      </c>
      <c r="G662" s="120">
        <v>0</v>
      </c>
      <c r="H662" s="120" t="s">
        <v>251</v>
      </c>
      <c r="I662" s="120">
        <v>0</v>
      </c>
      <c r="J662" s="120">
        <v>0</v>
      </c>
      <c r="K662" s="120" t="s">
        <v>251</v>
      </c>
      <c r="L662" s="120" t="s">
        <v>251</v>
      </c>
      <c r="M662" s="120">
        <v>0</v>
      </c>
      <c r="N662" s="120" t="s">
        <v>251</v>
      </c>
      <c r="O662" s="120">
        <v>0</v>
      </c>
      <c r="P662" s="120">
        <v>0</v>
      </c>
      <c r="Q662" s="120">
        <v>0</v>
      </c>
      <c r="R662" s="120"/>
      <c r="S662" s="121"/>
    </row>
    <row r="663" spans="1:19" ht="15">
      <c r="A663" s="105">
        <v>9</v>
      </c>
      <c r="B663" s="105"/>
      <c r="C663" s="107" t="s">
        <v>754</v>
      </c>
      <c r="D663" s="107" t="s">
        <v>749</v>
      </c>
      <c r="E663" s="120">
        <v>0</v>
      </c>
      <c r="F663" s="120" t="s">
        <v>251</v>
      </c>
      <c r="G663" s="120">
        <v>0</v>
      </c>
      <c r="H663" s="120" t="s">
        <v>251</v>
      </c>
      <c r="I663" s="120">
        <v>0</v>
      </c>
      <c r="J663" s="120">
        <v>0</v>
      </c>
      <c r="K663" s="120" t="s">
        <v>251</v>
      </c>
      <c r="L663" s="120" t="s">
        <v>251</v>
      </c>
      <c r="M663" s="120">
        <v>0</v>
      </c>
      <c r="N663" s="120" t="s">
        <v>251</v>
      </c>
      <c r="O663" s="120">
        <v>0</v>
      </c>
      <c r="P663" s="120">
        <v>0</v>
      </c>
      <c r="Q663" s="120">
        <v>0</v>
      </c>
      <c r="R663" s="120"/>
      <c r="S663" s="121"/>
    </row>
    <row r="664" spans="1:19" ht="15">
      <c r="A664" s="105" t="s">
        <v>251</v>
      </c>
      <c r="B664" s="105"/>
      <c r="C664" s="107" t="s">
        <v>251</v>
      </c>
      <c r="D664" s="107" t="s">
        <v>251</v>
      </c>
      <c r="E664" s="120" t="s">
        <v>251</v>
      </c>
      <c r="F664" s="120" t="s">
        <v>251</v>
      </c>
      <c r="G664" s="120" t="s">
        <v>251</v>
      </c>
      <c r="H664" s="120" t="s">
        <v>251</v>
      </c>
      <c r="I664" s="120" t="s">
        <v>251</v>
      </c>
      <c r="J664" s="120" t="s">
        <v>251</v>
      </c>
      <c r="K664" s="120" t="s">
        <v>251</v>
      </c>
      <c r="L664" s="120" t="s">
        <v>251</v>
      </c>
      <c r="M664" s="120" t="s">
        <v>251</v>
      </c>
      <c r="N664" s="120" t="s">
        <v>251</v>
      </c>
      <c r="O664" s="120" t="s">
        <v>251</v>
      </c>
      <c r="P664" s="120" t="s">
        <v>251</v>
      </c>
      <c r="Q664" s="120" t="s">
        <v>251</v>
      </c>
      <c r="R664" s="120"/>
      <c r="S664" s="121"/>
    </row>
    <row r="665" spans="1:19" ht="15">
      <c r="A665" s="105">
        <v>10</v>
      </c>
      <c r="B665" s="105"/>
      <c r="C665" s="107" t="s">
        <v>467</v>
      </c>
      <c r="D665" s="107" t="s">
        <v>251</v>
      </c>
      <c r="E665" s="120">
        <v>0</v>
      </c>
      <c r="F665" s="120" t="s">
        <v>251</v>
      </c>
      <c r="G665" s="120">
        <v>0</v>
      </c>
      <c r="H665" s="120" t="s">
        <v>251</v>
      </c>
      <c r="I665" s="120">
        <v>0</v>
      </c>
      <c r="J665" s="120">
        <v>0</v>
      </c>
      <c r="K665" s="120" t="s">
        <v>251</v>
      </c>
      <c r="L665" s="120" t="s">
        <v>251</v>
      </c>
      <c r="M665" s="120">
        <v>0</v>
      </c>
      <c r="N665" s="120" t="s">
        <v>251</v>
      </c>
      <c r="O665" s="120">
        <v>0</v>
      </c>
      <c r="P665" s="120">
        <v>0</v>
      </c>
      <c r="Q665" s="120">
        <v>0</v>
      </c>
      <c r="R665" s="120"/>
      <c r="S665" s="121"/>
    </row>
    <row r="666" spans="1:19" ht="15">
      <c r="A666" s="105" t="s">
        <v>251</v>
      </c>
      <c r="B666" s="105"/>
      <c r="C666" s="107" t="s">
        <v>251</v>
      </c>
      <c r="D666" s="107" t="s">
        <v>251</v>
      </c>
      <c r="E666" s="120" t="s">
        <v>251</v>
      </c>
      <c r="F666" s="120" t="s">
        <v>251</v>
      </c>
      <c r="G666" s="120" t="s">
        <v>251</v>
      </c>
      <c r="H666" s="120" t="s">
        <v>251</v>
      </c>
      <c r="I666" s="120" t="s">
        <v>251</v>
      </c>
      <c r="J666" s="120" t="s">
        <v>251</v>
      </c>
      <c r="K666" s="120" t="s">
        <v>251</v>
      </c>
      <c r="L666" s="120" t="s">
        <v>251</v>
      </c>
      <c r="M666" s="120" t="s">
        <v>251</v>
      </c>
      <c r="N666" s="120" t="s">
        <v>251</v>
      </c>
      <c r="O666" s="120" t="s">
        <v>251</v>
      </c>
      <c r="P666" s="120" t="s">
        <v>251</v>
      </c>
      <c r="Q666" s="120" t="s">
        <v>251</v>
      </c>
      <c r="R666" s="120"/>
      <c r="S666" s="121"/>
    </row>
    <row r="667" spans="1:19" ht="15">
      <c r="A667" s="105">
        <v>11</v>
      </c>
      <c r="B667" s="105"/>
      <c r="C667" s="107" t="s">
        <v>2250</v>
      </c>
      <c r="D667" s="107" t="s">
        <v>251</v>
      </c>
      <c r="E667" s="120">
        <v>5423472.9843401499</v>
      </c>
      <c r="F667" s="120" t="s">
        <v>251</v>
      </c>
      <c r="G667" s="120">
        <v>3560915.8346543</v>
      </c>
      <c r="H667" s="120" t="s">
        <v>251</v>
      </c>
      <c r="I667" s="120">
        <v>661098.55000000005</v>
      </c>
      <c r="J667" s="120">
        <v>1201458.5996858501</v>
      </c>
      <c r="K667" s="120" t="s">
        <v>251</v>
      </c>
      <c r="L667" s="120" t="s">
        <v>251</v>
      </c>
      <c r="M667" s="120">
        <v>0</v>
      </c>
      <c r="N667" s="120" t="s">
        <v>251</v>
      </c>
      <c r="O667" s="120">
        <v>1201458.5996858501</v>
      </c>
      <c r="P667" s="120">
        <v>372269.54975317343</v>
      </c>
      <c r="Q667" s="120">
        <v>829189.0499326766</v>
      </c>
      <c r="R667" s="120"/>
      <c r="S667" s="121"/>
    </row>
    <row r="668" spans="1:19" ht="15">
      <c r="A668" s="105" t="s">
        <v>251</v>
      </c>
      <c r="B668" s="105"/>
      <c r="C668" s="107" t="s">
        <v>251</v>
      </c>
      <c r="D668" s="107" t="s">
        <v>251</v>
      </c>
      <c r="E668" s="120" t="s">
        <v>251</v>
      </c>
      <c r="F668" s="120" t="s">
        <v>251</v>
      </c>
      <c r="G668" s="120" t="s">
        <v>251</v>
      </c>
      <c r="H668" s="120" t="s">
        <v>251</v>
      </c>
      <c r="I668" s="120" t="s">
        <v>251</v>
      </c>
      <c r="J668" s="120" t="s">
        <v>251</v>
      </c>
      <c r="K668" s="120" t="s">
        <v>251</v>
      </c>
      <c r="L668" s="120" t="s">
        <v>251</v>
      </c>
      <c r="M668" s="120" t="s">
        <v>251</v>
      </c>
      <c r="N668" s="120" t="s">
        <v>251</v>
      </c>
      <c r="O668" s="120" t="s">
        <v>251</v>
      </c>
      <c r="P668" s="120" t="s">
        <v>251</v>
      </c>
      <c r="Q668" s="120" t="s">
        <v>251</v>
      </c>
      <c r="R668" s="120"/>
      <c r="S668" s="121"/>
    </row>
    <row r="669" spans="1:19" ht="15">
      <c r="A669" s="105" t="s">
        <v>251</v>
      </c>
      <c r="B669" s="105"/>
      <c r="C669" s="107" t="s">
        <v>755</v>
      </c>
      <c r="D669" s="107" t="s">
        <v>251</v>
      </c>
      <c r="E669" s="120" t="s">
        <v>251</v>
      </c>
      <c r="F669" s="120" t="s">
        <v>251</v>
      </c>
      <c r="G669" s="120" t="s">
        <v>251</v>
      </c>
      <c r="H669" s="120" t="s">
        <v>251</v>
      </c>
      <c r="I669" s="120" t="s">
        <v>251</v>
      </c>
      <c r="J669" s="120" t="s">
        <v>251</v>
      </c>
      <c r="K669" s="120" t="s">
        <v>251</v>
      </c>
      <c r="L669" s="120" t="s">
        <v>251</v>
      </c>
      <c r="M669" s="120" t="s">
        <v>251</v>
      </c>
      <c r="N669" s="120" t="s">
        <v>251</v>
      </c>
      <c r="O669" s="120" t="s">
        <v>251</v>
      </c>
      <c r="P669" s="120" t="s">
        <v>251</v>
      </c>
      <c r="Q669" s="120" t="s">
        <v>251</v>
      </c>
      <c r="R669" s="120"/>
      <c r="S669" s="121"/>
    </row>
    <row r="670" spans="1:19" ht="15">
      <c r="A670" s="105" t="s">
        <v>251</v>
      </c>
      <c r="B670" s="105"/>
      <c r="C670" s="107" t="s">
        <v>251</v>
      </c>
      <c r="D670" s="107" t="s">
        <v>251</v>
      </c>
      <c r="E670" s="120" t="s">
        <v>251</v>
      </c>
      <c r="F670" s="120" t="s">
        <v>251</v>
      </c>
      <c r="G670" s="120" t="s">
        <v>251</v>
      </c>
      <c r="H670" s="120" t="s">
        <v>251</v>
      </c>
      <c r="I670" s="120" t="s">
        <v>251</v>
      </c>
      <c r="J670" s="120" t="s">
        <v>251</v>
      </c>
      <c r="K670" s="120" t="s">
        <v>251</v>
      </c>
      <c r="L670" s="120" t="s">
        <v>251</v>
      </c>
      <c r="M670" s="120" t="s">
        <v>251</v>
      </c>
      <c r="N670" s="120" t="s">
        <v>251</v>
      </c>
      <c r="O670" s="120" t="s">
        <v>251</v>
      </c>
      <c r="P670" s="120" t="s">
        <v>251</v>
      </c>
      <c r="Q670" s="120" t="s">
        <v>251</v>
      </c>
      <c r="R670" s="120"/>
      <c r="S670" s="121"/>
    </row>
    <row r="671" spans="1:19" ht="15">
      <c r="A671" s="105" t="s">
        <v>251</v>
      </c>
      <c r="B671" s="105"/>
      <c r="C671" s="107" t="s">
        <v>441</v>
      </c>
      <c r="D671" s="107" t="s">
        <v>251</v>
      </c>
      <c r="E671" s="120" t="s">
        <v>251</v>
      </c>
      <c r="F671" s="120" t="s">
        <v>251</v>
      </c>
      <c r="G671" s="120" t="s">
        <v>251</v>
      </c>
      <c r="H671" s="120" t="s">
        <v>251</v>
      </c>
      <c r="I671" s="120" t="s">
        <v>251</v>
      </c>
      <c r="J671" s="120" t="s">
        <v>251</v>
      </c>
      <c r="K671" s="120" t="s">
        <v>251</v>
      </c>
      <c r="L671" s="120" t="s">
        <v>251</v>
      </c>
      <c r="M671" s="120" t="s">
        <v>251</v>
      </c>
      <c r="N671" s="120" t="s">
        <v>251</v>
      </c>
      <c r="O671" s="120" t="s">
        <v>251</v>
      </c>
      <c r="P671" s="120" t="s">
        <v>251</v>
      </c>
      <c r="Q671" s="120" t="s">
        <v>251</v>
      </c>
      <c r="R671" s="120"/>
      <c r="S671" s="121"/>
    </row>
    <row r="672" spans="1:19" ht="15">
      <c r="A672" s="105">
        <v>12</v>
      </c>
      <c r="B672" s="105"/>
      <c r="C672" s="107" t="s">
        <v>442</v>
      </c>
      <c r="D672" s="107" t="s">
        <v>444</v>
      </c>
      <c r="E672" s="120">
        <v>0</v>
      </c>
      <c r="F672" s="120" t="s">
        <v>251</v>
      </c>
      <c r="G672" s="120">
        <v>0</v>
      </c>
      <c r="H672" s="120" t="s">
        <v>251</v>
      </c>
      <c r="I672" s="120">
        <v>0</v>
      </c>
      <c r="J672" s="120">
        <v>0</v>
      </c>
      <c r="K672" s="120" t="s">
        <v>251</v>
      </c>
      <c r="L672" s="120" t="s">
        <v>251</v>
      </c>
      <c r="M672" s="120">
        <v>0</v>
      </c>
      <c r="N672" s="120" t="s">
        <v>251</v>
      </c>
      <c r="O672" s="120">
        <v>0</v>
      </c>
      <c r="P672" s="120">
        <v>0</v>
      </c>
      <c r="Q672" s="120">
        <v>0</v>
      </c>
      <c r="R672" s="120"/>
      <c r="S672" s="121"/>
    </row>
    <row r="673" spans="1:19" ht="15">
      <c r="A673" s="105">
        <v>13</v>
      </c>
      <c r="B673" s="105"/>
      <c r="C673" s="107" t="s">
        <v>448</v>
      </c>
      <c r="D673" s="107" t="s">
        <v>449</v>
      </c>
      <c r="E673" s="120">
        <v>0</v>
      </c>
      <c r="F673" s="120" t="s">
        <v>251</v>
      </c>
      <c r="G673" s="120">
        <v>0</v>
      </c>
      <c r="H673" s="120" t="s">
        <v>251</v>
      </c>
      <c r="I673" s="120">
        <v>0</v>
      </c>
      <c r="J673" s="120">
        <v>0</v>
      </c>
      <c r="K673" s="120" t="s">
        <v>251</v>
      </c>
      <c r="L673" s="120" t="s">
        <v>251</v>
      </c>
      <c r="M673" s="120">
        <v>0</v>
      </c>
      <c r="N673" s="120" t="s">
        <v>251</v>
      </c>
      <c r="O673" s="120">
        <v>0</v>
      </c>
      <c r="P673" s="120">
        <v>0</v>
      </c>
      <c r="Q673" s="120">
        <v>0</v>
      </c>
      <c r="R673" s="120"/>
      <c r="S673" s="121"/>
    </row>
    <row r="674" spans="1:19" ht="15">
      <c r="A674" s="105">
        <v>14</v>
      </c>
      <c r="B674" s="105"/>
      <c r="C674" s="107" t="s">
        <v>451</v>
      </c>
      <c r="D674" s="107" t="s">
        <v>452</v>
      </c>
      <c r="E674" s="120">
        <v>0</v>
      </c>
      <c r="F674" s="120" t="s">
        <v>251</v>
      </c>
      <c r="G674" s="120">
        <v>0</v>
      </c>
      <c r="H674" s="120" t="s">
        <v>251</v>
      </c>
      <c r="I674" s="120">
        <v>0</v>
      </c>
      <c r="J674" s="120">
        <v>0</v>
      </c>
      <c r="K674" s="120" t="s">
        <v>251</v>
      </c>
      <c r="L674" s="120" t="s">
        <v>251</v>
      </c>
      <c r="M674" s="120">
        <v>0</v>
      </c>
      <c r="N674" s="120" t="s">
        <v>251</v>
      </c>
      <c r="O674" s="120">
        <v>0</v>
      </c>
      <c r="P674" s="120">
        <v>0</v>
      </c>
      <c r="Q674" s="120">
        <v>0</v>
      </c>
      <c r="R674" s="120"/>
      <c r="S674" s="121"/>
    </row>
    <row r="675" spans="1:19" ht="15">
      <c r="A675" s="105" t="s">
        <v>251</v>
      </c>
      <c r="B675" s="105"/>
      <c r="C675" s="107" t="s">
        <v>251</v>
      </c>
      <c r="D675" s="107" t="s">
        <v>251</v>
      </c>
      <c r="E675" s="120" t="s">
        <v>251</v>
      </c>
      <c r="F675" s="120" t="s">
        <v>251</v>
      </c>
      <c r="G675" s="120" t="s">
        <v>251</v>
      </c>
      <c r="H675" s="120" t="s">
        <v>251</v>
      </c>
      <c r="I675" s="120" t="s">
        <v>251</v>
      </c>
      <c r="J675" s="120" t="s">
        <v>251</v>
      </c>
      <c r="K675" s="120" t="s">
        <v>251</v>
      </c>
      <c r="L675" s="120" t="s">
        <v>251</v>
      </c>
      <c r="M675" s="120" t="s">
        <v>251</v>
      </c>
      <c r="N675" s="120" t="s">
        <v>251</v>
      </c>
      <c r="O675" s="120" t="s">
        <v>251</v>
      </c>
      <c r="P675" s="120" t="s">
        <v>251</v>
      </c>
      <c r="Q675" s="120" t="s">
        <v>251</v>
      </c>
      <c r="R675" s="120"/>
      <c r="S675" s="121"/>
    </row>
    <row r="676" spans="1:19" ht="15">
      <c r="A676" s="105">
        <v>15</v>
      </c>
      <c r="B676" s="105"/>
      <c r="C676" s="107" t="s">
        <v>454</v>
      </c>
      <c r="D676" s="107" t="s">
        <v>251</v>
      </c>
      <c r="E676" s="120">
        <v>0</v>
      </c>
      <c r="F676" s="120" t="s">
        <v>251</v>
      </c>
      <c r="G676" s="120">
        <v>0</v>
      </c>
      <c r="H676" s="120" t="s">
        <v>251</v>
      </c>
      <c r="I676" s="120">
        <v>0</v>
      </c>
      <c r="J676" s="120">
        <v>0</v>
      </c>
      <c r="K676" s="120" t="s">
        <v>251</v>
      </c>
      <c r="L676" s="120" t="s">
        <v>251</v>
      </c>
      <c r="M676" s="120">
        <v>0</v>
      </c>
      <c r="N676" s="120" t="s">
        <v>251</v>
      </c>
      <c r="O676" s="120">
        <v>0</v>
      </c>
      <c r="P676" s="120">
        <v>0</v>
      </c>
      <c r="Q676" s="120">
        <v>0</v>
      </c>
      <c r="R676" s="120"/>
      <c r="S676" s="121"/>
    </row>
    <row r="677" spans="1:19" ht="15">
      <c r="A677" s="105" t="s">
        <v>251</v>
      </c>
      <c r="B677" s="105"/>
      <c r="C677" s="107" t="s">
        <v>251</v>
      </c>
      <c r="D677" s="107" t="s">
        <v>251</v>
      </c>
      <c r="E677" s="120" t="s">
        <v>251</v>
      </c>
      <c r="F677" s="120" t="s">
        <v>251</v>
      </c>
      <c r="G677" s="120" t="s">
        <v>251</v>
      </c>
      <c r="H677" s="120" t="s">
        <v>251</v>
      </c>
      <c r="I677" s="120" t="s">
        <v>251</v>
      </c>
      <c r="J677" s="120" t="s">
        <v>251</v>
      </c>
      <c r="K677" s="120" t="s">
        <v>251</v>
      </c>
      <c r="L677" s="120" t="s">
        <v>251</v>
      </c>
      <c r="M677" s="120" t="s">
        <v>251</v>
      </c>
      <c r="N677" s="120" t="s">
        <v>251</v>
      </c>
      <c r="O677" s="120" t="s">
        <v>251</v>
      </c>
      <c r="P677" s="120" t="s">
        <v>251</v>
      </c>
      <c r="Q677" s="120" t="s">
        <v>251</v>
      </c>
      <c r="R677" s="120"/>
      <c r="S677" s="121"/>
    </row>
    <row r="678" spans="1:19" ht="15">
      <c r="A678" s="105" t="s">
        <v>251</v>
      </c>
      <c r="B678" s="105"/>
      <c r="C678" s="107" t="s">
        <v>455</v>
      </c>
      <c r="D678" s="107" t="s">
        <v>251</v>
      </c>
      <c r="E678" s="120" t="s">
        <v>251</v>
      </c>
      <c r="F678" s="120" t="s">
        <v>251</v>
      </c>
      <c r="G678" s="120" t="s">
        <v>251</v>
      </c>
      <c r="H678" s="120" t="s">
        <v>251</v>
      </c>
      <c r="I678" s="120" t="s">
        <v>251</v>
      </c>
      <c r="J678" s="120" t="s">
        <v>251</v>
      </c>
      <c r="K678" s="120" t="s">
        <v>251</v>
      </c>
      <c r="L678" s="120" t="s">
        <v>251</v>
      </c>
      <c r="M678" s="120" t="s">
        <v>251</v>
      </c>
      <c r="N678" s="120" t="s">
        <v>251</v>
      </c>
      <c r="O678" s="120" t="s">
        <v>251</v>
      </c>
      <c r="P678" s="120" t="s">
        <v>251</v>
      </c>
      <c r="Q678" s="120" t="s">
        <v>251</v>
      </c>
      <c r="R678" s="120"/>
      <c r="S678" s="121"/>
    </row>
    <row r="679" spans="1:19" ht="15">
      <c r="A679" s="105">
        <v>16</v>
      </c>
      <c r="B679" s="105"/>
      <c r="C679" s="107" t="s">
        <v>456</v>
      </c>
      <c r="D679" s="107" t="s">
        <v>457</v>
      </c>
      <c r="E679" s="120">
        <v>0</v>
      </c>
      <c r="F679" s="120" t="s">
        <v>251</v>
      </c>
      <c r="G679" s="120">
        <v>0</v>
      </c>
      <c r="H679" s="120" t="s">
        <v>251</v>
      </c>
      <c r="I679" s="120">
        <v>0</v>
      </c>
      <c r="J679" s="120">
        <v>0</v>
      </c>
      <c r="K679" s="120" t="s">
        <v>251</v>
      </c>
      <c r="L679" s="120" t="s">
        <v>251</v>
      </c>
      <c r="M679" s="120">
        <v>0</v>
      </c>
      <c r="N679" s="120" t="s">
        <v>251</v>
      </c>
      <c r="O679" s="120">
        <v>0</v>
      </c>
      <c r="P679" s="120">
        <v>0</v>
      </c>
      <c r="Q679" s="120">
        <v>0</v>
      </c>
      <c r="R679" s="120"/>
      <c r="S679" s="121"/>
    </row>
    <row r="680" spans="1:19" ht="15">
      <c r="A680" s="105">
        <v>17</v>
      </c>
      <c r="B680" s="105"/>
      <c r="C680" s="107" t="s">
        <v>458</v>
      </c>
      <c r="D680" s="107" t="s">
        <v>459</v>
      </c>
      <c r="E680" s="120">
        <v>0</v>
      </c>
      <c r="F680" s="120" t="s">
        <v>251</v>
      </c>
      <c r="G680" s="120">
        <v>0</v>
      </c>
      <c r="H680" s="120" t="s">
        <v>251</v>
      </c>
      <c r="I680" s="120">
        <v>0</v>
      </c>
      <c r="J680" s="120">
        <v>0</v>
      </c>
      <c r="K680" s="120" t="s">
        <v>251</v>
      </c>
      <c r="L680" s="120" t="s">
        <v>251</v>
      </c>
      <c r="M680" s="120">
        <v>0</v>
      </c>
      <c r="N680" s="120" t="s">
        <v>251</v>
      </c>
      <c r="O680" s="120">
        <v>0</v>
      </c>
      <c r="P680" s="120">
        <v>0</v>
      </c>
      <c r="Q680" s="120">
        <v>0</v>
      </c>
      <c r="R680" s="120"/>
      <c r="S680" s="121"/>
    </row>
    <row r="681" spans="1:19" ht="15">
      <c r="A681" s="105" t="s">
        <v>251</v>
      </c>
      <c r="B681" s="105"/>
      <c r="C681" s="107" t="s">
        <v>251</v>
      </c>
      <c r="D681" s="107" t="s">
        <v>251</v>
      </c>
      <c r="E681" s="120" t="s">
        <v>251</v>
      </c>
      <c r="F681" s="120" t="s">
        <v>251</v>
      </c>
      <c r="G681" s="120" t="s">
        <v>251</v>
      </c>
      <c r="H681" s="120" t="s">
        <v>251</v>
      </c>
      <c r="I681" s="120" t="s">
        <v>251</v>
      </c>
      <c r="J681" s="120" t="s">
        <v>251</v>
      </c>
      <c r="K681" s="120" t="s">
        <v>251</v>
      </c>
      <c r="L681" s="120" t="s">
        <v>251</v>
      </c>
      <c r="M681" s="120" t="s">
        <v>251</v>
      </c>
      <c r="N681" s="120" t="s">
        <v>251</v>
      </c>
      <c r="O681" s="120" t="s">
        <v>251</v>
      </c>
      <c r="P681" s="120" t="s">
        <v>251</v>
      </c>
      <c r="Q681" s="120" t="s">
        <v>251</v>
      </c>
      <c r="R681" s="120"/>
      <c r="S681" s="121"/>
    </row>
    <row r="682" spans="1:19" ht="15">
      <c r="A682" s="105">
        <v>18</v>
      </c>
      <c r="B682" s="105"/>
      <c r="C682" s="107" t="s">
        <v>462</v>
      </c>
      <c r="D682" s="107" t="s">
        <v>251</v>
      </c>
      <c r="E682" s="120">
        <v>0</v>
      </c>
      <c r="F682" s="120" t="s">
        <v>251</v>
      </c>
      <c r="G682" s="120">
        <v>0</v>
      </c>
      <c r="H682" s="120" t="s">
        <v>251</v>
      </c>
      <c r="I682" s="120">
        <v>0</v>
      </c>
      <c r="J682" s="120">
        <v>0</v>
      </c>
      <c r="K682" s="120" t="s">
        <v>251</v>
      </c>
      <c r="L682" s="120" t="s">
        <v>251</v>
      </c>
      <c r="M682" s="120">
        <v>0</v>
      </c>
      <c r="N682" s="120" t="s">
        <v>251</v>
      </c>
      <c r="O682" s="120">
        <v>0</v>
      </c>
      <c r="P682" s="120">
        <v>0</v>
      </c>
      <c r="Q682" s="120">
        <v>0</v>
      </c>
      <c r="R682" s="120"/>
      <c r="S682" s="121"/>
    </row>
    <row r="683" spans="1:19" ht="15">
      <c r="A683" s="105" t="s">
        <v>251</v>
      </c>
      <c r="B683" s="105"/>
      <c r="C683" s="107" t="s">
        <v>251</v>
      </c>
      <c r="D683" s="107" t="s">
        <v>251</v>
      </c>
      <c r="E683" s="120" t="s">
        <v>251</v>
      </c>
      <c r="F683" s="120" t="s">
        <v>251</v>
      </c>
      <c r="G683" s="120" t="s">
        <v>251</v>
      </c>
      <c r="H683" s="120" t="s">
        <v>251</v>
      </c>
      <c r="I683" s="120" t="s">
        <v>251</v>
      </c>
      <c r="J683" s="120" t="s">
        <v>251</v>
      </c>
      <c r="K683" s="120" t="s">
        <v>251</v>
      </c>
      <c r="L683" s="120" t="s">
        <v>251</v>
      </c>
      <c r="M683" s="120" t="s">
        <v>251</v>
      </c>
      <c r="N683" s="120" t="s">
        <v>251</v>
      </c>
      <c r="O683" s="120" t="s">
        <v>251</v>
      </c>
      <c r="P683" s="120" t="s">
        <v>251</v>
      </c>
      <c r="Q683" s="120" t="s">
        <v>251</v>
      </c>
      <c r="R683" s="120"/>
      <c r="S683" s="121"/>
    </row>
    <row r="684" spans="1:19" ht="15">
      <c r="A684" s="105" t="s">
        <v>251</v>
      </c>
      <c r="B684" s="105"/>
      <c r="C684" s="107" t="s">
        <v>358</v>
      </c>
      <c r="D684" s="107" t="s">
        <v>251</v>
      </c>
      <c r="E684" s="120" t="s">
        <v>251</v>
      </c>
      <c r="F684" s="120" t="s">
        <v>251</v>
      </c>
      <c r="G684" s="120" t="s">
        <v>251</v>
      </c>
      <c r="H684" s="120" t="s">
        <v>251</v>
      </c>
      <c r="I684" s="120" t="s">
        <v>251</v>
      </c>
      <c r="J684" s="120" t="s">
        <v>251</v>
      </c>
      <c r="K684" s="120" t="s">
        <v>251</v>
      </c>
      <c r="L684" s="120" t="s">
        <v>251</v>
      </c>
      <c r="M684" s="120" t="s">
        <v>251</v>
      </c>
      <c r="N684" s="120" t="s">
        <v>251</v>
      </c>
      <c r="O684" s="120" t="s">
        <v>251</v>
      </c>
      <c r="P684" s="120" t="s">
        <v>251</v>
      </c>
      <c r="Q684" s="120" t="s">
        <v>251</v>
      </c>
      <c r="R684" s="120"/>
      <c r="S684" s="121"/>
    </row>
    <row r="685" spans="1:19" ht="15">
      <c r="A685" s="105">
        <v>19</v>
      </c>
      <c r="B685" s="105"/>
      <c r="C685" s="107" t="s">
        <v>456</v>
      </c>
      <c r="D685" s="107" t="s">
        <v>747</v>
      </c>
      <c r="E685" s="120">
        <v>0</v>
      </c>
      <c r="F685" s="120" t="s">
        <v>251</v>
      </c>
      <c r="G685" s="120">
        <v>0</v>
      </c>
      <c r="H685" s="120" t="s">
        <v>251</v>
      </c>
      <c r="I685" s="120">
        <v>0</v>
      </c>
      <c r="J685" s="120">
        <v>0</v>
      </c>
      <c r="K685" s="120" t="s">
        <v>251</v>
      </c>
      <c r="L685" s="120" t="s">
        <v>251</v>
      </c>
      <c r="M685" s="120">
        <v>0</v>
      </c>
      <c r="N685" s="120" t="s">
        <v>251</v>
      </c>
      <c r="O685" s="120">
        <v>0</v>
      </c>
      <c r="P685" s="120">
        <v>0</v>
      </c>
      <c r="Q685" s="120">
        <v>0</v>
      </c>
      <c r="R685" s="120"/>
      <c r="S685" s="121"/>
    </row>
    <row r="686" spans="1:19" ht="15">
      <c r="A686" s="105">
        <v>20</v>
      </c>
      <c r="B686" s="105"/>
      <c r="C686" s="107" t="s">
        <v>458</v>
      </c>
      <c r="D686" s="107" t="s">
        <v>525</v>
      </c>
      <c r="E686" s="120">
        <v>0</v>
      </c>
      <c r="F686" s="120" t="s">
        <v>251</v>
      </c>
      <c r="G686" s="120">
        <v>0</v>
      </c>
      <c r="H686" s="120" t="s">
        <v>251</v>
      </c>
      <c r="I686" s="120">
        <v>0</v>
      </c>
      <c r="J686" s="120">
        <v>0</v>
      </c>
      <c r="K686" s="120" t="s">
        <v>251</v>
      </c>
      <c r="L686" s="120" t="s">
        <v>251</v>
      </c>
      <c r="M686" s="120">
        <v>0</v>
      </c>
      <c r="N686" s="120" t="s">
        <v>251</v>
      </c>
      <c r="O686" s="120">
        <v>0</v>
      </c>
      <c r="P686" s="120">
        <v>0</v>
      </c>
      <c r="Q686" s="120">
        <v>0</v>
      </c>
      <c r="R686" s="120"/>
      <c r="S686" s="121"/>
    </row>
    <row r="687" spans="1:19" ht="15">
      <c r="A687" s="105" t="s">
        <v>251</v>
      </c>
      <c r="B687" s="105"/>
      <c r="C687" s="107" t="s">
        <v>251</v>
      </c>
      <c r="D687" s="107" t="s">
        <v>251</v>
      </c>
      <c r="E687" s="120" t="s">
        <v>251</v>
      </c>
      <c r="F687" s="120" t="s">
        <v>251</v>
      </c>
      <c r="G687" s="120" t="s">
        <v>251</v>
      </c>
      <c r="H687" s="120" t="s">
        <v>251</v>
      </c>
      <c r="I687" s="120" t="s">
        <v>251</v>
      </c>
      <c r="J687" s="120" t="s">
        <v>251</v>
      </c>
      <c r="K687" s="120" t="s">
        <v>251</v>
      </c>
      <c r="L687" s="120" t="s">
        <v>251</v>
      </c>
      <c r="M687" s="120" t="s">
        <v>251</v>
      </c>
      <c r="N687" s="120" t="s">
        <v>251</v>
      </c>
      <c r="O687" s="120" t="s">
        <v>251</v>
      </c>
      <c r="P687" s="120" t="s">
        <v>251</v>
      </c>
      <c r="Q687" s="120" t="s">
        <v>251</v>
      </c>
      <c r="R687" s="120"/>
      <c r="S687" s="121"/>
    </row>
    <row r="688" spans="1:19" ht="15">
      <c r="A688" s="105">
        <v>21</v>
      </c>
      <c r="B688" s="105"/>
      <c r="C688" s="107" t="s">
        <v>467</v>
      </c>
      <c r="D688" s="107" t="s">
        <v>251</v>
      </c>
      <c r="E688" s="120">
        <v>0</v>
      </c>
      <c r="F688" s="120" t="s">
        <v>251</v>
      </c>
      <c r="G688" s="120">
        <v>0</v>
      </c>
      <c r="H688" s="120" t="s">
        <v>251</v>
      </c>
      <c r="I688" s="120">
        <v>0</v>
      </c>
      <c r="J688" s="120">
        <v>0</v>
      </c>
      <c r="K688" s="120" t="s">
        <v>251</v>
      </c>
      <c r="L688" s="120" t="s">
        <v>251</v>
      </c>
      <c r="M688" s="120">
        <v>0</v>
      </c>
      <c r="N688" s="120" t="s">
        <v>251</v>
      </c>
      <c r="O688" s="120">
        <v>0</v>
      </c>
      <c r="P688" s="120">
        <v>0</v>
      </c>
      <c r="Q688" s="120">
        <v>0</v>
      </c>
      <c r="R688" s="120"/>
      <c r="S688" s="121"/>
    </row>
    <row r="689" spans="1:19" ht="15">
      <c r="A689" s="105" t="s">
        <v>251</v>
      </c>
      <c r="B689" s="105"/>
      <c r="C689" s="107" t="s">
        <v>251</v>
      </c>
      <c r="D689" s="107" t="s">
        <v>251</v>
      </c>
      <c r="E689" s="120" t="s">
        <v>251</v>
      </c>
      <c r="F689" s="120" t="s">
        <v>251</v>
      </c>
      <c r="G689" s="120" t="s">
        <v>251</v>
      </c>
      <c r="H689" s="120" t="s">
        <v>251</v>
      </c>
      <c r="I689" s="120" t="s">
        <v>251</v>
      </c>
      <c r="J689" s="120" t="s">
        <v>251</v>
      </c>
      <c r="K689" s="120" t="s">
        <v>251</v>
      </c>
      <c r="L689" s="120" t="s">
        <v>251</v>
      </c>
      <c r="M689" s="120" t="s">
        <v>251</v>
      </c>
      <c r="N689" s="120" t="s">
        <v>251</v>
      </c>
      <c r="O689" s="120" t="s">
        <v>251</v>
      </c>
      <c r="P689" s="120" t="s">
        <v>251</v>
      </c>
      <c r="Q689" s="120" t="s">
        <v>251</v>
      </c>
      <c r="R689" s="120"/>
      <c r="S689" s="121"/>
    </row>
    <row r="690" spans="1:19" ht="15">
      <c r="A690" s="105">
        <v>22</v>
      </c>
      <c r="B690" s="105"/>
      <c r="C690" s="107" t="s">
        <v>756</v>
      </c>
      <c r="D690" s="107" t="s">
        <v>251</v>
      </c>
      <c r="E690" s="120">
        <v>0</v>
      </c>
      <c r="F690" s="120" t="s">
        <v>251</v>
      </c>
      <c r="G690" s="120">
        <v>0</v>
      </c>
      <c r="H690" s="120" t="s">
        <v>251</v>
      </c>
      <c r="I690" s="120">
        <v>0</v>
      </c>
      <c r="J690" s="120">
        <v>0</v>
      </c>
      <c r="K690" s="120" t="s">
        <v>251</v>
      </c>
      <c r="L690" s="120" t="s">
        <v>251</v>
      </c>
      <c r="M690" s="120">
        <v>0</v>
      </c>
      <c r="N690" s="120" t="s">
        <v>251</v>
      </c>
      <c r="O690" s="120">
        <v>0</v>
      </c>
      <c r="P690" s="120">
        <v>0</v>
      </c>
      <c r="Q690" s="120">
        <v>0</v>
      </c>
      <c r="R690" s="120"/>
      <c r="S690" s="121"/>
    </row>
    <row r="691" spans="1:19" ht="15">
      <c r="A691" s="105" t="s">
        <v>251</v>
      </c>
      <c r="B691" s="105"/>
      <c r="C691" s="107" t="s">
        <v>251</v>
      </c>
      <c r="D691" s="107" t="s">
        <v>251</v>
      </c>
      <c r="E691" s="120" t="s">
        <v>251</v>
      </c>
      <c r="F691" s="120" t="s">
        <v>251</v>
      </c>
      <c r="G691" s="120" t="s">
        <v>251</v>
      </c>
      <c r="H691" s="120" t="s">
        <v>251</v>
      </c>
      <c r="I691" s="120" t="s">
        <v>251</v>
      </c>
      <c r="J691" s="120" t="s">
        <v>251</v>
      </c>
      <c r="K691" s="120" t="s">
        <v>251</v>
      </c>
      <c r="L691" s="120" t="s">
        <v>251</v>
      </c>
      <c r="M691" s="120" t="s">
        <v>251</v>
      </c>
      <c r="N691" s="120" t="s">
        <v>251</v>
      </c>
      <c r="O691" s="120" t="s">
        <v>251</v>
      </c>
      <c r="P691" s="120" t="s">
        <v>251</v>
      </c>
      <c r="Q691" s="120" t="s">
        <v>251</v>
      </c>
      <c r="R691" s="120"/>
      <c r="S691" s="121"/>
    </row>
    <row r="692" spans="1:19" ht="15">
      <c r="A692" s="105" t="s">
        <v>251</v>
      </c>
      <c r="B692" s="105"/>
      <c r="C692" s="107" t="s">
        <v>757</v>
      </c>
      <c r="D692" s="107" t="s">
        <v>251</v>
      </c>
      <c r="E692" s="120" t="s">
        <v>251</v>
      </c>
      <c r="F692" s="120" t="s">
        <v>251</v>
      </c>
      <c r="G692" s="120" t="s">
        <v>251</v>
      </c>
      <c r="H692" s="120" t="s">
        <v>251</v>
      </c>
      <c r="I692" s="120" t="s">
        <v>251</v>
      </c>
      <c r="J692" s="120" t="s">
        <v>251</v>
      </c>
      <c r="K692" s="120" t="s">
        <v>251</v>
      </c>
      <c r="L692" s="120" t="s">
        <v>251</v>
      </c>
      <c r="M692" s="120" t="s">
        <v>251</v>
      </c>
      <c r="N692" s="120" t="s">
        <v>251</v>
      </c>
      <c r="O692" s="120" t="s">
        <v>251</v>
      </c>
      <c r="P692" s="120" t="s">
        <v>251</v>
      </c>
      <c r="Q692" s="120" t="s">
        <v>251</v>
      </c>
      <c r="R692" s="120"/>
      <c r="S692" s="121"/>
    </row>
    <row r="693" spans="1:19" ht="15">
      <c r="A693" s="105" t="s">
        <v>251</v>
      </c>
      <c r="B693" s="105"/>
      <c r="C693" s="107" t="s">
        <v>251</v>
      </c>
      <c r="D693" s="107" t="s">
        <v>251</v>
      </c>
      <c r="E693" s="120" t="s">
        <v>251</v>
      </c>
      <c r="F693" s="120" t="s">
        <v>251</v>
      </c>
      <c r="G693" s="120" t="s">
        <v>251</v>
      </c>
      <c r="H693" s="120" t="s">
        <v>251</v>
      </c>
      <c r="I693" s="120" t="s">
        <v>251</v>
      </c>
      <c r="J693" s="120" t="s">
        <v>251</v>
      </c>
      <c r="K693" s="120" t="s">
        <v>251</v>
      </c>
      <c r="L693" s="120" t="s">
        <v>251</v>
      </c>
      <c r="M693" s="120" t="s">
        <v>251</v>
      </c>
      <c r="N693" s="120" t="s">
        <v>251</v>
      </c>
      <c r="O693" s="120" t="s">
        <v>251</v>
      </c>
      <c r="P693" s="120" t="s">
        <v>251</v>
      </c>
      <c r="Q693" s="120" t="s">
        <v>251</v>
      </c>
      <c r="R693" s="120"/>
      <c r="S693" s="121"/>
    </row>
    <row r="694" spans="1:19" ht="15">
      <c r="A694" s="105" t="s">
        <v>251</v>
      </c>
      <c r="B694" s="105"/>
      <c r="C694" s="107" t="s">
        <v>758</v>
      </c>
      <c r="D694" s="107" t="s">
        <v>251</v>
      </c>
      <c r="E694" s="120" t="s">
        <v>251</v>
      </c>
      <c r="F694" s="120" t="s">
        <v>251</v>
      </c>
      <c r="G694" s="120" t="s">
        <v>251</v>
      </c>
      <c r="H694" s="120" t="s">
        <v>251</v>
      </c>
      <c r="I694" s="120" t="s">
        <v>251</v>
      </c>
      <c r="J694" s="120" t="s">
        <v>251</v>
      </c>
      <c r="K694" s="120" t="s">
        <v>251</v>
      </c>
      <c r="L694" s="120" t="s">
        <v>251</v>
      </c>
      <c r="M694" s="120" t="s">
        <v>251</v>
      </c>
      <c r="N694" s="120" t="s">
        <v>251</v>
      </c>
      <c r="O694" s="120" t="s">
        <v>251</v>
      </c>
      <c r="P694" s="120" t="s">
        <v>251</v>
      </c>
      <c r="Q694" s="120" t="s">
        <v>251</v>
      </c>
      <c r="R694" s="120"/>
      <c r="S694" s="121"/>
    </row>
    <row r="695" spans="1:19" ht="15">
      <c r="A695" s="105">
        <v>1</v>
      </c>
      <c r="B695" s="105"/>
      <c r="C695" s="107" t="s">
        <v>759</v>
      </c>
      <c r="D695" s="107" t="s">
        <v>760</v>
      </c>
      <c r="E695" s="120">
        <v>30579582.566147894</v>
      </c>
      <c r="F695" s="120" t="s">
        <v>251</v>
      </c>
      <c r="G695" s="120">
        <v>27334312.971013051</v>
      </c>
      <c r="H695" s="120" t="s">
        <v>251</v>
      </c>
      <c r="I695" s="120">
        <v>1416767.4777780441</v>
      </c>
      <c r="J695" s="120">
        <v>1828502.1173567998</v>
      </c>
      <c r="K695" s="120" t="s">
        <v>251</v>
      </c>
      <c r="L695" s="120" t="s">
        <v>251</v>
      </c>
      <c r="M695" s="120">
        <v>2536.1559119264753</v>
      </c>
      <c r="N695" s="120" t="s">
        <v>251</v>
      </c>
      <c r="O695" s="120">
        <v>1825965.9614448734</v>
      </c>
      <c r="P695" s="120">
        <v>571333.6484411105</v>
      </c>
      <c r="Q695" s="120">
        <v>1254632.3130037629</v>
      </c>
      <c r="R695" s="120"/>
      <c r="S695" s="121"/>
    </row>
    <row r="696" spans="1:19" ht="15">
      <c r="A696" s="105">
        <v>2</v>
      </c>
      <c r="B696" s="105"/>
      <c r="C696" s="107" t="s">
        <v>761</v>
      </c>
      <c r="D696" s="107" t="s">
        <v>512</v>
      </c>
      <c r="E696" s="120">
        <v>3318255.52</v>
      </c>
      <c r="F696" s="120" t="s">
        <v>251</v>
      </c>
      <c r="G696" s="120">
        <v>3318255.52</v>
      </c>
      <c r="H696" s="120" t="s">
        <v>251</v>
      </c>
      <c r="I696" s="120">
        <v>0</v>
      </c>
      <c r="J696" s="120">
        <v>0</v>
      </c>
      <c r="K696" s="120" t="s">
        <v>251</v>
      </c>
      <c r="L696" s="120" t="s">
        <v>251</v>
      </c>
      <c r="M696" s="120">
        <v>0</v>
      </c>
      <c r="N696" s="120" t="s">
        <v>251</v>
      </c>
      <c r="O696" s="120">
        <v>0</v>
      </c>
      <c r="P696" s="120">
        <v>0</v>
      </c>
      <c r="Q696" s="120">
        <v>0</v>
      </c>
      <c r="R696" s="120"/>
      <c r="S696" s="121"/>
    </row>
    <row r="697" spans="1:19" ht="15">
      <c r="A697" s="105">
        <v>3</v>
      </c>
      <c r="B697" s="105"/>
      <c r="C697" s="107" t="s">
        <v>762</v>
      </c>
      <c r="D697" s="107" t="s">
        <v>736</v>
      </c>
      <c r="E697" s="120">
        <v>0</v>
      </c>
      <c r="F697" s="120" t="s">
        <v>251</v>
      </c>
      <c r="G697" s="120">
        <v>0</v>
      </c>
      <c r="H697" s="120" t="s">
        <v>251</v>
      </c>
      <c r="I697" s="120">
        <v>0</v>
      </c>
      <c r="J697" s="120">
        <v>0</v>
      </c>
      <c r="K697" s="120" t="s">
        <v>251</v>
      </c>
      <c r="L697" s="120" t="s">
        <v>251</v>
      </c>
      <c r="M697" s="120">
        <v>0</v>
      </c>
      <c r="N697" s="120" t="s">
        <v>251</v>
      </c>
      <c r="O697" s="120">
        <v>0</v>
      </c>
      <c r="P697" s="120">
        <v>0</v>
      </c>
      <c r="Q697" s="120">
        <v>0</v>
      </c>
      <c r="R697" s="120"/>
      <c r="S697" s="121"/>
    </row>
    <row r="698" spans="1:19" ht="15">
      <c r="A698" s="105">
        <v>4</v>
      </c>
      <c r="B698" s="105"/>
      <c r="C698" s="107" t="s">
        <v>2499</v>
      </c>
      <c r="D698" s="107" t="s">
        <v>419</v>
      </c>
      <c r="E698" s="120">
        <v>0</v>
      </c>
      <c r="F698" s="120" t="s">
        <v>251</v>
      </c>
      <c r="G698" s="120">
        <v>0</v>
      </c>
      <c r="H698" s="120" t="s">
        <v>251</v>
      </c>
      <c r="I698" s="120">
        <v>0</v>
      </c>
      <c r="J698" s="120">
        <v>0</v>
      </c>
      <c r="K698" s="120" t="s">
        <v>251</v>
      </c>
      <c r="L698" s="120" t="s">
        <v>251</v>
      </c>
      <c r="M698" s="120">
        <v>0</v>
      </c>
      <c r="N698" s="120" t="s">
        <v>251</v>
      </c>
      <c r="O698" s="120">
        <v>0</v>
      </c>
      <c r="P698" s="120">
        <v>0</v>
      </c>
      <c r="Q698" s="120">
        <v>0</v>
      </c>
      <c r="R698" s="120"/>
      <c r="S698" s="121"/>
    </row>
    <row r="699" spans="1:19" ht="15">
      <c r="A699" s="105">
        <v>5</v>
      </c>
      <c r="B699" s="105"/>
      <c r="C699" s="107" t="s">
        <v>2500</v>
      </c>
      <c r="D699" s="107" t="s">
        <v>419</v>
      </c>
      <c r="E699" s="120">
        <v>10857217.060000001</v>
      </c>
      <c r="F699" s="120" t="s">
        <v>251</v>
      </c>
      <c r="G699" s="120">
        <v>9833578.6704234947</v>
      </c>
      <c r="H699" s="120" t="s">
        <v>251</v>
      </c>
      <c r="I699" s="120">
        <v>496537.02100313018</v>
      </c>
      <c r="J699" s="120">
        <v>527101.36857337586</v>
      </c>
      <c r="K699" s="120" t="s">
        <v>251</v>
      </c>
      <c r="L699" s="120" t="s">
        <v>251</v>
      </c>
      <c r="M699" s="120">
        <v>759.47628920803322</v>
      </c>
      <c r="N699" s="120" t="s">
        <v>251</v>
      </c>
      <c r="O699" s="120">
        <v>526341.89228416781</v>
      </c>
      <c r="P699" s="120">
        <v>167725.57554416466</v>
      </c>
      <c r="Q699" s="120">
        <v>358616.31674000312</v>
      </c>
      <c r="R699" s="120"/>
      <c r="S699" s="121"/>
    </row>
    <row r="700" spans="1:19" ht="15">
      <c r="A700" s="105">
        <v>6</v>
      </c>
      <c r="B700" s="105"/>
      <c r="C700" s="107" t="s">
        <v>763</v>
      </c>
      <c r="D700" s="107" t="s">
        <v>717</v>
      </c>
      <c r="E700" s="120">
        <v>18862.219999999998</v>
      </c>
      <c r="F700" s="120" t="s">
        <v>251</v>
      </c>
      <c r="G700" s="120">
        <v>16790.889440111605</v>
      </c>
      <c r="H700" s="120" t="s">
        <v>251</v>
      </c>
      <c r="I700" s="120">
        <v>922.21601097413838</v>
      </c>
      <c r="J700" s="120">
        <v>1149.114548914255</v>
      </c>
      <c r="K700" s="120" t="s">
        <v>251</v>
      </c>
      <c r="L700" s="120" t="s">
        <v>251</v>
      </c>
      <c r="M700" s="120">
        <v>1.3350530221304924</v>
      </c>
      <c r="N700" s="120" t="s">
        <v>251</v>
      </c>
      <c r="O700" s="120">
        <v>1147.7794958921245</v>
      </c>
      <c r="P700" s="120">
        <v>359.08097356459479</v>
      </c>
      <c r="Q700" s="120">
        <v>788.69852232752964</v>
      </c>
      <c r="R700" s="120"/>
      <c r="S700" s="121"/>
    </row>
    <row r="701" spans="1:19" ht="15">
      <c r="A701" s="105">
        <v>7</v>
      </c>
      <c r="B701" s="105"/>
      <c r="C701" s="107" t="s">
        <v>764</v>
      </c>
      <c r="D701" s="107" t="s">
        <v>251</v>
      </c>
      <c r="E701" s="120">
        <v>44773917.366147891</v>
      </c>
      <c r="F701" s="120" t="s">
        <v>251</v>
      </c>
      <c r="G701" s="120">
        <v>40502938.050876655</v>
      </c>
      <c r="H701" s="120" t="s">
        <v>251</v>
      </c>
      <c r="I701" s="120">
        <v>1914226.7147921484</v>
      </c>
      <c r="J701" s="120">
        <v>2356752.6004790901</v>
      </c>
      <c r="K701" s="120" t="s">
        <v>251</v>
      </c>
      <c r="L701" s="120" t="s">
        <v>251</v>
      </c>
      <c r="M701" s="120">
        <v>3296.9672541566388</v>
      </c>
      <c r="N701" s="120" t="s">
        <v>251</v>
      </c>
      <c r="O701" s="120">
        <v>2353455.6332249334</v>
      </c>
      <c r="P701" s="120">
        <v>739418.30495883978</v>
      </c>
      <c r="Q701" s="120">
        <v>1614037.3282660935</v>
      </c>
      <c r="R701" s="120"/>
      <c r="S701" s="121"/>
    </row>
    <row r="702" spans="1:19" ht="15">
      <c r="A702" s="105" t="s">
        <v>251</v>
      </c>
      <c r="B702" s="105"/>
      <c r="C702" s="107" t="s">
        <v>251</v>
      </c>
      <c r="D702" s="107" t="s">
        <v>251</v>
      </c>
      <c r="E702" s="120" t="s">
        <v>251</v>
      </c>
      <c r="F702" s="120" t="s">
        <v>251</v>
      </c>
      <c r="G702" s="120" t="s">
        <v>251</v>
      </c>
      <c r="H702" s="120" t="s">
        <v>251</v>
      </c>
      <c r="I702" s="120" t="s">
        <v>251</v>
      </c>
      <c r="J702" s="120" t="s">
        <v>251</v>
      </c>
      <c r="K702" s="120" t="s">
        <v>251</v>
      </c>
      <c r="L702" s="120" t="s">
        <v>251</v>
      </c>
      <c r="M702" s="120" t="s">
        <v>251</v>
      </c>
      <c r="N702" s="120" t="s">
        <v>251</v>
      </c>
      <c r="O702" s="120" t="s">
        <v>251</v>
      </c>
      <c r="P702" s="120" t="s">
        <v>251</v>
      </c>
      <c r="Q702" s="120" t="s">
        <v>251</v>
      </c>
      <c r="R702" s="120"/>
      <c r="S702" s="121"/>
    </row>
    <row r="703" spans="1:19" ht="15">
      <c r="A703" s="105">
        <v>8</v>
      </c>
      <c r="B703" s="105"/>
      <c r="C703" s="107" t="s">
        <v>765</v>
      </c>
      <c r="D703" s="107" t="s">
        <v>304</v>
      </c>
      <c r="E703" s="120">
        <v>-27812.7</v>
      </c>
      <c r="F703" s="120" t="s">
        <v>251</v>
      </c>
      <c r="G703" s="120">
        <v>-24384.376016277321</v>
      </c>
      <c r="H703" s="120" t="s">
        <v>251</v>
      </c>
      <c r="I703" s="120">
        <v>-1116.5905866758974</v>
      </c>
      <c r="J703" s="120">
        <v>-2311.7333970467803</v>
      </c>
      <c r="K703" s="120" t="s">
        <v>251</v>
      </c>
      <c r="L703" s="120" t="s">
        <v>251</v>
      </c>
      <c r="M703" s="120">
        <v>-7.827045007471696E-2</v>
      </c>
      <c r="N703" s="120" t="s">
        <v>251</v>
      </c>
      <c r="O703" s="120">
        <v>-2311.6551265967055</v>
      </c>
      <c r="P703" s="120">
        <v>-713.10641654073129</v>
      </c>
      <c r="Q703" s="120">
        <v>-1598.5487100559744</v>
      </c>
      <c r="R703" s="120"/>
      <c r="S703" s="121"/>
    </row>
    <row r="704" spans="1:19" ht="15">
      <c r="A704" s="105">
        <v>9</v>
      </c>
      <c r="B704" s="105"/>
      <c r="C704" s="107" t="s">
        <v>766</v>
      </c>
      <c r="D704" s="107" t="s">
        <v>717</v>
      </c>
      <c r="E704" s="120">
        <v>-1626.6950039999956</v>
      </c>
      <c r="F704" s="120" t="s">
        <v>251</v>
      </c>
      <c r="G704" s="120">
        <v>0</v>
      </c>
      <c r="H704" s="120" t="s">
        <v>251</v>
      </c>
      <c r="I704" s="120">
        <v>-79.532747346835947</v>
      </c>
      <c r="J704" s="120">
        <v>0</v>
      </c>
      <c r="K704" s="120" t="s">
        <v>251</v>
      </c>
      <c r="L704" s="120" t="s">
        <v>251</v>
      </c>
      <c r="M704" s="120">
        <v>0</v>
      </c>
      <c r="N704" s="120" t="s">
        <v>251</v>
      </c>
      <c r="O704" s="120">
        <v>0</v>
      </c>
      <c r="P704" s="120">
        <v>0</v>
      </c>
      <c r="Q704" s="120">
        <v>0</v>
      </c>
      <c r="R704" s="120"/>
      <c r="S704" s="121"/>
    </row>
    <row r="705" spans="1:19" ht="15">
      <c r="A705" s="105">
        <v>10</v>
      </c>
      <c r="B705" s="105"/>
      <c r="C705" s="107" t="s">
        <v>767</v>
      </c>
      <c r="D705" s="107" t="s">
        <v>419</v>
      </c>
      <c r="E705" s="120">
        <v>1074652.0602440001</v>
      </c>
      <c r="F705" s="120" t="s">
        <v>251</v>
      </c>
      <c r="G705" s="120">
        <v>0</v>
      </c>
      <c r="H705" s="120" t="s">
        <v>251</v>
      </c>
      <c r="I705" s="120">
        <v>24754.318448272006</v>
      </c>
      <c r="J705" s="120">
        <v>0</v>
      </c>
      <c r="K705" s="120" t="s">
        <v>251</v>
      </c>
      <c r="L705" s="120" t="s">
        <v>251</v>
      </c>
      <c r="M705" s="120">
        <v>0</v>
      </c>
      <c r="N705" s="120" t="s">
        <v>251</v>
      </c>
      <c r="O705" s="120">
        <v>0</v>
      </c>
      <c r="P705" s="120">
        <v>0</v>
      </c>
      <c r="Q705" s="120">
        <v>0</v>
      </c>
      <c r="R705" s="120"/>
      <c r="S705" s="121"/>
    </row>
    <row r="706" spans="1:19" ht="15">
      <c r="A706" s="105" t="s">
        <v>251</v>
      </c>
      <c r="B706" s="105"/>
      <c r="C706" s="107" t="s">
        <v>251</v>
      </c>
      <c r="D706" s="107" t="s">
        <v>251</v>
      </c>
      <c r="E706" s="120" t="s">
        <v>251</v>
      </c>
      <c r="F706" s="120" t="s">
        <v>251</v>
      </c>
      <c r="G706" s="120" t="s">
        <v>251</v>
      </c>
      <c r="H706" s="120" t="s">
        <v>251</v>
      </c>
      <c r="I706" s="120" t="s">
        <v>251</v>
      </c>
      <c r="J706" s="120" t="s">
        <v>251</v>
      </c>
      <c r="K706" s="120" t="s">
        <v>251</v>
      </c>
      <c r="L706" s="120" t="s">
        <v>251</v>
      </c>
      <c r="M706" s="120" t="s">
        <v>251</v>
      </c>
      <c r="N706" s="120" t="s">
        <v>251</v>
      </c>
      <c r="O706" s="120" t="s">
        <v>251</v>
      </c>
      <c r="P706" s="120" t="s">
        <v>251</v>
      </c>
      <c r="Q706" s="120" t="s">
        <v>251</v>
      </c>
      <c r="R706" s="120"/>
      <c r="S706" s="121"/>
    </row>
    <row r="707" spans="1:19" ht="15">
      <c r="A707" s="105" t="s">
        <v>251</v>
      </c>
      <c r="B707" s="105"/>
      <c r="C707" s="107" t="s">
        <v>768</v>
      </c>
      <c r="D707" s="107" t="s">
        <v>251</v>
      </c>
      <c r="E707" s="120" t="s">
        <v>251</v>
      </c>
      <c r="F707" s="120" t="s">
        <v>251</v>
      </c>
      <c r="G707" s="120" t="s">
        <v>251</v>
      </c>
      <c r="H707" s="120" t="s">
        <v>251</v>
      </c>
      <c r="I707" s="120" t="s">
        <v>251</v>
      </c>
      <c r="J707" s="120" t="s">
        <v>251</v>
      </c>
      <c r="K707" s="120" t="s">
        <v>251</v>
      </c>
      <c r="L707" s="120" t="s">
        <v>251</v>
      </c>
      <c r="M707" s="120" t="s">
        <v>251</v>
      </c>
      <c r="N707" s="120" t="s">
        <v>251</v>
      </c>
      <c r="O707" s="120" t="s">
        <v>251</v>
      </c>
      <c r="P707" s="120" t="s">
        <v>251</v>
      </c>
      <c r="Q707" s="120" t="s">
        <v>251</v>
      </c>
      <c r="R707" s="120"/>
      <c r="S707" s="121"/>
    </row>
    <row r="708" spans="1:19" ht="15">
      <c r="A708" s="105">
        <v>11</v>
      </c>
      <c r="B708" s="105"/>
      <c r="C708" s="107" t="s">
        <v>528</v>
      </c>
      <c r="D708" s="107" t="s">
        <v>498</v>
      </c>
      <c r="E708" s="120">
        <v>0</v>
      </c>
      <c r="F708" s="120" t="s">
        <v>251</v>
      </c>
      <c r="G708" s="120">
        <v>0</v>
      </c>
      <c r="H708" s="120" t="s">
        <v>251</v>
      </c>
      <c r="I708" s="120">
        <v>0</v>
      </c>
      <c r="J708" s="120">
        <v>0</v>
      </c>
      <c r="K708" s="120" t="s">
        <v>251</v>
      </c>
      <c r="L708" s="120" t="s">
        <v>251</v>
      </c>
      <c r="M708" s="120">
        <v>0</v>
      </c>
      <c r="N708" s="120" t="s">
        <v>251</v>
      </c>
      <c r="O708" s="120">
        <v>0</v>
      </c>
      <c r="P708" s="120">
        <v>0</v>
      </c>
      <c r="Q708" s="120">
        <v>0</v>
      </c>
      <c r="R708" s="120"/>
      <c r="S708" s="121"/>
    </row>
    <row r="709" spans="1:19" ht="15">
      <c r="A709" s="105">
        <v>12</v>
      </c>
      <c r="B709" s="105"/>
      <c r="C709" s="107" t="s">
        <v>529</v>
      </c>
      <c r="D709" s="107" t="s">
        <v>500</v>
      </c>
      <c r="E709" s="120">
        <v>0</v>
      </c>
      <c r="F709" s="120" t="s">
        <v>251</v>
      </c>
      <c r="G709" s="120">
        <v>0</v>
      </c>
      <c r="H709" s="120" t="s">
        <v>251</v>
      </c>
      <c r="I709" s="120">
        <v>0</v>
      </c>
      <c r="J709" s="120">
        <v>0</v>
      </c>
      <c r="K709" s="120" t="s">
        <v>251</v>
      </c>
      <c r="L709" s="120" t="s">
        <v>251</v>
      </c>
      <c r="M709" s="120">
        <v>0</v>
      </c>
      <c r="N709" s="120" t="s">
        <v>251</v>
      </c>
      <c r="O709" s="120">
        <v>0</v>
      </c>
      <c r="P709" s="120">
        <v>0</v>
      </c>
      <c r="Q709" s="120">
        <v>0</v>
      </c>
      <c r="R709" s="120"/>
      <c r="S709" s="121"/>
    </row>
    <row r="710" spans="1:19" ht="15">
      <c r="A710" s="105">
        <v>13</v>
      </c>
      <c r="B710" s="105"/>
      <c r="C710" s="107" t="s">
        <v>769</v>
      </c>
      <c r="D710" s="107" t="s">
        <v>459</v>
      </c>
      <c r="E710" s="120">
        <v>0</v>
      </c>
      <c r="F710" s="120" t="s">
        <v>251</v>
      </c>
      <c r="G710" s="120">
        <v>0</v>
      </c>
      <c r="H710" s="120" t="s">
        <v>251</v>
      </c>
      <c r="I710" s="120">
        <v>0</v>
      </c>
      <c r="J710" s="120">
        <v>0</v>
      </c>
      <c r="K710" s="120" t="s">
        <v>251</v>
      </c>
      <c r="L710" s="120" t="s">
        <v>251</v>
      </c>
      <c r="M710" s="120">
        <v>0</v>
      </c>
      <c r="N710" s="120" t="s">
        <v>251</v>
      </c>
      <c r="O710" s="120">
        <v>0</v>
      </c>
      <c r="P710" s="120">
        <v>0</v>
      </c>
      <c r="Q710" s="120">
        <v>0</v>
      </c>
      <c r="R710" s="120"/>
      <c r="S710" s="121"/>
    </row>
    <row r="711" spans="1:19" ht="15">
      <c r="A711" s="105">
        <v>14</v>
      </c>
      <c r="B711" s="105"/>
      <c r="C711" s="107" t="s">
        <v>770</v>
      </c>
      <c r="D711" s="107" t="s">
        <v>771</v>
      </c>
      <c r="E711" s="120">
        <v>0</v>
      </c>
      <c r="F711" s="120" t="s">
        <v>251</v>
      </c>
      <c r="G711" s="120">
        <v>0</v>
      </c>
      <c r="H711" s="120" t="s">
        <v>251</v>
      </c>
      <c r="I711" s="120">
        <v>0</v>
      </c>
      <c r="J711" s="120">
        <v>0</v>
      </c>
      <c r="K711" s="120" t="s">
        <v>251</v>
      </c>
      <c r="L711" s="120" t="s">
        <v>251</v>
      </c>
      <c r="M711" s="120">
        <v>0</v>
      </c>
      <c r="N711" s="120" t="s">
        <v>251</v>
      </c>
      <c r="O711" s="120">
        <v>0</v>
      </c>
      <c r="P711" s="120">
        <v>0</v>
      </c>
      <c r="Q711" s="120">
        <v>0</v>
      </c>
      <c r="R711" s="120"/>
      <c r="S711" s="121"/>
    </row>
    <row r="712" spans="1:19" ht="15">
      <c r="A712" s="105">
        <v>15</v>
      </c>
      <c r="B712" s="105"/>
      <c r="C712" s="107" t="s">
        <v>533</v>
      </c>
      <c r="D712" s="107" t="s">
        <v>525</v>
      </c>
      <c r="E712" s="120">
        <v>0</v>
      </c>
      <c r="F712" s="120" t="s">
        <v>251</v>
      </c>
      <c r="G712" s="120">
        <v>0</v>
      </c>
      <c r="H712" s="120" t="s">
        <v>251</v>
      </c>
      <c r="I712" s="120">
        <v>0</v>
      </c>
      <c r="J712" s="120">
        <v>0</v>
      </c>
      <c r="K712" s="120" t="s">
        <v>251</v>
      </c>
      <c r="L712" s="120" t="s">
        <v>251</v>
      </c>
      <c r="M712" s="120">
        <v>0</v>
      </c>
      <c r="N712" s="120" t="s">
        <v>251</v>
      </c>
      <c r="O712" s="120">
        <v>0</v>
      </c>
      <c r="P712" s="120">
        <v>0</v>
      </c>
      <c r="Q712" s="120">
        <v>0</v>
      </c>
      <c r="R712" s="120"/>
      <c r="S712" s="121"/>
    </row>
    <row r="713" spans="1:19" ht="15">
      <c r="A713" s="105">
        <v>16</v>
      </c>
      <c r="B713" s="105"/>
      <c r="C713" s="107" t="s">
        <v>534</v>
      </c>
      <c r="D713" s="107" t="s">
        <v>468</v>
      </c>
      <c r="E713" s="120">
        <v>0</v>
      </c>
      <c r="F713" s="120" t="s">
        <v>251</v>
      </c>
      <c r="G713" s="120">
        <v>0</v>
      </c>
      <c r="H713" s="120" t="s">
        <v>251</v>
      </c>
      <c r="I713" s="120">
        <v>0</v>
      </c>
      <c r="J713" s="120">
        <v>0</v>
      </c>
      <c r="K713" s="120" t="s">
        <v>251</v>
      </c>
      <c r="L713" s="120" t="s">
        <v>251</v>
      </c>
      <c r="M713" s="120">
        <v>0</v>
      </c>
      <c r="N713" s="120" t="s">
        <v>251</v>
      </c>
      <c r="O713" s="120">
        <v>0</v>
      </c>
      <c r="P713" s="120">
        <v>0</v>
      </c>
      <c r="Q713" s="120">
        <v>0</v>
      </c>
      <c r="R713" s="120"/>
      <c r="S713" s="121"/>
    </row>
    <row r="714" spans="1:19" ht="15">
      <c r="A714" s="105">
        <v>17</v>
      </c>
      <c r="B714" s="105"/>
      <c r="C714" s="107" t="s">
        <v>772</v>
      </c>
      <c r="D714" s="107" t="s">
        <v>251</v>
      </c>
      <c r="E714" s="120">
        <v>0</v>
      </c>
      <c r="F714" s="120" t="s">
        <v>251</v>
      </c>
      <c r="G714" s="120">
        <v>0</v>
      </c>
      <c r="H714" s="120" t="s">
        <v>251</v>
      </c>
      <c r="I714" s="120">
        <v>0</v>
      </c>
      <c r="J714" s="120">
        <v>0</v>
      </c>
      <c r="K714" s="120" t="s">
        <v>251</v>
      </c>
      <c r="L714" s="120" t="s">
        <v>251</v>
      </c>
      <c r="M714" s="120">
        <v>0</v>
      </c>
      <c r="N714" s="120" t="s">
        <v>251</v>
      </c>
      <c r="O714" s="120">
        <v>0</v>
      </c>
      <c r="P714" s="120">
        <v>0</v>
      </c>
      <c r="Q714" s="120">
        <v>0</v>
      </c>
      <c r="R714" s="120"/>
      <c r="S714" s="121"/>
    </row>
    <row r="715" spans="1:19" ht="15">
      <c r="A715" s="105" t="s">
        <v>251</v>
      </c>
      <c r="B715" s="105"/>
      <c r="C715" s="107" t="s">
        <v>251</v>
      </c>
      <c r="D715" s="107" t="s">
        <v>251</v>
      </c>
      <c r="E715" s="120" t="s">
        <v>251</v>
      </c>
      <c r="F715" s="120" t="s">
        <v>251</v>
      </c>
      <c r="G715" s="120" t="s">
        <v>251</v>
      </c>
      <c r="H715" s="120" t="s">
        <v>251</v>
      </c>
      <c r="I715" s="120" t="s">
        <v>251</v>
      </c>
      <c r="J715" s="120" t="s">
        <v>251</v>
      </c>
      <c r="K715" s="120" t="s">
        <v>251</v>
      </c>
      <c r="L715" s="120" t="s">
        <v>251</v>
      </c>
      <c r="M715" s="120" t="s">
        <v>251</v>
      </c>
      <c r="N715" s="120" t="s">
        <v>251</v>
      </c>
      <c r="O715" s="120" t="s">
        <v>251</v>
      </c>
      <c r="P715" s="120" t="s">
        <v>251</v>
      </c>
      <c r="Q715" s="120" t="s">
        <v>251</v>
      </c>
      <c r="R715" s="120"/>
      <c r="S715" s="121"/>
    </row>
    <row r="716" spans="1:19" ht="15">
      <c r="A716" s="105">
        <v>18</v>
      </c>
      <c r="B716" s="105"/>
      <c r="C716" s="107" t="s">
        <v>773</v>
      </c>
      <c r="D716" s="107" t="s">
        <v>251</v>
      </c>
      <c r="E716" s="120">
        <v>1299764944.7924666</v>
      </c>
      <c r="F716" s="120" t="s">
        <v>251</v>
      </c>
      <c r="G716" s="120">
        <v>1156907464.942395</v>
      </c>
      <c r="H716" s="120" t="s">
        <v>251</v>
      </c>
      <c r="I716" s="120">
        <v>56442088.364208423</v>
      </c>
      <c r="J716" s="120">
        <v>86415391.485863298</v>
      </c>
      <c r="K716" s="120" t="s">
        <v>251</v>
      </c>
      <c r="L716" s="120" t="s">
        <v>251</v>
      </c>
      <c r="M716" s="120">
        <v>35567.673626271389</v>
      </c>
      <c r="N716" s="120" t="s">
        <v>251</v>
      </c>
      <c r="O716" s="120">
        <v>86379823.812237024</v>
      </c>
      <c r="P716" s="120">
        <v>27402881.893569529</v>
      </c>
      <c r="Q716" s="120">
        <v>58976941.918667495</v>
      </c>
      <c r="R716" s="120"/>
      <c r="S716" s="121"/>
    </row>
    <row r="717" spans="1:19" ht="15">
      <c r="A717" s="105" t="s">
        <v>251</v>
      </c>
      <c r="B717" s="105"/>
      <c r="C717" s="107" t="s">
        <v>251</v>
      </c>
      <c r="D717" s="107" t="s">
        <v>251</v>
      </c>
      <c r="E717" s="120" t="s">
        <v>251</v>
      </c>
      <c r="F717" s="120" t="s">
        <v>251</v>
      </c>
      <c r="G717" s="120" t="s">
        <v>251</v>
      </c>
      <c r="H717" s="120" t="s">
        <v>251</v>
      </c>
      <c r="I717" s="120" t="s">
        <v>251</v>
      </c>
      <c r="J717" s="120" t="s">
        <v>251</v>
      </c>
      <c r="K717" s="120" t="s">
        <v>251</v>
      </c>
      <c r="L717" s="120" t="s">
        <v>251</v>
      </c>
      <c r="M717" s="120" t="s">
        <v>251</v>
      </c>
      <c r="N717" s="120" t="s">
        <v>251</v>
      </c>
      <c r="O717" s="120" t="s">
        <v>251</v>
      </c>
      <c r="P717" s="120" t="s">
        <v>251</v>
      </c>
      <c r="Q717" s="120" t="s">
        <v>251</v>
      </c>
      <c r="R717" s="120"/>
      <c r="S717" s="121"/>
    </row>
    <row r="718" spans="1:19" ht="15">
      <c r="A718" s="105" t="s">
        <v>251</v>
      </c>
      <c r="B718" s="105"/>
      <c r="C718" s="107" t="s">
        <v>251</v>
      </c>
      <c r="D718" s="107" t="s">
        <v>251</v>
      </c>
      <c r="E718" s="120" t="s">
        <v>251</v>
      </c>
      <c r="F718" s="120" t="s">
        <v>251</v>
      </c>
      <c r="G718" s="120" t="s">
        <v>251</v>
      </c>
      <c r="H718" s="120" t="s">
        <v>251</v>
      </c>
      <c r="I718" s="120" t="s">
        <v>251</v>
      </c>
      <c r="J718" s="120" t="s">
        <v>251</v>
      </c>
      <c r="K718" s="120" t="s">
        <v>251</v>
      </c>
      <c r="L718" s="120" t="s">
        <v>251</v>
      </c>
      <c r="M718" s="120" t="s">
        <v>251</v>
      </c>
      <c r="N718" s="120" t="s">
        <v>251</v>
      </c>
      <c r="O718" s="120" t="s">
        <v>251</v>
      </c>
      <c r="P718" s="120" t="s">
        <v>251</v>
      </c>
      <c r="Q718" s="120" t="s">
        <v>251</v>
      </c>
      <c r="R718" s="120"/>
      <c r="S718" s="121"/>
    </row>
    <row r="719" spans="1:19" ht="15">
      <c r="A719" s="105" t="s">
        <v>251</v>
      </c>
      <c r="B719" s="105"/>
      <c r="C719" s="107" t="s">
        <v>251</v>
      </c>
      <c r="D719" s="107" t="s">
        <v>251</v>
      </c>
      <c r="E719" s="120" t="s">
        <v>251</v>
      </c>
      <c r="F719" s="120" t="s">
        <v>251</v>
      </c>
      <c r="G719" s="120" t="s">
        <v>251</v>
      </c>
      <c r="H719" s="120" t="s">
        <v>251</v>
      </c>
      <c r="I719" s="120" t="s">
        <v>251</v>
      </c>
      <c r="J719" s="120" t="s">
        <v>251</v>
      </c>
      <c r="K719" s="120" t="s">
        <v>251</v>
      </c>
      <c r="L719" s="120" t="s">
        <v>251</v>
      </c>
      <c r="M719" s="120" t="s">
        <v>251</v>
      </c>
      <c r="N719" s="120" t="s">
        <v>251</v>
      </c>
      <c r="O719" s="120" t="s">
        <v>251</v>
      </c>
      <c r="P719" s="120" t="s">
        <v>251</v>
      </c>
      <c r="Q719" s="120" t="s">
        <v>251</v>
      </c>
      <c r="R719" s="120"/>
      <c r="S719" s="121"/>
    </row>
    <row r="720" spans="1:19" ht="15">
      <c r="A720" s="105" t="s">
        <v>251</v>
      </c>
      <c r="B720" s="105"/>
      <c r="C720" s="107" t="s">
        <v>251</v>
      </c>
      <c r="D720" s="107" t="s">
        <v>251</v>
      </c>
      <c r="E720" s="120" t="s">
        <v>251</v>
      </c>
      <c r="F720" s="120" t="s">
        <v>251</v>
      </c>
      <c r="G720" s="120" t="s">
        <v>251</v>
      </c>
      <c r="H720" s="120" t="s">
        <v>251</v>
      </c>
      <c r="I720" s="120" t="s">
        <v>251</v>
      </c>
      <c r="J720" s="120" t="s">
        <v>251</v>
      </c>
      <c r="K720" s="120" t="s">
        <v>251</v>
      </c>
      <c r="L720" s="120" t="s">
        <v>251</v>
      </c>
      <c r="M720" s="120" t="s">
        <v>251</v>
      </c>
      <c r="N720" s="120" t="s">
        <v>251</v>
      </c>
      <c r="O720" s="120" t="s">
        <v>251</v>
      </c>
      <c r="P720" s="120" t="s">
        <v>251</v>
      </c>
      <c r="Q720" s="120" t="s">
        <v>251</v>
      </c>
      <c r="R720" s="120"/>
      <c r="S720" s="121"/>
    </row>
    <row r="721" spans="1:19" ht="15">
      <c r="A721" s="105" t="s">
        <v>251</v>
      </c>
      <c r="B721" s="105"/>
      <c r="C721" s="107" t="s">
        <v>251</v>
      </c>
      <c r="D721" s="107" t="s">
        <v>251</v>
      </c>
      <c r="E721" s="120" t="s">
        <v>251</v>
      </c>
      <c r="F721" s="120" t="s">
        <v>251</v>
      </c>
      <c r="G721" s="120" t="s">
        <v>251</v>
      </c>
      <c r="H721" s="120" t="s">
        <v>251</v>
      </c>
      <c r="I721" s="120" t="s">
        <v>251</v>
      </c>
      <c r="J721" s="120" t="s">
        <v>251</v>
      </c>
      <c r="K721" s="120" t="s">
        <v>251</v>
      </c>
      <c r="L721" s="120" t="s">
        <v>251</v>
      </c>
      <c r="M721" s="120" t="s">
        <v>251</v>
      </c>
      <c r="N721" s="120" t="s">
        <v>251</v>
      </c>
      <c r="O721" s="120" t="s">
        <v>251</v>
      </c>
      <c r="P721" s="120" t="s">
        <v>251</v>
      </c>
      <c r="Q721" s="120" t="s">
        <v>251</v>
      </c>
      <c r="R721" s="120"/>
      <c r="S721" s="121"/>
    </row>
    <row r="722" spans="1:19" ht="15">
      <c r="A722" s="105" t="s">
        <v>251</v>
      </c>
      <c r="B722" s="105"/>
      <c r="C722" s="107" t="s">
        <v>251</v>
      </c>
      <c r="D722" s="107" t="s">
        <v>251</v>
      </c>
      <c r="E722" s="120" t="s">
        <v>251</v>
      </c>
      <c r="F722" s="120" t="s">
        <v>251</v>
      </c>
      <c r="G722" s="120" t="s">
        <v>251</v>
      </c>
      <c r="H722" s="120" t="s">
        <v>251</v>
      </c>
      <c r="I722" s="120" t="s">
        <v>251</v>
      </c>
      <c r="J722" s="120" t="s">
        <v>251</v>
      </c>
      <c r="K722" s="120" t="s">
        <v>251</v>
      </c>
      <c r="L722" s="120" t="s">
        <v>251</v>
      </c>
      <c r="M722" s="120" t="s">
        <v>251</v>
      </c>
      <c r="N722" s="120" t="s">
        <v>251</v>
      </c>
      <c r="O722" s="120" t="s">
        <v>251</v>
      </c>
      <c r="P722" s="120" t="s">
        <v>251</v>
      </c>
      <c r="Q722" s="120" t="s">
        <v>251</v>
      </c>
      <c r="R722" s="120"/>
      <c r="S722" s="121"/>
    </row>
    <row r="723" spans="1:19" ht="15">
      <c r="A723" s="105" t="s">
        <v>251</v>
      </c>
      <c r="B723" s="105"/>
      <c r="C723" s="107" t="s">
        <v>251</v>
      </c>
      <c r="D723" s="107" t="s">
        <v>251</v>
      </c>
      <c r="E723" s="120" t="s">
        <v>251</v>
      </c>
      <c r="F723" s="120" t="s">
        <v>251</v>
      </c>
      <c r="G723" s="120" t="s">
        <v>251</v>
      </c>
      <c r="H723" s="120" t="s">
        <v>251</v>
      </c>
      <c r="I723" s="120" t="s">
        <v>251</v>
      </c>
      <c r="J723" s="120" t="s">
        <v>251</v>
      </c>
      <c r="K723" s="120" t="s">
        <v>251</v>
      </c>
      <c r="L723" s="120" t="s">
        <v>251</v>
      </c>
      <c r="M723" s="120" t="s">
        <v>251</v>
      </c>
      <c r="N723" s="120" t="s">
        <v>251</v>
      </c>
      <c r="O723" s="120" t="s">
        <v>251</v>
      </c>
      <c r="P723" s="120" t="s">
        <v>251</v>
      </c>
      <c r="Q723" s="120" t="s">
        <v>251</v>
      </c>
      <c r="R723" s="120"/>
      <c r="S723" s="121"/>
    </row>
    <row r="724" spans="1:19" ht="15">
      <c r="A724" s="105" t="s">
        <v>251</v>
      </c>
      <c r="B724" s="105"/>
      <c r="C724" s="107" t="s">
        <v>251</v>
      </c>
      <c r="D724" s="107" t="s">
        <v>251</v>
      </c>
      <c r="E724" s="120" t="s">
        <v>251</v>
      </c>
      <c r="F724" s="120" t="s">
        <v>251</v>
      </c>
      <c r="G724" s="120" t="s">
        <v>251</v>
      </c>
      <c r="H724" s="120" t="s">
        <v>251</v>
      </c>
      <c r="I724" s="120" t="s">
        <v>251</v>
      </c>
      <c r="J724" s="120" t="s">
        <v>251</v>
      </c>
      <c r="K724" s="120" t="s">
        <v>251</v>
      </c>
      <c r="L724" s="120" t="s">
        <v>251</v>
      </c>
      <c r="M724" s="120" t="s">
        <v>251</v>
      </c>
      <c r="N724" s="120" t="s">
        <v>251</v>
      </c>
      <c r="O724" s="120" t="s">
        <v>251</v>
      </c>
      <c r="P724" s="120" t="s">
        <v>251</v>
      </c>
      <c r="Q724" s="120" t="s">
        <v>251</v>
      </c>
      <c r="R724" s="120"/>
      <c r="S724" s="121"/>
    </row>
    <row r="725" spans="1:19" ht="15">
      <c r="A725" s="105" t="s">
        <v>251</v>
      </c>
      <c r="B725" s="105"/>
      <c r="C725" s="107" t="s">
        <v>774</v>
      </c>
      <c r="D725" s="107" t="s">
        <v>251</v>
      </c>
      <c r="E725" s="120" t="s">
        <v>251</v>
      </c>
      <c r="F725" s="120" t="s">
        <v>251</v>
      </c>
      <c r="G725" s="120" t="s">
        <v>251</v>
      </c>
      <c r="H725" s="120" t="s">
        <v>251</v>
      </c>
      <c r="I725" s="120" t="s">
        <v>251</v>
      </c>
      <c r="J725" s="120" t="s">
        <v>251</v>
      </c>
      <c r="K725" s="120" t="s">
        <v>251</v>
      </c>
      <c r="L725" s="120" t="s">
        <v>251</v>
      </c>
      <c r="M725" s="120" t="s">
        <v>251</v>
      </c>
      <c r="N725" s="120" t="s">
        <v>251</v>
      </c>
      <c r="O725" s="120" t="s">
        <v>251</v>
      </c>
      <c r="P725" s="120" t="s">
        <v>251</v>
      </c>
      <c r="Q725" s="120" t="s">
        <v>251</v>
      </c>
      <c r="R725" s="120"/>
      <c r="S725" s="121"/>
    </row>
    <row r="726" spans="1:19" ht="15">
      <c r="A726" s="105" t="s">
        <v>251</v>
      </c>
      <c r="B726" s="105"/>
      <c r="C726" s="107" t="s">
        <v>251</v>
      </c>
      <c r="D726" s="107" t="s">
        <v>251</v>
      </c>
      <c r="E726" s="120" t="s">
        <v>251</v>
      </c>
      <c r="F726" s="120" t="s">
        <v>251</v>
      </c>
      <c r="G726" s="120" t="s">
        <v>251</v>
      </c>
      <c r="H726" s="120" t="s">
        <v>251</v>
      </c>
      <c r="I726" s="120" t="s">
        <v>251</v>
      </c>
      <c r="J726" s="120" t="s">
        <v>251</v>
      </c>
      <c r="K726" s="120" t="s">
        <v>251</v>
      </c>
      <c r="L726" s="120" t="s">
        <v>251</v>
      </c>
      <c r="M726" s="120" t="s">
        <v>251</v>
      </c>
      <c r="N726" s="120" t="s">
        <v>251</v>
      </c>
      <c r="O726" s="120" t="s">
        <v>251</v>
      </c>
      <c r="P726" s="120" t="s">
        <v>251</v>
      </c>
      <c r="Q726" s="120" t="s">
        <v>251</v>
      </c>
      <c r="R726" s="120"/>
      <c r="S726" s="121"/>
    </row>
    <row r="727" spans="1:19" ht="15">
      <c r="A727" s="105">
        <v>1</v>
      </c>
      <c r="B727" s="105"/>
      <c r="C727" s="107" t="s">
        <v>775</v>
      </c>
      <c r="D727" s="107" t="s">
        <v>251</v>
      </c>
      <c r="E727" s="120">
        <v>444543859</v>
      </c>
      <c r="F727" s="120" t="s">
        <v>251</v>
      </c>
      <c r="G727" s="120">
        <v>399800216.45486259</v>
      </c>
      <c r="H727" s="120" t="s">
        <v>251</v>
      </c>
      <c r="I727" s="120">
        <v>17266480.941726036</v>
      </c>
      <c r="J727" s="120">
        <v>27477161.215343513</v>
      </c>
      <c r="K727" s="120" t="s">
        <v>251</v>
      </c>
      <c r="L727" s="120" t="s">
        <v>251</v>
      </c>
      <c r="M727" s="120">
        <v>-31650.26497676389</v>
      </c>
      <c r="N727" s="120" t="s">
        <v>251</v>
      </c>
      <c r="O727" s="120">
        <v>27508811.480320275</v>
      </c>
      <c r="P727" s="120">
        <v>7904065.1606531739</v>
      </c>
      <c r="Q727" s="120">
        <v>19604746.319667101</v>
      </c>
      <c r="R727" s="120"/>
      <c r="S727" s="121"/>
    </row>
    <row r="728" spans="1:19" ht="15">
      <c r="A728" s="105" t="s">
        <v>251</v>
      </c>
      <c r="B728" s="105"/>
      <c r="C728" s="107" t="s">
        <v>251</v>
      </c>
      <c r="D728" s="107" t="s">
        <v>251</v>
      </c>
      <c r="E728" s="120" t="s">
        <v>251</v>
      </c>
      <c r="F728" s="120" t="s">
        <v>251</v>
      </c>
      <c r="G728" s="120" t="s">
        <v>251</v>
      </c>
      <c r="H728" s="120" t="s">
        <v>251</v>
      </c>
      <c r="I728" s="120" t="s">
        <v>251</v>
      </c>
      <c r="J728" s="120" t="s">
        <v>251</v>
      </c>
      <c r="K728" s="120" t="s">
        <v>251</v>
      </c>
      <c r="L728" s="120" t="s">
        <v>251</v>
      </c>
      <c r="M728" s="120" t="s">
        <v>251</v>
      </c>
      <c r="N728" s="120" t="s">
        <v>251</v>
      </c>
      <c r="O728" s="120" t="s">
        <v>251</v>
      </c>
      <c r="P728" s="120" t="s">
        <v>251</v>
      </c>
      <c r="Q728" s="120" t="s">
        <v>251</v>
      </c>
      <c r="R728" s="120"/>
      <c r="S728" s="121"/>
    </row>
    <row r="729" spans="1:19" ht="15">
      <c r="A729" s="105" t="s">
        <v>251</v>
      </c>
      <c r="B729" s="105"/>
      <c r="C729" s="107" t="s">
        <v>776</v>
      </c>
      <c r="D729" s="107" t="s">
        <v>251</v>
      </c>
      <c r="E729" s="120" t="s">
        <v>251</v>
      </c>
      <c r="F729" s="120" t="s">
        <v>251</v>
      </c>
      <c r="G729" s="120" t="s">
        <v>251</v>
      </c>
      <c r="H729" s="120" t="s">
        <v>251</v>
      </c>
      <c r="I729" s="120" t="s">
        <v>251</v>
      </c>
      <c r="J729" s="120" t="s">
        <v>251</v>
      </c>
      <c r="K729" s="120" t="s">
        <v>251</v>
      </c>
      <c r="L729" s="120" t="s">
        <v>251</v>
      </c>
      <c r="M729" s="120" t="s">
        <v>251</v>
      </c>
      <c r="N729" s="120" t="s">
        <v>251</v>
      </c>
      <c r="O729" s="120" t="s">
        <v>251</v>
      </c>
      <c r="P729" s="120" t="s">
        <v>251</v>
      </c>
      <c r="Q729" s="120" t="s">
        <v>251</v>
      </c>
      <c r="R729" s="120"/>
      <c r="S729" s="121"/>
    </row>
    <row r="730" spans="1:19" ht="15">
      <c r="A730" s="105" t="s">
        <v>251</v>
      </c>
      <c r="B730" s="105"/>
      <c r="C730" s="107" t="s">
        <v>777</v>
      </c>
      <c r="D730" s="107" t="s">
        <v>251</v>
      </c>
      <c r="E730" s="120" t="s">
        <v>251</v>
      </c>
      <c r="F730" s="120" t="s">
        <v>251</v>
      </c>
      <c r="G730" s="120" t="s">
        <v>251</v>
      </c>
      <c r="H730" s="120" t="s">
        <v>251</v>
      </c>
      <c r="I730" s="120" t="s">
        <v>251</v>
      </c>
      <c r="J730" s="120" t="s">
        <v>251</v>
      </c>
      <c r="K730" s="120" t="s">
        <v>251</v>
      </c>
      <c r="L730" s="120" t="s">
        <v>251</v>
      </c>
      <c r="M730" s="120" t="s">
        <v>251</v>
      </c>
      <c r="N730" s="120" t="s">
        <v>251</v>
      </c>
      <c r="O730" s="120" t="s">
        <v>251</v>
      </c>
      <c r="P730" s="120" t="s">
        <v>251</v>
      </c>
      <c r="Q730" s="120" t="s">
        <v>251</v>
      </c>
      <c r="R730" s="120"/>
      <c r="S730" s="121"/>
    </row>
    <row r="731" spans="1:19" ht="15">
      <c r="A731" s="105">
        <v>2</v>
      </c>
      <c r="B731" s="105"/>
      <c r="C731" s="107" t="s">
        <v>251</v>
      </c>
      <c r="D731" s="107" t="s">
        <v>251</v>
      </c>
      <c r="E731" s="120" t="s">
        <v>251</v>
      </c>
      <c r="F731" s="120" t="s">
        <v>251</v>
      </c>
      <c r="G731" s="120" t="s">
        <v>251</v>
      </c>
      <c r="H731" s="120" t="s">
        <v>251</v>
      </c>
      <c r="I731" s="120" t="s">
        <v>251</v>
      </c>
      <c r="J731" s="120" t="s">
        <v>251</v>
      </c>
      <c r="K731" s="120" t="s">
        <v>251</v>
      </c>
      <c r="L731" s="120" t="s">
        <v>251</v>
      </c>
      <c r="M731" s="120" t="s">
        <v>251</v>
      </c>
      <c r="N731" s="120" t="s">
        <v>251</v>
      </c>
      <c r="O731" s="120" t="s">
        <v>251</v>
      </c>
      <c r="P731" s="120" t="s">
        <v>251</v>
      </c>
      <c r="Q731" s="120" t="s">
        <v>251</v>
      </c>
      <c r="R731" s="120"/>
      <c r="S731" s="121"/>
    </row>
    <row r="732" spans="1:19" ht="15">
      <c r="A732" s="105">
        <v>3</v>
      </c>
      <c r="B732" s="105"/>
      <c r="C732" s="107" t="s">
        <v>251</v>
      </c>
      <c r="D732" s="107" t="s">
        <v>251</v>
      </c>
      <c r="E732" s="120" t="s">
        <v>251</v>
      </c>
      <c r="F732" s="120" t="s">
        <v>251</v>
      </c>
      <c r="G732" s="120" t="s">
        <v>251</v>
      </c>
      <c r="H732" s="120" t="s">
        <v>251</v>
      </c>
      <c r="I732" s="120" t="s">
        <v>251</v>
      </c>
      <c r="J732" s="120" t="s">
        <v>251</v>
      </c>
      <c r="K732" s="120" t="s">
        <v>251</v>
      </c>
      <c r="L732" s="120" t="s">
        <v>251</v>
      </c>
      <c r="M732" s="120" t="s">
        <v>251</v>
      </c>
      <c r="N732" s="120" t="s">
        <v>251</v>
      </c>
      <c r="O732" s="120" t="s">
        <v>251</v>
      </c>
      <c r="P732" s="120" t="s">
        <v>251</v>
      </c>
      <c r="Q732" s="120" t="s">
        <v>251</v>
      </c>
      <c r="R732" s="120"/>
      <c r="S732" s="121"/>
    </row>
    <row r="733" spans="1:19" ht="15">
      <c r="A733" s="105">
        <v>4</v>
      </c>
      <c r="B733" s="105"/>
      <c r="C733" s="107" t="s">
        <v>778</v>
      </c>
      <c r="D733" s="107" t="s">
        <v>251</v>
      </c>
      <c r="E733" s="120">
        <v>0</v>
      </c>
      <c r="F733" s="120" t="s">
        <v>251</v>
      </c>
      <c r="G733" s="120">
        <v>0</v>
      </c>
      <c r="H733" s="120" t="s">
        <v>251</v>
      </c>
      <c r="I733" s="120">
        <v>0</v>
      </c>
      <c r="J733" s="120">
        <v>0</v>
      </c>
      <c r="K733" s="120" t="s">
        <v>251</v>
      </c>
      <c r="L733" s="120" t="s">
        <v>251</v>
      </c>
      <c r="M733" s="120">
        <v>0</v>
      </c>
      <c r="N733" s="120" t="s">
        <v>251</v>
      </c>
      <c r="O733" s="120">
        <v>0</v>
      </c>
      <c r="P733" s="120">
        <v>0</v>
      </c>
      <c r="Q733" s="120">
        <v>0</v>
      </c>
      <c r="R733" s="120"/>
      <c r="S733" s="121"/>
    </row>
    <row r="734" spans="1:19" ht="15">
      <c r="A734" s="105" t="s">
        <v>251</v>
      </c>
      <c r="B734" s="105"/>
      <c r="C734" s="107" t="s">
        <v>251</v>
      </c>
      <c r="D734" s="107" t="s">
        <v>251</v>
      </c>
      <c r="E734" s="120" t="s">
        <v>251</v>
      </c>
      <c r="F734" s="120" t="s">
        <v>251</v>
      </c>
      <c r="G734" s="120" t="s">
        <v>251</v>
      </c>
      <c r="H734" s="120" t="s">
        <v>251</v>
      </c>
      <c r="I734" s="120" t="s">
        <v>251</v>
      </c>
      <c r="J734" s="120" t="s">
        <v>251</v>
      </c>
      <c r="K734" s="120" t="s">
        <v>251</v>
      </c>
      <c r="L734" s="120" t="s">
        <v>251</v>
      </c>
      <c r="M734" s="120" t="s">
        <v>251</v>
      </c>
      <c r="N734" s="120" t="s">
        <v>251</v>
      </c>
      <c r="O734" s="120" t="s">
        <v>251</v>
      </c>
      <c r="P734" s="120" t="s">
        <v>251</v>
      </c>
      <c r="Q734" s="120" t="s">
        <v>251</v>
      </c>
      <c r="R734" s="120"/>
      <c r="S734" s="121"/>
    </row>
    <row r="735" spans="1:19" ht="15">
      <c r="A735" s="105" t="s">
        <v>251</v>
      </c>
      <c r="B735" s="105"/>
      <c r="C735" s="107" t="s">
        <v>779</v>
      </c>
      <c r="D735" s="107" t="s">
        <v>251</v>
      </c>
      <c r="E735" s="120" t="s">
        <v>251</v>
      </c>
      <c r="F735" s="120" t="s">
        <v>251</v>
      </c>
      <c r="G735" s="120" t="s">
        <v>251</v>
      </c>
      <c r="H735" s="120" t="s">
        <v>251</v>
      </c>
      <c r="I735" s="120" t="s">
        <v>251</v>
      </c>
      <c r="J735" s="120" t="s">
        <v>251</v>
      </c>
      <c r="K735" s="120" t="s">
        <v>251</v>
      </c>
      <c r="L735" s="120" t="s">
        <v>251</v>
      </c>
      <c r="M735" s="120" t="s">
        <v>251</v>
      </c>
      <c r="N735" s="120" t="s">
        <v>251</v>
      </c>
      <c r="O735" s="120" t="s">
        <v>251</v>
      </c>
      <c r="P735" s="120" t="s">
        <v>251</v>
      </c>
      <c r="Q735" s="120" t="s">
        <v>251</v>
      </c>
      <c r="R735" s="120"/>
      <c r="S735" s="121"/>
    </row>
    <row r="736" spans="1:19" ht="15">
      <c r="A736" s="105" t="s">
        <v>251</v>
      </c>
      <c r="B736" s="105"/>
      <c r="C736" s="107" t="s">
        <v>780</v>
      </c>
      <c r="D736" s="107" t="s">
        <v>251</v>
      </c>
      <c r="E736" s="120" t="s">
        <v>251</v>
      </c>
      <c r="F736" s="120" t="s">
        <v>251</v>
      </c>
      <c r="G736" s="120" t="s">
        <v>251</v>
      </c>
      <c r="H736" s="120" t="s">
        <v>251</v>
      </c>
      <c r="I736" s="120" t="s">
        <v>251</v>
      </c>
      <c r="J736" s="120" t="s">
        <v>251</v>
      </c>
      <c r="K736" s="120" t="s">
        <v>251</v>
      </c>
      <c r="L736" s="120" t="s">
        <v>251</v>
      </c>
      <c r="M736" s="120" t="s">
        <v>251</v>
      </c>
      <c r="N736" s="120" t="s">
        <v>251</v>
      </c>
      <c r="O736" s="120" t="s">
        <v>251</v>
      </c>
      <c r="P736" s="120" t="s">
        <v>251</v>
      </c>
      <c r="Q736" s="120" t="s">
        <v>251</v>
      </c>
      <c r="R736" s="120"/>
      <c r="S736" s="121"/>
    </row>
    <row r="737" spans="1:19" ht="15">
      <c r="A737" s="105">
        <v>5</v>
      </c>
      <c r="B737" s="105"/>
      <c r="C737" s="107" t="s">
        <v>781</v>
      </c>
      <c r="D737" s="107" t="s">
        <v>782</v>
      </c>
      <c r="E737" s="120">
        <v>100511312.46013832</v>
      </c>
      <c r="F737" s="120" t="s">
        <v>251</v>
      </c>
      <c r="G737" s="120">
        <v>89740868.793845981</v>
      </c>
      <c r="H737" s="120" t="s">
        <v>251</v>
      </c>
      <c r="I737" s="120">
        <v>4569480.0795619283</v>
      </c>
      <c r="J737" s="120">
        <v>6200963.5867316462</v>
      </c>
      <c r="K737" s="120" t="s">
        <v>251</v>
      </c>
      <c r="L737" s="120" t="s">
        <v>251</v>
      </c>
      <c r="M737" s="120">
        <v>8053.3946184872448</v>
      </c>
      <c r="N737" s="120" t="s">
        <v>251</v>
      </c>
      <c r="O737" s="120">
        <v>6192910.1921130437</v>
      </c>
      <c r="P737" s="120">
        <v>1937276.021031616</v>
      </c>
      <c r="Q737" s="120">
        <v>4255634.1710814806</v>
      </c>
      <c r="R737" s="120"/>
      <c r="S737" s="121"/>
    </row>
    <row r="738" spans="1:19" ht="15">
      <c r="A738" s="105">
        <v>6</v>
      </c>
      <c r="B738" s="105"/>
      <c r="C738" s="107" t="s">
        <v>783</v>
      </c>
      <c r="D738" s="107" t="s">
        <v>784</v>
      </c>
      <c r="E738" s="120">
        <v>0</v>
      </c>
      <c r="F738" s="120" t="s">
        <v>251</v>
      </c>
      <c r="G738" s="120">
        <v>0</v>
      </c>
      <c r="H738" s="120" t="s">
        <v>251</v>
      </c>
      <c r="I738" s="120">
        <v>27971.937610000001</v>
      </c>
      <c r="J738" s="120">
        <v>0</v>
      </c>
      <c r="K738" s="120" t="s">
        <v>251</v>
      </c>
      <c r="L738" s="120" t="s">
        <v>251</v>
      </c>
      <c r="M738" s="120">
        <v>0</v>
      </c>
      <c r="N738" s="120" t="s">
        <v>251</v>
      </c>
      <c r="O738" s="120">
        <v>0</v>
      </c>
      <c r="P738" s="120">
        <v>0</v>
      </c>
      <c r="Q738" s="120">
        <v>0</v>
      </c>
      <c r="R738" s="120"/>
      <c r="S738" s="121"/>
    </row>
    <row r="739" spans="1:19" ht="15">
      <c r="A739" s="105">
        <v>7</v>
      </c>
      <c r="B739" s="105"/>
      <c r="C739" s="107" t="s">
        <v>785</v>
      </c>
      <c r="D739" s="107" t="s">
        <v>2672</v>
      </c>
      <c r="E739" s="120">
        <v>-225954.46013940184</v>
      </c>
      <c r="F739" s="120" t="s">
        <v>251</v>
      </c>
      <c r="G739" s="120">
        <v>0</v>
      </c>
      <c r="H739" s="120" t="s">
        <v>251</v>
      </c>
      <c r="I739" s="120">
        <v>0</v>
      </c>
      <c r="J739" s="120">
        <v>-225954.46013940184</v>
      </c>
      <c r="K739" s="120" t="s">
        <v>251</v>
      </c>
      <c r="L739" s="120" t="s">
        <v>251</v>
      </c>
      <c r="M739" s="120">
        <v>0</v>
      </c>
      <c r="N739" s="120" t="s">
        <v>251</v>
      </c>
      <c r="O739" s="120">
        <v>-225954.46013940184</v>
      </c>
      <c r="P739" s="120">
        <v>-69703.120295727043</v>
      </c>
      <c r="Q739" s="120">
        <v>-156251.3398436748</v>
      </c>
      <c r="R739" s="120"/>
      <c r="S739" s="121"/>
    </row>
    <row r="740" spans="1:19" ht="15">
      <c r="A740" s="105">
        <v>8</v>
      </c>
      <c r="B740" s="105"/>
      <c r="C740" s="107" t="s">
        <v>787</v>
      </c>
      <c r="D740" s="107" t="s">
        <v>251</v>
      </c>
      <c r="E740" s="120">
        <v>100285357.99999891</v>
      </c>
      <c r="F740" s="120" t="s">
        <v>251</v>
      </c>
      <c r="G740" s="120">
        <v>89740868.793845981</v>
      </c>
      <c r="H740" s="120" t="s">
        <v>251</v>
      </c>
      <c r="I740" s="120">
        <v>4597452.0171719287</v>
      </c>
      <c r="J740" s="120">
        <v>5975009.126592245</v>
      </c>
      <c r="K740" s="120" t="s">
        <v>251</v>
      </c>
      <c r="L740" s="120" t="s">
        <v>251</v>
      </c>
      <c r="M740" s="120">
        <v>8053.3946184872448</v>
      </c>
      <c r="N740" s="120" t="s">
        <v>251</v>
      </c>
      <c r="O740" s="120">
        <v>5966955.7319736425</v>
      </c>
      <c r="P740" s="120">
        <v>1867572.9007358891</v>
      </c>
      <c r="Q740" s="120">
        <v>4099382.831237806</v>
      </c>
      <c r="R740" s="120"/>
      <c r="S740" s="121"/>
    </row>
    <row r="741" spans="1:19" ht="15">
      <c r="A741" s="105" t="s">
        <v>251</v>
      </c>
      <c r="B741" s="105"/>
      <c r="C741" s="107" t="s">
        <v>251</v>
      </c>
      <c r="D741" s="107" t="s">
        <v>251</v>
      </c>
      <c r="E741" s="120" t="s">
        <v>251</v>
      </c>
      <c r="F741" s="120" t="s">
        <v>251</v>
      </c>
      <c r="G741" s="120" t="s">
        <v>251</v>
      </c>
      <c r="H741" s="120" t="s">
        <v>251</v>
      </c>
      <c r="I741" s="120" t="s">
        <v>251</v>
      </c>
      <c r="J741" s="120" t="s">
        <v>251</v>
      </c>
      <c r="K741" s="120" t="s">
        <v>251</v>
      </c>
      <c r="L741" s="120" t="s">
        <v>251</v>
      </c>
      <c r="M741" s="120" t="s">
        <v>251</v>
      </c>
      <c r="N741" s="120" t="s">
        <v>251</v>
      </c>
      <c r="O741" s="120" t="s">
        <v>251</v>
      </c>
      <c r="P741" s="120" t="s">
        <v>251</v>
      </c>
      <c r="Q741" s="120" t="s">
        <v>251</v>
      </c>
      <c r="R741" s="120"/>
      <c r="S741" s="121"/>
    </row>
    <row r="742" spans="1:19" ht="15">
      <c r="A742" s="105" t="s">
        <v>251</v>
      </c>
      <c r="B742" s="105"/>
      <c r="C742" s="107" t="s">
        <v>788</v>
      </c>
      <c r="D742" s="107" t="s">
        <v>251</v>
      </c>
      <c r="E742" s="120" t="s">
        <v>251</v>
      </c>
      <c r="F742" s="120" t="s">
        <v>251</v>
      </c>
      <c r="G742" s="120" t="s">
        <v>251</v>
      </c>
      <c r="H742" s="120" t="s">
        <v>251</v>
      </c>
      <c r="I742" s="120" t="s">
        <v>251</v>
      </c>
      <c r="J742" s="120" t="s">
        <v>251</v>
      </c>
      <c r="K742" s="120" t="s">
        <v>251</v>
      </c>
      <c r="L742" s="120" t="s">
        <v>251</v>
      </c>
      <c r="M742" s="120" t="s">
        <v>251</v>
      </c>
      <c r="N742" s="120" t="s">
        <v>251</v>
      </c>
      <c r="O742" s="120" t="s">
        <v>251</v>
      </c>
      <c r="P742" s="120" t="s">
        <v>251</v>
      </c>
      <c r="Q742" s="120" t="s">
        <v>251</v>
      </c>
      <c r="R742" s="120"/>
      <c r="S742" s="121"/>
    </row>
    <row r="743" spans="1:19" ht="15">
      <c r="A743" s="105">
        <v>9</v>
      </c>
      <c r="B743" s="105"/>
      <c r="C743" s="107" t="s">
        <v>789</v>
      </c>
      <c r="D743" s="107" t="s">
        <v>928</v>
      </c>
      <c r="E743" s="120">
        <v>0</v>
      </c>
      <c r="F743" s="120" t="s">
        <v>251</v>
      </c>
      <c r="G743" s="120">
        <v>0</v>
      </c>
      <c r="H743" s="120" t="s">
        <v>251</v>
      </c>
      <c r="I743" s="120">
        <v>0</v>
      </c>
      <c r="J743" s="120">
        <v>0</v>
      </c>
      <c r="K743" s="120" t="s">
        <v>251</v>
      </c>
      <c r="L743" s="120" t="s">
        <v>251</v>
      </c>
      <c r="M743" s="120">
        <v>0</v>
      </c>
      <c r="N743" s="120" t="s">
        <v>251</v>
      </c>
      <c r="O743" s="120">
        <v>0</v>
      </c>
      <c r="P743" s="120">
        <v>0</v>
      </c>
      <c r="Q743" s="120">
        <v>0</v>
      </c>
      <c r="R743" s="120"/>
      <c r="S743" s="121"/>
    </row>
    <row r="744" spans="1:19" ht="15">
      <c r="A744" s="105">
        <v>10</v>
      </c>
      <c r="B744" s="105"/>
      <c r="C744" s="107" t="s">
        <v>2251</v>
      </c>
      <c r="D744" s="107" t="s">
        <v>444</v>
      </c>
      <c r="E744" s="120">
        <v>0</v>
      </c>
      <c r="F744" s="120" t="s">
        <v>251</v>
      </c>
      <c r="G744" s="120">
        <v>0</v>
      </c>
      <c r="H744" s="120" t="s">
        <v>251</v>
      </c>
      <c r="I744" s="120">
        <v>0</v>
      </c>
      <c r="J744" s="120">
        <v>0</v>
      </c>
      <c r="K744" s="120" t="s">
        <v>251</v>
      </c>
      <c r="L744" s="120" t="s">
        <v>251</v>
      </c>
      <c r="M744" s="120">
        <v>0</v>
      </c>
      <c r="N744" s="120" t="s">
        <v>251</v>
      </c>
      <c r="O744" s="120">
        <v>0</v>
      </c>
      <c r="P744" s="120">
        <v>0</v>
      </c>
      <c r="Q744" s="120">
        <v>0</v>
      </c>
      <c r="R744" s="120"/>
      <c r="S744" s="121"/>
    </row>
    <row r="745" spans="1:19" ht="15">
      <c r="A745" s="105">
        <v>11</v>
      </c>
      <c r="B745" s="105"/>
      <c r="C745" s="107" t="s">
        <v>790</v>
      </c>
      <c r="D745" s="107" t="s">
        <v>312</v>
      </c>
      <c r="E745" s="120">
        <v>217671.5398750958</v>
      </c>
      <c r="F745" s="120" t="s">
        <v>251</v>
      </c>
      <c r="G745" s="120">
        <v>0</v>
      </c>
      <c r="H745" s="120" t="s">
        <v>251</v>
      </c>
      <c r="I745" s="120">
        <v>70896.316291099123</v>
      </c>
      <c r="J745" s="120">
        <v>146775.22358399667</v>
      </c>
      <c r="K745" s="120" t="s">
        <v>251</v>
      </c>
      <c r="L745" s="120" t="s">
        <v>251</v>
      </c>
      <c r="M745" s="120">
        <v>0</v>
      </c>
      <c r="N745" s="120" t="s">
        <v>251</v>
      </c>
      <c r="O745" s="120">
        <v>146775.22358399667</v>
      </c>
      <c r="P745" s="120">
        <v>45277.668161963993</v>
      </c>
      <c r="Q745" s="120">
        <v>101497.55542203269</v>
      </c>
      <c r="R745" s="120"/>
      <c r="S745" s="121"/>
    </row>
    <row r="746" spans="1:19" ht="15">
      <c r="A746" s="105">
        <v>12</v>
      </c>
      <c r="B746" s="105"/>
      <c r="C746" s="107" t="s">
        <v>791</v>
      </c>
      <c r="D746" s="107" t="s">
        <v>314</v>
      </c>
      <c r="E746" s="120">
        <v>632328.46012490406</v>
      </c>
      <c r="F746" s="120" t="s">
        <v>251</v>
      </c>
      <c r="G746" s="120">
        <v>0</v>
      </c>
      <c r="H746" s="120" t="s">
        <v>251</v>
      </c>
      <c r="I746" s="120">
        <v>0</v>
      </c>
      <c r="J746" s="120">
        <v>632328.46012490406</v>
      </c>
      <c r="K746" s="120" t="s">
        <v>251</v>
      </c>
      <c r="L746" s="120" t="s">
        <v>251</v>
      </c>
      <c r="M746" s="120">
        <v>0</v>
      </c>
      <c r="N746" s="120" t="s">
        <v>251</v>
      </c>
      <c r="O746" s="120">
        <v>632328.46012490406</v>
      </c>
      <c r="P746" s="120">
        <v>195062.60994054272</v>
      </c>
      <c r="Q746" s="120">
        <v>437265.85018436139</v>
      </c>
      <c r="R746" s="120"/>
      <c r="S746" s="121"/>
    </row>
    <row r="747" spans="1:19" ht="15">
      <c r="A747" s="105">
        <v>13</v>
      </c>
      <c r="B747" s="105"/>
      <c r="C747" s="107" t="s">
        <v>792</v>
      </c>
      <c r="D747" s="107" t="s">
        <v>782</v>
      </c>
      <c r="E747" s="120">
        <v>338999.99999999627</v>
      </c>
      <c r="F747" s="120" t="s">
        <v>251</v>
      </c>
      <c r="G747" s="120">
        <v>302673.93566449097</v>
      </c>
      <c r="H747" s="120" t="s">
        <v>251</v>
      </c>
      <c r="I747" s="120">
        <v>-374424.36789043574</v>
      </c>
      <c r="J747" s="120">
        <v>20914.328988945254</v>
      </c>
      <c r="K747" s="120" t="s">
        <v>251</v>
      </c>
      <c r="L747" s="120" t="s">
        <v>251</v>
      </c>
      <c r="M747" s="120">
        <v>27.162124430022484</v>
      </c>
      <c r="N747" s="120" t="s">
        <v>251</v>
      </c>
      <c r="O747" s="120">
        <v>20887.166864514846</v>
      </c>
      <c r="P747" s="120">
        <v>6533.9567761605467</v>
      </c>
      <c r="Q747" s="120">
        <v>14353.210088354477</v>
      </c>
      <c r="R747" s="120"/>
      <c r="S747" s="121"/>
    </row>
    <row r="748" spans="1:19" ht="15">
      <c r="A748" s="105" t="s">
        <v>251</v>
      </c>
      <c r="B748" s="105"/>
      <c r="C748" s="107" t="s">
        <v>251</v>
      </c>
      <c r="D748" s="107" t="s">
        <v>251</v>
      </c>
      <c r="E748" s="120" t="s">
        <v>251</v>
      </c>
      <c r="F748" s="120" t="s">
        <v>251</v>
      </c>
      <c r="G748" s="120" t="s">
        <v>251</v>
      </c>
      <c r="H748" s="120" t="s">
        <v>251</v>
      </c>
      <c r="I748" s="120" t="s">
        <v>251</v>
      </c>
      <c r="J748" s="120" t="s">
        <v>251</v>
      </c>
      <c r="K748" s="120" t="s">
        <v>251</v>
      </c>
      <c r="L748" s="120" t="s">
        <v>251</v>
      </c>
      <c r="M748" s="120" t="s">
        <v>251</v>
      </c>
      <c r="N748" s="120" t="s">
        <v>251</v>
      </c>
      <c r="O748" s="120" t="s">
        <v>251</v>
      </c>
      <c r="P748" s="120" t="s">
        <v>251</v>
      </c>
      <c r="Q748" s="120" t="s">
        <v>251</v>
      </c>
      <c r="R748" s="120"/>
      <c r="S748" s="121"/>
    </row>
    <row r="749" spans="1:19" ht="15">
      <c r="A749" s="105">
        <v>14</v>
      </c>
      <c r="B749" s="105"/>
      <c r="C749" s="107" t="s">
        <v>793</v>
      </c>
      <c r="D749" s="107" t="s">
        <v>251</v>
      </c>
      <c r="E749" s="120">
        <v>345447501</v>
      </c>
      <c r="F749" s="120" t="s">
        <v>251</v>
      </c>
      <c r="G749" s="120">
        <v>310362022</v>
      </c>
      <c r="H749" s="120" t="s">
        <v>251</v>
      </c>
      <c r="I749" s="120">
        <v>12365501</v>
      </c>
      <c r="J749" s="120">
        <v>22302170</v>
      </c>
      <c r="K749" s="120" t="s">
        <v>251</v>
      </c>
      <c r="L749" s="120" t="s">
        <v>251</v>
      </c>
      <c r="M749" s="120">
        <v>-39676</v>
      </c>
      <c r="N749" s="120" t="s">
        <v>251</v>
      </c>
      <c r="O749" s="120">
        <v>22341846</v>
      </c>
      <c r="P749" s="120">
        <v>6283366</v>
      </c>
      <c r="Q749" s="120">
        <v>16058480</v>
      </c>
      <c r="R749" s="120"/>
      <c r="S749" s="121"/>
    </row>
    <row r="750" spans="1:19" ht="15">
      <c r="A750" s="105">
        <v>15</v>
      </c>
      <c r="B750" s="105"/>
      <c r="C750" s="107" t="s">
        <v>2252</v>
      </c>
      <c r="D750" s="107" t="s">
        <v>251</v>
      </c>
      <c r="E750" s="120">
        <v>345447501</v>
      </c>
      <c r="F750" s="120" t="s">
        <v>251</v>
      </c>
      <c r="G750" s="120">
        <v>310362022</v>
      </c>
      <c r="H750" s="120" t="s">
        <v>251</v>
      </c>
      <c r="I750" s="120">
        <v>11529547.052029286</v>
      </c>
      <c r="J750" s="120">
        <v>22302170</v>
      </c>
      <c r="K750" s="120" t="s">
        <v>251</v>
      </c>
      <c r="L750" s="120" t="s">
        <v>251</v>
      </c>
      <c r="M750" s="120">
        <v>-39676</v>
      </c>
      <c r="N750" s="120" t="s">
        <v>251</v>
      </c>
      <c r="O750" s="120">
        <v>22341846</v>
      </c>
      <c r="P750" s="120">
        <v>6283366</v>
      </c>
      <c r="Q750" s="120">
        <v>16058480</v>
      </c>
      <c r="R750" s="120"/>
      <c r="S750" s="121"/>
    </row>
    <row r="751" spans="1:19" ht="15">
      <c r="A751" s="105" t="s">
        <v>251</v>
      </c>
      <c r="B751" s="105"/>
      <c r="C751" s="107" t="s">
        <v>251</v>
      </c>
      <c r="D751" s="107" t="s">
        <v>251</v>
      </c>
      <c r="E751" s="120" t="s">
        <v>251</v>
      </c>
      <c r="F751" s="120" t="s">
        <v>251</v>
      </c>
      <c r="G751" s="120" t="s">
        <v>251</v>
      </c>
      <c r="H751" s="120" t="s">
        <v>251</v>
      </c>
      <c r="I751" s="120" t="s">
        <v>251</v>
      </c>
      <c r="J751" s="120" t="s">
        <v>251</v>
      </c>
      <c r="K751" s="120" t="s">
        <v>251</v>
      </c>
      <c r="L751" s="120" t="s">
        <v>251</v>
      </c>
      <c r="M751" s="120" t="s">
        <v>251</v>
      </c>
      <c r="N751" s="120" t="s">
        <v>251</v>
      </c>
      <c r="O751" s="120" t="s">
        <v>251</v>
      </c>
      <c r="P751" s="120" t="s">
        <v>251</v>
      </c>
      <c r="Q751" s="120" t="s">
        <v>251</v>
      </c>
      <c r="R751" s="120"/>
      <c r="S751" s="121"/>
    </row>
    <row r="752" spans="1:19" ht="15">
      <c r="A752" s="105">
        <v>16</v>
      </c>
      <c r="B752" s="105"/>
      <c r="C752" s="107" t="s">
        <v>794</v>
      </c>
      <c r="D752" s="107" t="s">
        <v>251</v>
      </c>
      <c r="E752" s="120">
        <v>17272375.050000001</v>
      </c>
      <c r="F752" s="120" t="s">
        <v>251</v>
      </c>
      <c r="G752" s="120">
        <v>15518101.100000001</v>
      </c>
      <c r="H752" s="120" t="s">
        <v>251</v>
      </c>
      <c r="I752" s="120">
        <v>691772.82312175713</v>
      </c>
      <c r="J752" s="120">
        <v>1115108.5</v>
      </c>
      <c r="K752" s="120" t="s">
        <v>251</v>
      </c>
      <c r="L752" s="120" t="s">
        <v>251</v>
      </c>
      <c r="M752" s="120">
        <v>-1983.8000000000002</v>
      </c>
      <c r="N752" s="120" t="s">
        <v>251</v>
      </c>
      <c r="O752" s="120">
        <v>1117092.3</v>
      </c>
      <c r="P752" s="120">
        <v>314168.3</v>
      </c>
      <c r="Q752" s="120">
        <v>802924</v>
      </c>
      <c r="R752" s="120"/>
      <c r="S752" s="121"/>
    </row>
    <row r="753" spans="1:19" ht="15">
      <c r="A753" s="105">
        <v>17</v>
      </c>
      <c r="B753" s="105"/>
      <c r="C753" s="107" t="s">
        <v>795</v>
      </c>
      <c r="D753" s="107" t="s">
        <v>782</v>
      </c>
      <c r="E753" s="120">
        <v>100361</v>
      </c>
      <c r="F753" s="120" t="s">
        <v>251</v>
      </c>
      <c r="G753" s="120">
        <v>89607</v>
      </c>
      <c r="H753" s="120" t="s">
        <v>251</v>
      </c>
      <c r="I753" s="120">
        <v>4563</v>
      </c>
      <c r="J753" s="120">
        <v>6191</v>
      </c>
      <c r="K753" s="120" t="s">
        <v>251</v>
      </c>
      <c r="L753" s="120" t="s">
        <v>251</v>
      </c>
      <c r="M753" s="120">
        <v>8</v>
      </c>
      <c r="N753" s="120" t="s">
        <v>251</v>
      </c>
      <c r="O753" s="120">
        <v>6183</v>
      </c>
      <c r="P753" s="120">
        <v>1934</v>
      </c>
      <c r="Q753" s="120">
        <v>4249</v>
      </c>
      <c r="R753" s="120"/>
      <c r="S753" s="121"/>
    </row>
    <row r="754" spans="1:19" ht="15">
      <c r="A754" s="105">
        <v>18</v>
      </c>
      <c r="B754" s="105"/>
      <c r="C754" s="107" t="s">
        <v>796</v>
      </c>
      <c r="D754" s="107" t="s">
        <v>376</v>
      </c>
      <c r="E754" s="120">
        <v>-1620000</v>
      </c>
      <c r="F754" s="120" t="s">
        <v>251</v>
      </c>
      <c r="G754" s="120">
        <v>-1479721</v>
      </c>
      <c r="H754" s="120" t="s">
        <v>251</v>
      </c>
      <c r="I754" s="120">
        <v>0</v>
      </c>
      <c r="J754" s="120">
        <v>-140279</v>
      </c>
      <c r="K754" s="120" t="s">
        <v>251</v>
      </c>
      <c r="L754" s="120" t="s">
        <v>251</v>
      </c>
      <c r="M754" s="120">
        <v>0</v>
      </c>
      <c r="N754" s="120" t="s">
        <v>251</v>
      </c>
      <c r="O754" s="120">
        <v>-140279</v>
      </c>
      <c r="P754" s="120">
        <v>-43274</v>
      </c>
      <c r="Q754" s="120">
        <v>-97005</v>
      </c>
      <c r="R754" s="120"/>
      <c r="S754" s="121"/>
    </row>
    <row r="755" spans="1:19" ht="15">
      <c r="A755" s="105">
        <v>19</v>
      </c>
      <c r="B755" s="105"/>
      <c r="C755" s="107" t="s">
        <v>797</v>
      </c>
      <c r="D755" s="107" t="s">
        <v>798</v>
      </c>
      <c r="E755" s="120">
        <v>-930205</v>
      </c>
      <c r="F755" s="120" t="s">
        <v>251</v>
      </c>
      <c r="G755" s="120">
        <v>-870622</v>
      </c>
      <c r="H755" s="120" t="s">
        <v>251</v>
      </c>
      <c r="I755" s="120">
        <v>0</v>
      </c>
      <c r="J755" s="120">
        <v>-59583</v>
      </c>
      <c r="K755" s="120" t="s">
        <v>251</v>
      </c>
      <c r="L755" s="120" t="s">
        <v>251</v>
      </c>
      <c r="M755" s="120">
        <v>-69</v>
      </c>
      <c r="N755" s="120" t="s">
        <v>251</v>
      </c>
      <c r="O755" s="120">
        <v>-59514</v>
      </c>
      <c r="P755" s="120">
        <v>-18619</v>
      </c>
      <c r="Q755" s="120">
        <v>-40895</v>
      </c>
      <c r="R755" s="120"/>
      <c r="S755" s="121"/>
    </row>
    <row r="756" spans="1:19" ht="15">
      <c r="A756" s="105">
        <v>20</v>
      </c>
      <c r="B756" s="105"/>
      <c r="C756" s="107" t="s">
        <v>799</v>
      </c>
      <c r="D756" s="107" t="s">
        <v>251</v>
      </c>
      <c r="E756" s="120">
        <v>14822531.050000001</v>
      </c>
      <c r="F756" s="120" t="s">
        <v>251</v>
      </c>
      <c r="G756" s="120">
        <v>13257365.100000001</v>
      </c>
      <c r="H756" s="120" t="s">
        <v>251</v>
      </c>
      <c r="I756" s="120">
        <v>696335.82312175713</v>
      </c>
      <c r="J756" s="120">
        <v>921437.5</v>
      </c>
      <c r="K756" s="120" t="s">
        <v>251</v>
      </c>
      <c r="L756" s="120" t="s">
        <v>251</v>
      </c>
      <c r="M756" s="120">
        <v>-2044.8000000000002</v>
      </c>
      <c r="N756" s="120" t="s">
        <v>251</v>
      </c>
      <c r="O756" s="120">
        <v>923482.3</v>
      </c>
      <c r="P756" s="120">
        <v>254209.3</v>
      </c>
      <c r="Q756" s="120">
        <v>669273</v>
      </c>
      <c r="R756" s="120"/>
      <c r="S756" s="121"/>
    </row>
    <row r="757" spans="1:19" ht="15">
      <c r="A757" s="105">
        <v>21</v>
      </c>
      <c r="B757" s="105"/>
      <c r="C757" s="107" t="s">
        <v>800</v>
      </c>
      <c r="D757" s="107" t="s">
        <v>928</v>
      </c>
      <c r="E757" s="120">
        <v>0</v>
      </c>
      <c r="F757" s="120" t="s">
        <v>251</v>
      </c>
      <c r="G757" s="120">
        <v>0</v>
      </c>
      <c r="H757" s="120" t="s">
        <v>251</v>
      </c>
      <c r="I757" s="120">
        <v>0</v>
      </c>
      <c r="J757" s="120">
        <v>0</v>
      </c>
      <c r="K757" s="120" t="s">
        <v>251</v>
      </c>
      <c r="L757" s="120" t="s">
        <v>251</v>
      </c>
      <c r="M757" s="120">
        <v>0</v>
      </c>
      <c r="N757" s="120" t="s">
        <v>251</v>
      </c>
      <c r="O757" s="120">
        <v>0</v>
      </c>
      <c r="P757" s="120">
        <v>0</v>
      </c>
      <c r="Q757" s="120">
        <v>0</v>
      </c>
      <c r="R757" s="120"/>
      <c r="S757" s="121"/>
    </row>
    <row r="758" spans="1:19" ht="15">
      <c r="A758" s="105">
        <v>22</v>
      </c>
      <c r="B758" s="105"/>
      <c r="C758" s="107" t="s">
        <v>801</v>
      </c>
      <c r="D758" s="107" t="s">
        <v>782</v>
      </c>
      <c r="E758" s="120">
        <v>0</v>
      </c>
      <c r="F758" s="120" t="s">
        <v>251</v>
      </c>
      <c r="G758" s="120">
        <v>0</v>
      </c>
      <c r="H758" s="120" t="s">
        <v>251</v>
      </c>
      <c r="I758" s="120">
        <v>389836.103237</v>
      </c>
      <c r="J758" s="120">
        <v>0</v>
      </c>
      <c r="K758" s="120" t="s">
        <v>251</v>
      </c>
      <c r="L758" s="120" t="s">
        <v>251</v>
      </c>
      <c r="M758" s="120">
        <v>0</v>
      </c>
      <c r="N758" s="120" t="s">
        <v>251</v>
      </c>
      <c r="O758" s="120">
        <v>0</v>
      </c>
      <c r="P758" s="120">
        <v>0</v>
      </c>
      <c r="Q758" s="120">
        <v>0</v>
      </c>
      <c r="R758" s="120"/>
      <c r="S758" s="121"/>
    </row>
    <row r="759" spans="1:19" ht="15">
      <c r="A759" s="105">
        <v>23</v>
      </c>
      <c r="B759" s="105"/>
      <c r="C759" s="107" t="s">
        <v>2253</v>
      </c>
      <c r="D759" s="107" t="s">
        <v>251</v>
      </c>
      <c r="E759" s="120">
        <v>330624969.94999999</v>
      </c>
      <c r="F759" s="120" t="s">
        <v>251</v>
      </c>
      <c r="G759" s="120">
        <v>297104656.89999998</v>
      </c>
      <c r="H759" s="120" t="s">
        <v>251</v>
      </c>
      <c r="I759" s="120">
        <v>12059001.280115243</v>
      </c>
      <c r="J759" s="120">
        <v>21380732.5</v>
      </c>
      <c r="K759" s="120" t="s">
        <v>251</v>
      </c>
      <c r="L759" s="120" t="s">
        <v>251</v>
      </c>
      <c r="M759" s="120">
        <v>-37631.199999999997</v>
      </c>
      <c r="N759" s="120" t="s">
        <v>251</v>
      </c>
      <c r="O759" s="120">
        <v>21418363.699999999</v>
      </c>
      <c r="P759" s="120">
        <v>6029156.7000000002</v>
      </c>
      <c r="Q759" s="120">
        <v>15389207</v>
      </c>
      <c r="R759" s="123"/>
      <c r="S759" s="121"/>
    </row>
    <row r="760" spans="1:19" ht="15">
      <c r="A760" s="105" t="s">
        <v>251</v>
      </c>
      <c r="B760" s="105"/>
      <c r="C760" s="107" t="s">
        <v>251</v>
      </c>
      <c r="D760" s="107" t="s">
        <v>251</v>
      </c>
      <c r="E760" s="120" t="s">
        <v>251</v>
      </c>
      <c r="F760" s="120" t="s">
        <v>251</v>
      </c>
      <c r="G760" s="120" t="s">
        <v>251</v>
      </c>
      <c r="H760" s="120" t="s">
        <v>251</v>
      </c>
      <c r="I760" s="120" t="s">
        <v>251</v>
      </c>
      <c r="J760" s="120" t="s">
        <v>251</v>
      </c>
      <c r="K760" s="120" t="s">
        <v>251</v>
      </c>
      <c r="L760" s="120" t="s">
        <v>251</v>
      </c>
      <c r="M760" s="120" t="s">
        <v>251</v>
      </c>
      <c r="N760" s="120" t="s">
        <v>251</v>
      </c>
      <c r="O760" s="120" t="s">
        <v>251</v>
      </c>
      <c r="P760" s="120" t="s">
        <v>251</v>
      </c>
      <c r="Q760" s="120" t="s">
        <v>251</v>
      </c>
      <c r="R760" s="120"/>
      <c r="S760" s="121"/>
    </row>
    <row r="761" spans="1:19" ht="15">
      <c r="A761" s="105">
        <v>24</v>
      </c>
      <c r="B761" s="105"/>
      <c r="C761" s="107" t="s">
        <v>2671</v>
      </c>
      <c r="D761" s="107" t="s">
        <v>251</v>
      </c>
      <c r="E761" s="120">
        <v>69431244</v>
      </c>
      <c r="F761" s="120" t="s">
        <v>251</v>
      </c>
      <c r="G761" s="120">
        <v>62391978</v>
      </c>
      <c r="H761" s="120" t="s">
        <v>251</v>
      </c>
      <c r="I761" s="120">
        <v>2532390</v>
      </c>
      <c r="J761" s="120">
        <v>4489953</v>
      </c>
      <c r="K761" s="120" t="s">
        <v>251</v>
      </c>
      <c r="L761" s="120" t="s">
        <v>251</v>
      </c>
      <c r="M761" s="120">
        <v>-7903</v>
      </c>
      <c r="N761" s="120" t="s">
        <v>251</v>
      </c>
      <c r="O761" s="120">
        <v>4497856</v>
      </c>
      <c r="P761" s="120">
        <v>1266123</v>
      </c>
      <c r="Q761" s="120">
        <v>3231733</v>
      </c>
      <c r="R761" s="120"/>
      <c r="S761" s="121"/>
    </row>
    <row r="762" spans="1:19" ht="15">
      <c r="A762" s="105">
        <v>25</v>
      </c>
      <c r="B762" s="105"/>
      <c r="C762" s="107" t="s">
        <v>802</v>
      </c>
      <c r="D762" s="107" t="s">
        <v>782</v>
      </c>
      <c r="E762" s="120">
        <v>-740267.99999999197</v>
      </c>
      <c r="F762" s="120" t="s">
        <v>251</v>
      </c>
      <c r="G762" s="120">
        <v>-660943.44839670032</v>
      </c>
      <c r="H762" s="120" t="s">
        <v>251</v>
      </c>
      <c r="I762" s="120">
        <v>-33654.320063511565</v>
      </c>
      <c r="J762" s="120">
        <v>-45670.231539789165</v>
      </c>
      <c r="K762" s="120" t="s">
        <v>251</v>
      </c>
      <c r="L762" s="120" t="s">
        <v>251</v>
      </c>
      <c r="M762" s="120">
        <v>-59.313426334996706</v>
      </c>
      <c r="N762" s="120" t="s">
        <v>251</v>
      </c>
      <c r="O762" s="120">
        <v>-45610.918113453314</v>
      </c>
      <c r="P762" s="120">
        <v>-14268.079984586477</v>
      </c>
      <c r="Q762" s="120">
        <v>-31342.838128867235</v>
      </c>
      <c r="R762" s="124"/>
      <c r="S762" s="121"/>
    </row>
    <row r="763" spans="1:19" ht="15">
      <c r="A763" s="105">
        <v>26</v>
      </c>
      <c r="B763" s="105"/>
      <c r="C763" s="107" t="s">
        <v>797</v>
      </c>
      <c r="D763" s="107" t="s">
        <v>717</v>
      </c>
      <c r="E763" s="120">
        <v>-9671935</v>
      </c>
      <c r="F763" s="120" t="s">
        <v>251</v>
      </c>
      <c r="G763" s="120">
        <v>-8609824</v>
      </c>
      <c r="H763" s="120" t="s">
        <v>251</v>
      </c>
      <c r="I763" s="120">
        <v>-472882</v>
      </c>
      <c r="J763" s="120">
        <v>-589229</v>
      </c>
      <c r="K763" s="120" t="s">
        <v>251</v>
      </c>
      <c r="L763" s="120" t="s">
        <v>251</v>
      </c>
      <c r="M763" s="120">
        <v>-685</v>
      </c>
      <c r="N763" s="120" t="s">
        <v>251</v>
      </c>
      <c r="O763" s="120">
        <v>-588544</v>
      </c>
      <c r="P763" s="120">
        <v>-184125</v>
      </c>
      <c r="Q763" s="120">
        <v>-404419</v>
      </c>
      <c r="R763" s="124"/>
      <c r="S763" s="121"/>
    </row>
    <row r="764" spans="1:19" ht="15">
      <c r="A764" s="105">
        <v>27</v>
      </c>
      <c r="B764" s="105"/>
      <c r="C764" s="107" t="s">
        <v>768</v>
      </c>
      <c r="D764" s="107" t="s">
        <v>251</v>
      </c>
      <c r="E764" s="120">
        <v>0</v>
      </c>
      <c r="F764" s="120" t="s">
        <v>251</v>
      </c>
      <c r="G764" s="120">
        <v>0</v>
      </c>
      <c r="H764" s="120" t="s">
        <v>251</v>
      </c>
      <c r="I764" s="120">
        <v>0</v>
      </c>
      <c r="J764" s="120">
        <v>0</v>
      </c>
      <c r="K764" s="120" t="s">
        <v>251</v>
      </c>
      <c r="L764" s="120" t="s">
        <v>251</v>
      </c>
      <c r="M764" s="120">
        <v>0</v>
      </c>
      <c r="N764" s="120" t="s">
        <v>251</v>
      </c>
      <c r="O764" s="120">
        <v>0</v>
      </c>
      <c r="P764" s="120">
        <v>0</v>
      </c>
      <c r="Q764" s="120">
        <v>0</v>
      </c>
      <c r="R764" s="124"/>
      <c r="S764" s="121"/>
    </row>
    <row r="765" spans="1:19" ht="15">
      <c r="A765" s="105">
        <v>28</v>
      </c>
      <c r="B765" s="105"/>
      <c r="C765" s="107" t="s">
        <v>803</v>
      </c>
      <c r="D765" s="107" t="s">
        <v>782</v>
      </c>
      <c r="E765" s="120">
        <v>-239277</v>
      </c>
      <c r="F765" s="120" t="s">
        <v>251</v>
      </c>
      <c r="G765" s="120">
        <v>-213637</v>
      </c>
      <c r="H765" s="120" t="s">
        <v>251</v>
      </c>
      <c r="I765" s="120">
        <v>-10878</v>
      </c>
      <c r="J765" s="120">
        <v>-14762</v>
      </c>
      <c r="K765" s="120" t="s">
        <v>251</v>
      </c>
      <c r="L765" s="120" t="s">
        <v>251</v>
      </c>
      <c r="M765" s="120">
        <v>-19</v>
      </c>
      <c r="N765" s="120" t="s">
        <v>251</v>
      </c>
      <c r="O765" s="120">
        <v>-14743</v>
      </c>
      <c r="P765" s="120">
        <v>-4612</v>
      </c>
      <c r="Q765" s="120">
        <v>-10131</v>
      </c>
      <c r="R765" s="124"/>
      <c r="S765" s="121"/>
    </row>
    <row r="766" spans="1:19" ht="15">
      <c r="A766" s="105">
        <v>29</v>
      </c>
      <c r="B766" s="105"/>
      <c r="C766" s="107" t="s">
        <v>804</v>
      </c>
      <c r="D766" s="107" t="s">
        <v>251</v>
      </c>
      <c r="E766" s="120">
        <v>58779764.000000015</v>
      </c>
      <c r="F766" s="120" t="s">
        <v>251</v>
      </c>
      <c r="G766" s="120">
        <v>52907573.551603302</v>
      </c>
      <c r="H766" s="120" t="s">
        <v>251</v>
      </c>
      <c r="I766" s="120">
        <v>2014975.6799364886</v>
      </c>
      <c r="J766" s="120">
        <v>3840291.7684602109</v>
      </c>
      <c r="K766" s="120" t="s">
        <v>251</v>
      </c>
      <c r="L766" s="120" t="s">
        <v>251</v>
      </c>
      <c r="M766" s="120">
        <v>-8666.3134263349966</v>
      </c>
      <c r="N766" s="120" t="s">
        <v>251</v>
      </c>
      <c r="O766" s="120">
        <v>3848958.0818865467</v>
      </c>
      <c r="P766" s="120">
        <v>1063117.9200154135</v>
      </c>
      <c r="Q766" s="120">
        <v>2785840.1618711329</v>
      </c>
      <c r="R766" s="124"/>
      <c r="S766" s="121"/>
    </row>
    <row r="767" spans="1:19" ht="15">
      <c r="A767" s="105" t="s">
        <v>251</v>
      </c>
      <c r="B767" s="105"/>
      <c r="C767" s="107" t="s">
        <v>251</v>
      </c>
      <c r="D767" s="107" t="s">
        <v>251</v>
      </c>
      <c r="E767" s="120" t="s">
        <v>251</v>
      </c>
      <c r="F767" s="120" t="s">
        <v>251</v>
      </c>
      <c r="G767" s="120" t="s">
        <v>251</v>
      </c>
      <c r="H767" s="120" t="s">
        <v>251</v>
      </c>
      <c r="I767" s="120" t="s">
        <v>251</v>
      </c>
      <c r="J767" s="120" t="s">
        <v>251</v>
      </c>
      <c r="K767" s="120" t="s">
        <v>251</v>
      </c>
      <c r="L767" s="120" t="s">
        <v>251</v>
      </c>
      <c r="M767" s="120" t="s">
        <v>251</v>
      </c>
      <c r="N767" s="120" t="s">
        <v>251</v>
      </c>
      <c r="O767" s="120" t="s">
        <v>251</v>
      </c>
      <c r="P767" s="120" t="s">
        <v>251</v>
      </c>
      <c r="Q767" s="120" t="s">
        <v>251</v>
      </c>
      <c r="R767" s="120"/>
      <c r="S767" s="121"/>
    </row>
    <row r="768" spans="1:19" ht="15">
      <c r="A768" s="105">
        <v>30</v>
      </c>
      <c r="B768" s="105"/>
      <c r="C768" s="107" t="s">
        <v>291</v>
      </c>
      <c r="D768" s="107" t="s">
        <v>251</v>
      </c>
      <c r="E768" s="120">
        <v>370941563.56193227</v>
      </c>
      <c r="F768" s="120" t="s">
        <v>251</v>
      </c>
      <c r="G768" s="120">
        <v>333635277.80325925</v>
      </c>
      <c r="H768" s="120" t="s">
        <v>251</v>
      </c>
      <c r="I768" s="120">
        <v>14555169.438667791</v>
      </c>
      <c r="J768" s="120">
        <v>22715431.946883302</v>
      </c>
      <c r="K768" s="120" t="s">
        <v>251</v>
      </c>
      <c r="L768" s="120" t="s">
        <v>251</v>
      </c>
      <c r="M768" s="120">
        <v>-20939.151550428895</v>
      </c>
      <c r="N768" s="120" t="s">
        <v>251</v>
      </c>
      <c r="O768" s="120">
        <v>22736371.098433729</v>
      </c>
      <c r="P768" s="120">
        <v>6586737.9406377608</v>
      </c>
      <c r="Q768" s="120">
        <v>16149633.157795968</v>
      </c>
      <c r="R768" s="120"/>
      <c r="S768" s="121"/>
    </row>
    <row r="769" spans="1:19" ht="15">
      <c r="A769" s="105">
        <v>31</v>
      </c>
      <c r="B769" s="105"/>
      <c r="C769" s="107" t="s">
        <v>292</v>
      </c>
      <c r="D769" s="107" t="s">
        <v>251</v>
      </c>
      <c r="E769" s="120">
        <v>6.9022545587208661E-2</v>
      </c>
      <c r="F769" s="120" t="s">
        <v>251</v>
      </c>
      <c r="G769" s="120">
        <v>6.8709330988302994E-2</v>
      </c>
      <c r="H769" s="120" t="s">
        <v>251</v>
      </c>
      <c r="I769" s="120">
        <v>5.8868707544165857E-2</v>
      </c>
      <c r="J769" s="120">
        <v>6.770111828697252E-2</v>
      </c>
      <c r="K769" s="120" t="s">
        <v>251</v>
      </c>
      <c r="L769" s="120" t="s">
        <v>251</v>
      </c>
      <c r="M769" s="120">
        <v>-4.8052293821372744E-2</v>
      </c>
      <c r="N769" s="120" t="s">
        <v>251</v>
      </c>
      <c r="O769" s="120">
        <v>6.7851646532535004E-2</v>
      </c>
      <c r="P769" s="120">
        <v>6.2836632992230343E-2</v>
      </c>
      <c r="Q769" s="120">
        <v>7.0134611911185515E-2</v>
      </c>
      <c r="R769" s="120"/>
      <c r="S769" s="121"/>
    </row>
    <row r="770" spans="1:19" ht="15">
      <c r="A770" s="105" t="s">
        <v>251</v>
      </c>
      <c r="B770" s="105"/>
      <c r="C770" s="107" t="s">
        <v>251</v>
      </c>
      <c r="D770" s="107" t="s">
        <v>251</v>
      </c>
      <c r="E770" s="123" t="s">
        <v>251</v>
      </c>
      <c r="F770" s="123" t="s">
        <v>251</v>
      </c>
      <c r="G770" s="123" t="s">
        <v>251</v>
      </c>
      <c r="H770" s="123" t="s">
        <v>251</v>
      </c>
      <c r="I770" s="123" t="s">
        <v>251</v>
      </c>
      <c r="J770" s="123" t="s">
        <v>251</v>
      </c>
      <c r="K770" s="123" t="s">
        <v>251</v>
      </c>
      <c r="L770" s="123" t="s">
        <v>251</v>
      </c>
      <c r="M770" s="123" t="s">
        <v>251</v>
      </c>
      <c r="N770" s="123" t="s">
        <v>251</v>
      </c>
      <c r="O770" s="123" t="s">
        <v>251</v>
      </c>
      <c r="P770" s="123" t="s">
        <v>251</v>
      </c>
      <c r="Q770" s="123" t="s">
        <v>251</v>
      </c>
      <c r="R770" s="120"/>
      <c r="S770" s="121"/>
    </row>
    <row r="771" spans="1:19" ht="15">
      <c r="A771" s="105" t="s">
        <v>251</v>
      </c>
      <c r="B771" s="105"/>
      <c r="C771" s="107" t="s">
        <v>251</v>
      </c>
      <c r="D771" s="107" t="s">
        <v>251</v>
      </c>
      <c r="E771" s="120" t="s">
        <v>251</v>
      </c>
      <c r="F771" s="120" t="s">
        <v>251</v>
      </c>
      <c r="G771" s="120" t="s">
        <v>251</v>
      </c>
      <c r="H771" s="120" t="s">
        <v>251</v>
      </c>
      <c r="I771" s="120" t="s">
        <v>251</v>
      </c>
      <c r="J771" s="120" t="s">
        <v>251</v>
      </c>
      <c r="K771" s="120" t="s">
        <v>251</v>
      </c>
      <c r="L771" s="120" t="s">
        <v>251</v>
      </c>
      <c r="M771" s="120" t="s">
        <v>251</v>
      </c>
      <c r="N771" s="120" t="s">
        <v>251</v>
      </c>
      <c r="O771" s="120" t="s">
        <v>251</v>
      </c>
      <c r="P771" s="120" t="s">
        <v>251</v>
      </c>
      <c r="Q771" s="120" t="s">
        <v>251</v>
      </c>
      <c r="R771" s="120"/>
      <c r="S771" s="121"/>
    </row>
    <row r="772" spans="1:19" ht="15">
      <c r="A772" s="105" t="s">
        <v>251</v>
      </c>
      <c r="B772" s="105"/>
      <c r="C772" s="107" t="s">
        <v>805</v>
      </c>
      <c r="D772" s="107" t="s">
        <v>251</v>
      </c>
      <c r="E772" s="123">
        <v>0.05</v>
      </c>
      <c r="F772" s="123" t="s">
        <v>251</v>
      </c>
      <c r="G772" s="123">
        <v>0.05</v>
      </c>
      <c r="H772" s="123" t="s">
        <v>251</v>
      </c>
      <c r="I772" s="123">
        <v>0.06</v>
      </c>
      <c r="J772" s="123">
        <v>0.05</v>
      </c>
      <c r="K772" s="123" t="s">
        <v>251</v>
      </c>
      <c r="L772" s="123" t="s">
        <v>251</v>
      </c>
      <c r="M772" s="123">
        <v>0.05</v>
      </c>
      <c r="N772" s="123" t="s">
        <v>251</v>
      </c>
      <c r="O772" s="123">
        <v>0.05</v>
      </c>
      <c r="P772" s="123">
        <v>0.05</v>
      </c>
      <c r="Q772" s="123">
        <v>0.05</v>
      </c>
      <c r="R772" s="120"/>
      <c r="S772" s="121"/>
    </row>
    <row r="773" spans="1:19" ht="15">
      <c r="A773" s="105" t="s">
        <v>251</v>
      </c>
      <c r="B773" s="105"/>
      <c r="C773" s="107" t="s">
        <v>806</v>
      </c>
      <c r="D773" s="107" t="s">
        <v>251</v>
      </c>
      <c r="E773" s="123">
        <v>0.21</v>
      </c>
      <c r="F773" s="123" t="s">
        <v>251</v>
      </c>
      <c r="G773" s="123">
        <v>0.21</v>
      </c>
      <c r="H773" s="123" t="s">
        <v>251</v>
      </c>
      <c r="I773" s="123">
        <v>0.21</v>
      </c>
      <c r="J773" s="123">
        <v>0.21</v>
      </c>
      <c r="K773" s="123" t="s">
        <v>251</v>
      </c>
      <c r="L773" s="123" t="s">
        <v>251</v>
      </c>
      <c r="M773" s="123">
        <v>0.21</v>
      </c>
      <c r="N773" s="123" t="s">
        <v>251</v>
      </c>
      <c r="O773" s="123">
        <v>0.21</v>
      </c>
      <c r="P773" s="123">
        <v>0.21</v>
      </c>
      <c r="Q773" s="123">
        <v>0.21</v>
      </c>
      <c r="R773" s="120"/>
      <c r="S773" s="121"/>
    </row>
    <row r="774" spans="1:19" ht="15">
      <c r="A774" s="105" t="s">
        <v>251</v>
      </c>
      <c r="B774" s="105"/>
      <c r="C774" s="107" t="s">
        <v>807</v>
      </c>
      <c r="D774" s="107" t="s">
        <v>251</v>
      </c>
      <c r="E774" s="123">
        <v>0.75049999999999994</v>
      </c>
      <c r="F774" s="123" t="s">
        <v>251</v>
      </c>
      <c r="G774" s="123">
        <v>0.75049999999999994</v>
      </c>
      <c r="H774" s="123" t="s">
        <v>251</v>
      </c>
      <c r="I774" s="123">
        <v>0.74259999999999993</v>
      </c>
      <c r="J774" s="123">
        <v>0.75049999999999994</v>
      </c>
      <c r="K774" s="123" t="s">
        <v>251</v>
      </c>
      <c r="L774" s="123" t="s">
        <v>251</v>
      </c>
      <c r="M774" s="123">
        <v>0.75049999999999994</v>
      </c>
      <c r="N774" s="123" t="s">
        <v>251</v>
      </c>
      <c r="O774" s="123">
        <v>0.75049999999999994</v>
      </c>
      <c r="P774" s="123">
        <v>0.75049999999999994</v>
      </c>
      <c r="Q774" s="123">
        <v>0.75049999999999994</v>
      </c>
      <c r="R774" s="120"/>
      <c r="S774" s="121"/>
    </row>
    <row r="775" spans="1:19" ht="15">
      <c r="A775" s="105" t="s">
        <v>251</v>
      </c>
      <c r="B775" s="105"/>
      <c r="C775" s="107" t="s">
        <v>808</v>
      </c>
      <c r="D775" s="107" t="s">
        <v>251</v>
      </c>
      <c r="E775" s="123">
        <v>0.2495</v>
      </c>
      <c r="F775" s="123" t="s">
        <v>251</v>
      </c>
      <c r="G775" s="123">
        <v>0.2495</v>
      </c>
      <c r="H775" s="123" t="s">
        <v>251</v>
      </c>
      <c r="I775" s="123">
        <v>0.25740000000000002</v>
      </c>
      <c r="J775" s="123">
        <v>0.2495</v>
      </c>
      <c r="K775" s="123" t="s">
        <v>251</v>
      </c>
      <c r="L775" s="123" t="s">
        <v>251</v>
      </c>
      <c r="M775" s="123">
        <v>0.2495</v>
      </c>
      <c r="N775" s="123" t="s">
        <v>251</v>
      </c>
      <c r="O775" s="123">
        <v>0.2495</v>
      </c>
      <c r="P775" s="123">
        <v>0.2495</v>
      </c>
      <c r="Q775" s="123">
        <v>0.2495</v>
      </c>
      <c r="R775" s="120"/>
      <c r="S775" s="121"/>
    </row>
    <row r="776" spans="1:19" ht="15">
      <c r="A776" s="105" t="s">
        <v>251</v>
      </c>
      <c r="B776" s="105"/>
      <c r="C776" s="107" t="s">
        <v>809</v>
      </c>
      <c r="D776" s="107" t="s">
        <v>251</v>
      </c>
      <c r="E776" s="123">
        <v>1.3324450366422385</v>
      </c>
      <c r="F776" s="123" t="s">
        <v>251</v>
      </c>
      <c r="G776" s="123">
        <v>1.3324450366422385</v>
      </c>
      <c r="H776" s="123" t="s">
        <v>251</v>
      </c>
      <c r="I776" s="123">
        <v>1.3466199838405601</v>
      </c>
      <c r="J776" s="123">
        <v>1.3324450366422385</v>
      </c>
      <c r="K776" s="123" t="s">
        <v>251</v>
      </c>
      <c r="L776" s="123" t="s">
        <v>251</v>
      </c>
      <c r="M776" s="123">
        <v>1.3324450366422385</v>
      </c>
      <c r="N776" s="123" t="s">
        <v>251</v>
      </c>
      <c r="O776" s="123">
        <v>1.3324450366422385</v>
      </c>
      <c r="P776" s="123">
        <v>1.3324450366422385</v>
      </c>
      <c r="Q776" s="123">
        <v>1.3324450366422385</v>
      </c>
      <c r="R776" s="120"/>
      <c r="S776" s="121"/>
    </row>
    <row r="777" spans="1:19" ht="15">
      <c r="A777" s="105" t="s">
        <v>251</v>
      </c>
      <c r="B777" s="105"/>
      <c r="C777" s="107" t="s">
        <v>251</v>
      </c>
      <c r="D777" s="107" t="s">
        <v>251</v>
      </c>
      <c r="E777" s="578" t="s">
        <v>251</v>
      </c>
      <c r="F777" s="578" t="s">
        <v>251</v>
      </c>
      <c r="G777" s="578" t="s">
        <v>251</v>
      </c>
      <c r="H777" s="578" t="s">
        <v>251</v>
      </c>
      <c r="I777" s="578" t="s">
        <v>251</v>
      </c>
      <c r="J777" s="578" t="s">
        <v>251</v>
      </c>
      <c r="K777" s="578" t="s">
        <v>251</v>
      </c>
      <c r="L777" s="578" t="s">
        <v>251</v>
      </c>
      <c r="M777" s="578" t="s">
        <v>251</v>
      </c>
      <c r="N777" s="578" t="s">
        <v>251</v>
      </c>
      <c r="O777" s="578" t="s">
        <v>251</v>
      </c>
      <c r="P777" s="578" t="s">
        <v>251</v>
      </c>
      <c r="Q777" s="578" t="s">
        <v>251</v>
      </c>
      <c r="R777" s="120"/>
      <c r="S777" s="121"/>
    </row>
    <row r="778" spans="1:19" ht="15">
      <c r="A778" s="105" t="s">
        <v>251</v>
      </c>
      <c r="B778" s="105"/>
      <c r="C778" s="107" t="s">
        <v>810</v>
      </c>
      <c r="D778" s="107" t="s">
        <v>251</v>
      </c>
      <c r="E778" s="120" t="s">
        <v>251</v>
      </c>
      <c r="F778" s="120" t="s">
        <v>251</v>
      </c>
      <c r="G778" s="120" t="s">
        <v>251</v>
      </c>
      <c r="H778" s="120" t="s">
        <v>251</v>
      </c>
      <c r="I778" s="120" t="s">
        <v>251</v>
      </c>
      <c r="J778" s="120" t="s">
        <v>251</v>
      </c>
      <c r="K778" s="120" t="s">
        <v>251</v>
      </c>
      <c r="L778" s="120" t="s">
        <v>251</v>
      </c>
      <c r="M778" s="120" t="s">
        <v>251</v>
      </c>
      <c r="N778" s="120" t="s">
        <v>251</v>
      </c>
      <c r="O778" s="120" t="s">
        <v>251</v>
      </c>
      <c r="P778" s="120" t="s">
        <v>251</v>
      </c>
      <c r="Q778" s="120" t="s">
        <v>251</v>
      </c>
      <c r="R778" s="120"/>
      <c r="S778" s="121"/>
    </row>
    <row r="779" spans="1:19" ht="15">
      <c r="A779" s="105" t="s">
        <v>251</v>
      </c>
      <c r="B779" s="105"/>
      <c r="C779" s="107" t="s">
        <v>251</v>
      </c>
      <c r="D779" s="107" t="s">
        <v>251</v>
      </c>
      <c r="E779" s="120" t="s">
        <v>251</v>
      </c>
      <c r="F779" s="120" t="s">
        <v>251</v>
      </c>
      <c r="G779" s="120" t="s">
        <v>251</v>
      </c>
      <c r="H779" s="120" t="s">
        <v>251</v>
      </c>
      <c r="I779" s="120" t="s">
        <v>251</v>
      </c>
      <c r="J779" s="120" t="s">
        <v>251</v>
      </c>
      <c r="K779" s="120" t="s">
        <v>251</v>
      </c>
      <c r="L779" s="120" t="s">
        <v>251</v>
      </c>
      <c r="M779" s="120" t="s">
        <v>251</v>
      </c>
      <c r="N779" s="120" t="s">
        <v>251</v>
      </c>
      <c r="O779" s="120" t="s">
        <v>251</v>
      </c>
      <c r="P779" s="120" t="s">
        <v>251</v>
      </c>
      <c r="Q779" s="120" t="s">
        <v>251</v>
      </c>
      <c r="R779" s="120"/>
      <c r="S779" s="121"/>
    </row>
    <row r="780" spans="1:19" ht="15">
      <c r="A780" s="105" t="s">
        <v>251</v>
      </c>
      <c r="B780" s="105"/>
      <c r="C780" s="107" t="s">
        <v>811</v>
      </c>
      <c r="D780" s="107" t="s">
        <v>251</v>
      </c>
      <c r="E780" s="120" t="s">
        <v>251</v>
      </c>
      <c r="F780" s="120" t="s">
        <v>251</v>
      </c>
      <c r="G780" s="120" t="s">
        <v>251</v>
      </c>
      <c r="H780" s="120" t="s">
        <v>251</v>
      </c>
      <c r="I780" s="120" t="s">
        <v>251</v>
      </c>
      <c r="J780" s="120" t="s">
        <v>251</v>
      </c>
      <c r="K780" s="120" t="s">
        <v>251</v>
      </c>
      <c r="L780" s="120" t="s">
        <v>251</v>
      </c>
      <c r="M780" s="120" t="s">
        <v>251</v>
      </c>
      <c r="N780" s="120" t="s">
        <v>251</v>
      </c>
      <c r="O780" s="120" t="s">
        <v>251</v>
      </c>
      <c r="P780" s="120" t="s">
        <v>251</v>
      </c>
      <c r="Q780" s="120" t="s">
        <v>251</v>
      </c>
      <c r="R780" s="120"/>
      <c r="S780" s="121"/>
    </row>
    <row r="781" spans="1:19" ht="15">
      <c r="A781" s="105" t="s">
        <v>251</v>
      </c>
      <c r="B781" s="105"/>
      <c r="C781" s="107" t="s">
        <v>812</v>
      </c>
      <c r="D781" s="107" t="s">
        <v>251</v>
      </c>
      <c r="E781" s="120" t="s">
        <v>251</v>
      </c>
      <c r="F781" s="120" t="s">
        <v>251</v>
      </c>
      <c r="G781" s="120" t="s">
        <v>251</v>
      </c>
      <c r="H781" s="120" t="s">
        <v>251</v>
      </c>
      <c r="I781" s="120" t="s">
        <v>251</v>
      </c>
      <c r="J781" s="120" t="s">
        <v>251</v>
      </c>
      <c r="K781" s="120" t="s">
        <v>251</v>
      </c>
      <c r="L781" s="120" t="s">
        <v>251</v>
      </c>
      <c r="M781" s="120" t="s">
        <v>251</v>
      </c>
      <c r="N781" s="120" t="s">
        <v>251</v>
      </c>
      <c r="O781" s="120" t="s">
        <v>251</v>
      </c>
      <c r="P781" s="120" t="s">
        <v>251</v>
      </c>
      <c r="Q781" s="120" t="s">
        <v>251</v>
      </c>
      <c r="R781" s="120"/>
      <c r="S781" s="121"/>
    </row>
    <row r="782" spans="1:19" ht="15">
      <c r="A782" s="105" t="s">
        <v>251</v>
      </c>
      <c r="B782" s="105"/>
      <c r="C782" s="107" t="s">
        <v>813</v>
      </c>
      <c r="D782" s="107" t="s">
        <v>251</v>
      </c>
      <c r="E782" s="120" t="s">
        <v>251</v>
      </c>
      <c r="F782" s="120" t="s">
        <v>251</v>
      </c>
      <c r="G782" s="120" t="s">
        <v>251</v>
      </c>
      <c r="H782" s="120" t="s">
        <v>251</v>
      </c>
      <c r="I782" s="120" t="s">
        <v>251</v>
      </c>
      <c r="J782" s="120" t="s">
        <v>251</v>
      </c>
      <c r="K782" s="120" t="s">
        <v>251</v>
      </c>
      <c r="L782" s="120" t="s">
        <v>251</v>
      </c>
      <c r="M782" s="120" t="s">
        <v>251</v>
      </c>
      <c r="N782" s="120" t="s">
        <v>251</v>
      </c>
      <c r="O782" s="120" t="s">
        <v>251</v>
      </c>
      <c r="P782" s="120" t="s">
        <v>251</v>
      </c>
      <c r="Q782" s="120" t="s">
        <v>251</v>
      </c>
      <c r="R782" s="120"/>
      <c r="S782" s="121"/>
    </row>
    <row r="783" spans="1:19" ht="15">
      <c r="A783" s="105">
        <v>1</v>
      </c>
      <c r="B783" s="105"/>
      <c r="C783" s="107" t="s">
        <v>814</v>
      </c>
      <c r="D783" s="107" t="s">
        <v>495</v>
      </c>
      <c r="E783" s="120">
        <v>2245190.4400000004</v>
      </c>
      <c r="F783" s="120" t="s">
        <v>251</v>
      </c>
      <c r="G783" s="120">
        <v>1976360.8125535054</v>
      </c>
      <c r="H783" s="120" t="s">
        <v>251</v>
      </c>
      <c r="I783" s="120">
        <v>80626.507078227005</v>
      </c>
      <c r="J783" s="120">
        <v>188203.12036826764</v>
      </c>
      <c r="K783" s="120" t="s">
        <v>251</v>
      </c>
      <c r="L783" s="120" t="s">
        <v>251</v>
      </c>
      <c r="M783" s="120">
        <v>8.8451109533030756</v>
      </c>
      <c r="N783" s="120" t="s">
        <v>251</v>
      </c>
      <c r="O783" s="120">
        <v>188194.27525731435</v>
      </c>
      <c r="P783" s="120">
        <v>60216.71007636311</v>
      </c>
      <c r="Q783" s="120">
        <v>127977.56518095123</v>
      </c>
      <c r="R783" s="120"/>
      <c r="S783" s="121"/>
    </row>
    <row r="784" spans="1:19" ht="15">
      <c r="A784" s="105">
        <v>2</v>
      </c>
      <c r="B784" s="105"/>
      <c r="C784" s="107" t="s">
        <v>815</v>
      </c>
      <c r="D784" s="107" t="s">
        <v>495</v>
      </c>
      <c r="E784" s="120">
        <v>8370152.1199999992</v>
      </c>
      <c r="F784" s="120" t="s">
        <v>251</v>
      </c>
      <c r="G784" s="120">
        <v>7367945.4314261395</v>
      </c>
      <c r="H784" s="120" t="s">
        <v>251</v>
      </c>
      <c r="I784" s="120">
        <v>300578.56880462077</v>
      </c>
      <c r="J784" s="120">
        <v>701628.11976923898</v>
      </c>
      <c r="K784" s="120" t="s">
        <v>251</v>
      </c>
      <c r="L784" s="120" t="s">
        <v>251</v>
      </c>
      <c r="M784" s="120">
        <v>32.974897308677726</v>
      </c>
      <c r="N784" s="120" t="s">
        <v>251</v>
      </c>
      <c r="O784" s="120">
        <v>701595.14487193036</v>
      </c>
      <c r="P784" s="120">
        <v>224490.0987130054</v>
      </c>
      <c r="Q784" s="120">
        <v>477105.04615892493</v>
      </c>
      <c r="R784" s="120"/>
      <c r="S784" s="121"/>
    </row>
    <row r="785" spans="1:19" ht="15">
      <c r="A785" s="105">
        <v>3</v>
      </c>
      <c r="B785" s="105"/>
      <c r="C785" s="107" t="s">
        <v>816</v>
      </c>
      <c r="D785" s="107" t="s">
        <v>495</v>
      </c>
      <c r="E785" s="120">
        <v>10419477.18</v>
      </c>
      <c r="F785" s="120" t="s">
        <v>251</v>
      </c>
      <c r="G785" s="120">
        <v>9171892.9579298869</v>
      </c>
      <c r="H785" s="120" t="s">
        <v>251</v>
      </c>
      <c r="I785" s="120">
        <v>374171.40017961897</v>
      </c>
      <c r="J785" s="120">
        <v>873412.82189049316</v>
      </c>
      <c r="K785" s="120" t="s">
        <v>251</v>
      </c>
      <c r="L785" s="120" t="s">
        <v>251</v>
      </c>
      <c r="M785" s="120">
        <v>41.048380614211702</v>
      </c>
      <c r="N785" s="120" t="s">
        <v>251</v>
      </c>
      <c r="O785" s="120">
        <v>873371.7735098789</v>
      </c>
      <c r="P785" s="120">
        <v>279453.63801537541</v>
      </c>
      <c r="Q785" s="120">
        <v>593918.13549450354</v>
      </c>
      <c r="R785" s="120"/>
      <c r="S785" s="121"/>
    </row>
    <row r="786" spans="1:19" ht="15">
      <c r="A786" s="105">
        <v>4</v>
      </c>
      <c r="B786" s="105"/>
      <c r="C786" s="107" t="s">
        <v>817</v>
      </c>
      <c r="D786" s="107" t="s">
        <v>495</v>
      </c>
      <c r="E786" s="120">
        <v>2923814.77</v>
      </c>
      <c r="F786" s="120" t="s">
        <v>251</v>
      </c>
      <c r="G786" s="120">
        <v>2573729.5294171753</v>
      </c>
      <c r="H786" s="120" t="s">
        <v>251</v>
      </c>
      <c r="I786" s="120">
        <v>104996.42616010323</v>
      </c>
      <c r="J786" s="120">
        <v>245088.81442272165</v>
      </c>
      <c r="K786" s="120" t="s">
        <v>251</v>
      </c>
      <c r="L786" s="120" t="s">
        <v>251</v>
      </c>
      <c r="M786" s="120">
        <v>11.518606879315019</v>
      </c>
      <c r="N786" s="120" t="s">
        <v>251</v>
      </c>
      <c r="O786" s="120">
        <v>245077.29581584234</v>
      </c>
      <c r="P786" s="120">
        <v>78417.626935057808</v>
      </c>
      <c r="Q786" s="120">
        <v>166659.66888078453</v>
      </c>
      <c r="R786" s="120"/>
      <c r="S786" s="121"/>
    </row>
    <row r="787" spans="1:19" ht="15">
      <c r="A787" s="105">
        <v>5</v>
      </c>
      <c r="B787" s="105"/>
      <c r="C787" s="107" t="s">
        <v>818</v>
      </c>
      <c r="D787" s="107" t="s">
        <v>495</v>
      </c>
      <c r="E787" s="120">
        <v>0</v>
      </c>
      <c r="F787" s="120" t="s">
        <v>251</v>
      </c>
      <c r="G787" s="120">
        <v>0</v>
      </c>
      <c r="H787" s="120" t="s">
        <v>251</v>
      </c>
      <c r="I787" s="120">
        <v>0</v>
      </c>
      <c r="J787" s="120">
        <v>0</v>
      </c>
      <c r="K787" s="120" t="s">
        <v>251</v>
      </c>
      <c r="L787" s="120" t="s">
        <v>251</v>
      </c>
      <c r="M787" s="120">
        <v>0</v>
      </c>
      <c r="N787" s="120" t="s">
        <v>251</v>
      </c>
      <c r="O787" s="120">
        <v>0</v>
      </c>
      <c r="P787" s="120">
        <v>0</v>
      </c>
      <c r="Q787" s="120">
        <v>0</v>
      </c>
      <c r="R787" s="120"/>
      <c r="S787" s="121"/>
    </row>
    <row r="788" spans="1:19" ht="15">
      <c r="A788" s="105" t="s">
        <v>251</v>
      </c>
      <c r="B788" s="105"/>
      <c r="C788" s="107" t="s">
        <v>251</v>
      </c>
      <c r="D788" s="107" t="s">
        <v>251</v>
      </c>
      <c r="E788" s="120" t="s">
        <v>251</v>
      </c>
      <c r="F788" s="120" t="s">
        <v>251</v>
      </c>
      <c r="G788" s="120" t="s">
        <v>251</v>
      </c>
      <c r="H788" s="120" t="s">
        <v>251</v>
      </c>
      <c r="I788" s="120" t="s">
        <v>251</v>
      </c>
      <c r="J788" s="120" t="s">
        <v>251</v>
      </c>
      <c r="K788" s="120" t="s">
        <v>251</v>
      </c>
      <c r="L788" s="120" t="s">
        <v>251</v>
      </c>
      <c r="M788" s="120" t="s">
        <v>251</v>
      </c>
      <c r="N788" s="120" t="s">
        <v>251</v>
      </c>
      <c r="O788" s="120" t="s">
        <v>251</v>
      </c>
      <c r="P788" s="120" t="s">
        <v>251</v>
      </c>
      <c r="Q788" s="120" t="s">
        <v>251</v>
      </c>
      <c r="R788" s="120"/>
      <c r="S788" s="121"/>
    </row>
    <row r="789" spans="1:19" ht="15">
      <c r="A789" s="105">
        <v>6</v>
      </c>
      <c r="B789" s="105"/>
      <c r="C789" s="107" t="s">
        <v>819</v>
      </c>
      <c r="D789" s="107" t="s">
        <v>251</v>
      </c>
      <c r="E789" s="120">
        <v>23958634.509999998</v>
      </c>
      <c r="F789" s="120" t="s">
        <v>251</v>
      </c>
      <c r="G789" s="120">
        <v>21089928.731326707</v>
      </c>
      <c r="H789" s="120" t="s">
        <v>251</v>
      </c>
      <c r="I789" s="120">
        <v>860372.90222257003</v>
      </c>
      <c r="J789" s="120">
        <v>2008332.8764507214</v>
      </c>
      <c r="K789" s="120" t="s">
        <v>251</v>
      </c>
      <c r="L789" s="120" t="s">
        <v>251</v>
      </c>
      <c r="M789" s="120">
        <v>94.386995755507527</v>
      </c>
      <c r="N789" s="120" t="s">
        <v>251</v>
      </c>
      <c r="O789" s="120">
        <v>2008238.489454966</v>
      </c>
      <c r="P789" s="120">
        <v>642578.07373980177</v>
      </c>
      <c r="Q789" s="120">
        <v>1365660.415715164</v>
      </c>
      <c r="R789" s="120"/>
      <c r="S789" s="121"/>
    </row>
    <row r="790" spans="1:19" ht="15">
      <c r="A790" s="105" t="s">
        <v>251</v>
      </c>
      <c r="B790" s="105"/>
      <c r="C790" s="107" t="s">
        <v>251</v>
      </c>
      <c r="D790" s="107" t="s">
        <v>251</v>
      </c>
      <c r="E790" s="120" t="s">
        <v>251</v>
      </c>
      <c r="F790" s="120" t="s">
        <v>251</v>
      </c>
      <c r="G790" s="120" t="s">
        <v>251</v>
      </c>
      <c r="H790" s="120" t="s">
        <v>251</v>
      </c>
      <c r="I790" s="120" t="s">
        <v>251</v>
      </c>
      <c r="J790" s="120" t="s">
        <v>251</v>
      </c>
      <c r="K790" s="120" t="s">
        <v>251</v>
      </c>
      <c r="L790" s="120" t="s">
        <v>251</v>
      </c>
      <c r="M790" s="120" t="s">
        <v>251</v>
      </c>
      <c r="N790" s="120" t="s">
        <v>251</v>
      </c>
      <c r="O790" s="120" t="s">
        <v>251</v>
      </c>
      <c r="P790" s="120" t="s">
        <v>251</v>
      </c>
      <c r="Q790" s="120" t="s">
        <v>251</v>
      </c>
      <c r="R790" s="120"/>
      <c r="S790" s="121"/>
    </row>
    <row r="791" spans="1:19" ht="15">
      <c r="A791" s="105" t="s">
        <v>251</v>
      </c>
      <c r="B791" s="105"/>
      <c r="C791" s="107" t="s">
        <v>820</v>
      </c>
      <c r="D791" s="107" t="s">
        <v>251</v>
      </c>
      <c r="E791" s="120" t="s">
        <v>251</v>
      </c>
      <c r="F791" s="120" t="s">
        <v>251</v>
      </c>
      <c r="G791" s="120" t="s">
        <v>251</v>
      </c>
      <c r="H791" s="120" t="s">
        <v>251</v>
      </c>
      <c r="I791" s="120" t="s">
        <v>251</v>
      </c>
      <c r="J791" s="120" t="s">
        <v>251</v>
      </c>
      <c r="K791" s="120" t="s">
        <v>251</v>
      </c>
      <c r="L791" s="120" t="s">
        <v>251</v>
      </c>
      <c r="M791" s="120" t="s">
        <v>251</v>
      </c>
      <c r="N791" s="120" t="s">
        <v>251</v>
      </c>
      <c r="O791" s="120" t="s">
        <v>251</v>
      </c>
      <c r="P791" s="120" t="s">
        <v>251</v>
      </c>
      <c r="Q791" s="120" t="s">
        <v>251</v>
      </c>
      <c r="R791" s="120"/>
      <c r="S791" s="121"/>
    </row>
    <row r="792" spans="1:19" ht="15">
      <c r="A792" s="105">
        <v>7</v>
      </c>
      <c r="B792" s="105"/>
      <c r="C792" s="107" t="s">
        <v>821</v>
      </c>
      <c r="D792" s="107" t="s">
        <v>498</v>
      </c>
      <c r="E792" s="120">
        <v>7336102.4800000004</v>
      </c>
      <c r="F792" s="120" t="s">
        <v>251</v>
      </c>
      <c r="G792" s="120">
        <v>6385178.677727568</v>
      </c>
      <c r="H792" s="120" t="s">
        <v>251</v>
      </c>
      <c r="I792" s="120">
        <v>298646.13927378535</v>
      </c>
      <c r="J792" s="120">
        <v>652277.66299864766</v>
      </c>
      <c r="K792" s="120" t="s">
        <v>251</v>
      </c>
      <c r="L792" s="120" t="s">
        <v>251</v>
      </c>
      <c r="M792" s="120">
        <v>20.495534049327745</v>
      </c>
      <c r="N792" s="120" t="s">
        <v>251</v>
      </c>
      <c r="O792" s="120">
        <v>652257.16746459831</v>
      </c>
      <c r="P792" s="120">
        <v>201210.27829893687</v>
      </c>
      <c r="Q792" s="120">
        <v>451046.88916566147</v>
      </c>
      <c r="R792" s="120"/>
      <c r="S792" s="121"/>
    </row>
    <row r="793" spans="1:19" ht="15">
      <c r="A793" s="105">
        <v>8</v>
      </c>
      <c r="B793" s="105"/>
      <c r="C793" s="107" t="s">
        <v>822</v>
      </c>
      <c r="D793" s="107" t="s">
        <v>498</v>
      </c>
      <c r="E793" s="120">
        <v>9484690.5500000007</v>
      </c>
      <c r="F793" s="120" t="s">
        <v>251</v>
      </c>
      <c r="G793" s="120">
        <v>8255261.4320491552</v>
      </c>
      <c r="H793" s="120" t="s">
        <v>251</v>
      </c>
      <c r="I793" s="120">
        <v>386113.22874596156</v>
      </c>
      <c r="J793" s="120">
        <v>843315.88920488441</v>
      </c>
      <c r="K793" s="120" t="s">
        <v>251</v>
      </c>
      <c r="L793" s="120" t="s">
        <v>251</v>
      </c>
      <c r="M793" s="120">
        <v>26.498239173297659</v>
      </c>
      <c r="N793" s="120" t="s">
        <v>251</v>
      </c>
      <c r="O793" s="120">
        <v>843289.39096571109</v>
      </c>
      <c r="P793" s="120">
        <v>260140.48063636053</v>
      </c>
      <c r="Q793" s="120">
        <v>583148.91032935062</v>
      </c>
      <c r="R793" s="120"/>
      <c r="S793" s="121"/>
    </row>
    <row r="794" spans="1:19" ht="15">
      <c r="A794" s="105">
        <v>9</v>
      </c>
      <c r="B794" s="105"/>
      <c r="C794" s="107" t="s">
        <v>823</v>
      </c>
      <c r="D794" s="107" t="s">
        <v>498</v>
      </c>
      <c r="E794" s="120">
        <v>6491314.3400000008</v>
      </c>
      <c r="F794" s="120" t="s">
        <v>251</v>
      </c>
      <c r="G794" s="120">
        <v>5649894.0721170511</v>
      </c>
      <c r="H794" s="120" t="s">
        <v>251</v>
      </c>
      <c r="I794" s="120">
        <v>264255.57327459252</v>
      </c>
      <c r="J794" s="120">
        <v>577164.6946083568</v>
      </c>
      <c r="K794" s="120" t="s">
        <v>251</v>
      </c>
      <c r="L794" s="120" t="s">
        <v>251</v>
      </c>
      <c r="M794" s="120">
        <v>18.135372896312028</v>
      </c>
      <c r="N794" s="120" t="s">
        <v>251</v>
      </c>
      <c r="O794" s="120">
        <v>577146.55923546047</v>
      </c>
      <c r="P794" s="120">
        <v>178039.92902744722</v>
      </c>
      <c r="Q794" s="120">
        <v>399106.63020801323</v>
      </c>
      <c r="R794" s="120"/>
      <c r="S794" s="121"/>
    </row>
    <row r="795" spans="1:19" ht="15">
      <c r="A795" s="105">
        <v>10</v>
      </c>
      <c r="B795" s="105"/>
      <c r="C795" s="107" t="s">
        <v>824</v>
      </c>
      <c r="D795" s="107" t="s">
        <v>498</v>
      </c>
      <c r="E795" s="120">
        <v>2388352.54</v>
      </c>
      <c r="F795" s="120" t="s">
        <v>251</v>
      </c>
      <c r="G795" s="120">
        <v>2078768.358931714</v>
      </c>
      <c r="H795" s="120" t="s">
        <v>251</v>
      </c>
      <c r="I795" s="120">
        <v>97227.685578315286</v>
      </c>
      <c r="J795" s="120">
        <v>212356.49548997084</v>
      </c>
      <c r="K795" s="120" t="s">
        <v>251</v>
      </c>
      <c r="L795" s="120" t="s">
        <v>251</v>
      </c>
      <c r="M795" s="120">
        <v>6.6725568432038047</v>
      </c>
      <c r="N795" s="120" t="s">
        <v>251</v>
      </c>
      <c r="O795" s="120">
        <v>212349.82293312764</v>
      </c>
      <c r="P795" s="120">
        <v>65506.32036009572</v>
      </c>
      <c r="Q795" s="120">
        <v>146843.50257303193</v>
      </c>
      <c r="R795" s="120"/>
      <c r="S795" s="121"/>
    </row>
    <row r="796" spans="1:19" ht="15">
      <c r="A796" s="105">
        <v>11</v>
      </c>
      <c r="B796" s="105"/>
      <c r="C796" s="107" t="s">
        <v>825</v>
      </c>
      <c r="D796" s="107" t="s">
        <v>498</v>
      </c>
      <c r="E796" s="120">
        <v>0</v>
      </c>
      <c r="F796" s="120" t="s">
        <v>251</v>
      </c>
      <c r="G796" s="120">
        <v>0</v>
      </c>
      <c r="H796" s="120" t="s">
        <v>251</v>
      </c>
      <c r="I796" s="120">
        <v>0</v>
      </c>
      <c r="J796" s="120">
        <v>0</v>
      </c>
      <c r="K796" s="120" t="s">
        <v>251</v>
      </c>
      <c r="L796" s="120" t="s">
        <v>251</v>
      </c>
      <c r="M796" s="120">
        <v>0</v>
      </c>
      <c r="N796" s="120" t="s">
        <v>251</v>
      </c>
      <c r="O796" s="120">
        <v>0</v>
      </c>
      <c r="P796" s="120">
        <v>0</v>
      </c>
      <c r="Q796" s="120">
        <v>0</v>
      </c>
      <c r="R796" s="120"/>
      <c r="S796" s="121"/>
    </row>
    <row r="797" spans="1:19" ht="15">
      <c r="A797" s="105">
        <v>12</v>
      </c>
      <c r="B797" s="105"/>
      <c r="C797" s="107" t="s">
        <v>826</v>
      </c>
      <c r="D797" s="107" t="s">
        <v>498</v>
      </c>
      <c r="E797" s="120">
        <v>1527116.9000000001</v>
      </c>
      <c r="F797" s="120" t="s">
        <v>251</v>
      </c>
      <c r="G797" s="120">
        <v>1329168.2190728369</v>
      </c>
      <c r="H797" s="120" t="s">
        <v>251</v>
      </c>
      <c r="I797" s="120">
        <v>62167.556634889224</v>
      </c>
      <c r="J797" s="120">
        <v>135781.12429227398</v>
      </c>
      <c r="K797" s="120" t="s">
        <v>251</v>
      </c>
      <c r="L797" s="120" t="s">
        <v>251</v>
      </c>
      <c r="M797" s="120">
        <v>4.2664448195186377</v>
      </c>
      <c r="N797" s="120" t="s">
        <v>251</v>
      </c>
      <c r="O797" s="120">
        <v>135776.85784745446</v>
      </c>
      <c r="P797" s="120">
        <v>41884.858790032835</v>
      </c>
      <c r="Q797" s="120">
        <v>93891.999057421621</v>
      </c>
      <c r="R797" s="120"/>
      <c r="S797" s="121"/>
    </row>
    <row r="798" spans="1:19" ht="15">
      <c r="A798" s="105">
        <v>13</v>
      </c>
      <c r="B798" s="105"/>
      <c r="C798" s="107" t="s">
        <v>827</v>
      </c>
      <c r="D798" s="107" t="s">
        <v>498</v>
      </c>
      <c r="E798" s="120">
        <v>458104.82000000007</v>
      </c>
      <c r="F798" s="120" t="s">
        <v>251</v>
      </c>
      <c r="G798" s="120">
        <v>398724.13680189283</v>
      </c>
      <c r="H798" s="120" t="s">
        <v>251</v>
      </c>
      <c r="I798" s="120">
        <v>18649.035540151337</v>
      </c>
      <c r="J798" s="120">
        <v>40731.647657955858</v>
      </c>
      <c r="K798" s="120" t="s">
        <v>251</v>
      </c>
      <c r="L798" s="120" t="s">
        <v>251</v>
      </c>
      <c r="M798" s="120">
        <v>1.2798489336903536</v>
      </c>
      <c r="N798" s="120" t="s">
        <v>251</v>
      </c>
      <c r="O798" s="120">
        <v>40730.367809022166</v>
      </c>
      <c r="P798" s="120">
        <v>12564.627957907749</v>
      </c>
      <c r="Q798" s="120">
        <v>28165.739851114413</v>
      </c>
      <c r="R798" s="120"/>
      <c r="S798" s="121"/>
    </row>
    <row r="799" spans="1:19" ht="15">
      <c r="A799" s="105">
        <v>14</v>
      </c>
      <c r="B799" s="105"/>
      <c r="C799" s="107" t="s">
        <v>828</v>
      </c>
      <c r="D799" s="107" t="s">
        <v>498</v>
      </c>
      <c r="E799" s="120">
        <v>0</v>
      </c>
      <c r="F799" s="120" t="s">
        <v>251</v>
      </c>
      <c r="G799" s="120">
        <v>0</v>
      </c>
      <c r="H799" s="120" t="s">
        <v>251</v>
      </c>
      <c r="I799" s="120">
        <v>0</v>
      </c>
      <c r="J799" s="120">
        <v>0</v>
      </c>
      <c r="K799" s="120" t="s">
        <v>251</v>
      </c>
      <c r="L799" s="120" t="s">
        <v>251</v>
      </c>
      <c r="M799" s="120">
        <v>0</v>
      </c>
      <c r="N799" s="120" t="s">
        <v>251</v>
      </c>
      <c r="O799" s="120">
        <v>0</v>
      </c>
      <c r="P799" s="120">
        <v>0</v>
      </c>
      <c r="Q799" s="120">
        <v>0</v>
      </c>
      <c r="R799" s="120"/>
      <c r="S799" s="121"/>
    </row>
    <row r="800" spans="1:19" ht="15">
      <c r="A800" s="105">
        <v>15</v>
      </c>
      <c r="B800" s="105"/>
      <c r="C800" s="107" t="s">
        <v>829</v>
      </c>
      <c r="D800" s="107" t="s">
        <v>498</v>
      </c>
      <c r="E800" s="120">
        <v>0</v>
      </c>
      <c r="F800" s="120" t="s">
        <v>251</v>
      </c>
      <c r="G800" s="120">
        <v>0</v>
      </c>
      <c r="H800" s="120" t="s">
        <v>251</v>
      </c>
      <c r="I800" s="120">
        <v>0</v>
      </c>
      <c r="J800" s="120">
        <v>0</v>
      </c>
      <c r="K800" s="120" t="s">
        <v>251</v>
      </c>
      <c r="L800" s="120" t="s">
        <v>251</v>
      </c>
      <c r="M800" s="120">
        <v>0</v>
      </c>
      <c r="N800" s="120" t="s">
        <v>251</v>
      </c>
      <c r="O800" s="120">
        <v>0</v>
      </c>
      <c r="P800" s="120">
        <v>0</v>
      </c>
      <c r="Q800" s="120">
        <v>0</v>
      </c>
      <c r="R800" s="120"/>
      <c r="S800" s="121"/>
    </row>
    <row r="801" spans="1:19" ht="15">
      <c r="A801" s="105">
        <v>16</v>
      </c>
      <c r="B801" s="105"/>
      <c r="C801" s="107" t="s">
        <v>830</v>
      </c>
      <c r="D801" s="107" t="s">
        <v>498</v>
      </c>
      <c r="E801" s="120">
        <v>4562.8000000000011</v>
      </c>
      <c r="F801" s="120" t="s">
        <v>251</v>
      </c>
      <c r="G801" s="120">
        <v>3971.3585449716002</v>
      </c>
      <c r="H801" s="120" t="s">
        <v>251</v>
      </c>
      <c r="I801" s="120">
        <v>185.74748757850338</v>
      </c>
      <c r="J801" s="120">
        <v>405.69396744989712</v>
      </c>
      <c r="K801" s="120" t="s">
        <v>251</v>
      </c>
      <c r="L801" s="120" t="s">
        <v>251</v>
      </c>
      <c r="M801" s="120">
        <v>1.2747507687525193E-2</v>
      </c>
      <c r="N801" s="120" t="s">
        <v>251</v>
      </c>
      <c r="O801" s="120">
        <v>405.68121994220957</v>
      </c>
      <c r="P801" s="120">
        <v>125.14577874631722</v>
      </c>
      <c r="Q801" s="120">
        <v>280.53544119589236</v>
      </c>
      <c r="R801" s="120"/>
      <c r="S801" s="121"/>
    </row>
    <row r="802" spans="1:19" ht="15">
      <c r="A802" s="105">
        <v>17</v>
      </c>
      <c r="B802" s="105"/>
      <c r="C802" s="107" t="s">
        <v>831</v>
      </c>
      <c r="D802" s="107" t="s">
        <v>498</v>
      </c>
      <c r="E802" s="120">
        <v>183705.13</v>
      </c>
      <c r="F802" s="120" t="s">
        <v>251</v>
      </c>
      <c r="G802" s="120">
        <v>159892.81532844275</v>
      </c>
      <c r="H802" s="120" t="s">
        <v>251</v>
      </c>
      <c r="I802" s="120">
        <v>7478.4707532178372</v>
      </c>
      <c r="J802" s="120">
        <v>16333.843918339422</v>
      </c>
      <c r="K802" s="120" t="s">
        <v>251</v>
      </c>
      <c r="L802" s="120" t="s">
        <v>251</v>
      </c>
      <c r="M802" s="120">
        <v>0.51323366286333283</v>
      </c>
      <c r="N802" s="120" t="s">
        <v>251</v>
      </c>
      <c r="O802" s="120">
        <v>16333.330684676559</v>
      </c>
      <c r="P802" s="120">
        <v>5038.5556135582192</v>
      </c>
      <c r="Q802" s="120">
        <v>11294.77507111834</v>
      </c>
      <c r="R802" s="120"/>
      <c r="S802" s="121"/>
    </row>
    <row r="803" spans="1:19" ht="15">
      <c r="A803" s="105">
        <v>18</v>
      </c>
      <c r="B803" s="105"/>
      <c r="C803" s="107" t="s">
        <v>832</v>
      </c>
      <c r="D803" s="107" t="s">
        <v>498</v>
      </c>
      <c r="E803" s="120">
        <v>48886.39</v>
      </c>
      <c r="F803" s="120" t="s">
        <v>251</v>
      </c>
      <c r="G803" s="120">
        <v>42549.614854763342</v>
      </c>
      <c r="H803" s="120" t="s">
        <v>251</v>
      </c>
      <c r="I803" s="120">
        <v>1990.1210044891011</v>
      </c>
      <c r="J803" s="120">
        <v>4346.6541407475625</v>
      </c>
      <c r="K803" s="120" t="s">
        <v>251</v>
      </c>
      <c r="L803" s="120" t="s">
        <v>251</v>
      </c>
      <c r="M803" s="120">
        <v>0.13657833618399989</v>
      </c>
      <c r="N803" s="120" t="s">
        <v>251</v>
      </c>
      <c r="O803" s="120">
        <v>4346.5175624113781</v>
      </c>
      <c r="P803" s="120">
        <v>1340.8269805045531</v>
      </c>
      <c r="Q803" s="120">
        <v>3005.6905819068247</v>
      </c>
      <c r="R803" s="120"/>
      <c r="S803" s="121"/>
    </row>
    <row r="804" spans="1:19" ht="15">
      <c r="A804" s="105">
        <v>19</v>
      </c>
      <c r="B804" s="105"/>
      <c r="C804" s="107" t="s">
        <v>2254</v>
      </c>
      <c r="D804" s="107" t="s">
        <v>498</v>
      </c>
      <c r="E804" s="120">
        <v>750</v>
      </c>
      <c r="F804" s="120" t="s">
        <v>251</v>
      </c>
      <c r="G804" s="120">
        <v>652.78313946013407</v>
      </c>
      <c r="H804" s="120" t="s">
        <v>251</v>
      </c>
      <c r="I804" s="120">
        <v>30.531826002427792</v>
      </c>
      <c r="J804" s="120">
        <v>66.685034537438156</v>
      </c>
      <c r="K804" s="120" t="s">
        <v>251</v>
      </c>
      <c r="L804" s="120" t="s">
        <v>251</v>
      </c>
      <c r="M804" s="120">
        <v>2.0953429397834434E-3</v>
      </c>
      <c r="N804" s="120" t="s">
        <v>251</v>
      </c>
      <c r="O804" s="120">
        <v>66.682939194498374</v>
      </c>
      <c r="P804" s="120">
        <v>20.570556250490469</v>
      </c>
      <c r="Q804" s="120">
        <v>46.112382944007905</v>
      </c>
      <c r="R804" s="120"/>
      <c r="S804" s="121"/>
    </row>
    <row r="805" spans="1:19" ht="15">
      <c r="A805" s="105">
        <v>20</v>
      </c>
      <c r="B805" s="105"/>
      <c r="C805" s="107" t="s">
        <v>833</v>
      </c>
      <c r="D805" s="107" t="s">
        <v>498</v>
      </c>
      <c r="E805" s="120">
        <v>21981.600000000006</v>
      </c>
      <c r="F805" s="120" t="s">
        <v>251</v>
      </c>
      <c r="G805" s="120">
        <v>19132.29047780918</v>
      </c>
      <c r="H805" s="120" t="s">
        <v>251</v>
      </c>
      <c r="I805" s="120">
        <v>894.85118193995572</v>
      </c>
      <c r="J805" s="120">
        <v>1954.4583402508679</v>
      </c>
      <c r="K805" s="120" t="s">
        <v>251</v>
      </c>
      <c r="L805" s="120" t="s">
        <v>251</v>
      </c>
      <c r="M805" s="120">
        <v>6.1411987153524986E-2</v>
      </c>
      <c r="N805" s="120" t="s">
        <v>251</v>
      </c>
      <c r="O805" s="120">
        <v>1954.3969282637142</v>
      </c>
      <c r="P805" s="120">
        <v>602.89831903437516</v>
      </c>
      <c r="Q805" s="120">
        <v>1351.4986092293391</v>
      </c>
      <c r="R805" s="120"/>
      <c r="S805" s="121"/>
    </row>
    <row r="806" spans="1:19" ht="15">
      <c r="A806" s="105">
        <v>21</v>
      </c>
      <c r="B806" s="105"/>
      <c r="C806" s="107" t="s">
        <v>834</v>
      </c>
      <c r="D806" s="107" t="s">
        <v>498</v>
      </c>
      <c r="E806" s="120">
        <v>1526.6700000000003</v>
      </c>
      <c r="F806" s="120" t="s">
        <v>251</v>
      </c>
      <c r="G806" s="120">
        <v>1328.7792473594707</v>
      </c>
      <c r="H806" s="120" t="s">
        <v>251</v>
      </c>
      <c r="I806" s="120">
        <v>62.149363737501915</v>
      </c>
      <c r="J806" s="120">
        <v>135.7413889030276</v>
      </c>
      <c r="K806" s="120" t="s">
        <v>251</v>
      </c>
      <c r="L806" s="120" t="s">
        <v>251</v>
      </c>
      <c r="M806" s="120">
        <v>4.2651962745055855E-3</v>
      </c>
      <c r="N806" s="120" t="s">
        <v>251</v>
      </c>
      <c r="O806" s="120">
        <v>135.7371237067531</v>
      </c>
      <c r="P806" s="120">
        <v>41.872601481248381</v>
      </c>
      <c r="Q806" s="120">
        <v>93.864522225504729</v>
      </c>
      <c r="R806" s="120"/>
      <c r="S806" s="121"/>
    </row>
    <row r="807" spans="1:19" ht="15">
      <c r="A807" s="105">
        <v>22</v>
      </c>
      <c r="B807" s="105"/>
      <c r="C807" s="107" t="s">
        <v>835</v>
      </c>
      <c r="D807" s="107" t="s">
        <v>498</v>
      </c>
      <c r="E807" s="120">
        <v>1124231.5200000003</v>
      </c>
      <c r="F807" s="120" t="s">
        <v>251</v>
      </c>
      <c r="G807" s="120">
        <v>978505.84147418477</v>
      </c>
      <c r="H807" s="120" t="s">
        <v>251</v>
      </c>
      <c r="I807" s="120">
        <v>45766.454873446557</v>
      </c>
      <c r="J807" s="120">
        <v>99959.22365236879</v>
      </c>
      <c r="K807" s="120" t="s">
        <v>251</v>
      </c>
      <c r="L807" s="120" t="s">
        <v>251</v>
      </c>
      <c r="M807" s="120">
        <v>3.1408674374853454</v>
      </c>
      <c r="N807" s="120" t="s">
        <v>251</v>
      </c>
      <c r="O807" s="120">
        <v>99956.082784931306</v>
      </c>
      <c r="P807" s="120">
        <v>30834.756960979201</v>
      </c>
      <c r="Q807" s="120">
        <v>69121.325823952109</v>
      </c>
      <c r="R807" s="120"/>
      <c r="S807" s="121"/>
    </row>
    <row r="808" spans="1:19" ht="15">
      <c r="A808" s="105">
        <v>23</v>
      </c>
      <c r="B808" s="105"/>
      <c r="C808" s="107" t="s">
        <v>836</v>
      </c>
      <c r="D808" s="107" t="s">
        <v>498</v>
      </c>
      <c r="E808" s="120">
        <v>384196.0400000001</v>
      </c>
      <c r="F808" s="120" t="s">
        <v>251</v>
      </c>
      <c r="G808" s="120">
        <v>334395.5962124684</v>
      </c>
      <c r="H808" s="120" t="s">
        <v>251</v>
      </c>
      <c r="I808" s="120">
        <v>15640.275525469051</v>
      </c>
      <c r="J808" s="120">
        <v>34160.168262062631</v>
      </c>
      <c r="K808" s="120" t="s">
        <v>251</v>
      </c>
      <c r="L808" s="120" t="s">
        <v>251</v>
      </c>
      <c r="M808" s="120">
        <v>1.0733632798756765</v>
      </c>
      <c r="N808" s="120" t="s">
        <v>251</v>
      </c>
      <c r="O808" s="120">
        <v>34159.094898782758</v>
      </c>
      <c r="P808" s="120">
        <v>10537.501669380916</v>
      </c>
      <c r="Q808" s="120">
        <v>23621.593229401838</v>
      </c>
      <c r="R808" s="120"/>
      <c r="S808" s="121"/>
    </row>
    <row r="809" spans="1:19" ht="15">
      <c r="A809" s="105">
        <v>24</v>
      </c>
      <c r="B809" s="105"/>
      <c r="C809" s="107" t="s">
        <v>837</v>
      </c>
      <c r="D809" s="107" t="s">
        <v>498</v>
      </c>
      <c r="E809" s="120">
        <v>1999394.2100000002</v>
      </c>
      <c r="F809" s="120" t="s">
        <v>251</v>
      </c>
      <c r="G809" s="120">
        <v>1740227.7725629529</v>
      </c>
      <c r="H809" s="120" t="s">
        <v>251</v>
      </c>
      <c r="I809" s="120">
        <v>81393.541506642097</v>
      </c>
      <c r="J809" s="120">
        <v>177772.89593040518</v>
      </c>
      <c r="K809" s="120" t="s">
        <v>251</v>
      </c>
      <c r="L809" s="120" t="s">
        <v>251</v>
      </c>
      <c r="M809" s="120">
        <v>5.5858887223565263</v>
      </c>
      <c r="N809" s="120" t="s">
        <v>251</v>
      </c>
      <c r="O809" s="120">
        <v>177767.31004168282</v>
      </c>
      <c r="P809" s="120">
        <v>54838.201418279939</v>
      </c>
      <c r="Q809" s="120">
        <v>122929.10862340288</v>
      </c>
      <c r="R809" s="120"/>
      <c r="S809" s="121"/>
    </row>
    <row r="810" spans="1:19" ht="15">
      <c r="A810" s="105">
        <v>25</v>
      </c>
      <c r="B810" s="105"/>
      <c r="C810" s="107" t="s">
        <v>838</v>
      </c>
      <c r="D810" s="107" t="s">
        <v>498</v>
      </c>
      <c r="E810" s="120">
        <v>0</v>
      </c>
      <c r="F810" s="120" t="s">
        <v>251</v>
      </c>
      <c r="G810" s="120">
        <v>0</v>
      </c>
      <c r="H810" s="120" t="s">
        <v>251</v>
      </c>
      <c r="I810" s="120">
        <v>0</v>
      </c>
      <c r="J810" s="120">
        <v>0</v>
      </c>
      <c r="K810" s="120" t="s">
        <v>251</v>
      </c>
      <c r="L810" s="120" t="s">
        <v>251</v>
      </c>
      <c r="M810" s="120">
        <v>0</v>
      </c>
      <c r="N810" s="120" t="s">
        <v>251</v>
      </c>
      <c r="O810" s="120">
        <v>0</v>
      </c>
      <c r="P810" s="120">
        <v>0</v>
      </c>
      <c r="Q810" s="120">
        <v>0</v>
      </c>
      <c r="R810" s="120"/>
      <c r="S810" s="121"/>
    </row>
    <row r="811" spans="1:19" ht="15">
      <c r="A811" s="105">
        <v>26</v>
      </c>
      <c r="B811" s="105"/>
      <c r="C811" s="107" t="s">
        <v>839</v>
      </c>
      <c r="D811" s="107" t="s">
        <v>498</v>
      </c>
      <c r="E811" s="120">
        <v>403517.31000000006</v>
      </c>
      <c r="F811" s="120" t="s">
        <v>251</v>
      </c>
      <c r="G811" s="120">
        <v>351212.39526441088</v>
      </c>
      <c r="H811" s="120" t="s">
        <v>251</v>
      </c>
      <c r="I811" s="120">
        <v>16426.827063850287</v>
      </c>
      <c r="J811" s="120">
        <v>35878.087671738853</v>
      </c>
      <c r="K811" s="120" t="s">
        <v>251</v>
      </c>
      <c r="L811" s="120" t="s">
        <v>251</v>
      </c>
      <c r="M811" s="120">
        <v>1.1273428621185426</v>
      </c>
      <c r="N811" s="120" t="s">
        <v>251</v>
      </c>
      <c r="O811" s="120">
        <v>35876.960328876732</v>
      </c>
      <c r="P811" s="120">
        <v>11067.434031202134</v>
      </c>
      <c r="Q811" s="120">
        <v>24809.526297674598</v>
      </c>
      <c r="R811" s="120"/>
      <c r="S811" s="121"/>
    </row>
    <row r="812" spans="1:19" ht="15">
      <c r="A812" s="105">
        <v>27</v>
      </c>
      <c r="B812" s="105"/>
      <c r="C812" s="107" t="s">
        <v>840</v>
      </c>
      <c r="D812" s="107" t="s">
        <v>498</v>
      </c>
      <c r="E812" s="120">
        <v>243003.61</v>
      </c>
      <c r="F812" s="120" t="s">
        <v>251</v>
      </c>
      <c r="G812" s="120">
        <v>211504.87924792804</v>
      </c>
      <c r="H812" s="120" t="s">
        <v>251</v>
      </c>
      <c r="I812" s="120">
        <v>9892.4585846424288</v>
      </c>
      <c r="J812" s="120">
        <v>21606.272167429532</v>
      </c>
      <c r="K812" s="120" t="s">
        <v>251</v>
      </c>
      <c r="L812" s="120" t="s">
        <v>251</v>
      </c>
      <c r="M812" s="120">
        <v>0.67890119807385241</v>
      </c>
      <c r="N812" s="120" t="s">
        <v>251</v>
      </c>
      <c r="O812" s="120">
        <v>21605.593266231459</v>
      </c>
      <c r="P812" s="120">
        <v>6664.9592381029979</v>
      </c>
      <c r="Q812" s="120">
        <v>14940.634028128463</v>
      </c>
      <c r="R812" s="120"/>
      <c r="S812" s="121"/>
    </row>
    <row r="813" spans="1:19" ht="15">
      <c r="A813" s="105">
        <v>28</v>
      </c>
      <c r="B813" s="105"/>
      <c r="C813" s="107" t="s">
        <v>841</v>
      </c>
      <c r="D813" s="107" t="s">
        <v>498</v>
      </c>
      <c r="E813" s="120">
        <v>1490475.7400000002</v>
      </c>
      <c r="F813" s="120" t="s">
        <v>251</v>
      </c>
      <c r="G813" s="120">
        <v>1297276.5771284888</v>
      </c>
      <c r="H813" s="120" t="s">
        <v>251</v>
      </c>
      <c r="I813" s="120">
        <v>60675.927939359739</v>
      </c>
      <c r="J813" s="120">
        <v>132523.23493215159</v>
      </c>
      <c r="K813" s="120" t="s">
        <v>251</v>
      </c>
      <c r="L813" s="120" t="s">
        <v>251</v>
      </c>
      <c r="M813" s="120">
        <v>4.1640770916366705</v>
      </c>
      <c r="N813" s="120" t="s">
        <v>251</v>
      </c>
      <c r="O813" s="120">
        <v>132519.07085505995</v>
      </c>
      <c r="P813" s="120">
        <v>40879.886732881874</v>
      </c>
      <c r="Q813" s="120">
        <v>91639.184122178078</v>
      </c>
      <c r="R813" s="120"/>
      <c r="S813" s="121"/>
    </row>
    <row r="814" spans="1:19" ht="15">
      <c r="A814" s="105">
        <v>29</v>
      </c>
      <c r="B814" s="105"/>
      <c r="C814" s="107" t="s">
        <v>842</v>
      </c>
      <c r="D814" s="107" t="s">
        <v>498</v>
      </c>
      <c r="E814" s="120">
        <v>1203498.9600000002</v>
      </c>
      <c r="F814" s="120" t="s">
        <v>251</v>
      </c>
      <c r="G814" s="120">
        <v>1047498.4392610751</v>
      </c>
      <c r="H814" s="120" t="s">
        <v>251</v>
      </c>
      <c r="I814" s="120">
        <v>48993.36112109707</v>
      </c>
      <c r="J814" s="120">
        <v>107007.15961782787</v>
      </c>
      <c r="K814" s="120" t="s">
        <v>251</v>
      </c>
      <c r="L814" s="120" t="s">
        <v>251</v>
      </c>
      <c r="M814" s="120">
        <v>3.3623240651636221</v>
      </c>
      <c r="N814" s="120" t="s">
        <v>251</v>
      </c>
      <c r="O814" s="120">
        <v>107003.79729376271</v>
      </c>
      <c r="P814" s="120">
        <v>33008.857405449038</v>
      </c>
      <c r="Q814" s="120">
        <v>73994.93988831366</v>
      </c>
      <c r="R814" s="120"/>
      <c r="S814" s="121"/>
    </row>
    <row r="815" spans="1:19" ht="15">
      <c r="A815" s="105">
        <v>30</v>
      </c>
      <c r="B815" s="105"/>
      <c r="C815" s="107" t="s">
        <v>843</v>
      </c>
      <c r="D815" s="107" t="s">
        <v>498</v>
      </c>
      <c r="E815" s="120">
        <v>0</v>
      </c>
      <c r="F815" s="120" t="s">
        <v>251</v>
      </c>
      <c r="G815" s="120">
        <v>0</v>
      </c>
      <c r="H815" s="120" t="s">
        <v>251</v>
      </c>
      <c r="I815" s="120">
        <v>0</v>
      </c>
      <c r="J815" s="120">
        <v>0</v>
      </c>
      <c r="K815" s="120" t="s">
        <v>251</v>
      </c>
      <c r="L815" s="120" t="s">
        <v>251</v>
      </c>
      <c r="M815" s="120">
        <v>0</v>
      </c>
      <c r="N815" s="120" t="s">
        <v>251</v>
      </c>
      <c r="O815" s="120">
        <v>0</v>
      </c>
      <c r="P815" s="120">
        <v>0</v>
      </c>
      <c r="Q815" s="120">
        <v>0</v>
      </c>
      <c r="R815" s="120"/>
      <c r="S815" s="121"/>
    </row>
    <row r="816" spans="1:19" ht="15">
      <c r="A816" s="105">
        <v>31</v>
      </c>
      <c r="B816" s="105"/>
      <c r="C816" s="107" t="s">
        <v>844</v>
      </c>
      <c r="D816" s="107" t="s">
        <v>498</v>
      </c>
      <c r="E816" s="120">
        <v>1803486.6500000001</v>
      </c>
      <c r="F816" s="120" t="s">
        <v>251</v>
      </c>
      <c r="G816" s="120">
        <v>1569714.2364819201</v>
      </c>
      <c r="H816" s="120" t="s">
        <v>251</v>
      </c>
      <c r="I816" s="120">
        <v>73418.320794001847</v>
      </c>
      <c r="J816" s="120">
        <v>160354.09272407819</v>
      </c>
      <c r="K816" s="120" t="s">
        <v>251</v>
      </c>
      <c r="L816" s="120" t="s">
        <v>251</v>
      </c>
      <c r="M816" s="120">
        <v>5.0385640254282578</v>
      </c>
      <c r="N816" s="120" t="s">
        <v>251</v>
      </c>
      <c r="O816" s="120">
        <v>160349.05416005276</v>
      </c>
      <c r="P816" s="120">
        <v>49464.964774444823</v>
      </c>
      <c r="Q816" s="120">
        <v>110884.08938560793</v>
      </c>
      <c r="R816" s="120"/>
      <c r="S816" s="121"/>
    </row>
    <row r="817" spans="1:19" ht="15">
      <c r="A817" s="105">
        <v>32</v>
      </c>
      <c r="B817" s="105"/>
      <c r="C817" s="107" t="s">
        <v>845</v>
      </c>
      <c r="D817" s="107" t="s">
        <v>498</v>
      </c>
      <c r="E817" s="120">
        <v>0</v>
      </c>
      <c r="F817" s="120" t="s">
        <v>251</v>
      </c>
      <c r="G817" s="120">
        <v>0</v>
      </c>
      <c r="H817" s="120" t="s">
        <v>251</v>
      </c>
      <c r="I817" s="120">
        <v>0</v>
      </c>
      <c r="J817" s="120">
        <v>0</v>
      </c>
      <c r="K817" s="120" t="s">
        <v>251</v>
      </c>
      <c r="L817" s="120" t="s">
        <v>251</v>
      </c>
      <c r="M817" s="120">
        <v>0</v>
      </c>
      <c r="N817" s="120" t="s">
        <v>251</v>
      </c>
      <c r="O817" s="120">
        <v>0</v>
      </c>
      <c r="P817" s="120">
        <v>0</v>
      </c>
      <c r="Q817" s="120">
        <v>0</v>
      </c>
      <c r="R817" s="120"/>
      <c r="S817" s="121"/>
    </row>
    <row r="818" spans="1:19" ht="15">
      <c r="A818" s="105" t="s">
        <v>251</v>
      </c>
      <c r="B818" s="105"/>
      <c r="C818" s="107" t="s">
        <v>251</v>
      </c>
      <c r="D818" s="107" t="s">
        <v>251</v>
      </c>
      <c r="E818" s="120" t="s">
        <v>251</v>
      </c>
      <c r="F818" s="120" t="s">
        <v>251</v>
      </c>
      <c r="G818" s="120" t="s">
        <v>251</v>
      </c>
      <c r="H818" s="120" t="s">
        <v>251</v>
      </c>
      <c r="I818" s="120" t="s">
        <v>251</v>
      </c>
      <c r="J818" s="120" t="s">
        <v>251</v>
      </c>
      <c r="K818" s="120" t="s">
        <v>251</v>
      </c>
      <c r="L818" s="120" t="s">
        <v>251</v>
      </c>
      <c r="M818" s="120" t="s">
        <v>251</v>
      </c>
      <c r="N818" s="120" t="s">
        <v>251</v>
      </c>
      <c r="O818" s="120" t="s">
        <v>251</v>
      </c>
      <c r="P818" s="120" t="s">
        <v>251</v>
      </c>
      <c r="Q818" s="120" t="s">
        <v>251</v>
      </c>
      <c r="R818" s="120"/>
      <c r="S818" s="121"/>
    </row>
    <row r="819" spans="1:19" ht="15">
      <c r="A819" s="105">
        <v>33</v>
      </c>
      <c r="B819" s="105"/>
      <c r="C819" s="107" t="s">
        <v>846</v>
      </c>
      <c r="D819" s="107" t="s">
        <v>251</v>
      </c>
      <c r="E819" s="120">
        <v>36598898.259999998</v>
      </c>
      <c r="F819" s="120" t="s">
        <v>251</v>
      </c>
      <c r="G819" s="120">
        <v>31854858.275926448</v>
      </c>
      <c r="H819" s="120" t="s">
        <v>251</v>
      </c>
      <c r="I819" s="120">
        <v>1489908.2580731702</v>
      </c>
      <c r="J819" s="120">
        <v>3254131.7260003807</v>
      </c>
      <c r="K819" s="120">
        <v>0</v>
      </c>
      <c r="L819" s="120">
        <v>0</v>
      </c>
      <c r="M819" s="120">
        <v>102.24965743059138</v>
      </c>
      <c r="N819" s="120" t="s">
        <v>251</v>
      </c>
      <c r="O819" s="120">
        <v>3254029.4763429491</v>
      </c>
      <c r="P819" s="120">
        <v>1003812.9271510771</v>
      </c>
      <c r="Q819" s="120">
        <v>2250216.5491918721</v>
      </c>
      <c r="R819" s="120"/>
      <c r="S819" s="121"/>
    </row>
    <row r="820" spans="1:19" ht="15">
      <c r="A820" s="105" t="s">
        <v>251</v>
      </c>
      <c r="B820" s="105"/>
      <c r="C820" s="107" t="s">
        <v>251</v>
      </c>
      <c r="D820" s="107" t="s">
        <v>251</v>
      </c>
      <c r="E820" s="120" t="s">
        <v>251</v>
      </c>
      <c r="F820" s="120" t="s">
        <v>251</v>
      </c>
      <c r="G820" s="120" t="s">
        <v>251</v>
      </c>
      <c r="H820" s="120" t="s">
        <v>251</v>
      </c>
      <c r="I820" s="120" t="s">
        <v>251</v>
      </c>
      <c r="J820" s="120" t="s">
        <v>251</v>
      </c>
      <c r="K820" s="120" t="s">
        <v>251</v>
      </c>
      <c r="L820" s="120" t="s">
        <v>251</v>
      </c>
      <c r="M820" s="120" t="s">
        <v>251</v>
      </c>
      <c r="N820" s="120" t="s">
        <v>251</v>
      </c>
      <c r="O820" s="120" t="s">
        <v>251</v>
      </c>
      <c r="P820" s="120" t="s">
        <v>251</v>
      </c>
      <c r="Q820" s="120" t="s">
        <v>251</v>
      </c>
      <c r="R820" s="120"/>
      <c r="S820" s="121"/>
    </row>
    <row r="821" spans="1:19" ht="15">
      <c r="A821" s="105">
        <v>34</v>
      </c>
      <c r="B821" s="105"/>
      <c r="C821" s="107" t="s">
        <v>847</v>
      </c>
      <c r="D821" s="107" t="s">
        <v>251</v>
      </c>
      <c r="E821" s="120">
        <v>60557532.769999996</v>
      </c>
      <c r="F821" s="120" t="s">
        <v>251</v>
      </c>
      <c r="G821" s="120">
        <v>52944787.007253155</v>
      </c>
      <c r="H821" s="120" t="s">
        <v>251</v>
      </c>
      <c r="I821" s="120">
        <v>2350281.1602957402</v>
      </c>
      <c r="J821" s="120">
        <v>5262464.6024511019</v>
      </c>
      <c r="K821" s="120">
        <v>0</v>
      </c>
      <c r="L821" s="120">
        <v>0</v>
      </c>
      <c r="M821" s="120">
        <v>196.6366531860989</v>
      </c>
      <c r="N821" s="120" t="s">
        <v>251</v>
      </c>
      <c r="O821" s="120">
        <v>5262267.9657979151</v>
      </c>
      <c r="P821" s="120">
        <v>1646391.000890879</v>
      </c>
      <c r="Q821" s="120">
        <v>3615876.9649070362</v>
      </c>
      <c r="R821" s="120"/>
      <c r="S821" s="121"/>
    </row>
    <row r="822" spans="1:19" ht="15">
      <c r="A822" s="105" t="s">
        <v>251</v>
      </c>
      <c r="B822" s="105"/>
      <c r="C822" s="107" t="s">
        <v>251</v>
      </c>
      <c r="D822" s="107" t="s">
        <v>251</v>
      </c>
      <c r="E822" s="120" t="s">
        <v>251</v>
      </c>
      <c r="F822" s="120" t="s">
        <v>251</v>
      </c>
      <c r="G822" s="120" t="s">
        <v>251</v>
      </c>
      <c r="H822" s="120" t="s">
        <v>251</v>
      </c>
      <c r="I822" s="120" t="s">
        <v>251</v>
      </c>
      <c r="J822" s="120" t="s">
        <v>251</v>
      </c>
      <c r="K822" s="120" t="s">
        <v>251</v>
      </c>
      <c r="L822" s="120" t="s">
        <v>251</v>
      </c>
      <c r="M822" s="120" t="s">
        <v>251</v>
      </c>
      <c r="N822" s="120" t="s">
        <v>251</v>
      </c>
      <c r="O822" s="120" t="s">
        <v>251</v>
      </c>
      <c r="P822" s="120" t="s">
        <v>251</v>
      </c>
      <c r="Q822" s="120" t="s">
        <v>251</v>
      </c>
      <c r="R822" s="120"/>
      <c r="S822" s="121"/>
    </row>
    <row r="823" spans="1:19" ht="15">
      <c r="A823" s="105" t="s">
        <v>251</v>
      </c>
      <c r="B823" s="105"/>
      <c r="C823" s="107" t="s">
        <v>251</v>
      </c>
      <c r="D823" s="107" t="s">
        <v>251</v>
      </c>
      <c r="E823" s="120" t="s">
        <v>251</v>
      </c>
      <c r="F823" s="120" t="s">
        <v>251</v>
      </c>
      <c r="G823" s="120" t="s">
        <v>251</v>
      </c>
      <c r="H823" s="120" t="s">
        <v>251</v>
      </c>
      <c r="I823" s="120" t="s">
        <v>251</v>
      </c>
      <c r="J823" s="120" t="s">
        <v>251</v>
      </c>
      <c r="K823" s="120" t="s">
        <v>251</v>
      </c>
      <c r="L823" s="120" t="s">
        <v>251</v>
      </c>
      <c r="M823" s="120" t="s">
        <v>251</v>
      </c>
      <c r="N823" s="120" t="s">
        <v>251</v>
      </c>
      <c r="O823" s="120" t="s">
        <v>251</v>
      </c>
      <c r="P823" s="120" t="s">
        <v>251</v>
      </c>
      <c r="Q823" s="120" t="s">
        <v>251</v>
      </c>
      <c r="R823" s="120"/>
      <c r="S823" s="121"/>
    </row>
    <row r="824" spans="1:19" ht="15">
      <c r="A824" s="105" t="s">
        <v>251</v>
      </c>
      <c r="B824" s="105"/>
      <c r="C824" s="107" t="s">
        <v>251</v>
      </c>
      <c r="D824" s="107" t="s">
        <v>251</v>
      </c>
      <c r="E824" s="120" t="s">
        <v>251</v>
      </c>
      <c r="F824" s="120" t="s">
        <v>251</v>
      </c>
      <c r="G824" s="120" t="s">
        <v>251</v>
      </c>
      <c r="H824" s="120" t="s">
        <v>251</v>
      </c>
      <c r="I824" s="120" t="s">
        <v>251</v>
      </c>
      <c r="J824" s="120" t="s">
        <v>251</v>
      </c>
      <c r="K824" s="120" t="s">
        <v>251</v>
      </c>
      <c r="L824" s="120" t="s">
        <v>251</v>
      </c>
      <c r="M824" s="120" t="s">
        <v>251</v>
      </c>
      <c r="N824" s="120" t="s">
        <v>251</v>
      </c>
      <c r="O824" s="120" t="s">
        <v>251</v>
      </c>
      <c r="P824" s="120" t="s">
        <v>251</v>
      </c>
      <c r="Q824" s="120" t="s">
        <v>251</v>
      </c>
      <c r="R824" s="120"/>
      <c r="S824" s="121"/>
    </row>
    <row r="825" spans="1:19" ht="15">
      <c r="A825" s="105" t="s">
        <v>251</v>
      </c>
      <c r="B825" s="105"/>
      <c r="C825" s="107" t="s">
        <v>251</v>
      </c>
      <c r="D825" s="107" t="s">
        <v>251</v>
      </c>
      <c r="E825" s="120" t="s">
        <v>251</v>
      </c>
      <c r="F825" s="120" t="s">
        <v>251</v>
      </c>
      <c r="G825" s="120" t="s">
        <v>251</v>
      </c>
      <c r="H825" s="120" t="s">
        <v>251</v>
      </c>
      <c r="I825" s="120" t="s">
        <v>251</v>
      </c>
      <c r="J825" s="120" t="s">
        <v>251</v>
      </c>
      <c r="K825" s="120" t="s">
        <v>251</v>
      </c>
      <c r="L825" s="120" t="s">
        <v>251</v>
      </c>
      <c r="M825" s="120" t="s">
        <v>251</v>
      </c>
      <c r="N825" s="120" t="s">
        <v>251</v>
      </c>
      <c r="O825" s="120" t="s">
        <v>251</v>
      </c>
      <c r="P825" s="120" t="s">
        <v>251</v>
      </c>
      <c r="Q825" s="120" t="s">
        <v>251</v>
      </c>
      <c r="R825" s="120"/>
      <c r="S825" s="121"/>
    </row>
    <row r="826" spans="1:19" ht="15">
      <c r="A826" s="105" t="s">
        <v>251</v>
      </c>
      <c r="B826" s="105"/>
      <c r="C826" s="107" t="s">
        <v>848</v>
      </c>
      <c r="D826" s="107" t="s">
        <v>251</v>
      </c>
      <c r="E826" s="120" t="s">
        <v>251</v>
      </c>
      <c r="F826" s="120" t="s">
        <v>251</v>
      </c>
      <c r="G826" s="120" t="s">
        <v>251</v>
      </c>
      <c r="H826" s="120" t="s">
        <v>251</v>
      </c>
      <c r="I826" s="120" t="s">
        <v>251</v>
      </c>
      <c r="J826" s="120" t="s">
        <v>251</v>
      </c>
      <c r="K826" s="120" t="s">
        <v>251</v>
      </c>
      <c r="L826" s="120" t="s">
        <v>251</v>
      </c>
      <c r="M826" s="120" t="s">
        <v>251</v>
      </c>
      <c r="N826" s="120" t="s">
        <v>251</v>
      </c>
      <c r="O826" s="120" t="s">
        <v>251</v>
      </c>
      <c r="P826" s="120" t="s">
        <v>251</v>
      </c>
      <c r="Q826" s="120" t="s">
        <v>251</v>
      </c>
      <c r="R826" s="120"/>
      <c r="S826" s="121"/>
    </row>
    <row r="827" spans="1:19" ht="15">
      <c r="A827" s="105">
        <v>1</v>
      </c>
      <c r="B827" s="105"/>
      <c r="C827" s="107" t="s">
        <v>849</v>
      </c>
      <c r="D827" s="107" t="s">
        <v>500</v>
      </c>
      <c r="E827" s="120">
        <v>1480794.2999999996</v>
      </c>
      <c r="F827" s="120" t="s">
        <v>251</v>
      </c>
      <c r="G827" s="120">
        <v>1337635.4256518427</v>
      </c>
      <c r="H827" s="120" t="s">
        <v>251</v>
      </c>
      <c r="I827" s="120">
        <v>143154.58072478379</v>
      </c>
      <c r="J827" s="120">
        <v>4.2936233730880238</v>
      </c>
      <c r="K827" s="120" t="s">
        <v>251</v>
      </c>
      <c r="L827" s="120" t="s">
        <v>251</v>
      </c>
      <c r="M827" s="120">
        <v>4.2936233730880238</v>
      </c>
      <c r="N827" s="120" t="s">
        <v>251</v>
      </c>
      <c r="O827" s="120">
        <v>0</v>
      </c>
      <c r="P827" s="120">
        <v>0</v>
      </c>
      <c r="Q827" s="120">
        <v>0</v>
      </c>
      <c r="R827" s="120"/>
      <c r="S827" s="121"/>
    </row>
    <row r="828" spans="1:19" ht="15">
      <c r="A828" s="105">
        <v>2</v>
      </c>
      <c r="B828" s="105"/>
      <c r="C828" s="107" t="s">
        <v>850</v>
      </c>
      <c r="D828" s="107" t="s">
        <v>500</v>
      </c>
      <c r="E828" s="120">
        <v>3492640.6499999994</v>
      </c>
      <c r="F828" s="120" t="s">
        <v>251</v>
      </c>
      <c r="G828" s="120">
        <v>3154982.3378653466</v>
      </c>
      <c r="H828" s="120" t="s">
        <v>251</v>
      </c>
      <c r="I828" s="120">
        <v>337648.1850808626</v>
      </c>
      <c r="J828" s="120">
        <v>10.12705379041326</v>
      </c>
      <c r="K828" s="120" t="s">
        <v>251</v>
      </c>
      <c r="L828" s="120" t="s">
        <v>251</v>
      </c>
      <c r="M828" s="120">
        <v>10.12705379041326</v>
      </c>
      <c r="N828" s="120" t="s">
        <v>251</v>
      </c>
      <c r="O828" s="120">
        <v>0</v>
      </c>
      <c r="P828" s="120">
        <v>0</v>
      </c>
      <c r="Q828" s="120">
        <v>0</v>
      </c>
      <c r="R828" s="120"/>
      <c r="S828" s="121"/>
    </row>
    <row r="829" spans="1:19" ht="15">
      <c r="A829" s="105">
        <v>3</v>
      </c>
      <c r="B829" s="105"/>
      <c r="C829" s="107" t="s">
        <v>851</v>
      </c>
      <c r="D829" s="107" t="s">
        <v>500</v>
      </c>
      <c r="E829" s="120">
        <v>568688.16999999993</v>
      </c>
      <c r="F829" s="120" t="s">
        <v>251</v>
      </c>
      <c r="G829" s="120">
        <v>513709.0562417194</v>
      </c>
      <c r="H829" s="120" t="s">
        <v>251</v>
      </c>
      <c r="I829" s="120">
        <v>54977.464823773684</v>
      </c>
      <c r="J829" s="120">
        <v>1.6489345067783254</v>
      </c>
      <c r="K829" s="120" t="s">
        <v>251</v>
      </c>
      <c r="L829" s="120" t="s">
        <v>251</v>
      </c>
      <c r="M829" s="120">
        <v>1.6489345067783254</v>
      </c>
      <c r="N829" s="120" t="s">
        <v>251</v>
      </c>
      <c r="O829" s="120">
        <v>0</v>
      </c>
      <c r="P829" s="120">
        <v>0</v>
      </c>
      <c r="Q829" s="120">
        <v>0</v>
      </c>
      <c r="R829" s="120"/>
      <c r="S829" s="121"/>
    </row>
    <row r="830" spans="1:19" ht="15">
      <c r="A830" s="105">
        <v>4</v>
      </c>
      <c r="B830" s="105"/>
      <c r="C830" s="107" t="s">
        <v>852</v>
      </c>
      <c r="D830" s="107" t="s">
        <v>500</v>
      </c>
      <c r="E830" s="120">
        <v>52611.119999999988</v>
      </c>
      <c r="F830" s="120" t="s">
        <v>251</v>
      </c>
      <c r="G830" s="120">
        <v>47524.8303530208</v>
      </c>
      <c r="H830" s="120" t="s">
        <v>251</v>
      </c>
      <c r="I830" s="120">
        <v>5086.137098894349</v>
      </c>
      <c r="J830" s="120">
        <v>0.15254808484631446</v>
      </c>
      <c r="K830" s="120" t="s">
        <v>251</v>
      </c>
      <c r="L830" s="120" t="s">
        <v>251</v>
      </c>
      <c r="M830" s="120">
        <v>0.15254808484631446</v>
      </c>
      <c r="N830" s="120" t="s">
        <v>251</v>
      </c>
      <c r="O830" s="120">
        <v>0</v>
      </c>
      <c r="P830" s="120">
        <v>0</v>
      </c>
      <c r="Q830" s="120">
        <v>0</v>
      </c>
      <c r="R830" s="120"/>
      <c r="S830" s="121"/>
    </row>
    <row r="831" spans="1:19" ht="15">
      <c r="A831" s="105">
        <v>5</v>
      </c>
      <c r="B831" s="105"/>
      <c r="C831" s="107" t="s">
        <v>853</v>
      </c>
      <c r="D831" s="107" t="s">
        <v>500</v>
      </c>
      <c r="E831" s="120">
        <v>0</v>
      </c>
      <c r="F831" s="120" t="s">
        <v>251</v>
      </c>
      <c r="G831" s="120">
        <v>0</v>
      </c>
      <c r="H831" s="120" t="s">
        <v>251</v>
      </c>
      <c r="I831" s="120">
        <v>0</v>
      </c>
      <c r="J831" s="120">
        <v>0</v>
      </c>
      <c r="K831" s="120" t="s">
        <v>251</v>
      </c>
      <c r="L831" s="120" t="s">
        <v>251</v>
      </c>
      <c r="M831" s="120">
        <v>0</v>
      </c>
      <c r="N831" s="120" t="s">
        <v>251</v>
      </c>
      <c r="O831" s="120">
        <v>0</v>
      </c>
      <c r="P831" s="120">
        <v>0</v>
      </c>
      <c r="Q831" s="120">
        <v>0</v>
      </c>
      <c r="R831" s="120"/>
      <c r="S831" s="121"/>
    </row>
    <row r="832" spans="1:19" ht="15">
      <c r="A832" s="105">
        <v>6</v>
      </c>
      <c r="B832" s="105"/>
      <c r="C832" s="107" t="s">
        <v>854</v>
      </c>
      <c r="D832" s="107" t="s">
        <v>500</v>
      </c>
      <c r="E832" s="120">
        <v>536745.78</v>
      </c>
      <c r="F832" s="120" t="s">
        <v>251</v>
      </c>
      <c r="G832" s="120">
        <v>484854.76335040625</v>
      </c>
      <c r="H832" s="120" t="s">
        <v>251</v>
      </c>
      <c r="I832" s="120">
        <v>51889.460333347488</v>
      </c>
      <c r="J832" s="120">
        <v>1.556316246229718</v>
      </c>
      <c r="K832" s="120" t="s">
        <v>251</v>
      </c>
      <c r="L832" s="120" t="s">
        <v>251</v>
      </c>
      <c r="M832" s="120">
        <v>1.556316246229718</v>
      </c>
      <c r="N832" s="120" t="s">
        <v>251</v>
      </c>
      <c r="O832" s="120">
        <v>0</v>
      </c>
      <c r="P832" s="120">
        <v>0</v>
      </c>
      <c r="Q832" s="120">
        <v>0</v>
      </c>
      <c r="R832" s="120"/>
      <c r="S832" s="121"/>
    </row>
    <row r="833" spans="1:19" ht="15">
      <c r="A833" s="105">
        <v>7</v>
      </c>
      <c r="B833" s="105"/>
      <c r="C833" s="107" t="s">
        <v>855</v>
      </c>
      <c r="D833" s="107" t="s">
        <v>500</v>
      </c>
      <c r="E833" s="120">
        <v>0</v>
      </c>
      <c r="F833" s="120" t="s">
        <v>251</v>
      </c>
      <c r="G833" s="120">
        <v>0</v>
      </c>
      <c r="H833" s="120" t="s">
        <v>251</v>
      </c>
      <c r="I833" s="120">
        <v>0</v>
      </c>
      <c r="J833" s="120">
        <v>0</v>
      </c>
      <c r="K833" s="120" t="s">
        <v>251</v>
      </c>
      <c r="L833" s="120" t="s">
        <v>251</v>
      </c>
      <c r="M833" s="120">
        <v>0</v>
      </c>
      <c r="N833" s="120" t="s">
        <v>251</v>
      </c>
      <c r="O833" s="120">
        <v>0</v>
      </c>
      <c r="P833" s="120">
        <v>0</v>
      </c>
      <c r="Q833" s="120">
        <v>0</v>
      </c>
      <c r="R833" s="120"/>
      <c r="S833" s="121"/>
    </row>
    <row r="834" spans="1:19" ht="15">
      <c r="A834" s="105">
        <v>8</v>
      </c>
      <c r="B834" s="105"/>
      <c r="C834" s="107" t="s">
        <v>856</v>
      </c>
      <c r="D834" s="107" t="s">
        <v>500</v>
      </c>
      <c r="E834" s="120">
        <v>0</v>
      </c>
      <c r="F834" s="120" t="s">
        <v>251</v>
      </c>
      <c r="G834" s="120">
        <v>0</v>
      </c>
      <c r="H834" s="120" t="s">
        <v>251</v>
      </c>
      <c r="I834" s="120">
        <v>0</v>
      </c>
      <c r="J834" s="120">
        <v>0</v>
      </c>
      <c r="K834" s="120" t="s">
        <v>251</v>
      </c>
      <c r="L834" s="120" t="s">
        <v>251</v>
      </c>
      <c r="M834" s="120">
        <v>0</v>
      </c>
      <c r="N834" s="120" t="s">
        <v>251</v>
      </c>
      <c r="O834" s="120">
        <v>0</v>
      </c>
      <c r="P834" s="120">
        <v>0</v>
      </c>
      <c r="Q834" s="120">
        <v>0</v>
      </c>
      <c r="R834" s="120"/>
      <c r="S834" s="121"/>
    </row>
    <row r="835" spans="1:19" ht="15">
      <c r="A835" s="105">
        <v>9</v>
      </c>
      <c r="B835" s="105"/>
      <c r="C835" s="107" t="s">
        <v>857</v>
      </c>
      <c r="D835" s="107" t="s">
        <v>500</v>
      </c>
      <c r="E835" s="120">
        <v>1038904.3899999998</v>
      </c>
      <c r="F835" s="120" t="s">
        <v>251</v>
      </c>
      <c r="G835" s="120">
        <v>938466.14342668536</v>
      </c>
      <c r="H835" s="120" t="s">
        <v>251</v>
      </c>
      <c r="I835" s="120">
        <v>100435.23422772986</v>
      </c>
      <c r="J835" s="120">
        <v>3.0123455846012885</v>
      </c>
      <c r="K835" s="120" t="s">
        <v>251</v>
      </c>
      <c r="L835" s="120" t="s">
        <v>251</v>
      </c>
      <c r="M835" s="120">
        <v>3.0123455846012885</v>
      </c>
      <c r="N835" s="120" t="s">
        <v>251</v>
      </c>
      <c r="O835" s="120">
        <v>0</v>
      </c>
      <c r="P835" s="120">
        <v>0</v>
      </c>
      <c r="Q835" s="120">
        <v>0</v>
      </c>
      <c r="R835" s="120"/>
      <c r="S835" s="121"/>
    </row>
    <row r="836" spans="1:19" ht="15">
      <c r="A836" s="105">
        <v>10</v>
      </c>
      <c r="B836" s="105"/>
      <c r="C836" s="107" t="s">
        <v>858</v>
      </c>
      <c r="D836" s="107" t="s">
        <v>500</v>
      </c>
      <c r="E836" s="120">
        <v>335259.69</v>
      </c>
      <c r="F836" s="120" t="s">
        <v>251</v>
      </c>
      <c r="G836" s="120">
        <v>302847.76091929508</v>
      </c>
      <c r="H836" s="120" t="s">
        <v>251</v>
      </c>
      <c r="I836" s="120">
        <v>32410.956981581439</v>
      </c>
      <c r="J836" s="120">
        <v>0.97209912344897964</v>
      </c>
      <c r="K836" s="120" t="s">
        <v>251</v>
      </c>
      <c r="L836" s="120" t="s">
        <v>251</v>
      </c>
      <c r="M836" s="120">
        <v>0.97209912344897964</v>
      </c>
      <c r="N836" s="120" t="s">
        <v>251</v>
      </c>
      <c r="O836" s="120">
        <v>0</v>
      </c>
      <c r="P836" s="120">
        <v>0</v>
      </c>
      <c r="Q836" s="120">
        <v>0</v>
      </c>
      <c r="R836" s="120"/>
      <c r="S836" s="121"/>
    </row>
    <row r="837" spans="1:19" ht="15">
      <c r="A837" s="105">
        <v>11</v>
      </c>
      <c r="B837" s="105"/>
      <c r="C837" s="107" t="s">
        <v>859</v>
      </c>
      <c r="D837" s="107" t="s">
        <v>500</v>
      </c>
      <c r="E837" s="120">
        <v>0</v>
      </c>
      <c r="F837" s="120" t="s">
        <v>251</v>
      </c>
      <c r="G837" s="120">
        <v>0</v>
      </c>
      <c r="H837" s="120" t="s">
        <v>251</v>
      </c>
      <c r="I837" s="120">
        <v>0</v>
      </c>
      <c r="J837" s="120">
        <v>0</v>
      </c>
      <c r="K837" s="120" t="s">
        <v>251</v>
      </c>
      <c r="L837" s="120" t="s">
        <v>251</v>
      </c>
      <c r="M837" s="120">
        <v>0</v>
      </c>
      <c r="N837" s="120" t="s">
        <v>251</v>
      </c>
      <c r="O837" s="120">
        <v>0</v>
      </c>
      <c r="P837" s="120">
        <v>0</v>
      </c>
      <c r="Q837" s="120">
        <v>0</v>
      </c>
      <c r="R837" s="120"/>
      <c r="S837" s="121"/>
    </row>
    <row r="838" spans="1:19" ht="15">
      <c r="A838" s="105">
        <v>12</v>
      </c>
      <c r="B838" s="105"/>
      <c r="C838" s="107" t="s">
        <v>860</v>
      </c>
      <c r="D838" s="107" t="s">
        <v>500</v>
      </c>
      <c r="E838" s="120">
        <v>12513.810000000001</v>
      </c>
      <c r="F838" s="120" t="s">
        <v>251</v>
      </c>
      <c r="G838" s="120">
        <v>11304.011344368553</v>
      </c>
      <c r="H838" s="120" t="s">
        <v>251</v>
      </c>
      <c r="I838" s="120">
        <v>1209.7623713297703</v>
      </c>
      <c r="J838" s="120">
        <v>3.6284301676730288E-2</v>
      </c>
      <c r="K838" s="120" t="s">
        <v>251</v>
      </c>
      <c r="L838" s="120" t="s">
        <v>251</v>
      </c>
      <c r="M838" s="120">
        <v>3.6284301676730288E-2</v>
      </c>
      <c r="N838" s="120" t="s">
        <v>251</v>
      </c>
      <c r="O838" s="120">
        <v>0</v>
      </c>
      <c r="P838" s="120">
        <v>0</v>
      </c>
      <c r="Q838" s="120">
        <v>0</v>
      </c>
      <c r="R838" s="120"/>
      <c r="S838" s="121"/>
    </row>
    <row r="839" spans="1:19" ht="15">
      <c r="A839" s="105" t="s">
        <v>251</v>
      </c>
      <c r="B839" s="105"/>
      <c r="C839" s="107" t="s">
        <v>251</v>
      </c>
      <c r="D839" s="107" t="s">
        <v>251</v>
      </c>
      <c r="E839" s="120" t="s">
        <v>251</v>
      </c>
      <c r="F839" s="120" t="s">
        <v>251</v>
      </c>
      <c r="G839" s="120" t="s">
        <v>251</v>
      </c>
      <c r="H839" s="120" t="s">
        <v>251</v>
      </c>
      <c r="I839" s="120" t="s">
        <v>251</v>
      </c>
      <c r="J839" s="120" t="s">
        <v>251</v>
      </c>
      <c r="K839" s="120" t="s">
        <v>251</v>
      </c>
      <c r="L839" s="120" t="s">
        <v>251</v>
      </c>
      <c r="M839" s="120" t="s">
        <v>251</v>
      </c>
      <c r="N839" s="120" t="s">
        <v>251</v>
      </c>
      <c r="O839" s="120" t="s">
        <v>251</v>
      </c>
      <c r="P839" s="120" t="s">
        <v>251</v>
      </c>
      <c r="Q839" s="120" t="s">
        <v>251</v>
      </c>
      <c r="R839" s="120"/>
      <c r="S839" s="121"/>
    </row>
    <row r="840" spans="1:19" ht="15">
      <c r="A840" s="105">
        <v>13</v>
      </c>
      <c r="B840" s="105"/>
      <c r="C840" s="107" t="s">
        <v>861</v>
      </c>
      <c r="D840" s="107" t="s">
        <v>500</v>
      </c>
      <c r="E840" s="120">
        <v>7518157.9099999992</v>
      </c>
      <c r="F840" s="120" t="s">
        <v>251</v>
      </c>
      <c r="G840" s="120">
        <v>6791324.3291526856</v>
      </c>
      <c r="H840" s="120" t="s">
        <v>251</v>
      </c>
      <c r="I840" s="120">
        <v>726811.78164230299</v>
      </c>
      <c r="J840" s="120">
        <v>21.799205011082641</v>
      </c>
      <c r="K840" s="120">
        <v>0</v>
      </c>
      <c r="L840" s="120">
        <v>0</v>
      </c>
      <c r="M840" s="120">
        <v>21.799205011082641</v>
      </c>
      <c r="N840" s="120" t="s">
        <v>251</v>
      </c>
      <c r="O840" s="120">
        <v>0</v>
      </c>
      <c r="P840" s="120">
        <v>0</v>
      </c>
      <c r="Q840" s="120">
        <v>0</v>
      </c>
      <c r="R840" s="120"/>
      <c r="S840" s="121"/>
    </row>
    <row r="841" spans="1:19" ht="15">
      <c r="A841" s="105" t="s">
        <v>251</v>
      </c>
      <c r="B841" s="105"/>
      <c r="C841" s="107" t="s">
        <v>251</v>
      </c>
      <c r="D841" s="107" t="s">
        <v>251</v>
      </c>
      <c r="E841" s="120" t="s">
        <v>251</v>
      </c>
      <c r="F841" s="120" t="s">
        <v>251</v>
      </c>
      <c r="G841" s="120" t="s">
        <v>251</v>
      </c>
      <c r="H841" s="120" t="s">
        <v>251</v>
      </c>
      <c r="I841" s="120" t="s">
        <v>251</v>
      </c>
      <c r="J841" s="120" t="s">
        <v>251</v>
      </c>
      <c r="K841" s="120" t="s">
        <v>251</v>
      </c>
      <c r="L841" s="120" t="s">
        <v>251</v>
      </c>
      <c r="M841" s="120" t="s">
        <v>251</v>
      </c>
      <c r="N841" s="120" t="s">
        <v>251</v>
      </c>
      <c r="O841" s="120" t="s">
        <v>251</v>
      </c>
      <c r="P841" s="120" t="s">
        <v>251</v>
      </c>
      <c r="Q841" s="120" t="s">
        <v>251</v>
      </c>
      <c r="R841" s="120"/>
      <c r="S841" s="121"/>
    </row>
    <row r="842" spans="1:19" ht="15">
      <c r="A842" s="105" t="s">
        <v>251</v>
      </c>
      <c r="B842" s="105"/>
      <c r="C842" s="107" t="s">
        <v>862</v>
      </c>
      <c r="D842" s="107" t="s">
        <v>251</v>
      </c>
      <c r="E842" s="120" t="s">
        <v>251</v>
      </c>
      <c r="F842" s="120" t="s">
        <v>251</v>
      </c>
      <c r="G842" s="120" t="s">
        <v>251</v>
      </c>
      <c r="H842" s="120" t="s">
        <v>251</v>
      </c>
      <c r="I842" s="120" t="s">
        <v>251</v>
      </c>
      <c r="J842" s="120" t="s">
        <v>251</v>
      </c>
      <c r="K842" s="120" t="s">
        <v>251</v>
      </c>
      <c r="L842" s="120" t="s">
        <v>251</v>
      </c>
      <c r="M842" s="120" t="s">
        <v>251</v>
      </c>
      <c r="N842" s="120" t="s">
        <v>251</v>
      </c>
      <c r="O842" s="120" t="s">
        <v>251</v>
      </c>
      <c r="P842" s="120" t="s">
        <v>251</v>
      </c>
      <c r="Q842" s="120" t="s">
        <v>251</v>
      </c>
      <c r="R842" s="120"/>
      <c r="S842" s="121"/>
    </row>
    <row r="843" spans="1:19" ht="15">
      <c r="A843" s="105">
        <v>1</v>
      </c>
      <c r="B843" s="105"/>
      <c r="C843" s="107" t="s">
        <v>863</v>
      </c>
      <c r="D843" s="107" t="s">
        <v>502</v>
      </c>
      <c r="E843" s="120">
        <v>1323759.42</v>
      </c>
      <c r="F843" s="120" t="s">
        <v>251</v>
      </c>
      <c r="G843" s="120">
        <v>1254526.5178757587</v>
      </c>
      <c r="H843" s="120" t="s">
        <v>251</v>
      </c>
      <c r="I843" s="120">
        <v>66101.663333057557</v>
      </c>
      <c r="J843" s="120">
        <v>3131.238791183544</v>
      </c>
      <c r="K843" s="120" t="s">
        <v>251</v>
      </c>
      <c r="L843" s="120" t="s">
        <v>251</v>
      </c>
      <c r="M843" s="120">
        <v>439.91281737011298</v>
      </c>
      <c r="N843" s="120" t="s">
        <v>251</v>
      </c>
      <c r="O843" s="120">
        <v>2691.3259738134311</v>
      </c>
      <c r="P843" s="120">
        <v>2502.2226330212184</v>
      </c>
      <c r="Q843" s="120">
        <v>189.10334079221292</v>
      </c>
      <c r="R843" s="120"/>
      <c r="S843" s="121"/>
    </row>
    <row r="844" spans="1:19" ht="15">
      <c r="A844" s="105">
        <v>2</v>
      </c>
      <c r="B844" s="105"/>
      <c r="C844" s="107" t="s">
        <v>864</v>
      </c>
      <c r="D844" s="107" t="s">
        <v>502</v>
      </c>
      <c r="E844" s="120">
        <v>363732.06999999989</v>
      </c>
      <c r="F844" s="120" t="s">
        <v>251</v>
      </c>
      <c r="G844" s="120">
        <v>344708.80457783007</v>
      </c>
      <c r="H844" s="120" t="s">
        <v>251</v>
      </c>
      <c r="I844" s="120">
        <v>18162.888566697507</v>
      </c>
      <c r="J844" s="120">
        <v>860.3768554723398</v>
      </c>
      <c r="K844" s="120" t="s">
        <v>251</v>
      </c>
      <c r="L844" s="120" t="s">
        <v>251</v>
      </c>
      <c r="M844" s="120">
        <v>120.87574015644257</v>
      </c>
      <c r="N844" s="120" t="s">
        <v>251</v>
      </c>
      <c r="O844" s="120">
        <v>739.50111531589721</v>
      </c>
      <c r="P844" s="120">
        <v>687.54080549595494</v>
      </c>
      <c r="Q844" s="120">
        <v>51.960309819942239</v>
      </c>
      <c r="R844" s="120"/>
      <c r="S844" s="121"/>
    </row>
    <row r="845" spans="1:19" ht="15">
      <c r="A845" s="105">
        <v>3</v>
      </c>
      <c r="B845" s="105"/>
      <c r="C845" s="107" t="s">
        <v>865</v>
      </c>
      <c r="D845" s="107" t="s">
        <v>502</v>
      </c>
      <c r="E845" s="120">
        <v>996969.62999999977</v>
      </c>
      <c r="F845" s="120" t="s">
        <v>251</v>
      </c>
      <c r="G845" s="120">
        <v>944827.90411552542</v>
      </c>
      <c r="H845" s="120" t="s">
        <v>251</v>
      </c>
      <c r="I845" s="120">
        <v>49783.480170092349</v>
      </c>
      <c r="J845" s="120">
        <v>2358.2457143820784</v>
      </c>
      <c r="K845" s="120" t="s">
        <v>251</v>
      </c>
      <c r="L845" s="120" t="s">
        <v>251</v>
      </c>
      <c r="M845" s="120">
        <v>331.31376603593048</v>
      </c>
      <c r="N845" s="120" t="s">
        <v>251</v>
      </c>
      <c r="O845" s="120">
        <v>2026.9319483461477</v>
      </c>
      <c r="P845" s="120">
        <v>1884.5115924620125</v>
      </c>
      <c r="Q845" s="120">
        <v>142.4203558841352</v>
      </c>
      <c r="R845" s="120"/>
      <c r="S845" s="121"/>
    </row>
    <row r="846" spans="1:19" ht="15">
      <c r="A846" s="105">
        <v>4</v>
      </c>
      <c r="B846" s="105"/>
      <c r="C846" s="107" t="s">
        <v>866</v>
      </c>
      <c r="D846" s="107" t="s">
        <v>502</v>
      </c>
      <c r="E846" s="120">
        <v>2689680.1799999992</v>
      </c>
      <c r="F846" s="120" t="s">
        <v>251</v>
      </c>
      <c r="G846" s="120">
        <v>2549009.3286096076</v>
      </c>
      <c r="H846" s="120" t="s">
        <v>251</v>
      </c>
      <c r="I846" s="120">
        <v>134308.64479284131</v>
      </c>
      <c r="J846" s="120">
        <v>6362.2065975504347</v>
      </c>
      <c r="K846" s="120" t="s">
        <v>251</v>
      </c>
      <c r="L846" s="120" t="s">
        <v>251</v>
      </c>
      <c r="M846" s="120">
        <v>893.83672586696491</v>
      </c>
      <c r="N846" s="120" t="s">
        <v>251</v>
      </c>
      <c r="O846" s="120">
        <v>5468.3698716834697</v>
      </c>
      <c r="P846" s="120">
        <v>5084.1403054828379</v>
      </c>
      <c r="Q846" s="120">
        <v>384.22956620063223</v>
      </c>
      <c r="R846" s="120"/>
      <c r="S846" s="121"/>
    </row>
    <row r="847" spans="1:19" ht="15">
      <c r="A847" s="105">
        <v>5</v>
      </c>
      <c r="B847" s="105"/>
      <c r="C847" s="107" t="s">
        <v>867</v>
      </c>
      <c r="D847" s="107" t="s">
        <v>502</v>
      </c>
      <c r="E847" s="120">
        <v>0</v>
      </c>
      <c r="F847" s="120" t="s">
        <v>251</v>
      </c>
      <c r="G847" s="120">
        <v>0</v>
      </c>
      <c r="H847" s="120" t="s">
        <v>251</v>
      </c>
      <c r="I847" s="120">
        <v>0</v>
      </c>
      <c r="J847" s="120">
        <v>0</v>
      </c>
      <c r="K847" s="120" t="s">
        <v>251</v>
      </c>
      <c r="L847" s="120" t="s">
        <v>251</v>
      </c>
      <c r="M847" s="120">
        <v>0</v>
      </c>
      <c r="N847" s="120" t="s">
        <v>251</v>
      </c>
      <c r="O847" s="120">
        <v>0</v>
      </c>
      <c r="P847" s="120">
        <v>0</v>
      </c>
      <c r="Q847" s="120">
        <v>0</v>
      </c>
      <c r="R847" s="120"/>
      <c r="S847" s="121"/>
    </row>
    <row r="848" spans="1:19" ht="15">
      <c r="A848" s="105">
        <v>6</v>
      </c>
      <c r="B848" s="105"/>
      <c r="C848" s="107" t="s">
        <v>868</v>
      </c>
      <c r="D848" s="107" t="s">
        <v>502</v>
      </c>
      <c r="E848" s="120">
        <v>0</v>
      </c>
      <c r="F848" s="120" t="s">
        <v>251</v>
      </c>
      <c r="G848" s="120">
        <v>0</v>
      </c>
      <c r="H848" s="120" t="s">
        <v>251</v>
      </c>
      <c r="I848" s="120">
        <v>0</v>
      </c>
      <c r="J848" s="120">
        <v>0</v>
      </c>
      <c r="K848" s="120" t="s">
        <v>251</v>
      </c>
      <c r="L848" s="120" t="s">
        <v>251</v>
      </c>
      <c r="M848" s="120">
        <v>0</v>
      </c>
      <c r="N848" s="120" t="s">
        <v>251</v>
      </c>
      <c r="O848" s="120">
        <v>0</v>
      </c>
      <c r="P848" s="120">
        <v>0</v>
      </c>
      <c r="Q848" s="120">
        <v>0</v>
      </c>
      <c r="R848" s="120"/>
      <c r="S848" s="121"/>
    </row>
    <row r="849" spans="1:19" ht="15">
      <c r="A849" s="105">
        <v>7</v>
      </c>
      <c r="B849" s="105"/>
      <c r="C849" s="107" t="s">
        <v>869</v>
      </c>
      <c r="D849" s="107" t="s">
        <v>502</v>
      </c>
      <c r="E849" s="120">
        <v>5182583.84</v>
      </c>
      <c r="F849" s="120" t="s">
        <v>251</v>
      </c>
      <c r="G849" s="120">
        <v>4911533.5914998651</v>
      </c>
      <c r="H849" s="120" t="s">
        <v>251</v>
      </c>
      <c r="I849" s="120">
        <v>258791.29319965452</v>
      </c>
      <c r="J849" s="120">
        <v>12258.955300479731</v>
      </c>
      <c r="K849" s="120" t="s">
        <v>251</v>
      </c>
      <c r="L849" s="120" t="s">
        <v>251</v>
      </c>
      <c r="M849" s="120">
        <v>1722.2805170377701</v>
      </c>
      <c r="N849" s="120" t="s">
        <v>251</v>
      </c>
      <c r="O849" s="120">
        <v>10536.67478344196</v>
      </c>
      <c r="P849" s="120">
        <v>9796.3258172531223</v>
      </c>
      <c r="Q849" s="120">
        <v>740.34896618883772</v>
      </c>
      <c r="R849" s="120"/>
      <c r="S849" s="121"/>
    </row>
    <row r="850" spans="1:19" ht="15">
      <c r="A850" s="105">
        <v>8</v>
      </c>
      <c r="B850" s="105"/>
      <c r="C850" s="107" t="s">
        <v>870</v>
      </c>
      <c r="D850" s="107" t="s">
        <v>502</v>
      </c>
      <c r="E850" s="120">
        <v>0</v>
      </c>
      <c r="F850" s="120" t="s">
        <v>251</v>
      </c>
      <c r="G850" s="120">
        <v>0</v>
      </c>
      <c r="H850" s="120" t="s">
        <v>251</v>
      </c>
      <c r="I850" s="120">
        <v>0</v>
      </c>
      <c r="J850" s="120">
        <v>0</v>
      </c>
      <c r="K850" s="120" t="s">
        <v>251</v>
      </c>
      <c r="L850" s="120" t="s">
        <v>251</v>
      </c>
      <c r="M850" s="120">
        <v>0</v>
      </c>
      <c r="N850" s="120" t="s">
        <v>251</v>
      </c>
      <c r="O850" s="120">
        <v>0</v>
      </c>
      <c r="P850" s="120">
        <v>0</v>
      </c>
      <c r="Q850" s="120">
        <v>0</v>
      </c>
      <c r="R850" s="120"/>
      <c r="S850" s="121"/>
    </row>
    <row r="851" spans="1:19" ht="15">
      <c r="A851" s="105">
        <v>9</v>
      </c>
      <c r="B851" s="105"/>
      <c r="C851" s="107" t="s">
        <v>871</v>
      </c>
      <c r="D851" s="107" t="s">
        <v>502</v>
      </c>
      <c r="E851" s="120">
        <v>3331488.4299999997</v>
      </c>
      <c r="F851" s="120" t="s">
        <v>251</v>
      </c>
      <c r="G851" s="120">
        <v>3157250.8692185762</v>
      </c>
      <c r="H851" s="120" t="s">
        <v>251</v>
      </c>
      <c r="I851" s="120">
        <v>166357.21209661834</v>
      </c>
      <c r="J851" s="120">
        <v>7880.3486848049506</v>
      </c>
      <c r="K851" s="120" t="s">
        <v>251</v>
      </c>
      <c r="L851" s="120" t="s">
        <v>251</v>
      </c>
      <c r="M851" s="120">
        <v>1107.1229704844966</v>
      </c>
      <c r="N851" s="120" t="s">
        <v>251</v>
      </c>
      <c r="O851" s="120">
        <v>6773.2257143204542</v>
      </c>
      <c r="P851" s="120">
        <v>6297.3117510992488</v>
      </c>
      <c r="Q851" s="120">
        <v>475.91396322120551</v>
      </c>
      <c r="R851" s="120"/>
      <c r="S851" s="121"/>
    </row>
    <row r="852" spans="1:19" ht="15">
      <c r="A852" s="105">
        <v>10</v>
      </c>
      <c r="B852" s="105"/>
      <c r="C852" s="107" t="s">
        <v>872</v>
      </c>
      <c r="D852" s="107" t="s">
        <v>502</v>
      </c>
      <c r="E852" s="120">
        <v>0</v>
      </c>
      <c r="F852" s="120" t="s">
        <v>251</v>
      </c>
      <c r="G852" s="120">
        <v>0</v>
      </c>
      <c r="H852" s="120" t="s">
        <v>251</v>
      </c>
      <c r="I852" s="120">
        <v>0</v>
      </c>
      <c r="J852" s="120">
        <v>0</v>
      </c>
      <c r="K852" s="120" t="s">
        <v>251</v>
      </c>
      <c r="L852" s="120" t="s">
        <v>251</v>
      </c>
      <c r="M852" s="120">
        <v>0</v>
      </c>
      <c r="N852" s="120" t="s">
        <v>251</v>
      </c>
      <c r="O852" s="120">
        <v>0</v>
      </c>
      <c r="P852" s="120">
        <v>0</v>
      </c>
      <c r="Q852" s="120">
        <v>0</v>
      </c>
      <c r="R852" s="120"/>
      <c r="S852" s="121"/>
    </row>
    <row r="853" spans="1:19" ht="15">
      <c r="A853" s="105">
        <v>11</v>
      </c>
      <c r="B853" s="105"/>
      <c r="C853" s="107" t="s">
        <v>873</v>
      </c>
      <c r="D853" s="107" t="s">
        <v>502</v>
      </c>
      <c r="E853" s="120">
        <v>10990.210000000001</v>
      </c>
      <c r="F853" s="120" t="s">
        <v>251</v>
      </c>
      <c r="G853" s="120">
        <v>10415.419655350475</v>
      </c>
      <c r="H853" s="120" t="s">
        <v>251</v>
      </c>
      <c r="I853" s="120">
        <v>548.79395032339232</v>
      </c>
      <c r="J853" s="120">
        <v>25.996394326133149</v>
      </c>
      <c r="K853" s="120" t="s">
        <v>251</v>
      </c>
      <c r="L853" s="120" t="s">
        <v>251</v>
      </c>
      <c r="M853" s="120">
        <v>3.6522756110692605</v>
      </c>
      <c r="N853" s="120" t="s">
        <v>251</v>
      </c>
      <c r="O853" s="120">
        <v>22.344118715063889</v>
      </c>
      <c r="P853" s="120">
        <v>20.774131453324149</v>
      </c>
      <c r="Q853" s="120">
        <v>1.5699872617397401</v>
      </c>
      <c r="R853" s="120"/>
      <c r="S853" s="121"/>
    </row>
    <row r="854" spans="1:19" ht="15">
      <c r="A854" s="105">
        <v>13</v>
      </c>
      <c r="B854" s="105"/>
      <c r="C854" s="107" t="s">
        <v>874</v>
      </c>
      <c r="D854" s="107" t="s">
        <v>502</v>
      </c>
      <c r="E854" s="120">
        <v>691017.46</v>
      </c>
      <c r="F854" s="120" t="s">
        <v>251</v>
      </c>
      <c r="G854" s="120">
        <v>654877.09835156554</v>
      </c>
      <c r="H854" s="120" t="s">
        <v>251</v>
      </c>
      <c r="I854" s="120">
        <v>34505.819417084538</v>
      </c>
      <c r="J854" s="120">
        <v>1634.5422313498048</v>
      </c>
      <c r="K854" s="120" t="s">
        <v>251</v>
      </c>
      <c r="L854" s="120" t="s">
        <v>251</v>
      </c>
      <c r="M854" s="120">
        <v>229.6394896895535</v>
      </c>
      <c r="N854" s="120" t="s">
        <v>251</v>
      </c>
      <c r="O854" s="120">
        <v>1404.9027416602512</v>
      </c>
      <c r="P854" s="120">
        <v>1306.1886488594994</v>
      </c>
      <c r="Q854" s="120">
        <v>98.714092800751786</v>
      </c>
      <c r="R854" s="120"/>
      <c r="S854" s="121"/>
    </row>
    <row r="855" spans="1:19" ht="15">
      <c r="A855" s="105">
        <v>14</v>
      </c>
      <c r="B855" s="105"/>
      <c r="C855" s="107" t="s">
        <v>875</v>
      </c>
      <c r="D855" s="107" t="s">
        <v>502</v>
      </c>
      <c r="E855" s="120">
        <v>7169640.8799999999</v>
      </c>
      <c r="F855" s="120" t="s">
        <v>251</v>
      </c>
      <c r="G855" s="120">
        <v>6794667.1213158136</v>
      </c>
      <c r="H855" s="120" t="s">
        <v>251</v>
      </c>
      <c r="I855" s="120">
        <v>358014.59125305904</v>
      </c>
      <c r="J855" s="120">
        <v>16959.167431126818</v>
      </c>
      <c r="K855" s="120" t="s">
        <v>251</v>
      </c>
      <c r="L855" s="120" t="s">
        <v>251</v>
      </c>
      <c r="M855" s="120">
        <v>2382.6209441083606</v>
      </c>
      <c r="N855" s="120" t="s">
        <v>251</v>
      </c>
      <c r="O855" s="120">
        <v>14576.546487018457</v>
      </c>
      <c r="P855" s="120">
        <v>13552.339956583779</v>
      </c>
      <c r="Q855" s="120">
        <v>1024.2065304346777</v>
      </c>
      <c r="R855" s="120"/>
      <c r="S855" s="121"/>
    </row>
    <row r="856" spans="1:19" ht="15">
      <c r="A856" s="105">
        <v>15</v>
      </c>
      <c r="B856" s="105"/>
      <c r="C856" s="107" t="s">
        <v>876</v>
      </c>
      <c r="D856" s="107" t="s">
        <v>502</v>
      </c>
      <c r="E856" s="120">
        <v>289961.82000000007</v>
      </c>
      <c r="F856" s="120" t="s">
        <v>251</v>
      </c>
      <c r="G856" s="120">
        <v>274796.75450507284</v>
      </c>
      <c r="H856" s="120" t="s">
        <v>251</v>
      </c>
      <c r="I856" s="120">
        <v>14479.185806345866</v>
      </c>
      <c r="J856" s="120">
        <v>685.87968858131387</v>
      </c>
      <c r="K856" s="120" t="s">
        <v>251</v>
      </c>
      <c r="L856" s="120" t="s">
        <v>251</v>
      </c>
      <c r="M856" s="120">
        <v>96.360350104980242</v>
      </c>
      <c r="N856" s="120" t="s">
        <v>251</v>
      </c>
      <c r="O856" s="120">
        <v>589.51933847633359</v>
      </c>
      <c r="P856" s="120">
        <v>548.09734892464428</v>
      </c>
      <c r="Q856" s="120">
        <v>41.421989551689315</v>
      </c>
      <c r="R856" s="120"/>
      <c r="S856" s="121"/>
    </row>
    <row r="857" spans="1:19" ht="15">
      <c r="A857" s="105">
        <v>16</v>
      </c>
      <c r="B857" s="105"/>
      <c r="C857" s="107" t="s">
        <v>877</v>
      </c>
      <c r="D857" s="107" t="s">
        <v>502</v>
      </c>
      <c r="E857" s="120">
        <v>60372.009999999995</v>
      </c>
      <c r="F857" s="120" t="s">
        <v>251</v>
      </c>
      <c r="G857" s="120">
        <v>57214.540903860376</v>
      </c>
      <c r="H857" s="120" t="s">
        <v>251</v>
      </c>
      <c r="I857" s="120">
        <v>3014.6643109515958</v>
      </c>
      <c r="J857" s="120">
        <v>142.80478518802221</v>
      </c>
      <c r="K857" s="120" t="s">
        <v>251</v>
      </c>
      <c r="L857" s="120" t="s">
        <v>251</v>
      </c>
      <c r="M857" s="120">
        <v>20.062875933601767</v>
      </c>
      <c r="N857" s="120" t="s">
        <v>251</v>
      </c>
      <c r="O857" s="120">
        <v>122.74190925442043</v>
      </c>
      <c r="P857" s="120">
        <v>114.11757116937709</v>
      </c>
      <c r="Q857" s="120">
        <v>8.6243380850433429</v>
      </c>
      <c r="R857" s="120"/>
      <c r="S857" s="121"/>
    </row>
    <row r="858" spans="1:19" ht="15">
      <c r="A858" s="105">
        <v>17</v>
      </c>
      <c r="B858" s="105"/>
      <c r="C858" s="107" t="s">
        <v>878</v>
      </c>
      <c r="D858" s="107" t="s">
        <v>502</v>
      </c>
      <c r="E858" s="120">
        <v>0</v>
      </c>
      <c r="F858" s="120" t="s">
        <v>251</v>
      </c>
      <c r="G858" s="120">
        <v>0</v>
      </c>
      <c r="H858" s="120" t="s">
        <v>251</v>
      </c>
      <c r="I858" s="120">
        <v>0</v>
      </c>
      <c r="J858" s="120">
        <v>0</v>
      </c>
      <c r="K858" s="120" t="s">
        <v>251</v>
      </c>
      <c r="L858" s="120" t="s">
        <v>251</v>
      </c>
      <c r="M858" s="120">
        <v>0</v>
      </c>
      <c r="N858" s="120" t="s">
        <v>251</v>
      </c>
      <c r="O858" s="120">
        <v>0</v>
      </c>
      <c r="P858" s="120">
        <v>0</v>
      </c>
      <c r="Q858" s="120">
        <v>0</v>
      </c>
      <c r="R858" s="120"/>
      <c r="S858" s="121"/>
    </row>
    <row r="859" spans="1:19" ht="15">
      <c r="A859" s="105">
        <v>18</v>
      </c>
      <c r="B859" s="105"/>
      <c r="C859" s="107" t="s">
        <v>879</v>
      </c>
      <c r="D859" s="107" t="s">
        <v>502</v>
      </c>
      <c r="E859" s="120">
        <v>0</v>
      </c>
      <c r="F859" s="120" t="s">
        <v>251</v>
      </c>
      <c r="G859" s="120">
        <v>0</v>
      </c>
      <c r="H859" s="120" t="s">
        <v>251</v>
      </c>
      <c r="I859" s="120">
        <v>0</v>
      </c>
      <c r="J859" s="120">
        <v>0</v>
      </c>
      <c r="K859" s="120" t="s">
        <v>251</v>
      </c>
      <c r="L859" s="120" t="s">
        <v>251</v>
      </c>
      <c r="M859" s="120">
        <v>0</v>
      </c>
      <c r="N859" s="120" t="s">
        <v>251</v>
      </c>
      <c r="O859" s="120">
        <v>0</v>
      </c>
      <c r="P859" s="120">
        <v>0</v>
      </c>
      <c r="Q859" s="120">
        <v>0</v>
      </c>
      <c r="R859" s="120"/>
      <c r="S859" s="121"/>
    </row>
    <row r="860" spans="1:19" ht="15">
      <c r="A860" s="105">
        <v>19</v>
      </c>
      <c r="B860" s="105"/>
      <c r="C860" s="107" t="s">
        <v>880</v>
      </c>
      <c r="D860" s="107" t="s">
        <v>502</v>
      </c>
      <c r="E860" s="120">
        <v>7739.3499999999995</v>
      </c>
      <c r="F860" s="120" t="s">
        <v>251</v>
      </c>
      <c r="G860" s="120">
        <v>7334.5803319169236</v>
      </c>
      <c r="H860" s="120" t="s">
        <v>251</v>
      </c>
      <c r="I860" s="120">
        <v>386.46290284128747</v>
      </c>
      <c r="J860" s="120">
        <v>18.3067652417887</v>
      </c>
      <c r="K860" s="120" t="s">
        <v>251</v>
      </c>
      <c r="L860" s="120" t="s">
        <v>251</v>
      </c>
      <c r="M860" s="120">
        <v>2.5719471466449577</v>
      </c>
      <c r="N860" s="120" t="s">
        <v>251</v>
      </c>
      <c r="O860" s="120">
        <v>15.734818095143741</v>
      </c>
      <c r="P860" s="120">
        <v>14.629226763026752</v>
      </c>
      <c r="Q860" s="120">
        <v>1.1055913321169895</v>
      </c>
      <c r="R860" s="120"/>
      <c r="S860" s="121"/>
    </row>
    <row r="861" spans="1:19" ht="15">
      <c r="A861" s="105" t="s">
        <v>251</v>
      </c>
      <c r="B861" s="105"/>
      <c r="C861" s="107" t="s">
        <v>251</v>
      </c>
      <c r="D861" s="107" t="s">
        <v>251</v>
      </c>
      <c r="E861" s="120" t="s">
        <v>251</v>
      </c>
      <c r="F861" s="120" t="s">
        <v>251</v>
      </c>
      <c r="G861" s="120" t="s">
        <v>251</v>
      </c>
      <c r="H861" s="120" t="s">
        <v>251</v>
      </c>
      <c r="I861" s="120" t="s">
        <v>251</v>
      </c>
      <c r="J861" s="120" t="s">
        <v>251</v>
      </c>
      <c r="K861" s="120" t="s">
        <v>251</v>
      </c>
      <c r="L861" s="120" t="s">
        <v>251</v>
      </c>
      <c r="M861" s="120" t="s">
        <v>251</v>
      </c>
      <c r="N861" s="120" t="s">
        <v>251</v>
      </c>
      <c r="O861" s="120" t="s">
        <v>251</v>
      </c>
      <c r="P861" s="120" t="s">
        <v>251</v>
      </c>
      <c r="Q861" s="120" t="s">
        <v>251</v>
      </c>
      <c r="R861" s="120"/>
      <c r="S861" s="121"/>
    </row>
    <row r="862" spans="1:19" ht="15">
      <c r="A862" s="105">
        <v>20</v>
      </c>
      <c r="B862" s="105"/>
      <c r="C862" s="107" t="s">
        <v>881</v>
      </c>
      <c r="D862" s="107" t="s">
        <v>502</v>
      </c>
      <c r="E862" s="120">
        <v>22117935.299999997</v>
      </c>
      <c r="F862" s="120" t="s">
        <v>251</v>
      </c>
      <c r="G862" s="120">
        <v>20961162.530960742</v>
      </c>
      <c r="H862" s="120" t="s">
        <v>251</v>
      </c>
      <c r="I862" s="120">
        <v>1104454.6997995675</v>
      </c>
      <c r="J862" s="120">
        <v>52318.069239686956</v>
      </c>
      <c r="K862" s="120" t="s">
        <v>251</v>
      </c>
      <c r="L862" s="120" t="s">
        <v>251</v>
      </c>
      <c r="M862" s="120">
        <v>7350.2504195459269</v>
      </c>
      <c r="N862" s="120" t="s">
        <v>251</v>
      </c>
      <c r="O862" s="120">
        <v>44967.81882014103</v>
      </c>
      <c r="P862" s="120">
        <v>41808.199788568047</v>
      </c>
      <c r="Q862" s="120">
        <v>3159.6190315729846</v>
      </c>
      <c r="R862" s="120"/>
      <c r="S862" s="121"/>
    </row>
    <row r="863" spans="1:19" ht="15">
      <c r="A863" s="105" t="s">
        <v>251</v>
      </c>
      <c r="B863" s="105"/>
      <c r="C863" s="107" t="s">
        <v>251</v>
      </c>
      <c r="D863" s="107" t="s">
        <v>251</v>
      </c>
      <c r="E863" s="120" t="s">
        <v>251</v>
      </c>
      <c r="F863" s="120" t="s">
        <v>251</v>
      </c>
      <c r="G863" s="120" t="s">
        <v>251</v>
      </c>
      <c r="H863" s="120" t="s">
        <v>251</v>
      </c>
      <c r="I863" s="120" t="s">
        <v>251</v>
      </c>
      <c r="J863" s="120" t="s">
        <v>251</v>
      </c>
      <c r="K863" s="120" t="s">
        <v>251</v>
      </c>
      <c r="L863" s="120" t="s">
        <v>251</v>
      </c>
      <c r="M863" s="120" t="s">
        <v>251</v>
      </c>
      <c r="N863" s="120" t="s">
        <v>251</v>
      </c>
      <c r="O863" s="120" t="s">
        <v>251</v>
      </c>
      <c r="P863" s="120" t="s">
        <v>251</v>
      </c>
      <c r="Q863" s="120" t="s">
        <v>251</v>
      </c>
      <c r="R863" s="120"/>
      <c r="S863" s="121"/>
    </row>
    <row r="864" spans="1:19" ht="15">
      <c r="A864" s="105">
        <v>21</v>
      </c>
      <c r="B864" s="105"/>
      <c r="C864" s="107" t="s">
        <v>882</v>
      </c>
      <c r="D864" s="107" t="s">
        <v>251</v>
      </c>
      <c r="E864" s="120">
        <v>90193625.979999989</v>
      </c>
      <c r="F864" s="120" t="s">
        <v>251</v>
      </c>
      <c r="G864" s="120">
        <v>80697273.867366582</v>
      </c>
      <c r="H864" s="120" t="s">
        <v>251</v>
      </c>
      <c r="I864" s="120">
        <v>4181547.6417376106</v>
      </c>
      <c r="J864" s="120">
        <v>5314804.4708957998</v>
      </c>
      <c r="K864" s="120" t="s">
        <v>251</v>
      </c>
      <c r="L864" s="120" t="s">
        <v>251</v>
      </c>
      <c r="M864" s="120">
        <v>7568.6862777431088</v>
      </c>
      <c r="N864" s="120" t="s">
        <v>251</v>
      </c>
      <c r="O864" s="120">
        <v>5307235.7846180564</v>
      </c>
      <c r="P864" s="120">
        <v>1688199.200679447</v>
      </c>
      <c r="Q864" s="120">
        <v>3619036.5839386093</v>
      </c>
      <c r="R864" s="120"/>
      <c r="S864" s="121"/>
    </row>
    <row r="865" spans="1:19" ht="15">
      <c r="A865" s="105" t="s">
        <v>251</v>
      </c>
      <c r="B865" s="105"/>
      <c r="C865" s="107" t="s">
        <v>251</v>
      </c>
      <c r="D865" s="107" t="s">
        <v>251</v>
      </c>
      <c r="E865" s="120" t="s">
        <v>251</v>
      </c>
      <c r="F865" s="120" t="s">
        <v>251</v>
      </c>
      <c r="G865" s="120" t="s">
        <v>251</v>
      </c>
      <c r="H865" s="120" t="s">
        <v>251</v>
      </c>
      <c r="I865" s="120" t="s">
        <v>251</v>
      </c>
      <c r="J865" s="120" t="s">
        <v>251</v>
      </c>
      <c r="K865" s="120" t="s">
        <v>251</v>
      </c>
      <c r="L865" s="120" t="s">
        <v>251</v>
      </c>
      <c r="M865" s="120" t="s">
        <v>251</v>
      </c>
      <c r="N865" s="120" t="s">
        <v>251</v>
      </c>
      <c r="O865" s="120" t="s">
        <v>251</v>
      </c>
      <c r="P865" s="120" t="s">
        <v>251</v>
      </c>
      <c r="Q865" s="120" t="s">
        <v>251</v>
      </c>
      <c r="R865" s="120"/>
      <c r="S865" s="121"/>
    </row>
    <row r="866" spans="1:19" ht="15">
      <c r="A866" s="105" t="s">
        <v>251</v>
      </c>
      <c r="B866" s="105"/>
      <c r="C866" s="107" t="s">
        <v>251</v>
      </c>
      <c r="D866" s="107" t="s">
        <v>251</v>
      </c>
      <c r="E866" s="120" t="s">
        <v>251</v>
      </c>
      <c r="F866" s="120" t="s">
        <v>251</v>
      </c>
      <c r="G866" s="120" t="s">
        <v>251</v>
      </c>
      <c r="H866" s="120" t="s">
        <v>251</v>
      </c>
      <c r="I866" s="120" t="s">
        <v>251</v>
      </c>
      <c r="J866" s="120" t="s">
        <v>251</v>
      </c>
      <c r="K866" s="120" t="s">
        <v>251</v>
      </c>
      <c r="L866" s="120" t="s">
        <v>251</v>
      </c>
      <c r="M866" s="120" t="s">
        <v>251</v>
      </c>
      <c r="N866" s="120" t="s">
        <v>251</v>
      </c>
      <c r="O866" s="120" t="s">
        <v>251</v>
      </c>
      <c r="P866" s="120" t="s">
        <v>251</v>
      </c>
      <c r="Q866" s="120" t="s">
        <v>251</v>
      </c>
      <c r="R866" s="120"/>
      <c r="S866" s="121"/>
    </row>
    <row r="867" spans="1:19" ht="15">
      <c r="A867" s="105" t="s">
        <v>251</v>
      </c>
      <c r="B867" s="105"/>
      <c r="C867" s="107" t="s">
        <v>251</v>
      </c>
      <c r="D867" s="107" t="s">
        <v>251</v>
      </c>
      <c r="E867" s="120" t="s">
        <v>251</v>
      </c>
      <c r="F867" s="120" t="s">
        <v>251</v>
      </c>
      <c r="G867" s="120" t="s">
        <v>251</v>
      </c>
      <c r="H867" s="120" t="s">
        <v>251</v>
      </c>
      <c r="I867" s="120" t="s">
        <v>251</v>
      </c>
      <c r="J867" s="120" t="s">
        <v>251</v>
      </c>
      <c r="K867" s="120" t="s">
        <v>251</v>
      </c>
      <c r="L867" s="120" t="s">
        <v>251</v>
      </c>
      <c r="M867" s="120" t="s">
        <v>251</v>
      </c>
      <c r="N867" s="120" t="s">
        <v>251</v>
      </c>
      <c r="O867" s="120" t="s">
        <v>251</v>
      </c>
      <c r="P867" s="120" t="s">
        <v>251</v>
      </c>
      <c r="Q867" s="120" t="s">
        <v>251</v>
      </c>
      <c r="R867" s="120"/>
      <c r="S867" s="121"/>
    </row>
    <row r="868" spans="1:19" ht="15">
      <c r="A868" s="105" t="s">
        <v>251</v>
      </c>
      <c r="B868" s="105"/>
      <c r="C868" s="107" t="s">
        <v>251</v>
      </c>
      <c r="D868" s="107" t="s">
        <v>251</v>
      </c>
      <c r="E868" s="120" t="s">
        <v>251</v>
      </c>
      <c r="F868" s="120" t="s">
        <v>251</v>
      </c>
      <c r="G868" s="120" t="s">
        <v>251</v>
      </c>
      <c r="H868" s="120" t="s">
        <v>251</v>
      </c>
      <c r="I868" s="120" t="s">
        <v>251</v>
      </c>
      <c r="J868" s="120" t="s">
        <v>251</v>
      </c>
      <c r="K868" s="120" t="s">
        <v>251</v>
      </c>
      <c r="L868" s="120" t="s">
        <v>251</v>
      </c>
      <c r="M868" s="120" t="s">
        <v>251</v>
      </c>
      <c r="N868" s="120" t="s">
        <v>251</v>
      </c>
      <c r="O868" s="120" t="s">
        <v>251</v>
      </c>
      <c r="P868" s="120" t="s">
        <v>251</v>
      </c>
      <c r="Q868" s="120" t="s">
        <v>251</v>
      </c>
      <c r="R868" s="120"/>
      <c r="S868" s="121"/>
    </row>
    <row r="869" spans="1:19" ht="15">
      <c r="A869" s="105" t="s">
        <v>251</v>
      </c>
      <c r="B869" s="105"/>
      <c r="C869" s="107" t="s">
        <v>883</v>
      </c>
      <c r="D869" s="107" t="s">
        <v>251</v>
      </c>
      <c r="E869" s="120" t="s">
        <v>251</v>
      </c>
      <c r="F869" s="120" t="s">
        <v>251</v>
      </c>
      <c r="G869" s="120" t="s">
        <v>251</v>
      </c>
      <c r="H869" s="120" t="s">
        <v>251</v>
      </c>
      <c r="I869" s="120" t="s">
        <v>251</v>
      </c>
      <c r="J869" s="120" t="s">
        <v>251</v>
      </c>
      <c r="K869" s="120" t="s">
        <v>251</v>
      </c>
      <c r="L869" s="120" t="s">
        <v>251</v>
      </c>
      <c r="M869" s="120" t="s">
        <v>251</v>
      </c>
      <c r="N869" s="120" t="s">
        <v>251</v>
      </c>
      <c r="O869" s="120" t="s">
        <v>251</v>
      </c>
      <c r="P869" s="120" t="s">
        <v>251</v>
      </c>
      <c r="Q869" s="120" t="s">
        <v>251</v>
      </c>
      <c r="R869" s="120"/>
      <c r="S869" s="121"/>
    </row>
    <row r="870" spans="1:19" ht="15">
      <c r="A870" s="105">
        <v>1</v>
      </c>
      <c r="B870" s="105"/>
      <c r="C870" s="107" t="s">
        <v>884</v>
      </c>
      <c r="D870" s="107" t="s">
        <v>885</v>
      </c>
      <c r="E870" s="120">
        <v>3646636.1300000004</v>
      </c>
      <c r="F870" s="120" t="s">
        <v>251</v>
      </c>
      <c r="G870" s="120">
        <v>3462243.6929691685</v>
      </c>
      <c r="H870" s="120" t="s">
        <v>251</v>
      </c>
      <c r="I870" s="120">
        <v>181067.36689596967</v>
      </c>
      <c r="J870" s="120">
        <v>3325.070134862166</v>
      </c>
      <c r="K870" s="120" t="s">
        <v>251</v>
      </c>
      <c r="L870" s="120" t="s">
        <v>251</v>
      </c>
      <c r="M870" s="120">
        <v>24.025073228772879</v>
      </c>
      <c r="N870" s="120" t="s">
        <v>251</v>
      </c>
      <c r="O870" s="120">
        <v>3301.0450616333933</v>
      </c>
      <c r="P870" s="120">
        <v>1710.5852138886289</v>
      </c>
      <c r="Q870" s="120">
        <v>1590.4598477447644</v>
      </c>
      <c r="R870" s="120"/>
      <c r="S870" s="121"/>
    </row>
    <row r="871" spans="1:19" ht="15">
      <c r="A871" s="105">
        <v>2</v>
      </c>
      <c r="B871" s="105"/>
      <c r="C871" s="107" t="s">
        <v>886</v>
      </c>
      <c r="D871" s="107" t="s">
        <v>885</v>
      </c>
      <c r="E871" s="120">
        <v>724456.14</v>
      </c>
      <c r="F871" s="120" t="s">
        <v>251</v>
      </c>
      <c r="G871" s="120">
        <v>687823.95943293325</v>
      </c>
      <c r="H871" s="120" t="s">
        <v>251</v>
      </c>
      <c r="I871" s="120">
        <v>35971.608086222179</v>
      </c>
      <c r="J871" s="120">
        <v>660.57248084456512</v>
      </c>
      <c r="K871" s="120" t="s">
        <v>251</v>
      </c>
      <c r="L871" s="120" t="s">
        <v>251</v>
      </c>
      <c r="M871" s="120">
        <v>4.7729225494549503</v>
      </c>
      <c r="N871" s="120" t="s">
        <v>251</v>
      </c>
      <c r="O871" s="120">
        <v>655.79955829511016</v>
      </c>
      <c r="P871" s="120">
        <v>339.83208552119248</v>
      </c>
      <c r="Q871" s="120">
        <v>315.96747277391768</v>
      </c>
      <c r="R871" s="120"/>
      <c r="S871" s="121"/>
    </row>
    <row r="872" spans="1:19" ht="15">
      <c r="A872" s="105">
        <v>3</v>
      </c>
      <c r="B872" s="105"/>
      <c r="C872" s="107" t="s">
        <v>887</v>
      </c>
      <c r="D872" s="107" t="s">
        <v>885</v>
      </c>
      <c r="E872" s="120">
        <v>12344801.879999999</v>
      </c>
      <c r="F872" s="120" t="s">
        <v>251</v>
      </c>
      <c r="G872" s="120">
        <v>11720586.021283107</v>
      </c>
      <c r="H872" s="120" t="s">
        <v>251</v>
      </c>
      <c r="I872" s="120">
        <v>612959.64049586048</v>
      </c>
      <c r="J872" s="120">
        <v>11256.218221031642</v>
      </c>
      <c r="K872" s="120" t="s">
        <v>251</v>
      </c>
      <c r="L872" s="120" t="s">
        <v>251</v>
      </c>
      <c r="M872" s="120">
        <v>81.33105651034424</v>
      </c>
      <c r="N872" s="120" t="s">
        <v>251</v>
      </c>
      <c r="O872" s="120">
        <v>11174.887164521298</v>
      </c>
      <c r="P872" s="120">
        <v>5790.7712235365107</v>
      </c>
      <c r="Q872" s="120">
        <v>5384.1159409847878</v>
      </c>
      <c r="R872" s="120"/>
      <c r="S872" s="121"/>
    </row>
    <row r="873" spans="1:19" ht="15">
      <c r="A873" s="105">
        <v>4</v>
      </c>
      <c r="B873" s="105"/>
      <c r="C873" s="107" t="s">
        <v>888</v>
      </c>
      <c r="D873" s="107" t="s">
        <v>885</v>
      </c>
      <c r="E873" s="120">
        <v>0</v>
      </c>
      <c r="F873" s="120" t="s">
        <v>251</v>
      </c>
      <c r="G873" s="120">
        <v>0</v>
      </c>
      <c r="H873" s="120" t="s">
        <v>251</v>
      </c>
      <c r="I873" s="120">
        <v>0</v>
      </c>
      <c r="J873" s="120">
        <v>0</v>
      </c>
      <c r="K873" s="120" t="s">
        <v>251</v>
      </c>
      <c r="L873" s="120" t="s">
        <v>251</v>
      </c>
      <c r="M873" s="120">
        <v>0</v>
      </c>
      <c r="N873" s="120" t="s">
        <v>251</v>
      </c>
      <c r="O873" s="120">
        <v>0</v>
      </c>
      <c r="P873" s="120">
        <v>0</v>
      </c>
      <c r="Q873" s="120">
        <v>0</v>
      </c>
      <c r="R873" s="120"/>
      <c r="S873" s="121"/>
    </row>
    <row r="874" spans="1:19" ht="15">
      <c r="A874" s="105">
        <v>5</v>
      </c>
      <c r="B874" s="105"/>
      <c r="C874" s="107" t="s">
        <v>889</v>
      </c>
      <c r="D874" s="107" t="s">
        <v>885</v>
      </c>
      <c r="E874" s="120">
        <v>495.45999999999992</v>
      </c>
      <c r="F874" s="120" t="s">
        <v>251</v>
      </c>
      <c r="G874" s="120">
        <v>470.40702690523278</v>
      </c>
      <c r="H874" s="120" t="s">
        <v>251</v>
      </c>
      <c r="I874" s="120">
        <v>24.601203521305845</v>
      </c>
      <c r="J874" s="120">
        <v>0.45176957346133917</v>
      </c>
      <c r="K874" s="120" t="s">
        <v>251</v>
      </c>
      <c r="L874" s="120" t="s">
        <v>251</v>
      </c>
      <c r="M874" s="120">
        <v>3.2642310221195031E-3</v>
      </c>
      <c r="N874" s="120" t="s">
        <v>251</v>
      </c>
      <c r="O874" s="120">
        <v>0.44850534243921969</v>
      </c>
      <c r="P874" s="120">
        <v>0.23241324877490863</v>
      </c>
      <c r="Q874" s="120">
        <v>0.21609209366431106</v>
      </c>
      <c r="R874" s="120"/>
      <c r="S874" s="121"/>
    </row>
    <row r="875" spans="1:19" ht="15">
      <c r="A875" s="105" t="s">
        <v>251</v>
      </c>
      <c r="B875" s="105"/>
      <c r="C875" s="107" t="s">
        <v>251</v>
      </c>
      <c r="D875" s="107" t="s">
        <v>251</v>
      </c>
      <c r="E875" s="120" t="s">
        <v>251</v>
      </c>
      <c r="F875" s="120" t="s">
        <v>251</v>
      </c>
      <c r="G875" s="120" t="s">
        <v>251</v>
      </c>
      <c r="H875" s="120" t="s">
        <v>251</v>
      </c>
      <c r="I875" s="120" t="s">
        <v>251</v>
      </c>
      <c r="J875" s="120" t="s">
        <v>251</v>
      </c>
      <c r="K875" s="120" t="s">
        <v>251</v>
      </c>
      <c r="L875" s="120" t="s">
        <v>251</v>
      </c>
      <c r="M875" s="120" t="s">
        <v>251</v>
      </c>
      <c r="N875" s="120" t="s">
        <v>251</v>
      </c>
      <c r="O875" s="120" t="s">
        <v>251</v>
      </c>
      <c r="P875" s="120" t="s">
        <v>251</v>
      </c>
      <c r="Q875" s="120" t="s">
        <v>251</v>
      </c>
      <c r="R875" s="120"/>
      <c r="S875" s="121"/>
    </row>
    <row r="876" spans="1:19" ht="15">
      <c r="A876" s="105">
        <v>6</v>
      </c>
      <c r="B876" s="105"/>
      <c r="C876" s="107" t="s">
        <v>890</v>
      </c>
      <c r="D876" s="107" t="s">
        <v>251</v>
      </c>
      <c r="E876" s="120">
        <v>16716389.609999999</v>
      </c>
      <c r="F876" s="120" t="s">
        <v>251</v>
      </c>
      <c r="G876" s="120">
        <v>15871124.080712114</v>
      </c>
      <c r="H876" s="120" t="s">
        <v>251</v>
      </c>
      <c r="I876" s="120">
        <v>830023.21668157354</v>
      </c>
      <c r="J876" s="120">
        <v>15242.312606311832</v>
      </c>
      <c r="K876" s="120" t="s">
        <v>251</v>
      </c>
      <c r="L876" s="120" t="s">
        <v>251</v>
      </c>
      <c r="M876" s="120">
        <v>110.13231651959418</v>
      </c>
      <c r="N876" s="120" t="s">
        <v>251</v>
      </c>
      <c r="O876" s="120">
        <v>15132.180289792239</v>
      </c>
      <c r="P876" s="120">
        <v>7841.4209361951062</v>
      </c>
      <c r="Q876" s="120">
        <v>7290.7593535971337</v>
      </c>
      <c r="R876" s="120"/>
      <c r="S876" s="121"/>
    </row>
    <row r="877" spans="1:19" ht="15">
      <c r="A877" s="105" t="s">
        <v>251</v>
      </c>
      <c r="B877" s="105"/>
      <c r="C877" s="107" t="s">
        <v>251</v>
      </c>
      <c r="D877" s="107" t="s">
        <v>251</v>
      </c>
      <c r="E877" s="120" t="s">
        <v>251</v>
      </c>
      <c r="F877" s="120" t="s">
        <v>251</v>
      </c>
      <c r="G877" s="120" t="s">
        <v>251</v>
      </c>
      <c r="H877" s="120" t="s">
        <v>251</v>
      </c>
      <c r="I877" s="120" t="s">
        <v>251</v>
      </c>
      <c r="J877" s="120" t="s">
        <v>251</v>
      </c>
      <c r="K877" s="120" t="s">
        <v>251</v>
      </c>
      <c r="L877" s="120" t="s">
        <v>251</v>
      </c>
      <c r="M877" s="120" t="s">
        <v>251</v>
      </c>
      <c r="N877" s="120" t="s">
        <v>251</v>
      </c>
      <c r="O877" s="120" t="s">
        <v>251</v>
      </c>
      <c r="P877" s="120" t="s">
        <v>251</v>
      </c>
      <c r="Q877" s="120" t="s">
        <v>251</v>
      </c>
      <c r="R877" s="120"/>
      <c r="S877" s="121"/>
    </row>
    <row r="878" spans="1:19" ht="15">
      <c r="A878" s="105" t="s">
        <v>251</v>
      </c>
      <c r="B878" s="105"/>
      <c r="C878" s="107" t="s">
        <v>891</v>
      </c>
      <c r="D878" s="107" t="s">
        <v>251</v>
      </c>
      <c r="E878" s="120" t="s">
        <v>251</v>
      </c>
      <c r="F878" s="120" t="s">
        <v>251</v>
      </c>
      <c r="G878" s="120" t="s">
        <v>251</v>
      </c>
      <c r="H878" s="120" t="s">
        <v>251</v>
      </c>
      <c r="I878" s="120" t="s">
        <v>251</v>
      </c>
      <c r="J878" s="120" t="s">
        <v>251</v>
      </c>
      <c r="K878" s="120" t="s">
        <v>251</v>
      </c>
      <c r="L878" s="120" t="s">
        <v>251</v>
      </c>
      <c r="M878" s="120" t="s">
        <v>251</v>
      </c>
      <c r="N878" s="120" t="s">
        <v>251</v>
      </c>
      <c r="O878" s="120" t="s">
        <v>251</v>
      </c>
      <c r="P878" s="120" t="s">
        <v>251</v>
      </c>
      <c r="Q878" s="120" t="s">
        <v>251</v>
      </c>
      <c r="R878" s="120"/>
      <c r="S878" s="121"/>
    </row>
    <row r="879" spans="1:19" ht="15">
      <c r="A879" s="105">
        <v>7</v>
      </c>
      <c r="B879" s="105"/>
      <c r="C879" s="107" t="s">
        <v>892</v>
      </c>
      <c r="D879" s="107" t="s">
        <v>893</v>
      </c>
      <c r="E879" s="120">
        <v>577712.96</v>
      </c>
      <c r="F879" s="120" t="s">
        <v>251</v>
      </c>
      <c r="G879" s="120">
        <v>575095.45519778854</v>
      </c>
      <c r="H879" s="120" t="s">
        <v>251</v>
      </c>
      <c r="I879" s="120">
        <v>2617.2256116259105</v>
      </c>
      <c r="J879" s="120">
        <v>0.27919058545950748</v>
      </c>
      <c r="K879" s="120" t="s">
        <v>251</v>
      </c>
      <c r="L879" s="120" t="s">
        <v>251</v>
      </c>
      <c r="M879" s="120">
        <v>0.27919058545950748</v>
      </c>
      <c r="N879" s="120" t="s">
        <v>251</v>
      </c>
      <c r="O879" s="120">
        <v>0</v>
      </c>
      <c r="P879" s="120">
        <v>0</v>
      </c>
      <c r="Q879" s="120">
        <v>0</v>
      </c>
      <c r="R879" s="120"/>
      <c r="S879" s="121"/>
    </row>
    <row r="880" spans="1:19" ht="15">
      <c r="A880" s="105">
        <v>8</v>
      </c>
      <c r="B880" s="105"/>
      <c r="C880" s="107" t="s">
        <v>894</v>
      </c>
      <c r="D880" s="107" t="s">
        <v>893</v>
      </c>
      <c r="E880" s="120">
        <v>1499472.5699999998</v>
      </c>
      <c r="F880" s="120" t="s">
        <v>251</v>
      </c>
      <c r="G880" s="120">
        <v>1492678.7520929908</v>
      </c>
      <c r="H880" s="120" t="s">
        <v>251</v>
      </c>
      <c r="I880" s="120">
        <v>6793.0932588642736</v>
      </c>
      <c r="J880" s="120">
        <v>0.72464814481359796</v>
      </c>
      <c r="K880" s="120" t="s">
        <v>251</v>
      </c>
      <c r="L880" s="120" t="s">
        <v>251</v>
      </c>
      <c r="M880" s="120">
        <v>0.72464814481359796</v>
      </c>
      <c r="N880" s="120" t="s">
        <v>251</v>
      </c>
      <c r="O880" s="120">
        <v>0</v>
      </c>
      <c r="P880" s="120">
        <v>0</v>
      </c>
      <c r="Q880" s="120">
        <v>0</v>
      </c>
      <c r="R880" s="120"/>
      <c r="S880" s="121"/>
    </row>
    <row r="881" spans="1:19" ht="15">
      <c r="A881" s="105">
        <v>9</v>
      </c>
      <c r="B881" s="105"/>
      <c r="C881" s="107" t="s">
        <v>895</v>
      </c>
      <c r="D881" s="107" t="s">
        <v>893</v>
      </c>
      <c r="E881" s="120">
        <v>0</v>
      </c>
      <c r="F881" s="120" t="s">
        <v>251</v>
      </c>
      <c r="G881" s="120">
        <v>0</v>
      </c>
      <c r="H881" s="120" t="s">
        <v>251</v>
      </c>
      <c r="I881" s="120">
        <v>0</v>
      </c>
      <c r="J881" s="120">
        <v>0</v>
      </c>
      <c r="K881" s="120" t="s">
        <v>251</v>
      </c>
      <c r="L881" s="120" t="s">
        <v>251</v>
      </c>
      <c r="M881" s="120">
        <v>0</v>
      </c>
      <c r="N881" s="120" t="s">
        <v>251</v>
      </c>
      <c r="O881" s="120">
        <v>0</v>
      </c>
      <c r="P881" s="120">
        <v>0</v>
      </c>
      <c r="Q881" s="120">
        <v>0</v>
      </c>
      <c r="R881" s="120"/>
      <c r="S881" s="121"/>
    </row>
    <row r="882" spans="1:19" ht="15">
      <c r="A882" s="105">
        <v>10</v>
      </c>
      <c r="B882" s="105"/>
      <c r="C882" s="107" t="s">
        <v>896</v>
      </c>
      <c r="D882" s="107" t="s">
        <v>893</v>
      </c>
      <c r="E882" s="120">
        <v>0</v>
      </c>
      <c r="F882" s="120" t="s">
        <v>251</v>
      </c>
      <c r="G882" s="120">
        <v>0</v>
      </c>
      <c r="H882" s="120" t="s">
        <v>251</v>
      </c>
      <c r="I882" s="120">
        <v>0</v>
      </c>
      <c r="J882" s="120">
        <v>0</v>
      </c>
      <c r="K882" s="120" t="s">
        <v>251</v>
      </c>
      <c r="L882" s="120" t="s">
        <v>251</v>
      </c>
      <c r="M882" s="120">
        <v>0</v>
      </c>
      <c r="N882" s="120" t="s">
        <v>251</v>
      </c>
      <c r="O882" s="120">
        <v>0</v>
      </c>
      <c r="P882" s="120">
        <v>0</v>
      </c>
      <c r="Q882" s="120">
        <v>0</v>
      </c>
      <c r="R882" s="120"/>
      <c r="S882" s="121"/>
    </row>
    <row r="883" spans="1:19" ht="15">
      <c r="A883" s="105">
        <v>11</v>
      </c>
      <c r="B883" s="105"/>
      <c r="C883" s="107" t="s">
        <v>897</v>
      </c>
      <c r="D883" s="107" t="s">
        <v>893</v>
      </c>
      <c r="E883" s="120">
        <v>0</v>
      </c>
      <c r="F883" s="120" t="s">
        <v>251</v>
      </c>
      <c r="G883" s="120">
        <v>0</v>
      </c>
      <c r="H883" s="120" t="s">
        <v>251</v>
      </c>
      <c r="I883" s="120">
        <v>0</v>
      </c>
      <c r="J883" s="120">
        <v>0</v>
      </c>
      <c r="K883" s="120" t="s">
        <v>251</v>
      </c>
      <c r="L883" s="120" t="s">
        <v>251</v>
      </c>
      <c r="M883" s="120">
        <v>0</v>
      </c>
      <c r="N883" s="120" t="s">
        <v>251</v>
      </c>
      <c r="O883" s="120">
        <v>0</v>
      </c>
      <c r="P883" s="120">
        <v>0</v>
      </c>
      <c r="Q883" s="120">
        <v>0</v>
      </c>
      <c r="R883" s="120"/>
      <c r="S883" s="121"/>
    </row>
    <row r="884" spans="1:19" ht="15">
      <c r="A884" s="105">
        <v>12</v>
      </c>
      <c r="B884" s="105"/>
      <c r="C884" s="107" t="s">
        <v>898</v>
      </c>
      <c r="D884" s="107" t="s">
        <v>893</v>
      </c>
      <c r="E884" s="120">
        <v>0</v>
      </c>
      <c r="F884" s="120" t="s">
        <v>251</v>
      </c>
      <c r="G884" s="120">
        <v>0</v>
      </c>
      <c r="H884" s="120" t="s">
        <v>251</v>
      </c>
      <c r="I884" s="120">
        <v>0</v>
      </c>
      <c r="J884" s="120">
        <v>0</v>
      </c>
      <c r="K884" s="120" t="s">
        <v>251</v>
      </c>
      <c r="L884" s="120" t="s">
        <v>251</v>
      </c>
      <c r="M884" s="120">
        <v>0</v>
      </c>
      <c r="N884" s="120" t="s">
        <v>251</v>
      </c>
      <c r="O884" s="120">
        <v>0</v>
      </c>
      <c r="P884" s="120">
        <v>0</v>
      </c>
      <c r="Q884" s="120">
        <v>0</v>
      </c>
      <c r="R884" s="120"/>
      <c r="S884" s="121"/>
    </row>
    <row r="885" spans="1:19" ht="15">
      <c r="A885" s="105">
        <v>13</v>
      </c>
      <c r="B885" s="105"/>
      <c r="C885" s="107" t="s">
        <v>899</v>
      </c>
      <c r="D885" s="107" t="s">
        <v>893</v>
      </c>
      <c r="E885" s="120">
        <v>0</v>
      </c>
      <c r="F885" s="120" t="s">
        <v>251</v>
      </c>
      <c r="G885" s="120">
        <v>0</v>
      </c>
      <c r="H885" s="120" t="s">
        <v>251</v>
      </c>
      <c r="I885" s="120">
        <v>0</v>
      </c>
      <c r="J885" s="120">
        <v>0</v>
      </c>
      <c r="K885" s="120" t="s">
        <v>251</v>
      </c>
      <c r="L885" s="120" t="s">
        <v>251</v>
      </c>
      <c r="M885" s="120">
        <v>0</v>
      </c>
      <c r="N885" s="120" t="s">
        <v>251</v>
      </c>
      <c r="O885" s="120">
        <v>0</v>
      </c>
      <c r="P885" s="120">
        <v>0</v>
      </c>
      <c r="Q885" s="120">
        <v>0</v>
      </c>
      <c r="R885" s="120"/>
      <c r="S885" s="121"/>
    </row>
    <row r="886" spans="1:19" ht="15">
      <c r="A886" s="105" t="s">
        <v>251</v>
      </c>
      <c r="B886" s="105"/>
      <c r="C886" s="107" t="s">
        <v>251</v>
      </c>
      <c r="D886" s="107" t="s">
        <v>251</v>
      </c>
      <c r="E886" s="120" t="s">
        <v>251</v>
      </c>
      <c r="F886" s="120" t="s">
        <v>251</v>
      </c>
      <c r="G886" s="120" t="s">
        <v>251</v>
      </c>
      <c r="H886" s="120" t="s">
        <v>251</v>
      </c>
      <c r="I886" s="120" t="s">
        <v>251</v>
      </c>
      <c r="J886" s="120" t="s">
        <v>251</v>
      </c>
      <c r="K886" s="120" t="s">
        <v>251</v>
      </c>
      <c r="L886" s="120" t="s">
        <v>251</v>
      </c>
      <c r="M886" s="120" t="s">
        <v>251</v>
      </c>
      <c r="N886" s="120" t="s">
        <v>251</v>
      </c>
      <c r="O886" s="120" t="s">
        <v>251</v>
      </c>
      <c r="P886" s="120" t="s">
        <v>251</v>
      </c>
      <c r="Q886" s="120" t="s">
        <v>251</v>
      </c>
      <c r="R886" s="120"/>
      <c r="S886" s="121"/>
    </row>
    <row r="887" spans="1:19" ht="15">
      <c r="A887" s="105">
        <v>14</v>
      </c>
      <c r="B887" s="105"/>
      <c r="C887" s="107" t="s">
        <v>900</v>
      </c>
      <c r="D887" s="107" t="s">
        <v>251</v>
      </c>
      <c r="E887" s="120">
        <v>2077185.5299999998</v>
      </c>
      <c r="F887" s="120" t="s">
        <v>251</v>
      </c>
      <c r="G887" s="120">
        <v>2067774.2072907793</v>
      </c>
      <c r="H887" s="120" t="s">
        <v>251</v>
      </c>
      <c r="I887" s="120">
        <v>9410.3188704901841</v>
      </c>
      <c r="J887" s="120">
        <v>1.0038387302731056</v>
      </c>
      <c r="K887" s="120" t="s">
        <v>251</v>
      </c>
      <c r="L887" s="120" t="s">
        <v>251</v>
      </c>
      <c r="M887" s="120">
        <v>1.0038387302731056</v>
      </c>
      <c r="N887" s="120" t="s">
        <v>251</v>
      </c>
      <c r="O887" s="120">
        <v>0</v>
      </c>
      <c r="P887" s="120">
        <v>0</v>
      </c>
      <c r="Q887" s="120">
        <v>0</v>
      </c>
      <c r="R887" s="120"/>
      <c r="S887" s="121"/>
    </row>
    <row r="888" spans="1:19" ht="15">
      <c r="A888" s="105" t="s">
        <v>251</v>
      </c>
      <c r="B888" s="105"/>
      <c r="C888" s="107" t="s">
        <v>251</v>
      </c>
      <c r="D888" s="107" t="s">
        <v>251</v>
      </c>
      <c r="E888" s="120" t="s">
        <v>251</v>
      </c>
      <c r="F888" s="120" t="s">
        <v>251</v>
      </c>
      <c r="G888" s="120" t="s">
        <v>251</v>
      </c>
      <c r="H888" s="120" t="s">
        <v>251</v>
      </c>
      <c r="I888" s="120" t="s">
        <v>251</v>
      </c>
      <c r="J888" s="120" t="s">
        <v>251</v>
      </c>
      <c r="K888" s="120" t="s">
        <v>251</v>
      </c>
      <c r="L888" s="120" t="s">
        <v>251</v>
      </c>
      <c r="M888" s="120" t="s">
        <v>251</v>
      </c>
      <c r="N888" s="120" t="s">
        <v>251</v>
      </c>
      <c r="O888" s="120" t="s">
        <v>251</v>
      </c>
      <c r="P888" s="120" t="s">
        <v>251</v>
      </c>
      <c r="Q888" s="120" t="s">
        <v>251</v>
      </c>
      <c r="R888" s="120"/>
      <c r="S888" s="121"/>
    </row>
    <row r="889" spans="1:19" ht="15">
      <c r="A889" s="105">
        <v>15</v>
      </c>
      <c r="B889" s="105"/>
      <c r="C889" s="107" t="s">
        <v>901</v>
      </c>
      <c r="D889" s="107" t="s">
        <v>251</v>
      </c>
      <c r="E889" s="120">
        <v>108987201.12</v>
      </c>
      <c r="F889" s="120" t="s">
        <v>251</v>
      </c>
      <c r="G889" s="120">
        <v>98636172.155369475</v>
      </c>
      <c r="H889" s="120" t="s">
        <v>251</v>
      </c>
      <c r="I889" s="120">
        <v>5020981.1772896741</v>
      </c>
      <c r="J889" s="120">
        <v>5330047.7873408422</v>
      </c>
      <c r="K889" s="120" t="s">
        <v>251</v>
      </c>
      <c r="L889" s="120" t="s">
        <v>251</v>
      </c>
      <c r="M889" s="120">
        <v>7679.8224329929762</v>
      </c>
      <c r="N889" s="120" t="s">
        <v>251</v>
      </c>
      <c r="O889" s="120">
        <v>5322367.9649078492</v>
      </c>
      <c r="P889" s="120">
        <v>1696040.6216156422</v>
      </c>
      <c r="Q889" s="120">
        <v>3626327.3432922065</v>
      </c>
      <c r="R889" s="120"/>
      <c r="S889" s="121"/>
    </row>
    <row r="890" spans="1:19" ht="15">
      <c r="A890" s="105" t="s">
        <v>251</v>
      </c>
      <c r="B890" s="105"/>
      <c r="C890" s="107" t="s">
        <v>251</v>
      </c>
      <c r="D890" s="107" t="s">
        <v>251</v>
      </c>
      <c r="E890" s="120" t="s">
        <v>251</v>
      </c>
      <c r="F890" s="120" t="s">
        <v>251</v>
      </c>
      <c r="G890" s="120" t="s">
        <v>251</v>
      </c>
      <c r="H890" s="120" t="s">
        <v>251</v>
      </c>
      <c r="I890" s="120" t="s">
        <v>251</v>
      </c>
      <c r="J890" s="120" t="s">
        <v>251</v>
      </c>
      <c r="K890" s="120" t="s">
        <v>251</v>
      </c>
      <c r="L890" s="120" t="s">
        <v>251</v>
      </c>
      <c r="M890" s="120" t="s">
        <v>251</v>
      </c>
      <c r="N890" s="120" t="s">
        <v>251</v>
      </c>
      <c r="O890" s="120" t="s">
        <v>251</v>
      </c>
      <c r="P890" s="120" t="s">
        <v>251</v>
      </c>
      <c r="Q890" s="120" t="s">
        <v>251</v>
      </c>
      <c r="R890" s="120"/>
      <c r="S890" s="121"/>
    </row>
    <row r="891" spans="1:19" ht="15">
      <c r="A891" s="105" t="s">
        <v>251</v>
      </c>
      <c r="B891" s="105"/>
      <c r="C891" s="107" t="s">
        <v>902</v>
      </c>
      <c r="D891" s="107" t="s">
        <v>251</v>
      </c>
      <c r="E891" s="120" t="s">
        <v>251</v>
      </c>
      <c r="F891" s="120" t="s">
        <v>251</v>
      </c>
      <c r="G891" s="120" t="s">
        <v>251</v>
      </c>
      <c r="H891" s="120" t="s">
        <v>251</v>
      </c>
      <c r="I891" s="120" t="s">
        <v>251</v>
      </c>
      <c r="J891" s="120" t="s">
        <v>251</v>
      </c>
      <c r="K891" s="120" t="s">
        <v>251</v>
      </c>
      <c r="L891" s="120" t="s">
        <v>251</v>
      </c>
      <c r="M891" s="120" t="s">
        <v>251</v>
      </c>
      <c r="N891" s="120" t="s">
        <v>251</v>
      </c>
      <c r="O891" s="120" t="s">
        <v>251</v>
      </c>
      <c r="P891" s="120" t="s">
        <v>251</v>
      </c>
      <c r="Q891" s="120" t="s">
        <v>251</v>
      </c>
      <c r="R891" s="120"/>
      <c r="S891" s="121"/>
    </row>
    <row r="892" spans="1:19" ht="15">
      <c r="A892" s="105">
        <v>16</v>
      </c>
      <c r="B892" s="105"/>
      <c r="C892" s="107" t="s">
        <v>903</v>
      </c>
      <c r="D892" s="107" t="s">
        <v>904</v>
      </c>
      <c r="E892" s="120">
        <v>35712226.319999993</v>
      </c>
      <c r="F892" s="120" t="s">
        <v>251</v>
      </c>
      <c r="G892" s="120">
        <v>32320467.606765866</v>
      </c>
      <c r="H892" s="120" t="s">
        <v>251</v>
      </c>
      <c r="I892" s="120">
        <v>1645242.875394146</v>
      </c>
      <c r="J892" s="120">
        <v>1746515.8378399813</v>
      </c>
      <c r="K892" s="120" t="s">
        <v>251</v>
      </c>
      <c r="L892" s="120" t="s">
        <v>251</v>
      </c>
      <c r="M892" s="120">
        <v>2516.4749072001691</v>
      </c>
      <c r="N892" s="120" t="s">
        <v>251</v>
      </c>
      <c r="O892" s="120">
        <v>1743999.3629327812</v>
      </c>
      <c r="P892" s="120">
        <v>555747.70160728844</v>
      </c>
      <c r="Q892" s="120">
        <v>1188251.6613254927</v>
      </c>
      <c r="R892" s="120"/>
      <c r="S892" s="121"/>
    </row>
    <row r="893" spans="1:19" ht="15">
      <c r="A893" s="105">
        <v>17</v>
      </c>
      <c r="B893" s="105"/>
      <c r="C893" s="107" t="s">
        <v>905</v>
      </c>
      <c r="D893" s="107" t="s">
        <v>904</v>
      </c>
      <c r="E893" s="120">
        <v>3332.97</v>
      </c>
      <c r="F893" s="120" t="s">
        <v>251</v>
      </c>
      <c r="G893" s="120">
        <v>3016.4221058095723</v>
      </c>
      <c r="H893" s="120" t="s">
        <v>251</v>
      </c>
      <c r="I893" s="120">
        <v>153.54811815054677</v>
      </c>
      <c r="J893" s="120">
        <v>162.9997760398804</v>
      </c>
      <c r="K893" s="120" t="s">
        <v>251</v>
      </c>
      <c r="L893" s="120" t="s">
        <v>251</v>
      </c>
      <c r="M893" s="120">
        <v>0.23485893308067912</v>
      </c>
      <c r="N893" s="120" t="s">
        <v>251</v>
      </c>
      <c r="O893" s="120">
        <v>162.76491710679971</v>
      </c>
      <c r="P893" s="120">
        <v>51.867122492688218</v>
      </c>
      <c r="Q893" s="120">
        <v>110.8977946141115</v>
      </c>
      <c r="R893" s="120"/>
      <c r="S893" s="121"/>
    </row>
    <row r="894" spans="1:19" ht="15">
      <c r="A894" s="105">
        <v>18</v>
      </c>
      <c r="B894" s="105"/>
      <c r="C894" s="107" t="s">
        <v>906</v>
      </c>
      <c r="D894" s="107" t="s">
        <v>904</v>
      </c>
      <c r="E894" s="120">
        <v>-4353451.7299999995</v>
      </c>
      <c r="F894" s="120" t="s">
        <v>251</v>
      </c>
      <c r="G894" s="120">
        <v>-3939983.8687257692</v>
      </c>
      <c r="H894" s="120" t="s">
        <v>251</v>
      </c>
      <c r="I894" s="120">
        <v>-200561.15734637345</v>
      </c>
      <c r="J894" s="120">
        <v>-212906.70392785713</v>
      </c>
      <c r="K894" s="120" t="s">
        <v>251</v>
      </c>
      <c r="L894" s="120" t="s">
        <v>251</v>
      </c>
      <c r="M894" s="120">
        <v>-306.76754622034906</v>
      </c>
      <c r="N894" s="120" t="s">
        <v>251</v>
      </c>
      <c r="O894" s="120">
        <v>-212599.93638163677</v>
      </c>
      <c r="P894" s="120">
        <v>-67747.688741847494</v>
      </c>
      <c r="Q894" s="120">
        <v>-144852.24763978928</v>
      </c>
      <c r="R894" s="120"/>
      <c r="S894" s="121"/>
    </row>
    <row r="895" spans="1:19" ht="15">
      <c r="A895" s="105">
        <v>19</v>
      </c>
      <c r="B895" s="105"/>
      <c r="C895" s="107" t="s">
        <v>907</v>
      </c>
      <c r="D895" s="107" t="s">
        <v>904</v>
      </c>
      <c r="E895" s="120">
        <v>0</v>
      </c>
      <c r="F895" s="120" t="s">
        <v>251</v>
      </c>
      <c r="G895" s="120">
        <v>0</v>
      </c>
      <c r="H895" s="120" t="s">
        <v>251</v>
      </c>
      <c r="I895" s="120">
        <v>0</v>
      </c>
      <c r="J895" s="120">
        <v>0</v>
      </c>
      <c r="K895" s="120" t="s">
        <v>251</v>
      </c>
      <c r="L895" s="120" t="s">
        <v>251</v>
      </c>
      <c r="M895" s="120">
        <v>0</v>
      </c>
      <c r="N895" s="120" t="s">
        <v>251</v>
      </c>
      <c r="O895" s="120">
        <v>0</v>
      </c>
      <c r="P895" s="120">
        <v>0</v>
      </c>
      <c r="Q895" s="120">
        <v>0</v>
      </c>
      <c r="R895" s="120"/>
      <c r="S895" s="121"/>
    </row>
    <row r="896" spans="1:19" ht="15">
      <c r="A896" s="105">
        <v>20</v>
      </c>
      <c r="B896" s="105"/>
      <c r="C896" s="107" t="s">
        <v>908</v>
      </c>
      <c r="D896" s="107" t="s">
        <v>904</v>
      </c>
      <c r="E896" s="120">
        <v>0</v>
      </c>
      <c r="F896" s="120" t="s">
        <v>251</v>
      </c>
      <c r="G896" s="120">
        <v>0</v>
      </c>
      <c r="H896" s="120" t="s">
        <v>251</v>
      </c>
      <c r="I896" s="120">
        <v>0</v>
      </c>
      <c r="J896" s="120">
        <v>0</v>
      </c>
      <c r="K896" s="120" t="s">
        <v>251</v>
      </c>
      <c r="L896" s="120" t="s">
        <v>251</v>
      </c>
      <c r="M896" s="120">
        <v>0</v>
      </c>
      <c r="N896" s="120" t="s">
        <v>251</v>
      </c>
      <c r="O896" s="120">
        <v>0</v>
      </c>
      <c r="P896" s="120">
        <v>0</v>
      </c>
      <c r="Q896" s="120">
        <v>0</v>
      </c>
      <c r="R896" s="120"/>
      <c r="S896" s="121"/>
    </row>
    <row r="897" spans="1:19" ht="15">
      <c r="A897" s="105">
        <v>21</v>
      </c>
      <c r="B897" s="105"/>
      <c r="C897" s="107" t="s">
        <v>909</v>
      </c>
      <c r="D897" s="107" t="s">
        <v>904</v>
      </c>
      <c r="E897" s="120">
        <v>628449.54999999993</v>
      </c>
      <c r="F897" s="120" t="s">
        <v>251</v>
      </c>
      <c r="G897" s="120">
        <v>568762.72963935416</v>
      </c>
      <c r="H897" s="120" t="s">
        <v>251</v>
      </c>
      <c r="I897" s="120">
        <v>28952.329530436207</v>
      </c>
      <c r="J897" s="120">
        <v>30734.490830209583</v>
      </c>
      <c r="K897" s="120" t="s">
        <v>251</v>
      </c>
      <c r="L897" s="120" t="s">
        <v>251</v>
      </c>
      <c r="M897" s="120">
        <v>44.2839241901466</v>
      </c>
      <c r="N897" s="120" t="s">
        <v>251</v>
      </c>
      <c r="O897" s="120">
        <v>30690.206906019437</v>
      </c>
      <c r="P897" s="120">
        <v>9779.8269382337057</v>
      </c>
      <c r="Q897" s="120">
        <v>20910.379967785731</v>
      </c>
      <c r="R897" s="120"/>
      <c r="S897" s="121"/>
    </row>
    <row r="898" spans="1:19" ht="15">
      <c r="A898" s="105">
        <v>22</v>
      </c>
      <c r="B898" s="105"/>
      <c r="C898" s="107" t="s">
        <v>910</v>
      </c>
      <c r="D898" s="107" t="s">
        <v>904</v>
      </c>
      <c r="E898" s="120">
        <v>32938365.299999997</v>
      </c>
      <c r="F898" s="120" t="s">
        <v>251</v>
      </c>
      <c r="G898" s="120">
        <v>29810053.261850826</v>
      </c>
      <c r="H898" s="120" t="s">
        <v>251</v>
      </c>
      <c r="I898" s="120">
        <v>1517452.604364957</v>
      </c>
      <c r="J898" s="120">
        <v>1610859.4337842131</v>
      </c>
      <c r="K898" s="120" t="s">
        <v>251</v>
      </c>
      <c r="L898" s="120" t="s">
        <v>251</v>
      </c>
      <c r="M898" s="120">
        <v>2321.0137900370132</v>
      </c>
      <c r="N898" s="120" t="s">
        <v>251</v>
      </c>
      <c r="O898" s="120">
        <v>1608538.4199941761</v>
      </c>
      <c r="P898" s="120">
        <v>512581.33968322881</v>
      </c>
      <c r="Q898" s="120">
        <v>1095957.0803109473</v>
      </c>
      <c r="R898" s="120"/>
      <c r="S898" s="121"/>
    </row>
    <row r="899" spans="1:19" ht="15">
      <c r="A899" s="105">
        <v>23</v>
      </c>
      <c r="B899" s="105"/>
      <c r="C899" s="107" t="s">
        <v>911</v>
      </c>
      <c r="D899" s="107" t="s">
        <v>904</v>
      </c>
      <c r="E899" s="120">
        <v>0</v>
      </c>
      <c r="F899" s="120" t="s">
        <v>251</v>
      </c>
      <c r="G899" s="120">
        <v>0</v>
      </c>
      <c r="H899" s="120" t="s">
        <v>251</v>
      </c>
      <c r="I899" s="120">
        <v>0</v>
      </c>
      <c r="J899" s="120">
        <v>0</v>
      </c>
      <c r="K899" s="120" t="s">
        <v>251</v>
      </c>
      <c r="L899" s="120" t="s">
        <v>251</v>
      </c>
      <c r="M899" s="120">
        <v>0</v>
      </c>
      <c r="N899" s="120" t="s">
        <v>251</v>
      </c>
      <c r="O899" s="120">
        <v>0</v>
      </c>
      <c r="P899" s="120">
        <v>0</v>
      </c>
      <c r="Q899" s="120">
        <v>0</v>
      </c>
      <c r="R899" s="120"/>
      <c r="S899" s="121"/>
    </row>
    <row r="900" spans="1:19" ht="15">
      <c r="A900" s="105">
        <v>24</v>
      </c>
      <c r="B900" s="105"/>
      <c r="C900" s="107" t="s">
        <v>912</v>
      </c>
      <c r="D900" s="107" t="s">
        <v>904</v>
      </c>
      <c r="E900" s="120">
        <v>0</v>
      </c>
      <c r="F900" s="120" t="s">
        <v>251</v>
      </c>
      <c r="G900" s="120">
        <v>0</v>
      </c>
      <c r="H900" s="120" t="s">
        <v>251</v>
      </c>
      <c r="I900" s="120">
        <v>0</v>
      </c>
      <c r="J900" s="120">
        <v>0</v>
      </c>
      <c r="K900" s="120" t="s">
        <v>251</v>
      </c>
      <c r="L900" s="120" t="s">
        <v>251</v>
      </c>
      <c r="M900" s="120">
        <v>0</v>
      </c>
      <c r="N900" s="120" t="s">
        <v>251</v>
      </c>
      <c r="O900" s="120">
        <v>0</v>
      </c>
      <c r="P900" s="120">
        <v>0</v>
      </c>
      <c r="Q900" s="120">
        <v>0</v>
      </c>
      <c r="R900" s="120"/>
      <c r="S900" s="121"/>
    </row>
    <row r="901" spans="1:19" ht="15">
      <c r="A901" s="105">
        <v>25</v>
      </c>
      <c r="B901" s="105"/>
      <c r="C901" s="107" t="s">
        <v>913</v>
      </c>
      <c r="D901" s="107" t="s">
        <v>904</v>
      </c>
      <c r="E901" s="120">
        <v>172682.22999999995</v>
      </c>
      <c r="F901" s="120" t="s">
        <v>251</v>
      </c>
      <c r="G901" s="120">
        <v>156281.7834701461</v>
      </c>
      <c r="H901" s="120" t="s">
        <v>251</v>
      </c>
      <c r="I901" s="120">
        <v>7955.3765724083596</v>
      </c>
      <c r="J901" s="120">
        <v>8445.0699574454975</v>
      </c>
      <c r="K901" s="120" t="s">
        <v>251</v>
      </c>
      <c r="L901" s="120" t="s">
        <v>251</v>
      </c>
      <c r="M901" s="120">
        <v>12.168115614539715</v>
      </c>
      <c r="N901" s="120" t="s">
        <v>251</v>
      </c>
      <c r="O901" s="120">
        <v>8432.901841830957</v>
      </c>
      <c r="P901" s="120">
        <v>2687.2520231866952</v>
      </c>
      <c r="Q901" s="120">
        <v>5745.6498186442614</v>
      </c>
      <c r="R901" s="120"/>
      <c r="S901" s="121"/>
    </row>
    <row r="902" spans="1:19" ht="15">
      <c r="A902" s="105">
        <v>26</v>
      </c>
      <c r="B902" s="105"/>
      <c r="C902" s="107" t="s">
        <v>914</v>
      </c>
      <c r="D902" s="107" t="s">
        <v>904</v>
      </c>
      <c r="E902" s="120">
        <v>0</v>
      </c>
      <c r="F902" s="120" t="s">
        <v>251</v>
      </c>
      <c r="G902" s="120">
        <v>0</v>
      </c>
      <c r="H902" s="120" t="s">
        <v>251</v>
      </c>
      <c r="I902" s="120">
        <v>0</v>
      </c>
      <c r="J902" s="120">
        <v>0</v>
      </c>
      <c r="K902" s="120" t="s">
        <v>251</v>
      </c>
      <c r="L902" s="120" t="s">
        <v>251</v>
      </c>
      <c r="M902" s="120">
        <v>0</v>
      </c>
      <c r="N902" s="120" t="s">
        <v>251</v>
      </c>
      <c r="O902" s="120">
        <v>0</v>
      </c>
      <c r="P902" s="120">
        <v>0</v>
      </c>
      <c r="Q902" s="120">
        <v>0</v>
      </c>
      <c r="R902" s="120"/>
      <c r="S902" s="121"/>
    </row>
    <row r="903" spans="1:19" ht="15">
      <c r="A903" s="105">
        <v>27</v>
      </c>
      <c r="B903" s="105"/>
      <c r="C903" s="107" t="s">
        <v>915</v>
      </c>
      <c r="D903" s="107" t="s">
        <v>904</v>
      </c>
      <c r="E903" s="120">
        <v>816467.41999999993</v>
      </c>
      <c r="F903" s="120" t="s">
        <v>251</v>
      </c>
      <c r="G903" s="120">
        <v>738923.65498678619</v>
      </c>
      <c r="H903" s="120" t="s">
        <v>251</v>
      </c>
      <c r="I903" s="120">
        <v>37614.210710637097</v>
      </c>
      <c r="J903" s="120">
        <v>39929.554302576689</v>
      </c>
      <c r="K903" s="120" t="s">
        <v>251</v>
      </c>
      <c r="L903" s="120" t="s">
        <v>251</v>
      </c>
      <c r="M903" s="120">
        <v>57.532671208062112</v>
      </c>
      <c r="N903" s="120" t="s">
        <v>251</v>
      </c>
      <c r="O903" s="120">
        <v>39872.021631368625</v>
      </c>
      <c r="P903" s="120">
        <v>12705.729629858393</v>
      </c>
      <c r="Q903" s="120">
        <v>27166.292001510228</v>
      </c>
      <c r="R903" s="120"/>
      <c r="S903" s="121"/>
    </row>
    <row r="904" spans="1:19" ht="15">
      <c r="A904" s="105" t="s">
        <v>251</v>
      </c>
      <c r="B904" s="105"/>
      <c r="C904" s="107" t="s">
        <v>251</v>
      </c>
      <c r="D904" s="107" t="s">
        <v>251</v>
      </c>
      <c r="E904" s="120" t="s">
        <v>251</v>
      </c>
      <c r="F904" s="120" t="s">
        <v>251</v>
      </c>
      <c r="G904" s="120" t="s">
        <v>251</v>
      </c>
      <c r="H904" s="120" t="s">
        <v>251</v>
      </c>
      <c r="I904" s="120" t="s">
        <v>251</v>
      </c>
      <c r="J904" s="120" t="s">
        <v>251</v>
      </c>
      <c r="K904" s="120" t="s">
        <v>251</v>
      </c>
      <c r="L904" s="120" t="s">
        <v>251</v>
      </c>
      <c r="M904" s="120" t="s">
        <v>251</v>
      </c>
      <c r="N904" s="120" t="s">
        <v>251</v>
      </c>
      <c r="O904" s="120" t="s">
        <v>251</v>
      </c>
      <c r="P904" s="120" t="s">
        <v>251</v>
      </c>
      <c r="Q904" s="120" t="s">
        <v>251</v>
      </c>
      <c r="R904" s="120"/>
      <c r="S904" s="121"/>
    </row>
    <row r="905" spans="1:19" ht="15">
      <c r="A905" s="105">
        <v>28</v>
      </c>
      <c r="B905" s="105"/>
      <c r="C905" s="107" t="s">
        <v>916</v>
      </c>
      <c r="D905" s="107" t="s">
        <v>251</v>
      </c>
      <c r="E905" s="120">
        <v>65918072.059999987</v>
      </c>
      <c r="F905" s="120" t="s">
        <v>251</v>
      </c>
      <c r="G905" s="120">
        <v>59657521.590093017</v>
      </c>
      <c r="H905" s="120" t="s">
        <v>251</v>
      </c>
      <c r="I905" s="120">
        <v>3036809.7873443621</v>
      </c>
      <c r="J905" s="120">
        <v>3223740.6825626087</v>
      </c>
      <c r="K905" s="120" t="s">
        <v>251</v>
      </c>
      <c r="L905" s="120" t="s">
        <v>251</v>
      </c>
      <c r="M905" s="120">
        <v>4644.9407209626625</v>
      </c>
      <c r="N905" s="120" t="s">
        <v>251</v>
      </c>
      <c r="O905" s="120">
        <v>3219095.7418416459</v>
      </c>
      <c r="P905" s="120">
        <v>1025806.0282624412</v>
      </c>
      <c r="Q905" s="120">
        <v>2193289.7135792049</v>
      </c>
      <c r="R905" s="120"/>
      <c r="S905" s="121"/>
    </row>
    <row r="906" spans="1:19" ht="15">
      <c r="A906" s="105" t="s">
        <v>251</v>
      </c>
      <c r="B906" s="105"/>
      <c r="C906" s="107" t="s">
        <v>251</v>
      </c>
      <c r="D906" s="107" t="s">
        <v>251</v>
      </c>
      <c r="E906" s="120" t="s">
        <v>251</v>
      </c>
      <c r="F906" s="120" t="s">
        <v>251</v>
      </c>
      <c r="G906" s="120" t="s">
        <v>251</v>
      </c>
      <c r="H906" s="120" t="s">
        <v>251</v>
      </c>
      <c r="I906" s="120" t="s">
        <v>251</v>
      </c>
      <c r="J906" s="120" t="s">
        <v>251</v>
      </c>
      <c r="K906" s="120" t="s">
        <v>251</v>
      </c>
      <c r="L906" s="120" t="s">
        <v>251</v>
      </c>
      <c r="M906" s="120" t="s">
        <v>251</v>
      </c>
      <c r="N906" s="120" t="s">
        <v>251</v>
      </c>
      <c r="O906" s="120" t="s">
        <v>251</v>
      </c>
      <c r="P906" s="120" t="s">
        <v>251</v>
      </c>
      <c r="Q906" s="120" t="s">
        <v>251</v>
      </c>
      <c r="R906" s="120"/>
      <c r="S906" s="121"/>
    </row>
    <row r="907" spans="1:19" ht="15">
      <c r="A907" s="105">
        <v>29</v>
      </c>
      <c r="B907" s="105"/>
      <c r="C907" s="107" t="s">
        <v>917</v>
      </c>
      <c r="D907" s="107" t="s">
        <v>251</v>
      </c>
      <c r="E907" s="120">
        <v>174905273.17999995</v>
      </c>
      <c r="F907" s="120" t="s">
        <v>251</v>
      </c>
      <c r="G907" s="120">
        <v>158293693.74546248</v>
      </c>
      <c r="H907" s="120" t="s">
        <v>251</v>
      </c>
      <c r="I907" s="120">
        <v>8057790.9646340366</v>
      </c>
      <c r="J907" s="120">
        <v>8553788.4699034505</v>
      </c>
      <c r="K907" s="120" t="s">
        <v>251</v>
      </c>
      <c r="L907" s="120" t="s">
        <v>251</v>
      </c>
      <c r="M907" s="120">
        <v>12324.763153955639</v>
      </c>
      <c r="N907" s="120" t="s">
        <v>251</v>
      </c>
      <c r="O907" s="120">
        <v>8541463.7067494951</v>
      </c>
      <c r="P907" s="120">
        <v>2721846.6498780833</v>
      </c>
      <c r="Q907" s="120">
        <v>5819617.0568714114</v>
      </c>
      <c r="R907" s="120"/>
      <c r="S907" s="121"/>
    </row>
    <row r="908" spans="1:19" ht="15">
      <c r="A908" s="105" t="s">
        <v>251</v>
      </c>
      <c r="B908" s="105"/>
      <c r="C908" s="107" t="s">
        <v>251</v>
      </c>
      <c r="D908" s="107" t="s">
        <v>251</v>
      </c>
      <c r="E908" s="120" t="s">
        <v>251</v>
      </c>
      <c r="F908" s="120" t="s">
        <v>251</v>
      </c>
      <c r="G908" s="120" t="s">
        <v>251</v>
      </c>
      <c r="H908" s="120" t="s">
        <v>251</v>
      </c>
      <c r="I908" s="120" t="s">
        <v>251</v>
      </c>
      <c r="J908" s="120" t="s">
        <v>251</v>
      </c>
      <c r="K908" s="120" t="s">
        <v>251</v>
      </c>
      <c r="L908" s="120" t="s">
        <v>251</v>
      </c>
      <c r="M908" s="120" t="s">
        <v>251</v>
      </c>
      <c r="N908" s="120" t="s">
        <v>251</v>
      </c>
      <c r="O908" s="120" t="s">
        <v>251</v>
      </c>
      <c r="P908" s="120" t="s">
        <v>251</v>
      </c>
      <c r="Q908" s="120" t="s">
        <v>251</v>
      </c>
      <c r="R908" s="120"/>
      <c r="S908" s="121"/>
    </row>
    <row r="909" spans="1:19" ht="15">
      <c r="A909" s="105" t="s">
        <v>251</v>
      </c>
      <c r="B909" s="105"/>
      <c r="C909" s="107" t="s">
        <v>918</v>
      </c>
      <c r="D909" s="107" t="s">
        <v>251</v>
      </c>
      <c r="E909" s="120" t="s">
        <v>251</v>
      </c>
      <c r="F909" s="120" t="s">
        <v>251</v>
      </c>
      <c r="G909" s="120" t="s">
        <v>251</v>
      </c>
      <c r="H909" s="120" t="s">
        <v>251</v>
      </c>
      <c r="I909" s="120" t="s">
        <v>251</v>
      </c>
      <c r="J909" s="120" t="s">
        <v>251</v>
      </c>
      <c r="K909" s="120" t="s">
        <v>251</v>
      </c>
      <c r="L909" s="120" t="s">
        <v>251</v>
      </c>
      <c r="M909" s="120" t="s">
        <v>251</v>
      </c>
      <c r="N909" s="120" t="s">
        <v>251</v>
      </c>
      <c r="O909" s="120" t="s">
        <v>251</v>
      </c>
      <c r="P909" s="120" t="s">
        <v>251</v>
      </c>
      <c r="Q909" s="120" t="s">
        <v>251</v>
      </c>
      <c r="R909" s="120"/>
      <c r="S909" s="121"/>
    </row>
    <row r="910" spans="1:19" ht="15">
      <c r="A910" s="105" t="s">
        <v>251</v>
      </c>
      <c r="B910" s="105"/>
      <c r="C910" s="107" t="s">
        <v>251</v>
      </c>
      <c r="D910" s="107" t="s">
        <v>251</v>
      </c>
      <c r="E910" s="120" t="s">
        <v>251</v>
      </c>
      <c r="F910" s="120" t="s">
        <v>251</v>
      </c>
      <c r="G910" s="120" t="s">
        <v>251</v>
      </c>
      <c r="H910" s="120" t="s">
        <v>251</v>
      </c>
      <c r="I910" s="120" t="s">
        <v>251</v>
      </c>
      <c r="J910" s="120" t="s">
        <v>251</v>
      </c>
      <c r="K910" s="120" t="s">
        <v>251</v>
      </c>
      <c r="L910" s="120" t="s">
        <v>251</v>
      </c>
      <c r="M910" s="120" t="s">
        <v>251</v>
      </c>
      <c r="N910" s="120" t="s">
        <v>251</v>
      </c>
      <c r="O910" s="120" t="s">
        <v>251</v>
      </c>
      <c r="P910" s="120" t="s">
        <v>251</v>
      </c>
      <c r="Q910" s="120" t="s">
        <v>251</v>
      </c>
      <c r="R910" s="120"/>
      <c r="S910" s="121"/>
    </row>
    <row r="911" spans="1:19" ht="15">
      <c r="A911" s="105" t="s">
        <v>251</v>
      </c>
      <c r="B911" s="105"/>
      <c r="C911" s="107" t="s">
        <v>919</v>
      </c>
      <c r="D911" s="107" t="s">
        <v>251</v>
      </c>
      <c r="E911" s="120" t="s">
        <v>251</v>
      </c>
      <c r="F911" s="120" t="s">
        <v>251</v>
      </c>
      <c r="G911" s="120" t="s">
        <v>251</v>
      </c>
      <c r="H911" s="120" t="s">
        <v>251</v>
      </c>
      <c r="I911" s="120" t="s">
        <v>251</v>
      </c>
      <c r="J911" s="120" t="s">
        <v>251</v>
      </c>
      <c r="K911" s="120" t="s">
        <v>251</v>
      </c>
      <c r="L911" s="120" t="s">
        <v>251</v>
      </c>
      <c r="M911" s="120" t="s">
        <v>251</v>
      </c>
      <c r="N911" s="120" t="s">
        <v>251</v>
      </c>
      <c r="O911" s="120" t="s">
        <v>251</v>
      </c>
      <c r="P911" s="120" t="s">
        <v>251</v>
      </c>
      <c r="Q911" s="120" t="s">
        <v>251</v>
      </c>
      <c r="R911" s="120"/>
      <c r="S911" s="121"/>
    </row>
    <row r="912" spans="1:19" ht="15">
      <c r="A912" s="105" t="s">
        <v>251</v>
      </c>
      <c r="B912" s="105"/>
      <c r="C912" s="107" t="s">
        <v>920</v>
      </c>
      <c r="D912" s="107" t="s">
        <v>251</v>
      </c>
      <c r="E912" s="120" t="s">
        <v>251</v>
      </c>
      <c r="F912" s="120" t="s">
        <v>251</v>
      </c>
      <c r="G912" s="120" t="s">
        <v>251</v>
      </c>
      <c r="H912" s="120" t="s">
        <v>251</v>
      </c>
      <c r="I912" s="120" t="s">
        <v>251</v>
      </c>
      <c r="J912" s="120" t="s">
        <v>251</v>
      </c>
      <c r="K912" s="120" t="s">
        <v>251</v>
      </c>
      <c r="L912" s="120" t="s">
        <v>251</v>
      </c>
      <c r="M912" s="120" t="s">
        <v>251</v>
      </c>
      <c r="N912" s="120" t="s">
        <v>251</v>
      </c>
      <c r="O912" s="120" t="s">
        <v>251</v>
      </c>
      <c r="P912" s="120" t="s">
        <v>251</v>
      </c>
      <c r="Q912" s="120" t="s">
        <v>251</v>
      </c>
      <c r="R912" s="120"/>
      <c r="S912" s="121"/>
    </row>
    <row r="913" spans="1:19" ht="15">
      <c r="A913" s="105" t="s">
        <v>251</v>
      </c>
      <c r="B913" s="105"/>
      <c r="C913" s="107" t="s">
        <v>921</v>
      </c>
      <c r="D913" s="107" t="s">
        <v>251</v>
      </c>
      <c r="E913" s="120" t="s">
        <v>251</v>
      </c>
      <c r="F913" s="120" t="s">
        <v>251</v>
      </c>
      <c r="G913" s="120" t="s">
        <v>251</v>
      </c>
      <c r="H913" s="120" t="s">
        <v>251</v>
      </c>
      <c r="I913" s="120" t="s">
        <v>251</v>
      </c>
      <c r="J913" s="120" t="s">
        <v>251</v>
      </c>
      <c r="K913" s="120" t="s">
        <v>251</v>
      </c>
      <c r="L913" s="120" t="s">
        <v>251</v>
      </c>
      <c r="M913" s="120" t="s">
        <v>251</v>
      </c>
      <c r="N913" s="120" t="s">
        <v>251</v>
      </c>
      <c r="O913" s="120" t="s">
        <v>251</v>
      </c>
      <c r="P913" s="120" t="s">
        <v>251</v>
      </c>
      <c r="Q913" s="120" t="s">
        <v>251</v>
      </c>
      <c r="R913" s="120"/>
      <c r="S913" s="121"/>
    </row>
    <row r="914" spans="1:19" ht="15">
      <c r="A914" s="105">
        <v>1</v>
      </c>
      <c r="B914" s="105"/>
      <c r="C914" s="107" t="s">
        <v>922</v>
      </c>
      <c r="D914" s="107" t="s">
        <v>304</v>
      </c>
      <c r="E914" s="120">
        <v>3553410</v>
      </c>
      <c r="F914" s="120" t="s">
        <v>251</v>
      </c>
      <c r="G914" s="120">
        <v>3115400</v>
      </c>
      <c r="H914" s="120" t="s">
        <v>251</v>
      </c>
      <c r="I914" s="120">
        <v>142658</v>
      </c>
      <c r="J914" s="120">
        <v>295352</v>
      </c>
      <c r="K914" s="120" t="s">
        <v>251</v>
      </c>
      <c r="L914" s="120" t="s">
        <v>251</v>
      </c>
      <c r="M914" s="120">
        <v>10</v>
      </c>
      <c r="N914" s="120" t="s">
        <v>251</v>
      </c>
      <c r="O914" s="120">
        <v>295342</v>
      </c>
      <c r="P914" s="120">
        <v>91108</v>
      </c>
      <c r="Q914" s="120">
        <v>204234</v>
      </c>
      <c r="R914" s="120"/>
      <c r="S914" s="121"/>
    </row>
    <row r="915" spans="1:19" ht="15">
      <c r="A915" s="105">
        <v>2</v>
      </c>
      <c r="B915" s="105"/>
      <c r="C915" s="107" t="s">
        <v>923</v>
      </c>
      <c r="D915" s="107" t="s">
        <v>312</v>
      </c>
      <c r="E915" s="120">
        <v>438000</v>
      </c>
      <c r="F915" s="120" t="s">
        <v>251</v>
      </c>
      <c r="G915" s="120">
        <v>0</v>
      </c>
      <c r="H915" s="120" t="s">
        <v>251</v>
      </c>
      <c r="I915" s="120">
        <v>142658</v>
      </c>
      <c r="J915" s="120">
        <v>295342</v>
      </c>
      <c r="K915" s="120" t="s">
        <v>251</v>
      </c>
      <c r="L915" s="120" t="s">
        <v>251</v>
      </c>
      <c r="M915" s="120">
        <v>0</v>
      </c>
      <c r="N915" s="120" t="s">
        <v>251</v>
      </c>
      <c r="O915" s="120">
        <v>295342</v>
      </c>
      <c r="P915" s="120">
        <v>91108</v>
      </c>
      <c r="Q915" s="120">
        <v>204234</v>
      </c>
      <c r="R915" s="120"/>
      <c r="S915" s="121"/>
    </row>
    <row r="916" spans="1:19" ht="15">
      <c r="A916" s="105">
        <v>3</v>
      </c>
      <c r="B916" s="105"/>
      <c r="C916" s="107" t="s">
        <v>924</v>
      </c>
      <c r="D916" s="107" t="s">
        <v>398</v>
      </c>
      <c r="E916" s="120">
        <v>142658</v>
      </c>
      <c r="F916" s="120" t="s">
        <v>251</v>
      </c>
      <c r="G916" s="120">
        <v>0</v>
      </c>
      <c r="H916" s="120" t="s">
        <v>251</v>
      </c>
      <c r="I916" s="120">
        <v>142658</v>
      </c>
      <c r="J916" s="120">
        <v>0</v>
      </c>
      <c r="K916" s="120" t="s">
        <v>251</v>
      </c>
      <c r="L916" s="120" t="s">
        <v>251</v>
      </c>
      <c r="M916" s="120">
        <v>0</v>
      </c>
      <c r="N916" s="120" t="s">
        <v>251</v>
      </c>
      <c r="O916" s="120">
        <v>0</v>
      </c>
      <c r="P916" s="120">
        <v>0</v>
      </c>
      <c r="Q916" s="120">
        <v>0</v>
      </c>
      <c r="R916" s="120"/>
      <c r="S916" s="121"/>
    </row>
    <row r="917" spans="1:19" ht="15">
      <c r="A917" s="105">
        <v>4</v>
      </c>
      <c r="B917" s="105"/>
      <c r="C917" s="107" t="s">
        <v>925</v>
      </c>
      <c r="D917" s="107" t="s">
        <v>376</v>
      </c>
      <c r="E917" s="120">
        <v>3410742</v>
      </c>
      <c r="F917" s="120" t="s">
        <v>251</v>
      </c>
      <c r="G917" s="120">
        <v>3115400</v>
      </c>
      <c r="H917" s="120" t="s">
        <v>251</v>
      </c>
      <c r="I917" s="120">
        <v>0</v>
      </c>
      <c r="J917" s="120">
        <v>295342</v>
      </c>
      <c r="K917" s="120" t="s">
        <v>251</v>
      </c>
      <c r="L917" s="120" t="s">
        <v>251</v>
      </c>
      <c r="M917" s="120">
        <v>0</v>
      </c>
      <c r="N917" s="120" t="s">
        <v>251</v>
      </c>
      <c r="O917" s="120">
        <v>295342</v>
      </c>
      <c r="P917" s="120">
        <v>91108</v>
      </c>
      <c r="Q917" s="120">
        <v>204234</v>
      </c>
      <c r="R917" s="120"/>
      <c r="S917" s="121"/>
    </row>
    <row r="918" spans="1:19" ht="15">
      <c r="A918" s="105">
        <v>5</v>
      </c>
      <c r="B918" s="105"/>
      <c r="C918" s="107" t="s">
        <v>926</v>
      </c>
      <c r="D918" s="107" t="s">
        <v>314</v>
      </c>
      <c r="E918" s="120">
        <v>295342</v>
      </c>
      <c r="F918" s="120" t="s">
        <v>251</v>
      </c>
      <c r="G918" s="120">
        <v>0</v>
      </c>
      <c r="H918" s="120" t="s">
        <v>251</v>
      </c>
      <c r="I918" s="120">
        <v>0</v>
      </c>
      <c r="J918" s="120">
        <v>295342</v>
      </c>
      <c r="K918" s="120" t="s">
        <v>251</v>
      </c>
      <c r="L918" s="120" t="s">
        <v>251</v>
      </c>
      <c r="M918" s="120">
        <v>0</v>
      </c>
      <c r="N918" s="120" t="s">
        <v>251</v>
      </c>
      <c r="O918" s="120">
        <v>295342</v>
      </c>
      <c r="P918" s="120">
        <v>91108</v>
      </c>
      <c r="Q918" s="120">
        <v>204234</v>
      </c>
      <c r="R918" s="120"/>
      <c r="S918" s="121"/>
    </row>
    <row r="919" spans="1:19" ht="15">
      <c r="A919" s="105">
        <v>6</v>
      </c>
      <c r="B919" s="105"/>
      <c r="C919" s="107" t="s">
        <v>927</v>
      </c>
      <c r="D919" s="107" t="s">
        <v>928</v>
      </c>
      <c r="E919" s="120">
        <v>3410752</v>
      </c>
      <c r="F919" s="120" t="s">
        <v>251</v>
      </c>
      <c r="G919" s="120">
        <v>3115400</v>
      </c>
      <c r="H919" s="120" t="s">
        <v>251</v>
      </c>
      <c r="I919" s="120">
        <v>0</v>
      </c>
      <c r="J919" s="120">
        <v>295352</v>
      </c>
      <c r="K919" s="120" t="s">
        <v>251</v>
      </c>
      <c r="L919" s="120" t="s">
        <v>251</v>
      </c>
      <c r="M919" s="120">
        <v>10</v>
      </c>
      <c r="N919" s="120" t="s">
        <v>251</v>
      </c>
      <c r="O919" s="120">
        <v>295342</v>
      </c>
      <c r="P919" s="120">
        <v>91108</v>
      </c>
      <c r="Q919" s="120">
        <v>204234</v>
      </c>
      <c r="R919" s="120"/>
      <c r="S919" s="121"/>
    </row>
    <row r="920" spans="1:19" ht="15">
      <c r="A920" s="105" t="s">
        <v>251</v>
      </c>
      <c r="B920" s="105"/>
      <c r="C920" s="107" t="s">
        <v>929</v>
      </c>
      <c r="D920" s="107" t="s">
        <v>251</v>
      </c>
      <c r="E920" s="120" t="s">
        <v>251</v>
      </c>
      <c r="F920" s="120" t="s">
        <v>251</v>
      </c>
      <c r="G920" s="120" t="s">
        <v>251</v>
      </c>
      <c r="H920" s="120" t="s">
        <v>251</v>
      </c>
      <c r="I920" s="120" t="s">
        <v>251</v>
      </c>
      <c r="J920" s="120" t="s">
        <v>251</v>
      </c>
      <c r="K920" s="120" t="s">
        <v>251</v>
      </c>
      <c r="L920" s="120" t="s">
        <v>251</v>
      </c>
      <c r="M920" s="120" t="s">
        <v>251</v>
      </c>
      <c r="N920" s="120" t="s">
        <v>251</v>
      </c>
      <c r="O920" s="120" t="s">
        <v>251</v>
      </c>
      <c r="P920" s="120" t="s">
        <v>251</v>
      </c>
      <c r="Q920" s="120" t="s">
        <v>251</v>
      </c>
      <c r="R920" s="120"/>
      <c r="S920" s="121"/>
    </row>
    <row r="921" spans="1:19" ht="15">
      <c r="A921" s="105">
        <v>7</v>
      </c>
      <c r="B921" s="105"/>
      <c r="C921" s="107" t="s">
        <v>930</v>
      </c>
      <c r="D921" s="107" t="s">
        <v>572</v>
      </c>
      <c r="E921" s="120">
        <v>3553410</v>
      </c>
      <c r="F921" s="120" t="s">
        <v>251</v>
      </c>
      <c r="G921" s="120">
        <v>3115400</v>
      </c>
      <c r="H921" s="120" t="s">
        <v>251</v>
      </c>
      <c r="I921" s="120">
        <v>142658</v>
      </c>
      <c r="J921" s="120">
        <v>295352</v>
      </c>
      <c r="K921" s="120" t="s">
        <v>251</v>
      </c>
      <c r="L921" s="120" t="s">
        <v>251</v>
      </c>
      <c r="M921" s="120">
        <v>10</v>
      </c>
      <c r="N921" s="120" t="s">
        <v>251</v>
      </c>
      <c r="O921" s="120">
        <v>295342</v>
      </c>
      <c r="P921" s="120">
        <v>91108</v>
      </c>
      <c r="Q921" s="120">
        <v>204234</v>
      </c>
      <c r="R921" s="120"/>
      <c r="S921" s="121"/>
    </row>
    <row r="922" spans="1:19" ht="15">
      <c r="A922" s="105">
        <v>8</v>
      </c>
      <c r="B922" s="105"/>
      <c r="C922" s="107" t="s">
        <v>931</v>
      </c>
      <c r="D922" s="107" t="s">
        <v>352</v>
      </c>
      <c r="E922" s="120">
        <v>142658</v>
      </c>
      <c r="F922" s="120" t="s">
        <v>251</v>
      </c>
      <c r="G922" s="120">
        <v>0</v>
      </c>
      <c r="H922" s="120" t="s">
        <v>251</v>
      </c>
      <c r="I922" s="120">
        <v>142658</v>
      </c>
      <c r="J922" s="120">
        <v>0</v>
      </c>
      <c r="K922" s="120" t="s">
        <v>251</v>
      </c>
      <c r="L922" s="120" t="s">
        <v>251</v>
      </c>
      <c r="M922" s="120">
        <v>0</v>
      </c>
      <c r="N922" s="120" t="s">
        <v>251</v>
      </c>
      <c r="O922" s="120">
        <v>0</v>
      </c>
      <c r="P922" s="120">
        <v>0</v>
      </c>
      <c r="Q922" s="120">
        <v>0</v>
      </c>
      <c r="R922" s="120"/>
      <c r="S922" s="121"/>
    </row>
    <row r="923" spans="1:19" ht="15">
      <c r="A923" s="105">
        <v>9</v>
      </c>
      <c r="B923" s="105"/>
      <c r="C923" s="107" t="s">
        <v>932</v>
      </c>
      <c r="D923" s="107" t="s">
        <v>341</v>
      </c>
      <c r="E923" s="120">
        <v>3258068</v>
      </c>
      <c r="F923" s="120" t="s">
        <v>251</v>
      </c>
      <c r="G923" s="120">
        <v>3115400</v>
      </c>
      <c r="H923" s="120" t="s">
        <v>251</v>
      </c>
      <c r="I923" s="120">
        <v>142658</v>
      </c>
      <c r="J923" s="120">
        <v>10</v>
      </c>
      <c r="K923" s="120" t="s">
        <v>251</v>
      </c>
      <c r="L923" s="120" t="s">
        <v>251</v>
      </c>
      <c r="M923" s="120">
        <v>10</v>
      </c>
      <c r="N923" s="120" t="s">
        <v>251</v>
      </c>
      <c r="O923" s="120">
        <v>0</v>
      </c>
      <c r="P923" s="120">
        <v>0</v>
      </c>
      <c r="Q923" s="120">
        <v>0</v>
      </c>
      <c r="R923" s="120"/>
      <c r="S923" s="121"/>
    </row>
    <row r="924" spans="1:19" ht="15">
      <c r="A924" s="105">
        <v>10</v>
      </c>
      <c r="B924" s="105"/>
      <c r="C924" s="107" t="s">
        <v>933</v>
      </c>
      <c r="D924" s="107" t="s">
        <v>934</v>
      </c>
      <c r="E924" s="120">
        <v>438000</v>
      </c>
      <c r="F924" s="120" t="s">
        <v>251</v>
      </c>
      <c r="G924" s="120">
        <v>0</v>
      </c>
      <c r="H924" s="120" t="s">
        <v>251</v>
      </c>
      <c r="I924" s="120">
        <v>142658</v>
      </c>
      <c r="J924" s="120">
        <v>295342</v>
      </c>
      <c r="K924" s="120" t="s">
        <v>251</v>
      </c>
      <c r="L924" s="120" t="s">
        <v>251</v>
      </c>
      <c r="M924" s="120">
        <v>0</v>
      </c>
      <c r="N924" s="120" t="s">
        <v>251</v>
      </c>
      <c r="O924" s="120">
        <v>295342</v>
      </c>
      <c r="P924" s="120">
        <v>91108</v>
      </c>
      <c r="Q924" s="120">
        <v>204234</v>
      </c>
      <c r="R924" s="120"/>
      <c r="S924" s="121"/>
    </row>
    <row r="925" spans="1:19" ht="15">
      <c r="A925" s="105">
        <v>11</v>
      </c>
      <c r="B925" s="105"/>
      <c r="C925" s="107" t="s">
        <v>935</v>
      </c>
      <c r="D925" s="107" t="s">
        <v>355</v>
      </c>
      <c r="E925" s="120">
        <v>3115410</v>
      </c>
      <c r="F925" s="120" t="s">
        <v>251</v>
      </c>
      <c r="G925" s="120">
        <v>3115400</v>
      </c>
      <c r="H925" s="120" t="s">
        <v>251</v>
      </c>
      <c r="I925" s="120">
        <v>0</v>
      </c>
      <c r="J925" s="120">
        <v>10</v>
      </c>
      <c r="K925" s="120" t="s">
        <v>251</v>
      </c>
      <c r="L925" s="120" t="s">
        <v>251</v>
      </c>
      <c r="M925" s="120">
        <v>10</v>
      </c>
      <c r="N925" s="120" t="s">
        <v>251</v>
      </c>
      <c r="O925" s="120">
        <v>0</v>
      </c>
      <c r="P925" s="120">
        <v>0</v>
      </c>
      <c r="Q925" s="120">
        <v>0</v>
      </c>
      <c r="R925" s="120"/>
      <c r="S925" s="121"/>
    </row>
    <row r="926" spans="1:19" ht="15">
      <c r="A926" s="105" t="s">
        <v>251</v>
      </c>
      <c r="B926" s="105"/>
      <c r="C926" s="107" t="s">
        <v>251</v>
      </c>
      <c r="D926" s="107" t="s">
        <v>251</v>
      </c>
      <c r="E926" s="120" t="s">
        <v>251</v>
      </c>
      <c r="F926" s="120" t="s">
        <v>251</v>
      </c>
      <c r="G926" s="120" t="s">
        <v>251</v>
      </c>
      <c r="H926" s="120" t="s">
        <v>251</v>
      </c>
      <c r="I926" s="120" t="s">
        <v>251</v>
      </c>
      <c r="J926" s="120" t="s">
        <v>251</v>
      </c>
      <c r="K926" s="120" t="s">
        <v>251</v>
      </c>
      <c r="L926" s="120" t="s">
        <v>251</v>
      </c>
      <c r="M926" s="120" t="s">
        <v>251</v>
      </c>
      <c r="N926" s="120" t="s">
        <v>251</v>
      </c>
      <c r="O926" s="120" t="s">
        <v>251</v>
      </c>
      <c r="P926" s="120" t="s">
        <v>251</v>
      </c>
      <c r="Q926" s="120" t="s">
        <v>251</v>
      </c>
      <c r="R926" s="120"/>
      <c r="S926" s="121"/>
    </row>
    <row r="927" spans="1:19" ht="15">
      <c r="A927" s="105" t="s">
        <v>251</v>
      </c>
      <c r="B927" s="105"/>
      <c r="C927" s="107" t="s">
        <v>936</v>
      </c>
      <c r="D927" s="107" t="s">
        <v>251</v>
      </c>
      <c r="E927" s="120" t="s">
        <v>251</v>
      </c>
      <c r="F927" s="120" t="s">
        <v>251</v>
      </c>
      <c r="G927" s="120" t="s">
        <v>251</v>
      </c>
      <c r="H927" s="120" t="s">
        <v>251</v>
      </c>
      <c r="I927" s="120" t="s">
        <v>251</v>
      </c>
      <c r="J927" s="120" t="s">
        <v>251</v>
      </c>
      <c r="K927" s="120" t="s">
        <v>251</v>
      </c>
      <c r="L927" s="120" t="s">
        <v>251</v>
      </c>
      <c r="M927" s="120" t="s">
        <v>251</v>
      </c>
      <c r="N927" s="120" t="s">
        <v>251</v>
      </c>
      <c r="O927" s="120" t="s">
        <v>251</v>
      </c>
      <c r="P927" s="120" t="s">
        <v>251</v>
      </c>
      <c r="Q927" s="120" t="s">
        <v>251</v>
      </c>
      <c r="R927" s="120"/>
      <c r="S927" s="121"/>
    </row>
    <row r="928" spans="1:19" ht="15">
      <c r="A928" s="105">
        <v>12</v>
      </c>
      <c r="B928" s="105"/>
      <c r="C928" s="107" t="s">
        <v>937</v>
      </c>
      <c r="D928" s="107" t="s">
        <v>361</v>
      </c>
      <c r="E928" s="120">
        <v>9123751.0063599907</v>
      </c>
      <c r="F928" s="120" t="s">
        <v>251</v>
      </c>
      <c r="G928" s="120">
        <v>9114594.0063599907</v>
      </c>
      <c r="H928" s="120" t="s">
        <v>251</v>
      </c>
      <c r="I928" s="120">
        <v>0</v>
      </c>
      <c r="J928" s="120">
        <v>9157</v>
      </c>
      <c r="K928" s="120" t="s">
        <v>251</v>
      </c>
      <c r="L928" s="120" t="s">
        <v>251</v>
      </c>
      <c r="M928" s="120">
        <v>0</v>
      </c>
      <c r="N928" s="120" t="s">
        <v>251</v>
      </c>
      <c r="O928" s="120">
        <v>9157</v>
      </c>
      <c r="P928" s="120">
        <v>9157</v>
      </c>
      <c r="Q928" s="120">
        <v>0</v>
      </c>
      <c r="R928" s="120"/>
      <c r="S928" s="121"/>
    </row>
    <row r="929" spans="1:19" ht="15">
      <c r="A929" s="105">
        <v>13</v>
      </c>
      <c r="B929" s="105"/>
      <c r="C929" s="107" t="s">
        <v>938</v>
      </c>
      <c r="D929" s="107" t="s">
        <v>363</v>
      </c>
      <c r="E929" s="120">
        <v>19952952.210811999</v>
      </c>
      <c r="F929" s="120" t="s">
        <v>251</v>
      </c>
      <c r="G929" s="120">
        <v>19597540.210811999</v>
      </c>
      <c r="H929" s="120" t="s">
        <v>251</v>
      </c>
      <c r="I929" s="120">
        <v>0</v>
      </c>
      <c r="J929" s="120">
        <v>355412</v>
      </c>
      <c r="K929" s="120" t="s">
        <v>251</v>
      </c>
      <c r="L929" s="120" t="s">
        <v>251</v>
      </c>
      <c r="M929" s="120">
        <v>0</v>
      </c>
      <c r="N929" s="120" t="s">
        <v>251</v>
      </c>
      <c r="O929" s="120">
        <v>355412</v>
      </c>
      <c r="P929" s="120">
        <v>355412</v>
      </c>
      <c r="Q929" s="120">
        <v>0</v>
      </c>
      <c r="R929" s="120"/>
      <c r="S929" s="121"/>
    </row>
    <row r="930" spans="1:19" ht="15">
      <c r="A930" s="105">
        <v>14</v>
      </c>
      <c r="B930" s="105"/>
      <c r="C930" s="107" t="s">
        <v>939</v>
      </c>
      <c r="D930" s="107" t="s">
        <v>365</v>
      </c>
      <c r="E930" s="120">
        <v>231274267.22590452</v>
      </c>
      <c r="F930" s="120" t="s">
        <v>251</v>
      </c>
      <c r="G930" s="120">
        <v>228021184.22590452</v>
      </c>
      <c r="H930" s="120" t="s">
        <v>251</v>
      </c>
      <c r="I930" s="120">
        <v>0</v>
      </c>
      <c r="J930" s="120">
        <v>3253083</v>
      </c>
      <c r="K930" s="120" t="s">
        <v>251</v>
      </c>
      <c r="L930" s="120" t="s">
        <v>251</v>
      </c>
      <c r="M930" s="120">
        <v>0</v>
      </c>
      <c r="N930" s="120" t="s">
        <v>251</v>
      </c>
      <c r="O930" s="120">
        <v>3253083</v>
      </c>
      <c r="P930" s="120">
        <v>3253083</v>
      </c>
      <c r="Q930" s="120">
        <v>0</v>
      </c>
      <c r="R930" s="120"/>
      <c r="S930" s="121"/>
    </row>
    <row r="931" spans="1:19" ht="15">
      <c r="A931" s="105">
        <v>15</v>
      </c>
      <c r="B931" s="105"/>
      <c r="C931" s="107" t="s">
        <v>940</v>
      </c>
      <c r="D931" s="107" t="s">
        <v>367</v>
      </c>
      <c r="E931" s="120">
        <v>382248194.27387595</v>
      </c>
      <c r="F931" s="120" t="s">
        <v>251</v>
      </c>
      <c r="G931" s="120">
        <v>382248194.27387595</v>
      </c>
      <c r="H931" s="120" t="s">
        <v>251</v>
      </c>
      <c r="I931" s="120">
        <v>0</v>
      </c>
      <c r="J931" s="120">
        <v>0</v>
      </c>
      <c r="K931" s="120" t="s">
        <v>251</v>
      </c>
      <c r="L931" s="120" t="s">
        <v>251</v>
      </c>
      <c r="M931" s="120">
        <v>0</v>
      </c>
      <c r="N931" s="120" t="s">
        <v>251</v>
      </c>
      <c r="O931" s="120">
        <v>0</v>
      </c>
      <c r="P931" s="120">
        <v>0</v>
      </c>
      <c r="Q931" s="120">
        <v>0</v>
      </c>
      <c r="R931" s="120"/>
      <c r="S931" s="121"/>
    </row>
    <row r="932" spans="1:19" ht="15">
      <c r="A932" s="105">
        <v>16</v>
      </c>
      <c r="B932" s="105"/>
      <c r="C932" s="107" t="s">
        <v>941</v>
      </c>
      <c r="D932" s="107" t="s">
        <v>369</v>
      </c>
      <c r="E932" s="120">
        <v>380519553.0463922</v>
      </c>
      <c r="F932" s="120" t="s">
        <v>251</v>
      </c>
      <c r="G932" s="120">
        <v>380519553.0463922</v>
      </c>
      <c r="H932" s="120" t="s">
        <v>251</v>
      </c>
      <c r="I932" s="120">
        <v>0</v>
      </c>
      <c r="J932" s="120">
        <v>0</v>
      </c>
      <c r="K932" s="120" t="s">
        <v>251</v>
      </c>
      <c r="L932" s="120" t="s">
        <v>251</v>
      </c>
      <c r="M932" s="120">
        <v>0</v>
      </c>
      <c r="N932" s="120" t="s">
        <v>251</v>
      </c>
      <c r="O932" s="120">
        <v>0</v>
      </c>
      <c r="P932" s="120">
        <v>0</v>
      </c>
      <c r="Q932" s="120">
        <v>0</v>
      </c>
      <c r="R932" s="120"/>
      <c r="S932" s="121"/>
    </row>
    <row r="933" spans="1:19" ht="15">
      <c r="A933" s="105">
        <v>17</v>
      </c>
      <c r="B933" s="105"/>
      <c r="C933" s="107" t="s">
        <v>942</v>
      </c>
      <c r="D933" s="107" t="s">
        <v>371</v>
      </c>
      <c r="E933" s="120">
        <v>2390106.04</v>
      </c>
      <c r="F933" s="120" t="s">
        <v>251</v>
      </c>
      <c r="G933" s="120">
        <v>2390106.04</v>
      </c>
      <c r="H933" s="120" t="s">
        <v>251</v>
      </c>
      <c r="I933" s="120">
        <v>0</v>
      </c>
      <c r="J933" s="120">
        <v>0</v>
      </c>
      <c r="K933" s="120" t="s">
        <v>251</v>
      </c>
      <c r="L933" s="120" t="s">
        <v>251</v>
      </c>
      <c r="M933" s="120">
        <v>0</v>
      </c>
      <c r="N933" s="120" t="s">
        <v>251</v>
      </c>
      <c r="O933" s="120">
        <v>0</v>
      </c>
      <c r="P933" s="120">
        <v>0</v>
      </c>
      <c r="Q933" s="120">
        <v>0</v>
      </c>
      <c r="R933" s="120"/>
      <c r="S933" s="121"/>
    </row>
    <row r="934" spans="1:19" ht="15">
      <c r="A934" s="105">
        <v>18</v>
      </c>
      <c r="B934" s="105"/>
      <c r="C934" s="107" t="s">
        <v>943</v>
      </c>
      <c r="D934" s="107" t="s">
        <v>373</v>
      </c>
      <c r="E934" s="120">
        <v>203134504.83742911</v>
      </c>
      <c r="F934" s="120" t="s">
        <v>251</v>
      </c>
      <c r="G934" s="120">
        <v>203134504.83742911</v>
      </c>
      <c r="H934" s="120" t="s">
        <v>251</v>
      </c>
      <c r="I934" s="120">
        <v>0</v>
      </c>
      <c r="J934" s="120">
        <v>0</v>
      </c>
      <c r="K934" s="120" t="s">
        <v>251</v>
      </c>
      <c r="L934" s="120" t="s">
        <v>251</v>
      </c>
      <c r="M934" s="120">
        <v>0</v>
      </c>
      <c r="N934" s="120" t="s">
        <v>251</v>
      </c>
      <c r="O934" s="120">
        <v>0</v>
      </c>
      <c r="P934" s="120">
        <v>0</v>
      </c>
      <c r="Q934" s="120">
        <v>0</v>
      </c>
      <c r="R934" s="120"/>
      <c r="S934" s="121"/>
    </row>
    <row r="935" spans="1:19" ht="15">
      <c r="A935" s="105">
        <v>19</v>
      </c>
      <c r="B935" s="105"/>
      <c r="C935" s="107" t="s">
        <v>944</v>
      </c>
      <c r="D935" s="107" t="s">
        <v>378</v>
      </c>
      <c r="E935" s="120">
        <v>310271248.432989</v>
      </c>
      <c r="F935" s="120" t="s">
        <v>251</v>
      </c>
      <c r="G935" s="120">
        <v>310271248.432989</v>
      </c>
      <c r="H935" s="120" t="s">
        <v>251</v>
      </c>
      <c r="I935" s="120">
        <v>0</v>
      </c>
      <c r="J935" s="120">
        <v>0</v>
      </c>
      <c r="K935" s="120" t="s">
        <v>251</v>
      </c>
      <c r="L935" s="120" t="s">
        <v>251</v>
      </c>
      <c r="M935" s="120">
        <v>0</v>
      </c>
      <c r="N935" s="120" t="s">
        <v>251</v>
      </c>
      <c r="O935" s="120">
        <v>0</v>
      </c>
      <c r="P935" s="120">
        <v>0</v>
      </c>
      <c r="Q935" s="120">
        <v>0</v>
      </c>
      <c r="R935" s="120"/>
      <c r="S935" s="121"/>
    </row>
    <row r="936" spans="1:19" ht="15">
      <c r="A936" s="105">
        <v>20</v>
      </c>
      <c r="B936" s="105"/>
      <c r="C936" s="107" t="s">
        <v>945</v>
      </c>
      <c r="D936" s="107" t="s">
        <v>389</v>
      </c>
      <c r="E936" s="120">
        <v>658287.18999999901</v>
      </c>
      <c r="F936" s="120" t="s">
        <v>251</v>
      </c>
      <c r="G936" s="120">
        <v>658287.18999999901</v>
      </c>
      <c r="H936" s="120" t="s">
        <v>251</v>
      </c>
      <c r="I936" s="120">
        <v>0</v>
      </c>
      <c r="J936" s="120">
        <v>0</v>
      </c>
      <c r="K936" s="120" t="s">
        <v>251</v>
      </c>
      <c r="L936" s="120" t="s">
        <v>251</v>
      </c>
      <c r="M936" s="120">
        <v>0</v>
      </c>
      <c r="N936" s="120" t="s">
        <v>251</v>
      </c>
      <c r="O936" s="120">
        <v>0</v>
      </c>
      <c r="P936" s="120">
        <v>0</v>
      </c>
      <c r="Q936" s="120">
        <v>0</v>
      </c>
      <c r="R936" s="120"/>
      <c r="S936" s="121"/>
    </row>
    <row r="937" spans="1:19" ht="15">
      <c r="A937" s="105">
        <v>21</v>
      </c>
      <c r="B937" s="105"/>
      <c r="C937" s="107" t="s">
        <v>946</v>
      </c>
      <c r="D937" s="107" t="s">
        <v>392</v>
      </c>
      <c r="E937" s="120">
        <v>313284.19</v>
      </c>
      <c r="F937" s="120" t="s">
        <v>251</v>
      </c>
      <c r="G937" s="120">
        <v>0</v>
      </c>
      <c r="H937" s="120" t="s">
        <v>251</v>
      </c>
      <c r="I937" s="120">
        <v>313284.19</v>
      </c>
      <c r="J937" s="120">
        <v>0</v>
      </c>
      <c r="K937" s="120" t="s">
        <v>251</v>
      </c>
      <c r="L937" s="120" t="s">
        <v>251</v>
      </c>
      <c r="M937" s="120">
        <v>0</v>
      </c>
      <c r="N937" s="120" t="s">
        <v>251</v>
      </c>
      <c r="O937" s="120">
        <v>0</v>
      </c>
      <c r="P937" s="120">
        <v>0</v>
      </c>
      <c r="Q937" s="120">
        <v>0</v>
      </c>
      <c r="R937" s="120"/>
      <c r="S937" s="121"/>
    </row>
    <row r="938" spans="1:19" ht="15">
      <c r="A938" s="105">
        <v>22</v>
      </c>
      <c r="B938" s="105"/>
      <c r="C938" s="107" t="s">
        <v>947</v>
      </c>
      <c r="D938" s="107" t="s">
        <v>393</v>
      </c>
      <c r="E938" s="120">
        <v>767594.02316999994</v>
      </c>
      <c r="F938" s="120" t="s">
        <v>251</v>
      </c>
      <c r="G938" s="120">
        <v>0</v>
      </c>
      <c r="H938" s="120" t="s">
        <v>251</v>
      </c>
      <c r="I938" s="120">
        <v>767594.02316999994</v>
      </c>
      <c r="J938" s="120">
        <v>0</v>
      </c>
      <c r="K938" s="120" t="s">
        <v>251</v>
      </c>
      <c r="L938" s="120" t="s">
        <v>251</v>
      </c>
      <c r="M938" s="120">
        <v>0</v>
      </c>
      <c r="N938" s="120" t="s">
        <v>251</v>
      </c>
      <c r="O938" s="120">
        <v>0</v>
      </c>
      <c r="P938" s="120">
        <v>0</v>
      </c>
      <c r="Q938" s="120">
        <v>0</v>
      </c>
      <c r="R938" s="120"/>
      <c r="S938" s="121"/>
    </row>
    <row r="939" spans="1:19" ht="15">
      <c r="A939" s="105">
        <v>23</v>
      </c>
      <c r="B939" s="105"/>
      <c r="C939" s="107" t="s">
        <v>948</v>
      </c>
      <c r="D939" s="107" t="s">
        <v>394</v>
      </c>
      <c r="E939" s="120">
        <v>8513231.9300000016</v>
      </c>
      <c r="F939" s="120" t="s">
        <v>251</v>
      </c>
      <c r="G939" s="120">
        <v>0</v>
      </c>
      <c r="H939" s="120" t="s">
        <v>251</v>
      </c>
      <c r="I939" s="120">
        <v>8513231.9300000016</v>
      </c>
      <c r="J939" s="120">
        <v>0</v>
      </c>
      <c r="K939" s="120" t="s">
        <v>251</v>
      </c>
      <c r="L939" s="120" t="s">
        <v>251</v>
      </c>
      <c r="M939" s="120">
        <v>0</v>
      </c>
      <c r="N939" s="120" t="s">
        <v>251</v>
      </c>
      <c r="O939" s="120">
        <v>0</v>
      </c>
      <c r="P939" s="120">
        <v>0</v>
      </c>
      <c r="Q939" s="120">
        <v>0</v>
      </c>
      <c r="R939" s="120"/>
      <c r="S939" s="121"/>
    </row>
    <row r="940" spans="1:19" ht="15">
      <c r="A940" s="105">
        <v>24</v>
      </c>
      <c r="B940" s="105"/>
      <c r="C940" s="107" t="s">
        <v>2255</v>
      </c>
      <c r="D940" s="107" t="s">
        <v>2233</v>
      </c>
      <c r="E940" s="120">
        <v>1471422.59</v>
      </c>
      <c r="F940" s="120" t="s">
        <v>251</v>
      </c>
      <c r="G940" s="120">
        <v>1147334.75</v>
      </c>
      <c r="H940" s="120" t="s">
        <v>251</v>
      </c>
      <c r="I940" s="120">
        <v>324087.84000000003</v>
      </c>
      <c r="J940" s="120">
        <v>0</v>
      </c>
      <c r="K940" s="120" t="s">
        <v>251</v>
      </c>
      <c r="L940" s="120" t="s">
        <v>251</v>
      </c>
      <c r="M940" s="120">
        <v>0</v>
      </c>
      <c r="N940" s="120" t="s">
        <v>251</v>
      </c>
      <c r="O940" s="120">
        <v>0</v>
      </c>
      <c r="P940" s="120">
        <v>0</v>
      </c>
      <c r="Q940" s="120">
        <v>0</v>
      </c>
      <c r="R940" s="120"/>
      <c r="S940" s="121"/>
    </row>
    <row r="941" spans="1:19" ht="15">
      <c r="A941" s="105">
        <v>25</v>
      </c>
      <c r="B941" s="105"/>
      <c r="C941" s="107" t="s">
        <v>949</v>
      </c>
      <c r="D941" s="107" t="s">
        <v>395</v>
      </c>
      <c r="E941" s="120">
        <v>30404887.563453097</v>
      </c>
      <c r="F941" s="120" t="s">
        <v>251</v>
      </c>
      <c r="G941" s="120">
        <v>0</v>
      </c>
      <c r="H941" s="120" t="s">
        <v>251</v>
      </c>
      <c r="I941" s="120">
        <v>30404887.563453097</v>
      </c>
      <c r="J941" s="120">
        <v>0</v>
      </c>
      <c r="K941" s="120" t="s">
        <v>251</v>
      </c>
      <c r="L941" s="120" t="s">
        <v>251</v>
      </c>
      <c r="M941" s="120">
        <v>0</v>
      </c>
      <c r="N941" s="120" t="s">
        <v>251</v>
      </c>
      <c r="O941" s="120">
        <v>0</v>
      </c>
      <c r="P941" s="120">
        <v>0</v>
      </c>
      <c r="Q941" s="120">
        <v>0</v>
      </c>
      <c r="R941" s="120"/>
      <c r="S941" s="121"/>
    </row>
    <row r="942" spans="1:19" ht="15">
      <c r="A942" s="105">
        <v>26</v>
      </c>
      <c r="B942" s="105"/>
      <c r="C942" s="107" t="s">
        <v>950</v>
      </c>
      <c r="D942" s="107" t="s">
        <v>396</v>
      </c>
      <c r="E942" s="120">
        <v>27973849.978206001</v>
      </c>
      <c r="F942" s="120" t="s">
        <v>251</v>
      </c>
      <c r="G942" s="120">
        <v>0</v>
      </c>
      <c r="H942" s="120" t="s">
        <v>251</v>
      </c>
      <c r="I942" s="120">
        <v>27973849.978206001</v>
      </c>
      <c r="J942" s="120">
        <v>0</v>
      </c>
      <c r="K942" s="120" t="s">
        <v>251</v>
      </c>
      <c r="L942" s="120" t="s">
        <v>251</v>
      </c>
      <c r="M942" s="120">
        <v>0</v>
      </c>
      <c r="N942" s="120" t="s">
        <v>251</v>
      </c>
      <c r="O942" s="120">
        <v>0</v>
      </c>
      <c r="P942" s="120">
        <v>0</v>
      </c>
      <c r="Q942" s="120">
        <v>0</v>
      </c>
      <c r="R942" s="120"/>
      <c r="S942" s="121"/>
    </row>
    <row r="943" spans="1:19" ht="15">
      <c r="A943" s="105">
        <v>27</v>
      </c>
      <c r="B943" s="105"/>
      <c r="C943" s="107" t="s">
        <v>951</v>
      </c>
      <c r="D943" s="107" t="s">
        <v>397</v>
      </c>
      <c r="E943" s="120">
        <v>4682183.5035775006</v>
      </c>
      <c r="F943" s="120" t="s">
        <v>251</v>
      </c>
      <c r="G943" s="120">
        <v>0</v>
      </c>
      <c r="H943" s="120" t="s">
        <v>251</v>
      </c>
      <c r="I943" s="120">
        <v>4682183.5035775006</v>
      </c>
      <c r="J943" s="120">
        <v>0</v>
      </c>
      <c r="K943" s="120" t="s">
        <v>251</v>
      </c>
      <c r="L943" s="120" t="s">
        <v>251</v>
      </c>
      <c r="M943" s="120">
        <v>0</v>
      </c>
      <c r="N943" s="120" t="s">
        <v>251</v>
      </c>
      <c r="O943" s="120">
        <v>0</v>
      </c>
      <c r="P943" s="120">
        <v>0</v>
      </c>
      <c r="Q943" s="120">
        <v>0</v>
      </c>
      <c r="R943" s="120"/>
    </row>
    <row r="944" spans="1:19" ht="15">
      <c r="A944" s="105">
        <v>28</v>
      </c>
      <c r="B944" s="105"/>
      <c r="C944" s="107" t="s">
        <v>952</v>
      </c>
      <c r="D944" s="107" t="s">
        <v>399</v>
      </c>
      <c r="E944" s="120">
        <v>11123719.213342</v>
      </c>
      <c r="F944" s="120" t="s">
        <v>251</v>
      </c>
      <c r="G944" s="120">
        <v>0</v>
      </c>
      <c r="H944" s="120" t="s">
        <v>251</v>
      </c>
      <c r="I944" s="120">
        <v>11123719.213342</v>
      </c>
      <c r="J944" s="120">
        <v>0</v>
      </c>
      <c r="K944" s="120" t="s">
        <v>251</v>
      </c>
      <c r="L944" s="120" t="s">
        <v>251</v>
      </c>
      <c r="M944" s="120">
        <v>0</v>
      </c>
      <c r="N944" s="120" t="s">
        <v>251</v>
      </c>
      <c r="O944" s="120">
        <v>0</v>
      </c>
      <c r="P944" s="120">
        <v>0</v>
      </c>
      <c r="Q944" s="120">
        <v>0</v>
      </c>
      <c r="R944" s="120"/>
    </row>
    <row r="945" spans="1:18" ht="15">
      <c r="A945" s="105">
        <v>29</v>
      </c>
      <c r="B945" s="105"/>
      <c r="C945" s="107" t="s">
        <v>953</v>
      </c>
      <c r="D945" s="107" t="s">
        <v>406</v>
      </c>
      <c r="E945" s="120">
        <v>475572.53</v>
      </c>
      <c r="F945" s="120" t="s">
        <v>251</v>
      </c>
      <c r="G945" s="120">
        <v>0</v>
      </c>
      <c r="H945" s="120" t="s">
        <v>251</v>
      </c>
      <c r="I945" s="120">
        <v>0</v>
      </c>
      <c r="J945" s="120">
        <v>475572.53</v>
      </c>
      <c r="K945" s="120" t="s">
        <v>251</v>
      </c>
      <c r="L945" s="120" t="s">
        <v>251</v>
      </c>
      <c r="M945" s="120">
        <v>475572.53</v>
      </c>
      <c r="N945" s="120" t="s">
        <v>251</v>
      </c>
      <c r="O945" s="120">
        <v>0</v>
      </c>
      <c r="P945" s="120">
        <v>0</v>
      </c>
      <c r="Q945" s="120">
        <v>0</v>
      </c>
      <c r="R945" s="120"/>
    </row>
    <row r="946" spans="1:18" ht="15">
      <c r="A946" s="105">
        <v>30</v>
      </c>
      <c r="B946" s="105"/>
      <c r="C946" s="107" t="s">
        <v>954</v>
      </c>
      <c r="D946" s="107" t="s">
        <v>407</v>
      </c>
      <c r="E946" s="120">
        <v>2545.13</v>
      </c>
      <c r="F946" s="120" t="s">
        <v>251</v>
      </c>
      <c r="G946" s="120">
        <v>0</v>
      </c>
      <c r="H946" s="120" t="s">
        <v>251</v>
      </c>
      <c r="I946" s="120">
        <v>0</v>
      </c>
      <c r="J946" s="120">
        <v>2545.13</v>
      </c>
      <c r="K946" s="120" t="s">
        <v>251</v>
      </c>
      <c r="L946" s="120" t="s">
        <v>251</v>
      </c>
      <c r="M946" s="120">
        <v>2545.13</v>
      </c>
      <c r="N946" s="120" t="s">
        <v>251</v>
      </c>
      <c r="O946" s="120">
        <v>0</v>
      </c>
      <c r="P946" s="120">
        <v>0</v>
      </c>
      <c r="Q946" s="120">
        <v>0</v>
      </c>
      <c r="R946" s="120"/>
    </row>
    <row r="947" spans="1:18" ht="15">
      <c r="A947" s="105">
        <v>31</v>
      </c>
      <c r="B947" s="105"/>
      <c r="C947" s="107" t="s">
        <v>955</v>
      </c>
      <c r="D947" s="107" t="s">
        <v>408</v>
      </c>
      <c r="E947" s="120">
        <v>66880.149999999994</v>
      </c>
      <c r="F947" s="120" t="s">
        <v>251</v>
      </c>
      <c r="G947" s="120">
        <v>0</v>
      </c>
      <c r="H947" s="120" t="s">
        <v>251</v>
      </c>
      <c r="I947" s="120">
        <v>0</v>
      </c>
      <c r="J947" s="120">
        <v>66880.149999999994</v>
      </c>
      <c r="K947" s="120" t="s">
        <v>251</v>
      </c>
      <c r="L947" s="120" t="s">
        <v>251</v>
      </c>
      <c r="M947" s="120">
        <v>66880.149999999994</v>
      </c>
      <c r="N947" s="120" t="s">
        <v>251</v>
      </c>
      <c r="O947" s="120">
        <v>0</v>
      </c>
      <c r="P947" s="120">
        <v>0</v>
      </c>
      <c r="Q947" s="120">
        <v>0</v>
      </c>
      <c r="R947" s="120"/>
    </row>
    <row r="948" spans="1:18" ht="15">
      <c r="A948" s="105">
        <v>32</v>
      </c>
      <c r="B948" s="105"/>
      <c r="C948" s="107" t="s">
        <v>956</v>
      </c>
      <c r="D948" s="107" t="s">
        <v>409</v>
      </c>
      <c r="E948" s="120">
        <v>47785.56</v>
      </c>
      <c r="F948" s="120" t="s">
        <v>251</v>
      </c>
      <c r="G948" s="120">
        <v>0</v>
      </c>
      <c r="H948" s="120" t="s">
        <v>251</v>
      </c>
      <c r="I948" s="120">
        <v>0</v>
      </c>
      <c r="J948" s="120">
        <v>47785.56</v>
      </c>
      <c r="K948" s="120" t="s">
        <v>251</v>
      </c>
      <c r="L948" s="120" t="s">
        <v>251</v>
      </c>
      <c r="M948" s="120">
        <v>47785.56</v>
      </c>
      <c r="N948" s="120" t="s">
        <v>251</v>
      </c>
      <c r="O948" s="120">
        <v>0</v>
      </c>
      <c r="P948" s="120">
        <v>0</v>
      </c>
      <c r="Q948" s="120">
        <v>0</v>
      </c>
      <c r="R948" s="120"/>
    </row>
    <row r="949" spans="1:18" ht="15">
      <c r="A949" s="105">
        <v>33</v>
      </c>
      <c r="B949" s="105"/>
      <c r="C949" s="107" t="s">
        <v>957</v>
      </c>
      <c r="D949" s="107" t="s">
        <v>410</v>
      </c>
      <c r="E949" s="120">
        <v>46763.219999999994</v>
      </c>
      <c r="F949" s="120" t="s">
        <v>251</v>
      </c>
      <c r="G949" s="120">
        <v>0</v>
      </c>
      <c r="H949" s="120" t="s">
        <v>251</v>
      </c>
      <c r="I949" s="120">
        <v>0</v>
      </c>
      <c r="J949" s="120">
        <v>46763.219999999994</v>
      </c>
      <c r="K949" s="120" t="s">
        <v>251</v>
      </c>
      <c r="L949" s="120" t="s">
        <v>251</v>
      </c>
      <c r="M949" s="120">
        <v>46763.219999999994</v>
      </c>
      <c r="N949" s="120" t="s">
        <v>251</v>
      </c>
      <c r="O949" s="120">
        <v>0</v>
      </c>
      <c r="P949" s="120">
        <v>0</v>
      </c>
      <c r="Q949" s="120">
        <v>0</v>
      </c>
      <c r="R949" s="120"/>
    </row>
    <row r="950" spans="1:18" ht="15">
      <c r="A950" s="105">
        <v>34</v>
      </c>
      <c r="B950" s="105"/>
      <c r="C950" s="107" t="s">
        <v>958</v>
      </c>
      <c r="D950" s="107" t="s">
        <v>411</v>
      </c>
      <c r="E950" s="120">
        <v>3118.2799999999997</v>
      </c>
      <c r="F950" s="120" t="s">
        <v>251</v>
      </c>
      <c r="G950" s="120">
        <v>0</v>
      </c>
      <c r="H950" s="120" t="s">
        <v>251</v>
      </c>
      <c r="I950" s="120">
        <v>0</v>
      </c>
      <c r="J950" s="120">
        <v>3118.2799999999997</v>
      </c>
      <c r="K950" s="120" t="s">
        <v>251</v>
      </c>
      <c r="L950" s="120" t="s">
        <v>251</v>
      </c>
      <c r="M950" s="120">
        <v>3118.2799999999997</v>
      </c>
      <c r="N950" s="120" t="s">
        <v>251</v>
      </c>
      <c r="O950" s="120">
        <v>0</v>
      </c>
      <c r="P950" s="120">
        <v>0</v>
      </c>
      <c r="Q950" s="120">
        <v>0</v>
      </c>
      <c r="R950" s="120"/>
    </row>
    <row r="951" spans="1:18" ht="15">
      <c r="A951" s="105">
        <v>35</v>
      </c>
      <c r="B951" s="105"/>
      <c r="C951" s="107" t="s">
        <v>959</v>
      </c>
      <c r="D951" s="107" t="s">
        <v>412</v>
      </c>
      <c r="E951" s="120">
        <v>254.62</v>
      </c>
      <c r="F951" s="120" t="s">
        <v>251</v>
      </c>
      <c r="G951" s="120">
        <v>0</v>
      </c>
      <c r="H951" s="120" t="s">
        <v>251</v>
      </c>
      <c r="I951" s="120">
        <v>0</v>
      </c>
      <c r="J951" s="120">
        <v>254.62</v>
      </c>
      <c r="K951" s="120" t="s">
        <v>251</v>
      </c>
      <c r="L951" s="120" t="s">
        <v>251</v>
      </c>
      <c r="M951" s="120">
        <v>254.62</v>
      </c>
      <c r="N951" s="120" t="s">
        <v>251</v>
      </c>
      <c r="O951" s="120">
        <v>0</v>
      </c>
      <c r="P951" s="120">
        <v>0</v>
      </c>
      <c r="Q951" s="120">
        <v>0</v>
      </c>
      <c r="R951" s="120"/>
    </row>
    <row r="952" spans="1:18" ht="15">
      <c r="A952" s="105">
        <v>36</v>
      </c>
      <c r="B952" s="105"/>
      <c r="C952" s="107" t="s">
        <v>960</v>
      </c>
      <c r="D952" s="107" t="s">
        <v>413</v>
      </c>
      <c r="E952" s="120">
        <v>4199.21</v>
      </c>
      <c r="F952" s="120" t="s">
        <v>251</v>
      </c>
      <c r="G952" s="120">
        <v>0</v>
      </c>
      <c r="H952" s="120" t="s">
        <v>251</v>
      </c>
      <c r="I952" s="120">
        <v>0</v>
      </c>
      <c r="J952" s="120">
        <v>4199.21</v>
      </c>
      <c r="K952" s="120" t="s">
        <v>251</v>
      </c>
      <c r="L952" s="120" t="s">
        <v>251</v>
      </c>
      <c r="M952" s="120">
        <v>4199.21</v>
      </c>
      <c r="N952" s="120" t="s">
        <v>251</v>
      </c>
      <c r="O952" s="120">
        <v>0</v>
      </c>
      <c r="P952" s="120">
        <v>0</v>
      </c>
      <c r="Q952" s="120">
        <v>0</v>
      </c>
      <c r="R952" s="120"/>
    </row>
    <row r="953" spans="1:18" ht="15">
      <c r="A953" s="105">
        <v>37</v>
      </c>
      <c r="B953" s="105"/>
      <c r="C953" s="107" t="s">
        <v>961</v>
      </c>
      <c r="D953" s="107" t="s">
        <v>414</v>
      </c>
      <c r="E953" s="120">
        <v>0</v>
      </c>
      <c r="F953" s="120" t="s">
        <v>251</v>
      </c>
      <c r="G953" s="120">
        <v>0</v>
      </c>
      <c r="H953" s="120" t="s">
        <v>251</v>
      </c>
      <c r="I953" s="120">
        <v>0</v>
      </c>
      <c r="J953" s="120">
        <v>0</v>
      </c>
      <c r="K953" s="120" t="s">
        <v>251</v>
      </c>
      <c r="L953" s="120" t="s">
        <v>251</v>
      </c>
      <c r="M953" s="120">
        <v>0</v>
      </c>
      <c r="N953" s="120" t="s">
        <v>251</v>
      </c>
      <c r="O953" s="120">
        <v>0</v>
      </c>
      <c r="P953" s="120">
        <v>0</v>
      </c>
      <c r="Q953" s="120">
        <v>0</v>
      </c>
      <c r="R953" s="120"/>
    </row>
    <row r="954" spans="1:18" ht="15">
      <c r="A954" s="105">
        <v>38</v>
      </c>
      <c r="B954" s="105"/>
      <c r="C954" s="107" t="s">
        <v>962</v>
      </c>
      <c r="D954" s="107" t="s">
        <v>464</v>
      </c>
      <c r="E954" s="120">
        <v>40600116.172484577</v>
      </c>
      <c r="F954" s="120" t="s">
        <v>251</v>
      </c>
      <c r="G954" s="120">
        <v>0</v>
      </c>
      <c r="H954" s="120" t="s">
        <v>251</v>
      </c>
      <c r="I954" s="120">
        <v>40449386.222484574</v>
      </c>
      <c r="J954" s="120">
        <v>150729.9499999999</v>
      </c>
      <c r="K954" s="120" t="s">
        <v>251</v>
      </c>
      <c r="L954" s="120" t="s">
        <v>251</v>
      </c>
      <c r="M954" s="120">
        <v>150729.9499999999</v>
      </c>
      <c r="N954" s="120" t="s">
        <v>251</v>
      </c>
      <c r="O954" s="120">
        <v>0</v>
      </c>
      <c r="P954" s="120">
        <v>0</v>
      </c>
      <c r="Q954" s="120">
        <v>0</v>
      </c>
      <c r="R954" s="120"/>
    </row>
    <row r="955" spans="1:18" ht="15">
      <c r="A955" s="105">
        <v>39</v>
      </c>
      <c r="B955" s="105"/>
      <c r="C955" s="107" t="s">
        <v>963</v>
      </c>
      <c r="D955" s="107" t="s">
        <v>487</v>
      </c>
      <c r="E955" s="120">
        <v>2.8699915333163497E-5</v>
      </c>
      <c r="F955" s="120" t="s">
        <v>251</v>
      </c>
      <c r="G955" s="120">
        <v>0</v>
      </c>
      <c r="H955" s="120" t="s">
        <v>251</v>
      </c>
      <c r="I955" s="120">
        <v>2.8699915333163497E-5</v>
      </c>
      <c r="J955" s="120">
        <v>0</v>
      </c>
      <c r="K955" s="120" t="s">
        <v>251</v>
      </c>
      <c r="L955" s="120" t="s">
        <v>251</v>
      </c>
      <c r="M955" s="120">
        <v>0</v>
      </c>
      <c r="N955" s="120" t="s">
        <v>251</v>
      </c>
      <c r="O955" s="120">
        <v>0</v>
      </c>
      <c r="P955" s="120">
        <v>0</v>
      </c>
      <c r="Q955" s="120">
        <v>0</v>
      </c>
      <c r="R955" s="120"/>
    </row>
    <row r="956" spans="1:18" ht="15">
      <c r="A956" s="105">
        <v>40</v>
      </c>
      <c r="B956" s="105"/>
      <c r="C956" s="107" t="s">
        <v>2256</v>
      </c>
      <c r="D956" s="107" t="s">
        <v>523</v>
      </c>
      <c r="E956" s="120">
        <v>10084233</v>
      </c>
      <c r="F956" s="120" t="s">
        <v>251</v>
      </c>
      <c r="G956" s="120">
        <v>0</v>
      </c>
      <c r="H956" s="120" t="s">
        <v>251</v>
      </c>
      <c r="I956" s="120">
        <v>10084233</v>
      </c>
      <c r="J956" s="120">
        <v>0</v>
      </c>
      <c r="K956" s="120" t="s">
        <v>251</v>
      </c>
      <c r="L956" s="120" t="s">
        <v>251</v>
      </c>
      <c r="M956" s="120">
        <v>0</v>
      </c>
      <c r="N956" s="120" t="s">
        <v>251</v>
      </c>
      <c r="O956" s="120">
        <v>0</v>
      </c>
      <c r="P956" s="120">
        <v>0</v>
      </c>
      <c r="Q956" s="120">
        <v>0</v>
      </c>
      <c r="R956" s="120"/>
    </row>
    <row r="957" spans="1:18" ht="15">
      <c r="A957" s="105">
        <v>41</v>
      </c>
      <c r="B957" s="105"/>
      <c r="C957" s="107" t="s">
        <v>2257</v>
      </c>
      <c r="D957" s="107" t="s">
        <v>532</v>
      </c>
      <c r="E957" s="120">
        <v>0</v>
      </c>
      <c r="F957" s="120" t="s">
        <v>251</v>
      </c>
      <c r="G957" s="120">
        <v>0</v>
      </c>
      <c r="H957" s="120" t="s">
        <v>251</v>
      </c>
      <c r="I957" s="120">
        <v>0</v>
      </c>
      <c r="J957" s="120">
        <v>0</v>
      </c>
      <c r="K957" s="120" t="s">
        <v>251</v>
      </c>
      <c r="L957" s="120" t="s">
        <v>251</v>
      </c>
      <c r="M957" s="120">
        <v>0</v>
      </c>
      <c r="N957" s="120" t="s">
        <v>251</v>
      </c>
      <c r="O957" s="120">
        <v>0</v>
      </c>
      <c r="P957" s="120">
        <v>0</v>
      </c>
      <c r="Q957" s="120">
        <v>0</v>
      </c>
      <c r="R957" s="120"/>
    </row>
    <row r="958" spans="1:18" ht="15">
      <c r="A958" s="105">
        <v>42</v>
      </c>
      <c r="B958" s="105"/>
      <c r="C958" s="107" t="s">
        <v>964</v>
      </c>
      <c r="D958" s="107" t="s">
        <v>569</v>
      </c>
      <c r="E958" s="120">
        <v>3533818.1549999975</v>
      </c>
      <c r="F958" s="120" t="s">
        <v>251</v>
      </c>
      <c r="G958" s="120">
        <v>3142710.7749999976</v>
      </c>
      <c r="H958" s="120" t="s">
        <v>251</v>
      </c>
      <c r="I958" s="120">
        <v>387734.87</v>
      </c>
      <c r="J958" s="120">
        <v>3372.5100000000011</v>
      </c>
      <c r="K958" s="120" t="s">
        <v>251</v>
      </c>
      <c r="L958" s="120" t="s">
        <v>251</v>
      </c>
      <c r="M958" s="120">
        <v>57.5</v>
      </c>
      <c r="N958" s="120" t="s">
        <v>251</v>
      </c>
      <c r="O958" s="120">
        <v>3315.0100000000011</v>
      </c>
      <c r="P958" s="120">
        <v>3315.0100000000011</v>
      </c>
      <c r="Q958" s="120">
        <v>0</v>
      </c>
      <c r="R958" s="120"/>
    </row>
    <row r="959" spans="1:18" ht="15">
      <c r="A959" s="105">
        <v>43</v>
      </c>
      <c r="B959" s="105"/>
      <c r="C959" s="107" t="s">
        <v>965</v>
      </c>
      <c r="D959" s="107" t="s">
        <v>579</v>
      </c>
      <c r="E959" s="120">
        <v>36813.089999999997</v>
      </c>
      <c r="F959" s="120" t="s">
        <v>251</v>
      </c>
      <c r="G959" s="120">
        <v>35268.839999999997</v>
      </c>
      <c r="H959" s="120" t="s">
        <v>251</v>
      </c>
      <c r="I959" s="120">
        <v>1544.25</v>
      </c>
      <c r="J959" s="120">
        <v>0</v>
      </c>
      <c r="K959" s="120" t="s">
        <v>251</v>
      </c>
      <c r="L959" s="120" t="s">
        <v>251</v>
      </c>
      <c r="M959" s="120">
        <v>0</v>
      </c>
      <c r="N959" s="120" t="s">
        <v>251</v>
      </c>
      <c r="O959" s="120">
        <v>0</v>
      </c>
      <c r="P959" s="120">
        <v>0</v>
      </c>
      <c r="Q959" s="120">
        <v>0</v>
      </c>
      <c r="R959" s="120"/>
    </row>
    <row r="960" spans="1:18" ht="15">
      <c r="A960" s="105">
        <v>44</v>
      </c>
      <c r="B960" s="105"/>
      <c r="C960" s="107" t="s">
        <v>966</v>
      </c>
      <c r="D960" s="107" t="s">
        <v>577</v>
      </c>
      <c r="E960" s="120">
        <v>33724.023333326302</v>
      </c>
      <c r="F960" s="120" t="s">
        <v>251</v>
      </c>
      <c r="G960" s="120">
        <v>33724.023333326302</v>
      </c>
      <c r="H960" s="120" t="s">
        <v>251</v>
      </c>
      <c r="I960" s="120">
        <v>0</v>
      </c>
      <c r="J960" s="120">
        <v>0</v>
      </c>
      <c r="K960" s="120" t="s">
        <v>251</v>
      </c>
      <c r="L960" s="120" t="s">
        <v>251</v>
      </c>
      <c r="M960" s="120">
        <v>0</v>
      </c>
      <c r="N960" s="120" t="s">
        <v>251</v>
      </c>
      <c r="O960" s="120">
        <v>0</v>
      </c>
      <c r="P960" s="120">
        <v>0</v>
      </c>
      <c r="Q960" s="120">
        <v>0</v>
      </c>
      <c r="R960" s="120"/>
    </row>
    <row r="961" spans="1:18" ht="15">
      <c r="A961" s="105">
        <v>45</v>
      </c>
      <c r="B961" s="105"/>
      <c r="C961" s="107" t="s">
        <v>967</v>
      </c>
      <c r="D961" s="107" t="s">
        <v>565</v>
      </c>
      <c r="E961" s="120">
        <v>2409014.85</v>
      </c>
      <c r="F961" s="120" t="s">
        <v>251</v>
      </c>
      <c r="G961" s="120">
        <v>2256048.35</v>
      </c>
      <c r="H961" s="120" t="s">
        <v>251</v>
      </c>
      <c r="I961" s="120">
        <v>152966.5</v>
      </c>
      <c r="J961" s="120">
        <v>0</v>
      </c>
      <c r="K961" s="120" t="s">
        <v>251</v>
      </c>
      <c r="L961" s="120" t="s">
        <v>251</v>
      </c>
      <c r="M961" s="120">
        <v>0</v>
      </c>
      <c r="N961" s="120" t="s">
        <v>251</v>
      </c>
      <c r="O961" s="120">
        <v>0</v>
      </c>
      <c r="P961" s="120">
        <v>0</v>
      </c>
      <c r="Q961" s="120">
        <v>0</v>
      </c>
      <c r="R961" s="120"/>
    </row>
    <row r="962" spans="1:18" ht="15">
      <c r="A962" s="105">
        <v>46</v>
      </c>
      <c r="B962" s="105"/>
      <c r="C962" s="107" t="s">
        <v>968</v>
      </c>
      <c r="D962" s="107" t="s">
        <v>567</v>
      </c>
      <c r="E962" s="120">
        <v>60477.13</v>
      </c>
      <c r="F962" s="120" t="s">
        <v>251</v>
      </c>
      <c r="G962" s="120">
        <v>60017.13</v>
      </c>
      <c r="H962" s="120" t="s">
        <v>251</v>
      </c>
      <c r="I962" s="120">
        <v>460</v>
      </c>
      <c r="J962" s="120">
        <v>0</v>
      </c>
      <c r="K962" s="120" t="s">
        <v>251</v>
      </c>
      <c r="L962" s="120" t="s">
        <v>251</v>
      </c>
      <c r="M962" s="120">
        <v>0</v>
      </c>
      <c r="N962" s="120" t="s">
        <v>251</v>
      </c>
      <c r="O962" s="120">
        <v>0</v>
      </c>
      <c r="P962" s="120">
        <v>0</v>
      </c>
      <c r="Q962" s="120">
        <v>0</v>
      </c>
      <c r="R962" s="120"/>
    </row>
    <row r="963" spans="1:18" ht="15">
      <c r="A963" s="105">
        <v>47</v>
      </c>
      <c r="B963" s="105"/>
      <c r="C963" s="107" t="s">
        <v>969</v>
      </c>
      <c r="D963" s="107" t="s">
        <v>575</v>
      </c>
      <c r="E963" s="120">
        <v>187268</v>
      </c>
      <c r="F963" s="120" t="s">
        <v>251</v>
      </c>
      <c r="G963" s="120">
        <v>187268</v>
      </c>
      <c r="H963" s="120" t="s">
        <v>251</v>
      </c>
      <c r="I963" s="120">
        <v>0</v>
      </c>
      <c r="J963" s="120">
        <v>0</v>
      </c>
      <c r="K963" s="120" t="s">
        <v>251</v>
      </c>
      <c r="L963" s="120" t="s">
        <v>251</v>
      </c>
      <c r="M963" s="120">
        <v>0</v>
      </c>
      <c r="N963" s="120" t="s">
        <v>251</v>
      </c>
      <c r="O963" s="120">
        <v>0</v>
      </c>
      <c r="P963" s="120">
        <v>0</v>
      </c>
      <c r="Q963" s="120">
        <v>0</v>
      </c>
      <c r="R963" s="120"/>
    </row>
    <row r="964" spans="1:18" ht="15">
      <c r="A964" s="105">
        <v>48</v>
      </c>
      <c r="B964" s="105"/>
      <c r="C964" s="107" t="s">
        <v>970</v>
      </c>
      <c r="D964" s="107" t="s">
        <v>971</v>
      </c>
      <c r="E964" s="120">
        <v>17920</v>
      </c>
      <c r="F964" s="120" t="s">
        <v>251</v>
      </c>
      <c r="G964" s="120">
        <v>0</v>
      </c>
      <c r="H964" s="120" t="s">
        <v>251</v>
      </c>
      <c r="I964" s="120">
        <v>17920</v>
      </c>
      <c r="J964" s="120">
        <v>0</v>
      </c>
      <c r="K964" s="120" t="s">
        <v>251</v>
      </c>
      <c r="L964" s="120" t="s">
        <v>251</v>
      </c>
      <c r="M964" s="120">
        <v>0</v>
      </c>
      <c r="N964" s="120" t="s">
        <v>251</v>
      </c>
      <c r="O964" s="120">
        <v>0</v>
      </c>
      <c r="P964" s="120">
        <v>0</v>
      </c>
      <c r="Q964" s="120">
        <v>0</v>
      </c>
      <c r="R964" s="120"/>
    </row>
    <row r="965" spans="1:18" ht="15">
      <c r="A965" s="105">
        <v>49</v>
      </c>
      <c r="B965" s="105"/>
      <c r="C965" s="107" t="s">
        <v>972</v>
      </c>
      <c r="D965" s="107" t="s">
        <v>771</v>
      </c>
      <c r="E965" s="120">
        <v>0</v>
      </c>
      <c r="F965" s="120" t="s">
        <v>251</v>
      </c>
      <c r="G965" s="120">
        <v>0</v>
      </c>
      <c r="H965" s="120" t="s">
        <v>251</v>
      </c>
      <c r="I965" s="120">
        <v>0</v>
      </c>
      <c r="J965" s="120">
        <v>0</v>
      </c>
      <c r="K965" s="120" t="s">
        <v>251</v>
      </c>
      <c r="L965" s="120" t="s">
        <v>251</v>
      </c>
      <c r="M965" s="120">
        <v>0</v>
      </c>
      <c r="N965" s="120" t="s">
        <v>251</v>
      </c>
      <c r="O965" s="120">
        <v>0</v>
      </c>
      <c r="P965" s="120">
        <v>0</v>
      </c>
      <c r="Q965" s="120">
        <v>0</v>
      </c>
      <c r="R965" s="120"/>
    </row>
    <row r="966" spans="1:18" ht="15">
      <c r="A966" s="105">
        <v>50</v>
      </c>
      <c r="B966" s="105"/>
      <c r="C966" s="107" t="s">
        <v>973</v>
      </c>
      <c r="D966" s="107" t="s">
        <v>541</v>
      </c>
      <c r="E966" s="120">
        <v>234962</v>
      </c>
      <c r="F966" s="120" t="s">
        <v>251</v>
      </c>
      <c r="G966" s="120">
        <v>0</v>
      </c>
      <c r="H966" s="120" t="s">
        <v>251</v>
      </c>
      <c r="I966" s="120">
        <v>234962</v>
      </c>
      <c r="J966" s="120">
        <v>0</v>
      </c>
      <c r="K966" s="120" t="s">
        <v>251</v>
      </c>
      <c r="L966" s="120" t="s">
        <v>251</v>
      </c>
      <c r="M966" s="120">
        <v>0</v>
      </c>
      <c r="N966" s="120" t="s">
        <v>251</v>
      </c>
      <c r="O966" s="120">
        <v>0</v>
      </c>
      <c r="P966" s="120">
        <v>0</v>
      </c>
      <c r="Q966" s="120">
        <v>0</v>
      </c>
      <c r="R966" s="120"/>
    </row>
    <row r="967" spans="1:18" ht="15">
      <c r="A967" s="105" t="s">
        <v>251</v>
      </c>
      <c r="B967" s="105"/>
      <c r="C967" s="107" t="s">
        <v>251</v>
      </c>
      <c r="D967" s="107" t="s">
        <v>251</v>
      </c>
      <c r="E967" s="120" t="s">
        <v>251</v>
      </c>
      <c r="F967" s="120" t="s">
        <v>251</v>
      </c>
      <c r="G967" s="120" t="s">
        <v>251</v>
      </c>
      <c r="H967" s="120" t="s">
        <v>251</v>
      </c>
      <c r="I967" s="120" t="s">
        <v>251</v>
      </c>
      <c r="J967" s="120" t="s">
        <v>251</v>
      </c>
      <c r="K967" s="120" t="s">
        <v>251</v>
      </c>
      <c r="L967" s="120" t="s">
        <v>251</v>
      </c>
      <c r="M967" s="120" t="s">
        <v>251</v>
      </c>
      <c r="N967" s="120" t="s">
        <v>251</v>
      </c>
      <c r="O967" s="120" t="s">
        <v>251</v>
      </c>
      <c r="P967" s="120" t="s">
        <v>251</v>
      </c>
      <c r="Q967" s="120" t="s">
        <v>251</v>
      </c>
      <c r="R967" s="120"/>
    </row>
    <row r="968" spans="1:18" ht="15">
      <c r="A968" s="105" t="s">
        <v>251</v>
      </c>
      <c r="B968" s="105"/>
      <c r="C968" s="107" t="s">
        <v>251</v>
      </c>
      <c r="D968" s="107" t="s">
        <v>251</v>
      </c>
      <c r="E968" s="120" t="s">
        <v>251</v>
      </c>
      <c r="F968" s="120" t="s">
        <v>251</v>
      </c>
      <c r="G968" s="120" t="s">
        <v>251</v>
      </c>
      <c r="H968" s="120" t="s">
        <v>251</v>
      </c>
      <c r="I968" s="120" t="s">
        <v>251</v>
      </c>
      <c r="J968" s="120" t="s">
        <v>251</v>
      </c>
      <c r="K968" s="120" t="s">
        <v>251</v>
      </c>
      <c r="L968" s="120" t="s">
        <v>251</v>
      </c>
      <c r="M968" s="120" t="s">
        <v>251</v>
      </c>
      <c r="N968" s="120" t="s">
        <v>251</v>
      </c>
      <c r="O968" s="120" t="s">
        <v>251</v>
      </c>
      <c r="P968" s="120" t="s">
        <v>251</v>
      </c>
      <c r="Q968" s="120" t="s">
        <v>251</v>
      </c>
      <c r="R968" s="120"/>
    </row>
    <row r="969" spans="1:18" ht="15">
      <c r="A969" s="105" t="s">
        <v>251</v>
      </c>
      <c r="B969" s="105"/>
      <c r="C969" s="107" t="s">
        <v>495</v>
      </c>
      <c r="D969" s="107" t="s">
        <v>251</v>
      </c>
      <c r="E969" s="120" t="s">
        <v>251</v>
      </c>
      <c r="F969" s="120" t="s">
        <v>251</v>
      </c>
      <c r="G969" s="120" t="s">
        <v>251</v>
      </c>
      <c r="H969" s="120" t="s">
        <v>251</v>
      </c>
      <c r="I969" s="120" t="s">
        <v>251</v>
      </c>
      <c r="J969" s="120" t="s">
        <v>251</v>
      </c>
      <c r="K969" s="120" t="s">
        <v>251</v>
      </c>
      <c r="L969" s="120" t="s">
        <v>251</v>
      </c>
      <c r="M969" s="120" t="s">
        <v>251</v>
      </c>
      <c r="N969" s="120" t="s">
        <v>251</v>
      </c>
      <c r="O969" s="120" t="s">
        <v>251</v>
      </c>
      <c r="P969" s="120" t="s">
        <v>251</v>
      </c>
      <c r="Q969" s="120" t="s">
        <v>251</v>
      </c>
      <c r="R969" s="120"/>
    </row>
    <row r="970" spans="1:18" ht="15">
      <c r="A970" s="105" t="s">
        <v>251</v>
      </c>
      <c r="B970" s="105"/>
      <c r="C970" s="107" t="s">
        <v>920</v>
      </c>
      <c r="D970" s="107" t="s">
        <v>251</v>
      </c>
      <c r="E970" s="120" t="s">
        <v>251</v>
      </c>
      <c r="F970" s="120" t="s">
        <v>251</v>
      </c>
      <c r="G970" s="120" t="s">
        <v>251</v>
      </c>
      <c r="H970" s="120" t="s">
        <v>251</v>
      </c>
      <c r="I970" s="120" t="s">
        <v>251</v>
      </c>
      <c r="J970" s="120" t="s">
        <v>251</v>
      </c>
      <c r="K970" s="120" t="s">
        <v>251</v>
      </c>
      <c r="L970" s="120" t="s">
        <v>251</v>
      </c>
      <c r="M970" s="120" t="s">
        <v>251</v>
      </c>
      <c r="N970" s="120" t="s">
        <v>251</v>
      </c>
      <c r="O970" s="120" t="s">
        <v>251</v>
      </c>
      <c r="P970" s="120" t="s">
        <v>251</v>
      </c>
      <c r="Q970" s="120" t="s">
        <v>251</v>
      </c>
      <c r="R970" s="120"/>
    </row>
    <row r="971" spans="1:18" ht="15">
      <c r="A971" s="105">
        <v>1</v>
      </c>
      <c r="B971" s="105"/>
      <c r="C971" s="107" t="s">
        <v>974</v>
      </c>
      <c r="D971" s="107" t="s">
        <v>495</v>
      </c>
      <c r="E971" s="120">
        <v>21219766.061000001</v>
      </c>
      <c r="F971" s="120" t="s">
        <v>251</v>
      </c>
      <c r="G971" s="120">
        <v>18679000.831</v>
      </c>
      <c r="H971" s="120" t="s">
        <v>251</v>
      </c>
      <c r="I971" s="120">
        <v>762018.04</v>
      </c>
      <c r="J971" s="120">
        <v>1778747.19</v>
      </c>
      <c r="K971" s="120" t="s">
        <v>251</v>
      </c>
      <c r="L971" s="120" t="s">
        <v>251</v>
      </c>
      <c r="M971" s="120">
        <v>83.596999999999994</v>
      </c>
      <c r="N971" s="120" t="s">
        <v>251</v>
      </c>
      <c r="O971" s="120">
        <v>1778663.5929999999</v>
      </c>
      <c r="P971" s="120">
        <v>569120.76500000001</v>
      </c>
      <c r="Q971" s="120">
        <v>1209542.828</v>
      </c>
      <c r="R971" s="120"/>
    </row>
    <row r="972" spans="1:18" ht="15">
      <c r="A972" s="105">
        <v>2</v>
      </c>
      <c r="B972" s="105"/>
      <c r="C972" s="107" t="s">
        <v>975</v>
      </c>
      <c r="D972" s="107" t="s">
        <v>740</v>
      </c>
      <c r="E972" s="120">
        <v>19441102.467999998</v>
      </c>
      <c r="F972" s="120" t="s">
        <v>251</v>
      </c>
      <c r="G972" s="120">
        <v>18679000.831</v>
      </c>
      <c r="H972" s="120" t="s">
        <v>251</v>
      </c>
      <c r="I972" s="120">
        <v>762018.04</v>
      </c>
      <c r="J972" s="120">
        <v>83.596999999999994</v>
      </c>
      <c r="K972" s="120" t="s">
        <v>251</v>
      </c>
      <c r="L972" s="120" t="s">
        <v>251</v>
      </c>
      <c r="M972" s="120">
        <v>83.596999999999994</v>
      </c>
      <c r="N972" s="120" t="s">
        <v>251</v>
      </c>
      <c r="O972" s="120">
        <v>0</v>
      </c>
      <c r="P972" s="120">
        <v>0</v>
      </c>
      <c r="Q972" s="120">
        <v>0</v>
      </c>
      <c r="R972" s="120"/>
    </row>
    <row r="973" spans="1:18" ht="15">
      <c r="A973" s="105">
        <v>3</v>
      </c>
      <c r="B973" s="105"/>
      <c r="C973" s="107" t="s">
        <v>251</v>
      </c>
      <c r="D973" s="107" t="s">
        <v>251</v>
      </c>
      <c r="E973" s="120" t="s">
        <v>251</v>
      </c>
      <c r="F973" s="120" t="s">
        <v>251</v>
      </c>
      <c r="G973" s="120" t="s">
        <v>251</v>
      </c>
      <c r="H973" s="120" t="s">
        <v>251</v>
      </c>
      <c r="I973" s="120" t="s">
        <v>251</v>
      </c>
      <c r="J973" s="120" t="s">
        <v>251</v>
      </c>
      <c r="K973" s="120" t="s">
        <v>251</v>
      </c>
      <c r="L973" s="120" t="s">
        <v>251</v>
      </c>
      <c r="M973" s="120" t="s">
        <v>251</v>
      </c>
      <c r="N973" s="120" t="s">
        <v>251</v>
      </c>
      <c r="O973" s="120" t="s">
        <v>251</v>
      </c>
      <c r="P973" s="120" t="s">
        <v>251</v>
      </c>
      <c r="Q973" s="120" t="s">
        <v>251</v>
      </c>
      <c r="R973" s="120"/>
    </row>
    <row r="974" spans="1:18" ht="15">
      <c r="A974" s="105">
        <v>4</v>
      </c>
      <c r="B974" s="105"/>
      <c r="C974" s="107" t="s">
        <v>251</v>
      </c>
      <c r="D974" s="107" t="s">
        <v>251</v>
      </c>
      <c r="E974" s="120" t="s">
        <v>251</v>
      </c>
      <c r="F974" s="120" t="s">
        <v>251</v>
      </c>
      <c r="G974" s="120" t="s">
        <v>251</v>
      </c>
      <c r="H974" s="120" t="s">
        <v>251</v>
      </c>
      <c r="I974" s="120" t="s">
        <v>251</v>
      </c>
      <c r="J974" s="120" t="s">
        <v>251</v>
      </c>
      <c r="K974" s="120" t="s">
        <v>251</v>
      </c>
      <c r="L974" s="120" t="s">
        <v>251</v>
      </c>
      <c r="M974" s="120" t="s">
        <v>251</v>
      </c>
      <c r="N974" s="120" t="s">
        <v>251</v>
      </c>
      <c r="O974" s="120" t="s">
        <v>251</v>
      </c>
      <c r="P974" s="120" t="s">
        <v>251</v>
      </c>
      <c r="Q974" s="120" t="s">
        <v>251</v>
      </c>
      <c r="R974" s="120"/>
    </row>
    <row r="975" spans="1:18" ht="15">
      <c r="A975" s="105" t="s">
        <v>251</v>
      </c>
      <c r="B975" s="105"/>
      <c r="C975" s="107" t="s">
        <v>251</v>
      </c>
      <c r="D975" s="107" t="s">
        <v>251</v>
      </c>
      <c r="E975" s="120" t="s">
        <v>251</v>
      </c>
      <c r="F975" s="120" t="s">
        <v>251</v>
      </c>
      <c r="G975" s="120" t="s">
        <v>251</v>
      </c>
      <c r="H975" s="120" t="s">
        <v>251</v>
      </c>
      <c r="I975" s="120" t="s">
        <v>251</v>
      </c>
      <c r="J975" s="120" t="s">
        <v>251</v>
      </c>
      <c r="K975" s="120" t="s">
        <v>251</v>
      </c>
      <c r="L975" s="120" t="s">
        <v>251</v>
      </c>
      <c r="M975" s="120" t="s">
        <v>251</v>
      </c>
      <c r="N975" s="120" t="s">
        <v>251</v>
      </c>
      <c r="O975" s="120" t="s">
        <v>251</v>
      </c>
      <c r="P975" s="120" t="s">
        <v>251</v>
      </c>
      <c r="Q975" s="120" t="s">
        <v>251</v>
      </c>
      <c r="R975" s="120"/>
    </row>
    <row r="976" spans="1:18" ht="15">
      <c r="A976" s="105" t="s">
        <v>251</v>
      </c>
      <c r="B976" s="105"/>
      <c r="C976" s="107" t="s">
        <v>976</v>
      </c>
      <c r="D976" s="107" t="s">
        <v>251</v>
      </c>
      <c r="E976" s="120" t="s">
        <v>251</v>
      </c>
      <c r="F976" s="120" t="s">
        <v>251</v>
      </c>
      <c r="G976" s="120" t="s">
        <v>251</v>
      </c>
      <c r="H976" s="120" t="s">
        <v>251</v>
      </c>
      <c r="I976" s="120" t="s">
        <v>251</v>
      </c>
      <c r="J976" s="120" t="s">
        <v>251</v>
      </c>
      <c r="K976" s="120" t="s">
        <v>251</v>
      </c>
      <c r="L976" s="120" t="s">
        <v>251</v>
      </c>
      <c r="M976" s="120" t="s">
        <v>251</v>
      </c>
      <c r="N976" s="120" t="s">
        <v>251</v>
      </c>
      <c r="O976" s="120" t="s">
        <v>251</v>
      </c>
      <c r="P976" s="120" t="s">
        <v>251</v>
      </c>
      <c r="Q976" s="120" t="s">
        <v>251</v>
      </c>
      <c r="R976" s="120"/>
    </row>
    <row r="977" spans="1:18" ht="15">
      <c r="A977" s="105" t="s">
        <v>251</v>
      </c>
      <c r="B977" s="105"/>
      <c r="C977" s="107" t="s">
        <v>920</v>
      </c>
      <c r="D977" s="107" t="s">
        <v>251</v>
      </c>
      <c r="E977" s="120" t="s">
        <v>251</v>
      </c>
      <c r="F977" s="120" t="s">
        <v>251</v>
      </c>
      <c r="G977" s="120" t="s">
        <v>251</v>
      </c>
      <c r="H977" s="120" t="s">
        <v>251</v>
      </c>
      <c r="I977" s="120" t="s">
        <v>251</v>
      </c>
      <c r="J977" s="120" t="s">
        <v>251</v>
      </c>
      <c r="K977" s="120" t="s">
        <v>251</v>
      </c>
      <c r="L977" s="120" t="s">
        <v>251</v>
      </c>
      <c r="M977" s="120" t="s">
        <v>251</v>
      </c>
      <c r="N977" s="120" t="s">
        <v>251</v>
      </c>
      <c r="O977" s="120" t="s">
        <v>251</v>
      </c>
      <c r="P977" s="120" t="s">
        <v>251</v>
      </c>
      <c r="Q977" s="120" t="s">
        <v>251</v>
      </c>
      <c r="R977" s="120"/>
    </row>
    <row r="978" spans="1:18" ht="15">
      <c r="A978" s="105">
        <v>1</v>
      </c>
      <c r="B978" s="105"/>
      <c r="C978" s="107" t="s">
        <v>977</v>
      </c>
      <c r="D978" s="107" t="s">
        <v>381</v>
      </c>
      <c r="E978" s="120">
        <v>108650549.77</v>
      </c>
      <c r="F978" s="120" t="s">
        <v>251</v>
      </c>
      <c r="G978" s="120">
        <v>108650549.77</v>
      </c>
      <c r="H978" s="120" t="s">
        <v>251</v>
      </c>
      <c r="I978" s="120">
        <v>0</v>
      </c>
      <c r="J978" s="120">
        <v>0</v>
      </c>
      <c r="K978" s="120" t="s">
        <v>251</v>
      </c>
      <c r="L978" s="120" t="s">
        <v>251</v>
      </c>
      <c r="M978" s="120">
        <v>0</v>
      </c>
      <c r="N978" s="120" t="s">
        <v>251</v>
      </c>
      <c r="O978" s="120">
        <v>0</v>
      </c>
      <c r="P978" s="120">
        <v>0</v>
      </c>
      <c r="Q978" s="120">
        <v>0</v>
      </c>
      <c r="R978" s="120"/>
    </row>
    <row r="979" spans="1:18" ht="15">
      <c r="A979" s="105">
        <v>2</v>
      </c>
      <c r="B979" s="105"/>
      <c r="C979" s="107" t="s">
        <v>978</v>
      </c>
      <c r="D979" s="107" t="s">
        <v>383</v>
      </c>
      <c r="E979" s="120">
        <v>77220247.207870007</v>
      </c>
      <c r="F979" s="120" t="s">
        <v>251</v>
      </c>
      <c r="G979" s="120">
        <v>76878916.207870007</v>
      </c>
      <c r="H979" s="120" t="s">
        <v>251</v>
      </c>
      <c r="I979" s="120">
        <v>0</v>
      </c>
      <c r="J979" s="120">
        <v>341331</v>
      </c>
      <c r="K979" s="120" t="s">
        <v>251</v>
      </c>
      <c r="L979" s="120" t="s">
        <v>251</v>
      </c>
      <c r="M979" s="120">
        <v>0</v>
      </c>
      <c r="N979" s="120" t="s">
        <v>251</v>
      </c>
      <c r="O979" s="120">
        <v>341331</v>
      </c>
      <c r="P979" s="120">
        <v>63157</v>
      </c>
      <c r="Q979" s="120">
        <v>278174</v>
      </c>
      <c r="R979" s="120"/>
    </row>
    <row r="980" spans="1:18" ht="15">
      <c r="A980" s="105">
        <v>3</v>
      </c>
      <c r="B980" s="105"/>
      <c r="C980" s="107" t="s">
        <v>979</v>
      </c>
      <c r="D980" s="107" t="s">
        <v>385</v>
      </c>
      <c r="E980" s="120">
        <v>145659.96809999997</v>
      </c>
      <c r="F980" s="120" t="s">
        <v>251</v>
      </c>
      <c r="G980" s="120">
        <v>145659.96809999997</v>
      </c>
      <c r="H980" s="120" t="s">
        <v>251</v>
      </c>
      <c r="I980" s="120">
        <v>0</v>
      </c>
      <c r="J980" s="120">
        <v>0</v>
      </c>
      <c r="K980" s="120" t="s">
        <v>251</v>
      </c>
      <c r="L980" s="120" t="s">
        <v>251</v>
      </c>
      <c r="M980" s="120">
        <v>0</v>
      </c>
      <c r="N980" s="120" t="s">
        <v>251</v>
      </c>
      <c r="O980" s="120">
        <v>0</v>
      </c>
      <c r="P980" s="120">
        <v>0</v>
      </c>
      <c r="Q980" s="120">
        <v>0</v>
      </c>
      <c r="R980" s="120"/>
    </row>
    <row r="981" spans="1:18" ht="15">
      <c r="A981" s="105">
        <v>4</v>
      </c>
      <c r="B981" s="105"/>
      <c r="C981" s="107" t="s">
        <v>980</v>
      </c>
      <c r="D981" s="107" t="s">
        <v>387</v>
      </c>
      <c r="E981" s="120">
        <v>123797976.91996899</v>
      </c>
      <c r="F981" s="120" t="s">
        <v>251</v>
      </c>
      <c r="G981" s="120">
        <v>123797976.91996899</v>
      </c>
      <c r="H981" s="120" t="s">
        <v>251</v>
      </c>
      <c r="I981" s="120">
        <v>0</v>
      </c>
      <c r="J981" s="120">
        <v>0</v>
      </c>
      <c r="K981" s="120" t="s">
        <v>251</v>
      </c>
      <c r="L981" s="120" t="s">
        <v>251</v>
      </c>
      <c r="M981" s="120">
        <v>0</v>
      </c>
      <c r="N981" s="120" t="s">
        <v>251</v>
      </c>
      <c r="O981" s="120">
        <v>0</v>
      </c>
      <c r="P981" s="120">
        <v>0</v>
      </c>
      <c r="Q981" s="120">
        <v>0</v>
      </c>
      <c r="R981" s="120"/>
    </row>
    <row r="982" spans="1:18" ht="15">
      <c r="A982" s="105">
        <v>5</v>
      </c>
      <c r="B982" s="105"/>
      <c r="C982" s="107" t="s">
        <v>536</v>
      </c>
      <c r="D982" s="107" t="s">
        <v>537</v>
      </c>
      <c r="E982" s="120">
        <v>842195.92</v>
      </c>
      <c r="F982" s="120" t="s">
        <v>251</v>
      </c>
      <c r="G982" s="120">
        <v>817011.28</v>
      </c>
      <c r="H982" s="120" t="s">
        <v>251</v>
      </c>
      <c r="I982" s="120">
        <v>25184.639999999999</v>
      </c>
      <c r="J982" s="120">
        <v>0</v>
      </c>
      <c r="K982" s="120" t="s">
        <v>251</v>
      </c>
      <c r="L982" s="120" t="s">
        <v>251</v>
      </c>
      <c r="M982" s="120">
        <v>0</v>
      </c>
      <c r="N982" s="120" t="s">
        <v>251</v>
      </c>
      <c r="O982" s="120">
        <v>0</v>
      </c>
      <c r="P982" s="120">
        <v>0</v>
      </c>
      <c r="Q982" s="120">
        <v>0</v>
      </c>
      <c r="R982" s="120"/>
    </row>
    <row r="983" spans="1:18" ht="15">
      <c r="A983" s="105">
        <v>6</v>
      </c>
      <c r="B983" s="105"/>
      <c r="C983" s="107" t="s">
        <v>981</v>
      </c>
      <c r="D983" s="107" t="s">
        <v>539</v>
      </c>
      <c r="E983" s="120">
        <v>30584515.170000002</v>
      </c>
      <c r="F983" s="120" t="s">
        <v>251</v>
      </c>
      <c r="G983" s="120">
        <v>28891349.09</v>
      </c>
      <c r="H983" s="120" t="s">
        <v>251</v>
      </c>
      <c r="I983" s="120">
        <v>1693166.07</v>
      </c>
      <c r="J983" s="120">
        <v>0.01</v>
      </c>
      <c r="K983" s="120" t="s">
        <v>251</v>
      </c>
      <c r="L983" s="120" t="s">
        <v>251</v>
      </c>
      <c r="M983" s="120">
        <v>0</v>
      </c>
      <c r="N983" s="120" t="s">
        <v>251</v>
      </c>
      <c r="O983" s="120">
        <v>0.01</v>
      </c>
      <c r="P983" s="120">
        <v>0.01</v>
      </c>
      <c r="Q983" s="120">
        <v>0</v>
      </c>
      <c r="R983" s="120"/>
    </row>
    <row r="984" spans="1:18" ht="15">
      <c r="A984" s="105">
        <v>7</v>
      </c>
      <c r="B984" s="105"/>
      <c r="C984" s="107" t="s">
        <v>982</v>
      </c>
      <c r="D984" s="107" t="s">
        <v>687</v>
      </c>
      <c r="E984" s="120">
        <v>758923</v>
      </c>
      <c r="F984" s="120" t="s">
        <v>251</v>
      </c>
      <c r="G984" s="120">
        <v>720548</v>
      </c>
      <c r="H984" s="120" t="s">
        <v>251</v>
      </c>
      <c r="I984" s="120">
        <v>37683</v>
      </c>
      <c r="J984" s="120">
        <v>692</v>
      </c>
      <c r="K984" s="120" t="s">
        <v>251</v>
      </c>
      <c r="L984" s="120" t="s">
        <v>251</v>
      </c>
      <c r="M984" s="120">
        <v>5</v>
      </c>
      <c r="N984" s="120" t="s">
        <v>251</v>
      </c>
      <c r="O984" s="120">
        <v>687</v>
      </c>
      <c r="P984" s="120">
        <v>356</v>
      </c>
      <c r="Q984" s="120">
        <v>331</v>
      </c>
      <c r="R984" s="120"/>
    </row>
    <row r="985" spans="1:18" ht="15">
      <c r="A985" s="105">
        <v>8</v>
      </c>
      <c r="B985" s="105"/>
      <c r="C985" s="107" t="s">
        <v>983</v>
      </c>
      <c r="D985" s="107" t="s">
        <v>689</v>
      </c>
      <c r="E985" s="120">
        <v>758923</v>
      </c>
      <c r="F985" s="120" t="s">
        <v>251</v>
      </c>
      <c r="G985" s="120">
        <v>720548</v>
      </c>
      <c r="H985" s="120" t="s">
        <v>251</v>
      </c>
      <c r="I985" s="120">
        <v>37683</v>
      </c>
      <c r="J985" s="120">
        <v>692</v>
      </c>
      <c r="K985" s="120" t="s">
        <v>251</v>
      </c>
      <c r="L985" s="120" t="s">
        <v>251</v>
      </c>
      <c r="M985" s="120">
        <v>5</v>
      </c>
      <c r="N985" s="120" t="s">
        <v>251</v>
      </c>
      <c r="O985" s="120">
        <v>687</v>
      </c>
      <c r="P985" s="120">
        <v>356</v>
      </c>
      <c r="Q985" s="120">
        <v>331</v>
      </c>
      <c r="R985" s="120"/>
    </row>
    <row r="986" spans="1:18" ht="15">
      <c r="A986" s="105">
        <v>9</v>
      </c>
      <c r="B986" s="105"/>
      <c r="C986" s="107" t="s">
        <v>984</v>
      </c>
      <c r="D986" s="107" t="s">
        <v>691</v>
      </c>
      <c r="E986" s="120">
        <v>758923</v>
      </c>
      <c r="F986" s="120" t="s">
        <v>251</v>
      </c>
      <c r="G986" s="120">
        <v>720548</v>
      </c>
      <c r="H986" s="120" t="s">
        <v>251</v>
      </c>
      <c r="I986" s="120">
        <v>37683</v>
      </c>
      <c r="J986" s="120">
        <v>692</v>
      </c>
      <c r="K986" s="120" t="s">
        <v>251</v>
      </c>
      <c r="L986" s="120" t="s">
        <v>251</v>
      </c>
      <c r="M986" s="120">
        <v>5</v>
      </c>
      <c r="N986" s="120" t="s">
        <v>251</v>
      </c>
      <c r="O986" s="120">
        <v>687</v>
      </c>
      <c r="P986" s="120">
        <v>356</v>
      </c>
      <c r="Q986" s="120">
        <v>331</v>
      </c>
      <c r="R986" s="120"/>
    </row>
    <row r="987" spans="1:18" ht="15">
      <c r="A987" s="105">
        <v>10</v>
      </c>
      <c r="B987" s="105"/>
      <c r="C987" s="107" t="s">
        <v>985</v>
      </c>
      <c r="D987" s="107" t="s">
        <v>400</v>
      </c>
      <c r="E987" s="120">
        <v>5852947.5300000003</v>
      </c>
      <c r="F987" s="120" t="s">
        <v>251</v>
      </c>
      <c r="G987" s="120">
        <v>0</v>
      </c>
      <c r="H987" s="120" t="s">
        <v>251</v>
      </c>
      <c r="I987" s="120">
        <v>5852947.5300000003</v>
      </c>
      <c r="J987" s="120">
        <v>0</v>
      </c>
      <c r="K987" s="120" t="s">
        <v>251</v>
      </c>
      <c r="L987" s="120" t="s">
        <v>251</v>
      </c>
      <c r="M987" s="120">
        <v>0</v>
      </c>
      <c r="N987" s="120" t="s">
        <v>251</v>
      </c>
      <c r="O987" s="120">
        <v>0</v>
      </c>
      <c r="P987" s="120">
        <v>0</v>
      </c>
      <c r="Q987" s="120">
        <v>0</v>
      </c>
      <c r="R987" s="120"/>
    </row>
    <row r="988" spans="1:18" ht="15">
      <c r="A988" s="105">
        <v>11</v>
      </c>
      <c r="B988" s="105"/>
      <c r="C988" s="107" t="s">
        <v>986</v>
      </c>
      <c r="D988" s="107" t="s">
        <v>401</v>
      </c>
      <c r="E988" s="120">
        <v>3783545.2000000011</v>
      </c>
      <c r="F988" s="120" t="s">
        <v>251</v>
      </c>
      <c r="G988" s="120">
        <v>0</v>
      </c>
      <c r="H988" s="120" t="s">
        <v>251</v>
      </c>
      <c r="I988" s="120">
        <v>3783545.2000000011</v>
      </c>
      <c r="J988" s="120">
        <v>0</v>
      </c>
      <c r="K988" s="120" t="s">
        <v>251</v>
      </c>
      <c r="L988" s="120" t="s">
        <v>251</v>
      </c>
      <c r="M988" s="120">
        <v>0</v>
      </c>
      <c r="N988" s="120" t="s">
        <v>251</v>
      </c>
      <c r="O988" s="120">
        <v>0</v>
      </c>
      <c r="P988" s="120">
        <v>0</v>
      </c>
      <c r="Q988" s="120">
        <v>0</v>
      </c>
      <c r="R988" s="120"/>
    </row>
    <row r="989" spans="1:18" ht="15">
      <c r="A989" s="105">
        <v>12</v>
      </c>
      <c r="B989" s="105"/>
      <c r="C989" s="107" t="s">
        <v>987</v>
      </c>
      <c r="D989" s="107" t="s">
        <v>402</v>
      </c>
      <c r="E989" s="120">
        <v>0</v>
      </c>
      <c r="F989" s="120" t="s">
        <v>251</v>
      </c>
      <c r="G989" s="120">
        <v>0</v>
      </c>
      <c r="H989" s="120" t="s">
        <v>251</v>
      </c>
      <c r="I989" s="120">
        <v>0</v>
      </c>
      <c r="J989" s="120">
        <v>0</v>
      </c>
      <c r="K989" s="120" t="s">
        <v>251</v>
      </c>
      <c r="L989" s="120" t="s">
        <v>251</v>
      </c>
      <c r="M989" s="120">
        <v>0</v>
      </c>
      <c r="N989" s="120" t="s">
        <v>251</v>
      </c>
      <c r="O989" s="120">
        <v>0</v>
      </c>
      <c r="P989" s="120">
        <v>0</v>
      </c>
      <c r="Q989" s="120">
        <v>0</v>
      </c>
      <c r="R989" s="120"/>
    </row>
    <row r="990" spans="1:18" ht="15">
      <c r="A990" s="105">
        <v>13</v>
      </c>
      <c r="B990" s="105"/>
      <c r="C990" s="107" t="s">
        <v>988</v>
      </c>
      <c r="D990" s="107" t="s">
        <v>403</v>
      </c>
      <c r="E990" s="120">
        <v>3821347.2900697999</v>
      </c>
      <c r="F990" s="120" t="s">
        <v>251</v>
      </c>
      <c r="G990" s="120">
        <v>0</v>
      </c>
      <c r="H990" s="120" t="s">
        <v>251</v>
      </c>
      <c r="I990" s="120">
        <v>3821347.2900697999</v>
      </c>
      <c r="J990" s="120">
        <v>0</v>
      </c>
      <c r="K990" s="120" t="s">
        <v>251</v>
      </c>
      <c r="L990" s="120" t="s">
        <v>251</v>
      </c>
      <c r="M990" s="120">
        <v>0</v>
      </c>
      <c r="N990" s="120" t="s">
        <v>251</v>
      </c>
      <c r="O990" s="120">
        <v>0</v>
      </c>
      <c r="P990" s="120">
        <v>0</v>
      </c>
      <c r="Q990" s="120">
        <v>0</v>
      </c>
      <c r="R990" s="120"/>
    </row>
    <row r="991" spans="1:18" ht="15">
      <c r="A991" s="105">
        <v>14</v>
      </c>
      <c r="B991" s="105"/>
      <c r="C991" s="107" t="s">
        <v>989</v>
      </c>
      <c r="D991" s="107" t="s">
        <v>699</v>
      </c>
      <c r="E991" s="120">
        <v>522514</v>
      </c>
      <c r="F991" s="120" t="s">
        <v>251</v>
      </c>
      <c r="G991" s="120">
        <v>522514</v>
      </c>
      <c r="H991" s="120" t="s">
        <v>251</v>
      </c>
      <c r="I991" s="120">
        <v>0</v>
      </c>
      <c r="J991" s="120">
        <v>0</v>
      </c>
      <c r="K991" s="120" t="s">
        <v>251</v>
      </c>
      <c r="L991" s="120" t="s">
        <v>251</v>
      </c>
      <c r="M991" s="120">
        <v>0</v>
      </c>
      <c r="N991" s="120" t="s">
        <v>251</v>
      </c>
      <c r="O991" s="120">
        <v>0</v>
      </c>
      <c r="P991" s="120">
        <v>0</v>
      </c>
      <c r="Q991" s="120">
        <v>0</v>
      </c>
      <c r="R991" s="120"/>
    </row>
    <row r="992" spans="1:18" ht="15">
      <c r="A992" s="105">
        <v>15</v>
      </c>
      <c r="B992" s="105"/>
      <c r="C992" s="107" t="s">
        <v>990</v>
      </c>
      <c r="D992" s="107" t="s">
        <v>701</v>
      </c>
      <c r="E992" s="120">
        <v>550637</v>
      </c>
      <c r="F992" s="120" t="s">
        <v>251</v>
      </c>
      <c r="G992" s="120">
        <v>522511</v>
      </c>
      <c r="H992" s="120" t="s">
        <v>251</v>
      </c>
      <c r="I992" s="120">
        <v>28123</v>
      </c>
      <c r="J992" s="120">
        <v>3</v>
      </c>
      <c r="K992" s="120" t="s">
        <v>251</v>
      </c>
      <c r="L992" s="120" t="s">
        <v>251</v>
      </c>
      <c r="M992" s="120">
        <v>3</v>
      </c>
      <c r="N992" s="120" t="s">
        <v>251</v>
      </c>
      <c r="O992" s="120">
        <v>0</v>
      </c>
      <c r="P992" s="120">
        <v>0</v>
      </c>
      <c r="Q992" s="120">
        <v>0</v>
      </c>
      <c r="R992" s="120"/>
    </row>
    <row r="993" spans="1:18" ht="15">
      <c r="A993" s="105">
        <v>16</v>
      </c>
      <c r="B993" s="105"/>
      <c r="C993" s="107" t="s">
        <v>991</v>
      </c>
      <c r="D993" s="107" t="s">
        <v>708</v>
      </c>
      <c r="E993" s="120">
        <v>550637</v>
      </c>
      <c r="F993" s="120" t="s">
        <v>251</v>
      </c>
      <c r="G993" s="120">
        <v>522511</v>
      </c>
      <c r="H993" s="120" t="s">
        <v>251</v>
      </c>
      <c r="I993" s="120">
        <v>28123</v>
      </c>
      <c r="J993" s="120">
        <v>3</v>
      </c>
      <c r="K993" s="120" t="s">
        <v>251</v>
      </c>
      <c r="L993" s="120" t="s">
        <v>251</v>
      </c>
      <c r="M993" s="120">
        <v>3</v>
      </c>
      <c r="N993" s="120" t="s">
        <v>251</v>
      </c>
      <c r="O993" s="120">
        <v>0</v>
      </c>
      <c r="P993" s="120">
        <v>0</v>
      </c>
      <c r="Q993" s="120">
        <v>0</v>
      </c>
      <c r="R993" s="120"/>
    </row>
    <row r="994" spans="1:18" ht="15">
      <c r="A994" s="105">
        <v>17</v>
      </c>
      <c r="B994" s="105"/>
      <c r="C994" s="107" t="s">
        <v>992</v>
      </c>
      <c r="D994" s="107" t="s">
        <v>710</v>
      </c>
      <c r="E994" s="120">
        <v>550637</v>
      </c>
      <c r="F994" s="120" t="s">
        <v>251</v>
      </c>
      <c r="G994" s="120">
        <v>522511</v>
      </c>
      <c r="H994" s="120" t="s">
        <v>251</v>
      </c>
      <c r="I994" s="120">
        <v>28123</v>
      </c>
      <c r="J994" s="120">
        <v>3</v>
      </c>
      <c r="K994" s="120" t="s">
        <v>251</v>
      </c>
      <c r="L994" s="120" t="s">
        <v>251</v>
      </c>
      <c r="M994" s="120">
        <v>3</v>
      </c>
      <c r="N994" s="120" t="s">
        <v>251</v>
      </c>
      <c r="O994" s="120">
        <v>0</v>
      </c>
      <c r="P994" s="120">
        <v>0</v>
      </c>
      <c r="Q994" s="120">
        <v>0</v>
      </c>
      <c r="R994" s="120"/>
    </row>
    <row r="995" spans="1:18" ht="15">
      <c r="A995" s="105">
        <v>18</v>
      </c>
      <c r="B995" s="105"/>
      <c r="C995" s="107" t="s">
        <v>993</v>
      </c>
      <c r="D995" s="107" t="s">
        <v>994</v>
      </c>
      <c r="E995" s="120">
        <v>0</v>
      </c>
      <c r="F995" s="120" t="s">
        <v>251</v>
      </c>
      <c r="G995" s="120">
        <v>0</v>
      </c>
      <c r="H995" s="120" t="s">
        <v>251</v>
      </c>
      <c r="I995" s="120">
        <v>0</v>
      </c>
      <c r="J995" s="120">
        <v>0</v>
      </c>
      <c r="K995" s="120" t="s">
        <v>251</v>
      </c>
      <c r="L995" s="120" t="s">
        <v>251</v>
      </c>
      <c r="M995" s="120">
        <v>0</v>
      </c>
      <c r="N995" s="120" t="s">
        <v>251</v>
      </c>
      <c r="O995" s="120">
        <v>0</v>
      </c>
      <c r="P995" s="120">
        <v>0</v>
      </c>
      <c r="Q995" s="120">
        <v>0</v>
      </c>
      <c r="R995" s="120"/>
    </row>
    <row r="996" spans="1:18" ht="15">
      <c r="A996" s="105">
        <v>19</v>
      </c>
      <c r="B996" s="105"/>
      <c r="C996" s="107" t="s">
        <v>995</v>
      </c>
      <c r="D996" s="107" t="s">
        <v>784</v>
      </c>
      <c r="E996" s="120">
        <v>417808.04084700003</v>
      </c>
      <c r="F996" s="120" t="s">
        <v>251</v>
      </c>
      <c r="G996" s="120">
        <v>389836.103237</v>
      </c>
      <c r="H996" s="120" t="s">
        <v>251</v>
      </c>
      <c r="I996" s="120">
        <v>27971.937610000001</v>
      </c>
      <c r="J996" s="120">
        <v>0</v>
      </c>
      <c r="K996" s="120" t="s">
        <v>251</v>
      </c>
      <c r="L996" s="120" t="s">
        <v>251</v>
      </c>
      <c r="M996" s="120">
        <v>0</v>
      </c>
      <c r="N996" s="120" t="s">
        <v>251</v>
      </c>
      <c r="O996" s="120">
        <v>0</v>
      </c>
      <c r="P996" s="120">
        <v>0</v>
      </c>
      <c r="Q996" s="120">
        <v>0</v>
      </c>
      <c r="R996" s="120"/>
    </row>
    <row r="997" spans="1:18" ht="15">
      <c r="A997" s="105">
        <v>20</v>
      </c>
      <c r="B997" s="105"/>
      <c r="C997" s="107" t="s">
        <v>996</v>
      </c>
      <c r="D997" s="107" t="s">
        <v>563</v>
      </c>
      <c r="E997" s="120">
        <v>3864385.0799999996</v>
      </c>
      <c r="F997" s="120" t="s">
        <v>251</v>
      </c>
      <c r="G997" s="120">
        <v>3713436.52</v>
      </c>
      <c r="H997" s="120" t="s">
        <v>251</v>
      </c>
      <c r="I997" s="120">
        <v>150827.78</v>
      </c>
      <c r="J997" s="120">
        <v>120.78</v>
      </c>
      <c r="K997" s="120" t="s">
        <v>251</v>
      </c>
      <c r="L997" s="120" t="s">
        <v>251</v>
      </c>
      <c r="M997" s="120">
        <v>0</v>
      </c>
      <c r="N997" s="120" t="s">
        <v>251</v>
      </c>
      <c r="O997" s="120">
        <v>120.78</v>
      </c>
      <c r="P997" s="120">
        <v>27.11</v>
      </c>
      <c r="Q997" s="120">
        <v>93.67</v>
      </c>
      <c r="R997" s="120"/>
    </row>
    <row r="998" spans="1:18" ht="15">
      <c r="A998" s="105">
        <v>21</v>
      </c>
      <c r="B998" s="105"/>
      <c r="C998" s="107" t="s">
        <v>251</v>
      </c>
      <c r="D998" s="107" t="s">
        <v>251</v>
      </c>
      <c r="E998" s="120" t="s">
        <v>251</v>
      </c>
      <c r="F998" s="120" t="s">
        <v>251</v>
      </c>
      <c r="G998" s="120" t="s">
        <v>251</v>
      </c>
      <c r="H998" s="120" t="s">
        <v>251</v>
      </c>
      <c r="I998" s="120" t="s">
        <v>251</v>
      </c>
      <c r="J998" s="120" t="s">
        <v>251</v>
      </c>
      <c r="K998" s="120" t="s">
        <v>251</v>
      </c>
      <c r="L998" s="120" t="s">
        <v>251</v>
      </c>
      <c r="M998" s="120" t="s">
        <v>251</v>
      </c>
      <c r="N998" s="120" t="s">
        <v>251</v>
      </c>
      <c r="O998" s="120" t="s">
        <v>251</v>
      </c>
      <c r="P998" s="120" t="s">
        <v>251</v>
      </c>
      <c r="Q998" s="120" t="s">
        <v>251</v>
      </c>
      <c r="R998" s="120"/>
    </row>
    <row r="999" spans="1:18" ht="15">
      <c r="A999" s="105">
        <v>22</v>
      </c>
      <c r="B999" s="105"/>
      <c r="C999" s="107" t="s">
        <v>251</v>
      </c>
      <c r="D999" s="107" t="s">
        <v>251</v>
      </c>
      <c r="E999" s="120" t="s">
        <v>251</v>
      </c>
      <c r="F999" s="120" t="s">
        <v>251</v>
      </c>
      <c r="G999" s="120" t="s">
        <v>251</v>
      </c>
      <c r="H999" s="120" t="s">
        <v>251</v>
      </c>
      <c r="I999" s="120" t="s">
        <v>251</v>
      </c>
      <c r="J999" s="120" t="s">
        <v>251</v>
      </c>
      <c r="K999" s="120" t="s">
        <v>251</v>
      </c>
      <c r="L999" s="120" t="s">
        <v>251</v>
      </c>
      <c r="M999" s="120" t="s">
        <v>251</v>
      </c>
      <c r="N999" s="120" t="s">
        <v>251</v>
      </c>
      <c r="O999" s="120" t="s">
        <v>251</v>
      </c>
      <c r="P999" s="120" t="s">
        <v>251</v>
      </c>
      <c r="Q999" s="120" t="s">
        <v>251</v>
      </c>
      <c r="R999" s="120"/>
    </row>
    <row r="1000" spans="1:18" ht="15">
      <c r="A1000" s="105">
        <v>23</v>
      </c>
      <c r="B1000" s="105"/>
      <c r="C1000" s="107" t="s">
        <v>251</v>
      </c>
      <c r="D1000" s="107" t="s">
        <v>251</v>
      </c>
      <c r="E1000" s="120" t="s">
        <v>251</v>
      </c>
      <c r="F1000" s="120" t="s">
        <v>251</v>
      </c>
      <c r="G1000" s="120" t="s">
        <v>251</v>
      </c>
      <c r="H1000" s="120" t="s">
        <v>251</v>
      </c>
      <c r="I1000" s="120" t="s">
        <v>251</v>
      </c>
      <c r="J1000" s="120" t="s">
        <v>251</v>
      </c>
      <c r="K1000" s="120" t="s">
        <v>251</v>
      </c>
      <c r="L1000" s="120" t="s">
        <v>251</v>
      </c>
      <c r="M1000" s="120" t="s">
        <v>251</v>
      </c>
      <c r="N1000" s="120" t="s">
        <v>251</v>
      </c>
      <c r="O1000" s="120" t="s">
        <v>251</v>
      </c>
      <c r="P1000" s="120" t="s">
        <v>251</v>
      </c>
      <c r="Q1000" s="120" t="s">
        <v>251</v>
      </c>
      <c r="R1000" s="120"/>
    </row>
    <row r="1001" spans="1:18" ht="15">
      <c r="A1001" s="105">
        <v>24</v>
      </c>
      <c r="B1001" s="105"/>
      <c r="C1001" s="107" t="s">
        <v>251</v>
      </c>
      <c r="D1001" s="107" t="s">
        <v>251</v>
      </c>
      <c r="E1001" s="120" t="s">
        <v>251</v>
      </c>
      <c r="F1001" s="120" t="s">
        <v>251</v>
      </c>
      <c r="G1001" s="120" t="s">
        <v>251</v>
      </c>
      <c r="H1001" s="120" t="s">
        <v>251</v>
      </c>
      <c r="I1001" s="120" t="s">
        <v>251</v>
      </c>
      <c r="J1001" s="120" t="s">
        <v>251</v>
      </c>
      <c r="K1001" s="120" t="s">
        <v>251</v>
      </c>
      <c r="L1001" s="120" t="s">
        <v>251</v>
      </c>
      <c r="M1001" s="120" t="s">
        <v>251</v>
      </c>
      <c r="N1001" s="120" t="s">
        <v>251</v>
      </c>
      <c r="O1001" s="120" t="s">
        <v>251</v>
      </c>
      <c r="P1001" s="120" t="s">
        <v>251</v>
      </c>
      <c r="Q1001" s="120" t="s">
        <v>251</v>
      </c>
      <c r="R1001" s="120"/>
    </row>
    <row r="1002" spans="1:18" ht="15">
      <c r="A1002" s="105">
        <v>25</v>
      </c>
      <c r="B1002" s="105"/>
      <c r="C1002" s="107" t="s">
        <v>251</v>
      </c>
      <c r="D1002" s="107" t="s">
        <v>251</v>
      </c>
      <c r="E1002" s="120" t="s">
        <v>251</v>
      </c>
      <c r="F1002" s="120" t="s">
        <v>251</v>
      </c>
      <c r="G1002" s="120" t="s">
        <v>251</v>
      </c>
      <c r="H1002" s="120" t="s">
        <v>251</v>
      </c>
      <c r="I1002" s="120" t="s">
        <v>251</v>
      </c>
      <c r="J1002" s="120" t="s">
        <v>251</v>
      </c>
      <c r="K1002" s="120" t="s">
        <v>251</v>
      </c>
      <c r="L1002" s="120" t="s">
        <v>251</v>
      </c>
      <c r="M1002" s="120" t="s">
        <v>251</v>
      </c>
      <c r="N1002" s="120" t="s">
        <v>251</v>
      </c>
      <c r="O1002" s="120" t="s">
        <v>251</v>
      </c>
      <c r="P1002" s="120" t="s">
        <v>251</v>
      </c>
      <c r="Q1002" s="120" t="s">
        <v>251</v>
      </c>
      <c r="R1002" s="120"/>
    </row>
    <row r="1003" spans="1:18" ht="15">
      <c r="A1003" s="105" t="s">
        <v>251</v>
      </c>
      <c r="B1003" s="105"/>
      <c r="C1003" s="107" t="s">
        <v>251</v>
      </c>
      <c r="D1003" s="107" t="s">
        <v>251</v>
      </c>
      <c r="E1003" s="120" t="s">
        <v>251</v>
      </c>
      <c r="F1003" s="120" t="s">
        <v>251</v>
      </c>
      <c r="G1003" s="120" t="s">
        <v>251</v>
      </c>
      <c r="H1003" s="120" t="s">
        <v>251</v>
      </c>
      <c r="I1003" s="120" t="s">
        <v>251</v>
      </c>
      <c r="J1003" s="120" t="s">
        <v>251</v>
      </c>
      <c r="K1003" s="120" t="s">
        <v>251</v>
      </c>
      <c r="L1003" s="120" t="s">
        <v>251</v>
      </c>
      <c r="M1003" s="120" t="s">
        <v>251</v>
      </c>
      <c r="N1003" s="120" t="s">
        <v>251</v>
      </c>
      <c r="O1003" s="120" t="s">
        <v>251</v>
      </c>
      <c r="P1003" s="120" t="s">
        <v>251</v>
      </c>
      <c r="Q1003" s="120" t="s">
        <v>251</v>
      </c>
      <c r="R1003" s="120"/>
    </row>
    <row r="1004" spans="1:18" ht="15">
      <c r="A1004" s="105" t="s">
        <v>251</v>
      </c>
      <c r="B1004" s="105"/>
      <c r="C1004" s="107" t="s">
        <v>997</v>
      </c>
      <c r="D1004" s="107" t="s">
        <v>251</v>
      </c>
      <c r="E1004" s="120" t="s">
        <v>251</v>
      </c>
      <c r="F1004" s="120" t="s">
        <v>251</v>
      </c>
      <c r="G1004" s="120" t="s">
        <v>251</v>
      </c>
      <c r="H1004" s="120" t="s">
        <v>251</v>
      </c>
      <c r="I1004" s="120" t="s">
        <v>251</v>
      </c>
      <c r="J1004" s="120" t="s">
        <v>251</v>
      </c>
      <c r="K1004" s="120" t="s">
        <v>251</v>
      </c>
      <c r="L1004" s="120" t="s">
        <v>251</v>
      </c>
      <c r="M1004" s="120" t="s">
        <v>251</v>
      </c>
      <c r="N1004" s="120" t="s">
        <v>251</v>
      </c>
      <c r="O1004" s="120" t="s">
        <v>251</v>
      </c>
      <c r="P1004" s="120" t="s">
        <v>251</v>
      </c>
      <c r="Q1004" s="120" t="s">
        <v>251</v>
      </c>
      <c r="R1004" s="120"/>
    </row>
    <row r="1005" spans="1:18" ht="15">
      <c r="A1005" s="105" t="s">
        <v>251</v>
      </c>
      <c r="B1005" s="105"/>
      <c r="C1005" s="107" t="s">
        <v>920</v>
      </c>
      <c r="D1005" s="107" t="s">
        <v>251</v>
      </c>
      <c r="E1005" s="120" t="s">
        <v>251</v>
      </c>
      <c r="F1005" s="120" t="s">
        <v>251</v>
      </c>
      <c r="G1005" s="120" t="s">
        <v>251</v>
      </c>
      <c r="H1005" s="120" t="s">
        <v>251</v>
      </c>
      <c r="I1005" s="120" t="s">
        <v>251</v>
      </c>
      <c r="J1005" s="120" t="s">
        <v>251</v>
      </c>
      <c r="K1005" s="120" t="s">
        <v>251</v>
      </c>
      <c r="L1005" s="120" t="s">
        <v>251</v>
      </c>
      <c r="M1005" s="120" t="s">
        <v>251</v>
      </c>
      <c r="N1005" s="120" t="s">
        <v>251</v>
      </c>
      <c r="O1005" s="120" t="s">
        <v>251</v>
      </c>
      <c r="P1005" s="120" t="s">
        <v>251</v>
      </c>
      <c r="Q1005" s="120" t="s">
        <v>251</v>
      </c>
      <c r="R1005" s="120"/>
    </row>
    <row r="1006" spans="1:18" ht="15">
      <c r="A1006" s="105">
        <v>1</v>
      </c>
      <c r="B1006" s="105"/>
      <c r="C1006" s="107" t="s">
        <v>998</v>
      </c>
      <c r="D1006" s="107" t="s">
        <v>296</v>
      </c>
      <c r="E1006" s="120">
        <v>9644701834.2571564</v>
      </c>
      <c r="F1006" s="120" t="s">
        <v>251</v>
      </c>
      <c r="G1006" s="120">
        <v>8585575182.2392511</v>
      </c>
      <c r="H1006" s="120" t="s">
        <v>251</v>
      </c>
      <c r="I1006" s="120">
        <v>471553683.92429543</v>
      </c>
      <c r="J1006" s="120">
        <v>587572968.09360814</v>
      </c>
      <c r="K1006" s="120" t="s">
        <v>251</v>
      </c>
      <c r="L1006" s="120" t="s">
        <v>251</v>
      </c>
      <c r="M1006" s="120">
        <v>682648.27689871029</v>
      </c>
      <c r="N1006" s="120" t="s">
        <v>251</v>
      </c>
      <c r="O1006" s="120">
        <v>586890319.8167094</v>
      </c>
      <c r="P1006" s="120">
        <v>183607694.83133122</v>
      </c>
      <c r="Q1006" s="120">
        <v>403282624.98537815</v>
      </c>
      <c r="R1006" s="120"/>
    </row>
    <row r="1007" spans="1:18" ht="15">
      <c r="A1007" s="105">
        <v>2</v>
      </c>
      <c r="B1007" s="105"/>
      <c r="C1007" s="107" t="s">
        <v>999</v>
      </c>
      <c r="D1007" s="107" t="s">
        <v>298</v>
      </c>
      <c r="E1007" s="120">
        <v>8585575182.2392511</v>
      </c>
      <c r="F1007" s="120" t="s">
        <v>251</v>
      </c>
      <c r="G1007" s="120">
        <v>8585575182.2392511</v>
      </c>
      <c r="H1007" s="120" t="s">
        <v>251</v>
      </c>
      <c r="I1007" s="120">
        <v>0</v>
      </c>
      <c r="J1007" s="120">
        <v>0</v>
      </c>
      <c r="K1007" s="120" t="s">
        <v>251</v>
      </c>
      <c r="L1007" s="120" t="s">
        <v>251</v>
      </c>
      <c r="M1007" s="120">
        <v>0</v>
      </c>
      <c r="N1007" s="120" t="s">
        <v>251</v>
      </c>
      <c r="O1007" s="120">
        <v>0</v>
      </c>
      <c r="P1007" s="120">
        <v>0</v>
      </c>
      <c r="Q1007" s="120">
        <v>0</v>
      </c>
      <c r="R1007" s="120"/>
    </row>
    <row r="1008" spans="1:18" ht="15">
      <c r="A1008" s="105">
        <v>3</v>
      </c>
      <c r="B1008" s="105"/>
      <c r="C1008" s="107" t="s">
        <v>1000</v>
      </c>
      <c r="D1008" s="107" t="s">
        <v>419</v>
      </c>
      <c r="E1008" s="120">
        <v>174905273.17999995</v>
      </c>
      <c r="F1008" s="120" t="s">
        <v>251</v>
      </c>
      <c r="G1008" s="120">
        <v>158293693.74546248</v>
      </c>
      <c r="H1008" s="120" t="s">
        <v>251</v>
      </c>
      <c r="I1008" s="120">
        <v>8057790.9646340366</v>
      </c>
      <c r="J1008" s="120">
        <v>8553788.4699034505</v>
      </c>
      <c r="K1008" s="120" t="s">
        <v>251</v>
      </c>
      <c r="L1008" s="120" t="s">
        <v>251</v>
      </c>
      <c r="M1008" s="120">
        <v>12324.763153955639</v>
      </c>
      <c r="N1008" s="120" t="s">
        <v>251</v>
      </c>
      <c r="O1008" s="120">
        <v>8541463.7067494951</v>
      </c>
      <c r="P1008" s="120">
        <v>2721846.6498780833</v>
      </c>
      <c r="Q1008" s="120">
        <v>5819617.0568714114</v>
      </c>
      <c r="R1008" s="120"/>
    </row>
    <row r="1009" spans="1:18" ht="15">
      <c r="A1009" s="105">
        <v>4</v>
      </c>
      <c r="B1009" s="105"/>
      <c r="C1009" s="107" t="s">
        <v>1001</v>
      </c>
      <c r="D1009" s="107" t="s">
        <v>444</v>
      </c>
      <c r="E1009" s="120">
        <v>5282950110.6260738</v>
      </c>
      <c r="F1009" s="120" t="s">
        <v>251</v>
      </c>
      <c r="G1009" s="120">
        <v>4631748876.3313189</v>
      </c>
      <c r="H1009" s="120" t="s">
        <v>251</v>
      </c>
      <c r="I1009" s="120">
        <v>212093481.15801284</v>
      </c>
      <c r="J1009" s="120">
        <v>439107753.13674247</v>
      </c>
      <c r="K1009" s="120" t="s">
        <v>251</v>
      </c>
      <c r="L1009" s="120" t="s">
        <v>251</v>
      </c>
      <c r="M1009" s="120">
        <v>14867.268653563968</v>
      </c>
      <c r="N1009" s="120" t="s">
        <v>251</v>
      </c>
      <c r="O1009" s="120">
        <v>439092885.8680889</v>
      </c>
      <c r="P1009" s="120">
        <v>135452711.24889058</v>
      </c>
      <c r="Q1009" s="120">
        <v>303640174.61919832</v>
      </c>
      <c r="R1009" s="120"/>
    </row>
    <row r="1010" spans="1:18" ht="15">
      <c r="A1010" s="105">
        <v>5</v>
      </c>
      <c r="B1010" s="105"/>
      <c r="C1010" s="107" t="s">
        <v>1002</v>
      </c>
      <c r="D1010" s="107" t="s">
        <v>904</v>
      </c>
      <c r="E1010" s="120">
        <v>108987201.12</v>
      </c>
      <c r="F1010" s="120" t="s">
        <v>251</v>
      </c>
      <c r="G1010" s="120">
        <v>98636172.155369475</v>
      </c>
      <c r="H1010" s="120" t="s">
        <v>251</v>
      </c>
      <c r="I1010" s="120">
        <v>5020981.1772896741</v>
      </c>
      <c r="J1010" s="120">
        <v>5330047.7873408422</v>
      </c>
      <c r="K1010" s="120" t="s">
        <v>251</v>
      </c>
      <c r="L1010" s="120" t="s">
        <v>251</v>
      </c>
      <c r="M1010" s="120">
        <v>7679.8224329929762</v>
      </c>
      <c r="N1010" s="120" t="s">
        <v>251</v>
      </c>
      <c r="O1010" s="120">
        <v>5322367.9649078492</v>
      </c>
      <c r="P1010" s="120">
        <v>1696040.6216156422</v>
      </c>
      <c r="Q1010" s="120">
        <v>3626327.3432922065</v>
      </c>
      <c r="R1010" s="120"/>
    </row>
    <row r="1011" spans="1:18" ht="15">
      <c r="A1011" s="105">
        <v>6</v>
      </c>
      <c r="B1011" s="105"/>
      <c r="C1011" s="107" t="s">
        <v>1003</v>
      </c>
      <c r="D1011" s="107" t="s">
        <v>449</v>
      </c>
      <c r="E1011" s="120">
        <v>43666601.100000001</v>
      </c>
      <c r="F1011" s="120" t="s">
        <v>251</v>
      </c>
      <c r="G1011" s="120">
        <v>38284050.832000814</v>
      </c>
      <c r="H1011" s="120" t="s">
        <v>251</v>
      </c>
      <c r="I1011" s="120">
        <v>1753073.8022698758</v>
      </c>
      <c r="J1011" s="120">
        <v>3629476.4657293134</v>
      </c>
      <c r="K1011" s="120" t="s">
        <v>251</v>
      </c>
      <c r="L1011" s="120" t="s">
        <v>251</v>
      </c>
      <c r="M1011" s="120">
        <v>122.88646989792902</v>
      </c>
      <c r="N1011" s="120" t="s">
        <v>251</v>
      </c>
      <c r="O1011" s="120">
        <v>3629353.5792594156</v>
      </c>
      <c r="P1011" s="120">
        <v>1119594.049946052</v>
      </c>
      <c r="Q1011" s="120">
        <v>2509759.5293133636</v>
      </c>
      <c r="R1011" s="120"/>
    </row>
    <row r="1012" spans="1:18" ht="15">
      <c r="A1012" s="105">
        <v>7</v>
      </c>
      <c r="B1012" s="105"/>
      <c r="C1012" s="107" t="s">
        <v>1004</v>
      </c>
      <c r="D1012" s="107" t="s">
        <v>452</v>
      </c>
      <c r="E1012" s="120">
        <v>1032511857.9940194</v>
      </c>
      <c r="F1012" s="120" t="s">
        <v>251</v>
      </c>
      <c r="G1012" s="120">
        <v>905239598.69380903</v>
      </c>
      <c r="H1012" s="120" t="s">
        <v>251</v>
      </c>
      <c r="I1012" s="120">
        <v>41452035.266887531</v>
      </c>
      <c r="J1012" s="120">
        <v>85820224.033322811</v>
      </c>
      <c r="K1012" s="120" t="s">
        <v>251</v>
      </c>
      <c r="L1012" s="120" t="s">
        <v>251</v>
      </c>
      <c r="M1012" s="120">
        <v>2905.6930047307214</v>
      </c>
      <c r="N1012" s="120" t="s">
        <v>251</v>
      </c>
      <c r="O1012" s="120">
        <v>85817318.340318084</v>
      </c>
      <c r="P1012" s="120">
        <v>26473187.82750066</v>
      </c>
      <c r="Q1012" s="120">
        <v>59344130.51281742</v>
      </c>
      <c r="R1012" s="120"/>
    </row>
    <row r="1013" spans="1:18" ht="15">
      <c r="A1013" s="105">
        <v>8</v>
      </c>
      <c r="B1013" s="105"/>
      <c r="C1013" s="107" t="s">
        <v>1005</v>
      </c>
      <c r="D1013" s="107" t="s">
        <v>1006</v>
      </c>
      <c r="E1013" s="120">
        <v>1009170878.4773153</v>
      </c>
      <c r="F1013" s="120" t="s">
        <v>251</v>
      </c>
      <c r="G1013" s="120">
        <v>960934352.32491589</v>
      </c>
      <c r="H1013" s="120" t="s">
        <v>251</v>
      </c>
      <c r="I1013" s="120">
        <v>44917867.667191222</v>
      </c>
      <c r="J1013" s="120">
        <v>3318658.4852081779</v>
      </c>
      <c r="K1013" s="120" t="s">
        <v>251</v>
      </c>
      <c r="L1013" s="120" t="s">
        <v>251</v>
      </c>
      <c r="M1013" s="120">
        <v>3084.4654051643961</v>
      </c>
      <c r="N1013" s="120" t="s">
        <v>251</v>
      </c>
      <c r="O1013" s="120">
        <v>3315574.0198030137</v>
      </c>
      <c r="P1013" s="120">
        <v>1022798.3754298845</v>
      </c>
      <c r="Q1013" s="120">
        <v>2292775.6443731291</v>
      </c>
      <c r="R1013" s="120"/>
    </row>
    <row r="1014" spans="1:18" ht="15">
      <c r="A1014" s="105">
        <v>9</v>
      </c>
      <c r="B1014" s="105"/>
      <c r="C1014" s="107" t="s">
        <v>1007</v>
      </c>
      <c r="D1014" s="107" t="s">
        <v>484</v>
      </c>
      <c r="E1014" s="120">
        <v>58802751.2248789</v>
      </c>
      <c r="F1014" s="120" t="s">
        <v>251</v>
      </c>
      <c r="G1014" s="120">
        <v>0</v>
      </c>
      <c r="H1014" s="120" t="s">
        <v>251</v>
      </c>
      <c r="I1014" s="120">
        <v>58802751.2248789</v>
      </c>
      <c r="J1014" s="120">
        <v>0</v>
      </c>
      <c r="K1014" s="120" t="s">
        <v>251</v>
      </c>
      <c r="L1014" s="120" t="s">
        <v>251</v>
      </c>
      <c r="M1014" s="120">
        <v>0</v>
      </c>
      <c r="N1014" s="120" t="s">
        <v>251</v>
      </c>
      <c r="O1014" s="120">
        <v>0</v>
      </c>
      <c r="P1014" s="120">
        <v>0</v>
      </c>
      <c r="Q1014" s="120">
        <v>0</v>
      </c>
      <c r="R1014" s="120"/>
    </row>
    <row r="1015" spans="1:18" ht="15">
      <c r="A1015" s="105">
        <v>10</v>
      </c>
      <c r="B1015" s="105"/>
      <c r="C1015" s="107" t="s">
        <v>1008</v>
      </c>
      <c r="D1015" s="107" t="s">
        <v>1009</v>
      </c>
      <c r="E1015" s="120">
        <v>67033180.634878896</v>
      </c>
      <c r="F1015" s="120" t="s">
        <v>251</v>
      </c>
      <c r="G1015" s="120">
        <v>8230402.9915529564</v>
      </c>
      <c r="H1015" s="120" t="s">
        <v>251</v>
      </c>
      <c r="I1015" s="120">
        <v>58802751.2248789</v>
      </c>
      <c r="J1015" s="120">
        <v>26.418447042283358</v>
      </c>
      <c r="K1015" s="120" t="s">
        <v>251</v>
      </c>
      <c r="L1015" s="120" t="s">
        <v>251</v>
      </c>
      <c r="M1015" s="120">
        <v>26.418447042283358</v>
      </c>
      <c r="N1015" s="120" t="s">
        <v>251</v>
      </c>
      <c r="O1015" s="120">
        <v>0</v>
      </c>
      <c r="P1015" s="120">
        <v>0</v>
      </c>
      <c r="Q1015" s="120">
        <v>0</v>
      </c>
      <c r="R1015" s="120"/>
    </row>
    <row r="1016" spans="1:18" ht="15">
      <c r="A1016" s="105">
        <v>11</v>
      </c>
      <c r="B1016" s="105"/>
      <c r="C1016" s="107" t="s">
        <v>416</v>
      </c>
      <c r="D1016" s="107" t="s">
        <v>502</v>
      </c>
      <c r="E1016" s="120">
        <v>1947271007.2515204</v>
      </c>
      <c r="F1016" s="120" t="s">
        <v>251</v>
      </c>
      <c r="G1016" s="120">
        <v>1845428315.1297019</v>
      </c>
      <c r="H1016" s="120" t="s">
        <v>251</v>
      </c>
      <c r="I1016" s="120">
        <v>97236590.421818405</v>
      </c>
      <c r="J1016" s="120">
        <v>4606101.7</v>
      </c>
      <c r="K1016" s="120" t="s">
        <v>251</v>
      </c>
      <c r="L1016" s="120" t="s">
        <v>251</v>
      </c>
      <c r="M1016" s="120">
        <v>647118.70000000007</v>
      </c>
      <c r="N1016" s="120" t="s">
        <v>251</v>
      </c>
      <c r="O1016" s="120">
        <v>3958983</v>
      </c>
      <c r="P1016" s="120">
        <v>3680809</v>
      </c>
      <c r="Q1016" s="120">
        <v>278174</v>
      </c>
      <c r="R1016" s="120"/>
    </row>
    <row r="1017" spans="1:18" ht="15">
      <c r="A1017" s="105">
        <v>12</v>
      </c>
      <c r="B1017" s="105"/>
      <c r="C1017" s="107" t="s">
        <v>1010</v>
      </c>
      <c r="D1017" s="107" t="s">
        <v>466</v>
      </c>
      <c r="E1017" s="120">
        <v>1849387298.1297019</v>
      </c>
      <c r="F1017" s="120" t="s">
        <v>251</v>
      </c>
      <c r="G1017" s="120">
        <v>1845428315.1297019</v>
      </c>
      <c r="H1017" s="120" t="s">
        <v>251</v>
      </c>
      <c r="I1017" s="120">
        <v>0</v>
      </c>
      <c r="J1017" s="120">
        <v>3958983</v>
      </c>
      <c r="K1017" s="120" t="s">
        <v>251</v>
      </c>
      <c r="L1017" s="120" t="s">
        <v>251</v>
      </c>
      <c r="M1017" s="120">
        <v>0</v>
      </c>
      <c r="N1017" s="120" t="s">
        <v>251</v>
      </c>
      <c r="O1017" s="120">
        <v>3958983</v>
      </c>
      <c r="P1017" s="120">
        <v>3680809</v>
      </c>
      <c r="Q1017" s="120">
        <v>278174</v>
      </c>
      <c r="R1017" s="120"/>
    </row>
    <row r="1018" spans="1:18" ht="15">
      <c r="A1018" s="105">
        <v>13</v>
      </c>
      <c r="B1018" s="105"/>
      <c r="C1018" s="107" t="s">
        <v>1011</v>
      </c>
      <c r="D1018" s="107" t="s">
        <v>468</v>
      </c>
      <c r="E1018" s="120">
        <v>213731936.44334698</v>
      </c>
      <c r="F1018" s="120" t="s">
        <v>251</v>
      </c>
      <c r="G1018" s="120">
        <v>194171441.99809015</v>
      </c>
      <c r="H1018" s="120" t="s">
        <v>251</v>
      </c>
      <c r="I1018" s="120">
        <v>9488223.32192358</v>
      </c>
      <c r="J1018" s="120">
        <v>10072271.123333247</v>
      </c>
      <c r="K1018" s="120" t="s">
        <v>251</v>
      </c>
      <c r="L1018" s="120" t="s">
        <v>251</v>
      </c>
      <c r="M1018" s="120">
        <v>14512.675460036266</v>
      </c>
      <c r="N1018" s="120" t="s">
        <v>251</v>
      </c>
      <c r="O1018" s="120">
        <v>10057758.447873211</v>
      </c>
      <c r="P1018" s="120">
        <v>3205033.3615530478</v>
      </c>
      <c r="Q1018" s="120">
        <v>6852725.0863201628</v>
      </c>
      <c r="R1018" s="120"/>
    </row>
    <row r="1019" spans="1:18" ht="15">
      <c r="A1019" s="105">
        <v>14</v>
      </c>
      <c r="B1019" s="105"/>
      <c r="C1019" s="107" t="s">
        <v>1012</v>
      </c>
      <c r="D1019" s="107" t="s">
        <v>470</v>
      </c>
      <c r="E1019" s="120">
        <v>55918.83</v>
      </c>
      <c r="F1019" s="120" t="s">
        <v>251</v>
      </c>
      <c r="G1019" s="120">
        <v>55918.83</v>
      </c>
      <c r="H1019" s="120" t="s">
        <v>251</v>
      </c>
      <c r="I1019" s="120">
        <v>0</v>
      </c>
      <c r="J1019" s="120">
        <v>0</v>
      </c>
      <c r="K1019" s="120" t="s">
        <v>251</v>
      </c>
      <c r="L1019" s="120" t="s">
        <v>251</v>
      </c>
      <c r="M1019" s="120">
        <v>0</v>
      </c>
      <c r="N1019" s="120" t="s">
        <v>251</v>
      </c>
      <c r="O1019" s="120">
        <v>0</v>
      </c>
      <c r="P1019" s="120">
        <v>0</v>
      </c>
      <c r="Q1019" s="120">
        <v>0</v>
      </c>
      <c r="R1019" s="120"/>
    </row>
    <row r="1020" spans="1:18" ht="15">
      <c r="A1020" s="105">
        <v>15</v>
      </c>
      <c r="B1020" s="105"/>
      <c r="C1020" s="107" t="s">
        <v>1013</v>
      </c>
      <c r="D1020" s="107" t="s">
        <v>472</v>
      </c>
      <c r="E1020" s="120">
        <v>131496652.16420428</v>
      </c>
      <c r="F1020" s="120" t="s">
        <v>251</v>
      </c>
      <c r="G1020" s="120">
        <v>117056432.92761205</v>
      </c>
      <c r="H1020" s="120" t="s">
        <v>251</v>
      </c>
      <c r="I1020" s="120">
        <v>6429201.4224323714</v>
      </c>
      <c r="J1020" s="120">
        <v>8011017.8141598543</v>
      </c>
      <c r="K1020" s="120" t="s">
        <v>251</v>
      </c>
      <c r="L1020" s="120" t="s">
        <v>251</v>
      </c>
      <c r="M1020" s="120">
        <v>9307.282335987009</v>
      </c>
      <c r="N1020" s="120" t="s">
        <v>251</v>
      </c>
      <c r="O1020" s="120">
        <v>8001710.531823867</v>
      </c>
      <c r="P1020" s="120">
        <v>2503322.3003483871</v>
      </c>
      <c r="Q1020" s="120">
        <v>5498388.2314754799</v>
      </c>
      <c r="R1020" s="120"/>
    </row>
    <row r="1021" spans="1:18" ht="15">
      <c r="A1021" s="105">
        <v>16</v>
      </c>
      <c r="B1021" s="105"/>
      <c r="C1021" s="107" t="s">
        <v>1014</v>
      </c>
      <c r="D1021" s="107" t="s">
        <v>478</v>
      </c>
      <c r="E1021" s="120">
        <v>6359128569.7200918</v>
      </c>
      <c r="F1021" s="120" t="s">
        <v>251</v>
      </c>
      <c r="G1021" s="120">
        <v>5575272525.8571272</v>
      </c>
      <c r="H1021" s="120" t="s">
        <v>251</v>
      </c>
      <c r="I1021" s="120">
        <v>255298590.22717029</v>
      </c>
      <c r="J1021" s="120">
        <v>528557453.63579464</v>
      </c>
      <c r="K1021" s="120" t="s">
        <v>251</v>
      </c>
      <c r="L1021" s="120" t="s">
        <v>251</v>
      </c>
      <c r="M1021" s="120">
        <v>17895.848128192618</v>
      </c>
      <c r="N1021" s="120" t="s">
        <v>251</v>
      </c>
      <c r="O1021" s="120">
        <v>528539557.78766644</v>
      </c>
      <c r="P1021" s="120">
        <v>163045493.12633726</v>
      </c>
      <c r="Q1021" s="120">
        <v>365494064.66132915</v>
      </c>
      <c r="R1021" s="120"/>
    </row>
    <row r="1022" spans="1:18" ht="15">
      <c r="A1022" s="105">
        <v>17</v>
      </c>
      <c r="B1022" s="105"/>
      <c r="C1022" s="107" t="s">
        <v>336</v>
      </c>
      <c r="D1022" s="107" t="s">
        <v>498</v>
      </c>
      <c r="E1022" s="120">
        <v>6405891452.5500937</v>
      </c>
      <c r="F1022" s="120" t="s">
        <v>251</v>
      </c>
      <c r="G1022" s="120">
        <v>5575543911.2486515</v>
      </c>
      <c r="H1022" s="120" t="s">
        <v>251</v>
      </c>
      <c r="I1022" s="120">
        <v>260778084.29293185</v>
      </c>
      <c r="J1022" s="120">
        <v>569569457.00851047</v>
      </c>
      <c r="K1022" s="120" t="s">
        <v>251</v>
      </c>
      <c r="L1022" s="120" t="s">
        <v>251</v>
      </c>
      <c r="M1022" s="120">
        <v>17896.71923749326</v>
      </c>
      <c r="N1022" s="120" t="s">
        <v>251</v>
      </c>
      <c r="O1022" s="120">
        <v>569551560.28927302</v>
      </c>
      <c r="P1022" s="120">
        <v>175697000.61229041</v>
      </c>
      <c r="Q1022" s="120">
        <v>393854559.67698258</v>
      </c>
      <c r="R1022" s="120"/>
    </row>
    <row r="1023" spans="1:18" ht="15">
      <c r="A1023" s="105">
        <v>18</v>
      </c>
      <c r="B1023" s="105"/>
      <c r="C1023" s="107" t="s">
        <v>357</v>
      </c>
      <c r="D1023" s="107" t="s">
        <v>1015</v>
      </c>
      <c r="E1023" s="120">
        <v>1076204059.1121943</v>
      </c>
      <c r="F1023" s="120" t="s">
        <v>251</v>
      </c>
      <c r="G1023" s="120">
        <v>969164755.31646883</v>
      </c>
      <c r="H1023" s="120" t="s">
        <v>251</v>
      </c>
      <c r="I1023" s="120">
        <v>103720618.89207011</v>
      </c>
      <c r="J1023" s="120">
        <v>3318684.9036552203</v>
      </c>
      <c r="K1023" s="120" t="s">
        <v>251</v>
      </c>
      <c r="L1023" s="120" t="s">
        <v>251</v>
      </c>
      <c r="M1023" s="120">
        <v>3110.8838522066794</v>
      </c>
      <c r="N1023" s="120" t="s">
        <v>251</v>
      </c>
      <c r="O1023" s="120">
        <v>3315574.0198030137</v>
      </c>
      <c r="P1023" s="120">
        <v>1022798.3754298845</v>
      </c>
      <c r="Q1023" s="120">
        <v>2292775.6443731291</v>
      </c>
      <c r="R1023" s="120"/>
    </row>
    <row r="1024" spans="1:18" ht="15">
      <c r="A1024" s="105">
        <v>19</v>
      </c>
      <c r="B1024" s="105"/>
      <c r="C1024" s="107" t="s">
        <v>1016</v>
      </c>
      <c r="D1024" s="107" t="s">
        <v>500</v>
      </c>
      <c r="E1024" s="120">
        <v>1072888485.0923913</v>
      </c>
      <c r="F1024" s="120" t="s">
        <v>251</v>
      </c>
      <c r="G1024" s="120">
        <v>969164755.31646883</v>
      </c>
      <c r="H1024" s="120" t="s">
        <v>251</v>
      </c>
      <c r="I1024" s="120">
        <v>103720618.89207011</v>
      </c>
      <c r="J1024" s="120">
        <v>3110.8838522066794</v>
      </c>
      <c r="K1024" s="120" t="s">
        <v>251</v>
      </c>
      <c r="L1024" s="120" t="s">
        <v>251</v>
      </c>
      <c r="M1024" s="120">
        <v>3110.8838522066794</v>
      </c>
      <c r="N1024" s="120" t="s">
        <v>251</v>
      </c>
      <c r="O1024" s="120">
        <v>0</v>
      </c>
      <c r="P1024" s="120">
        <v>0</v>
      </c>
      <c r="Q1024" s="120">
        <v>0</v>
      </c>
      <c r="R1024" s="120"/>
    </row>
    <row r="1025" spans="1:18" ht="15">
      <c r="A1025" s="105">
        <v>20</v>
      </c>
      <c r="B1025" s="105"/>
      <c r="C1025" s="107" t="s">
        <v>1017</v>
      </c>
      <c r="D1025" s="107" t="s">
        <v>505</v>
      </c>
      <c r="E1025" s="120">
        <v>50141045</v>
      </c>
      <c r="F1025" s="120" t="s">
        <v>251</v>
      </c>
      <c r="G1025" s="120">
        <v>44538386.730943576</v>
      </c>
      <c r="H1025" s="120" t="s">
        <v>251</v>
      </c>
      <c r="I1025" s="120">
        <v>2673263.538312437</v>
      </c>
      <c r="J1025" s="120">
        <v>2929394.7307439926</v>
      </c>
      <c r="K1025" s="120" t="s">
        <v>251</v>
      </c>
      <c r="L1025" s="120" t="s">
        <v>251</v>
      </c>
      <c r="M1025" s="120">
        <v>2546.0485497122959</v>
      </c>
      <c r="N1025" s="120" t="s">
        <v>251</v>
      </c>
      <c r="O1025" s="120">
        <v>2926848.6821942804</v>
      </c>
      <c r="P1025" s="120">
        <v>912101.08407861961</v>
      </c>
      <c r="Q1025" s="120">
        <v>2014747.5981156607</v>
      </c>
      <c r="R1025" s="120"/>
    </row>
    <row r="1026" spans="1:18" ht="15">
      <c r="A1026" s="105">
        <v>21</v>
      </c>
      <c r="B1026" s="105"/>
      <c r="C1026" s="107" t="s">
        <v>1018</v>
      </c>
      <c r="D1026" s="107" t="s">
        <v>510</v>
      </c>
      <c r="E1026" s="120">
        <v>9759018.6600000001</v>
      </c>
      <c r="F1026" s="120" t="s">
        <v>251</v>
      </c>
      <c r="G1026" s="120">
        <v>8747630.7563180961</v>
      </c>
      <c r="H1026" s="120" t="s">
        <v>251</v>
      </c>
      <c r="I1026" s="120">
        <v>465639.01776349166</v>
      </c>
      <c r="J1026" s="120">
        <v>545748.88591841259</v>
      </c>
      <c r="K1026" s="120" t="s">
        <v>251</v>
      </c>
      <c r="L1026" s="120" t="s">
        <v>251</v>
      </c>
      <c r="M1026" s="120">
        <v>689.37958600296656</v>
      </c>
      <c r="N1026" s="120" t="s">
        <v>251</v>
      </c>
      <c r="O1026" s="120">
        <v>545059.50633240957</v>
      </c>
      <c r="P1026" s="120">
        <v>171672.08584868396</v>
      </c>
      <c r="Q1026" s="120">
        <v>373387.42048372561</v>
      </c>
      <c r="R1026" s="120"/>
    </row>
    <row r="1027" spans="1:18" ht="15">
      <c r="A1027" s="105">
        <v>22</v>
      </c>
      <c r="B1027" s="105"/>
      <c r="C1027" s="107" t="s">
        <v>1019</v>
      </c>
      <c r="D1027" s="107" t="s">
        <v>512</v>
      </c>
      <c r="E1027" s="120">
        <v>1516710702.4333558</v>
      </c>
      <c r="F1027" s="120" t="s">
        <v>251</v>
      </c>
      <c r="G1027" s="120">
        <v>1516710702.4333558</v>
      </c>
      <c r="H1027" s="120" t="s">
        <v>251</v>
      </c>
      <c r="I1027" s="120">
        <v>0</v>
      </c>
      <c r="J1027" s="120">
        <v>0</v>
      </c>
      <c r="K1027" s="120" t="s">
        <v>251</v>
      </c>
      <c r="L1027" s="120" t="s">
        <v>251</v>
      </c>
      <c r="M1027" s="120">
        <v>0</v>
      </c>
      <c r="N1027" s="120" t="s">
        <v>251</v>
      </c>
      <c r="O1027" s="120">
        <v>0</v>
      </c>
      <c r="P1027" s="120">
        <v>0</v>
      </c>
      <c r="Q1027" s="120">
        <v>0</v>
      </c>
      <c r="R1027" s="120"/>
    </row>
    <row r="1028" spans="1:18" ht="15">
      <c r="A1028" s="105">
        <v>23</v>
      </c>
      <c r="B1028" s="105"/>
      <c r="C1028" s="107" t="s">
        <v>1020</v>
      </c>
      <c r="D1028" s="107" t="s">
        <v>2672</v>
      </c>
      <c r="E1028" s="120">
        <v>22278187.558458291</v>
      </c>
      <c r="F1028" s="120" t="s">
        <v>251</v>
      </c>
      <c r="G1028" s="120">
        <v>0</v>
      </c>
      <c r="H1028" s="120" t="s">
        <v>251</v>
      </c>
      <c r="I1028" s="120">
        <v>0</v>
      </c>
      <c r="J1028" s="120">
        <v>22278187.558458291</v>
      </c>
      <c r="K1028" s="120" t="s">
        <v>251</v>
      </c>
      <c r="L1028" s="120" t="s">
        <v>251</v>
      </c>
      <c r="M1028" s="120">
        <v>0</v>
      </c>
      <c r="N1028" s="120" t="s">
        <v>251</v>
      </c>
      <c r="O1028" s="120">
        <v>22278187.558458291</v>
      </c>
      <c r="P1028" s="120">
        <v>6872443.1746111875</v>
      </c>
      <c r="Q1028" s="120">
        <v>15405744.383847103</v>
      </c>
      <c r="R1028" s="120"/>
    </row>
    <row r="1029" spans="1:18" ht="15">
      <c r="A1029" s="105">
        <v>24</v>
      </c>
      <c r="B1029" s="105"/>
      <c r="C1029" s="107" t="s">
        <v>1021</v>
      </c>
      <c r="D1029" s="107" t="s">
        <v>1022</v>
      </c>
      <c r="E1029" s="120">
        <v>0</v>
      </c>
      <c r="F1029" s="120" t="s">
        <v>251</v>
      </c>
      <c r="G1029" s="120">
        <v>0</v>
      </c>
      <c r="H1029" s="120" t="s">
        <v>251</v>
      </c>
      <c r="I1029" s="120">
        <v>0</v>
      </c>
      <c r="J1029" s="120">
        <v>0</v>
      </c>
      <c r="K1029" s="120" t="s">
        <v>251</v>
      </c>
      <c r="L1029" s="120" t="s">
        <v>251</v>
      </c>
      <c r="M1029" s="120">
        <v>0</v>
      </c>
      <c r="N1029" s="120" t="s">
        <v>251</v>
      </c>
      <c r="O1029" s="120">
        <v>0</v>
      </c>
      <c r="P1029" s="120">
        <v>0</v>
      </c>
      <c r="Q1029" s="120">
        <v>0</v>
      </c>
      <c r="R1029" s="120"/>
    </row>
    <row r="1030" spans="1:18" ht="15">
      <c r="A1030" s="105">
        <v>25</v>
      </c>
      <c r="B1030" s="105"/>
      <c r="C1030" s="107" t="s">
        <v>1023</v>
      </c>
      <c r="D1030" s="107" t="s">
        <v>1024</v>
      </c>
      <c r="E1030" s="120">
        <v>1986694.44043379</v>
      </c>
      <c r="F1030" s="120" t="s">
        <v>251</v>
      </c>
      <c r="G1030" s="120">
        <v>0</v>
      </c>
      <c r="H1030" s="120" t="s">
        <v>251</v>
      </c>
      <c r="I1030" s="120">
        <v>0</v>
      </c>
      <c r="J1030" s="120">
        <v>1986694.44043379</v>
      </c>
      <c r="K1030" s="120" t="s">
        <v>251</v>
      </c>
      <c r="L1030" s="120" t="s">
        <v>251</v>
      </c>
      <c r="M1030" s="120">
        <v>0</v>
      </c>
      <c r="N1030" s="120" t="s">
        <v>251</v>
      </c>
      <c r="O1030" s="120">
        <v>1986694.44043379</v>
      </c>
      <c r="P1030" s="120">
        <v>612861.55399178492</v>
      </c>
      <c r="Q1030" s="120">
        <v>1373832.8864420052</v>
      </c>
      <c r="R1030" s="120"/>
    </row>
    <row r="1031" spans="1:18" ht="15">
      <c r="A1031" s="105">
        <v>26</v>
      </c>
      <c r="B1031" s="105"/>
      <c r="C1031" s="107" t="s">
        <v>1025</v>
      </c>
      <c r="D1031" s="107" t="s">
        <v>1026</v>
      </c>
      <c r="E1031" s="120">
        <v>2273.7288219178085</v>
      </c>
      <c r="F1031" s="120" t="s">
        <v>251</v>
      </c>
      <c r="G1031" s="120">
        <v>0</v>
      </c>
      <c r="H1031" s="120" t="s">
        <v>251</v>
      </c>
      <c r="I1031" s="120">
        <v>0</v>
      </c>
      <c r="J1031" s="120">
        <v>2273.7288219178085</v>
      </c>
      <c r="K1031" s="120" t="s">
        <v>251</v>
      </c>
      <c r="L1031" s="120" t="s">
        <v>251</v>
      </c>
      <c r="M1031" s="120">
        <v>0</v>
      </c>
      <c r="N1031" s="120" t="s">
        <v>251</v>
      </c>
      <c r="O1031" s="120">
        <v>2273.7288219178085</v>
      </c>
      <c r="P1031" s="120">
        <v>701.40679452054803</v>
      </c>
      <c r="Q1031" s="120">
        <v>1572.3220273972604</v>
      </c>
      <c r="R1031" s="120"/>
    </row>
    <row r="1032" spans="1:18" ht="15">
      <c r="A1032" s="105">
        <v>27</v>
      </c>
      <c r="B1032" s="105"/>
      <c r="C1032" s="107" t="s">
        <v>1027</v>
      </c>
      <c r="D1032" s="107" t="s">
        <v>1028</v>
      </c>
      <c r="E1032" s="120">
        <v>1009170878.4773153</v>
      </c>
      <c r="F1032" s="120" t="s">
        <v>251</v>
      </c>
      <c r="G1032" s="120">
        <v>960934352.32491589</v>
      </c>
      <c r="H1032" s="120" t="s">
        <v>251</v>
      </c>
      <c r="I1032" s="120">
        <v>44917867.667191222</v>
      </c>
      <c r="J1032" s="120">
        <v>3318658.4852081779</v>
      </c>
      <c r="K1032" s="120" t="s">
        <v>251</v>
      </c>
      <c r="L1032" s="120" t="s">
        <v>251</v>
      </c>
      <c r="M1032" s="120">
        <v>3084.4654051643961</v>
      </c>
      <c r="N1032" s="120" t="s">
        <v>251</v>
      </c>
      <c r="O1032" s="120">
        <v>3315574.0198030137</v>
      </c>
      <c r="P1032" s="120">
        <v>1022798.3754298845</v>
      </c>
      <c r="Q1032" s="120">
        <v>2292775.6443731291</v>
      </c>
      <c r="R1032" s="120"/>
    </row>
    <row r="1033" spans="1:18" ht="15">
      <c r="A1033" s="105">
        <v>28</v>
      </c>
      <c r="B1033" s="105"/>
      <c r="C1033" s="107" t="s">
        <v>1029</v>
      </c>
      <c r="D1033" s="107" t="s">
        <v>459</v>
      </c>
      <c r="E1033" s="120">
        <v>67033180.634878896</v>
      </c>
      <c r="F1033" s="120" t="s">
        <v>251</v>
      </c>
      <c r="G1033" s="120">
        <v>8230402.9915529564</v>
      </c>
      <c r="H1033" s="120" t="s">
        <v>251</v>
      </c>
      <c r="I1033" s="120">
        <v>58802751.2248789</v>
      </c>
      <c r="J1033" s="120">
        <v>26.418447042283358</v>
      </c>
      <c r="K1033" s="120" t="s">
        <v>251</v>
      </c>
      <c r="L1033" s="120" t="s">
        <v>251</v>
      </c>
      <c r="M1033" s="120">
        <v>26.418447042283358</v>
      </c>
      <c r="N1033" s="120" t="s">
        <v>251</v>
      </c>
      <c r="O1033" s="120">
        <v>0</v>
      </c>
      <c r="P1033" s="120">
        <v>0</v>
      </c>
      <c r="Q1033" s="120">
        <v>0</v>
      </c>
      <c r="R1033" s="120"/>
    </row>
    <row r="1034" spans="1:18" ht="15">
      <c r="A1034" s="105">
        <v>29</v>
      </c>
      <c r="B1034" s="105"/>
      <c r="C1034" s="107" t="s">
        <v>1030</v>
      </c>
      <c r="D1034" s="107" t="s">
        <v>659</v>
      </c>
      <c r="E1034" s="120">
        <v>821241033.64192724</v>
      </c>
      <c r="F1034" s="120" t="s">
        <v>251</v>
      </c>
      <c r="G1034" s="120">
        <v>762767747.32026815</v>
      </c>
      <c r="H1034" s="120" t="s">
        <v>251</v>
      </c>
      <c r="I1034" s="120">
        <v>58378737.541659102</v>
      </c>
      <c r="J1034" s="120">
        <v>94548.78</v>
      </c>
      <c r="K1034" s="120" t="s">
        <v>251</v>
      </c>
      <c r="L1034" s="120" t="s">
        <v>251</v>
      </c>
      <c r="M1034" s="120">
        <v>94548.78</v>
      </c>
      <c r="N1034" s="120" t="s">
        <v>251</v>
      </c>
      <c r="O1034" s="120">
        <v>0</v>
      </c>
      <c r="P1034" s="120">
        <v>0</v>
      </c>
      <c r="Q1034" s="120">
        <v>0</v>
      </c>
      <c r="R1034" s="120"/>
    </row>
    <row r="1035" spans="1:18" ht="15">
      <c r="A1035" s="105">
        <v>30</v>
      </c>
      <c r="B1035" s="105"/>
      <c r="C1035" s="107" t="s">
        <v>439</v>
      </c>
      <c r="D1035" s="107" t="s">
        <v>717</v>
      </c>
      <c r="E1035" s="120">
        <v>9776298860.8313618</v>
      </c>
      <c r="F1035" s="120" t="s">
        <v>251</v>
      </c>
      <c r="G1035" s="120">
        <v>8702727107.7162933</v>
      </c>
      <c r="H1035" s="120" t="s">
        <v>251</v>
      </c>
      <c r="I1035" s="120">
        <v>477985058.8916316</v>
      </c>
      <c r="J1035" s="120">
        <v>595586694.22343576</v>
      </c>
      <c r="K1035" s="120" t="s">
        <v>251</v>
      </c>
      <c r="L1035" s="120" t="s">
        <v>251</v>
      </c>
      <c r="M1035" s="120">
        <v>691958.7057835079</v>
      </c>
      <c r="N1035" s="120" t="s">
        <v>251</v>
      </c>
      <c r="O1035" s="120">
        <v>594894735.51765227</v>
      </c>
      <c r="P1035" s="120">
        <v>186111863.43949777</v>
      </c>
      <c r="Q1035" s="120">
        <v>408782872.07815444</v>
      </c>
      <c r="R1035" s="120"/>
    </row>
    <row r="1036" spans="1:18" ht="15">
      <c r="A1036" s="105">
        <v>31</v>
      </c>
      <c r="B1036" s="105"/>
      <c r="C1036" s="107" t="s">
        <v>1031</v>
      </c>
      <c r="D1036" s="107" t="s">
        <v>489</v>
      </c>
      <c r="E1036" s="120">
        <v>8702727107.7162933</v>
      </c>
      <c r="F1036" s="120" t="s">
        <v>251</v>
      </c>
      <c r="G1036" s="120">
        <v>8702727107.7162933</v>
      </c>
      <c r="H1036" s="120" t="s">
        <v>251</v>
      </c>
      <c r="I1036" s="120">
        <v>0</v>
      </c>
      <c r="J1036" s="120">
        <v>0</v>
      </c>
      <c r="K1036" s="120" t="s">
        <v>251</v>
      </c>
      <c r="L1036" s="120" t="s">
        <v>251</v>
      </c>
      <c r="M1036" s="120">
        <v>0</v>
      </c>
      <c r="N1036" s="120" t="s">
        <v>251</v>
      </c>
      <c r="O1036" s="120">
        <v>0</v>
      </c>
      <c r="P1036" s="120">
        <v>0</v>
      </c>
      <c r="Q1036" s="120">
        <v>0</v>
      </c>
      <c r="R1036" s="120"/>
    </row>
    <row r="1037" spans="1:18" ht="15">
      <c r="A1037" s="105">
        <v>32</v>
      </c>
      <c r="B1037" s="105"/>
      <c r="C1037" s="107" t="s">
        <v>1032</v>
      </c>
      <c r="D1037" s="107" t="s">
        <v>798</v>
      </c>
      <c r="E1037" s="120">
        <v>9298313801.9397297</v>
      </c>
      <c r="F1037" s="120" t="s">
        <v>251</v>
      </c>
      <c r="G1037" s="120">
        <v>8702727107.7162933</v>
      </c>
      <c r="H1037" s="120" t="s">
        <v>251</v>
      </c>
      <c r="I1037" s="120">
        <v>0</v>
      </c>
      <c r="J1037" s="120">
        <v>595586694.22343576</v>
      </c>
      <c r="K1037" s="120" t="s">
        <v>251</v>
      </c>
      <c r="L1037" s="120" t="s">
        <v>251</v>
      </c>
      <c r="M1037" s="120">
        <v>691958.7057835079</v>
      </c>
      <c r="N1037" s="120" t="s">
        <v>251</v>
      </c>
      <c r="O1037" s="120">
        <v>594894735.51765227</v>
      </c>
      <c r="P1037" s="120">
        <v>186111863.43949777</v>
      </c>
      <c r="Q1037" s="120">
        <v>408782872.07815444</v>
      </c>
      <c r="R1037" s="120"/>
    </row>
    <row r="1038" spans="1:18" ht="15">
      <c r="A1038" s="105">
        <v>33</v>
      </c>
      <c r="B1038" s="105"/>
      <c r="C1038" s="107" t="s">
        <v>1033</v>
      </c>
      <c r="D1038" s="107" t="s">
        <v>1034</v>
      </c>
      <c r="E1038" s="120">
        <v>477985058.8916316</v>
      </c>
      <c r="F1038" s="120" t="s">
        <v>251</v>
      </c>
      <c r="G1038" s="120">
        <v>0</v>
      </c>
      <c r="H1038" s="120" t="s">
        <v>251</v>
      </c>
      <c r="I1038" s="120">
        <v>477985058.8916316</v>
      </c>
      <c r="J1038" s="120">
        <v>0</v>
      </c>
      <c r="K1038" s="120" t="s">
        <v>251</v>
      </c>
      <c r="L1038" s="120" t="s">
        <v>251</v>
      </c>
      <c r="M1038" s="120">
        <v>0</v>
      </c>
      <c r="N1038" s="120" t="s">
        <v>251</v>
      </c>
      <c r="O1038" s="120">
        <v>0</v>
      </c>
      <c r="P1038" s="120">
        <v>0</v>
      </c>
      <c r="Q1038" s="120">
        <v>0</v>
      </c>
      <c r="R1038" s="120"/>
    </row>
    <row r="1039" spans="1:18" ht="15">
      <c r="A1039" s="105">
        <v>34</v>
      </c>
      <c r="B1039" s="105"/>
      <c r="C1039" s="107" t="s">
        <v>315</v>
      </c>
      <c r="D1039" s="107" t="s">
        <v>585</v>
      </c>
      <c r="E1039" s="120">
        <v>5324313088.006074</v>
      </c>
      <c r="F1039" s="120" t="s">
        <v>251</v>
      </c>
      <c r="G1039" s="120">
        <v>4631748876.3313189</v>
      </c>
      <c r="H1039" s="120" t="s">
        <v>251</v>
      </c>
      <c r="I1039" s="120">
        <v>217559651.08142775</v>
      </c>
      <c r="J1039" s="120">
        <v>475004560.59332752</v>
      </c>
      <c r="K1039" s="120" t="s">
        <v>251</v>
      </c>
      <c r="L1039" s="120" t="s">
        <v>251</v>
      </c>
      <c r="M1039" s="120">
        <v>14867.268653563968</v>
      </c>
      <c r="N1039" s="120" t="s">
        <v>251</v>
      </c>
      <c r="O1039" s="120">
        <v>474989693.32467395</v>
      </c>
      <c r="P1039" s="120">
        <v>146526267.78251785</v>
      </c>
      <c r="Q1039" s="120">
        <v>328463425.5421561</v>
      </c>
      <c r="R1039" s="120"/>
    </row>
    <row r="1040" spans="1:18" ht="15">
      <c r="A1040" s="105">
        <v>35</v>
      </c>
      <c r="B1040" s="105"/>
      <c r="C1040" s="107" t="s">
        <v>1035</v>
      </c>
      <c r="D1040" s="107" t="s">
        <v>600</v>
      </c>
      <c r="E1040" s="120">
        <v>43772757.859999999</v>
      </c>
      <c r="F1040" s="120" t="s">
        <v>251</v>
      </c>
      <c r="G1040" s="120">
        <v>38284050.832000814</v>
      </c>
      <c r="H1040" s="120" t="s">
        <v>251</v>
      </c>
      <c r="I1040" s="120">
        <v>1753340.8788908804</v>
      </c>
      <c r="J1040" s="120">
        <v>3735366.1491083088</v>
      </c>
      <c r="K1040" s="120" t="s">
        <v>251</v>
      </c>
      <c r="L1040" s="120" t="s">
        <v>251</v>
      </c>
      <c r="M1040" s="120">
        <v>122.88646989792902</v>
      </c>
      <c r="N1040" s="120" t="s">
        <v>251</v>
      </c>
      <c r="O1040" s="120">
        <v>3735243.262638411</v>
      </c>
      <c r="P1040" s="120">
        <v>1152259.2220966215</v>
      </c>
      <c r="Q1040" s="120">
        <v>2582984.0405417895</v>
      </c>
      <c r="R1040" s="120"/>
    </row>
    <row r="1041" spans="1:18" ht="15">
      <c r="A1041" s="105">
        <v>36</v>
      </c>
      <c r="B1041" s="105"/>
      <c r="C1041" s="107" t="s">
        <v>1036</v>
      </c>
      <c r="D1041" s="107" t="s">
        <v>615</v>
      </c>
      <c r="E1041" s="120">
        <v>1037496065.8340194</v>
      </c>
      <c r="F1041" s="120" t="s">
        <v>251</v>
      </c>
      <c r="G1041" s="120">
        <v>905239598.69380903</v>
      </c>
      <c r="H1041" s="120" t="s">
        <v>251</v>
      </c>
      <c r="I1041" s="120">
        <v>41452665.261552095</v>
      </c>
      <c r="J1041" s="120">
        <v>90803801.87865825</v>
      </c>
      <c r="K1041" s="120" t="s">
        <v>251</v>
      </c>
      <c r="L1041" s="120" t="s">
        <v>251</v>
      </c>
      <c r="M1041" s="120">
        <v>2905.6930047307214</v>
      </c>
      <c r="N1041" s="120" t="s">
        <v>251</v>
      </c>
      <c r="O1041" s="120">
        <v>90800896.185653523</v>
      </c>
      <c r="P1041" s="120">
        <v>28010537.105059627</v>
      </c>
      <c r="Q1041" s="120">
        <v>62790359.080593891</v>
      </c>
      <c r="R1041" s="120"/>
    </row>
    <row r="1042" spans="1:18" ht="15">
      <c r="A1042" s="105">
        <v>37</v>
      </c>
      <c r="B1042" s="105"/>
      <c r="C1042" s="107" t="s">
        <v>1037</v>
      </c>
      <c r="D1042" s="107" t="s">
        <v>656</v>
      </c>
      <c r="E1042" s="120">
        <v>270490078.39624649</v>
      </c>
      <c r="F1042" s="120" t="s">
        <v>251</v>
      </c>
      <c r="G1042" s="120">
        <v>256733318.44307652</v>
      </c>
      <c r="H1042" s="120" t="s">
        <v>251</v>
      </c>
      <c r="I1042" s="120">
        <v>9594110.143170001</v>
      </c>
      <c r="J1042" s="120">
        <v>4162649.81</v>
      </c>
      <c r="K1042" s="120" t="s">
        <v>251</v>
      </c>
      <c r="L1042" s="120" t="s">
        <v>251</v>
      </c>
      <c r="M1042" s="120">
        <v>544997.81000000006</v>
      </c>
      <c r="N1042" s="120" t="s">
        <v>251</v>
      </c>
      <c r="O1042" s="120">
        <v>3617652</v>
      </c>
      <c r="P1042" s="120">
        <v>3617652</v>
      </c>
      <c r="Q1042" s="120">
        <v>0</v>
      </c>
      <c r="R1042" s="120"/>
    </row>
    <row r="1043" spans="1:18" ht="15">
      <c r="A1043" s="105">
        <v>38</v>
      </c>
      <c r="B1043" s="105"/>
      <c r="C1043" s="107" t="s">
        <v>1038</v>
      </c>
      <c r="D1043" s="107" t="s">
        <v>661</v>
      </c>
      <c r="E1043" s="120">
        <v>210206794.3810066</v>
      </c>
      <c r="F1043" s="120" t="s">
        <v>251</v>
      </c>
      <c r="G1043" s="120">
        <v>205524610.8774291</v>
      </c>
      <c r="H1043" s="120" t="s">
        <v>251</v>
      </c>
      <c r="I1043" s="120">
        <v>4682183.5035775006</v>
      </c>
      <c r="J1043" s="120">
        <v>0</v>
      </c>
      <c r="K1043" s="120" t="s">
        <v>251</v>
      </c>
      <c r="L1043" s="120" t="s">
        <v>251</v>
      </c>
      <c r="M1043" s="120">
        <v>0</v>
      </c>
      <c r="N1043" s="120" t="s">
        <v>251</v>
      </c>
      <c r="O1043" s="120">
        <v>0</v>
      </c>
      <c r="P1043" s="120">
        <v>0</v>
      </c>
      <c r="Q1043" s="120">
        <v>0</v>
      </c>
      <c r="R1043" s="120"/>
    </row>
    <row r="1044" spans="1:18" ht="15">
      <c r="A1044" s="105">
        <v>39</v>
      </c>
      <c r="B1044" s="105"/>
      <c r="C1044" s="107" t="s">
        <v>1039</v>
      </c>
      <c r="D1044" s="107" t="s">
        <v>663</v>
      </c>
      <c r="E1044" s="120">
        <v>127619324.2100388</v>
      </c>
      <c r="F1044" s="120" t="s">
        <v>251</v>
      </c>
      <c r="G1044" s="120">
        <v>123797976.91996899</v>
      </c>
      <c r="H1044" s="120" t="s">
        <v>251</v>
      </c>
      <c r="I1044" s="120">
        <v>3821347.2900697999</v>
      </c>
      <c r="J1044" s="120">
        <v>0</v>
      </c>
      <c r="K1044" s="120" t="s">
        <v>251</v>
      </c>
      <c r="L1044" s="120" t="s">
        <v>251</v>
      </c>
      <c r="M1044" s="120">
        <v>0</v>
      </c>
      <c r="N1044" s="120" t="s">
        <v>251</v>
      </c>
      <c r="O1044" s="120">
        <v>0</v>
      </c>
      <c r="P1044" s="120">
        <v>0</v>
      </c>
      <c r="Q1044" s="120">
        <v>0</v>
      </c>
      <c r="R1044" s="120"/>
    </row>
    <row r="1045" spans="1:18" ht="15">
      <c r="A1045" s="105">
        <v>40</v>
      </c>
      <c r="B1045" s="105"/>
      <c r="C1045" s="107" t="s">
        <v>1040</v>
      </c>
      <c r="D1045" s="107" t="s">
        <v>665</v>
      </c>
      <c r="E1045" s="120">
        <v>81007991.617870003</v>
      </c>
      <c r="F1045" s="120" t="s">
        <v>251</v>
      </c>
      <c r="G1045" s="120">
        <v>76878916.207870007</v>
      </c>
      <c r="H1045" s="120" t="s">
        <v>251</v>
      </c>
      <c r="I1045" s="120">
        <v>3783545.2000000011</v>
      </c>
      <c r="J1045" s="120">
        <v>345530.21</v>
      </c>
      <c r="K1045" s="120" t="s">
        <v>251</v>
      </c>
      <c r="L1045" s="120" t="s">
        <v>251</v>
      </c>
      <c r="M1045" s="120">
        <v>4199.21</v>
      </c>
      <c r="N1045" s="120" t="s">
        <v>251</v>
      </c>
      <c r="O1045" s="120">
        <v>341331</v>
      </c>
      <c r="P1045" s="120">
        <v>63157</v>
      </c>
      <c r="Q1045" s="120">
        <v>278174</v>
      </c>
      <c r="R1045" s="120"/>
    </row>
    <row r="1046" spans="1:18" ht="15">
      <c r="A1046" s="105">
        <v>41</v>
      </c>
      <c r="B1046" s="105"/>
      <c r="C1046" s="107" t="s">
        <v>1041</v>
      </c>
      <c r="D1046" s="107" t="s">
        <v>667</v>
      </c>
      <c r="E1046" s="120">
        <v>145659.96809999997</v>
      </c>
      <c r="F1046" s="120" t="s">
        <v>251</v>
      </c>
      <c r="G1046" s="120">
        <v>145659.96809999997</v>
      </c>
      <c r="H1046" s="120" t="s">
        <v>251</v>
      </c>
      <c r="I1046" s="120">
        <v>0</v>
      </c>
      <c r="J1046" s="120">
        <v>0</v>
      </c>
      <c r="K1046" s="120" t="s">
        <v>251</v>
      </c>
      <c r="L1046" s="120" t="s">
        <v>251</v>
      </c>
      <c r="M1046" s="120">
        <v>0</v>
      </c>
      <c r="N1046" s="120" t="s">
        <v>251</v>
      </c>
      <c r="O1046" s="120">
        <v>0</v>
      </c>
      <c r="P1046" s="120">
        <v>0</v>
      </c>
      <c r="Q1046" s="120">
        <v>0</v>
      </c>
      <c r="R1046" s="120"/>
    </row>
    <row r="1047" spans="1:18" ht="15">
      <c r="A1047" s="105">
        <v>42</v>
      </c>
      <c r="B1047" s="105"/>
      <c r="C1047" s="107" t="s">
        <v>1042</v>
      </c>
      <c r="D1047" s="107" t="s">
        <v>677</v>
      </c>
      <c r="E1047" s="120">
        <v>321398085.92633098</v>
      </c>
      <c r="F1047" s="120" t="s">
        <v>251</v>
      </c>
      <c r="G1047" s="120">
        <v>310271248.432989</v>
      </c>
      <c r="H1047" s="120" t="s">
        <v>251</v>
      </c>
      <c r="I1047" s="120">
        <v>11123719.213342</v>
      </c>
      <c r="J1047" s="120">
        <v>3118.2799999999997</v>
      </c>
      <c r="K1047" s="120" t="s">
        <v>251</v>
      </c>
      <c r="L1047" s="120" t="s">
        <v>251</v>
      </c>
      <c r="M1047" s="120">
        <v>3118.2799999999997</v>
      </c>
      <c r="N1047" s="120" t="s">
        <v>251</v>
      </c>
      <c r="O1047" s="120">
        <v>0</v>
      </c>
      <c r="P1047" s="120">
        <v>0</v>
      </c>
      <c r="Q1047" s="120">
        <v>0</v>
      </c>
      <c r="R1047" s="120"/>
    </row>
    <row r="1048" spans="1:18" ht="15">
      <c r="A1048" s="105">
        <v>43</v>
      </c>
      <c r="B1048" s="105"/>
      <c r="C1048" s="107" t="s">
        <v>1043</v>
      </c>
      <c r="D1048" s="107" t="s">
        <v>693</v>
      </c>
      <c r="E1048" s="120">
        <v>30172961.59</v>
      </c>
      <c r="F1048" s="120" t="s">
        <v>251</v>
      </c>
      <c r="G1048" s="120">
        <v>28647263.461182915</v>
      </c>
      <c r="H1048" s="120" t="s">
        <v>251</v>
      </c>
      <c r="I1048" s="120">
        <v>1498185.865490926</v>
      </c>
      <c r="J1048" s="120">
        <v>27512.26332616089</v>
      </c>
      <c r="K1048" s="120" t="s">
        <v>251</v>
      </c>
      <c r="L1048" s="120" t="s">
        <v>251</v>
      </c>
      <c r="M1048" s="120">
        <v>198.78802981330122</v>
      </c>
      <c r="N1048" s="120" t="s">
        <v>251</v>
      </c>
      <c r="O1048" s="120">
        <v>27313.475296347588</v>
      </c>
      <c r="P1048" s="120">
        <v>14153.707722707048</v>
      </c>
      <c r="Q1048" s="120">
        <v>13159.76757364054</v>
      </c>
      <c r="R1048" s="120"/>
    </row>
    <row r="1049" spans="1:18" ht="15">
      <c r="A1049" s="105">
        <v>44</v>
      </c>
      <c r="B1049" s="105"/>
      <c r="C1049" s="107" t="s">
        <v>1044</v>
      </c>
      <c r="D1049" s="107" t="s">
        <v>703</v>
      </c>
      <c r="E1049" s="120">
        <v>16093886.34</v>
      </c>
      <c r="F1049" s="120" t="s">
        <v>251</v>
      </c>
      <c r="G1049" s="120">
        <v>16064522.803048905</v>
      </c>
      <c r="H1049" s="120" t="s">
        <v>251</v>
      </c>
      <c r="I1049" s="120">
        <v>29360.404951846627</v>
      </c>
      <c r="J1049" s="120">
        <v>3.1319992481435084</v>
      </c>
      <c r="K1049" s="120" t="s">
        <v>251</v>
      </c>
      <c r="L1049" s="120" t="s">
        <v>251</v>
      </c>
      <c r="M1049" s="120">
        <v>3.1319992481435084</v>
      </c>
      <c r="N1049" s="120" t="s">
        <v>251</v>
      </c>
      <c r="O1049" s="120">
        <v>0</v>
      </c>
      <c r="P1049" s="120">
        <v>0</v>
      </c>
      <c r="Q1049" s="120">
        <v>0</v>
      </c>
      <c r="R1049" s="120"/>
    </row>
    <row r="1050" spans="1:18" ht="15">
      <c r="A1050" s="105">
        <v>45</v>
      </c>
      <c r="B1050" s="105"/>
      <c r="C1050" s="107" t="s">
        <v>1045</v>
      </c>
      <c r="D1050" s="107" t="s">
        <v>1046</v>
      </c>
      <c r="E1050" s="120">
        <v>3023475066.3637147</v>
      </c>
      <c r="F1050" s="120" t="s">
        <v>251</v>
      </c>
      <c r="G1050" s="120">
        <v>2814593070.4461708</v>
      </c>
      <c r="H1050" s="120" t="s">
        <v>251</v>
      </c>
      <c r="I1050" s="120">
        <v>200957209.31388852</v>
      </c>
      <c r="J1050" s="120">
        <v>7924786.60365522</v>
      </c>
      <c r="K1050" s="120" t="s">
        <v>251</v>
      </c>
      <c r="L1050" s="120" t="s">
        <v>251</v>
      </c>
      <c r="M1050" s="120">
        <v>650229.58385220671</v>
      </c>
      <c r="N1050" s="120" t="s">
        <v>251</v>
      </c>
      <c r="O1050" s="120">
        <v>7274557.0198030137</v>
      </c>
      <c r="P1050" s="120">
        <v>4703607.3754298845</v>
      </c>
      <c r="Q1050" s="120">
        <v>2570949.6443731291</v>
      </c>
      <c r="R1050" s="120"/>
    </row>
    <row r="1051" spans="1:18" ht="15">
      <c r="A1051" s="105" t="s">
        <v>251</v>
      </c>
      <c r="B1051" s="105"/>
      <c r="C1051" s="107" t="s">
        <v>251</v>
      </c>
      <c r="D1051" s="107" t="s">
        <v>251</v>
      </c>
      <c r="E1051" s="120" t="s">
        <v>251</v>
      </c>
      <c r="F1051" s="120" t="s">
        <v>251</v>
      </c>
      <c r="G1051" s="120" t="s">
        <v>251</v>
      </c>
      <c r="H1051" s="120" t="s">
        <v>251</v>
      </c>
      <c r="I1051" s="120" t="s">
        <v>251</v>
      </c>
      <c r="J1051" s="120" t="s">
        <v>251</v>
      </c>
      <c r="K1051" s="120" t="s">
        <v>251</v>
      </c>
      <c r="L1051" s="120" t="s">
        <v>251</v>
      </c>
      <c r="M1051" s="120" t="s">
        <v>251</v>
      </c>
      <c r="N1051" s="120" t="s">
        <v>251</v>
      </c>
      <c r="O1051" s="120" t="s">
        <v>251</v>
      </c>
      <c r="P1051" s="120" t="s">
        <v>251</v>
      </c>
      <c r="Q1051" s="120" t="s">
        <v>251</v>
      </c>
      <c r="R1051" s="120"/>
    </row>
    <row r="1052" spans="1:18" ht="15">
      <c r="A1052" s="105" t="s">
        <v>251</v>
      </c>
      <c r="B1052" s="105"/>
      <c r="C1052" s="107" t="s">
        <v>1047</v>
      </c>
      <c r="D1052" s="107" t="s">
        <v>251</v>
      </c>
      <c r="E1052" s="120" t="s">
        <v>251</v>
      </c>
      <c r="F1052" s="120" t="s">
        <v>251</v>
      </c>
      <c r="G1052" s="120" t="s">
        <v>251</v>
      </c>
      <c r="H1052" s="120" t="s">
        <v>251</v>
      </c>
      <c r="I1052" s="120" t="s">
        <v>251</v>
      </c>
      <c r="J1052" s="120" t="s">
        <v>251</v>
      </c>
      <c r="K1052" s="120" t="s">
        <v>251</v>
      </c>
      <c r="L1052" s="120" t="s">
        <v>251</v>
      </c>
      <c r="M1052" s="120" t="s">
        <v>251</v>
      </c>
      <c r="N1052" s="120" t="s">
        <v>251</v>
      </c>
      <c r="O1052" s="120" t="s">
        <v>251</v>
      </c>
      <c r="P1052" s="120" t="s">
        <v>251</v>
      </c>
      <c r="Q1052" s="120" t="s">
        <v>251</v>
      </c>
      <c r="R1052" s="120"/>
    </row>
    <row r="1053" spans="1:18" ht="15">
      <c r="A1053" s="105" t="s">
        <v>251</v>
      </c>
      <c r="B1053" s="105"/>
      <c r="C1053" s="107" t="s">
        <v>920</v>
      </c>
      <c r="D1053" s="107" t="s">
        <v>251</v>
      </c>
      <c r="E1053" s="120" t="s">
        <v>251</v>
      </c>
      <c r="F1053" s="120" t="s">
        <v>251</v>
      </c>
      <c r="G1053" s="120" t="s">
        <v>251</v>
      </c>
      <c r="H1053" s="120" t="s">
        <v>251</v>
      </c>
      <c r="I1053" s="120" t="s">
        <v>251</v>
      </c>
      <c r="J1053" s="120" t="s">
        <v>251</v>
      </c>
      <c r="K1053" s="120" t="s">
        <v>251</v>
      </c>
      <c r="L1053" s="120" t="s">
        <v>251</v>
      </c>
      <c r="M1053" s="120" t="s">
        <v>251</v>
      </c>
      <c r="N1053" s="120" t="s">
        <v>251</v>
      </c>
      <c r="O1053" s="120" t="s">
        <v>251</v>
      </c>
      <c r="P1053" s="120" t="s">
        <v>251</v>
      </c>
      <c r="Q1053" s="120" t="s">
        <v>251</v>
      </c>
      <c r="R1053" s="120"/>
    </row>
    <row r="1054" spans="1:18" ht="15">
      <c r="A1054" s="105">
        <v>1</v>
      </c>
      <c r="B1054" s="105"/>
      <c r="C1054" s="107" t="s">
        <v>1048</v>
      </c>
      <c r="D1054" s="107" t="s">
        <v>712</v>
      </c>
      <c r="E1054" s="120">
        <v>1023564.35</v>
      </c>
      <c r="F1054" s="120" t="s">
        <v>251</v>
      </c>
      <c r="G1054" s="120">
        <v>971281.68300141476</v>
      </c>
      <c r="H1054" s="120" t="s">
        <v>251</v>
      </c>
      <c r="I1054" s="120">
        <v>52277.090379051901</v>
      </c>
      <c r="J1054" s="120">
        <v>5.5766195333767978</v>
      </c>
      <c r="K1054" s="120" t="s">
        <v>251</v>
      </c>
      <c r="L1054" s="120" t="s">
        <v>251</v>
      </c>
      <c r="M1054" s="120">
        <v>5.5766195333767978</v>
      </c>
      <c r="N1054" s="120" t="s">
        <v>251</v>
      </c>
      <c r="O1054" s="120">
        <v>0</v>
      </c>
      <c r="P1054" s="120">
        <v>0</v>
      </c>
      <c r="Q1054" s="120">
        <v>0</v>
      </c>
      <c r="R1054" s="120"/>
    </row>
    <row r="1055" spans="1:18" ht="15">
      <c r="A1055" s="105">
        <v>2</v>
      </c>
      <c r="B1055" s="105"/>
      <c r="C1055" s="107" t="s">
        <v>1049</v>
      </c>
      <c r="D1055" s="107" t="s">
        <v>587</v>
      </c>
      <c r="E1055" s="120">
        <v>113232494.01313287</v>
      </c>
      <c r="F1055" s="120" t="s">
        <v>251</v>
      </c>
      <c r="G1055" s="120">
        <v>0</v>
      </c>
      <c r="H1055" s="120" t="s">
        <v>251</v>
      </c>
      <c r="I1055" s="120">
        <v>0</v>
      </c>
      <c r="J1055" s="120">
        <v>113232494.01313287</v>
      </c>
      <c r="K1055" s="120" t="s">
        <v>251</v>
      </c>
      <c r="L1055" s="120" t="s">
        <v>251</v>
      </c>
      <c r="M1055" s="120">
        <v>0</v>
      </c>
      <c r="N1055" s="120" t="s">
        <v>251</v>
      </c>
      <c r="O1055" s="120">
        <v>113232494.01313287</v>
      </c>
      <c r="P1055" s="120">
        <v>35101464.567657165</v>
      </c>
      <c r="Q1055" s="120">
        <v>78131029.445475712</v>
      </c>
      <c r="R1055" s="120"/>
    </row>
    <row r="1056" spans="1:18" ht="15">
      <c r="A1056" s="105">
        <v>3</v>
      </c>
      <c r="B1056" s="105"/>
      <c r="C1056" s="107" t="s">
        <v>1050</v>
      </c>
      <c r="D1056" s="107" t="s">
        <v>736</v>
      </c>
      <c r="E1056" s="120">
        <v>71704364.639113352</v>
      </c>
      <c r="F1056" s="120" t="s">
        <v>251</v>
      </c>
      <c r="G1056" s="120">
        <v>0</v>
      </c>
      <c r="H1056" s="120" t="s">
        <v>251</v>
      </c>
      <c r="I1056" s="120">
        <v>71704364.639113352</v>
      </c>
      <c r="J1056" s="120">
        <v>0</v>
      </c>
      <c r="K1056" s="120" t="s">
        <v>251</v>
      </c>
      <c r="L1056" s="120" t="s">
        <v>251</v>
      </c>
      <c r="M1056" s="120">
        <v>0</v>
      </c>
      <c r="N1056" s="120" t="s">
        <v>251</v>
      </c>
      <c r="O1056" s="120">
        <v>0</v>
      </c>
      <c r="P1056" s="120">
        <v>0</v>
      </c>
      <c r="Q1056" s="120">
        <v>0</v>
      </c>
      <c r="R1056" s="120"/>
    </row>
    <row r="1057" spans="1:18" ht="15">
      <c r="A1057" s="105">
        <v>4</v>
      </c>
      <c r="B1057" s="105"/>
      <c r="C1057" s="107" t="s">
        <v>1051</v>
      </c>
      <c r="D1057" s="107" t="s">
        <v>1052</v>
      </c>
      <c r="E1057" s="120">
        <v>1701651344.8478873</v>
      </c>
      <c r="F1057" s="120" t="s">
        <v>251</v>
      </c>
      <c r="G1057" s="120">
        <v>1516710702.4333558</v>
      </c>
      <c r="H1057" s="120" t="s">
        <v>251</v>
      </c>
      <c r="I1057" s="120">
        <v>71704364.639113352</v>
      </c>
      <c r="J1057" s="120">
        <v>113236277.77541812</v>
      </c>
      <c r="K1057" s="120" t="s">
        <v>251</v>
      </c>
      <c r="L1057" s="120" t="s">
        <v>251</v>
      </c>
      <c r="M1057" s="120">
        <v>3783.7622852482186</v>
      </c>
      <c r="N1057" s="120" t="s">
        <v>251</v>
      </c>
      <c r="O1057" s="120">
        <v>113232494.01313287</v>
      </c>
      <c r="P1057" s="120">
        <v>35101464.567657165</v>
      </c>
      <c r="Q1057" s="120">
        <v>78131029.445475712</v>
      </c>
      <c r="R1057" s="120"/>
    </row>
    <row r="1058" spans="1:18" ht="15">
      <c r="A1058" s="105">
        <v>5</v>
      </c>
      <c r="B1058" s="105"/>
      <c r="C1058" s="107" t="s">
        <v>1053</v>
      </c>
      <c r="D1058" s="107" t="s">
        <v>727</v>
      </c>
      <c r="E1058" s="120">
        <v>1</v>
      </c>
      <c r="F1058" s="120" t="s">
        <v>251</v>
      </c>
      <c r="G1058" s="120">
        <v>0</v>
      </c>
      <c r="H1058" s="120" t="s">
        <v>251</v>
      </c>
      <c r="I1058" s="120">
        <v>1</v>
      </c>
      <c r="J1058" s="120">
        <v>0</v>
      </c>
      <c r="K1058" s="120" t="s">
        <v>251</v>
      </c>
      <c r="L1058" s="120" t="s">
        <v>251</v>
      </c>
      <c r="M1058" s="120">
        <v>0</v>
      </c>
      <c r="N1058" s="120" t="s">
        <v>251</v>
      </c>
      <c r="O1058" s="120">
        <v>0</v>
      </c>
      <c r="P1058" s="120">
        <v>0</v>
      </c>
      <c r="Q1058" s="120">
        <v>0</v>
      </c>
      <c r="R1058" s="120"/>
    </row>
    <row r="1059" spans="1:18" ht="15">
      <c r="A1059" s="105">
        <v>6</v>
      </c>
      <c r="B1059" s="105"/>
      <c r="C1059" s="107" t="s">
        <v>1054</v>
      </c>
      <c r="D1059" s="107" t="s">
        <v>1055</v>
      </c>
      <c r="E1059" s="120">
        <v>1588418850.8347545</v>
      </c>
      <c r="F1059" s="120" t="s">
        <v>251</v>
      </c>
      <c r="G1059" s="120">
        <v>1516710702.4333558</v>
      </c>
      <c r="H1059" s="120" t="s">
        <v>251</v>
      </c>
      <c r="I1059" s="120">
        <v>71704364.639113352</v>
      </c>
      <c r="J1059" s="120">
        <v>3783.7622852482186</v>
      </c>
      <c r="K1059" s="120" t="s">
        <v>251</v>
      </c>
      <c r="L1059" s="120" t="s">
        <v>251</v>
      </c>
      <c r="M1059" s="120">
        <v>3783.7622852482186</v>
      </c>
      <c r="N1059" s="120" t="s">
        <v>251</v>
      </c>
      <c r="O1059" s="120">
        <v>0</v>
      </c>
      <c r="P1059" s="120">
        <v>0</v>
      </c>
      <c r="Q1059" s="120">
        <v>0</v>
      </c>
      <c r="R1059" s="120"/>
    </row>
    <row r="1060" spans="1:18" ht="15">
      <c r="A1060" s="105">
        <v>7</v>
      </c>
      <c r="B1060" s="105"/>
      <c r="C1060" s="107" t="s">
        <v>1056</v>
      </c>
      <c r="D1060" s="107" t="s">
        <v>747</v>
      </c>
      <c r="E1060" s="120">
        <v>1849387298.1297019</v>
      </c>
      <c r="F1060" s="120" t="s">
        <v>251</v>
      </c>
      <c r="G1060" s="120">
        <v>1845428315.1297019</v>
      </c>
      <c r="H1060" s="120" t="s">
        <v>251</v>
      </c>
      <c r="I1060" s="120">
        <v>0</v>
      </c>
      <c r="J1060" s="120">
        <v>3958983</v>
      </c>
      <c r="K1060" s="120" t="s">
        <v>251</v>
      </c>
      <c r="L1060" s="120" t="s">
        <v>251</v>
      </c>
      <c r="M1060" s="120">
        <v>0</v>
      </c>
      <c r="N1060" s="120" t="s">
        <v>251</v>
      </c>
      <c r="O1060" s="120">
        <v>3958983</v>
      </c>
      <c r="P1060" s="120">
        <v>3680809</v>
      </c>
      <c r="Q1060" s="120">
        <v>278174</v>
      </c>
      <c r="R1060" s="120"/>
    </row>
    <row r="1061" spans="1:18" ht="15">
      <c r="A1061" s="105">
        <v>8</v>
      </c>
      <c r="B1061" s="105"/>
      <c r="C1061" s="107" t="s">
        <v>1057</v>
      </c>
      <c r="D1061" s="107" t="s">
        <v>749</v>
      </c>
      <c r="E1061" s="120">
        <v>97236590.421818405</v>
      </c>
      <c r="F1061" s="120" t="s">
        <v>251</v>
      </c>
      <c r="G1061" s="120">
        <v>0</v>
      </c>
      <c r="H1061" s="120" t="s">
        <v>251</v>
      </c>
      <c r="I1061" s="120">
        <v>97236590.421818405</v>
      </c>
      <c r="J1061" s="120">
        <v>0</v>
      </c>
      <c r="K1061" s="120" t="s">
        <v>251</v>
      </c>
      <c r="L1061" s="120" t="s">
        <v>251</v>
      </c>
      <c r="M1061" s="120">
        <v>0</v>
      </c>
      <c r="N1061" s="120" t="s">
        <v>251</v>
      </c>
      <c r="O1061" s="120">
        <v>0</v>
      </c>
      <c r="P1061" s="120">
        <v>0</v>
      </c>
      <c r="Q1061" s="120">
        <v>0</v>
      </c>
      <c r="R1061" s="120"/>
    </row>
    <row r="1062" spans="1:18" ht="15">
      <c r="A1062" s="105">
        <v>9</v>
      </c>
      <c r="B1062" s="105"/>
      <c r="C1062" s="107" t="s">
        <v>1058</v>
      </c>
      <c r="D1062" s="107" t="s">
        <v>751</v>
      </c>
      <c r="E1062" s="120">
        <v>647118.70000000007</v>
      </c>
      <c r="F1062" s="120" t="s">
        <v>251</v>
      </c>
      <c r="G1062" s="120">
        <v>0</v>
      </c>
      <c r="H1062" s="120" t="s">
        <v>251</v>
      </c>
      <c r="I1062" s="120">
        <v>0</v>
      </c>
      <c r="J1062" s="120">
        <v>647118.70000000007</v>
      </c>
      <c r="K1062" s="120" t="s">
        <v>251</v>
      </c>
      <c r="L1062" s="120" t="s">
        <v>251</v>
      </c>
      <c r="M1062" s="120">
        <v>647118.70000000007</v>
      </c>
      <c r="N1062" s="120" t="s">
        <v>251</v>
      </c>
      <c r="O1062" s="120">
        <v>0</v>
      </c>
      <c r="P1062" s="120">
        <v>0</v>
      </c>
      <c r="Q1062" s="120">
        <v>0</v>
      </c>
      <c r="R1062" s="120"/>
    </row>
    <row r="1063" spans="1:18" ht="15">
      <c r="A1063" s="105">
        <v>10</v>
      </c>
      <c r="B1063" s="105"/>
      <c r="C1063" s="107" t="s">
        <v>474</v>
      </c>
      <c r="D1063" s="107" t="s">
        <v>760</v>
      </c>
      <c r="E1063" s="120">
        <v>6317576379.5329962</v>
      </c>
      <c r="F1063" s="120" t="s">
        <v>251</v>
      </c>
      <c r="G1063" s="120">
        <v>5647121232.0472088</v>
      </c>
      <c r="H1063" s="120" t="s">
        <v>251</v>
      </c>
      <c r="I1063" s="120">
        <v>292696498.83348972</v>
      </c>
      <c r="J1063" s="120">
        <v>377758648.65229768</v>
      </c>
      <c r="K1063" s="120" t="s">
        <v>251</v>
      </c>
      <c r="L1063" s="120" t="s">
        <v>251</v>
      </c>
      <c r="M1063" s="120">
        <v>523956.0955203058</v>
      </c>
      <c r="N1063" s="120" t="s">
        <v>251</v>
      </c>
      <c r="O1063" s="120">
        <v>377234692.55677736</v>
      </c>
      <c r="P1063" s="120">
        <v>118034441.9161458</v>
      </c>
      <c r="Q1063" s="120">
        <v>259200250.64063153</v>
      </c>
      <c r="R1063" s="120"/>
    </row>
    <row r="1064" spans="1:18" ht="15">
      <c r="A1064" s="105">
        <v>11</v>
      </c>
      <c r="B1064" s="105"/>
      <c r="C1064" s="107" t="s">
        <v>547</v>
      </c>
      <c r="D1064" s="107" t="s">
        <v>782</v>
      </c>
      <c r="E1064" s="120">
        <v>5438522380.1491556</v>
      </c>
      <c r="F1064" s="120" t="s">
        <v>251</v>
      </c>
      <c r="G1064" s="120">
        <v>4855749182.8883772</v>
      </c>
      <c r="H1064" s="120" t="s">
        <v>251</v>
      </c>
      <c r="I1064" s="120">
        <v>247247987.01836413</v>
      </c>
      <c r="J1064" s="120">
        <v>335525210.24241859</v>
      </c>
      <c r="K1064" s="120" t="s">
        <v>251</v>
      </c>
      <c r="L1064" s="120" t="s">
        <v>251</v>
      </c>
      <c r="M1064" s="120">
        <v>435757.58585567377</v>
      </c>
      <c r="N1064" s="120" t="s">
        <v>251</v>
      </c>
      <c r="O1064" s="120">
        <v>335089452.65656292</v>
      </c>
      <c r="P1064" s="120">
        <v>104823215.80553499</v>
      </c>
      <c r="Q1064" s="120">
        <v>230266236.85102794</v>
      </c>
      <c r="R1064" s="120"/>
    </row>
    <row r="1065" spans="1:18" ht="15">
      <c r="A1065" s="105">
        <v>12</v>
      </c>
      <c r="B1065" s="105"/>
      <c r="C1065" s="107" t="s">
        <v>1059</v>
      </c>
      <c r="D1065" s="107" t="s">
        <v>786</v>
      </c>
      <c r="E1065" s="120">
        <v>938978.68124335003</v>
      </c>
      <c r="F1065" s="120" t="s">
        <v>251</v>
      </c>
      <c r="G1065" s="120">
        <v>0</v>
      </c>
      <c r="H1065" s="120" t="s">
        <v>251</v>
      </c>
      <c r="I1065" s="120">
        <v>0</v>
      </c>
      <c r="J1065" s="120">
        <v>938978.68124335003</v>
      </c>
      <c r="K1065" s="120" t="s">
        <v>251</v>
      </c>
      <c r="L1065" s="120" t="s">
        <v>251</v>
      </c>
      <c r="M1065" s="120">
        <v>0</v>
      </c>
      <c r="N1065" s="120" t="s">
        <v>251</v>
      </c>
      <c r="O1065" s="120">
        <v>938978.68124335003</v>
      </c>
      <c r="P1065" s="120">
        <v>289659.00444474252</v>
      </c>
      <c r="Q1065" s="120">
        <v>649319.67679860757</v>
      </c>
      <c r="R1065" s="120"/>
    </row>
    <row r="1066" spans="1:18" ht="15">
      <c r="A1066" s="105">
        <v>13</v>
      </c>
      <c r="B1066" s="105"/>
      <c r="C1066" s="107" t="s">
        <v>1060</v>
      </c>
      <c r="D1066" s="107" t="s">
        <v>1061</v>
      </c>
      <c r="E1066" s="120">
        <v>-10602140</v>
      </c>
      <c r="F1066" s="120" t="s">
        <v>251</v>
      </c>
      <c r="G1066" s="120">
        <v>-9480446</v>
      </c>
      <c r="H1066" s="120" t="s">
        <v>251</v>
      </c>
      <c r="I1066" s="120">
        <v>-472882</v>
      </c>
      <c r="J1066" s="120">
        <v>-648812</v>
      </c>
      <c r="K1066" s="120" t="s">
        <v>251</v>
      </c>
      <c r="L1066" s="120" t="s">
        <v>251</v>
      </c>
      <c r="M1066" s="120">
        <v>-754</v>
      </c>
      <c r="N1066" s="120" t="s">
        <v>251</v>
      </c>
      <c r="O1066" s="120">
        <v>-648058</v>
      </c>
      <c r="P1066" s="120">
        <v>-202744</v>
      </c>
      <c r="Q1066" s="120">
        <v>-445314</v>
      </c>
      <c r="R1066" s="120"/>
    </row>
    <row r="1067" spans="1:18" ht="15">
      <c r="A1067" s="105">
        <v>14</v>
      </c>
      <c r="B1067" s="105"/>
      <c r="C1067" s="107" t="s">
        <v>1062</v>
      </c>
      <c r="D1067" s="107" t="s">
        <v>1063</v>
      </c>
      <c r="E1067" s="120">
        <v>412272376.5235672</v>
      </c>
      <c r="F1067" s="120" t="s">
        <v>251</v>
      </c>
      <c r="G1067" s="120">
        <v>362314288.27063602</v>
      </c>
      <c r="H1067" s="120" t="s">
        <v>251</v>
      </c>
      <c r="I1067" s="120">
        <v>15098529.884738283</v>
      </c>
      <c r="J1067" s="120">
        <v>34859558.368192926</v>
      </c>
      <c r="K1067" s="120" t="s">
        <v>251</v>
      </c>
      <c r="L1067" s="120" t="s">
        <v>251</v>
      </c>
      <c r="M1067" s="120">
        <v>1570.7181038974672</v>
      </c>
      <c r="N1067" s="120" t="s">
        <v>251</v>
      </c>
      <c r="O1067" s="120">
        <v>34857987.650089025</v>
      </c>
      <c r="P1067" s="120">
        <v>11098107.830394015</v>
      </c>
      <c r="Q1067" s="120">
        <v>23759879.819695015</v>
      </c>
      <c r="R1067" s="120"/>
    </row>
    <row r="1068" spans="1:18" ht="15">
      <c r="A1068" s="105">
        <v>15</v>
      </c>
      <c r="B1068" s="105"/>
      <c r="C1068" s="107" t="s">
        <v>1064</v>
      </c>
      <c r="D1068" s="107" t="s">
        <v>1065</v>
      </c>
      <c r="E1068" s="120">
        <v>70540956.150000006</v>
      </c>
      <c r="F1068" s="120" t="s">
        <v>251</v>
      </c>
      <c r="G1068" s="120">
        <v>61660670.455490269</v>
      </c>
      <c r="H1068" s="120" t="s">
        <v>251</v>
      </c>
      <c r="I1068" s="120">
        <v>2687271.9528031773</v>
      </c>
      <c r="J1068" s="120">
        <v>6193013.7417065538</v>
      </c>
      <c r="K1068" s="120" t="s">
        <v>251</v>
      </c>
      <c r="L1068" s="120" t="s">
        <v>251</v>
      </c>
      <c r="M1068" s="120">
        <v>180.6444196429423</v>
      </c>
      <c r="N1068" s="120" t="s">
        <v>251</v>
      </c>
      <c r="O1068" s="120">
        <v>6192833.0972869107</v>
      </c>
      <c r="P1068" s="120">
        <v>1968279.1215216953</v>
      </c>
      <c r="Q1068" s="120">
        <v>4224553.9757652152</v>
      </c>
      <c r="R1068" s="120"/>
    </row>
    <row r="1069" spans="1:18" ht="15">
      <c r="A1069" s="105">
        <v>16</v>
      </c>
      <c r="B1069" s="105"/>
      <c r="C1069" s="107" t="s">
        <v>1066</v>
      </c>
      <c r="D1069" s="107" t="s">
        <v>1067</v>
      </c>
      <c r="E1069" s="120">
        <v>49405.589999999902</v>
      </c>
      <c r="F1069" s="120" t="s">
        <v>251</v>
      </c>
      <c r="G1069" s="120">
        <v>43210.576884245405</v>
      </c>
      <c r="H1069" s="120" t="s">
        <v>251</v>
      </c>
      <c r="I1069" s="120">
        <v>1978.9669380617438</v>
      </c>
      <c r="J1069" s="120">
        <v>4216.0461776927577</v>
      </c>
      <c r="K1069" s="120" t="s">
        <v>251</v>
      </c>
      <c r="L1069" s="120" t="s">
        <v>251</v>
      </c>
      <c r="M1069" s="120">
        <v>0.13869993222136931</v>
      </c>
      <c r="N1069" s="120" t="s">
        <v>251</v>
      </c>
      <c r="O1069" s="120">
        <v>4215.9074777605365</v>
      </c>
      <c r="P1069" s="120">
        <v>1300.5359836521964</v>
      </c>
      <c r="Q1069" s="120">
        <v>2915.3714941083399</v>
      </c>
      <c r="R1069" s="120"/>
    </row>
    <row r="1070" spans="1:18" ht="15">
      <c r="A1070" s="105">
        <v>17</v>
      </c>
      <c r="B1070" s="105"/>
      <c r="C1070" s="107" t="s">
        <v>1068</v>
      </c>
      <c r="D1070" s="107" t="s">
        <v>1069</v>
      </c>
      <c r="E1070" s="120">
        <v>189314.88</v>
      </c>
      <c r="F1070" s="120" t="s">
        <v>251</v>
      </c>
      <c r="G1070" s="120">
        <v>165826.74733748878</v>
      </c>
      <c r="H1070" s="120" t="s">
        <v>251</v>
      </c>
      <c r="I1070" s="120">
        <v>7399.7041364904562</v>
      </c>
      <c r="J1070" s="120">
        <v>16088.428526020787</v>
      </c>
      <c r="K1070" s="120" t="s">
        <v>251</v>
      </c>
      <c r="L1070" s="120" t="s">
        <v>251</v>
      </c>
      <c r="M1070" s="120">
        <v>0.58157704893848539</v>
      </c>
      <c r="N1070" s="120" t="s">
        <v>251</v>
      </c>
      <c r="O1070" s="120">
        <v>16087.846948971848</v>
      </c>
      <c r="P1070" s="120">
        <v>5005.4372053233019</v>
      </c>
      <c r="Q1070" s="120">
        <v>11082.409743648546</v>
      </c>
      <c r="R1070" s="120"/>
    </row>
    <row r="1071" spans="1:18" ht="15">
      <c r="A1071" s="105">
        <v>18</v>
      </c>
      <c r="B1071" s="105"/>
      <c r="C1071" s="107" t="s">
        <v>1070</v>
      </c>
      <c r="D1071" s="107" t="s">
        <v>1071</v>
      </c>
      <c r="E1071" s="120">
        <v>134490454.021485</v>
      </c>
      <c r="F1071" s="120" t="s">
        <v>251</v>
      </c>
      <c r="G1071" s="120">
        <v>118382286.19101381</v>
      </c>
      <c r="H1071" s="120" t="s">
        <v>251</v>
      </c>
      <c r="I1071" s="120">
        <v>4832187.9600264048</v>
      </c>
      <c r="J1071" s="120">
        <v>11275979.870444778</v>
      </c>
      <c r="K1071" s="120" t="s">
        <v>251</v>
      </c>
      <c r="L1071" s="120" t="s">
        <v>251</v>
      </c>
      <c r="M1071" s="120">
        <v>529.12276317615954</v>
      </c>
      <c r="N1071" s="120" t="s">
        <v>251</v>
      </c>
      <c r="O1071" s="120">
        <v>11275450.747681603</v>
      </c>
      <c r="P1071" s="120">
        <v>3607187.4829122336</v>
      </c>
      <c r="Q1071" s="120">
        <v>7668263.2647693697</v>
      </c>
      <c r="R1071" s="120"/>
    </row>
    <row r="1072" spans="1:18" ht="15">
      <c r="A1072" s="105">
        <v>19</v>
      </c>
      <c r="B1072" s="105"/>
      <c r="C1072" s="107" t="s">
        <v>1072</v>
      </c>
      <c r="D1072" s="107" t="s">
        <v>1073</v>
      </c>
      <c r="E1072" s="120">
        <v>8864915.8299999908</v>
      </c>
      <c r="F1072" s="120" t="s">
        <v>251</v>
      </c>
      <c r="G1072" s="120">
        <v>7771550.0198986921</v>
      </c>
      <c r="H1072" s="120" t="s">
        <v>251</v>
      </c>
      <c r="I1072" s="120">
        <v>342665.42481588747</v>
      </c>
      <c r="J1072" s="120">
        <v>750700.3852854108</v>
      </c>
      <c r="K1072" s="120" t="s">
        <v>251</v>
      </c>
      <c r="L1072" s="120" t="s">
        <v>251</v>
      </c>
      <c r="M1072" s="120">
        <v>19.391427580637824</v>
      </c>
      <c r="N1072" s="120" t="s">
        <v>251</v>
      </c>
      <c r="O1072" s="120">
        <v>750680.99385783018</v>
      </c>
      <c r="P1072" s="120">
        <v>231572.36013976741</v>
      </c>
      <c r="Q1072" s="120">
        <v>519108.63371806277</v>
      </c>
      <c r="R1072" s="120"/>
    </row>
    <row r="1073" spans="1:18" ht="15">
      <c r="A1073" s="105">
        <v>20</v>
      </c>
      <c r="B1073" s="105"/>
      <c r="C1073" s="107" t="s">
        <v>1074</v>
      </c>
      <c r="D1073" s="107" t="s">
        <v>1075</v>
      </c>
      <c r="E1073" s="120">
        <v>0</v>
      </c>
      <c r="F1073" s="120" t="s">
        <v>251</v>
      </c>
      <c r="G1073" s="120">
        <v>0</v>
      </c>
      <c r="H1073" s="120" t="s">
        <v>251</v>
      </c>
      <c r="I1073" s="120">
        <v>0</v>
      </c>
      <c r="J1073" s="120">
        <v>0</v>
      </c>
      <c r="K1073" s="120" t="s">
        <v>251</v>
      </c>
      <c r="L1073" s="120" t="s">
        <v>251</v>
      </c>
      <c r="M1073" s="120">
        <v>0</v>
      </c>
      <c r="N1073" s="120" t="s">
        <v>251</v>
      </c>
      <c r="O1073" s="120">
        <v>0</v>
      </c>
      <c r="P1073" s="120">
        <v>0</v>
      </c>
      <c r="Q1073" s="120">
        <v>0</v>
      </c>
      <c r="R1073" s="120"/>
    </row>
    <row r="1074" spans="1:18" ht="15">
      <c r="A1074" s="105">
        <v>21</v>
      </c>
      <c r="B1074" s="105"/>
      <c r="C1074" s="107" t="s">
        <v>1076</v>
      </c>
      <c r="D1074" s="107" t="s">
        <v>1077</v>
      </c>
      <c r="E1074" s="120">
        <v>0</v>
      </c>
      <c r="F1074" s="120" t="s">
        <v>251</v>
      </c>
      <c r="G1074" s="120">
        <v>0</v>
      </c>
      <c r="H1074" s="120" t="s">
        <v>251</v>
      </c>
      <c r="I1074" s="120">
        <v>0</v>
      </c>
      <c r="J1074" s="120">
        <v>0</v>
      </c>
      <c r="K1074" s="120" t="s">
        <v>251</v>
      </c>
      <c r="L1074" s="120" t="s">
        <v>251</v>
      </c>
      <c r="M1074" s="120">
        <v>0</v>
      </c>
      <c r="N1074" s="120" t="s">
        <v>251</v>
      </c>
      <c r="O1074" s="120">
        <v>0</v>
      </c>
      <c r="P1074" s="120">
        <v>0</v>
      </c>
      <c r="Q1074" s="120">
        <v>0</v>
      </c>
      <c r="R1074" s="120"/>
    </row>
    <row r="1075" spans="1:18" ht="15">
      <c r="A1075" s="105">
        <v>22</v>
      </c>
      <c r="B1075" s="105"/>
      <c r="C1075" s="107" t="s">
        <v>1078</v>
      </c>
      <c r="D1075" s="107" t="s">
        <v>1079</v>
      </c>
      <c r="E1075" s="120">
        <v>0</v>
      </c>
      <c r="F1075" s="120" t="s">
        <v>251</v>
      </c>
      <c r="G1075" s="120">
        <v>0</v>
      </c>
      <c r="H1075" s="120" t="s">
        <v>251</v>
      </c>
      <c r="I1075" s="120">
        <v>0</v>
      </c>
      <c r="J1075" s="120">
        <v>0</v>
      </c>
      <c r="K1075" s="120" t="s">
        <v>251</v>
      </c>
      <c r="L1075" s="120" t="s">
        <v>251</v>
      </c>
      <c r="M1075" s="120">
        <v>0</v>
      </c>
      <c r="N1075" s="120" t="s">
        <v>251</v>
      </c>
      <c r="O1075" s="120">
        <v>0</v>
      </c>
      <c r="P1075" s="120">
        <v>0</v>
      </c>
      <c r="Q1075" s="120">
        <v>0</v>
      </c>
      <c r="R1075" s="120"/>
    </row>
    <row r="1076" spans="1:18" ht="15">
      <c r="A1076" s="105">
        <v>23</v>
      </c>
      <c r="B1076" s="105"/>
      <c r="C1076" s="107" t="s">
        <v>1080</v>
      </c>
      <c r="D1076" s="107" t="s">
        <v>1081</v>
      </c>
      <c r="E1076" s="120">
        <v>0</v>
      </c>
      <c r="F1076" s="120" t="s">
        <v>251</v>
      </c>
      <c r="G1076" s="120">
        <v>0</v>
      </c>
      <c r="H1076" s="120" t="s">
        <v>251</v>
      </c>
      <c r="I1076" s="120">
        <v>0</v>
      </c>
      <c r="J1076" s="120">
        <v>0</v>
      </c>
      <c r="K1076" s="120" t="s">
        <v>251</v>
      </c>
      <c r="L1076" s="120" t="s">
        <v>251</v>
      </c>
      <c r="M1076" s="120">
        <v>0</v>
      </c>
      <c r="N1076" s="120" t="s">
        <v>251</v>
      </c>
      <c r="O1076" s="120">
        <v>0</v>
      </c>
      <c r="P1076" s="120">
        <v>0</v>
      </c>
      <c r="Q1076" s="120">
        <v>0</v>
      </c>
      <c r="R1076" s="120"/>
    </row>
    <row r="1077" spans="1:18" ht="15">
      <c r="A1077" s="105">
        <v>24</v>
      </c>
      <c r="B1077" s="105"/>
      <c r="C1077" s="107" t="s">
        <v>1082</v>
      </c>
      <c r="D1077" s="107" t="s">
        <v>1083</v>
      </c>
      <c r="E1077" s="120">
        <v>0</v>
      </c>
      <c r="F1077" s="120" t="s">
        <v>251</v>
      </c>
      <c r="G1077" s="120">
        <v>0</v>
      </c>
      <c r="H1077" s="120" t="s">
        <v>251</v>
      </c>
      <c r="I1077" s="120">
        <v>0</v>
      </c>
      <c r="J1077" s="120">
        <v>0</v>
      </c>
      <c r="K1077" s="120" t="s">
        <v>251</v>
      </c>
      <c r="L1077" s="120" t="s">
        <v>251</v>
      </c>
      <c r="M1077" s="120">
        <v>0</v>
      </c>
      <c r="N1077" s="120" t="s">
        <v>251</v>
      </c>
      <c r="O1077" s="120">
        <v>0</v>
      </c>
      <c r="P1077" s="120">
        <v>0</v>
      </c>
      <c r="Q1077" s="120">
        <v>0</v>
      </c>
      <c r="R1077" s="120"/>
    </row>
    <row r="1078" spans="1:18" ht="15">
      <c r="A1078" s="105">
        <v>25</v>
      </c>
      <c r="B1078" s="105"/>
      <c r="C1078" s="107" t="s">
        <v>1084</v>
      </c>
      <c r="D1078" s="107" t="s">
        <v>1085</v>
      </c>
      <c r="E1078" s="120">
        <v>0</v>
      </c>
      <c r="F1078" s="120" t="s">
        <v>251</v>
      </c>
      <c r="G1078" s="120">
        <v>0</v>
      </c>
      <c r="H1078" s="120" t="s">
        <v>251</v>
      </c>
      <c r="I1078" s="120">
        <v>0</v>
      </c>
      <c r="J1078" s="120">
        <v>0</v>
      </c>
      <c r="K1078" s="120" t="s">
        <v>251</v>
      </c>
      <c r="L1078" s="120" t="s">
        <v>251</v>
      </c>
      <c r="M1078" s="120">
        <v>0</v>
      </c>
      <c r="N1078" s="120" t="s">
        <v>251</v>
      </c>
      <c r="O1078" s="120">
        <v>0</v>
      </c>
      <c r="P1078" s="120">
        <v>0</v>
      </c>
      <c r="Q1078" s="120">
        <v>0</v>
      </c>
      <c r="R1078" s="120"/>
    </row>
    <row r="1079" spans="1:18" ht="15">
      <c r="A1079" s="105">
        <v>26</v>
      </c>
      <c r="B1079" s="105"/>
      <c r="C1079" s="107" t="s">
        <v>1086</v>
      </c>
      <c r="D1079" s="107" t="s">
        <v>1087</v>
      </c>
      <c r="E1079" s="120">
        <v>22977038.199999992</v>
      </c>
      <c r="F1079" s="120" t="s">
        <v>251</v>
      </c>
      <c r="G1079" s="120">
        <v>20755685.15686186</v>
      </c>
      <c r="H1079" s="120" t="s">
        <v>251</v>
      </c>
      <c r="I1079" s="120">
        <v>2221286.4202802107</v>
      </c>
      <c r="J1079" s="120">
        <v>66.622857921492795</v>
      </c>
      <c r="K1079" s="120" t="s">
        <v>251</v>
      </c>
      <c r="L1079" s="120" t="s">
        <v>251</v>
      </c>
      <c r="M1079" s="120">
        <v>66.622857921492795</v>
      </c>
      <c r="N1079" s="120" t="s">
        <v>251</v>
      </c>
      <c r="O1079" s="120">
        <v>0</v>
      </c>
      <c r="P1079" s="120">
        <v>0</v>
      </c>
      <c r="Q1079" s="120">
        <v>0</v>
      </c>
      <c r="R1079" s="120"/>
    </row>
    <row r="1080" spans="1:18" ht="15">
      <c r="A1080" s="105">
        <v>27</v>
      </c>
      <c r="B1080" s="105"/>
      <c r="C1080" s="107" t="s">
        <v>1088</v>
      </c>
      <c r="D1080" s="107" t="s">
        <v>1089</v>
      </c>
      <c r="E1080" s="120">
        <v>15300929.93999999</v>
      </c>
      <c r="F1080" s="120" t="s">
        <v>251</v>
      </c>
      <c r="G1080" s="120">
        <v>13829065.966268145</v>
      </c>
      <c r="H1080" s="120" t="s">
        <v>251</v>
      </c>
      <c r="I1080" s="120">
        <v>1471819.8295627297</v>
      </c>
      <c r="J1080" s="120">
        <v>44.144169115581136</v>
      </c>
      <c r="K1080" s="120" t="s">
        <v>251</v>
      </c>
      <c r="L1080" s="120" t="s">
        <v>251</v>
      </c>
      <c r="M1080" s="120">
        <v>44.144169115581136</v>
      </c>
      <c r="N1080" s="120" t="s">
        <v>251</v>
      </c>
      <c r="O1080" s="120">
        <v>0</v>
      </c>
      <c r="P1080" s="120">
        <v>0</v>
      </c>
      <c r="Q1080" s="120">
        <v>0</v>
      </c>
      <c r="R1080" s="120"/>
    </row>
    <row r="1081" spans="1:18" ht="15">
      <c r="A1081" s="105">
        <v>28</v>
      </c>
      <c r="B1081" s="105"/>
      <c r="C1081" s="107" t="s">
        <v>1090</v>
      </c>
      <c r="D1081" s="107" t="s">
        <v>635</v>
      </c>
      <c r="E1081" s="120">
        <v>7518157.9099999992</v>
      </c>
      <c r="F1081" s="120" t="s">
        <v>251</v>
      </c>
      <c r="G1081" s="120">
        <v>6791324.3291526856</v>
      </c>
      <c r="H1081" s="120" t="s">
        <v>251</v>
      </c>
      <c r="I1081" s="120">
        <v>726811.78164230299</v>
      </c>
      <c r="J1081" s="120">
        <v>21.799205011082641</v>
      </c>
      <c r="K1081" s="120" t="s">
        <v>251</v>
      </c>
      <c r="L1081" s="120" t="s">
        <v>251</v>
      </c>
      <c r="M1081" s="120">
        <v>21.799205011082641</v>
      </c>
      <c r="N1081" s="120" t="s">
        <v>251</v>
      </c>
      <c r="O1081" s="120">
        <v>0</v>
      </c>
      <c r="P1081" s="120">
        <v>0</v>
      </c>
      <c r="Q1081" s="120">
        <v>0</v>
      </c>
      <c r="R1081" s="120"/>
    </row>
    <row r="1082" spans="1:18" ht="15">
      <c r="A1082" s="105">
        <v>29</v>
      </c>
      <c r="B1082" s="105"/>
      <c r="C1082" s="107" t="s">
        <v>1091</v>
      </c>
      <c r="D1082" s="107" t="s">
        <v>1092</v>
      </c>
      <c r="E1082" s="120">
        <v>0</v>
      </c>
      <c r="F1082" s="120" t="s">
        <v>251</v>
      </c>
      <c r="G1082" s="120">
        <v>0</v>
      </c>
      <c r="H1082" s="120" t="s">
        <v>251</v>
      </c>
      <c r="I1082" s="120">
        <v>0</v>
      </c>
      <c r="J1082" s="120">
        <v>0</v>
      </c>
      <c r="K1082" s="120" t="s">
        <v>251</v>
      </c>
      <c r="L1082" s="120" t="s">
        <v>251</v>
      </c>
      <c r="M1082" s="120">
        <v>0</v>
      </c>
      <c r="N1082" s="120" t="s">
        <v>251</v>
      </c>
      <c r="O1082" s="120">
        <v>0</v>
      </c>
      <c r="P1082" s="120">
        <v>0</v>
      </c>
      <c r="Q1082" s="120">
        <v>0</v>
      </c>
      <c r="R1082" s="120"/>
    </row>
    <row r="1083" spans="1:18" ht="15">
      <c r="A1083" s="105">
        <v>30</v>
      </c>
      <c r="B1083" s="105"/>
      <c r="C1083" s="107" t="s">
        <v>1093</v>
      </c>
      <c r="D1083" s="107" t="s">
        <v>1094</v>
      </c>
      <c r="E1083" s="120">
        <v>23227628.949999999</v>
      </c>
      <c r="F1083" s="120" t="s">
        <v>251</v>
      </c>
      <c r="G1083" s="120">
        <v>21912977.330796123</v>
      </c>
      <c r="H1083" s="120" t="s">
        <v>251</v>
      </c>
      <c r="I1083" s="120">
        <v>1233434.359733538</v>
      </c>
      <c r="J1083" s="120">
        <v>81217.259470340621</v>
      </c>
      <c r="K1083" s="120" t="s">
        <v>251</v>
      </c>
      <c r="L1083" s="120" t="s">
        <v>251</v>
      </c>
      <c r="M1083" s="120">
        <v>7238.3918425391021</v>
      </c>
      <c r="N1083" s="120" t="s">
        <v>251</v>
      </c>
      <c r="O1083" s="120">
        <v>73978.867627801519</v>
      </c>
      <c r="P1083" s="120">
        <v>44774.913379011028</v>
      </c>
      <c r="Q1083" s="120">
        <v>29203.954248790491</v>
      </c>
      <c r="R1083" s="120"/>
    </row>
    <row r="1084" spans="1:18" ht="15">
      <c r="A1084" s="105">
        <v>31</v>
      </c>
      <c r="B1084" s="105"/>
      <c r="C1084" s="107" t="s">
        <v>1095</v>
      </c>
      <c r="D1084" s="107" t="s">
        <v>1096</v>
      </c>
      <c r="E1084" s="120">
        <v>35275767.219999999</v>
      </c>
      <c r="F1084" s="120" t="s">
        <v>251</v>
      </c>
      <c r="G1084" s="120">
        <v>33245947.451507997</v>
      </c>
      <c r="H1084" s="120" t="s">
        <v>251</v>
      </c>
      <c r="I1084" s="120">
        <v>2006033.1927718883</v>
      </c>
      <c r="J1084" s="120">
        <v>23786.57572011591</v>
      </c>
      <c r="K1084" s="120" t="s">
        <v>251</v>
      </c>
      <c r="L1084" s="120" t="s">
        <v>251</v>
      </c>
      <c r="M1084" s="120">
        <v>5836.2891532937174</v>
      </c>
      <c r="N1084" s="120" t="s">
        <v>251</v>
      </c>
      <c r="O1084" s="120">
        <v>17950.286566822193</v>
      </c>
      <c r="P1084" s="120">
        <v>17910.008738981229</v>
      </c>
      <c r="Q1084" s="120">
        <v>40.277827840965379</v>
      </c>
      <c r="R1084" s="120"/>
    </row>
    <row r="1085" spans="1:18" ht="15">
      <c r="A1085" s="105">
        <v>32</v>
      </c>
      <c r="B1085" s="105"/>
      <c r="C1085" s="107" t="s">
        <v>1097</v>
      </c>
      <c r="D1085" s="107" t="s">
        <v>1098</v>
      </c>
      <c r="E1085" s="120">
        <v>22117935.299999997</v>
      </c>
      <c r="F1085" s="120" t="s">
        <v>251</v>
      </c>
      <c r="G1085" s="120">
        <v>20961162.530960742</v>
      </c>
      <c r="H1085" s="120" t="s">
        <v>251</v>
      </c>
      <c r="I1085" s="120">
        <v>1104454.6997995675</v>
      </c>
      <c r="J1085" s="120">
        <v>52318.069239686956</v>
      </c>
      <c r="K1085" s="120" t="s">
        <v>251</v>
      </c>
      <c r="L1085" s="120" t="s">
        <v>251</v>
      </c>
      <c r="M1085" s="120">
        <v>7350.2504195459269</v>
      </c>
      <c r="N1085" s="120" t="s">
        <v>251</v>
      </c>
      <c r="O1085" s="120">
        <v>44967.81882014103</v>
      </c>
      <c r="P1085" s="120">
        <v>41808.199788568047</v>
      </c>
      <c r="Q1085" s="120">
        <v>3159.6190315729846</v>
      </c>
      <c r="R1085" s="120"/>
    </row>
    <row r="1086" spans="1:18" ht="15">
      <c r="A1086" s="105">
        <v>33</v>
      </c>
      <c r="B1086" s="105"/>
      <c r="C1086" s="107" t="s">
        <v>1099</v>
      </c>
      <c r="D1086" s="107" t="s">
        <v>1100</v>
      </c>
      <c r="E1086" s="120">
        <v>0</v>
      </c>
      <c r="F1086" s="120" t="s">
        <v>251</v>
      </c>
      <c r="G1086" s="120">
        <v>0</v>
      </c>
      <c r="H1086" s="120" t="s">
        <v>251</v>
      </c>
      <c r="I1086" s="120">
        <v>0</v>
      </c>
      <c r="J1086" s="120">
        <v>0</v>
      </c>
      <c r="K1086" s="120" t="s">
        <v>251</v>
      </c>
      <c r="L1086" s="120" t="s">
        <v>251</v>
      </c>
      <c r="M1086" s="120">
        <v>0</v>
      </c>
      <c r="N1086" s="120" t="s">
        <v>251</v>
      </c>
      <c r="O1086" s="120">
        <v>0</v>
      </c>
      <c r="P1086" s="120">
        <v>0</v>
      </c>
      <c r="Q1086" s="120">
        <v>0</v>
      </c>
      <c r="R1086" s="120"/>
    </row>
    <row r="1087" spans="1:18" ht="15">
      <c r="A1087" s="105">
        <v>34</v>
      </c>
      <c r="B1087" s="105"/>
      <c r="C1087" s="107" t="s">
        <v>1101</v>
      </c>
      <c r="D1087" s="107" t="s">
        <v>885</v>
      </c>
      <c r="E1087" s="120">
        <v>25447202.530000005</v>
      </c>
      <c r="F1087" s="120" t="s">
        <v>251</v>
      </c>
      <c r="G1087" s="120">
        <v>24160462.772358254</v>
      </c>
      <c r="H1087" s="120" t="s">
        <v>251</v>
      </c>
      <c r="I1087" s="120">
        <v>1263536.5286570443</v>
      </c>
      <c r="J1087" s="120">
        <v>23203.228984705962</v>
      </c>
      <c r="K1087" s="120" t="s">
        <v>251</v>
      </c>
      <c r="L1087" s="120" t="s">
        <v>251</v>
      </c>
      <c r="M1087" s="120">
        <v>167.65338861781763</v>
      </c>
      <c r="N1087" s="120" t="s">
        <v>251</v>
      </c>
      <c r="O1087" s="120">
        <v>23035.575596088143</v>
      </c>
      <c r="P1087" s="120">
        <v>11936.921269588616</v>
      </c>
      <c r="Q1087" s="120">
        <v>11098.654326499525</v>
      </c>
      <c r="R1087" s="120"/>
    </row>
    <row r="1088" spans="1:18" ht="15">
      <c r="A1088" s="105">
        <v>35</v>
      </c>
      <c r="B1088" s="105"/>
      <c r="C1088" s="107" t="s">
        <v>1102</v>
      </c>
      <c r="D1088" s="107" t="s">
        <v>685</v>
      </c>
      <c r="E1088" s="120">
        <v>3646636.1300000004</v>
      </c>
      <c r="F1088" s="120" t="s">
        <v>251</v>
      </c>
      <c r="G1088" s="120">
        <v>3462243.6929691685</v>
      </c>
      <c r="H1088" s="120" t="s">
        <v>251</v>
      </c>
      <c r="I1088" s="120">
        <v>181067.36689596967</v>
      </c>
      <c r="J1088" s="120">
        <v>3325.070134862166</v>
      </c>
      <c r="K1088" s="120" t="s">
        <v>251</v>
      </c>
      <c r="L1088" s="120" t="s">
        <v>251</v>
      </c>
      <c r="M1088" s="120">
        <v>24.025073228772879</v>
      </c>
      <c r="N1088" s="120" t="s">
        <v>251</v>
      </c>
      <c r="O1088" s="120">
        <v>3301.0450616333933</v>
      </c>
      <c r="P1088" s="120">
        <v>1710.5852138886289</v>
      </c>
      <c r="Q1088" s="120">
        <v>1590.4598477447644</v>
      </c>
      <c r="R1088" s="120"/>
    </row>
    <row r="1089" spans="1:18" ht="15">
      <c r="A1089" s="105">
        <v>36</v>
      </c>
      <c r="B1089" s="105"/>
      <c r="C1089" s="107" t="s">
        <v>1103</v>
      </c>
      <c r="D1089" s="107" t="s">
        <v>893</v>
      </c>
      <c r="E1089" s="120">
        <v>18628882.079999998</v>
      </c>
      <c r="F1089" s="120" t="s">
        <v>251</v>
      </c>
      <c r="G1089" s="120">
        <v>18544478.24681573</v>
      </c>
      <c r="H1089" s="120" t="s">
        <v>251</v>
      </c>
      <c r="I1089" s="120">
        <v>84394.830428825691</v>
      </c>
      <c r="J1089" s="120">
        <v>9.0027554416839255</v>
      </c>
      <c r="K1089" s="120" t="s">
        <v>251</v>
      </c>
      <c r="L1089" s="120" t="s">
        <v>251</v>
      </c>
      <c r="M1089" s="120">
        <v>9.0027554416839255</v>
      </c>
      <c r="N1089" s="120" t="s">
        <v>251</v>
      </c>
      <c r="O1089" s="120">
        <v>0</v>
      </c>
      <c r="P1089" s="120">
        <v>0</v>
      </c>
      <c r="Q1089" s="120">
        <v>0</v>
      </c>
      <c r="R1089" s="120"/>
    </row>
    <row r="1090" spans="1:18" ht="15">
      <c r="A1090" s="105">
        <v>37</v>
      </c>
      <c r="B1090" s="105"/>
      <c r="C1090" s="107" t="s">
        <v>1104</v>
      </c>
      <c r="D1090" s="107" t="s">
        <v>1105</v>
      </c>
      <c r="E1090" s="120">
        <v>3646636.1300000004</v>
      </c>
      <c r="F1090" s="120" t="s">
        <v>251</v>
      </c>
      <c r="G1090" s="120">
        <v>3462243.6929691685</v>
      </c>
      <c r="H1090" s="120" t="s">
        <v>251</v>
      </c>
      <c r="I1090" s="120">
        <v>181067.36689596967</v>
      </c>
      <c r="J1090" s="120">
        <v>3325.070134862166</v>
      </c>
      <c r="K1090" s="120" t="s">
        <v>251</v>
      </c>
      <c r="L1090" s="120" t="s">
        <v>251</v>
      </c>
      <c r="M1090" s="120">
        <v>24.025073228772879</v>
      </c>
      <c r="N1090" s="120" t="s">
        <v>251</v>
      </c>
      <c r="O1090" s="120">
        <v>3301.0450616333933</v>
      </c>
      <c r="P1090" s="120">
        <v>1710.5852138886289</v>
      </c>
      <c r="Q1090" s="120">
        <v>1590.4598477447644</v>
      </c>
      <c r="R1090" s="120"/>
    </row>
    <row r="1091" spans="1:18" ht="15">
      <c r="A1091" s="105">
        <v>38</v>
      </c>
      <c r="B1091" s="105"/>
      <c r="C1091" s="107" t="s">
        <v>1106</v>
      </c>
      <c r="D1091" s="107" t="s">
        <v>1107</v>
      </c>
      <c r="E1091" s="120">
        <v>1023564.35</v>
      </c>
      <c r="F1091" s="120" t="s">
        <v>251</v>
      </c>
      <c r="G1091" s="120">
        <v>971281.68300141476</v>
      </c>
      <c r="H1091" s="120" t="s">
        <v>251</v>
      </c>
      <c r="I1091" s="120">
        <v>52277.090379051901</v>
      </c>
      <c r="J1091" s="120">
        <v>5.5766195333767978</v>
      </c>
      <c r="K1091" s="120" t="s">
        <v>251</v>
      </c>
      <c r="L1091" s="120" t="s">
        <v>251</v>
      </c>
      <c r="M1091" s="120">
        <v>5.5766195333767978</v>
      </c>
      <c r="N1091" s="120" t="s">
        <v>251</v>
      </c>
      <c r="O1091" s="120">
        <v>0</v>
      </c>
      <c r="P1091" s="120">
        <v>0</v>
      </c>
      <c r="Q1091" s="120">
        <v>0</v>
      </c>
      <c r="R1091" s="120"/>
    </row>
    <row r="1092" spans="1:18" ht="15">
      <c r="A1092" s="105">
        <v>39</v>
      </c>
      <c r="B1092" s="105"/>
      <c r="C1092" s="107" t="s">
        <v>1108</v>
      </c>
      <c r="D1092" s="107" t="s">
        <v>697</v>
      </c>
      <c r="E1092" s="120">
        <v>2077185.5299999998</v>
      </c>
      <c r="F1092" s="120" t="s">
        <v>251</v>
      </c>
      <c r="G1092" s="120">
        <v>2067774.2072907793</v>
      </c>
      <c r="H1092" s="120" t="s">
        <v>251</v>
      </c>
      <c r="I1092" s="120">
        <v>9410.3188704901841</v>
      </c>
      <c r="J1092" s="120">
        <v>1.0038387302731056</v>
      </c>
      <c r="K1092" s="120" t="s">
        <v>251</v>
      </c>
      <c r="L1092" s="120" t="s">
        <v>251</v>
      </c>
      <c r="M1092" s="120">
        <v>1.0038387302731056</v>
      </c>
      <c r="N1092" s="120" t="s">
        <v>251</v>
      </c>
      <c r="O1092" s="120">
        <v>0</v>
      </c>
      <c r="P1092" s="120">
        <v>0</v>
      </c>
      <c r="Q1092" s="120">
        <v>0</v>
      </c>
      <c r="R1092" s="120"/>
    </row>
    <row r="1093" spans="1:18" ht="15">
      <c r="A1093" s="105">
        <v>40</v>
      </c>
      <c r="B1093" s="105"/>
      <c r="C1093" s="107" t="s">
        <v>1109</v>
      </c>
      <c r="D1093" s="107" t="s">
        <v>1110</v>
      </c>
      <c r="E1093" s="120">
        <v>112538108.14999989</v>
      </c>
      <c r="F1093" s="120" t="s">
        <v>251</v>
      </c>
      <c r="G1093" s="120">
        <v>101335594.68886064</v>
      </c>
      <c r="H1093" s="120" t="s">
        <v>251</v>
      </c>
      <c r="I1093" s="120">
        <v>5484167.9513253551</v>
      </c>
      <c r="J1093" s="120">
        <v>5718345.5098138954</v>
      </c>
      <c r="K1093" s="120" t="s">
        <v>251</v>
      </c>
      <c r="L1093" s="120" t="s">
        <v>251</v>
      </c>
      <c r="M1093" s="120">
        <v>7855.7803639306658</v>
      </c>
      <c r="N1093" s="120" t="s">
        <v>251</v>
      </c>
      <c r="O1093" s="120">
        <v>5710489.7294499651</v>
      </c>
      <c r="P1093" s="120">
        <v>1817747.5535755211</v>
      </c>
      <c r="Q1093" s="120">
        <v>3892742.1758744437</v>
      </c>
      <c r="R1093" s="120"/>
    </row>
    <row r="1094" spans="1:18" ht="15">
      <c r="A1094" s="105" t="s">
        <v>251</v>
      </c>
      <c r="B1094" s="105"/>
      <c r="C1094" s="107" t="s">
        <v>251</v>
      </c>
      <c r="D1094" s="107" t="s">
        <v>251</v>
      </c>
      <c r="E1094" s="120" t="s">
        <v>251</v>
      </c>
      <c r="F1094" s="120" t="s">
        <v>251</v>
      </c>
      <c r="G1094" s="120" t="s">
        <v>251</v>
      </c>
      <c r="H1094" s="120" t="s">
        <v>251</v>
      </c>
      <c r="I1094" s="120" t="s">
        <v>251</v>
      </c>
      <c r="J1094" s="120" t="s">
        <v>251</v>
      </c>
      <c r="K1094" s="120" t="s">
        <v>251</v>
      </c>
      <c r="L1094" s="120" t="s">
        <v>251</v>
      </c>
      <c r="M1094" s="120" t="s">
        <v>251</v>
      </c>
      <c r="N1094" s="120" t="s">
        <v>251</v>
      </c>
      <c r="O1094" s="120" t="s">
        <v>251</v>
      </c>
      <c r="P1094" s="120" t="s">
        <v>251</v>
      </c>
      <c r="Q1094" s="120" t="s">
        <v>251</v>
      </c>
      <c r="R1094" s="120"/>
    </row>
    <row r="1095" spans="1:18" ht="15">
      <c r="A1095" s="105" t="s">
        <v>251</v>
      </c>
      <c r="B1095" s="105"/>
      <c r="C1095" s="107" t="s">
        <v>1047</v>
      </c>
      <c r="D1095" s="107" t="s">
        <v>251</v>
      </c>
      <c r="E1095" s="120" t="s">
        <v>251</v>
      </c>
      <c r="F1095" s="120" t="s">
        <v>251</v>
      </c>
      <c r="G1095" s="120" t="s">
        <v>251</v>
      </c>
      <c r="H1095" s="120" t="s">
        <v>251</v>
      </c>
      <c r="I1095" s="120" t="s">
        <v>251</v>
      </c>
      <c r="J1095" s="120" t="s">
        <v>251</v>
      </c>
      <c r="K1095" s="120" t="s">
        <v>251</v>
      </c>
      <c r="L1095" s="120" t="s">
        <v>251</v>
      </c>
      <c r="M1095" s="120" t="s">
        <v>251</v>
      </c>
      <c r="N1095" s="120" t="s">
        <v>251</v>
      </c>
      <c r="O1095" s="120" t="s">
        <v>251</v>
      </c>
      <c r="P1095" s="120" t="s">
        <v>251</v>
      </c>
      <c r="Q1095" s="120" t="s">
        <v>251</v>
      </c>
      <c r="R1095" s="120"/>
    </row>
    <row r="1096" spans="1:18" ht="15">
      <c r="A1096" s="105" t="s">
        <v>251</v>
      </c>
      <c r="B1096" s="105"/>
      <c r="C1096" s="107" t="s">
        <v>920</v>
      </c>
      <c r="D1096" s="107" t="s">
        <v>251</v>
      </c>
      <c r="E1096" s="120" t="s">
        <v>251</v>
      </c>
      <c r="F1096" s="120" t="s">
        <v>251</v>
      </c>
      <c r="G1096" s="120" t="s">
        <v>251</v>
      </c>
      <c r="H1096" s="120" t="s">
        <v>251</v>
      </c>
      <c r="I1096" s="120" t="s">
        <v>251</v>
      </c>
      <c r="J1096" s="120" t="s">
        <v>251</v>
      </c>
      <c r="K1096" s="120" t="s">
        <v>251</v>
      </c>
      <c r="L1096" s="120" t="s">
        <v>251</v>
      </c>
      <c r="M1096" s="120" t="s">
        <v>251</v>
      </c>
      <c r="N1096" s="120" t="s">
        <v>251</v>
      </c>
      <c r="O1096" s="120" t="s">
        <v>251</v>
      </c>
      <c r="P1096" s="120" t="s">
        <v>251</v>
      </c>
      <c r="Q1096" s="120" t="s">
        <v>251</v>
      </c>
      <c r="R1096" s="120"/>
    </row>
    <row r="1097" spans="1:18" ht="15">
      <c r="A1097" s="105">
        <v>1</v>
      </c>
      <c r="B1097" s="105"/>
      <c r="C1097" s="107" t="s">
        <v>2258</v>
      </c>
      <c r="D1097" s="107" t="s">
        <v>1112</v>
      </c>
      <c r="E1097" s="120">
        <v>4956390.33</v>
      </c>
      <c r="F1097" s="120" t="s">
        <v>251</v>
      </c>
      <c r="G1097" s="120">
        <v>4496863.4802633142</v>
      </c>
      <c r="H1097" s="120" t="s">
        <v>251</v>
      </c>
      <c r="I1097" s="120">
        <v>223693.97449697685</v>
      </c>
      <c r="J1097" s="120">
        <v>235832.87523970968</v>
      </c>
      <c r="K1097" s="120" t="s">
        <v>251</v>
      </c>
      <c r="L1097" s="120" t="s">
        <v>251</v>
      </c>
      <c r="M1097" s="120">
        <v>342.15025765035432</v>
      </c>
      <c r="N1097" s="120" t="s">
        <v>251</v>
      </c>
      <c r="O1097" s="120">
        <v>235490.72498205933</v>
      </c>
      <c r="P1097" s="120">
        <v>75042.131287554701</v>
      </c>
      <c r="Q1097" s="120">
        <v>160448.59369450461</v>
      </c>
      <c r="R1097" s="120"/>
    </row>
    <row r="1098" spans="1:18" ht="15">
      <c r="A1098" s="105">
        <v>2</v>
      </c>
      <c r="B1098" s="105"/>
      <c r="C1098" s="107" t="s">
        <v>1113</v>
      </c>
      <c r="D1098" s="107" t="s">
        <v>1114</v>
      </c>
      <c r="E1098" s="120">
        <v>18216353.329999998</v>
      </c>
      <c r="F1098" s="120" t="s">
        <v>251</v>
      </c>
      <c r="G1098" s="120">
        <v>18181463.680626191</v>
      </c>
      <c r="H1098" s="120" t="s">
        <v>251</v>
      </c>
      <c r="I1098" s="120">
        <v>34885.927943525043</v>
      </c>
      <c r="J1098" s="120">
        <v>3.7214302823516383</v>
      </c>
      <c r="K1098" s="120" t="s">
        <v>251</v>
      </c>
      <c r="L1098" s="120" t="s">
        <v>251</v>
      </c>
      <c r="M1098" s="120">
        <v>3.7214302823516383</v>
      </c>
      <c r="N1098" s="120" t="s">
        <v>251</v>
      </c>
      <c r="O1098" s="120">
        <v>0</v>
      </c>
      <c r="P1098" s="120">
        <v>0</v>
      </c>
      <c r="Q1098" s="120">
        <v>0</v>
      </c>
      <c r="R1098" s="120"/>
    </row>
    <row r="1099" spans="1:18" ht="15">
      <c r="A1099" s="105">
        <v>3</v>
      </c>
      <c r="B1099" s="105"/>
      <c r="C1099" s="107" t="s">
        <v>1115</v>
      </c>
      <c r="D1099" s="107" t="s">
        <v>525</v>
      </c>
      <c r="E1099" s="120">
        <v>1850034416.8297019</v>
      </c>
      <c r="F1099" s="120" t="s">
        <v>251</v>
      </c>
      <c r="G1099" s="120">
        <v>1845428315.1297019</v>
      </c>
      <c r="H1099" s="120" t="s">
        <v>251</v>
      </c>
      <c r="I1099" s="120">
        <v>0</v>
      </c>
      <c r="J1099" s="120">
        <v>4606101.7</v>
      </c>
      <c r="K1099" s="120" t="s">
        <v>251</v>
      </c>
      <c r="L1099" s="120" t="s">
        <v>251</v>
      </c>
      <c r="M1099" s="120">
        <v>647118.70000000007</v>
      </c>
      <c r="N1099" s="120" t="s">
        <v>251</v>
      </c>
      <c r="O1099" s="120">
        <v>3958983</v>
      </c>
      <c r="P1099" s="120">
        <v>3680809</v>
      </c>
      <c r="Q1099" s="120">
        <v>278174</v>
      </c>
      <c r="R1099" s="120"/>
    </row>
    <row r="1100" spans="1:18" ht="15">
      <c r="A1100" s="105">
        <v>4</v>
      </c>
      <c r="B1100" s="105"/>
      <c r="C1100" s="107" t="s">
        <v>1116</v>
      </c>
      <c r="D1100" s="107" t="s">
        <v>429</v>
      </c>
      <c r="E1100" s="120">
        <v>80697273.867366582</v>
      </c>
      <c r="F1100" s="120" t="s">
        <v>251</v>
      </c>
      <c r="G1100" s="120">
        <v>80697273.867366582</v>
      </c>
      <c r="H1100" s="120" t="s">
        <v>251</v>
      </c>
      <c r="I1100" s="120">
        <v>0</v>
      </c>
      <c r="J1100" s="120">
        <v>0</v>
      </c>
      <c r="K1100" s="120" t="s">
        <v>251</v>
      </c>
      <c r="L1100" s="120" t="s">
        <v>251</v>
      </c>
      <c r="M1100" s="120">
        <v>0</v>
      </c>
      <c r="N1100" s="120" t="s">
        <v>251</v>
      </c>
      <c r="O1100" s="120">
        <v>0</v>
      </c>
      <c r="P1100" s="120">
        <v>0</v>
      </c>
      <c r="Q1100" s="120">
        <v>0</v>
      </c>
      <c r="R1100" s="120"/>
    </row>
    <row r="1101" spans="1:18" ht="15">
      <c r="A1101" s="105">
        <v>5</v>
      </c>
      <c r="B1101" s="105"/>
      <c r="C1101" s="107" t="s">
        <v>1117</v>
      </c>
      <c r="D1101" s="107" t="s">
        <v>1118</v>
      </c>
      <c r="E1101" s="120">
        <v>4181547.6417376106</v>
      </c>
      <c r="F1101" s="120" t="s">
        <v>251</v>
      </c>
      <c r="G1101" s="120">
        <v>0</v>
      </c>
      <c r="H1101" s="120" t="s">
        <v>251</v>
      </c>
      <c r="I1101" s="120">
        <v>4181547.6417376106</v>
      </c>
      <c r="J1101" s="120">
        <v>0</v>
      </c>
      <c r="K1101" s="120" t="s">
        <v>251</v>
      </c>
      <c r="L1101" s="120" t="s">
        <v>251</v>
      </c>
      <c r="M1101" s="120">
        <v>0</v>
      </c>
      <c r="N1101" s="120" t="s">
        <v>251</v>
      </c>
      <c r="O1101" s="120">
        <v>0</v>
      </c>
      <c r="P1101" s="120">
        <v>0</v>
      </c>
      <c r="Q1101" s="120">
        <v>0</v>
      </c>
      <c r="R1101" s="120"/>
    </row>
    <row r="1102" spans="1:18" ht="15">
      <c r="A1102" s="105">
        <v>6</v>
      </c>
      <c r="B1102" s="105"/>
      <c r="C1102" s="107" t="s">
        <v>1119</v>
      </c>
      <c r="D1102" s="107" t="s">
        <v>1120</v>
      </c>
      <c r="E1102" s="120">
        <v>0</v>
      </c>
      <c r="F1102" s="120" t="s">
        <v>251</v>
      </c>
      <c r="G1102" s="120">
        <v>0</v>
      </c>
      <c r="H1102" s="120" t="s">
        <v>251</v>
      </c>
      <c r="I1102" s="120">
        <v>0</v>
      </c>
      <c r="J1102" s="120">
        <v>0</v>
      </c>
      <c r="K1102" s="120" t="s">
        <v>251</v>
      </c>
      <c r="L1102" s="120" t="s">
        <v>251</v>
      </c>
      <c r="M1102" s="120">
        <v>0</v>
      </c>
      <c r="N1102" s="120" t="s">
        <v>251</v>
      </c>
      <c r="O1102" s="120">
        <v>0</v>
      </c>
      <c r="P1102" s="120">
        <v>0</v>
      </c>
      <c r="Q1102" s="120">
        <v>0</v>
      </c>
      <c r="R1102" s="120"/>
    </row>
    <row r="1103" spans="1:18" ht="15">
      <c r="A1103" s="105">
        <v>7</v>
      </c>
      <c r="B1103" s="105"/>
      <c r="C1103" s="107" t="s">
        <v>1121</v>
      </c>
      <c r="D1103" s="107" t="s">
        <v>1122</v>
      </c>
      <c r="E1103" s="120">
        <v>5307235.7846180564</v>
      </c>
      <c r="F1103" s="120" t="s">
        <v>251</v>
      </c>
      <c r="G1103" s="120">
        <v>0</v>
      </c>
      <c r="H1103" s="120" t="s">
        <v>251</v>
      </c>
      <c r="I1103" s="120">
        <v>0</v>
      </c>
      <c r="J1103" s="120">
        <v>5307235.7846180564</v>
      </c>
      <c r="K1103" s="120" t="s">
        <v>251</v>
      </c>
      <c r="L1103" s="120" t="s">
        <v>251</v>
      </c>
      <c r="M1103" s="120">
        <v>0</v>
      </c>
      <c r="N1103" s="120" t="s">
        <v>251</v>
      </c>
      <c r="O1103" s="120">
        <v>5307235.7846180564</v>
      </c>
      <c r="P1103" s="120">
        <v>1688199.200679447</v>
      </c>
      <c r="Q1103" s="120">
        <v>3619036.5839386093</v>
      </c>
      <c r="R1103" s="120"/>
    </row>
    <row r="1104" spans="1:18" ht="15">
      <c r="A1104" s="105">
        <v>8</v>
      </c>
      <c r="B1104" s="105"/>
      <c r="C1104" s="107" t="s">
        <v>1123</v>
      </c>
      <c r="D1104" s="107" t="s">
        <v>1124</v>
      </c>
      <c r="E1104" s="120">
        <v>-930205</v>
      </c>
      <c r="F1104" s="120" t="s">
        <v>251</v>
      </c>
      <c r="G1104" s="120">
        <v>-870622</v>
      </c>
      <c r="H1104" s="120" t="s">
        <v>251</v>
      </c>
      <c r="I1104" s="120">
        <v>0</v>
      </c>
      <c r="J1104" s="120">
        <v>-59583</v>
      </c>
      <c r="K1104" s="120" t="s">
        <v>251</v>
      </c>
      <c r="L1104" s="120" t="s">
        <v>251</v>
      </c>
      <c r="M1104" s="120">
        <v>-69</v>
      </c>
      <c r="N1104" s="120" t="s">
        <v>251</v>
      </c>
      <c r="O1104" s="120">
        <v>-59514</v>
      </c>
      <c r="P1104" s="120">
        <v>-18619</v>
      </c>
      <c r="Q1104" s="120">
        <v>-40895</v>
      </c>
      <c r="R1104" s="120"/>
    </row>
    <row r="1105" spans="1:18" ht="15">
      <c r="A1105" s="105">
        <v>9</v>
      </c>
      <c r="B1105" s="105"/>
      <c r="C1105" s="107" t="s">
        <v>1125</v>
      </c>
      <c r="D1105" s="107" t="s">
        <v>728</v>
      </c>
      <c r="E1105" s="120">
        <v>166363809.47325048</v>
      </c>
      <c r="F1105" s="120" t="s">
        <v>251</v>
      </c>
      <c r="G1105" s="120">
        <v>158293693.74546248</v>
      </c>
      <c r="H1105" s="120" t="s">
        <v>251</v>
      </c>
      <c r="I1105" s="120">
        <v>8057790.9646340366</v>
      </c>
      <c r="J1105" s="120">
        <v>12324.763153955639</v>
      </c>
      <c r="K1105" s="120" t="s">
        <v>251</v>
      </c>
      <c r="L1105" s="120" t="s">
        <v>251</v>
      </c>
      <c r="M1105" s="120">
        <v>12324.763153955639</v>
      </c>
      <c r="N1105" s="120" t="s">
        <v>251</v>
      </c>
      <c r="O1105" s="120">
        <v>0</v>
      </c>
      <c r="P1105" s="120">
        <v>0</v>
      </c>
      <c r="Q1105" s="120">
        <v>0</v>
      </c>
      <c r="R1105" s="120"/>
    </row>
    <row r="1106" spans="1:18" ht="15">
      <c r="A1106" s="105">
        <v>10</v>
      </c>
      <c r="B1106" s="105"/>
      <c r="C1106" s="107" t="s">
        <v>1126</v>
      </c>
      <c r="D1106" s="107" t="s">
        <v>457</v>
      </c>
      <c r="E1106" s="120">
        <v>1005855304.4575123</v>
      </c>
      <c r="F1106" s="120" t="s">
        <v>251</v>
      </c>
      <c r="G1106" s="120">
        <v>960934352.32491589</v>
      </c>
      <c r="H1106" s="120" t="s">
        <v>251</v>
      </c>
      <c r="I1106" s="120">
        <v>44917867.667191222</v>
      </c>
      <c r="J1106" s="120">
        <v>3084.4654051643961</v>
      </c>
      <c r="K1106" s="120" t="s">
        <v>251</v>
      </c>
      <c r="L1106" s="120" t="s">
        <v>251</v>
      </c>
      <c r="M1106" s="120">
        <v>3084.4654051643961</v>
      </c>
      <c r="N1106" s="120" t="s">
        <v>251</v>
      </c>
      <c r="O1106" s="120">
        <v>0</v>
      </c>
      <c r="P1106" s="120">
        <v>0</v>
      </c>
      <c r="Q1106" s="120">
        <v>0</v>
      </c>
      <c r="R1106" s="120"/>
    </row>
    <row r="1107" spans="1:18" ht="15">
      <c r="A1107" s="105">
        <v>11</v>
      </c>
      <c r="B1107" s="105"/>
      <c r="C1107" s="107" t="s">
        <v>251</v>
      </c>
      <c r="D1107" s="107" t="s">
        <v>251</v>
      </c>
      <c r="E1107" s="120" t="s">
        <v>251</v>
      </c>
      <c r="F1107" s="120" t="s">
        <v>251</v>
      </c>
      <c r="G1107" s="120" t="s">
        <v>251</v>
      </c>
      <c r="H1107" s="120" t="s">
        <v>251</v>
      </c>
      <c r="I1107" s="120" t="s">
        <v>251</v>
      </c>
      <c r="J1107" s="120" t="s">
        <v>251</v>
      </c>
      <c r="K1107" s="120" t="s">
        <v>251</v>
      </c>
      <c r="L1107" s="120" t="s">
        <v>251</v>
      </c>
      <c r="M1107" s="120" t="s">
        <v>251</v>
      </c>
      <c r="N1107" s="120" t="s">
        <v>251</v>
      </c>
      <c r="O1107" s="120" t="s">
        <v>251</v>
      </c>
      <c r="P1107" s="120" t="s">
        <v>251</v>
      </c>
      <c r="Q1107" s="120" t="s">
        <v>251</v>
      </c>
      <c r="R1107" s="120"/>
    </row>
    <row r="1108" spans="1:18" ht="15">
      <c r="A1108" s="105">
        <v>12</v>
      </c>
      <c r="B1108" s="105"/>
      <c r="C1108" s="107" t="s">
        <v>251</v>
      </c>
      <c r="D1108" s="107" t="s">
        <v>251</v>
      </c>
      <c r="E1108" s="120" t="s">
        <v>251</v>
      </c>
      <c r="F1108" s="120" t="s">
        <v>251</v>
      </c>
      <c r="G1108" s="120" t="s">
        <v>251</v>
      </c>
      <c r="H1108" s="120" t="s">
        <v>251</v>
      </c>
      <c r="I1108" s="120" t="s">
        <v>251</v>
      </c>
      <c r="J1108" s="120" t="s">
        <v>251</v>
      </c>
      <c r="K1108" s="120" t="s">
        <v>251</v>
      </c>
      <c r="L1108" s="120" t="s">
        <v>251</v>
      </c>
      <c r="M1108" s="120" t="s">
        <v>251</v>
      </c>
      <c r="N1108" s="120" t="s">
        <v>251</v>
      </c>
      <c r="O1108" s="120" t="s">
        <v>251</v>
      </c>
      <c r="P1108" s="120" t="s">
        <v>251</v>
      </c>
      <c r="Q1108" s="120" t="s">
        <v>251</v>
      </c>
      <c r="R1108" s="120"/>
    </row>
    <row r="1109" spans="1:18" ht="15">
      <c r="A1109" s="105">
        <v>13</v>
      </c>
      <c r="B1109" s="105"/>
      <c r="C1109" s="107" t="s">
        <v>251</v>
      </c>
      <c r="D1109" s="107" t="s">
        <v>251</v>
      </c>
      <c r="E1109" s="120" t="s">
        <v>251</v>
      </c>
      <c r="F1109" s="120" t="s">
        <v>251</v>
      </c>
      <c r="G1109" s="120" t="s">
        <v>251</v>
      </c>
      <c r="H1109" s="120" t="s">
        <v>251</v>
      </c>
      <c r="I1109" s="120" t="s">
        <v>251</v>
      </c>
      <c r="J1109" s="120" t="s">
        <v>251</v>
      </c>
      <c r="K1109" s="120" t="s">
        <v>251</v>
      </c>
      <c r="L1109" s="120" t="s">
        <v>251</v>
      </c>
      <c r="M1109" s="120" t="s">
        <v>251</v>
      </c>
      <c r="N1109" s="120" t="s">
        <v>251</v>
      </c>
      <c r="O1109" s="120" t="s">
        <v>251</v>
      </c>
      <c r="P1109" s="120" t="s">
        <v>251</v>
      </c>
      <c r="Q1109" s="120" t="s">
        <v>251</v>
      </c>
      <c r="R1109" s="120"/>
    </row>
    <row r="1110" spans="1:18" ht="15">
      <c r="A1110" s="105">
        <v>14</v>
      </c>
      <c r="B1110" s="105"/>
      <c r="C1110" s="107" t="s">
        <v>251</v>
      </c>
      <c r="D1110" s="107" t="s">
        <v>251</v>
      </c>
      <c r="E1110" s="120" t="s">
        <v>251</v>
      </c>
      <c r="F1110" s="120" t="s">
        <v>251</v>
      </c>
      <c r="G1110" s="120" t="s">
        <v>251</v>
      </c>
      <c r="H1110" s="120" t="s">
        <v>251</v>
      </c>
      <c r="I1110" s="120" t="s">
        <v>251</v>
      </c>
      <c r="J1110" s="120" t="s">
        <v>251</v>
      </c>
      <c r="K1110" s="120" t="s">
        <v>251</v>
      </c>
      <c r="L1110" s="120" t="s">
        <v>251</v>
      </c>
      <c r="M1110" s="120" t="s">
        <v>251</v>
      </c>
      <c r="N1110" s="120" t="s">
        <v>251</v>
      </c>
      <c r="O1110" s="120" t="s">
        <v>251</v>
      </c>
      <c r="P1110" s="120" t="s">
        <v>251</v>
      </c>
      <c r="Q1110" s="120" t="s">
        <v>251</v>
      </c>
      <c r="R1110" s="120"/>
    </row>
    <row r="1111" spans="1:18" ht="15">
      <c r="A1111" s="105">
        <v>15</v>
      </c>
      <c r="B1111" s="105"/>
      <c r="C1111" s="107" t="s">
        <v>251</v>
      </c>
      <c r="D1111" s="107" t="s">
        <v>251</v>
      </c>
      <c r="E1111" s="120" t="s">
        <v>251</v>
      </c>
      <c r="F1111" s="120" t="s">
        <v>251</v>
      </c>
      <c r="G1111" s="120" t="s">
        <v>251</v>
      </c>
      <c r="H1111" s="120" t="s">
        <v>251</v>
      </c>
      <c r="I1111" s="120" t="s">
        <v>251</v>
      </c>
      <c r="J1111" s="120" t="s">
        <v>251</v>
      </c>
      <c r="K1111" s="120" t="s">
        <v>251</v>
      </c>
      <c r="L1111" s="120" t="s">
        <v>251</v>
      </c>
      <c r="M1111" s="120" t="s">
        <v>251</v>
      </c>
      <c r="N1111" s="120" t="s">
        <v>251</v>
      </c>
      <c r="O1111" s="120" t="s">
        <v>251</v>
      </c>
      <c r="P1111" s="120" t="s">
        <v>251</v>
      </c>
      <c r="Q1111" s="120" t="s">
        <v>251</v>
      </c>
      <c r="R1111" s="120"/>
    </row>
    <row r="1112" spans="1:18" ht="15">
      <c r="A1112" s="105">
        <v>16</v>
      </c>
      <c r="B1112" s="105"/>
      <c r="C1112" s="107" t="s">
        <v>251</v>
      </c>
      <c r="D1112" s="107" t="s">
        <v>251</v>
      </c>
      <c r="E1112" s="120" t="s">
        <v>251</v>
      </c>
      <c r="F1112" s="120" t="s">
        <v>251</v>
      </c>
      <c r="G1112" s="120" t="s">
        <v>251</v>
      </c>
      <c r="H1112" s="120" t="s">
        <v>251</v>
      </c>
      <c r="I1112" s="120" t="s">
        <v>251</v>
      </c>
      <c r="J1112" s="120" t="s">
        <v>251</v>
      </c>
      <c r="K1112" s="120" t="s">
        <v>251</v>
      </c>
      <c r="L1112" s="120" t="s">
        <v>251</v>
      </c>
      <c r="M1112" s="120" t="s">
        <v>251</v>
      </c>
      <c r="N1112" s="120" t="s">
        <v>251</v>
      </c>
      <c r="O1112" s="120" t="s">
        <v>251</v>
      </c>
      <c r="P1112" s="120" t="s">
        <v>251</v>
      </c>
      <c r="Q1112" s="120" t="s">
        <v>251</v>
      </c>
      <c r="R1112" s="120"/>
    </row>
    <row r="1113" spans="1:18" ht="15">
      <c r="A1113" s="105">
        <v>17</v>
      </c>
      <c r="B1113" s="105"/>
      <c r="C1113" s="107" t="s">
        <v>251</v>
      </c>
      <c r="D1113" s="107" t="s">
        <v>251</v>
      </c>
      <c r="E1113" s="120" t="s">
        <v>251</v>
      </c>
      <c r="F1113" s="120" t="s">
        <v>251</v>
      </c>
      <c r="G1113" s="120" t="s">
        <v>251</v>
      </c>
      <c r="H1113" s="120" t="s">
        <v>251</v>
      </c>
      <c r="I1113" s="120" t="s">
        <v>251</v>
      </c>
      <c r="J1113" s="120" t="s">
        <v>251</v>
      </c>
      <c r="K1113" s="120" t="s">
        <v>251</v>
      </c>
      <c r="L1113" s="120" t="s">
        <v>251</v>
      </c>
      <c r="M1113" s="120" t="s">
        <v>251</v>
      </c>
      <c r="N1113" s="120" t="s">
        <v>251</v>
      </c>
      <c r="O1113" s="120" t="s">
        <v>251</v>
      </c>
      <c r="P1113" s="120" t="s">
        <v>251</v>
      </c>
      <c r="Q1113" s="120" t="s">
        <v>251</v>
      </c>
      <c r="R1113" s="120"/>
    </row>
    <row r="1114" spans="1:18" ht="15">
      <c r="A1114" s="105">
        <v>18</v>
      </c>
      <c r="B1114" s="105"/>
      <c r="C1114" s="107" t="s">
        <v>251</v>
      </c>
      <c r="D1114" s="107" t="s">
        <v>251</v>
      </c>
      <c r="E1114" s="120" t="s">
        <v>251</v>
      </c>
      <c r="F1114" s="120" t="s">
        <v>251</v>
      </c>
      <c r="G1114" s="120" t="s">
        <v>251</v>
      </c>
      <c r="H1114" s="120" t="s">
        <v>251</v>
      </c>
      <c r="I1114" s="120" t="s">
        <v>251</v>
      </c>
      <c r="J1114" s="120" t="s">
        <v>251</v>
      </c>
      <c r="K1114" s="120" t="s">
        <v>251</v>
      </c>
      <c r="L1114" s="120" t="s">
        <v>251</v>
      </c>
      <c r="M1114" s="120" t="s">
        <v>251</v>
      </c>
      <c r="N1114" s="120" t="s">
        <v>251</v>
      </c>
      <c r="O1114" s="120" t="s">
        <v>251</v>
      </c>
      <c r="P1114" s="120" t="s">
        <v>251</v>
      </c>
      <c r="Q1114" s="120" t="s">
        <v>251</v>
      </c>
      <c r="R1114" s="120"/>
    </row>
    <row r="1115" spans="1:18" ht="15">
      <c r="A1115" s="105">
        <v>19</v>
      </c>
      <c r="B1115" s="105"/>
      <c r="C1115" s="107" t="s">
        <v>251</v>
      </c>
      <c r="D1115" s="107" t="s">
        <v>251</v>
      </c>
      <c r="E1115" s="120" t="s">
        <v>251</v>
      </c>
      <c r="F1115" s="120" t="s">
        <v>251</v>
      </c>
      <c r="G1115" s="120" t="s">
        <v>251</v>
      </c>
      <c r="H1115" s="120" t="s">
        <v>251</v>
      </c>
      <c r="I1115" s="120" t="s">
        <v>251</v>
      </c>
      <c r="J1115" s="120" t="s">
        <v>251</v>
      </c>
      <c r="K1115" s="120" t="s">
        <v>251</v>
      </c>
      <c r="L1115" s="120" t="s">
        <v>251</v>
      </c>
      <c r="M1115" s="120" t="s">
        <v>251</v>
      </c>
      <c r="N1115" s="120" t="s">
        <v>251</v>
      </c>
      <c r="O1115" s="120" t="s">
        <v>251</v>
      </c>
      <c r="P1115" s="120" t="s">
        <v>251</v>
      </c>
      <c r="Q1115" s="120" t="s">
        <v>251</v>
      </c>
      <c r="R1115" s="120"/>
    </row>
    <row r="1116" spans="1:18" ht="15">
      <c r="A1116" s="105">
        <v>20</v>
      </c>
      <c r="B1116" s="105"/>
      <c r="C1116" s="107" t="s">
        <v>251</v>
      </c>
      <c r="D1116" s="107" t="s">
        <v>251</v>
      </c>
      <c r="E1116" s="120" t="s">
        <v>251</v>
      </c>
      <c r="F1116" s="120" t="s">
        <v>251</v>
      </c>
      <c r="G1116" s="120" t="s">
        <v>251</v>
      </c>
      <c r="H1116" s="120" t="s">
        <v>251</v>
      </c>
      <c r="I1116" s="120" t="s">
        <v>251</v>
      </c>
      <c r="J1116" s="120" t="s">
        <v>251</v>
      </c>
      <c r="K1116" s="120" t="s">
        <v>251</v>
      </c>
      <c r="L1116" s="120" t="s">
        <v>251</v>
      </c>
      <c r="M1116" s="120" t="s">
        <v>251</v>
      </c>
      <c r="N1116" s="120" t="s">
        <v>251</v>
      </c>
      <c r="O1116" s="120" t="s">
        <v>251</v>
      </c>
      <c r="P1116" s="120" t="s">
        <v>251</v>
      </c>
      <c r="Q1116" s="120" t="s">
        <v>251</v>
      </c>
      <c r="R1116" s="120"/>
    </row>
    <row r="1117" spans="1:18" ht="15">
      <c r="A1117" s="105">
        <v>21</v>
      </c>
      <c r="B1117" s="105"/>
      <c r="C1117" s="107" t="s">
        <v>251</v>
      </c>
      <c r="D1117" s="107" t="s">
        <v>251</v>
      </c>
      <c r="E1117" s="120" t="s">
        <v>251</v>
      </c>
      <c r="F1117" s="120" t="s">
        <v>251</v>
      </c>
      <c r="G1117" s="120" t="s">
        <v>251</v>
      </c>
      <c r="H1117" s="120" t="s">
        <v>251</v>
      </c>
      <c r="I1117" s="120" t="s">
        <v>251</v>
      </c>
      <c r="J1117" s="120" t="s">
        <v>251</v>
      </c>
      <c r="K1117" s="120" t="s">
        <v>251</v>
      </c>
      <c r="L1117" s="120" t="s">
        <v>251</v>
      </c>
      <c r="M1117" s="120" t="s">
        <v>251</v>
      </c>
      <c r="N1117" s="120" t="s">
        <v>251</v>
      </c>
      <c r="O1117" s="120" t="s">
        <v>251</v>
      </c>
      <c r="P1117" s="120" t="s">
        <v>251</v>
      </c>
      <c r="Q1117" s="120" t="s">
        <v>251</v>
      </c>
      <c r="R1117" s="120"/>
    </row>
    <row r="1118" spans="1:18" ht="15">
      <c r="A1118" s="105">
        <v>22</v>
      </c>
      <c r="B1118" s="105"/>
      <c r="C1118" s="107" t="s">
        <v>251</v>
      </c>
      <c r="D1118" s="107" t="s">
        <v>251</v>
      </c>
      <c r="E1118" s="120" t="s">
        <v>251</v>
      </c>
      <c r="F1118" s="120" t="s">
        <v>251</v>
      </c>
      <c r="G1118" s="120" t="s">
        <v>251</v>
      </c>
      <c r="H1118" s="120" t="s">
        <v>251</v>
      </c>
      <c r="I1118" s="120" t="s">
        <v>251</v>
      </c>
      <c r="J1118" s="120" t="s">
        <v>251</v>
      </c>
      <c r="K1118" s="120" t="s">
        <v>251</v>
      </c>
      <c r="L1118" s="120" t="s">
        <v>251</v>
      </c>
      <c r="M1118" s="120" t="s">
        <v>251</v>
      </c>
      <c r="N1118" s="120" t="s">
        <v>251</v>
      </c>
      <c r="O1118" s="120" t="s">
        <v>251</v>
      </c>
      <c r="P1118" s="120" t="s">
        <v>251</v>
      </c>
      <c r="Q1118" s="120" t="s">
        <v>251</v>
      </c>
      <c r="R1118" s="120"/>
    </row>
    <row r="1119" spans="1:18" ht="15">
      <c r="A1119" s="105">
        <v>23</v>
      </c>
      <c r="B1119" s="105"/>
      <c r="C1119" s="107" t="s">
        <v>251</v>
      </c>
      <c r="D1119" s="107" t="s">
        <v>251</v>
      </c>
      <c r="E1119" s="120" t="s">
        <v>251</v>
      </c>
      <c r="F1119" s="120" t="s">
        <v>251</v>
      </c>
      <c r="G1119" s="120" t="s">
        <v>251</v>
      </c>
      <c r="H1119" s="120" t="s">
        <v>251</v>
      </c>
      <c r="I1119" s="120" t="s">
        <v>251</v>
      </c>
      <c r="J1119" s="120" t="s">
        <v>251</v>
      </c>
      <c r="K1119" s="120" t="s">
        <v>251</v>
      </c>
      <c r="L1119" s="120" t="s">
        <v>251</v>
      </c>
      <c r="M1119" s="120" t="s">
        <v>251</v>
      </c>
      <c r="N1119" s="120" t="s">
        <v>251</v>
      </c>
      <c r="O1119" s="120" t="s">
        <v>251</v>
      </c>
      <c r="P1119" s="120" t="s">
        <v>251</v>
      </c>
      <c r="Q1119" s="120" t="s">
        <v>251</v>
      </c>
      <c r="R1119" s="120"/>
    </row>
    <row r="1120" spans="1:18" ht="15">
      <c r="A1120" s="105">
        <v>24</v>
      </c>
      <c r="B1120" s="105"/>
      <c r="C1120" s="107" t="s">
        <v>251</v>
      </c>
      <c r="D1120" s="107" t="s">
        <v>251</v>
      </c>
      <c r="E1120" s="120" t="s">
        <v>251</v>
      </c>
      <c r="F1120" s="120" t="s">
        <v>251</v>
      </c>
      <c r="G1120" s="120" t="s">
        <v>251</v>
      </c>
      <c r="H1120" s="120" t="s">
        <v>251</v>
      </c>
      <c r="I1120" s="120" t="s">
        <v>251</v>
      </c>
      <c r="J1120" s="120" t="s">
        <v>251</v>
      </c>
      <c r="K1120" s="120" t="s">
        <v>251</v>
      </c>
      <c r="L1120" s="120" t="s">
        <v>251</v>
      </c>
      <c r="M1120" s="120" t="s">
        <v>251</v>
      </c>
      <c r="N1120" s="120" t="s">
        <v>251</v>
      </c>
      <c r="O1120" s="120" t="s">
        <v>251</v>
      </c>
      <c r="P1120" s="120" t="s">
        <v>251</v>
      </c>
      <c r="Q1120" s="120" t="s">
        <v>251</v>
      </c>
      <c r="R1120" s="120"/>
    </row>
    <row r="1121" spans="1:18" ht="15">
      <c r="A1121" s="105">
        <v>25</v>
      </c>
      <c r="B1121" s="105"/>
      <c r="C1121" s="107" t="s">
        <v>251</v>
      </c>
      <c r="D1121" s="107" t="s">
        <v>251</v>
      </c>
      <c r="E1121" s="120" t="s">
        <v>251</v>
      </c>
      <c r="F1121" s="120" t="s">
        <v>251</v>
      </c>
      <c r="G1121" s="120" t="s">
        <v>251</v>
      </c>
      <c r="H1121" s="120" t="s">
        <v>251</v>
      </c>
      <c r="I1121" s="120" t="s">
        <v>251</v>
      </c>
      <c r="J1121" s="120" t="s">
        <v>251</v>
      </c>
      <c r="K1121" s="120" t="s">
        <v>251</v>
      </c>
      <c r="L1121" s="120" t="s">
        <v>251</v>
      </c>
      <c r="M1121" s="120" t="s">
        <v>251</v>
      </c>
      <c r="N1121" s="120" t="s">
        <v>251</v>
      </c>
      <c r="O1121" s="120" t="s">
        <v>251</v>
      </c>
      <c r="P1121" s="120" t="s">
        <v>251</v>
      </c>
      <c r="Q1121" s="120" t="s">
        <v>251</v>
      </c>
      <c r="R1121" s="120"/>
    </row>
    <row r="1122" spans="1:18" ht="15">
      <c r="A1122" s="105">
        <v>26</v>
      </c>
      <c r="B1122" s="105"/>
      <c r="C1122" s="107" t="s">
        <v>251</v>
      </c>
      <c r="D1122" s="107" t="s">
        <v>251</v>
      </c>
      <c r="E1122" s="120" t="s">
        <v>251</v>
      </c>
      <c r="F1122" s="120" t="s">
        <v>251</v>
      </c>
      <c r="G1122" s="120" t="s">
        <v>251</v>
      </c>
      <c r="H1122" s="120" t="s">
        <v>251</v>
      </c>
      <c r="I1122" s="120" t="s">
        <v>251</v>
      </c>
      <c r="J1122" s="120" t="s">
        <v>251</v>
      </c>
      <c r="K1122" s="120" t="s">
        <v>251</v>
      </c>
      <c r="L1122" s="120" t="s">
        <v>251</v>
      </c>
      <c r="M1122" s="120" t="s">
        <v>251</v>
      </c>
      <c r="N1122" s="120" t="s">
        <v>251</v>
      </c>
      <c r="O1122" s="120" t="s">
        <v>251</v>
      </c>
      <c r="P1122" s="120" t="s">
        <v>251</v>
      </c>
      <c r="Q1122" s="120" t="s">
        <v>251</v>
      </c>
      <c r="R1122" s="120"/>
    </row>
    <row r="1123" spans="1:18" ht="15">
      <c r="A1123" s="105">
        <v>27</v>
      </c>
      <c r="B1123" s="105"/>
      <c r="C1123" s="107" t="s">
        <v>251</v>
      </c>
      <c r="D1123" s="107" t="s">
        <v>251</v>
      </c>
      <c r="E1123" s="120" t="s">
        <v>251</v>
      </c>
      <c r="F1123" s="120" t="s">
        <v>251</v>
      </c>
      <c r="G1123" s="120" t="s">
        <v>251</v>
      </c>
      <c r="H1123" s="120" t="s">
        <v>251</v>
      </c>
      <c r="I1123" s="120" t="s">
        <v>251</v>
      </c>
      <c r="J1123" s="120" t="s">
        <v>251</v>
      </c>
      <c r="K1123" s="120" t="s">
        <v>251</v>
      </c>
      <c r="L1123" s="120" t="s">
        <v>251</v>
      </c>
      <c r="M1123" s="120" t="s">
        <v>251</v>
      </c>
      <c r="N1123" s="120" t="s">
        <v>251</v>
      </c>
      <c r="O1123" s="120" t="s">
        <v>251</v>
      </c>
      <c r="P1123" s="120" t="s">
        <v>251</v>
      </c>
      <c r="Q1123" s="120" t="s">
        <v>251</v>
      </c>
      <c r="R1123" s="120"/>
    </row>
    <row r="1124" spans="1:18" ht="15">
      <c r="A1124" s="105">
        <v>28</v>
      </c>
      <c r="B1124" s="105"/>
      <c r="C1124" s="107" t="s">
        <v>251</v>
      </c>
      <c r="D1124" s="107" t="s">
        <v>251</v>
      </c>
      <c r="E1124" s="120" t="s">
        <v>251</v>
      </c>
      <c r="F1124" s="120" t="s">
        <v>251</v>
      </c>
      <c r="G1124" s="120" t="s">
        <v>251</v>
      </c>
      <c r="H1124" s="120" t="s">
        <v>251</v>
      </c>
      <c r="I1124" s="120" t="s">
        <v>251</v>
      </c>
      <c r="J1124" s="120" t="s">
        <v>251</v>
      </c>
      <c r="K1124" s="120" t="s">
        <v>251</v>
      </c>
      <c r="L1124" s="120" t="s">
        <v>251</v>
      </c>
      <c r="M1124" s="120" t="s">
        <v>251</v>
      </c>
      <c r="N1124" s="120" t="s">
        <v>251</v>
      </c>
      <c r="O1124" s="120" t="s">
        <v>251</v>
      </c>
      <c r="P1124" s="120" t="s">
        <v>251</v>
      </c>
      <c r="Q1124" s="120" t="s">
        <v>251</v>
      </c>
      <c r="R1124" s="120"/>
    </row>
    <row r="1125" spans="1:18" ht="15">
      <c r="A1125" s="105">
        <v>29</v>
      </c>
      <c r="B1125" s="105"/>
      <c r="C1125" s="107" t="s">
        <v>251</v>
      </c>
      <c r="D1125" s="107" t="s">
        <v>251</v>
      </c>
      <c r="E1125" s="120" t="s">
        <v>251</v>
      </c>
      <c r="F1125" s="120" t="s">
        <v>251</v>
      </c>
      <c r="G1125" s="120" t="s">
        <v>251</v>
      </c>
      <c r="H1125" s="120" t="s">
        <v>251</v>
      </c>
      <c r="I1125" s="120" t="s">
        <v>251</v>
      </c>
      <c r="J1125" s="120" t="s">
        <v>251</v>
      </c>
      <c r="K1125" s="120" t="s">
        <v>251</v>
      </c>
      <c r="L1125" s="120" t="s">
        <v>251</v>
      </c>
      <c r="M1125" s="120" t="s">
        <v>251</v>
      </c>
      <c r="N1125" s="120" t="s">
        <v>251</v>
      </c>
      <c r="O1125" s="120" t="s">
        <v>251</v>
      </c>
      <c r="P1125" s="120" t="s">
        <v>251</v>
      </c>
      <c r="Q1125" s="120" t="s">
        <v>251</v>
      </c>
      <c r="R1125" s="120"/>
    </row>
    <row r="1126" spans="1:18" ht="15">
      <c r="A1126" s="105">
        <v>30</v>
      </c>
      <c r="B1126" s="105"/>
      <c r="C1126" s="107" t="s">
        <v>251</v>
      </c>
      <c r="D1126" s="107" t="s">
        <v>251</v>
      </c>
      <c r="E1126" s="120" t="s">
        <v>251</v>
      </c>
      <c r="F1126" s="120" t="s">
        <v>251</v>
      </c>
      <c r="G1126" s="120" t="s">
        <v>251</v>
      </c>
      <c r="H1126" s="120" t="s">
        <v>251</v>
      </c>
      <c r="I1126" s="120" t="s">
        <v>251</v>
      </c>
      <c r="J1126" s="120" t="s">
        <v>251</v>
      </c>
      <c r="K1126" s="120" t="s">
        <v>251</v>
      </c>
      <c r="L1126" s="120" t="s">
        <v>251</v>
      </c>
      <c r="M1126" s="120" t="s">
        <v>251</v>
      </c>
      <c r="N1126" s="120" t="s">
        <v>251</v>
      </c>
      <c r="O1126" s="120" t="s">
        <v>251</v>
      </c>
      <c r="P1126" s="120" t="s">
        <v>251</v>
      </c>
      <c r="Q1126" s="120" t="s">
        <v>251</v>
      </c>
      <c r="R1126" s="120"/>
    </row>
    <row r="1127" spans="1:18" ht="15">
      <c r="A1127" s="105" t="s">
        <v>251</v>
      </c>
      <c r="B1127" s="105"/>
      <c r="C1127" s="107" t="s">
        <v>251</v>
      </c>
      <c r="D1127" s="107" t="s">
        <v>251</v>
      </c>
      <c r="E1127" s="120" t="s">
        <v>251</v>
      </c>
      <c r="F1127" s="120" t="s">
        <v>251</v>
      </c>
      <c r="G1127" s="120" t="s">
        <v>251</v>
      </c>
      <c r="H1127" s="120" t="s">
        <v>251</v>
      </c>
      <c r="I1127" s="120" t="s">
        <v>251</v>
      </c>
      <c r="J1127" s="120" t="s">
        <v>251</v>
      </c>
      <c r="K1127" s="120" t="s">
        <v>251</v>
      </c>
      <c r="L1127" s="120" t="s">
        <v>251</v>
      </c>
      <c r="M1127" s="120" t="s">
        <v>251</v>
      </c>
      <c r="N1127" s="120" t="s">
        <v>251</v>
      </c>
      <c r="O1127" s="120" t="s">
        <v>251</v>
      </c>
      <c r="P1127" s="120" t="s">
        <v>251</v>
      </c>
      <c r="Q1127" s="120" t="s">
        <v>251</v>
      </c>
      <c r="R1127" s="120"/>
    </row>
    <row r="1128" spans="1:18" ht="15">
      <c r="A1128" s="105" t="s">
        <v>251</v>
      </c>
      <c r="B1128" s="105"/>
      <c r="C1128" s="107" t="s">
        <v>1127</v>
      </c>
      <c r="D1128" s="107" t="s">
        <v>251</v>
      </c>
      <c r="E1128" s="120" t="s">
        <v>251</v>
      </c>
      <c r="F1128" s="120" t="s">
        <v>251</v>
      </c>
      <c r="G1128" s="120" t="s">
        <v>251</v>
      </c>
      <c r="H1128" s="120" t="s">
        <v>251</v>
      </c>
      <c r="I1128" s="120" t="s">
        <v>251</v>
      </c>
      <c r="J1128" s="120" t="s">
        <v>251</v>
      </c>
      <c r="K1128" s="120" t="s">
        <v>251</v>
      </c>
      <c r="L1128" s="120" t="s">
        <v>251</v>
      </c>
      <c r="M1128" s="120" t="s">
        <v>251</v>
      </c>
      <c r="N1128" s="120" t="s">
        <v>251</v>
      </c>
      <c r="O1128" s="120" t="s">
        <v>251</v>
      </c>
      <c r="P1128" s="120" t="s">
        <v>251</v>
      </c>
      <c r="Q1128" s="120" t="s">
        <v>251</v>
      </c>
      <c r="R1128" s="120"/>
    </row>
    <row r="1129" spans="1:18" ht="15">
      <c r="A1129" s="105" t="s">
        <v>251</v>
      </c>
      <c r="B1129" s="105"/>
      <c r="C1129" s="107" t="s">
        <v>920</v>
      </c>
      <c r="D1129" s="107" t="s">
        <v>251</v>
      </c>
      <c r="E1129" s="120" t="s">
        <v>251</v>
      </c>
      <c r="F1129" s="120" t="s">
        <v>251</v>
      </c>
      <c r="G1129" s="120" t="s">
        <v>251</v>
      </c>
      <c r="H1129" s="120" t="s">
        <v>251</v>
      </c>
      <c r="I1129" s="120" t="s">
        <v>251</v>
      </c>
      <c r="J1129" s="120" t="s">
        <v>251</v>
      </c>
      <c r="K1129" s="120" t="s">
        <v>251</v>
      </c>
      <c r="L1129" s="120" t="s">
        <v>251</v>
      </c>
      <c r="M1129" s="120" t="s">
        <v>251</v>
      </c>
      <c r="N1129" s="120" t="s">
        <v>251</v>
      </c>
      <c r="O1129" s="120" t="s">
        <v>251</v>
      </c>
      <c r="P1129" s="120" t="s">
        <v>251</v>
      </c>
      <c r="Q1129" s="120" t="s">
        <v>251</v>
      </c>
      <c r="R1129" s="120"/>
    </row>
    <row r="1130" spans="1:18" ht="15">
      <c r="A1130" s="105">
        <v>1</v>
      </c>
      <c r="B1130" s="105"/>
      <c r="C1130" s="107" t="s">
        <v>1128</v>
      </c>
      <c r="D1130" s="107" t="s">
        <v>251</v>
      </c>
      <c r="E1130" s="120">
        <v>636757119.21117699</v>
      </c>
      <c r="F1130" s="120" t="s">
        <v>251</v>
      </c>
      <c r="G1130" s="120">
        <v>599721559.53082466</v>
      </c>
      <c r="H1130" s="120" t="s">
        <v>251</v>
      </c>
      <c r="I1130" s="120">
        <v>37031853.000352375</v>
      </c>
      <c r="J1130" s="120">
        <v>3706.6799999999994</v>
      </c>
      <c r="K1130" s="120" t="s">
        <v>251</v>
      </c>
      <c r="L1130" s="120" t="s">
        <v>251</v>
      </c>
      <c r="M1130" s="120">
        <v>3706.6799999999994</v>
      </c>
      <c r="N1130" s="120" t="s">
        <v>251</v>
      </c>
      <c r="O1130" s="120">
        <v>0</v>
      </c>
      <c r="P1130" s="120">
        <v>0</v>
      </c>
      <c r="Q1130" s="120">
        <v>0</v>
      </c>
      <c r="R1130" s="120"/>
    </row>
    <row r="1131" spans="1:18" ht="15">
      <c r="A1131" s="105">
        <v>2</v>
      </c>
      <c r="B1131" s="105"/>
      <c r="C1131" s="107" t="s">
        <v>1129</v>
      </c>
      <c r="D1131" s="107" t="s">
        <v>251</v>
      </c>
      <c r="E1131" s="120">
        <v>398311565.84494227</v>
      </c>
      <c r="F1131" s="120" t="s">
        <v>251</v>
      </c>
      <c r="G1131" s="120">
        <v>380416371.6344763</v>
      </c>
      <c r="H1131" s="120" t="s">
        <v>251</v>
      </c>
      <c r="I1131" s="120">
        <v>17895194.210465994</v>
      </c>
      <c r="J1131" s="120">
        <v>0</v>
      </c>
      <c r="K1131" s="120" t="s">
        <v>251</v>
      </c>
      <c r="L1131" s="120" t="s">
        <v>251</v>
      </c>
      <c r="M1131" s="120">
        <v>0</v>
      </c>
      <c r="N1131" s="120" t="s">
        <v>251</v>
      </c>
      <c r="O1131" s="120">
        <v>0</v>
      </c>
      <c r="P1131" s="120">
        <v>0</v>
      </c>
      <c r="Q1131" s="120">
        <v>0</v>
      </c>
      <c r="R1131" s="120"/>
    </row>
    <row r="1132" spans="1:18" ht="15">
      <c r="A1132" s="105">
        <v>3</v>
      </c>
      <c r="B1132" s="105"/>
      <c r="C1132" s="107" t="s">
        <v>1130</v>
      </c>
      <c r="D1132" s="107" t="s">
        <v>251</v>
      </c>
      <c r="E1132" s="120">
        <v>0</v>
      </c>
      <c r="F1132" s="120" t="s">
        <v>251</v>
      </c>
      <c r="G1132" s="120">
        <v>0</v>
      </c>
      <c r="H1132" s="120" t="s">
        <v>251</v>
      </c>
      <c r="I1132" s="120">
        <v>0</v>
      </c>
      <c r="J1132" s="120">
        <v>0</v>
      </c>
      <c r="K1132" s="120" t="s">
        <v>251</v>
      </c>
      <c r="L1132" s="120" t="s">
        <v>251</v>
      </c>
      <c r="M1132" s="120">
        <v>0</v>
      </c>
      <c r="N1132" s="120" t="s">
        <v>251</v>
      </c>
      <c r="O1132" s="120">
        <v>0</v>
      </c>
      <c r="P1132" s="120">
        <v>0</v>
      </c>
      <c r="Q1132" s="120">
        <v>0</v>
      </c>
      <c r="R1132" s="120"/>
    </row>
    <row r="1133" spans="1:18" ht="15">
      <c r="A1133" s="105">
        <v>4</v>
      </c>
      <c r="B1133" s="105"/>
      <c r="C1133" s="107" t="s">
        <v>1131</v>
      </c>
      <c r="D1133" s="107" t="s">
        <v>251</v>
      </c>
      <c r="E1133" s="120">
        <v>392838781.45972246</v>
      </c>
      <c r="F1133" s="120" t="s">
        <v>251</v>
      </c>
      <c r="G1133" s="120">
        <v>383942631.03851056</v>
      </c>
      <c r="H1133" s="120" t="s">
        <v>251</v>
      </c>
      <c r="I1133" s="120">
        <v>8896150.4212119058</v>
      </c>
      <c r="J1133" s="120">
        <v>0</v>
      </c>
      <c r="K1133" s="120" t="s">
        <v>251</v>
      </c>
      <c r="L1133" s="120" t="s">
        <v>251</v>
      </c>
      <c r="M1133" s="120">
        <v>0</v>
      </c>
      <c r="N1133" s="120" t="s">
        <v>251</v>
      </c>
      <c r="O1133" s="120">
        <v>0</v>
      </c>
      <c r="P1133" s="120">
        <v>0</v>
      </c>
      <c r="Q1133" s="120">
        <v>0</v>
      </c>
      <c r="R1133" s="107"/>
    </row>
    <row r="1134" spans="1:18" ht="15">
      <c r="A1134" s="105">
        <v>5</v>
      </c>
      <c r="B1134" s="105"/>
      <c r="C1134" s="107" t="s">
        <v>1132</v>
      </c>
      <c r="D1134" s="107" t="s">
        <v>251</v>
      </c>
      <c r="E1134" s="120">
        <v>0</v>
      </c>
      <c r="F1134" s="120" t="s">
        <v>251</v>
      </c>
      <c r="G1134" s="120">
        <v>0</v>
      </c>
      <c r="H1134" s="120" t="s">
        <v>251</v>
      </c>
      <c r="I1134" s="120">
        <v>0</v>
      </c>
      <c r="J1134" s="120">
        <v>0</v>
      </c>
      <c r="K1134" s="120" t="s">
        <v>251</v>
      </c>
      <c r="L1134" s="120" t="s">
        <v>251</v>
      </c>
      <c r="M1134" s="120">
        <v>0</v>
      </c>
      <c r="N1134" s="120" t="s">
        <v>251</v>
      </c>
      <c r="O1134" s="120">
        <v>0</v>
      </c>
      <c r="P1134" s="120">
        <v>0</v>
      </c>
      <c r="Q1134" s="120">
        <v>0</v>
      </c>
      <c r="R1134" s="107"/>
    </row>
    <row r="1135" spans="1:18" ht="15">
      <c r="A1135" s="105">
        <v>6</v>
      </c>
      <c r="B1135" s="105"/>
      <c r="C1135" s="107" t="s">
        <v>1133</v>
      </c>
      <c r="D1135" s="107" t="s">
        <v>251</v>
      </c>
      <c r="E1135" s="120">
        <v>12435613.177185208</v>
      </c>
      <c r="F1135" s="120" t="s">
        <v>251</v>
      </c>
      <c r="G1135" s="120">
        <v>12045993.086333271</v>
      </c>
      <c r="H1135" s="120" t="s">
        <v>251</v>
      </c>
      <c r="I1135" s="120">
        <v>389620.09085193585</v>
      </c>
      <c r="J1135" s="120">
        <v>0</v>
      </c>
      <c r="K1135" s="120" t="s">
        <v>251</v>
      </c>
      <c r="L1135" s="120" t="s">
        <v>251</v>
      </c>
      <c r="M1135" s="120">
        <v>0</v>
      </c>
      <c r="N1135" s="120" t="s">
        <v>251</v>
      </c>
      <c r="O1135" s="120">
        <v>0</v>
      </c>
      <c r="P1135" s="120">
        <v>0</v>
      </c>
      <c r="Q1135" s="120">
        <v>0</v>
      </c>
      <c r="R1135" s="107"/>
    </row>
    <row r="1136" spans="1:18" ht="15">
      <c r="A1136" s="105">
        <v>7</v>
      </c>
      <c r="B1136" s="105"/>
      <c r="C1136" s="107" t="s">
        <v>1134</v>
      </c>
      <c r="D1136" s="107" t="s">
        <v>251</v>
      </c>
      <c r="E1136" s="120">
        <v>130146515.73229703</v>
      </c>
      <c r="F1136" s="120" t="s">
        <v>251</v>
      </c>
      <c r="G1136" s="120">
        <v>123360800.96802673</v>
      </c>
      <c r="H1136" s="120" t="s">
        <v>251</v>
      </c>
      <c r="I1136" s="120">
        <v>6785714.7642702982</v>
      </c>
      <c r="J1136" s="120">
        <v>0</v>
      </c>
      <c r="K1136" s="120" t="s">
        <v>251</v>
      </c>
      <c r="L1136" s="120" t="s">
        <v>251</v>
      </c>
      <c r="M1136" s="120">
        <v>0</v>
      </c>
      <c r="N1136" s="120" t="s">
        <v>251</v>
      </c>
      <c r="O1136" s="120">
        <v>0</v>
      </c>
      <c r="P1136" s="120">
        <v>0</v>
      </c>
      <c r="Q1136" s="120">
        <v>0</v>
      </c>
      <c r="R1136" s="107"/>
    </row>
    <row r="1137" spans="1:18" ht="15">
      <c r="A1137" s="105">
        <v>8</v>
      </c>
      <c r="B1137" s="105"/>
      <c r="C1137" s="107" t="s">
        <v>1135</v>
      </c>
      <c r="D1137" s="107" t="s">
        <v>251</v>
      </c>
      <c r="E1137" s="120">
        <v>0</v>
      </c>
      <c r="F1137" s="120" t="s">
        <v>251</v>
      </c>
      <c r="G1137" s="120">
        <v>0</v>
      </c>
      <c r="H1137" s="120" t="s">
        <v>251</v>
      </c>
      <c r="I1137" s="120">
        <v>0</v>
      </c>
      <c r="J1137" s="120">
        <v>0</v>
      </c>
      <c r="K1137" s="120" t="s">
        <v>251</v>
      </c>
      <c r="L1137" s="120" t="s">
        <v>251</v>
      </c>
      <c r="M1137" s="120">
        <v>0</v>
      </c>
      <c r="N1137" s="120" t="s">
        <v>251</v>
      </c>
      <c r="O1137" s="120">
        <v>0</v>
      </c>
      <c r="P1137" s="120">
        <v>0</v>
      </c>
      <c r="Q1137" s="120">
        <v>0</v>
      </c>
      <c r="R1137" s="107"/>
    </row>
    <row r="1138" spans="1:18" ht="15">
      <c r="A1138" s="105">
        <v>9</v>
      </c>
      <c r="B1138" s="105"/>
      <c r="C1138" s="107" t="s">
        <v>1136</v>
      </c>
      <c r="D1138" s="107" t="s">
        <v>251</v>
      </c>
      <c r="E1138" s="120">
        <v>111592441.68546264</v>
      </c>
      <c r="F1138" s="120" t="s">
        <v>251</v>
      </c>
      <c r="G1138" s="120">
        <v>0</v>
      </c>
      <c r="H1138" s="120" t="s">
        <v>251</v>
      </c>
      <c r="I1138" s="120">
        <v>0</v>
      </c>
      <c r="J1138" s="120">
        <v>111592441.68546264</v>
      </c>
      <c r="K1138" s="120" t="s">
        <v>251</v>
      </c>
      <c r="L1138" s="120" t="s">
        <v>251</v>
      </c>
      <c r="M1138" s="120">
        <v>0</v>
      </c>
      <c r="N1138" s="120" t="s">
        <v>251</v>
      </c>
      <c r="O1138" s="120">
        <v>111592441.68546264</v>
      </c>
      <c r="P1138" s="120">
        <v>34576695.387562007</v>
      </c>
      <c r="Q1138" s="120">
        <v>77015746.297900632</v>
      </c>
      <c r="R1138" s="107"/>
    </row>
    <row r="1139" spans="1:18" ht="15">
      <c r="A1139" s="105">
        <v>10</v>
      </c>
      <c r="B1139" s="105"/>
      <c r="C1139" s="107" t="s">
        <v>1137</v>
      </c>
      <c r="D1139" s="107" t="s">
        <v>251</v>
      </c>
      <c r="E1139" s="120">
        <v>0</v>
      </c>
      <c r="F1139" s="120" t="s">
        <v>251</v>
      </c>
      <c r="G1139" s="120">
        <v>0</v>
      </c>
      <c r="H1139" s="120" t="s">
        <v>251</v>
      </c>
      <c r="I1139" s="120">
        <v>0</v>
      </c>
      <c r="J1139" s="120">
        <v>0</v>
      </c>
      <c r="K1139" s="120" t="s">
        <v>251</v>
      </c>
      <c r="L1139" s="120" t="s">
        <v>251</v>
      </c>
      <c r="M1139" s="120">
        <v>0</v>
      </c>
      <c r="N1139" s="120" t="s">
        <v>251</v>
      </c>
      <c r="O1139" s="120">
        <v>0</v>
      </c>
      <c r="P1139" s="120">
        <v>0</v>
      </c>
      <c r="Q1139" s="120">
        <v>0</v>
      </c>
      <c r="R1139" s="107"/>
    </row>
    <row r="1140" spans="1:18" ht="15">
      <c r="A1140" s="105">
        <v>11</v>
      </c>
      <c r="B1140" s="105"/>
      <c r="C1140" s="107" t="s">
        <v>1138</v>
      </c>
      <c r="D1140" s="107" t="s">
        <v>251</v>
      </c>
      <c r="E1140" s="120">
        <v>0</v>
      </c>
      <c r="F1140" s="120" t="s">
        <v>251</v>
      </c>
      <c r="G1140" s="120">
        <v>0</v>
      </c>
      <c r="H1140" s="120" t="s">
        <v>251</v>
      </c>
      <c r="I1140" s="120">
        <v>0</v>
      </c>
      <c r="J1140" s="120">
        <v>0</v>
      </c>
      <c r="K1140" s="120" t="s">
        <v>251</v>
      </c>
      <c r="L1140" s="120" t="s">
        <v>251</v>
      </c>
      <c r="M1140" s="120">
        <v>0</v>
      </c>
      <c r="N1140" s="120" t="s">
        <v>251</v>
      </c>
      <c r="O1140" s="120">
        <v>0</v>
      </c>
      <c r="P1140" s="120">
        <v>0</v>
      </c>
      <c r="Q1140" s="120">
        <v>0</v>
      </c>
      <c r="R1140" s="107"/>
    </row>
    <row r="1141" spans="1:18" ht="15">
      <c r="A1141" s="105">
        <v>12</v>
      </c>
      <c r="B1141" s="105"/>
      <c r="C1141" s="107" t="s">
        <v>251</v>
      </c>
      <c r="D1141" s="107" t="s">
        <v>251</v>
      </c>
      <c r="E1141" s="107" t="s">
        <v>251</v>
      </c>
      <c r="F1141" s="107" t="s">
        <v>251</v>
      </c>
      <c r="G1141" s="107" t="s">
        <v>251</v>
      </c>
      <c r="H1141" s="107" t="s">
        <v>251</v>
      </c>
      <c r="I1141" s="107" t="s">
        <v>251</v>
      </c>
      <c r="J1141" s="107" t="s">
        <v>251</v>
      </c>
      <c r="K1141" s="107" t="s">
        <v>251</v>
      </c>
      <c r="L1141" s="107" t="s">
        <v>251</v>
      </c>
      <c r="M1141" s="107" t="s">
        <v>251</v>
      </c>
      <c r="N1141" s="107" t="s">
        <v>251</v>
      </c>
      <c r="O1141" s="107" t="s">
        <v>251</v>
      </c>
      <c r="P1141" s="107" t="s">
        <v>251</v>
      </c>
      <c r="Q1141" s="107" t="s">
        <v>251</v>
      </c>
      <c r="R1141" s="107"/>
    </row>
    <row r="1142" spans="1:18" ht="15">
      <c r="A1142" s="105">
        <v>13</v>
      </c>
      <c r="B1142" s="105"/>
      <c r="C1142" s="107" t="s">
        <v>251</v>
      </c>
      <c r="D1142" s="107" t="s">
        <v>251</v>
      </c>
      <c r="E1142" s="124" t="s">
        <v>251</v>
      </c>
      <c r="F1142" s="124" t="s">
        <v>251</v>
      </c>
      <c r="G1142" s="124" t="s">
        <v>251</v>
      </c>
      <c r="H1142" s="124" t="s">
        <v>251</v>
      </c>
      <c r="I1142" s="124" t="s">
        <v>251</v>
      </c>
      <c r="J1142" s="124" t="s">
        <v>251</v>
      </c>
      <c r="K1142" s="124" t="s">
        <v>251</v>
      </c>
      <c r="L1142" s="124" t="s">
        <v>251</v>
      </c>
      <c r="M1142" s="124" t="s">
        <v>251</v>
      </c>
      <c r="N1142" s="124" t="s">
        <v>251</v>
      </c>
      <c r="O1142" s="124" t="s">
        <v>251</v>
      </c>
      <c r="P1142" s="124" t="s">
        <v>251</v>
      </c>
      <c r="Q1142" s="124" t="s">
        <v>251</v>
      </c>
      <c r="R1142" s="124"/>
    </row>
    <row r="1143" spans="1:18" ht="15">
      <c r="A1143" s="105" t="s">
        <v>251</v>
      </c>
      <c r="B1143" s="105"/>
      <c r="C1143" s="107" t="s">
        <v>251</v>
      </c>
      <c r="D1143" s="107" t="s">
        <v>251</v>
      </c>
      <c r="E1143" s="124" t="s">
        <v>251</v>
      </c>
      <c r="F1143" s="124" t="s">
        <v>251</v>
      </c>
      <c r="G1143" s="124" t="s">
        <v>251</v>
      </c>
      <c r="H1143" s="124" t="s">
        <v>251</v>
      </c>
      <c r="I1143" s="124" t="s">
        <v>251</v>
      </c>
      <c r="J1143" s="124" t="s">
        <v>251</v>
      </c>
      <c r="K1143" s="124" t="s">
        <v>251</v>
      </c>
      <c r="L1143" s="124" t="s">
        <v>251</v>
      </c>
      <c r="M1143" s="124" t="s">
        <v>251</v>
      </c>
      <c r="N1143" s="124" t="s">
        <v>251</v>
      </c>
      <c r="O1143" s="124" t="s">
        <v>251</v>
      </c>
      <c r="P1143" s="124" t="s">
        <v>251</v>
      </c>
      <c r="Q1143" s="124" t="s">
        <v>251</v>
      </c>
      <c r="R1143" s="124"/>
    </row>
    <row r="1144" spans="1:18" ht="15">
      <c r="A1144" s="105" t="s">
        <v>251</v>
      </c>
      <c r="B1144" s="105"/>
      <c r="C1144" s="107" t="s">
        <v>251</v>
      </c>
      <c r="D1144" s="107" t="s">
        <v>251</v>
      </c>
      <c r="E1144" s="124" t="s">
        <v>251</v>
      </c>
      <c r="F1144" s="124" t="s">
        <v>251</v>
      </c>
      <c r="G1144" s="124" t="s">
        <v>251</v>
      </c>
      <c r="H1144" s="124" t="s">
        <v>251</v>
      </c>
      <c r="I1144" s="124" t="s">
        <v>251</v>
      </c>
      <c r="J1144" s="124" t="s">
        <v>251</v>
      </c>
      <c r="K1144" s="124" t="s">
        <v>251</v>
      </c>
      <c r="L1144" s="124" t="s">
        <v>251</v>
      </c>
      <c r="M1144" s="124" t="s">
        <v>251</v>
      </c>
      <c r="N1144" s="124" t="s">
        <v>251</v>
      </c>
      <c r="O1144" s="124" t="s">
        <v>251</v>
      </c>
      <c r="P1144" s="124" t="s">
        <v>251</v>
      </c>
      <c r="Q1144" s="124" t="s">
        <v>251</v>
      </c>
      <c r="R1144" s="124"/>
    </row>
    <row r="1145" spans="1:18" ht="15">
      <c r="A1145" s="105" t="s">
        <v>251</v>
      </c>
      <c r="B1145" s="105"/>
      <c r="C1145" s="107" t="s">
        <v>251</v>
      </c>
      <c r="D1145" s="107" t="s">
        <v>251</v>
      </c>
      <c r="E1145" s="124" t="s">
        <v>251</v>
      </c>
      <c r="F1145" s="124" t="s">
        <v>251</v>
      </c>
      <c r="G1145" s="124" t="s">
        <v>251</v>
      </c>
      <c r="H1145" s="124" t="s">
        <v>251</v>
      </c>
      <c r="I1145" s="124" t="s">
        <v>251</v>
      </c>
      <c r="J1145" s="124" t="s">
        <v>251</v>
      </c>
      <c r="K1145" s="124" t="s">
        <v>251</v>
      </c>
      <c r="L1145" s="124" t="s">
        <v>251</v>
      </c>
      <c r="M1145" s="124" t="s">
        <v>251</v>
      </c>
      <c r="N1145" s="124" t="s">
        <v>251</v>
      </c>
      <c r="O1145" s="124" t="s">
        <v>251</v>
      </c>
      <c r="P1145" s="124" t="s">
        <v>251</v>
      </c>
      <c r="Q1145" s="124" t="s">
        <v>251</v>
      </c>
      <c r="R1145" s="124"/>
    </row>
    <row r="1146" spans="1:18" ht="15">
      <c r="A1146" s="105" t="s">
        <v>251</v>
      </c>
      <c r="B1146" s="105"/>
      <c r="C1146" s="107" t="s">
        <v>251</v>
      </c>
      <c r="D1146" s="107" t="s">
        <v>251</v>
      </c>
      <c r="E1146" s="124" t="s">
        <v>251</v>
      </c>
      <c r="F1146" s="124" t="s">
        <v>251</v>
      </c>
      <c r="G1146" s="124" t="s">
        <v>251</v>
      </c>
      <c r="H1146" s="124" t="s">
        <v>251</v>
      </c>
      <c r="I1146" s="124" t="s">
        <v>251</v>
      </c>
      <c r="J1146" s="124" t="s">
        <v>251</v>
      </c>
      <c r="K1146" s="124" t="s">
        <v>251</v>
      </c>
      <c r="L1146" s="124" t="s">
        <v>251</v>
      </c>
      <c r="M1146" s="124" t="s">
        <v>251</v>
      </c>
      <c r="N1146" s="124" t="s">
        <v>251</v>
      </c>
      <c r="O1146" s="124" t="s">
        <v>251</v>
      </c>
      <c r="P1146" s="124" t="s">
        <v>251</v>
      </c>
      <c r="Q1146" s="124" t="s">
        <v>251</v>
      </c>
      <c r="R1146" s="124"/>
    </row>
    <row r="1147" spans="1:18" ht="15">
      <c r="A1147" s="105" t="s">
        <v>251</v>
      </c>
      <c r="B1147" s="105"/>
      <c r="C1147" s="107" t="s">
        <v>251</v>
      </c>
      <c r="D1147" s="107" t="s">
        <v>251</v>
      </c>
      <c r="E1147" s="124" t="s">
        <v>251</v>
      </c>
      <c r="F1147" s="124" t="s">
        <v>251</v>
      </c>
      <c r="G1147" s="124" t="s">
        <v>251</v>
      </c>
      <c r="H1147" s="124" t="s">
        <v>251</v>
      </c>
      <c r="I1147" s="124" t="s">
        <v>251</v>
      </c>
      <c r="J1147" s="124" t="s">
        <v>251</v>
      </c>
      <c r="K1147" s="124" t="s">
        <v>251</v>
      </c>
      <c r="L1147" s="124" t="s">
        <v>251</v>
      </c>
      <c r="M1147" s="124" t="s">
        <v>251</v>
      </c>
      <c r="N1147" s="124" t="s">
        <v>251</v>
      </c>
      <c r="O1147" s="124" t="s">
        <v>251</v>
      </c>
      <c r="P1147" s="124" t="s">
        <v>251</v>
      </c>
      <c r="Q1147" s="124" t="s">
        <v>251</v>
      </c>
      <c r="R1147" s="124"/>
    </row>
    <row r="1148" spans="1:18" ht="15">
      <c r="A1148" s="105" t="s">
        <v>251</v>
      </c>
      <c r="B1148" s="105"/>
      <c r="C1148" s="107" t="s">
        <v>1139</v>
      </c>
      <c r="D1148" s="107" t="s">
        <v>251</v>
      </c>
      <c r="E1148" s="124" t="s">
        <v>251</v>
      </c>
      <c r="F1148" s="124" t="s">
        <v>251</v>
      </c>
      <c r="G1148" s="124" t="s">
        <v>251</v>
      </c>
      <c r="H1148" s="124" t="s">
        <v>251</v>
      </c>
      <c r="I1148" s="124" t="s">
        <v>251</v>
      </c>
      <c r="J1148" s="124" t="s">
        <v>251</v>
      </c>
      <c r="K1148" s="124" t="s">
        <v>251</v>
      </c>
      <c r="L1148" s="124" t="s">
        <v>251</v>
      </c>
      <c r="M1148" s="124" t="s">
        <v>251</v>
      </c>
      <c r="N1148" s="124" t="s">
        <v>251</v>
      </c>
      <c r="O1148" s="124" t="s">
        <v>251</v>
      </c>
      <c r="P1148" s="124" t="s">
        <v>251</v>
      </c>
      <c r="Q1148" s="124" t="s">
        <v>251</v>
      </c>
      <c r="R1148" s="124"/>
    </row>
    <row r="1149" spans="1:18" ht="15">
      <c r="A1149" s="105" t="s">
        <v>251</v>
      </c>
      <c r="B1149" s="105"/>
      <c r="C1149" s="107" t="s">
        <v>251</v>
      </c>
      <c r="D1149" s="107" t="s">
        <v>251</v>
      </c>
      <c r="E1149" s="124" t="s">
        <v>251</v>
      </c>
      <c r="F1149" s="124" t="s">
        <v>251</v>
      </c>
      <c r="G1149" s="124" t="s">
        <v>251</v>
      </c>
      <c r="H1149" s="124" t="s">
        <v>251</v>
      </c>
      <c r="I1149" s="124" t="s">
        <v>251</v>
      </c>
      <c r="J1149" s="124" t="s">
        <v>251</v>
      </c>
      <c r="K1149" s="124" t="s">
        <v>251</v>
      </c>
      <c r="L1149" s="124" t="s">
        <v>251</v>
      </c>
      <c r="M1149" s="124" t="s">
        <v>251</v>
      </c>
      <c r="N1149" s="124" t="s">
        <v>251</v>
      </c>
      <c r="O1149" s="124" t="s">
        <v>251</v>
      </c>
      <c r="P1149" s="124" t="s">
        <v>251</v>
      </c>
      <c r="Q1149" s="124" t="s">
        <v>251</v>
      </c>
      <c r="R1149" s="124"/>
    </row>
    <row r="1150" spans="1:18" ht="15">
      <c r="A1150" s="105" t="s">
        <v>251</v>
      </c>
      <c r="B1150" s="105"/>
      <c r="C1150" s="107" t="s">
        <v>1140</v>
      </c>
      <c r="D1150" s="107" t="s">
        <v>251</v>
      </c>
      <c r="E1150" s="124" t="s">
        <v>251</v>
      </c>
      <c r="F1150" s="124" t="s">
        <v>251</v>
      </c>
      <c r="G1150" s="124" t="s">
        <v>251</v>
      </c>
      <c r="H1150" s="124" t="s">
        <v>251</v>
      </c>
      <c r="I1150" s="124" t="s">
        <v>251</v>
      </c>
      <c r="J1150" s="124" t="s">
        <v>251</v>
      </c>
      <c r="K1150" s="124" t="s">
        <v>251</v>
      </c>
      <c r="L1150" s="124" t="s">
        <v>251</v>
      </c>
      <c r="M1150" s="124" t="s">
        <v>251</v>
      </c>
      <c r="N1150" s="124" t="s">
        <v>251</v>
      </c>
      <c r="O1150" s="124" t="s">
        <v>251</v>
      </c>
      <c r="P1150" s="124" t="s">
        <v>251</v>
      </c>
      <c r="Q1150" s="124" t="s">
        <v>251</v>
      </c>
      <c r="R1150" s="124"/>
    </row>
    <row r="1151" spans="1:18" ht="15">
      <c r="A1151" s="105" t="s">
        <v>251</v>
      </c>
      <c r="B1151" s="105"/>
      <c r="C1151" s="107" t="s">
        <v>920</v>
      </c>
      <c r="D1151" s="107" t="s">
        <v>251</v>
      </c>
      <c r="E1151" s="124" t="s">
        <v>251</v>
      </c>
      <c r="F1151" s="124" t="s">
        <v>251</v>
      </c>
      <c r="G1151" s="124" t="s">
        <v>251</v>
      </c>
      <c r="H1151" s="124" t="s">
        <v>251</v>
      </c>
      <c r="I1151" s="124" t="s">
        <v>251</v>
      </c>
      <c r="J1151" s="124" t="s">
        <v>251</v>
      </c>
      <c r="K1151" s="124" t="s">
        <v>251</v>
      </c>
      <c r="L1151" s="124" t="s">
        <v>251</v>
      </c>
      <c r="M1151" s="124" t="s">
        <v>251</v>
      </c>
      <c r="N1151" s="124" t="s">
        <v>251</v>
      </c>
      <c r="O1151" s="124" t="s">
        <v>251</v>
      </c>
      <c r="P1151" s="124" t="s">
        <v>251</v>
      </c>
      <c r="Q1151" s="124" t="s">
        <v>251</v>
      </c>
      <c r="R1151" s="124"/>
    </row>
    <row r="1152" spans="1:18" ht="15">
      <c r="A1152" s="105" t="s">
        <v>251</v>
      </c>
      <c r="B1152" s="105"/>
      <c r="C1152" s="107" t="s">
        <v>921</v>
      </c>
      <c r="D1152" s="107" t="s">
        <v>251</v>
      </c>
      <c r="E1152" s="124" t="s">
        <v>251</v>
      </c>
      <c r="F1152" s="124" t="s">
        <v>251</v>
      </c>
      <c r="G1152" s="124" t="s">
        <v>251</v>
      </c>
      <c r="H1152" s="124" t="s">
        <v>251</v>
      </c>
      <c r="I1152" s="124" t="s">
        <v>251</v>
      </c>
      <c r="J1152" s="124" t="s">
        <v>251</v>
      </c>
      <c r="K1152" s="124" t="s">
        <v>251</v>
      </c>
      <c r="L1152" s="124" t="s">
        <v>251</v>
      </c>
      <c r="M1152" s="124" t="s">
        <v>251</v>
      </c>
      <c r="N1152" s="124" t="s">
        <v>251</v>
      </c>
      <c r="O1152" s="124" t="s">
        <v>251</v>
      </c>
      <c r="P1152" s="124" t="s">
        <v>251</v>
      </c>
      <c r="Q1152" s="124" t="s">
        <v>251</v>
      </c>
      <c r="R1152" s="124"/>
    </row>
    <row r="1153" spans="1:18" ht="15">
      <c r="A1153" s="105">
        <v>1</v>
      </c>
      <c r="B1153" s="105"/>
      <c r="C1153" s="107" t="s">
        <v>922</v>
      </c>
      <c r="D1153" s="107" t="s">
        <v>304</v>
      </c>
      <c r="E1153" s="124">
        <v>1</v>
      </c>
      <c r="F1153" s="124" t="s">
        <v>251</v>
      </c>
      <c r="G1153" s="124">
        <v>0.87673530496058716</v>
      </c>
      <c r="H1153" s="124" t="s">
        <v>251</v>
      </c>
      <c r="I1153" s="124">
        <v>4.0146788577732379E-2</v>
      </c>
      <c r="J1153" s="124">
        <v>8.3117906461680463E-2</v>
      </c>
      <c r="K1153" s="124" t="s">
        <v>251</v>
      </c>
      <c r="L1153" s="124" t="s">
        <v>251</v>
      </c>
      <c r="M1153" s="124">
        <v>2.8141981927219206E-6</v>
      </c>
      <c r="N1153" s="124" t="s">
        <v>251</v>
      </c>
      <c r="O1153" s="124">
        <v>8.3115092263487747E-2</v>
      </c>
      <c r="P1153" s="124">
        <v>2.5639596894250875E-2</v>
      </c>
      <c r="Q1153" s="124">
        <v>5.7475495369236872E-2</v>
      </c>
      <c r="R1153" s="124"/>
    </row>
    <row r="1154" spans="1:18" ht="15">
      <c r="A1154" s="105">
        <v>2</v>
      </c>
      <c r="B1154" s="105"/>
      <c r="C1154" s="107" t="s">
        <v>923</v>
      </c>
      <c r="D1154" s="107" t="s">
        <v>312</v>
      </c>
      <c r="E1154" s="124">
        <v>1</v>
      </c>
      <c r="F1154" s="124" t="s">
        <v>251</v>
      </c>
      <c r="G1154" s="124">
        <v>0</v>
      </c>
      <c r="H1154" s="124" t="s">
        <v>251</v>
      </c>
      <c r="I1154" s="124">
        <v>0.32570319634703199</v>
      </c>
      <c r="J1154" s="124">
        <v>0.67429680365296807</v>
      </c>
      <c r="K1154" s="124" t="s">
        <v>251</v>
      </c>
      <c r="L1154" s="124" t="s">
        <v>251</v>
      </c>
      <c r="M1154" s="124">
        <v>0</v>
      </c>
      <c r="N1154" s="124" t="s">
        <v>251</v>
      </c>
      <c r="O1154" s="124">
        <v>0.67429680365296807</v>
      </c>
      <c r="P1154" s="124">
        <v>0.20800913242009134</v>
      </c>
      <c r="Q1154" s="124">
        <v>0.46628767123287673</v>
      </c>
      <c r="R1154" s="124"/>
    </row>
    <row r="1155" spans="1:18" ht="15">
      <c r="A1155" s="105">
        <v>3</v>
      </c>
      <c r="B1155" s="105"/>
      <c r="C1155" s="107" t="s">
        <v>924</v>
      </c>
      <c r="D1155" s="107" t="s">
        <v>398</v>
      </c>
      <c r="E1155" s="124">
        <v>1</v>
      </c>
      <c r="F1155" s="124" t="s">
        <v>251</v>
      </c>
      <c r="G1155" s="124">
        <v>0</v>
      </c>
      <c r="H1155" s="124" t="s">
        <v>251</v>
      </c>
      <c r="I1155" s="124">
        <v>1</v>
      </c>
      <c r="J1155" s="124">
        <v>0</v>
      </c>
      <c r="K1155" s="124" t="s">
        <v>251</v>
      </c>
      <c r="L1155" s="124" t="s">
        <v>251</v>
      </c>
      <c r="M1155" s="124">
        <v>0</v>
      </c>
      <c r="N1155" s="124" t="s">
        <v>251</v>
      </c>
      <c r="O1155" s="124">
        <v>0</v>
      </c>
      <c r="P1155" s="124">
        <v>0</v>
      </c>
      <c r="Q1155" s="124">
        <v>0</v>
      </c>
      <c r="R1155" s="124"/>
    </row>
    <row r="1156" spans="1:18" ht="15">
      <c r="A1156" s="105">
        <v>4</v>
      </c>
      <c r="B1156" s="105"/>
      <c r="C1156" s="107" t="s">
        <v>925</v>
      </c>
      <c r="D1156" s="107" t="s">
        <v>376</v>
      </c>
      <c r="E1156" s="124">
        <v>1</v>
      </c>
      <c r="F1156" s="124" t="s">
        <v>251</v>
      </c>
      <c r="G1156" s="124">
        <v>0.91340828476618874</v>
      </c>
      <c r="H1156" s="124" t="s">
        <v>251</v>
      </c>
      <c r="I1156" s="124">
        <v>0</v>
      </c>
      <c r="J1156" s="124">
        <v>8.6591715233811289E-2</v>
      </c>
      <c r="K1156" s="124" t="s">
        <v>251</v>
      </c>
      <c r="L1156" s="124" t="s">
        <v>251</v>
      </c>
      <c r="M1156" s="124">
        <v>0</v>
      </c>
      <c r="N1156" s="124" t="s">
        <v>251</v>
      </c>
      <c r="O1156" s="124">
        <v>8.6591715233811289E-2</v>
      </c>
      <c r="P1156" s="124">
        <v>2.6712076140616908E-2</v>
      </c>
      <c r="Q1156" s="124">
        <v>5.9879639093194381E-2</v>
      </c>
      <c r="R1156" s="124"/>
    </row>
    <row r="1157" spans="1:18" ht="15">
      <c r="A1157" s="105">
        <v>5</v>
      </c>
      <c r="B1157" s="105"/>
      <c r="C1157" s="107" t="s">
        <v>926</v>
      </c>
      <c r="D1157" s="107" t="s">
        <v>314</v>
      </c>
      <c r="E1157" s="124">
        <v>1</v>
      </c>
      <c r="F1157" s="124" t="s">
        <v>251</v>
      </c>
      <c r="G1157" s="124">
        <v>0</v>
      </c>
      <c r="H1157" s="124" t="s">
        <v>251</v>
      </c>
      <c r="I1157" s="124">
        <v>0</v>
      </c>
      <c r="J1157" s="124">
        <v>1</v>
      </c>
      <c r="K1157" s="124" t="s">
        <v>251</v>
      </c>
      <c r="L1157" s="124" t="s">
        <v>251</v>
      </c>
      <c r="M1157" s="124">
        <v>0</v>
      </c>
      <c r="N1157" s="124" t="s">
        <v>251</v>
      </c>
      <c r="O1157" s="124">
        <v>1</v>
      </c>
      <c r="P1157" s="124">
        <v>0.30848304677289379</v>
      </c>
      <c r="Q1157" s="124">
        <v>0.69151695322710616</v>
      </c>
      <c r="R1157" s="124"/>
    </row>
    <row r="1158" spans="1:18" ht="15">
      <c r="A1158" s="105">
        <v>6</v>
      </c>
      <c r="B1158" s="105"/>
      <c r="C1158" s="107" t="s">
        <v>927</v>
      </c>
      <c r="D1158" s="107" t="s">
        <v>928</v>
      </c>
      <c r="E1158" s="124">
        <v>1</v>
      </c>
      <c r="F1158" s="124" t="s">
        <v>251</v>
      </c>
      <c r="G1158" s="124">
        <v>0.91340560674009719</v>
      </c>
      <c r="H1158" s="124" t="s">
        <v>251</v>
      </c>
      <c r="I1158" s="124">
        <v>0</v>
      </c>
      <c r="J1158" s="124">
        <v>8.6594393259902799E-2</v>
      </c>
      <c r="K1158" s="124" t="s">
        <v>251</v>
      </c>
      <c r="L1158" s="124" t="s">
        <v>251</v>
      </c>
      <c r="M1158" s="124">
        <v>2.9319047529694331E-6</v>
      </c>
      <c r="N1158" s="124" t="s">
        <v>251</v>
      </c>
      <c r="O1158" s="124">
        <v>8.6591461355149835E-2</v>
      </c>
      <c r="P1158" s="124">
        <v>2.6711997823353911E-2</v>
      </c>
      <c r="Q1158" s="124">
        <v>5.9879463531795921E-2</v>
      </c>
      <c r="R1158" s="124"/>
    </row>
    <row r="1159" spans="1:18" ht="15">
      <c r="A1159" s="105" t="s">
        <v>251</v>
      </c>
      <c r="B1159" s="105"/>
      <c r="C1159" s="107" t="s">
        <v>929</v>
      </c>
      <c r="D1159" s="107" t="s">
        <v>251</v>
      </c>
      <c r="E1159" s="124" t="s">
        <v>251</v>
      </c>
      <c r="F1159" s="124" t="s">
        <v>251</v>
      </c>
      <c r="G1159" s="124" t="s">
        <v>251</v>
      </c>
      <c r="H1159" s="124" t="s">
        <v>251</v>
      </c>
      <c r="I1159" s="124" t="s">
        <v>251</v>
      </c>
      <c r="J1159" s="124" t="s">
        <v>251</v>
      </c>
      <c r="K1159" s="124" t="s">
        <v>251</v>
      </c>
      <c r="L1159" s="124" t="s">
        <v>251</v>
      </c>
      <c r="M1159" s="124" t="s">
        <v>251</v>
      </c>
      <c r="N1159" s="124" t="s">
        <v>251</v>
      </c>
      <c r="O1159" s="124" t="s">
        <v>251</v>
      </c>
      <c r="P1159" s="124" t="s">
        <v>251</v>
      </c>
      <c r="Q1159" s="124" t="s">
        <v>251</v>
      </c>
      <c r="R1159" s="124"/>
    </row>
    <row r="1160" spans="1:18" ht="15">
      <c r="A1160" s="105">
        <v>7</v>
      </c>
      <c r="B1160" s="105"/>
      <c r="C1160" s="107" t="s">
        <v>930</v>
      </c>
      <c r="D1160" s="107" t="s">
        <v>572</v>
      </c>
      <c r="E1160" s="124">
        <v>1</v>
      </c>
      <c r="F1160" s="124" t="s">
        <v>251</v>
      </c>
      <c r="G1160" s="124">
        <v>0.87673530496058716</v>
      </c>
      <c r="H1160" s="124" t="s">
        <v>251</v>
      </c>
      <c r="I1160" s="124">
        <v>4.0146788577732379E-2</v>
      </c>
      <c r="J1160" s="124">
        <v>8.3117906461680463E-2</v>
      </c>
      <c r="K1160" s="124" t="s">
        <v>251</v>
      </c>
      <c r="L1160" s="124" t="s">
        <v>251</v>
      </c>
      <c r="M1160" s="124">
        <v>2.8141981927219206E-6</v>
      </c>
      <c r="N1160" s="124" t="s">
        <v>251</v>
      </c>
      <c r="O1160" s="124">
        <v>8.3115092263487747E-2</v>
      </c>
      <c r="P1160" s="124">
        <v>2.5639596894250875E-2</v>
      </c>
      <c r="Q1160" s="124">
        <v>5.7475495369236872E-2</v>
      </c>
      <c r="R1160" s="124"/>
    </row>
    <row r="1161" spans="1:18" ht="15">
      <c r="A1161" s="105">
        <v>8</v>
      </c>
      <c r="B1161" s="105"/>
      <c r="C1161" s="107" t="s">
        <v>931</v>
      </c>
      <c r="D1161" s="107" t="s">
        <v>352</v>
      </c>
      <c r="E1161" s="124">
        <v>1</v>
      </c>
      <c r="F1161" s="124" t="s">
        <v>251</v>
      </c>
      <c r="G1161" s="124">
        <v>0</v>
      </c>
      <c r="H1161" s="124" t="s">
        <v>251</v>
      </c>
      <c r="I1161" s="124">
        <v>1</v>
      </c>
      <c r="J1161" s="124">
        <v>0</v>
      </c>
      <c r="K1161" s="124" t="s">
        <v>251</v>
      </c>
      <c r="L1161" s="124" t="s">
        <v>251</v>
      </c>
      <c r="M1161" s="124">
        <v>0</v>
      </c>
      <c r="N1161" s="124" t="s">
        <v>251</v>
      </c>
      <c r="O1161" s="124">
        <v>0</v>
      </c>
      <c r="P1161" s="124">
        <v>0</v>
      </c>
      <c r="Q1161" s="124">
        <v>0</v>
      </c>
      <c r="R1161" s="124"/>
    </row>
    <row r="1162" spans="1:18" ht="15">
      <c r="A1162" s="105">
        <v>9</v>
      </c>
      <c r="B1162" s="105"/>
      <c r="C1162" s="107" t="s">
        <v>932</v>
      </c>
      <c r="D1162" s="107" t="s">
        <v>341</v>
      </c>
      <c r="E1162" s="124">
        <v>1</v>
      </c>
      <c r="F1162" s="124" t="s">
        <v>251</v>
      </c>
      <c r="G1162" s="124">
        <v>0.95621085870522038</v>
      </c>
      <c r="H1162" s="124" t="s">
        <v>251</v>
      </c>
      <c r="I1162" s="124">
        <v>4.3786071991130937E-2</v>
      </c>
      <c r="J1162" s="124">
        <v>3.0693036486654055E-6</v>
      </c>
      <c r="K1162" s="124" t="s">
        <v>251</v>
      </c>
      <c r="L1162" s="124" t="s">
        <v>251</v>
      </c>
      <c r="M1162" s="124">
        <v>3.0693036486654055E-6</v>
      </c>
      <c r="N1162" s="124" t="s">
        <v>251</v>
      </c>
      <c r="O1162" s="124">
        <v>0</v>
      </c>
      <c r="P1162" s="124">
        <v>0</v>
      </c>
      <c r="Q1162" s="124">
        <v>0</v>
      </c>
      <c r="R1162" s="124"/>
    </row>
    <row r="1163" spans="1:18" ht="15">
      <c r="A1163" s="105">
        <v>10</v>
      </c>
      <c r="B1163" s="105"/>
      <c r="C1163" s="107" t="s">
        <v>933</v>
      </c>
      <c r="D1163" s="107" t="s">
        <v>934</v>
      </c>
      <c r="E1163" s="124">
        <v>1</v>
      </c>
      <c r="F1163" s="124" t="s">
        <v>251</v>
      </c>
      <c r="G1163" s="124">
        <v>0</v>
      </c>
      <c r="H1163" s="124" t="s">
        <v>251</v>
      </c>
      <c r="I1163" s="124">
        <v>0.32570319634703199</v>
      </c>
      <c r="J1163" s="124">
        <v>0.67429680365296807</v>
      </c>
      <c r="K1163" s="124" t="s">
        <v>251</v>
      </c>
      <c r="L1163" s="124" t="s">
        <v>251</v>
      </c>
      <c r="M1163" s="124">
        <v>0</v>
      </c>
      <c r="N1163" s="124" t="s">
        <v>251</v>
      </c>
      <c r="O1163" s="124">
        <v>0.67429680365296807</v>
      </c>
      <c r="P1163" s="124">
        <v>0.20800913242009134</v>
      </c>
      <c r="Q1163" s="124">
        <v>0.46628767123287673</v>
      </c>
      <c r="R1163" s="124"/>
    </row>
    <row r="1164" spans="1:18" ht="15">
      <c r="A1164" s="105">
        <v>11</v>
      </c>
      <c r="B1164" s="105"/>
      <c r="C1164" s="107" t="s">
        <v>935</v>
      </c>
      <c r="D1164" s="107" t="s">
        <v>355</v>
      </c>
      <c r="E1164" s="124">
        <v>1</v>
      </c>
      <c r="F1164" s="124" t="s">
        <v>251</v>
      </c>
      <c r="G1164" s="124">
        <v>0.99999679014961118</v>
      </c>
      <c r="H1164" s="124" t="s">
        <v>251</v>
      </c>
      <c r="I1164" s="124">
        <v>0</v>
      </c>
      <c r="J1164" s="124">
        <v>3.2098503888733748E-6</v>
      </c>
      <c r="K1164" s="124" t="s">
        <v>251</v>
      </c>
      <c r="L1164" s="124" t="s">
        <v>251</v>
      </c>
      <c r="M1164" s="124">
        <v>3.2098503888733748E-6</v>
      </c>
      <c r="N1164" s="124" t="s">
        <v>251</v>
      </c>
      <c r="O1164" s="124">
        <v>0</v>
      </c>
      <c r="P1164" s="124">
        <v>0</v>
      </c>
      <c r="Q1164" s="124">
        <v>0</v>
      </c>
      <c r="R1164" s="124"/>
    </row>
    <row r="1165" spans="1:18" ht="15">
      <c r="A1165" s="105" t="s">
        <v>251</v>
      </c>
      <c r="B1165" s="105"/>
      <c r="C1165" s="107" t="s">
        <v>251</v>
      </c>
      <c r="D1165" s="107" t="s">
        <v>251</v>
      </c>
      <c r="E1165" s="124" t="s">
        <v>251</v>
      </c>
      <c r="F1165" s="124" t="s">
        <v>251</v>
      </c>
      <c r="G1165" s="124" t="s">
        <v>251</v>
      </c>
      <c r="H1165" s="124" t="s">
        <v>251</v>
      </c>
      <c r="I1165" s="124" t="s">
        <v>251</v>
      </c>
      <c r="J1165" s="124" t="s">
        <v>251</v>
      </c>
      <c r="K1165" s="124" t="s">
        <v>251</v>
      </c>
      <c r="L1165" s="124" t="s">
        <v>251</v>
      </c>
      <c r="M1165" s="124" t="s">
        <v>251</v>
      </c>
      <c r="N1165" s="124" t="s">
        <v>251</v>
      </c>
      <c r="O1165" s="124" t="s">
        <v>251</v>
      </c>
      <c r="P1165" s="124" t="s">
        <v>251</v>
      </c>
      <c r="Q1165" s="124" t="s">
        <v>251</v>
      </c>
      <c r="R1165" s="124"/>
    </row>
    <row r="1166" spans="1:18" ht="15">
      <c r="A1166" s="105" t="s">
        <v>251</v>
      </c>
      <c r="B1166" s="105"/>
      <c r="C1166" s="107" t="s">
        <v>936</v>
      </c>
      <c r="D1166" s="107" t="s">
        <v>251</v>
      </c>
      <c r="E1166" s="124" t="s">
        <v>251</v>
      </c>
      <c r="F1166" s="124" t="s">
        <v>251</v>
      </c>
      <c r="G1166" s="124" t="s">
        <v>251</v>
      </c>
      <c r="H1166" s="124" t="s">
        <v>251</v>
      </c>
      <c r="I1166" s="124" t="s">
        <v>251</v>
      </c>
      <c r="J1166" s="124" t="s">
        <v>251</v>
      </c>
      <c r="K1166" s="124" t="s">
        <v>251</v>
      </c>
      <c r="L1166" s="124" t="s">
        <v>251</v>
      </c>
      <c r="M1166" s="124" t="s">
        <v>251</v>
      </c>
      <c r="N1166" s="124" t="s">
        <v>251</v>
      </c>
      <c r="O1166" s="124" t="s">
        <v>251</v>
      </c>
      <c r="P1166" s="124" t="s">
        <v>251</v>
      </c>
      <c r="Q1166" s="124" t="s">
        <v>251</v>
      </c>
      <c r="R1166" s="124"/>
    </row>
    <row r="1167" spans="1:18" ht="15">
      <c r="A1167" s="105">
        <v>12</v>
      </c>
      <c r="B1167" s="105"/>
      <c r="C1167" s="107" t="s">
        <v>937</v>
      </c>
      <c r="D1167" s="107" t="s">
        <v>361</v>
      </c>
      <c r="E1167" s="124">
        <v>1</v>
      </c>
      <c r="F1167" s="124" t="s">
        <v>251</v>
      </c>
      <c r="G1167" s="124">
        <v>0.99899635577586265</v>
      </c>
      <c r="H1167" s="124" t="s">
        <v>251</v>
      </c>
      <c r="I1167" s="124">
        <v>0</v>
      </c>
      <c r="J1167" s="124">
        <v>1.0036442241372909E-3</v>
      </c>
      <c r="K1167" s="124" t="s">
        <v>251</v>
      </c>
      <c r="L1167" s="124" t="s">
        <v>251</v>
      </c>
      <c r="M1167" s="124">
        <v>0</v>
      </c>
      <c r="N1167" s="124" t="s">
        <v>251</v>
      </c>
      <c r="O1167" s="124">
        <v>1.0036442241372909E-3</v>
      </c>
      <c r="P1167" s="124">
        <v>1.0036442241372909E-3</v>
      </c>
      <c r="Q1167" s="124">
        <v>0</v>
      </c>
      <c r="R1167" s="124"/>
    </row>
    <row r="1168" spans="1:18" ht="15">
      <c r="A1168" s="105">
        <v>13</v>
      </c>
      <c r="B1168" s="105"/>
      <c r="C1168" s="107" t="s">
        <v>938</v>
      </c>
      <c r="D1168" s="107" t="s">
        <v>363</v>
      </c>
      <c r="E1168" s="124">
        <v>1</v>
      </c>
      <c r="F1168" s="124" t="s">
        <v>251</v>
      </c>
      <c r="G1168" s="124">
        <v>0.9821874980581865</v>
      </c>
      <c r="H1168" s="124" t="s">
        <v>251</v>
      </c>
      <c r="I1168" s="124">
        <v>0</v>
      </c>
      <c r="J1168" s="124">
        <v>1.7812501941813465E-2</v>
      </c>
      <c r="K1168" s="124" t="s">
        <v>251</v>
      </c>
      <c r="L1168" s="124" t="s">
        <v>251</v>
      </c>
      <c r="M1168" s="124">
        <v>0</v>
      </c>
      <c r="N1168" s="124" t="s">
        <v>251</v>
      </c>
      <c r="O1168" s="124">
        <v>1.7812501941813465E-2</v>
      </c>
      <c r="P1168" s="124">
        <v>1.7812501941813465E-2</v>
      </c>
      <c r="Q1168" s="124">
        <v>0</v>
      </c>
      <c r="R1168" s="124"/>
    </row>
    <row r="1169" spans="1:18" ht="15">
      <c r="A1169" s="105">
        <v>14</v>
      </c>
      <c r="B1169" s="105"/>
      <c r="C1169" s="107" t="s">
        <v>939</v>
      </c>
      <c r="D1169" s="107" t="s">
        <v>365</v>
      </c>
      <c r="E1169" s="124">
        <v>1</v>
      </c>
      <c r="F1169" s="124" t="s">
        <v>251</v>
      </c>
      <c r="G1169" s="124">
        <v>0.98593409012156785</v>
      </c>
      <c r="H1169" s="124" t="s">
        <v>251</v>
      </c>
      <c r="I1169" s="124">
        <v>0</v>
      </c>
      <c r="J1169" s="124">
        <v>1.4065909878432118E-2</v>
      </c>
      <c r="K1169" s="124" t="s">
        <v>251</v>
      </c>
      <c r="L1169" s="124" t="s">
        <v>251</v>
      </c>
      <c r="M1169" s="124">
        <v>0</v>
      </c>
      <c r="N1169" s="124" t="s">
        <v>251</v>
      </c>
      <c r="O1169" s="124">
        <v>1.4065909878432118E-2</v>
      </c>
      <c r="P1169" s="124">
        <v>1.4065909878432118E-2</v>
      </c>
      <c r="Q1169" s="124">
        <v>0</v>
      </c>
      <c r="R1169" s="124"/>
    </row>
    <row r="1170" spans="1:18" ht="15">
      <c r="A1170" s="105">
        <v>15</v>
      </c>
      <c r="B1170" s="105"/>
      <c r="C1170" s="107" t="s">
        <v>940</v>
      </c>
      <c r="D1170" s="107" t="s">
        <v>367</v>
      </c>
      <c r="E1170" s="124">
        <v>1</v>
      </c>
      <c r="F1170" s="124" t="s">
        <v>251</v>
      </c>
      <c r="G1170" s="124">
        <v>1</v>
      </c>
      <c r="H1170" s="124" t="s">
        <v>251</v>
      </c>
      <c r="I1170" s="124">
        <v>0</v>
      </c>
      <c r="J1170" s="124">
        <v>0</v>
      </c>
      <c r="K1170" s="124" t="s">
        <v>251</v>
      </c>
      <c r="L1170" s="124" t="s">
        <v>251</v>
      </c>
      <c r="M1170" s="124">
        <v>0</v>
      </c>
      <c r="N1170" s="124" t="s">
        <v>251</v>
      </c>
      <c r="O1170" s="124">
        <v>0</v>
      </c>
      <c r="P1170" s="124">
        <v>0</v>
      </c>
      <c r="Q1170" s="124">
        <v>0</v>
      </c>
      <c r="R1170" s="124"/>
    </row>
    <row r="1171" spans="1:18" ht="15">
      <c r="A1171" s="105">
        <v>16</v>
      </c>
      <c r="B1171" s="105"/>
      <c r="C1171" s="107" t="s">
        <v>941</v>
      </c>
      <c r="D1171" s="107" t="s">
        <v>369</v>
      </c>
      <c r="E1171" s="124">
        <v>1</v>
      </c>
      <c r="F1171" s="124" t="s">
        <v>251</v>
      </c>
      <c r="G1171" s="124">
        <v>1</v>
      </c>
      <c r="H1171" s="124" t="s">
        <v>251</v>
      </c>
      <c r="I1171" s="124">
        <v>0</v>
      </c>
      <c r="J1171" s="124">
        <v>0</v>
      </c>
      <c r="K1171" s="124" t="s">
        <v>251</v>
      </c>
      <c r="L1171" s="124" t="s">
        <v>251</v>
      </c>
      <c r="M1171" s="124">
        <v>0</v>
      </c>
      <c r="N1171" s="124" t="s">
        <v>251</v>
      </c>
      <c r="O1171" s="124">
        <v>0</v>
      </c>
      <c r="P1171" s="124">
        <v>0</v>
      </c>
      <c r="Q1171" s="124">
        <v>0</v>
      </c>
      <c r="R1171" s="124"/>
    </row>
    <row r="1172" spans="1:18" ht="15">
      <c r="A1172" s="105">
        <v>17</v>
      </c>
      <c r="B1172" s="105"/>
      <c r="C1172" s="107" t="s">
        <v>942</v>
      </c>
      <c r="D1172" s="107" t="s">
        <v>371</v>
      </c>
      <c r="E1172" s="124">
        <v>1</v>
      </c>
      <c r="F1172" s="124" t="s">
        <v>251</v>
      </c>
      <c r="G1172" s="124">
        <v>1</v>
      </c>
      <c r="H1172" s="124" t="s">
        <v>251</v>
      </c>
      <c r="I1172" s="124">
        <v>0</v>
      </c>
      <c r="J1172" s="124">
        <v>0</v>
      </c>
      <c r="K1172" s="124" t="s">
        <v>251</v>
      </c>
      <c r="L1172" s="124" t="s">
        <v>251</v>
      </c>
      <c r="M1172" s="124">
        <v>0</v>
      </c>
      <c r="N1172" s="124" t="s">
        <v>251</v>
      </c>
      <c r="O1172" s="124">
        <v>0</v>
      </c>
      <c r="P1172" s="124">
        <v>0</v>
      </c>
      <c r="Q1172" s="124">
        <v>0</v>
      </c>
      <c r="R1172" s="124"/>
    </row>
    <row r="1173" spans="1:18" ht="15">
      <c r="A1173" s="105">
        <v>18</v>
      </c>
      <c r="B1173" s="105"/>
      <c r="C1173" s="107" t="s">
        <v>943</v>
      </c>
      <c r="D1173" s="107" t="s">
        <v>373</v>
      </c>
      <c r="E1173" s="124">
        <v>1</v>
      </c>
      <c r="F1173" s="124" t="s">
        <v>251</v>
      </c>
      <c r="G1173" s="124">
        <v>1</v>
      </c>
      <c r="H1173" s="124" t="s">
        <v>251</v>
      </c>
      <c r="I1173" s="124">
        <v>0</v>
      </c>
      <c r="J1173" s="124">
        <v>0</v>
      </c>
      <c r="K1173" s="124" t="s">
        <v>251</v>
      </c>
      <c r="L1173" s="124" t="s">
        <v>251</v>
      </c>
      <c r="M1173" s="124">
        <v>0</v>
      </c>
      <c r="N1173" s="124" t="s">
        <v>251</v>
      </c>
      <c r="O1173" s="124">
        <v>0</v>
      </c>
      <c r="P1173" s="124">
        <v>0</v>
      </c>
      <c r="Q1173" s="124">
        <v>0</v>
      </c>
      <c r="R1173" s="124"/>
    </row>
    <row r="1174" spans="1:18" ht="15">
      <c r="A1174" s="105">
        <v>19</v>
      </c>
      <c r="B1174" s="105"/>
      <c r="C1174" s="107" t="s">
        <v>944</v>
      </c>
      <c r="D1174" s="107" t="s">
        <v>378</v>
      </c>
      <c r="E1174" s="124">
        <v>1</v>
      </c>
      <c r="F1174" s="124" t="s">
        <v>251</v>
      </c>
      <c r="G1174" s="124">
        <v>1</v>
      </c>
      <c r="H1174" s="124" t="s">
        <v>251</v>
      </c>
      <c r="I1174" s="124">
        <v>0</v>
      </c>
      <c r="J1174" s="124">
        <v>0</v>
      </c>
      <c r="K1174" s="124" t="s">
        <v>251</v>
      </c>
      <c r="L1174" s="124" t="s">
        <v>251</v>
      </c>
      <c r="M1174" s="124">
        <v>0</v>
      </c>
      <c r="N1174" s="124" t="s">
        <v>251</v>
      </c>
      <c r="O1174" s="124">
        <v>0</v>
      </c>
      <c r="P1174" s="124">
        <v>0</v>
      </c>
      <c r="Q1174" s="124">
        <v>0</v>
      </c>
      <c r="R1174" s="124"/>
    </row>
    <row r="1175" spans="1:18" ht="15">
      <c r="A1175" s="105">
        <v>20</v>
      </c>
      <c r="B1175" s="105"/>
      <c r="C1175" s="107" t="s">
        <v>945</v>
      </c>
      <c r="D1175" s="107" t="s">
        <v>389</v>
      </c>
      <c r="E1175" s="124">
        <v>1</v>
      </c>
      <c r="F1175" s="124" t="s">
        <v>251</v>
      </c>
      <c r="G1175" s="124">
        <v>1</v>
      </c>
      <c r="H1175" s="124" t="s">
        <v>251</v>
      </c>
      <c r="I1175" s="124">
        <v>0</v>
      </c>
      <c r="J1175" s="124">
        <v>0</v>
      </c>
      <c r="K1175" s="124" t="s">
        <v>251</v>
      </c>
      <c r="L1175" s="124" t="s">
        <v>251</v>
      </c>
      <c r="M1175" s="124">
        <v>0</v>
      </c>
      <c r="N1175" s="124" t="s">
        <v>251</v>
      </c>
      <c r="O1175" s="124">
        <v>0</v>
      </c>
      <c r="P1175" s="124">
        <v>0</v>
      </c>
      <c r="Q1175" s="124">
        <v>0</v>
      </c>
      <c r="R1175" s="124"/>
    </row>
    <row r="1176" spans="1:18" ht="15">
      <c r="A1176" s="105">
        <v>21</v>
      </c>
      <c r="B1176" s="105"/>
      <c r="C1176" s="107" t="s">
        <v>946</v>
      </c>
      <c r="D1176" s="107" t="s">
        <v>392</v>
      </c>
      <c r="E1176" s="124">
        <v>1</v>
      </c>
      <c r="F1176" s="124" t="s">
        <v>251</v>
      </c>
      <c r="G1176" s="124">
        <v>0</v>
      </c>
      <c r="H1176" s="124" t="s">
        <v>251</v>
      </c>
      <c r="I1176" s="124">
        <v>1</v>
      </c>
      <c r="J1176" s="124">
        <v>0</v>
      </c>
      <c r="K1176" s="124" t="s">
        <v>251</v>
      </c>
      <c r="L1176" s="124" t="s">
        <v>251</v>
      </c>
      <c r="M1176" s="124">
        <v>0</v>
      </c>
      <c r="N1176" s="124" t="s">
        <v>251</v>
      </c>
      <c r="O1176" s="124">
        <v>0</v>
      </c>
      <c r="P1176" s="124">
        <v>0</v>
      </c>
      <c r="Q1176" s="124">
        <v>0</v>
      </c>
      <c r="R1176" s="124"/>
    </row>
    <row r="1177" spans="1:18" ht="15">
      <c r="A1177" s="105">
        <v>22</v>
      </c>
      <c r="B1177" s="105"/>
      <c r="C1177" s="107" t="s">
        <v>947</v>
      </c>
      <c r="D1177" s="107" t="s">
        <v>393</v>
      </c>
      <c r="E1177" s="124">
        <v>1</v>
      </c>
      <c r="F1177" s="124" t="s">
        <v>251</v>
      </c>
      <c r="G1177" s="124">
        <v>0</v>
      </c>
      <c r="H1177" s="124" t="s">
        <v>251</v>
      </c>
      <c r="I1177" s="124">
        <v>1</v>
      </c>
      <c r="J1177" s="124">
        <v>0</v>
      </c>
      <c r="K1177" s="124" t="s">
        <v>251</v>
      </c>
      <c r="L1177" s="124" t="s">
        <v>251</v>
      </c>
      <c r="M1177" s="124">
        <v>0</v>
      </c>
      <c r="N1177" s="124" t="s">
        <v>251</v>
      </c>
      <c r="O1177" s="124">
        <v>0</v>
      </c>
      <c r="P1177" s="124">
        <v>0</v>
      </c>
      <c r="Q1177" s="124">
        <v>0</v>
      </c>
      <c r="R1177" s="124"/>
    </row>
    <row r="1178" spans="1:18" ht="15">
      <c r="A1178" s="105">
        <v>23</v>
      </c>
      <c r="B1178" s="105"/>
      <c r="C1178" s="107" t="s">
        <v>948</v>
      </c>
      <c r="D1178" s="107" t="s">
        <v>394</v>
      </c>
      <c r="E1178" s="124">
        <v>1</v>
      </c>
      <c r="F1178" s="124" t="s">
        <v>251</v>
      </c>
      <c r="G1178" s="124">
        <v>0</v>
      </c>
      <c r="H1178" s="124" t="s">
        <v>251</v>
      </c>
      <c r="I1178" s="124">
        <v>1</v>
      </c>
      <c r="J1178" s="124">
        <v>0</v>
      </c>
      <c r="K1178" s="124" t="s">
        <v>251</v>
      </c>
      <c r="L1178" s="124" t="s">
        <v>251</v>
      </c>
      <c r="M1178" s="124">
        <v>0</v>
      </c>
      <c r="N1178" s="124" t="s">
        <v>251</v>
      </c>
      <c r="O1178" s="124">
        <v>0</v>
      </c>
      <c r="P1178" s="124">
        <v>0</v>
      </c>
      <c r="Q1178" s="124">
        <v>0</v>
      </c>
      <c r="R1178" s="124"/>
    </row>
    <row r="1179" spans="1:18" ht="15">
      <c r="A1179" s="105">
        <v>24</v>
      </c>
      <c r="B1179" s="105"/>
      <c r="C1179" s="107" t="s">
        <v>2255</v>
      </c>
      <c r="D1179" s="107" t="s">
        <v>2233</v>
      </c>
      <c r="E1179" s="124">
        <v>1</v>
      </c>
      <c r="F1179" s="124" t="s">
        <v>251</v>
      </c>
      <c r="G1179" s="124">
        <v>0.7797452328090192</v>
      </c>
      <c r="H1179" s="124" t="s">
        <v>251</v>
      </c>
      <c r="I1179" s="124">
        <v>0.2202547671909808</v>
      </c>
      <c r="J1179" s="124">
        <v>0</v>
      </c>
      <c r="K1179" s="124" t="s">
        <v>251</v>
      </c>
      <c r="L1179" s="124" t="s">
        <v>251</v>
      </c>
      <c r="M1179" s="124">
        <v>0</v>
      </c>
      <c r="N1179" s="124" t="s">
        <v>251</v>
      </c>
      <c r="O1179" s="124">
        <v>0</v>
      </c>
      <c r="P1179" s="124">
        <v>0</v>
      </c>
      <c r="Q1179" s="124">
        <v>0</v>
      </c>
      <c r="R1179" s="124"/>
    </row>
    <row r="1180" spans="1:18" ht="15">
      <c r="A1180" s="105">
        <v>25</v>
      </c>
      <c r="B1180" s="105"/>
      <c r="C1180" s="107" t="s">
        <v>949</v>
      </c>
      <c r="D1180" s="107" t="s">
        <v>395</v>
      </c>
      <c r="E1180" s="124">
        <v>1</v>
      </c>
      <c r="F1180" s="124" t="s">
        <v>251</v>
      </c>
      <c r="G1180" s="124">
        <v>0</v>
      </c>
      <c r="H1180" s="124" t="s">
        <v>251</v>
      </c>
      <c r="I1180" s="124">
        <v>1</v>
      </c>
      <c r="J1180" s="124">
        <v>0</v>
      </c>
      <c r="K1180" s="124" t="s">
        <v>251</v>
      </c>
      <c r="L1180" s="124" t="s">
        <v>251</v>
      </c>
      <c r="M1180" s="124">
        <v>0</v>
      </c>
      <c r="N1180" s="124" t="s">
        <v>251</v>
      </c>
      <c r="O1180" s="124">
        <v>0</v>
      </c>
      <c r="P1180" s="124">
        <v>0</v>
      </c>
      <c r="Q1180" s="124">
        <v>0</v>
      </c>
      <c r="R1180" s="124"/>
    </row>
    <row r="1181" spans="1:18" ht="15">
      <c r="A1181" s="105">
        <v>26</v>
      </c>
      <c r="B1181" s="105"/>
      <c r="C1181" s="107" t="s">
        <v>950</v>
      </c>
      <c r="D1181" s="107" t="s">
        <v>396</v>
      </c>
      <c r="E1181" s="124">
        <v>1</v>
      </c>
      <c r="F1181" s="124" t="s">
        <v>251</v>
      </c>
      <c r="G1181" s="124">
        <v>0</v>
      </c>
      <c r="H1181" s="124" t="s">
        <v>251</v>
      </c>
      <c r="I1181" s="124">
        <v>1</v>
      </c>
      <c r="J1181" s="124">
        <v>0</v>
      </c>
      <c r="K1181" s="124" t="s">
        <v>251</v>
      </c>
      <c r="L1181" s="124" t="s">
        <v>251</v>
      </c>
      <c r="M1181" s="124">
        <v>0</v>
      </c>
      <c r="N1181" s="124" t="s">
        <v>251</v>
      </c>
      <c r="O1181" s="124">
        <v>0</v>
      </c>
      <c r="P1181" s="124">
        <v>0</v>
      </c>
      <c r="Q1181" s="124">
        <v>0</v>
      </c>
      <c r="R1181" s="124"/>
    </row>
    <row r="1182" spans="1:18" ht="15">
      <c r="A1182" s="105">
        <v>27</v>
      </c>
      <c r="B1182" s="105"/>
      <c r="C1182" s="107" t="s">
        <v>951</v>
      </c>
      <c r="D1182" s="107" t="s">
        <v>397</v>
      </c>
      <c r="E1182" s="124">
        <v>1</v>
      </c>
      <c r="F1182" s="124" t="s">
        <v>251</v>
      </c>
      <c r="G1182" s="124">
        <v>0</v>
      </c>
      <c r="H1182" s="124" t="s">
        <v>251</v>
      </c>
      <c r="I1182" s="124">
        <v>1</v>
      </c>
      <c r="J1182" s="124">
        <v>0</v>
      </c>
      <c r="K1182" s="124" t="s">
        <v>251</v>
      </c>
      <c r="L1182" s="124" t="s">
        <v>251</v>
      </c>
      <c r="M1182" s="124">
        <v>0</v>
      </c>
      <c r="N1182" s="124" t="s">
        <v>251</v>
      </c>
      <c r="O1182" s="124">
        <v>0</v>
      </c>
      <c r="P1182" s="124">
        <v>0</v>
      </c>
      <c r="Q1182" s="124">
        <v>0</v>
      </c>
      <c r="R1182" s="124"/>
    </row>
    <row r="1183" spans="1:18" ht="15">
      <c r="A1183" s="105">
        <v>28</v>
      </c>
      <c r="B1183" s="105"/>
      <c r="C1183" s="107" t="s">
        <v>952</v>
      </c>
      <c r="D1183" s="107" t="s">
        <v>399</v>
      </c>
      <c r="E1183" s="124">
        <v>1</v>
      </c>
      <c r="F1183" s="124" t="s">
        <v>251</v>
      </c>
      <c r="G1183" s="124">
        <v>0</v>
      </c>
      <c r="H1183" s="124" t="s">
        <v>251</v>
      </c>
      <c r="I1183" s="124">
        <v>1</v>
      </c>
      <c r="J1183" s="124">
        <v>0</v>
      </c>
      <c r="K1183" s="124" t="s">
        <v>251</v>
      </c>
      <c r="L1183" s="124" t="s">
        <v>251</v>
      </c>
      <c r="M1183" s="124">
        <v>0</v>
      </c>
      <c r="N1183" s="124" t="s">
        <v>251</v>
      </c>
      <c r="O1183" s="124">
        <v>0</v>
      </c>
      <c r="P1183" s="124">
        <v>0</v>
      </c>
      <c r="Q1183" s="124">
        <v>0</v>
      </c>
      <c r="R1183" s="124"/>
    </row>
    <row r="1184" spans="1:18" ht="15">
      <c r="A1184" s="105">
        <v>29</v>
      </c>
      <c r="B1184" s="105"/>
      <c r="C1184" s="107" t="s">
        <v>953</v>
      </c>
      <c r="D1184" s="107" t="s">
        <v>406</v>
      </c>
      <c r="E1184" s="124">
        <v>1</v>
      </c>
      <c r="F1184" s="124" t="s">
        <v>251</v>
      </c>
      <c r="G1184" s="124">
        <v>0</v>
      </c>
      <c r="H1184" s="124" t="s">
        <v>251</v>
      </c>
      <c r="I1184" s="124">
        <v>0</v>
      </c>
      <c r="J1184" s="124">
        <v>1</v>
      </c>
      <c r="K1184" s="124" t="s">
        <v>251</v>
      </c>
      <c r="L1184" s="124" t="s">
        <v>251</v>
      </c>
      <c r="M1184" s="124">
        <v>1</v>
      </c>
      <c r="N1184" s="124" t="s">
        <v>251</v>
      </c>
      <c r="O1184" s="124">
        <v>0</v>
      </c>
      <c r="P1184" s="124">
        <v>0</v>
      </c>
      <c r="Q1184" s="124">
        <v>0</v>
      </c>
      <c r="R1184" s="124"/>
    </row>
    <row r="1185" spans="1:18" ht="15">
      <c r="A1185" s="105">
        <v>30</v>
      </c>
      <c r="B1185" s="105"/>
      <c r="C1185" s="107" t="s">
        <v>954</v>
      </c>
      <c r="D1185" s="107" t="s">
        <v>407</v>
      </c>
      <c r="E1185" s="124">
        <v>1</v>
      </c>
      <c r="F1185" s="124" t="s">
        <v>251</v>
      </c>
      <c r="G1185" s="124">
        <v>0</v>
      </c>
      <c r="H1185" s="124" t="s">
        <v>251</v>
      </c>
      <c r="I1185" s="124">
        <v>0</v>
      </c>
      <c r="J1185" s="124">
        <v>1</v>
      </c>
      <c r="K1185" s="124" t="s">
        <v>251</v>
      </c>
      <c r="L1185" s="124" t="s">
        <v>251</v>
      </c>
      <c r="M1185" s="124">
        <v>1</v>
      </c>
      <c r="N1185" s="124" t="s">
        <v>251</v>
      </c>
      <c r="O1185" s="124">
        <v>0</v>
      </c>
      <c r="P1185" s="124">
        <v>0</v>
      </c>
      <c r="Q1185" s="124">
        <v>0</v>
      </c>
      <c r="R1185" s="124"/>
    </row>
    <row r="1186" spans="1:18" ht="15">
      <c r="A1186" s="105">
        <v>31</v>
      </c>
      <c r="B1186" s="105"/>
      <c r="C1186" s="107" t="s">
        <v>955</v>
      </c>
      <c r="D1186" s="107" t="s">
        <v>408</v>
      </c>
      <c r="E1186" s="124">
        <v>1</v>
      </c>
      <c r="F1186" s="124" t="s">
        <v>251</v>
      </c>
      <c r="G1186" s="124">
        <v>0</v>
      </c>
      <c r="H1186" s="124" t="s">
        <v>251</v>
      </c>
      <c r="I1186" s="124">
        <v>0</v>
      </c>
      <c r="J1186" s="124">
        <v>1</v>
      </c>
      <c r="K1186" s="124" t="s">
        <v>251</v>
      </c>
      <c r="L1186" s="124" t="s">
        <v>251</v>
      </c>
      <c r="M1186" s="124">
        <v>1</v>
      </c>
      <c r="N1186" s="124" t="s">
        <v>251</v>
      </c>
      <c r="O1186" s="124">
        <v>0</v>
      </c>
      <c r="P1186" s="124">
        <v>0</v>
      </c>
      <c r="Q1186" s="124">
        <v>0</v>
      </c>
      <c r="R1186" s="124"/>
    </row>
    <row r="1187" spans="1:18" ht="15">
      <c r="A1187" s="105">
        <v>32</v>
      </c>
      <c r="B1187" s="105"/>
      <c r="C1187" s="107" t="s">
        <v>956</v>
      </c>
      <c r="D1187" s="107" t="s">
        <v>409</v>
      </c>
      <c r="E1187" s="124">
        <v>1</v>
      </c>
      <c r="F1187" s="124" t="s">
        <v>251</v>
      </c>
      <c r="G1187" s="124">
        <v>0</v>
      </c>
      <c r="H1187" s="124" t="s">
        <v>251</v>
      </c>
      <c r="I1187" s="124">
        <v>0</v>
      </c>
      <c r="J1187" s="124">
        <v>1</v>
      </c>
      <c r="K1187" s="124" t="s">
        <v>251</v>
      </c>
      <c r="L1187" s="124" t="s">
        <v>251</v>
      </c>
      <c r="M1187" s="124">
        <v>1</v>
      </c>
      <c r="N1187" s="124" t="s">
        <v>251</v>
      </c>
      <c r="O1187" s="124">
        <v>0</v>
      </c>
      <c r="P1187" s="124">
        <v>0</v>
      </c>
      <c r="Q1187" s="124">
        <v>0</v>
      </c>
      <c r="R1187" s="124"/>
    </row>
    <row r="1188" spans="1:18" ht="15">
      <c r="A1188" s="105">
        <v>33</v>
      </c>
      <c r="B1188" s="105"/>
      <c r="C1188" s="107" t="s">
        <v>957</v>
      </c>
      <c r="D1188" s="107" t="s">
        <v>410</v>
      </c>
      <c r="E1188" s="124">
        <v>1</v>
      </c>
      <c r="F1188" s="124" t="s">
        <v>251</v>
      </c>
      <c r="G1188" s="124">
        <v>0</v>
      </c>
      <c r="H1188" s="124" t="s">
        <v>251</v>
      </c>
      <c r="I1188" s="124">
        <v>0</v>
      </c>
      <c r="J1188" s="124">
        <v>1</v>
      </c>
      <c r="K1188" s="124" t="s">
        <v>251</v>
      </c>
      <c r="L1188" s="124" t="s">
        <v>251</v>
      </c>
      <c r="M1188" s="124">
        <v>1</v>
      </c>
      <c r="N1188" s="124" t="s">
        <v>251</v>
      </c>
      <c r="O1188" s="124">
        <v>0</v>
      </c>
      <c r="P1188" s="124">
        <v>0</v>
      </c>
      <c r="Q1188" s="124">
        <v>0</v>
      </c>
      <c r="R1188" s="124"/>
    </row>
    <row r="1189" spans="1:18" ht="15">
      <c r="A1189" s="105">
        <v>34</v>
      </c>
      <c r="B1189" s="105"/>
      <c r="C1189" s="107" t="s">
        <v>958</v>
      </c>
      <c r="D1189" s="107" t="s">
        <v>411</v>
      </c>
      <c r="E1189" s="124">
        <v>1</v>
      </c>
      <c r="F1189" s="124" t="s">
        <v>251</v>
      </c>
      <c r="G1189" s="124">
        <v>0</v>
      </c>
      <c r="H1189" s="124" t="s">
        <v>251</v>
      </c>
      <c r="I1189" s="124">
        <v>0</v>
      </c>
      <c r="J1189" s="124">
        <v>1</v>
      </c>
      <c r="K1189" s="124" t="s">
        <v>251</v>
      </c>
      <c r="L1189" s="124" t="s">
        <v>251</v>
      </c>
      <c r="M1189" s="124">
        <v>1</v>
      </c>
      <c r="N1189" s="124" t="s">
        <v>251</v>
      </c>
      <c r="O1189" s="124">
        <v>0</v>
      </c>
      <c r="P1189" s="124">
        <v>0</v>
      </c>
      <c r="Q1189" s="124">
        <v>0</v>
      </c>
      <c r="R1189" s="124"/>
    </row>
    <row r="1190" spans="1:18" ht="15">
      <c r="A1190" s="105">
        <v>35</v>
      </c>
      <c r="B1190" s="105"/>
      <c r="C1190" s="107" t="s">
        <v>959</v>
      </c>
      <c r="D1190" s="107" t="s">
        <v>412</v>
      </c>
      <c r="E1190" s="124">
        <v>1</v>
      </c>
      <c r="F1190" s="124" t="s">
        <v>251</v>
      </c>
      <c r="G1190" s="124">
        <v>0</v>
      </c>
      <c r="H1190" s="124" t="s">
        <v>251</v>
      </c>
      <c r="I1190" s="124">
        <v>0</v>
      </c>
      <c r="J1190" s="124">
        <v>1</v>
      </c>
      <c r="K1190" s="124" t="s">
        <v>251</v>
      </c>
      <c r="L1190" s="124" t="s">
        <v>251</v>
      </c>
      <c r="M1190" s="124">
        <v>1</v>
      </c>
      <c r="N1190" s="124" t="s">
        <v>251</v>
      </c>
      <c r="O1190" s="124">
        <v>0</v>
      </c>
      <c r="P1190" s="124">
        <v>0</v>
      </c>
      <c r="Q1190" s="124">
        <v>0</v>
      </c>
      <c r="R1190" s="124"/>
    </row>
    <row r="1191" spans="1:18" ht="15">
      <c r="A1191" s="105">
        <v>36</v>
      </c>
      <c r="B1191" s="105"/>
      <c r="C1191" s="107" t="s">
        <v>960</v>
      </c>
      <c r="D1191" s="107" t="s">
        <v>413</v>
      </c>
      <c r="E1191" s="124">
        <v>1</v>
      </c>
      <c r="F1191" s="124" t="s">
        <v>251</v>
      </c>
      <c r="G1191" s="124">
        <v>0</v>
      </c>
      <c r="H1191" s="124" t="s">
        <v>251</v>
      </c>
      <c r="I1191" s="124">
        <v>0</v>
      </c>
      <c r="J1191" s="124">
        <v>1</v>
      </c>
      <c r="K1191" s="124" t="s">
        <v>251</v>
      </c>
      <c r="L1191" s="124" t="s">
        <v>251</v>
      </c>
      <c r="M1191" s="124">
        <v>1</v>
      </c>
      <c r="N1191" s="124" t="s">
        <v>251</v>
      </c>
      <c r="O1191" s="124">
        <v>0</v>
      </c>
      <c r="P1191" s="124">
        <v>0</v>
      </c>
      <c r="Q1191" s="124">
        <v>0</v>
      </c>
      <c r="R1191" s="124"/>
    </row>
    <row r="1192" spans="1:18" ht="15">
      <c r="A1192" s="105">
        <v>37</v>
      </c>
      <c r="B1192" s="105"/>
      <c r="C1192" s="107" t="s">
        <v>961</v>
      </c>
      <c r="D1192" s="107" t="s">
        <v>414</v>
      </c>
      <c r="E1192" s="124">
        <v>0</v>
      </c>
      <c r="F1192" s="124" t="s">
        <v>251</v>
      </c>
      <c r="G1192" s="124">
        <v>0</v>
      </c>
      <c r="H1192" s="124" t="s">
        <v>251</v>
      </c>
      <c r="I1192" s="124">
        <v>0</v>
      </c>
      <c r="J1192" s="124">
        <v>0</v>
      </c>
      <c r="K1192" s="124" t="s">
        <v>251</v>
      </c>
      <c r="L1192" s="124" t="s">
        <v>251</v>
      </c>
      <c r="M1192" s="124">
        <v>0</v>
      </c>
      <c r="N1192" s="124" t="s">
        <v>251</v>
      </c>
      <c r="O1192" s="124">
        <v>0</v>
      </c>
      <c r="P1192" s="124">
        <v>0</v>
      </c>
      <c r="Q1192" s="124">
        <v>0</v>
      </c>
      <c r="R1192" s="124"/>
    </row>
    <row r="1193" spans="1:18" ht="15">
      <c r="A1193" s="105">
        <v>38</v>
      </c>
      <c r="B1193" s="105"/>
      <c r="C1193" s="107" t="s">
        <v>1141</v>
      </c>
      <c r="D1193" s="107" t="s">
        <v>464</v>
      </c>
      <c r="E1193" s="124">
        <v>0.99999999999999989</v>
      </c>
      <c r="F1193" s="124" t="s">
        <v>251</v>
      </c>
      <c r="G1193" s="124">
        <v>0</v>
      </c>
      <c r="H1193" s="124" t="s">
        <v>251</v>
      </c>
      <c r="I1193" s="124">
        <v>0.99628745027822962</v>
      </c>
      <c r="J1193" s="124">
        <v>3.7125497217703105E-3</v>
      </c>
      <c r="K1193" s="124" t="s">
        <v>251</v>
      </c>
      <c r="L1193" s="124" t="s">
        <v>251</v>
      </c>
      <c r="M1193" s="124">
        <v>3.7125497217703105E-3</v>
      </c>
      <c r="N1193" s="124" t="s">
        <v>251</v>
      </c>
      <c r="O1193" s="124">
        <v>0</v>
      </c>
      <c r="P1193" s="124">
        <v>0</v>
      </c>
      <c r="Q1193" s="124">
        <v>0</v>
      </c>
      <c r="R1193" s="124"/>
    </row>
    <row r="1194" spans="1:18" ht="15">
      <c r="A1194" s="105">
        <v>39</v>
      </c>
      <c r="B1194" s="105"/>
      <c r="C1194" s="107" t="s">
        <v>1142</v>
      </c>
      <c r="D1194" s="107" t="s">
        <v>487</v>
      </c>
      <c r="E1194" s="124">
        <v>1</v>
      </c>
      <c r="F1194" s="124" t="s">
        <v>251</v>
      </c>
      <c r="G1194" s="124">
        <v>0</v>
      </c>
      <c r="H1194" s="124" t="s">
        <v>251</v>
      </c>
      <c r="I1194" s="124">
        <v>1</v>
      </c>
      <c r="J1194" s="124">
        <v>0</v>
      </c>
      <c r="K1194" s="124" t="s">
        <v>251</v>
      </c>
      <c r="L1194" s="124" t="s">
        <v>251</v>
      </c>
      <c r="M1194" s="124">
        <v>0</v>
      </c>
      <c r="N1194" s="124" t="s">
        <v>251</v>
      </c>
      <c r="O1194" s="124">
        <v>0</v>
      </c>
      <c r="P1194" s="124">
        <v>0</v>
      </c>
      <c r="Q1194" s="124">
        <v>0</v>
      </c>
      <c r="R1194" s="124"/>
    </row>
    <row r="1195" spans="1:18" ht="15">
      <c r="A1195" s="105">
        <v>40</v>
      </c>
      <c r="B1195" s="105"/>
      <c r="C1195" s="107" t="s">
        <v>1143</v>
      </c>
      <c r="D1195" s="107" t="s">
        <v>523</v>
      </c>
      <c r="E1195" s="124">
        <v>1</v>
      </c>
      <c r="F1195" s="124" t="s">
        <v>251</v>
      </c>
      <c r="G1195" s="124">
        <v>0</v>
      </c>
      <c r="H1195" s="124" t="s">
        <v>251</v>
      </c>
      <c r="I1195" s="124">
        <v>1</v>
      </c>
      <c r="J1195" s="124">
        <v>0</v>
      </c>
      <c r="K1195" s="124" t="s">
        <v>251</v>
      </c>
      <c r="L1195" s="124" t="s">
        <v>251</v>
      </c>
      <c r="M1195" s="124">
        <v>0</v>
      </c>
      <c r="N1195" s="124" t="s">
        <v>251</v>
      </c>
      <c r="O1195" s="124">
        <v>0</v>
      </c>
      <c r="P1195" s="124">
        <v>0</v>
      </c>
      <c r="Q1195" s="124">
        <v>0</v>
      </c>
      <c r="R1195" s="124"/>
    </row>
    <row r="1196" spans="1:18" ht="15">
      <c r="A1196" s="105">
        <v>41</v>
      </c>
      <c r="B1196" s="105"/>
      <c r="C1196" s="107" t="s">
        <v>1144</v>
      </c>
      <c r="D1196" s="107" t="s">
        <v>532</v>
      </c>
      <c r="E1196" s="124">
        <v>0</v>
      </c>
      <c r="F1196" s="124" t="s">
        <v>251</v>
      </c>
      <c r="G1196" s="124">
        <v>0</v>
      </c>
      <c r="H1196" s="124" t="s">
        <v>251</v>
      </c>
      <c r="I1196" s="124">
        <v>0</v>
      </c>
      <c r="J1196" s="124">
        <v>0</v>
      </c>
      <c r="K1196" s="124" t="s">
        <v>251</v>
      </c>
      <c r="L1196" s="124" t="s">
        <v>251</v>
      </c>
      <c r="M1196" s="124">
        <v>0</v>
      </c>
      <c r="N1196" s="124" t="s">
        <v>251</v>
      </c>
      <c r="O1196" s="124">
        <v>0</v>
      </c>
      <c r="P1196" s="124">
        <v>0</v>
      </c>
      <c r="Q1196" s="124">
        <v>0</v>
      </c>
      <c r="R1196" s="124"/>
    </row>
    <row r="1197" spans="1:18" ht="15">
      <c r="A1197" s="105">
        <v>42</v>
      </c>
      <c r="B1197" s="105"/>
      <c r="C1197" s="107" t="s">
        <v>964</v>
      </c>
      <c r="D1197" s="107" t="s">
        <v>569</v>
      </c>
      <c r="E1197" s="124">
        <v>1</v>
      </c>
      <c r="F1197" s="124" t="s">
        <v>251</v>
      </c>
      <c r="G1197" s="124">
        <v>0.88932441827924213</v>
      </c>
      <c r="H1197" s="124" t="s">
        <v>251</v>
      </c>
      <c r="I1197" s="124">
        <v>0.10972122870878179</v>
      </c>
      <c r="J1197" s="124">
        <v>9.5435301197607987E-4</v>
      </c>
      <c r="K1197" s="124" t="s">
        <v>251</v>
      </c>
      <c r="L1197" s="124" t="s">
        <v>251</v>
      </c>
      <c r="M1197" s="124">
        <v>1.6271352253551385E-5</v>
      </c>
      <c r="N1197" s="124" t="s">
        <v>251</v>
      </c>
      <c r="O1197" s="124">
        <v>9.3808165972252846E-4</v>
      </c>
      <c r="P1197" s="124">
        <v>9.3808165972252846E-4</v>
      </c>
      <c r="Q1197" s="124">
        <v>0</v>
      </c>
      <c r="R1197" s="124"/>
    </row>
    <row r="1198" spans="1:18" ht="15">
      <c r="A1198" s="105">
        <v>43</v>
      </c>
      <c r="B1198" s="105"/>
      <c r="C1198" s="107" t="s">
        <v>965</v>
      </c>
      <c r="D1198" s="107" t="s">
        <v>579</v>
      </c>
      <c r="E1198" s="124">
        <v>1</v>
      </c>
      <c r="F1198" s="124" t="s">
        <v>251</v>
      </c>
      <c r="G1198" s="124">
        <v>0.95805160609989548</v>
      </c>
      <c r="H1198" s="124" t="s">
        <v>251</v>
      </c>
      <c r="I1198" s="124">
        <v>4.1948393900104561E-2</v>
      </c>
      <c r="J1198" s="124">
        <v>0</v>
      </c>
      <c r="K1198" s="124" t="s">
        <v>251</v>
      </c>
      <c r="L1198" s="124" t="s">
        <v>251</v>
      </c>
      <c r="M1198" s="124">
        <v>0</v>
      </c>
      <c r="N1198" s="124" t="s">
        <v>251</v>
      </c>
      <c r="O1198" s="124">
        <v>0</v>
      </c>
      <c r="P1198" s="124">
        <v>0</v>
      </c>
      <c r="Q1198" s="124">
        <v>0</v>
      </c>
      <c r="R1198" s="124"/>
    </row>
    <row r="1199" spans="1:18" ht="15">
      <c r="A1199" s="105">
        <v>44</v>
      </c>
      <c r="B1199" s="105"/>
      <c r="C1199" s="107" t="s">
        <v>966</v>
      </c>
      <c r="D1199" s="107" t="s">
        <v>577</v>
      </c>
      <c r="E1199" s="124">
        <v>1</v>
      </c>
      <c r="F1199" s="124" t="s">
        <v>251</v>
      </c>
      <c r="G1199" s="124">
        <v>1</v>
      </c>
      <c r="H1199" s="124" t="s">
        <v>251</v>
      </c>
      <c r="I1199" s="124">
        <v>0</v>
      </c>
      <c r="J1199" s="124">
        <v>0</v>
      </c>
      <c r="K1199" s="124" t="s">
        <v>251</v>
      </c>
      <c r="L1199" s="124" t="s">
        <v>251</v>
      </c>
      <c r="M1199" s="124">
        <v>0</v>
      </c>
      <c r="N1199" s="124" t="s">
        <v>251</v>
      </c>
      <c r="O1199" s="124">
        <v>0</v>
      </c>
      <c r="P1199" s="124">
        <v>0</v>
      </c>
      <c r="Q1199" s="124">
        <v>0</v>
      </c>
      <c r="R1199" s="124"/>
    </row>
    <row r="1200" spans="1:18" ht="15">
      <c r="A1200" s="105">
        <v>45</v>
      </c>
      <c r="B1200" s="105"/>
      <c r="C1200" s="107" t="s">
        <v>1145</v>
      </c>
      <c r="D1200" s="107" t="s">
        <v>565</v>
      </c>
      <c r="E1200" s="124">
        <v>1</v>
      </c>
      <c r="F1200" s="124" t="s">
        <v>251</v>
      </c>
      <c r="G1200" s="124">
        <v>0.93650246697316952</v>
      </c>
      <c r="H1200" s="124" t="s">
        <v>251</v>
      </c>
      <c r="I1200" s="124">
        <v>6.3497533026830449E-2</v>
      </c>
      <c r="J1200" s="124">
        <v>0</v>
      </c>
      <c r="K1200" s="124" t="s">
        <v>251</v>
      </c>
      <c r="L1200" s="124" t="s">
        <v>251</v>
      </c>
      <c r="M1200" s="124">
        <v>0</v>
      </c>
      <c r="N1200" s="124" t="s">
        <v>251</v>
      </c>
      <c r="O1200" s="124">
        <v>0</v>
      </c>
      <c r="P1200" s="124">
        <v>0</v>
      </c>
      <c r="Q1200" s="124">
        <v>0</v>
      </c>
      <c r="R1200" s="124"/>
    </row>
    <row r="1201" spans="1:18" ht="15">
      <c r="A1201" s="105">
        <v>46</v>
      </c>
      <c r="B1201" s="105"/>
      <c r="C1201" s="107" t="s">
        <v>1146</v>
      </c>
      <c r="D1201" s="107" t="s">
        <v>567</v>
      </c>
      <c r="E1201" s="124">
        <v>1</v>
      </c>
      <c r="F1201" s="124" t="s">
        <v>251</v>
      </c>
      <c r="G1201" s="124">
        <v>0.99239381895271817</v>
      </c>
      <c r="H1201" s="124" t="s">
        <v>251</v>
      </c>
      <c r="I1201" s="124">
        <v>7.6061810472818408E-3</v>
      </c>
      <c r="J1201" s="124">
        <v>0</v>
      </c>
      <c r="K1201" s="124" t="s">
        <v>251</v>
      </c>
      <c r="L1201" s="124" t="s">
        <v>251</v>
      </c>
      <c r="M1201" s="124">
        <v>0</v>
      </c>
      <c r="N1201" s="124" t="s">
        <v>251</v>
      </c>
      <c r="O1201" s="124">
        <v>0</v>
      </c>
      <c r="P1201" s="124">
        <v>0</v>
      </c>
      <c r="Q1201" s="124">
        <v>0</v>
      </c>
      <c r="R1201" s="124"/>
    </row>
    <row r="1202" spans="1:18" ht="15">
      <c r="A1202" s="105">
        <v>47</v>
      </c>
      <c r="B1202" s="105"/>
      <c r="C1202" s="107" t="s">
        <v>1147</v>
      </c>
      <c r="D1202" s="107" t="s">
        <v>575</v>
      </c>
      <c r="E1202" s="124">
        <v>1</v>
      </c>
      <c r="F1202" s="124" t="s">
        <v>251</v>
      </c>
      <c r="G1202" s="124">
        <v>1</v>
      </c>
      <c r="H1202" s="124" t="s">
        <v>251</v>
      </c>
      <c r="I1202" s="124">
        <v>0</v>
      </c>
      <c r="J1202" s="124">
        <v>0</v>
      </c>
      <c r="K1202" s="124" t="s">
        <v>251</v>
      </c>
      <c r="L1202" s="124" t="s">
        <v>251</v>
      </c>
      <c r="M1202" s="124">
        <v>0</v>
      </c>
      <c r="N1202" s="124" t="s">
        <v>251</v>
      </c>
      <c r="O1202" s="124">
        <v>0</v>
      </c>
      <c r="P1202" s="124">
        <v>0</v>
      </c>
      <c r="Q1202" s="124">
        <v>0</v>
      </c>
      <c r="R1202" s="124"/>
    </row>
    <row r="1203" spans="1:18" ht="15">
      <c r="A1203" s="105">
        <v>48</v>
      </c>
      <c r="B1203" s="105"/>
      <c r="C1203" s="107" t="s">
        <v>970</v>
      </c>
      <c r="D1203" s="107" t="s">
        <v>971</v>
      </c>
      <c r="E1203" s="124">
        <v>1</v>
      </c>
      <c r="F1203" s="124" t="s">
        <v>251</v>
      </c>
      <c r="G1203" s="124">
        <v>0</v>
      </c>
      <c r="H1203" s="124" t="s">
        <v>251</v>
      </c>
      <c r="I1203" s="124">
        <v>1</v>
      </c>
      <c r="J1203" s="124">
        <v>0</v>
      </c>
      <c r="K1203" s="124" t="s">
        <v>251</v>
      </c>
      <c r="L1203" s="124" t="s">
        <v>251</v>
      </c>
      <c r="M1203" s="124">
        <v>0</v>
      </c>
      <c r="N1203" s="124" t="s">
        <v>251</v>
      </c>
      <c r="O1203" s="124">
        <v>0</v>
      </c>
      <c r="P1203" s="124">
        <v>0</v>
      </c>
      <c r="Q1203" s="124">
        <v>0</v>
      </c>
      <c r="R1203" s="124"/>
    </row>
    <row r="1204" spans="1:18" ht="15">
      <c r="A1204" s="105">
        <v>49</v>
      </c>
      <c r="B1204" s="105"/>
      <c r="C1204" s="107" t="s">
        <v>972</v>
      </c>
      <c r="D1204" s="107" t="s">
        <v>771</v>
      </c>
      <c r="E1204" s="124">
        <v>0</v>
      </c>
      <c r="F1204" s="124" t="s">
        <v>251</v>
      </c>
      <c r="G1204" s="124">
        <v>0</v>
      </c>
      <c r="H1204" s="124" t="s">
        <v>251</v>
      </c>
      <c r="I1204" s="124">
        <v>0</v>
      </c>
      <c r="J1204" s="124">
        <v>0</v>
      </c>
      <c r="K1204" s="124" t="s">
        <v>251</v>
      </c>
      <c r="L1204" s="124" t="s">
        <v>251</v>
      </c>
      <c r="M1204" s="124">
        <v>0</v>
      </c>
      <c r="N1204" s="124" t="s">
        <v>251</v>
      </c>
      <c r="O1204" s="124">
        <v>0</v>
      </c>
      <c r="P1204" s="124">
        <v>0</v>
      </c>
      <c r="Q1204" s="124">
        <v>0</v>
      </c>
      <c r="R1204" s="124"/>
    </row>
    <row r="1205" spans="1:18" ht="15">
      <c r="A1205" s="105">
        <v>50</v>
      </c>
      <c r="B1205" s="105"/>
      <c r="C1205" s="107" t="s">
        <v>973</v>
      </c>
      <c r="D1205" s="107" t="s">
        <v>541</v>
      </c>
      <c r="E1205" s="124">
        <v>1</v>
      </c>
      <c r="F1205" s="124" t="s">
        <v>251</v>
      </c>
      <c r="G1205" s="124">
        <v>0</v>
      </c>
      <c r="H1205" s="124" t="s">
        <v>251</v>
      </c>
      <c r="I1205" s="124">
        <v>1</v>
      </c>
      <c r="J1205" s="124">
        <v>0</v>
      </c>
      <c r="K1205" s="124" t="s">
        <v>251</v>
      </c>
      <c r="L1205" s="124" t="s">
        <v>251</v>
      </c>
      <c r="M1205" s="124">
        <v>0</v>
      </c>
      <c r="N1205" s="124" t="s">
        <v>251</v>
      </c>
      <c r="O1205" s="124">
        <v>0</v>
      </c>
      <c r="P1205" s="124">
        <v>0</v>
      </c>
      <c r="Q1205" s="124">
        <v>0</v>
      </c>
      <c r="R1205" s="124"/>
    </row>
    <row r="1206" spans="1:18" ht="15">
      <c r="A1206" s="105" t="s">
        <v>251</v>
      </c>
      <c r="B1206" s="105"/>
      <c r="C1206" s="107" t="s">
        <v>251</v>
      </c>
      <c r="D1206" s="107" t="s">
        <v>251</v>
      </c>
      <c r="E1206" s="124" t="s">
        <v>251</v>
      </c>
      <c r="F1206" s="124" t="s">
        <v>251</v>
      </c>
      <c r="G1206" s="124" t="s">
        <v>251</v>
      </c>
      <c r="H1206" s="124" t="s">
        <v>251</v>
      </c>
      <c r="I1206" s="124" t="s">
        <v>251</v>
      </c>
      <c r="J1206" s="124" t="s">
        <v>251</v>
      </c>
      <c r="K1206" s="124" t="s">
        <v>251</v>
      </c>
      <c r="L1206" s="124" t="s">
        <v>251</v>
      </c>
      <c r="M1206" s="124" t="s">
        <v>251</v>
      </c>
      <c r="N1206" s="124" t="s">
        <v>251</v>
      </c>
      <c r="O1206" s="124" t="s">
        <v>251</v>
      </c>
      <c r="P1206" s="124" t="s">
        <v>251</v>
      </c>
      <c r="Q1206" s="124" t="s">
        <v>251</v>
      </c>
      <c r="R1206" s="124"/>
    </row>
    <row r="1207" spans="1:18" ht="15">
      <c r="A1207" s="105" t="s">
        <v>251</v>
      </c>
      <c r="B1207" s="105"/>
      <c r="C1207" s="107" t="s">
        <v>251</v>
      </c>
      <c r="D1207" s="107" t="s">
        <v>251</v>
      </c>
      <c r="E1207" s="124" t="s">
        <v>251</v>
      </c>
      <c r="F1207" s="124" t="s">
        <v>251</v>
      </c>
      <c r="G1207" s="124" t="s">
        <v>251</v>
      </c>
      <c r="H1207" s="124" t="s">
        <v>251</v>
      </c>
      <c r="I1207" s="124" t="s">
        <v>251</v>
      </c>
      <c r="J1207" s="124" t="s">
        <v>251</v>
      </c>
      <c r="K1207" s="124" t="s">
        <v>251</v>
      </c>
      <c r="L1207" s="124" t="s">
        <v>251</v>
      </c>
      <c r="M1207" s="124" t="s">
        <v>251</v>
      </c>
      <c r="N1207" s="124" t="s">
        <v>251</v>
      </c>
      <c r="O1207" s="124" t="s">
        <v>251</v>
      </c>
      <c r="P1207" s="124" t="s">
        <v>251</v>
      </c>
      <c r="Q1207" s="124" t="s">
        <v>251</v>
      </c>
      <c r="R1207" s="124"/>
    </row>
    <row r="1208" spans="1:18" ht="15">
      <c r="A1208" s="105" t="s">
        <v>251</v>
      </c>
      <c r="B1208" s="105"/>
      <c r="C1208" s="107" t="s">
        <v>495</v>
      </c>
      <c r="D1208" s="107" t="s">
        <v>251</v>
      </c>
      <c r="E1208" s="124" t="s">
        <v>251</v>
      </c>
      <c r="F1208" s="124" t="s">
        <v>251</v>
      </c>
      <c r="G1208" s="124" t="s">
        <v>251</v>
      </c>
      <c r="H1208" s="124" t="s">
        <v>251</v>
      </c>
      <c r="I1208" s="124" t="s">
        <v>251</v>
      </c>
      <c r="J1208" s="124" t="s">
        <v>251</v>
      </c>
      <c r="K1208" s="124" t="s">
        <v>251</v>
      </c>
      <c r="L1208" s="124" t="s">
        <v>251</v>
      </c>
      <c r="M1208" s="124" t="s">
        <v>251</v>
      </c>
      <c r="N1208" s="124" t="s">
        <v>251</v>
      </c>
      <c r="O1208" s="124" t="s">
        <v>251</v>
      </c>
      <c r="P1208" s="124" t="s">
        <v>251</v>
      </c>
      <c r="Q1208" s="124" t="s">
        <v>251</v>
      </c>
      <c r="R1208" s="124"/>
    </row>
    <row r="1209" spans="1:18" ht="15">
      <c r="A1209" s="105" t="s">
        <v>251</v>
      </c>
      <c r="B1209" s="105"/>
      <c r="C1209" s="107" t="s">
        <v>920</v>
      </c>
      <c r="D1209" s="107" t="s">
        <v>251</v>
      </c>
      <c r="E1209" s="124" t="s">
        <v>251</v>
      </c>
      <c r="F1209" s="124" t="s">
        <v>251</v>
      </c>
      <c r="G1209" s="124" t="s">
        <v>251</v>
      </c>
      <c r="H1209" s="124" t="s">
        <v>251</v>
      </c>
      <c r="I1209" s="124" t="s">
        <v>251</v>
      </c>
      <c r="J1209" s="124" t="s">
        <v>251</v>
      </c>
      <c r="K1209" s="124" t="s">
        <v>251</v>
      </c>
      <c r="L1209" s="124" t="s">
        <v>251</v>
      </c>
      <c r="M1209" s="124" t="s">
        <v>251</v>
      </c>
      <c r="N1209" s="124" t="s">
        <v>251</v>
      </c>
      <c r="O1209" s="124" t="s">
        <v>251</v>
      </c>
      <c r="P1209" s="124" t="s">
        <v>251</v>
      </c>
      <c r="Q1209" s="124" t="s">
        <v>251</v>
      </c>
      <c r="R1209" s="124"/>
    </row>
    <row r="1210" spans="1:18" ht="15">
      <c r="A1210" s="105">
        <v>1</v>
      </c>
      <c r="B1210" s="105"/>
      <c r="C1210" s="107" t="s">
        <v>974</v>
      </c>
      <c r="D1210" s="107" t="s">
        <v>495</v>
      </c>
      <c r="E1210" s="124">
        <v>1</v>
      </c>
      <c r="F1210" s="124" t="s">
        <v>251</v>
      </c>
      <c r="G1210" s="124">
        <v>0.88026422050572484</v>
      </c>
      <c r="H1210" s="124" t="s">
        <v>251</v>
      </c>
      <c r="I1210" s="124">
        <v>3.5910765359497526E-2</v>
      </c>
      <c r="J1210" s="124">
        <v>8.3825014134777651E-2</v>
      </c>
      <c r="K1210" s="124" t="s">
        <v>251</v>
      </c>
      <c r="L1210" s="124" t="s">
        <v>251</v>
      </c>
      <c r="M1210" s="124">
        <v>3.9395816032884391E-6</v>
      </c>
      <c r="N1210" s="124" t="s">
        <v>251</v>
      </c>
      <c r="O1210" s="124">
        <v>8.3821074553174363E-2</v>
      </c>
      <c r="P1210" s="124">
        <v>2.6820312880168468E-2</v>
      </c>
      <c r="Q1210" s="124">
        <v>5.7000761673005891E-2</v>
      </c>
      <c r="R1210" s="124"/>
    </row>
    <row r="1211" spans="1:18" ht="15">
      <c r="A1211" s="105">
        <v>2</v>
      </c>
      <c r="B1211" s="105"/>
      <c r="C1211" s="107" t="s">
        <v>975</v>
      </c>
      <c r="D1211" s="107" t="s">
        <v>740</v>
      </c>
      <c r="E1211" s="124">
        <v>1.0000000000000002</v>
      </c>
      <c r="F1211" s="124" t="s">
        <v>251</v>
      </c>
      <c r="G1211" s="124">
        <v>0.96079946400908001</v>
      </c>
      <c r="H1211" s="124" t="s">
        <v>251</v>
      </c>
      <c r="I1211" s="124">
        <v>3.9196235977577897E-2</v>
      </c>
      <c r="J1211" s="124">
        <v>4.3000133422268835E-6</v>
      </c>
      <c r="K1211" s="124" t="s">
        <v>251</v>
      </c>
      <c r="L1211" s="124" t="s">
        <v>251</v>
      </c>
      <c r="M1211" s="124">
        <v>4.3000133422268835E-6</v>
      </c>
      <c r="N1211" s="124" t="s">
        <v>251</v>
      </c>
      <c r="O1211" s="124">
        <v>0</v>
      </c>
      <c r="P1211" s="124">
        <v>0</v>
      </c>
      <c r="Q1211" s="124">
        <v>0</v>
      </c>
      <c r="R1211" s="124"/>
    </row>
    <row r="1212" spans="1:18" ht="15">
      <c r="A1212" s="105">
        <v>3</v>
      </c>
      <c r="B1212" s="105"/>
      <c r="C1212" s="107" t="s">
        <v>251</v>
      </c>
      <c r="D1212" s="107" t="s">
        <v>251</v>
      </c>
      <c r="E1212" s="124" t="s">
        <v>251</v>
      </c>
      <c r="F1212" s="124" t="s">
        <v>251</v>
      </c>
      <c r="G1212" s="124" t="s">
        <v>251</v>
      </c>
      <c r="H1212" s="124" t="s">
        <v>251</v>
      </c>
      <c r="I1212" s="124" t="s">
        <v>251</v>
      </c>
      <c r="J1212" s="124" t="s">
        <v>251</v>
      </c>
      <c r="K1212" s="124" t="s">
        <v>251</v>
      </c>
      <c r="L1212" s="124" t="s">
        <v>251</v>
      </c>
      <c r="M1212" s="124" t="s">
        <v>251</v>
      </c>
      <c r="N1212" s="124" t="s">
        <v>251</v>
      </c>
      <c r="O1212" s="124" t="s">
        <v>251</v>
      </c>
      <c r="P1212" s="124" t="s">
        <v>251</v>
      </c>
      <c r="Q1212" s="124" t="s">
        <v>251</v>
      </c>
      <c r="R1212" s="124"/>
    </row>
    <row r="1213" spans="1:18" ht="15">
      <c r="A1213" s="105">
        <v>4</v>
      </c>
      <c r="B1213" s="105"/>
      <c r="C1213" s="107" t="s">
        <v>251</v>
      </c>
      <c r="D1213" s="107" t="s">
        <v>251</v>
      </c>
      <c r="E1213" s="124" t="s">
        <v>251</v>
      </c>
      <c r="F1213" s="124" t="s">
        <v>251</v>
      </c>
      <c r="G1213" s="124" t="s">
        <v>251</v>
      </c>
      <c r="H1213" s="124" t="s">
        <v>251</v>
      </c>
      <c r="I1213" s="124" t="s">
        <v>251</v>
      </c>
      <c r="J1213" s="124" t="s">
        <v>251</v>
      </c>
      <c r="K1213" s="124" t="s">
        <v>251</v>
      </c>
      <c r="L1213" s="124" t="s">
        <v>251</v>
      </c>
      <c r="M1213" s="124" t="s">
        <v>251</v>
      </c>
      <c r="N1213" s="124" t="s">
        <v>251</v>
      </c>
      <c r="O1213" s="124" t="s">
        <v>251</v>
      </c>
      <c r="P1213" s="124" t="s">
        <v>251</v>
      </c>
      <c r="Q1213" s="124" t="s">
        <v>251</v>
      </c>
      <c r="R1213" s="124"/>
    </row>
    <row r="1214" spans="1:18" ht="15">
      <c r="A1214" s="105" t="s">
        <v>251</v>
      </c>
      <c r="B1214" s="105"/>
      <c r="C1214" s="107" t="s">
        <v>251</v>
      </c>
      <c r="D1214" s="107" t="s">
        <v>251</v>
      </c>
      <c r="E1214" s="124" t="s">
        <v>251</v>
      </c>
      <c r="F1214" s="124" t="s">
        <v>251</v>
      </c>
      <c r="G1214" s="124" t="s">
        <v>251</v>
      </c>
      <c r="H1214" s="124" t="s">
        <v>251</v>
      </c>
      <c r="I1214" s="124" t="s">
        <v>251</v>
      </c>
      <c r="J1214" s="124" t="s">
        <v>251</v>
      </c>
      <c r="K1214" s="124" t="s">
        <v>251</v>
      </c>
      <c r="L1214" s="124" t="s">
        <v>251</v>
      </c>
      <c r="M1214" s="124" t="s">
        <v>251</v>
      </c>
      <c r="N1214" s="124" t="s">
        <v>251</v>
      </c>
      <c r="O1214" s="124" t="s">
        <v>251</v>
      </c>
      <c r="P1214" s="124" t="s">
        <v>251</v>
      </c>
      <c r="Q1214" s="124" t="s">
        <v>251</v>
      </c>
      <c r="R1214" s="124"/>
    </row>
    <row r="1215" spans="1:18" ht="15">
      <c r="A1215" s="105" t="s">
        <v>251</v>
      </c>
      <c r="B1215" s="105"/>
      <c r="C1215" s="107" t="s">
        <v>976</v>
      </c>
      <c r="D1215" s="107" t="s">
        <v>251</v>
      </c>
      <c r="E1215" s="124" t="s">
        <v>251</v>
      </c>
      <c r="F1215" s="124" t="s">
        <v>251</v>
      </c>
      <c r="G1215" s="124" t="s">
        <v>251</v>
      </c>
      <c r="H1215" s="124" t="s">
        <v>251</v>
      </c>
      <c r="I1215" s="124" t="s">
        <v>251</v>
      </c>
      <c r="J1215" s="124" t="s">
        <v>251</v>
      </c>
      <c r="K1215" s="124" t="s">
        <v>251</v>
      </c>
      <c r="L1215" s="124" t="s">
        <v>251</v>
      </c>
      <c r="M1215" s="124" t="s">
        <v>251</v>
      </c>
      <c r="N1215" s="124" t="s">
        <v>251</v>
      </c>
      <c r="O1215" s="124" t="s">
        <v>251</v>
      </c>
      <c r="P1215" s="124" t="s">
        <v>251</v>
      </c>
      <c r="Q1215" s="124" t="s">
        <v>251</v>
      </c>
      <c r="R1215" s="124"/>
    </row>
    <row r="1216" spans="1:18" ht="15">
      <c r="A1216" s="105" t="s">
        <v>251</v>
      </c>
      <c r="B1216" s="105"/>
      <c r="C1216" s="107" t="s">
        <v>920</v>
      </c>
      <c r="D1216" s="107" t="s">
        <v>251</v>
      </c>
      <c r="E1216" s="124" t="s">
        <v>251</v>
      </c>
      <c r="F1216" s="124" t="s">
        <v>251</v>
      </c>
      <c r="G1216" s="124" t="s">
        <v>251</v>
      </c>
      <c r="H1216" s="124" t="s">
        <v>251</v>
      </c>
      <c r="I1216" s="124" t="s">
        <v>251</v>
      </c>
      <c r="J1216" s="124" t="s">
        <v>251</v>
      </c>
      <c r="K1216" s="124" t="s">
        <v>251</v>
      </c>
      <c r="L1216" s="124" t="s">
        <v>251</v>
      </c>
      <c r="M1216" s="124" t="s">
        <v>251</v>
      </c>
      <c r="N1216" s="124" t="s">
        <v>251</v>
      </c>
      <c r="O1216" s="124" t="s">
        <v>251</v>
      </c>
      <c r="P1216" s="124" t="s">
        <v>251</v>
      </c>
      <c r="Q1216" s="124" t="s">
        <v>251</v>
      </c>
      <c r="R1216" s="124"/>
    </row>
    <row r="1217" spans="1:18" ht="15">
      <c r="A1217" s="105">
        <v>1</v>
      </c>
      <c r="B1217" s="105"/>
      <c r="C1217" s="107" t="s">
        <v>1148</v>
      </c>
      <c r="D1217" s="107" t="s">
        <v>381</v>
      </c>
      <c r="E1217" s="124">
        <v>1</v>
      </c>
      <c r="F1217" s="124" t="s">
        <v>251</v>
      </c>
      <c r="G1217" s="124">
        <v>1</v>
      </c>
      <c r="H1217" s="124" t="s">
        <v>251</v>
      </c>
      <c r="I1217" s="124">
        <v>0</v>
      </c>
      <c r="J1217" s="124">
        <v>0</v>
      </c>
      <c r="K1217" s="124" t="s">
        <v>251</v>
      </c>
      <c r="L1217" s="124" t="s">
        <v>251</v>
      </c>
      <c r="M1217" s="124">
        <v>0</v>
      </c>
      <c r="N1217" s="124" t="s">
        <v>251</v>
      </c>
      <c r="O1217" s="124">
        <v>0</v>
      </c>
      <c r="P1217" s="124">
        <v>0</v>
      </c>
      <c r="Q1217" s="124">
        <v>0</v>
      </c>
      <c r="R1217" s="124"/>
    </row>
    <row r="1218" spans="1:18" ht="15">
      <c r="A1218" s="105">
        <v>2</v>
      </c>
      <c r="B1218" s="105"/>
      <c r="C1218" s="107" t="s">
        <v>1149</v>
      </c>
      <c r="D1218" s="107" t="s">
        <v>383</v>
      </c>
      <c r="E1218" s="124">
        <v>1</v>
      </c>
      <c r="F1218" s="124" t="s">
        <v>251</v>
      </c>
      <c r="G1218" s="124">
        <v>0.99557977328043035</v>
      </c>
      <c r="H1218" s="124" t="s">
        <v>251</v>
      </c>
      <c r="I1218" s="124">
        <v>0</v>
      </c>
      <c r="J1218" s="124">
        <v>4.420226719569641E-3</v>
      </c>
      <c r="K1218" s="124" t="s">
        <v>251</v>
      </c>
      <c r="L1218" s="124" t="s">
        <v>251</v>
      </c>
      <c r="M1218" s="124">
        <v>0</v>
      </c>
      <c r="N1218" s="124" t="s">
        <v>251</v>
      </c>
      <c r="O1218" s="124">
        <v>4.420226719569641E-3</v>
      </c>
      <c r="P1218" s="124">
        <v>8.178813495635024E-4</v>
      </c>
      <c r="Q1218" s="124">
        <v>3.6023453700061389E-3</v>
      </c>
      <c r="R1218" s="124"/>
    </row>
    <row r="1219" spans="1:18" ht="15">
      <c r="A1219" s="105">
        <v>3</v>
      </c>
      <c r="B1219" s="105"/>
      <c r="C1219" s="107" t="s">
        <v>1150</v>
      </c>
      <c r="D1219" s="107" t="s">
        <v>385</v>
      </c>
      <c r="E1219" s="124">
        <v>1</v>
      </c>
      <c r="F1219" s="124" t="s">
        <v>251</v>
      </c>
      <c r="G1219" s="124">
        <v>1</v>
      </c>
      <c r="H1219" s="124" t="s">
        <v>251</v>
      </c>
      <c r="I1219" s="124">
        <v>0</v>
      </c>
      <c r="J1219" s="124">
        <v>0</v>
      </c>
      <c r="K1219" s="124" t="s">
        <v>251</v>
      </c>
      <c r="L1219" s="124" t="s">
        <v>251</v>
      </c>
      <c r="M1219" s="124">
        <v>0</v>
      </c>
      <c r="N1219" s="124" t="s">
        <v>251</v>
      </c>
      <c r="O1219" s="124">
        <v>0</v>
      </c>
      <c r="P1219" s="124">
        <v>0</v>
      </c>
      <c r="Q1219" s="124">
        <v>0</v>
      </c>
      <c r="R1219" s="124"/>
    </row>
    <row r="1220" spans="1:18" ht="15">
      <c r="A1220" s="105">
        <v>4</v>
      </c>
      <c r="B1220" s="105"/>
      <c r="C1220" s="107" t="s">
        <v>1151</v>
      </c>
      <c r="D1220" s="107" t="s">
        <v>387</v>
      </c>
      <c r="E1220" s="124">
        <v>1</v>
      </c>
      <c r="F1220" s="124" t="s">
        <v>251</v>
      </c>
      <c r="G1220" s="124">
        <v>1</v>
      </c>
      <c r="H1220" s="124" t="s">
        <v>251</v>
      </c>
      <c r="I1220" s="124">
        <v>0</v>
      </c>
      <c r="J1220" s="124">
        <v>0</v>
      </c>
      <c r="K1220" s="124" t="s">
        <v>251</v>
      </c>
      <c r="L1220" s="124" t="s">
        <v>251</v>
      </c>
      <c r="M1220" s="124">
        <v>0</v>
      </c>
      <c r="N1220" s="124" t="s">
        <v>251</v>
      </c>
      <c r="O1220" s="124">
        <v>0</v>
      </c>
      <c r="P1220" s="124">
        <v>0</v>
      </c>
      <c r="Q1220" s="124">
        <v>0</v>
      </c>
      <c r="R1220" s="124"/>
    </row>
    <row r="1221" spans="1:18" ht="15">
      <c r="A1221" s="105">
        <v>5</v>
      </c>
      <c r="B1221" s="105"/>
      <c r="C1221" s="107" t="s">
        <v>536</v>
      </c>
      <c r="D1221" s="107" t="s">
        <v>537</v>
      </c>
      <c r="E1221" s="124">
        <v>1</v>
      </c>
      <c r="F1221" s="124" t="s">
        <v>251</v>
      </c>
      <c r="G1221" s="124">
        <v>0.97009645926567778</v>
      </c>
      <c r="H1221" s="124" t="s">
        <v>251</v>
      </c>
      <c r="I1221" s="124">
        <v>2.9903540734322245E-2</v>
      </c>
      <c r="J1221" s="124">
        <v>0</v>
      </c>
      <c r="K1221" s="124" t="s">
        <v>251</v>
      </c>
      <c r="L1221" s="124" t="s">
        <v>251</v>
      </c>
      <c r="M1221" s="124">
        <v>0</v>
      </c>
      <c r="N1221" s="124" t="s">
        <v>251</v>
      </c>
      <c r="O1221" s="124">
        <v>0</v>
      </c>
      <c r="P1221" s="124">
        <v>0</v>
      </c>
      <c r="Q1221" s="124">
        <v>0</v>
      </c>
      <c r="R1221" s="124"/>
    </row>
    <row r="1222" spans="1:18" ht="15">
      <c r="A1222" s="105">
        <v>6</v>
      </c>
      <c r="B1222" s="105"/>
      <c r="C1222" s="107" t="s">
        <v>981</v>
      </c>
      <c r="D1222" s="107" t="s">
        <v>539</v>
      </c>
      <c r="E1222" s="124">
        <v>0.99999999999999989</v>
      </c>
      <c r="F1222" s="124" t="s">
        <v>251</v>
      </c>
      <c r="G1222" s="124">
        <v>0.94463976065702659</v>
      </c>
      <c r="H1222" s="124" t="s">
        <v>251</v>
      </c>
      <c r="I1222" s="124">
        <v>5.5360239016010532E-2</v>
      </c>
      <c r="J1222" s="124">
        <v>3.2696284196157162E-10</v>
      </c>
      <c r="K1222" s="124" t="s">
        <v>251</v>
      </c>
      <c r="L1222" s="124" t="s">
        <v>251</v>
      </c>
      <c r="M1222" s="124">
        <v>0</v>
      </c>
      <c r="N1222" s="124" t="s">
        <v>251</v>
      </c>
      <c r="O1222" s="124">
        <v>3.2696284196157162E-10</v>
      </c>
      <c r="P1222" s="124">
        <v>3.2696284196157162E-10</v>
      </c>
      <c r="Q1222" s="124">
        <v>0</v>
      </c>
      <c r="R1222" s="124"/>
    </row>
    <row r="1223" spans="1:18" ht="15">
      <c r="A1223" s="105">
        <v>7</v>
      </c>
      <c r="B1223" s="105"/>
      <c r="C1223" s="107" t="s">
        <v>982</v>
      </c>
      <c r="D1223" s="107" t="s">
        <v>687</v>
      </c>
      <c r="E1223" s="124">
        <v>1</v>
      </c>
      <c r="F1223" s="124" t="s">
        <v>251</v>
      </c>
      <c r="G1223" s="124">
        <v>0.94943492291049292</v>
      </c>
      <c r="H1223" s="124" t="s">
        <v>251</v>
      </c>
      <c r="I1223" s="124">
        <v>4.9653258630981009E-2</v>
      </c>
      <c r="J1223" s="124">
        <v>9.1181845852609557E-4</v>
      </c>
      <c r="K1223" s="124" t="s">
        <v>251</v>
      </c>
      <c r="L1223" s="124" t="s">
        <v>251</v>
      </c>
      <c r="M1223" s="124">
        <v>6.5882836598706323E-6</v>
      </c>
      <c r="N1223" s="124" t="s">
        <v>251</v>
      </c>
      <c r="O1223" s="124">
        <v>9.0523017486622494E-4</v>
      </c>
      <c r="P1223" s="124">
        <v>4.6908579658278904E-4</v>
      </c>
      <c r="Q1223" s="124">
        <v>4.3614437828343584E-4</v>
      </c>
      <c r="R1223" s="124"/>
    </row>
    <row r="1224" spans="1:18" ht="15">
      <c r="A1224" s="105">
        <v>8</v>
      </c>
      <c r="B1224" s="105"/>
      <c r="C1224" s="107" t="s">
        <v>983</v>
      </c>
      <c r="D1224" s="107" t="s">
        <v>689</v>
      </c>
      <c r="E1224" s="124">
        <v>1</v>
      </c>
      <c r="F1224" s="124" t="s">
        <v>251</v>
      </c>
      <c r="G1224" s="124">
        <v>0.94943492291049292</v>
      </c>
      <c r="H1224" s="124" t="s">
        <v>251</v>
      </c>
      <c r="I1224" s="124">
        <v>4.9653258630981009E-2</v>
      </c>
      <c r="J1224" s="124">
        <v>9.1181845852609557E-4</v>
      </c>
      <c r="K1224" s="124" t="s">
        <v>251</v>
      </c>
      <c r="L1224" s="124" t="s">
        <v>251</v>
      </c>
      <c r="M1224" s="124">
        <v>6.5882836598706323E-6</v>
      </c>
      <c r="N1224" s="124" t="s">
        <v>251</v>
      </c>
      <c r="O1224" s="124">
        <v>9.0523017486622494E-4</v>
      </c>
      <c r="P1224" s="124">
        <v>4.6908579658278904E-4</v>
      </c>
      <c r="Q1224" s="124">
        <v>4.3614437828343584E-4</v>
      </c>
      <c r="R1224" s="124"/>
    </row>
    <row r="1225" spans="1:18" ht="15">
      <c r="A1225" s="105">
        <v>9</v>
      </c>
      <c r="B1225" s="105"/>
      <c r="C1225" s="107" t="s">
        <v>984</v>
      </c>
      <c r="D1225" s="107" t="s">
        <v>691</v>
      </c>
      <c r="E1225" s="124">
        <v>1</v>
      </c>
      <c r="F1225" s="124" t="s">
        <v>251</v>
      </c>
      <c r="G1225" s="124">
        <v>0.94943492291049292</v>
      </c>
      <c r="H1225" s="124" t="s">
        <v>251</v>
      </c>
      <c r="I1225" s="124">
        <v>4.9653258630981009E-2</v>
      </c>
      <c r="J1225" s="124">
        <v>9.1181845852609557E-4</v>
      </c>
      <c r="K1225" s="124" t="s">
        <v>251</v>
      </c>
      <c r="L1225" s="124" t="s">
        <v>251</v>
      </c>
      <c r="M1225" s="124">
        <v>6.5882836598706323E-6</v>
      </c>
      <c r="N1225" s="124" t="s">
        <v>251</v>
      </c>
      <c r="O1225" s="124">
        <v>9.0523017486622494E-4</v>
      </c>
      <c r="P1225" s="124">
        <v>4.6908579658278904E-4</v>
      </c>
      <c r="Q1225" s="124">
        <v>4.3614437828343584E-4</v>
      </c>
      <c r="R1225" s="124"/>
    </row>
    <row r="1226" spans="1:18" ht="15">
      <c r="A1226" s="105">
        <v>10</v>
      </c>
      <c r="B1226" s="105"/>
      <c r="C1226" s="107" t="s">
        <v>985</v>
      </c>
      <c r="D1226" s="107" t="s">
        <v>400</v>
      </c>
      <c r="E1226" s="124">
        <v>1</v>
      </c>
      <c r="F1226" s="124" t="s">
        <v>251</v>
      </c>
      <c r="G1226" s="124">
        <v>0</v>
      </c>
      <c r="H1226" s="124" t="s">
        <v>251</v>
      </c>
      <c r="I1226" s="124">
        <v>1</v>
      </c>
      <c r="J1226" s="124">
        <v>0</v>
      </c>
      <c r="K1226" s="124" t="s">
        <v>251</v>
      </c>
      <c r="L1226" s="124" t="s">
        <v>251</v>
      </c>
      <c r="M1226" s="124">
        <v>0</v>
      </c>
      <c r="N1226" s="124" t="s">
        <v>251</v>
      </c>
      <c r="O1226" s="124">
        <v>0</v>
      </c>
      <c r="P1226" s="124">
        <v>0</v>
      </c>
      <c r="Q1226" s="124">
        <v>0</v>
      </c>
      <c r="R1226" s="124"/>
    </row>
    <row r="1227" spans="1:18" ht="15">
      <c r="A1227" s="105">
        <v>11</v>
      </c>
      <c r="B1227" s="105"/>
      <c r="C1227" s="107" t="s">
        <v>986</v>
      </c>
      <c r="D1227" s="107" t="s">
        <v>401</v>
      </c>
      <c r="E1227" s="124">
        <v>1</v>
      </c>
      <c r="F1227" s="124" t="s">
        <v>251</v>
      </c>
      <c r="G1227" s="124">
        <v>0</v>
      </c>
      <c r="H1227" s="124" t="s">
        <v>251</v>
      </c>
      <c r="I1227" s="124">
        <v>1</v>
      </c>
      <c r="J1227" s="124">
        <v>0</v>
      </c>
      <c r="K1227" s="124" t="s">
        <v>251</v>
      </c>
      <c r="L1227" s="124" t="s">
        <v>251</v>
      </c>
      <c r="M1227" s="124">
        <v>0</v>
      </c>
      <c r="N1227" s="124" t="s">
        <v>251</v>
      </c>
      <c r="O1227" s="124">
        <v>0</v>
      </c>
      <c r="P1227" s="124">
        <v>0</v>
      </c>
      <c r="Q1227" s="124">
        <v>0</v>
      </c>
      <c r="R1227" s="124"/>
    </row>
    <row r="1228" spans="1:18" ht="15">
      <c r="A1228" s="105">
        <v>12</v>
      </c>
      <c r="B1228" s="105"/>
      <c r="C1228" s="107" t="s">
        <v>1152</v>
      </c>
      <c r="D1228" s="107" t="s">
        <v>402</v>
      </c>
      <c r="E1228" s="124">
        <v>0</v>
      </c>
      <c r="F1228" s="124" t="s">
        <v>251</v>
      </c>
      <c r="G1228" s="124">
        <v>0</v>
      </c>
      <c r="H1228" s="124" t="s">
        <v>251</v>
      </c>
      <c r="I1228" s="124">
        <v>0</v>
      </c>
      <c r="J1228" s="124">
        <v>0</v>
      </c>
      <c r="K1228" s="124" t="s">
        <v>251</v>
      </c>
      <c r="L1228" s="124" t="s">
        <v>251</v>
      </c>
      <c r="M1228" s="124">
        <v>0</v>
      </c>
      <c r="N1228" s="124" t="s">
        <v>251</v>
      </c>
      <c r="O1228" s="124">
        <v>0</v>
      </c>
      <c r="P1228" s="124">
        <v>0</v>
      </c>
      <c r="Q1228" s="124">
        <v>0</v>
      </c>
      <c r="R1228" s="124"/>
    </row>
    <row r="1229" spans="1:18" ht="15">
      <c r="A1229" s="105">
        <v>13</v>
      </c>
      <c r="B1229" s="105"/>
      <c r="C1229" s="107" t="s">
        <v>988</v>
      </c>
      <c r="D1229" s="107" t="s">
        <v>403</v>
      </c>
      <c r="E1229" s="124">
        <v>1</v>
      </c>
      <c r="F1229" s="124" t="s">
        <v>251</v>
      </c>
      <c r="G1229" s="124">
        <v>0</v>
      </c>
      <c r="H1229" s="124" t="s">
        <v>251</v>
      </c>
      <c r="I1229" s="124">
        <v>1</v>
      </c>
      <c r="J1229" s="124">
        <v>0</v>
      </c>
      <c r="K1229" s="124" t="s">
        <v>251</v>
      </c>
      <c r="L1229" s="124" t="s">
        <v>251</v>
      </c>
      <c r="M1229" s="124">
        <v>0</v>
      </c>
      <c r="N1229" s="124" t="s">
        <v>251</v>
      </c>
      <c r="O1229" s="124">
        <v>0</v>
      </c>
      <c r="P1229" s="124">
        <v>0</v>
      </c>
      <c r="Q1229" s="124">
        <v>0</v>
      </c>
      <c r="R1229" s="124"/>
    </row>
    <row r="1230" spans="1:18" ht="15">
      <c r="A1230" s="105">
        <v>14</v>
      </c>
      <c r="B1230" s="105"/>
      <c r="C1230" s="107" t="s">
        <v>989</v>
      </c>
      <c r="D1230" s="107" t="s">
        <v>699</v>
      </c>
      <c r="E1230" s="124">
        <v>1</v>
      </c>
      <c r="F1230" s="124" t="s">
        <v>251</v>
      </c>
      <c r="G1230" s="124">
        <v>1</v>
      </c>
      <c r="H1230" s="124" t="s">
        <v>251</v>
      </c>
      <c r="I1230" s="124">
        <v>0</v>
      </c>
      <c r="J1230" s="124">
        <v>0</v>
      </c>
      <c r="K1230" s="124" t="s">
        <v>251</v>
      </c>
      <c r="L1230" s="124" t="s">
        <v>251</v>
      </c>
      <c r="M1230" s="124">
        <v>0</v>
      </c>
      <c r="N1230" s="124" t="s">
        <v>251</v>
      </c>
      <c r="O1230" s="124">
        <v>0</v>
      </c>
      <c r="P1230" s="124">
        <v>0</v>
      </c>
      <c r="Q1230" s="124">
        <v>0</v>
      </c>
      <c r="R1230" s="124"/>
    </row>
    <row r="1231" spans="1:18" ht="15">
      <c r="A1231" s="105">
        <v>15</v>
      </c>
      <c r="B1231" s="105"/>
      <c r="C1231" s="107" t="s">
        <v>990</v>
      </c>
      <c r="D1231" s="107" t="s">
        <v>701</v>
      </c>
      <c r="E1231" s="124">
        <v>1</v>
      </c>
      <c r="F1231" s="124" t="s">
        <v>251</v>
      </c>
      <c r="G1231" s="124">
        <v>0.94892097697757327</v>
      </c>
      <c r="H1231" s="124" t="s">
        <v>251</v>
      </c>
      <c r="I1231" s="124">
        <v>5.1073574787019398E-2</v>
      </c>
      <c r="J1231" s="124">
        <v>5.4482354073554811E-6</v>
      </c>
      <c r="K1231" s="124" t="s">
        <v>251</v>
      </c>
      <c r="L1231" s="124" t="s">
        <v>251</v>
      </c>
      <c r="M1231" s="124">
        <v>5.4482354073554811E-6</v>
      </c>
      <c r="N1231" s="124" t="s">
        <v>251</v>
      </c>
      <c r="O1231" s="124">
        <v>0</v>
      </c>
      <c r="P1231" s="124">
        <v>0</v>
      </c>
      <c r="Q1231" s="124">
        <v>0</v>
      </c>
      <c r="R1231" s="124"/>
    </row>
    <row r="1232" spans="1:18" ht="15">
      <c r="A1232" s="105">
        <v>16</v>
      </c>
      <c r="B1232" s="105"/>
      <c r="C1232" s="107" t="s">
        <v>991</v>
      </c>
      <c r="D1232" s="107" t="s">
        <v>708</v>
      </c>
      <c r="E1232" s="124">
        <v>1</v>
      </c>
      <c r="F1232" s="124" t="s">
        <v>251</v>
      </c>
      <c r="G1232" s="124">
        <v>0.94892097697757327</v>
      </c>
      <c r="H1232" s="124" t="s">
        <v>251</v>
      </c>
      <c r="I1232" s="124">
        <v>5.1073574787019398E-2</v>
      </c>
      <c r="J1232" s="124">
        <v>5.4482354073554811E-6</v>
      </c>
      <c r="K1232" s="124" t="s">
        <v>251</v>
      </c>
      <c r="L1232" s="124" t="s">
        <v>251</v>
      </c>
      <c r="M1232" s="124">
        <v>5.4482354073554811E-6</v>
      </c>
      <c r="N1232" s="124" t="s">
        <v>251</v>
      </c>
      <c r="O1232" s="124">
        <v>0</v>
      </c>
      <c r="P1232" s="124">
        <v>0</v>
      </c>
      <c r="Q1232" s="124">
        <v>0</v>
      </c>
      <c r="R1232" s="124"/>
    </row>
    <row r="1233" spans="1:18" ht="15">
      <c r="A1233" s="105">
        <v>17</v>
      </c>
      <c r="B1233" s="105"/>
      <c r="C1233" s="107" t="s">
        <v>992</v>
      </c>
      <c r="D1233" s="107" t="s">
        <v>710</v>
      </c>
      <c r="E1233" s="124">
        <v>1</v>
      </c>
      <c r="F1233" s="124" t="s">
        <v>251</v>
      </c>
      <c r="G1233" s="124">
        <v>0.94892097697757327</v>
      </c>
      <c r="H1233" s="124" t="s">
        <v>251</v>
      </c>
      <c r="I1233" s="124">
        <v>5.1073574787019398E-2</v>
      </c>
      <c r="J1233" s="124">
        <v>5.4482354073554811E-6</v>
      </c>
      <c r="K1233" s="124" t="s">
        <v>251</v>
      </c>
      <c r="L1233" s="124" t="s">
        <v>251</v>
      </c>
      <c r="M1233" s="124">
        <v>5.4482354073554811E-6</v>
      </c>
      <c r="N1233" s="124" t="s">
        <v>251</v>
      </c>
      <c r="O1233" s="124">
        <v>0</v>
      </c>
      <c r="P1233" s="124">
        <v>0</v>
      </c>
      <c r="Q1233" s="124">
        <v>0</v>
      </c>
      <c r="R1233" s="124"/>
    </row>
    <row r="1234" spans="1:18" ht="15">
      <c r="A1234" s="105">
        <v>18</v>
      </c>
      <c r="B1234" s="105"/>
      <c r="C1234" s="107" t="s">
        <v>993</v>
      </c>
      <c r="D1234" s="107" t="s">
        <v>994</v>
      </c>
      <c r="E1234" s="124">
        <v>0</v>
      </c>
      <c r="F1234" s="124" t="s">
        <v>251</v>
      </c>
      <c r="G1234" s="124">
        <v>0</v>
      </c>
      <c r="H1234" s="124" t="s">
        <v>251</v>
      </c>
      <c r="I1234" s="124">
        <v>0</v>
      </c>
      <c r="J1234" s="124">
        <v>0</v>
      </c>
      <c r="K1234" s="124" t="s">
        <v>251</v>
      </c>
      <c r="L1234" s="124" t="s">
        <v>251</v>
      </c>
      <c r="M1234" s="124">
        <v>0</v>
      </c>
      <c r="N1234" s="124" t="s">
        <v>251</v>
      </c>
      <c r="O1234" s="124">
        <v>0</v>
      </c>
      <c r="P1234" s="124">
        <v>0</v>
      </c>
      <c r="Q1234" s="124">
        <v>0</v>
      </c>
      <c r="R1234" s="124"/>
    </row>
    <row r="1235" spans="1:18" ht="15">
      <c r="A1235" s="105">
        <v>19</v>
      </c>
      <c r="B1235" s="105"/>
      <c r="C1235" s="107" t="s">
        <v>995</v>
      </c>
      <c r="D1235" s="107" t="s">
        <v>784</v>
      </c>
      <c r="E1235" s="124">
        <v>1</v>
      </c>
      <c r="F1235" s="124" t="s">
        <v>251</v>
      </c>
      <c r="G1235" s="124">
        <v>0.9330507437020743</v>
      </c>
      <c r="H1235" s="124" t="s">
        <v>251</v>
      </c>
      <c r="I1235" s="124">
        <v>6.6949256297925669E-2</v>
      </c>
      <c r="J1235" s="124">
        <v>0</v>
      </c>
      <c r="K1235" s="124" t="s">
        <v>251</v>
      </c>
      <c r="L1235" s="124" t="s">
        <v>251</v>
      </c>
      <c r="M1235" s="124">
        <v>0</v>
      </c>
      <c r="N1235" s="124" t="s">
        <v>251</v>
      </c>
      <c r="O1235" s="124">
        <v>0</v>
      </c>
      <c r="P1235" s="124">
        <v>0</v>
      </c>
      <c r="Q1235" s="124">
        <v>0</v>
      </c>
      <c r="R1235" s="124"/>
    </row>
    <row r="1236" spans="1:18" ht="15">
      <c r="A1236" s="105">
        <v>20</v>
      </c>
      <c r="B1236" s="105"/>
      <c r="C1236" s="107" t="s">
        <v>1153</v>
      </c>
      <c r="D1236" s="107" t="s">
        <v>563</v>
      </c>
      <c r="E1236" s="124">
        <v>1</v>
      </c>
      <c r="F1236" s="124" t="s">
        <v>251</v>
      </c>
      <c r="G1236" s="124">
        <v>0.9609385304841308</v>
      </c>
      <c r="H1236" s="124" t="s">
        <v>251</v>
      </c>
      <c r="I1236" s="124">
        <v>3.9030214866681977E-2</v>
      </c>
      <c r="J1236" s="124">
        <v>3.1254649187290624E-5</v>
      </c>
      <c r="K1236" s="124" t="s">
        <v>251</v>
      </c>
      <c r="L1236" s="124" t="s">
        <v>251</v>
      </c>
      <c r="M1236" s="124">
        <v>0</v>
      </c>
      <c r="N1236" s="124" t="s">
        <v>251</v>
      </c>
      <c r="O1236" s="124">
        <v>3.1254649187290624E-5</v>
      </c>
      <c r="P1236" s="124">
        <v>7.0153464105600997E-6</v>
      </c>
      <c r="Q1236" s="124">
        <v>2.4239302776730526E-5</v>
      </c>
      <c r="R1236" s="124"/>
    </row>
    <row r="1237" spans="1:18" ht="15">
      <c r="A1237" s="105">
        <v>21</v>
      </c>
      <c r="B1237" s="105"/>
      <c r="C1237" s="107" t="s">
        <v>251</v>
      </c>
      <c r="D1237" s="107" t="s">
        <v>251</v>
      </c>
      <c r="E1237" s="124" t="s">
        <v>251</v>
      </c>
      <c r="F1237" s="124" t="s">
        <v>251</v>
      </c>
      <c r="G1237" s="124" t="s">
        <v>251</v>
      </c>
      <c r="H1237" s="124" t="s">
        <v>251</v>
      </c>
      <c r="I1237" s="124" t="s">
        <v>251</v>
      </c>
      <c r="J1237" s="124" t="s">
        <v>251</v>
      </c>
      <c r="K1237" s="124" t="s">
        <v>251</v>
      </c>
      <c r="L1237" s="124" t="s">
        <v>251</v>
      </c>
      <c r="M1237" s="124" t="s">
        <v>251</v>
      </c>
      <c r="N1237" s="124" t="s">
        <v>251</v>
      </c>
      <c r="O1237" s="124" t="s">
        <v>251</v>
      </c>
      <c r="P1237" s="124" t="s">
        <v>251</v>
      </c>
      <c r="Q1237" s="124" t="s">
        <v>251</v>
      </c>
      <c r="R1237" s="124"/>
    </row>
    <row r="1238" spans="1:18" ht="15">
      <c r="A1238" s="105">
        <v>22</v>
      </c>
      <c r="B1238" s="105"/>
      <c r="C1238" s="107" t="s">
        <v>251</v>
      </c>
      <c r="D1238" s="107" t="s">
        <v>251</v>
      </c>
      <c r="E1238" s="124" t="s">
        <v>251</v>
      </c>
      <c r="F1238" s="124" t="s">
        <v>251</v>
      </c>
      <c r="G1238" s="124" t="s">
        <v>251</v>
      </c>
      <c r="H1238" s="124" t="s">
        <v>251</v>
      </c>
      <c r="I1238" s="124" t="s">
        <v>251</v>
      </c>
      <c r="J1238" s="124" t="s">
        <v>251</v>
      </c>
      <c r="K1238" s="124" t="s">
        <v>251</v>
      </c>
      <c r="L1238" s="124" t="s">
        <v>251</v>
      </c>
      <c r="M1238" s="124" t="s">
        <v>251</v>
      </c>
      <c r="N1238" s="124" t="s">
        <v>251</v>
      </c>
      <c r="O1238" s="124" t="s">
        <v>251</v>
      </c>
      <c r="P1238" s="124" t="s">
        <v>251</v>
      </c>
      <c r="Q1238" s="124" t="s">
        <v>251</v>
      </c>
      <c r="R1238" s="124"/>
    </row>
    <row r="1239" spans="1:18" ht="15">
      <c r="A1239" s="105">
        <v>23</v>
      </c>
      <c r="B1239" s="105"/>
      <c r="C1239" s="107" t="s">
        <v>251</v>
      </c>
      <c r="D1239" s="107" t="s">
        <v>251</v>
      </c>
      <c r="E1239" s="124" t="s">
        <v>251</v>
      </c>
      <c r="F1239" s="124" t="s">
        <v>251</v>
      </c>
      <c r="G1239" s="124" t="s">
        <v>251</v>
      </c>
      <c r="H1239" s="124" t="s">
        <v>251</v>
      </c>
      <c r="I1239" s="124" t="s">
        <v>251</v>
      </c>
      <c r="J1239" s="124" t="s">
        <v>251</v>
      </c>
      <c r="K1239" s="124" t="s">
        <v>251</v>
      </c>
      <c r="L1239" s="124" t="s">
        <v>251</v>
      </c>
      <c r="M1239" s="124" t="s">
        <v>251</v>
      </c>
      <c r="N1239" s="124" t="s">
        <v>251</v>
      </c>
      <c r="O1239" s="124" t="s">
        <v>251</v>
      </c>
      <c r="P1239" s="124" t="s">
        <v>251</v>
      </c>
      <c r="Q1239" s="124" t="s">
        <v>251</v>
      </c>
      <c r="R1239" s="124"/>
    </row>
    <row r="1240" spans="1:18" ht="15">
      <c r="A1240" s="105">
        <v>24</v>
      </c>
      <c r="B1240" s="105"/>
      <c r="C1240" s="107" t="s">
        <v>251</v>
      </c>
      <c r="D1240" s="107" t="s">
        <v>251</v>
      </c>
      <c r="E1240" s="124" t="s">
        <v>251</v>
      </c>
      <c r="F1240" s="124" t="s">
        <v>251</v>
      </c>
      <c r="G1240" s="124" t="s">
        <v>251</v>
      </c>
      <c r="H1240" s="124" t="s">
        <v>251</v>
      </c>
      <c r="I1240" s="124" t="s">
        <v>251</v>
      </c>
      <c r="J1240" s="124" t="s">
        <v>251</v>
      </c>
      <c r="K1240" s="124" t="s">
        <v>251</v>
      </c>
      <c r="L1240" s="124" t="s">
        <v>251</v>
      </c>
      <c r="M1240" s="124" t="s">
        <v>251</v>
      </c>
      <c r="N1240" s="124" t="s">
        <v>251</v>
      </c>
      <c r="O1240" s="124" t="s">
        <v>251</v>
      </c>
      <c r="P1240" s="124" t="s">
        <v>251</v>
      </c>
      <c r="Q1240" s="124" t="s">
        <v>251</v>
      </c>
      <c r="R1240" s="124"/>
    </row>
    <row r="1241" spans="1:18" ht="15">
      <c r="A1241" s="105">
        <v>25</v>
      </c>
      <c r="B1241" s="105"/>
      <c r="C1241" s="107" t="s">
        <v>251</v>
      </c>
      <c r="D1241" s="107" t="s">
        <v>251</v>
      </c>
      <c r="E1241" s="124" t="s">
        <v>251</v>
      </c>
      <c r="F1241" s="124" t="s">
        <v>251</v>
      </c>
      <c r="G1241" s="124" t="s">
        <v>251</v>
      </c>
      <c r="H1241" s="124" t="s">
        <v>251</v>
      </c>
      <c r="I1241" s="124" t="s">
        <v>251</v>
      </c>
      <c r="J1241" s="124" t="s">
        <v>251</v>
      </c>
      <c r="K1241" s="124" t="s">
        <v>251</v>
      </c>
      <c r="L1241" s="124" t="s">
        <v>251</v>
      </c>
      <c r="M1241" s="124" t="s">
        <v>251</v>
      </c>
      <c r="N1241" s="124" t="s">
        <v>251</v>
      </c>
      <c r="O1241" s="124" t="s">
        <v>251</v>
      </c>
      <c r="P1241" s="124" t="s">
        <v>251</v>
      </c>
      <c r="Q1241" s="124" t="s">
        <v>251</v>
      </c>
      <c r="R1241" s="124"/>
    </row>
    <row r="1242" spans="1:18" ht="15">
      <c r="A1242" s="105" t="s">
        <v>251</v>
      </c>
      <c r="B1242" s="105"/>
      <c r="C1242" s="107" t="s">
        <v>251</v>
      </c>
      <c r="D1242" s="107" t="s">
        <v>251</v>
      </c>
      <c r="E1242" s="124" t="s">
        <v>251</v>
      </c>
      <c r="F1242" s="124" t="s">
        <v>251</v>
      </c>
      <c r="G1242" s="124" t="s">
        <v>251</v>
      </c>
      <c r="H1242" s="124" t="s">
        <v>251</v>
      </c>
      <c r="I1242" s="124" t="s">
        <v>251</v>
      </c>
      <c r="J1242" s="124" t="s">
        <v>251</v>
      </c>
      <c r="K1242" s="124" t="s">
        <v>251</v>
      </c>
      <c r="L1242" s="124" t="s">
        <v>251</v>
      </c>
      <c r="M1242" s="124" t="s">
        <v>251</v>
      </c>
      <c r="N1242" s="124" t="s">
        <v>251</v>
      </c>
      <c r="O1242" s="124" t="s">
        <v>251</v>
      </c>
      <c r="P1242" s="124" t="s">
        <v>251</v>
      </c>
      <c r="Q1242" s="124" t="s">
        <v>251</v>
      </c>
      <c r="R1242" s="124"/>
    </row>
    <row r="1243" spans="1:18" ht="15">
      <c r="A1243" s="105" t="s">
        <v>251</v>
      </c>
      <c r="B1243" s="105"/>
      <c r="C1243" s="107" t="s">
        <v>997</v>
      </c>
      <c r="D1243" s="107" t="s">
        <v>251</v>
      </c>
      <c r="E1243" s="124" t="s">
        <v>251</v>
      </c>
      <c r="F1243" s="124" t="s">
        <v>251</v>
      </c>
      <c r="G1243" s="124" t="s">
        <v>251</v>
      </c>
      <c r="H1243" s="124" t="s">
        <v>251</v>
      </c>
      <c r="I1243" s="124" t="s">
        <v>251</v>
      </c>
      <c r="J1243" s="124" t="s">
        <v>251</v>
      </c>
      <c r="K1243" s="124" t="s">
        <v>251</v>
      </c>
      <c r="L1243" s="124" t="s">
        <v>251</v>
      </c>
      <c r="M1243" s="124" t="s">
        <v>251</v>
      </c>
      <c r="N1243" s="124" t="s">
        <v>251</v>
      </c>
      <c r="O1243" s="124" t="s">
        <v>251</v>
      </c>
      <c r="P1243" s="124" t="s">
        <v>251</v>
      </c>
      <c r="Q1243" s="124" t="s">
        <v>251</v>
      </c>
      <c r="R1243" s="124"/>
    </row>
    <row r="1244" spans="1:18" ht="15">
      <c r="A1244" s="105" t="s">
        <v>251</v>
      </c>
      <c r="B1244" s="105"/>
      <c r="C1244" s="107" t="s">
        <v>920</v>
      </c>
      <c r="D1244" s="107" t="s">
        <v>251</v>
      </c>
      <c r="E1244" s="124" t="s">
        <v>251</v>
      </c>
      <c r="F1244" s="124" t="s">
        <v>251</v>
      </c>
      <c r="G1244" s="124" t="s">
        <v>251</v>
      </c>
      <c r="H1244" s="124" t="s">
        <v>251</v>
      </c>
      <c r="I1244" s="124" t="s">
        <v>251</v>
      </c>
      <c r="J1244" s="124" t="s">
        <v>251</v>
      </c>
      <c r="K1244" s="124" t="s">
        <v>251</v>
      </c>
      <c r="L1244" s="124" t="s">
        <v>251</v>
      </c>
      <c r="M1244" s="124" t="s">
        <v>251</v>
      </c>
      <c r="N1244" s="124" t="s">
        <v>251</v>
      </c>
      <c r="O1244" s="124" t="s">
        <v>251</v>
      </c>
      <c r="P1244" s="124" t="s">
        <v>251</v>
      </c>
      <c r="Q1244" s="124" t="s">
        <v>251</v>
      </c>
      <c r="R1244" s="124"/>
    </row>
    <row r="1245" spans="1:18" ht="15">
      <c r="A1245" s="105">
        <v>1</v>
      </c>
      <c r="B1245" s="105"/>
      <c r="C1245" s="107" t="s">
        <v>998</v>
      </c>
      <c r="D1245" s="107" t="s">
        <v>296</v>
      </c>
      <c r="E1245" s="124">
        <v>0.99999999999999989</v>
      </c>
      <c r="F1245" s="124" t="s">
        <v>251</v>
      </c>
      <c r="G1245" s="124">
        <v>0.8901856511254731</v>
      </c>
      <c r="H1245" s="124" t="s">
        <v>251</v>
      </c>
      <c r="I1245" s="124">
        <v>4.8892510315806451E-2</v>
      </c>
      <c r="J1245" s="124">
        <v>6.0921838558720312E-2</v>
      </c>
      <c r="K1245" s="124" t="s">
        <v>251</v>
      </c>
      <c r="L1245" s="124" t="s">
        <v>251</v>
      </c>
      <c r="M1245" s="124">
        <v>7.077961440694849E-5</v>
      </c>
      <c r="N1245" s="124" t="s">
        <v>251</v>
      </c>
      <c r="O1245" s="124">
        <v>6.0851058944313363E-2</v>
      </c>
      <c r="P1245" s="124">
        <v>1.9037156149210584E-2</v>
      </c>
      <c r="Q1245" s="124">
        <v>4.1813902795102775E-2</v>
      </c>
      <c r="R1245" s="124"/>
    </row>
    <row r="1246" spans="1:18" ht="15">
      <c r="A1246" s="105">
        <v>2</v>
      </c>
      <c r="B1246" s="105"/>
      <c r="C1246" s="107" t="s">
        <v>999</v>
      </c>
      <c r="D1246" s="107" t="s">
        <v>298</v>
      </c>
      <c r="E1246" s="124">
        <v>1</v>
      </c>
      <c r="F1246" s="124" t="s">
        <v>251</v>
      </c>
      <c r="G1246" s="124">
        <v>1</v>
      </c>
      <c r="H1246" s="124" t="s">
        <v>251</v>
      </c>
      <c r="I1246" s="124">
        <v>0</v>
      </c>
      <c r="J1246" s="124">
        <v>0</v>
      </c>
      <c r="K1246" s="124" t="s">
        <v>251</v>
      </c>
      <c r="L1246" s="124" t="s">
        <v>251</v>
      </c>
      <c r="M1246" s="124">
        <v>0</v>
      </c>
      <c r="N1246" s="124" t="s">
        <v>251</v>
      </c>
      <c r="O1246" s="124">
        <v>0</v>
      </c>
      <c r="P1246" s="124">
        <v>0</v>
      </c>
      <c r="Q1246" s="124">
        <v>0</v>
      </c>
      <c r="R1246" s="124"/>
    </row>
    <row r="1247" spans="1:18" ht="15">
      <c r="A1247" s="105">
        <v>3</v>
      </c>
      <c r="B1247" s="105"/>
      <c r="C1247" s="107" t="s">
        <v>1000</v>
      </c>
      <c r="D1247" s="107" t="s">
        <v>419</v>
      </c>
      <c r="E1247" s="124">
        <v>1</v>
      </c>
      <c r="F1247" s="124" t="s">
        <v>251</v>
      </c>
      <c r="G1247" s="124">
        <v>0.90502527949833722</v>
      </c>
      <c r="H1247" s="124" t="s">
        <v>251</v>
      </c>
      <c r="I1247" s="124">
        <v>4.6069457015978796E-2</v>
      </c>
      <c r="J1247" s="124">
        <v>4.8905263485684081E-2</v>
      </c>
      <c r="K1247" s="124" t="s">
        <v>251</v>
      </c>
      <c r="L1247" s="124" t="s">
        <v>251</v>
      </c>
      <c r="M1247" s="124">
        <v>7.0465360648514454E-5</v>
      </c>
      <c r="N1247" s="124" t="s">
        <v>251</v>
      </c>
      <c r="O1247" s="124">
        <v>4.8834798125035564E-2</v>
      </c>
      <c r="P1247" s="124">
        <v>1.5561832987602119E-2</v>
      </c>
      <c r="Q1247" s="124">
        <v>3.3272965137433448E-2</v>
      </c>
      <c r="R1247" s="124"/>
    </row>
    <row r="1248" spans="1:18" ht="15">
      <c r="A1248" s="105">
        <v>4</v>
      </c>
      <c r="B1248" s="105"/>
      <c r="C1248" s="107" t="s">
        <v>1000</v>
      </c>
      <c r="D1248" s="107" t="s">
        <v>904</v>
      </c>
      <c r="E1248" s="124">
        <v>0.99999999999999978</v>
      </c>
      <c r="F1248" s="124" t="s">
        <v>251</v>
      </c>
      <c r="G1248" s="124">
        <v>0.905025279498337</v>
      </c>
      <c r="H1248" s="124" t="s">
        <v>251</v>
      </c>
      <c r="I1248" s="124">
        <v>4.6069457015978775E-2</v>
      </c>
      <c r="J1248" s="124">
        <v>4.8905263485684067E-2</v>
      </c>
      <c r="K1248" s="124" t="s">
        <v>251</v>
      </c>
      <c r="L1248" s="124" t="s">
        <v>251</v>
      </c>
      <c r="M1248" s="124">
        <v>7.0465360648514427E-5</v>
      </c>
      <c r="N1248" s="124" t="s">
        <v>251</v>
      </c>
      <c r="O1248" s="124">
        <v>4.883479812503555E-2</v>
      </c>
      <c r="P1248" s="124">
        <v>1.5561832987602114E-2</v>
      </c>
      <c r="Q1248" s="124">
        <v>3.3272965137433434E-2</v>
      </c>
      <c r="R1248" s="124"/>
    </row>
    <row r="1249" spans="1:18" ht="15">
      <c r="A1249" s="105">
        <v>5</v>
      </c>
      <c r="B1249" s="105"/>
      <c r="C1249" s="107" t="s">
        <v>1001</v>
      </c>
      <c r="D1249" s="107" t="s">
        <v>444</v>
      </c>
      <c r="E1249" s="124">
        <v>1</v>
      </c>
      <c r="F1249" s="124" t="s">
        <v>251</v>
      </c>
      <c r="G1249" s="124">
        <v>0.87673530496058727</v>
      </c>
      <c r="H1249" s="124" t="s">
        <v>251</v>
      </c>
      <c r="I1249" s="124">
        <v>4.0146788577732372E-2</v>
      </c>
      <c r="J1249" s="124">
        <v>8.3117906461680463E-2</v>
      </c>
      <c r="K1249" s="124" t="s">
        <v>251</v>
      </c>
      <c r="L1249" s="124" t="s">
        <v>251</v>
      </c>
      <c r="M1249" s="124">
        <v>2.8141981927219206E-6</v>
      </c>
      <c r="N1249" s="124" t="s">
        <v>251</v>
      </c>
      <c r="O1249" s="124">
        <v>8.3115092263487747E-2</v>
      </c>
      <c r="P1249" s="124">
        <v>2.5639596894250872E-2</v>
      </c>
      <c r="Q1249" s="124">
        <v>5.7475495369236872E-2</v>
      </c>
      <c r="R1249" s="124"/>
    </row>
    <row r="1250" spans="1:18" ht="15">
      <c r="A1250" s="105">
        <v>6</v>
      </c>
      <c r="B1250" s="105"/>
      <c r="C1250" s="107" t="s">
        <v>1003</v>
      </c>
      <c r="D1250" s="107" t="s">
        <v>449</v>
      </c>
      <c r="E1250" s="124">
        <v>1</v>
      </c>
      <c r="F1250" s="124" t="s">
        <v>251</v>
      </c>
      <c r="G1250" s="124">
        <v>0.87673530496058716</v>
      </c>
      <c r="H1250" s="124" t="s">
        <v>251</v>
      </c>
      <c r="I1250" s="124">
        <v>4.0146788577732372E-2</v>
      </c>
      <c r="J1250" s="124">
        <v>8.3117906461680463E-2</v>
      </c>
      <c r="K1250" s="124" t="s">
        <v>251</v>
      </c>
      <c r="L1250" s="124" t="s">
        <v>251</v>
      </c>
      <c r="M1250" s="124">
        <v>2.8141981927219201E-6</v>
      </c>
      <c r="N1250" s="124" t="s">
        <v>251</v>
      </c>
      <c r="O1250" s="124">
        <v>8.3115092263487747E-2</v>
      </c>
      <c r="P1250" s="124">
        <v>2.5639596894250879E-2</v>
      </c>
      <c r="Q1250" s="124">
        <v>5.7475495369236865E-2</v>
      </c>
      <c r="R1250" s="124"/>
    </row>
    <row r="1251" spans="1:18" ht="15">
      <c r="A1251" s="105">
        <v>7</v>
      </c>
      <c r="B1251" s="105"/>
      <c r="C1251" s="107" t="s">
        <v>1004</v>
      </c>
      <c r="D1251" s="107" t="s">
        <v>452</v>
      </c>
      <c r="E1251" s="124">
        <v>1</v>
      </c>
      <c r="F1251" s="124" t="s">
        <v>251</v>
      </c>
      <c r="G1251" s="124">
        <v>0.87673530496058716</v>
      </c>
      <c r="H1251" s="124" t="s">
        <v>251</v>
      </c>
      <c r="I1251" s="124">
        <v>4.0146788577732379E-2</v>
      </c>
      <c r="J1251" s="124">
        <v>8.3117906461680463E-2</v>
      </c>
      <c r="K1251" s="124" t="s">
        <v>251</v>
      </c>
      <c r="L1251" s="124" t="s">
        <v>251</v>
      </c>
      <c r="M1251" s="124">
        <v>2.8141981927219206E-6</v>
      </c>
      <c r="N1251" s="124" t="s">
        <v>251</v>
      </c>
      <c r="O1251" s="124">
        <v>8.3115092263487747E-2</v>
      </c>
      <c r="P1251" s="124">
        <v>2.5639596894250875E-2</v>
      </c>
      <c r="Q1251" s="124">
        <v>5.7475495369236872E-2</v>
      </c>
      <c r="R1251" s="124"/>
    </row>
    <row r="1252" spans="1:18" ht="15">
      <c r="A1252" s="105">
        <v>8</v>
      </c>
      <c r="B1252" s="105"/>
      <c r="C1252" s="107" t="s">
        <v>1005</v>
      </c>
      <c r="D1252" s="107" t="s">
        <v>1006</v>
      </c>
      <c r="E1252" s="124">
        <v>1</v>
      </c>
      <c r="F1252" s="124" t="s">
        <v>251</v>
      </c>
      <c r="G1252" s="124">
        <v>0.95220182510103646</v>
      </c>
      <c r="H1252" s="124" t="s">
        <v>251</v>
      </c>
      <c r="I1252" s="124">
        <v>4.4509674848094531E-2</v>
      </c>
      <c r="J1252" s="124">
        <v>3.2885000508690132E-3</v>
      </c>
      <c r="K1252" s="124" t="s">
        <v>251</v>
      </c>
      <c r="L1252" s="124" t="s">
        <v>251</v>
      </c>
      <c r="M1252" s="124">
        <v>3.056435209286244E-6</v>
      </c>
      <c r="N1252" s="124" t="s">
        <v>251</v>
      </c>
      <c r="O1252" s="124">
        <v>3.2854436156597271E-3</v>
      </c>
      <c r="P1252" s="124">
        <v>1.0135036565592649E-3</v>
      </c>
      <c r="Q1252" s="124">
        <v>2.271939959100462E-3</v>
      </c>
      <c r="R1252" s="124"/>
    </row>
    <row r="1253" spans="1:18" ht="15">
      <c r="A1253" s="105">
        <v>9</v>
      </c>
      <c r="B1253" s="105"/>
      <c r="C1253" s="107" t="s">
        <v>1007</v>
      </c>
      <c r="D1253" s="107" t="s">
        <v>484</v>
      </c>
      <c r="E1253" s="124">
        <v>1</v>
      </c>
      <c r="F1253" s="124" t="s">
        <v>251</v>
      </c>
      <c r="G1253" s="124">
        <v>0</v>
      </c>
      <c r="H1253" s="124" t="s">
        <v>251</v>
      </c>
      <c r="I1253" s="124">
        <v>1</v>
      </c>
      <c r="J1253" s="124">
        <v>0</v>
      </c>
      <c r="K1253" s="124" t="s">
        <v>251</v>
      </c>
      <c r="L1253" s="124" t="s">
        <v>251</v>
      </c>
      <c r="M1253" s="124">
        <v>0</v>
      </c>
      <c r="N1253" s="124" t="s">
        <v>251</v>
      </c>
      <c r="O1253" s="124">
        <v>0</v>
      </c>
      <c r="P1253" s="124">
        <v>0</v>
      </c>
      <c r="Q1253" s="124">
        <v>0</v>
      </c>
      <c r="R1253" s="124"/>
    </row>
    <row r="1254" spans="1:18" ht="15">
      <c r="A1254" s="105">
        <v>10</v>
      </c>
      <c r="B1254" s="105"/>
      <c r="C1254" s="107" t="s">
        <v>1008</v>
      </c>
      <c r="D1254" s="107" t="s">
        <v>1009</v>
      </c>
      <c r="E1254" s="124">
        <v>1</v>
      </c>
      <c r="F1254" s="124" t="s">
        <v>251</v>
      </c>
      <c r="G1254" s="124">
        <v>0.12278103043301647</v>
      </c>
      <c r="H1254" s="124" t="s">
        <v>251</v>
      </c>
      <c r="I1254" s="124">
        <v>0.87721857545698023</v>
      </c>
      <c r="J1254" s="124">
        <v>3.9411000331583904E-7</v>
      </c>
      <c r="K1254" s="124" t="s">
        <v>251</v>
      </c>
      <c r="L1254" s="124" t="s">
        <v>251</v>
      </c>
      <c r="M1254" s="124">
        <v>3.9411000331583904E-7</v>
      </c>
      <c r="N1254" s="124" t="s">
        <v>251</v>
      </c>
      <c r="O1254" s="124">
        <v>0</v>
      </c>
      <c r="P1254" s="124">
        <v>0</v>
      </c>
      <c r="Q1254" s="124">
        <v>0</v>
      </c>
      <c r="R1254" s="124"/>
    </row>
    <row r="1255" spans="1:18" ht="15">
      <c r="A1255" s="105">
        <v>11</v>
      </c>
      <c r="B1255" s="105"/>
      <c r="C1255" s="107" t="s">
        <v>416</v>
      </c>
      <c r="D1255" s="107" t="s">
        <v>502</v>
      </c>
      <c r="E1255" s="124">
        <v>0.99999999999999989</v>
      </c>
      <c r="F1255" s="124" t="s">
        <v>251</v>
      </c>
      <c r="G1255" s="124">
        <v>0.94769978511333941</v>
      </c>
      <c r="H1255" s="124" t="s">
        <v>251</v>
      </c>
      <c r="I1255" s="124">
        <v>4.9934801093281404E-2</v>
      </c>
      <c r="J1255" s="124">
        <v>2.3654137933791205E-3</v>
      </c>
      <c r="K1255" s="124" t="s">
        <v>251</v>
      </c>
      <c r="L1255" s="124" t="s">
        <v>251</v>
      </c>
      <c r="M1255" s="124">
        <v>3.3232082108251436E-4</v>
      </c>
      <c r="N1255" s="124" t="s">
        <v>251</v>
      </c>
      <c r="O1255" s="124">
        <v>2.0330929722966063E-3</v>
      </c>
      <c r="P1255" s="124">
        <v>1.8902397181968448E-3</v>
      </c>
      <c r="Q1255" s="124">
        <v>1.4285325409976152E-4</v>
      </c>
      <c r="R1255" s="124"/>
    </row>
    <row r="1256" spans="1:18" ht="15">
      <c r="A1256" s="105">
        <v>12</v>
      </c>
      <c r="B1256" s="105"/>
      <c r="C1256" s="107" t="s">
        <v>1010</v>
      </c>
      <c r="D1256" s="107" t="s">
        <v>466</v>
      </c>
      <c r="E1256" s="124">
        <v>1</v>
      </c>
      <c r="F1256" s="124" t="s">
        <v>251</v>
      </c>
      <c r="G1256" s="124">
        <v>0.99785930021039737</v>
      </c>
      <c r="H1256" s="124" t="s">
        <v>251</v>
      </c>
      <c r="I1256" s="124">
        <v>0</v>
      </c>
      <c r="J1256" s="124">
        <v>2.140699789602614E-3</v>
      </c>
      <c r="K1256" s="124" t="s">
        <v>251</v>
      </c>
      <c r="L1256" s="124" t="s">
        <v>251</v>
      </c>
      <c r="M1256" s="124">
        <v>0</v>
      </c>
      <c r="N1256" s="124" t="s">
        <v>251</v>
      </c>
      <c r="O1256" s="124">
        <v>2.140699789602614E-3</v>
      </c>
      <c r="P1256" s="124">
        <v>1.9902856495891516E-3</v>
      </c>
      <c r="Q1256" s="124">
        <v>1.5041414001346244E-4</v>
      </c>
      <c r="R1256" s="124"/>
    </row>
    <row r="1257" spans="1:18" ht="15">
      <c r="A1257" s="105">
        <v>13</v>
      </c>
      <c r="B1257" s="105"/>
      <c r="C1257" s="107" t="s">
        <v>1011</v>
      </c>
      <c r="D1257" s="107" t="s">
        <v>468</v>
      </c>
      <c r="E1257" s="124">
        <v>1</v>
      </c>
      <c r="F1257" s="124" t="s">
        <v>251</v>
      </c>
      <c r="G1257" s="124">
        <v>0.90848118081575679</v>
      </c>
      <c r="H1257" s="124" t="s">
        <v>251</v>
      </c>
      <c r="I1257" s="124">
        <v>4.4393100440741025E-2</v>
      </c>
      <c r="J1257" s="124">
        <v>4.7125718743502146E-2</v>
      </c>
      <c r="K1257" s="124" t="s">
        <v>251</v>
      </c>
      <c r="L1257" s="124" t="s">
        <v>251</v>
      </c>
      <c r="M1257" s="124">
        <v>6.7901295901481146E-5</v>
      </c>
      <c r="N1257" s="124" t="s">
        <v>251</v>
      </c>
      <c r="O1257" s="124">
        <v>4.7057817447600667E-2</v>
      </c>
      <c r="P1257" s="124">
        <v>1.4995575368319336E-2</v>
      </c>
      <c r="Q1257" s="124">
        <v>3.2062242079281329E-2</v>
      </c>
      <c r="R1257" s="124"/>
    </row>
    <row r="1258" spans="1:18" ht="15">
      <c r="A1258" s="105">
        <v>14</v>
      </c>
      <c r="B1258" s="105"/>
      <c r="C1258" s="107" t="s">
        <v>1012</v>
      </c>
      <c r="D1258" s="107" t="s">
        <v>470</v>
      </c>
      <c r="E1258" s="124">
        <v>1</v>
      </c>
      <c r="F1258" s="124" t="s">
        <v>251</v>
      </c>
      <c r="G1258" s="124">
        <v>1</v>
      </c>
      <c r="H1258" s="124" t="s">
        <v>251</v>
      </c>
      <c r="I1258" s="124">
        <v>0</v>
      </c>
      <c r="J1258" s="124">
        <v>0</v>
      </c>
      <c r="K1258" s="124" t="s">
        <v>251</v>
      </c>
      <c r="L1258" s="124" t="s">
        <v>251</v>
      </c>
      <c r="M1258" s="124">
        <v>0</v>
      </c>
      <c r="N1258" s="124" t="s">
        <v>251</v>
      </c>
      <c r="O1258" s="124">
        <v>0</v>
      </c>
      <c r="P1258" s="124">
        <v>0</v>
      </c>
      <c r="Q1258" s="124">
        <v>0</v>
      </c>
      <c r="R1258" s="124"/>
    </row>
    <row r="1259" spans="1:18" ht="15">
      <c r="A1259" s="105">
        <v>15</v>
      </c>
      <c r="B1259" s="105"/>
      <c r="C1259" s="107" t="s">
        <v>1013</v>
      </c>
      <c r="D1259" s="107" t="s">
        <v>472</v>
      </c>
      <c r="E1259" s="124">
        <v>1</v>
      </c>
      <c r="F1259" s="124" t="s">
        <v>251</v>
      </c>
      <c r="G1259" s="124">
        <v>0.89018565112547321</v>
      </c>
      <c r="H1259" s="124" t="s">
        <v>251</v>
      </c>
      <c r="I1259" s="124">
        <v>4.8892510315806458E-2</v>
      </c>
      <c r="J1259" s="124">
        <v>6.0921838558720312E-2</v>
      </c>
      <c r="K1259" s="124" t="s">
        <v>251</v>
      </c>
      <c r="L1259" s="124" t="s">
        <v>251</v>
      </c>
      <c r="M1259" s="124">
        <v>7.0779614406948503E-5</v>
      </c>
      <c r="N1259" s="124" t="s">
        <v>251</v>
      </c>
      <c r="O1259" s="124">
        <v>6.0851058944313363E-2</v>
      </c>
      <c r="P1259" s="124">
        <v>1.9037156149210584E-2</v>
      </c>
      <c r="Q1259" s="124">
        <v>4.1813902795102782E-2</v>
      </c>
      <c r="R1259" s="124"/>
    </row>
    <row r="1260" spans="1:18" ht="15">
      <c r="A1260" s="105">
        <v>16</v>
      </c>
      <c r="B1260" s="105"/>
      <c r="C1260" s="107" t="s">
        <v>1014</v>
      </c>
      <c r="D1260" s="107" t="s">
        <v>478</v>
      </c>
      <c r="E1260" s="124">
        <v>1</v>
      </c>
      <c r="F1260" s="124" t="s">
        <v>251</v>
      </c>
      <c r="G1260" s="124">
        <v>0.87673530496058716</v>
      </c>
      <c r="H1260" s="124" t="s">
        <v>251</v>
      </c>
      <c r="I1260" s="124">
        <v>4.0146788577732392E-2</v>
      </c>
      <c r="J1260" s="124">
        <v>8.3117906461680477E-2</v>
      </c>
      <c r="K1260" s="124" t="s">
        <v>251</v>
      </c>
      <c r="L1260" s="124" t="s">
        <v>251</v>
      </c>
      <c r="M1260" s="124">
        <v>2.814198192721921E-6</v>
      </c>
      <c r="N1260" s="124" t="s">
        <v>251</v>
      </c>
      <c r="O1260" s="124">
        <v>8.3115092263487761E-2</v>
      </c>
      <c r="P1260" s="124">
        <v>2.5639596894250872E-2</v>
      </c>
      <c r="Q1260" s="124">
        <v>5.7475495369236893E-2</v>
      </c>
      <c r="R1260" s="124"/>
    </row>
    <row r="1261" spans="1:18" ht="15">
      <c r="A1261" s="105">
        <v>17</v>
      </c>
      <c r="B1261" s="105"/>
      <c r="C1261" s="107" t="s">
        <v>336</v>
      </c>
      <c r="D1261" s="107" t="s">
        <v>498</v>
      </c>
      <c r="E1261" s="124">
        <v>1</v>
      </c>
      <c r="F1261" s="124" t="s">
        <v>251</v>
      </c>
      <c r="G1261" s="124">
        <v>0.87037751928017881</v>
      </c>
      <c r="H1261" s="124" t="s">
        <v>251</v>
      </c>
      <c r="I1261" s="124">
        <v>4.0709101336570387E-2</v>
      </c>
      <c r="J1261" s="124">
        <v>8.8913379383250876E-2</v>
      </c>
      <c r="K1261" s="124" t="s">
        <v>251</v>
      </c>
      <c r="L1261" s="124" t="s">
        <v>251</v>
      </c>
      <c r="M1261" s="124">
        <v>2.7937905863779243E-6</v>
      </c>
      <c r="N1261" s="124" t="s">
        <v>251</v>
      </c>
      <c r="O1261" s="124">
        <v>8.8910585592664501E-2</v>
      </c>
      <c r="P1261" s="124">
        <v>2.7427408333987293E-2</v>
      </c>
      <c r="Q1261" s="124">
        <v>6.1483177258677205E-2</v>
      </c>
      <c r="R1261" s="124"/>
    </row>
    <row r="1262" spans="1:18" ht="15">
      <c r="A1262" s="105">
        <v>18</v>
      </c>
      <c r="B1262" s="105"/>
      <c r="C1262" s="107" t="s">
        <v>357</v>
      </c>
      <c r="D1262" s="107" t="s">
        <v>1015</v>
      </c>
      <c r="E1262" s="124">
        <v>0.99999999999999978</v>
      </c>
      <c r="F1262" s="124" t="s">
        <v>251</v>
      </c>
      <c r="G1262" s="124">
        <v>0.90053995532777797</v>
      </c>
      <c r="H1262" s="124" t="s">
        <v>251</v>
      </c>
      <c r="I1262" s="124">
        <v>9.6376349832422659E-2</v>
      </c>
      <c r="J1262" s="124">
        <v>3.0836948397991938E-3</v>
      </c>
      <c r="K1262" s="124" t="s">
        <v>251</v>
      </c>
      <c r="L1262" s="124" t="s">
        <v>251</v>
      </c>
      <c r="M1262" s="124">
        <v>2.8906078042234645E-6</v>
      </c>
      <c r="N1262" s="124" t="s">
        <v>251</v>
      </c>
      <c r="O1262" s="124">
        <v>3.0808042319949705E-3</v>
      </c>
      <c r="P1262" s="124">
        <v>9.5037587599663357E-4</v>
      </c>
      <c r="Q1262" s="124">
        <v>2.1304283559983369E-3</v>
      </c>
      <c r="R1262" s="124"/>
    </row>
    <row r="1263" spans="1:18" ht="15">
      <c r="A1263" s="105">
        <v>19</v>
      </c>
      <c r="B1263" s="105"/>
      <c r="C1263" s="107" t="s">
        <v>1016</v>
      </c>
      <c r="D1263" s="107" t="s">
        <v>500</v>
      </c>
      <c r="E1263" s="124">
        <v>0.99999999999999989</v>
      </c>
      <c r="F1263" s="124" t="s">
        <v>251</v>
      </c>
      <c r="G1263" s="124">
        <v>0.9033229163914549</v>
      </c>
      <c r="H1263" s="124" t="s">
        <v>251</v>
      </c>
      <c r="I1263" s="124">
        <v>9.6674184067823479E-2</v>
      </c>
      <c r="J1263" s="124">
        <v>2.8995407215492553E-6</v>
      </c>
      <c r="K1263" s="124" t="s">
        <v>251</v>
      </c>
      <c r="L1263" s="124" t="s">
        <v>251</v>
      </c>
      <c r="M1263" s="124">
        <v>2.8995407215492553E-6</v>
      </c>
      <c r="N1263" s="124" t="s">
        <v>251</v>
      </c>
      <c r="O1263" s="124">
        <v>0</v>
      </c>
      <c r="P1263" s="124">
        <v>0</v>
      </c>
      <c r="Q1263" s="124">
        <v>0</v>
      </c>
      <c r="R1263" s="124"/>
    </row>
    <row r="1264" spans="1:18" ht="15">
      <c r="A1264" s="105">
        <v>20</v>
      </c>
      <c r="B1264" s="105"/>
      <c r="C1264" s="107" t="s">
        <v>1017</v>
      </c>
      <c r="D1264" s="107" t="s">
        <v>505</v>
      </c>
      <c r="E1264" s="124">
        <v>1</v>
      </c>
      <c r="F1264" s="124" t="s">
        <v>251</v>
      </c>
      <c r="G1264" s="124">
        <v>0.88826203624083977</v>
      </c>
      <c r="H1264" s="124" t="s">
        <v>251</v>
      </c>
      <c r="I1264" s="124">
        <v>5.3314874835824366E-2</v>
      </c>
      <c r="J1264" s="124">
        <v>5.8423088923336017E-2</v>
      </c>
      <c r="K1264" s="124" t="s">
        <v>251</v>
      </c>
      <c r="L1264" s="124" t="s">
        <v>251</v>
      </c>
      <c r="M1264" s="124">
        <v>5.0777732089793821E-5</v>
      </c>
      <c r="N1264" s="124" t="s">
        <v>251</v>
      </c>
      <c r="O1264" s="124">
        <v>5.8372311191246223E-2</v>
      </c>
      <c r="P1264" s="124">
        <v>1.819070751474405E-2</v>
      </c>
      <c r="Q1264" s="124">
        <v>4.018160367650217E-2</v>
      </c>
      <c r="R1264" s="124"/>
    </row>
    <row r="1265" spans="1:18" ht="15">
      <c r="A1265" s="105">
        <v>21</v>
      </c>
      <c r="B1265" s="105"/>
      <c r="C1265" s="107" t="s">
        <v>1018</v>
      </c>
      <c r="D1265" s="107" t="s">
        <v>510</v>
      </c>
      <c r="E1265" s="124">
        <v>1</v>
      </c>
      <c r="F1265" s="124" t="s">
        <v>251</v>
      </c>
      <c r="G1265" s="124">
        <v>0.89636376987090383</v>
      </c>
      <c r="H1265" s="124" t="s">
        <v>251</v>
      </c>
      <c r="I1265" s="124">
        <v>4.7713713231437929E-2</v>
      </c>
      <c r="J1265" s="124">
        <v>5.5922516897658286E-2</v>
      </c>
      <c r="K1265" s="124" t="s">
        <v>251</v>
      </c>
      <c r="L1265" s="124" t="s">
        <v>251</v>
      </c>
      <c r="M1265" s="124">
        <v>7.0640256978765376E-5</v>
      </c>
      <c r="N1265" s="124" t="s">
        <v>251</v>
      </c>
      <c r="O1265" s="124">
        <v>5.5851876640679518E-2</v>
      </c>
      <c r="P1265" s="124">
        <v>1.7591121795096962E-2</v>
      </c>
      <c r="Q1265" s="124">
        <v>3.8260754845582556E-2</v>
      </c>
      <c r="R1265" s="124"/>
    </row>
    <row r="1266" spans="1:18" ht="15">
      <c r="A1266" s="105">
        <v>22</v>
      </c>
      <c r="B1266" s="105"/>
      <c r="C1266" s="107" t="s">
        <v>1019</v>
      </c>
      <c r="D1266" s="107" t="s">
        <v>512</v>
      </c>
      <c r="E1266" s="124">
        <v>1</v>
      </c>
      <c r="F1266" s="124" t="s">
        <v>251</v>
      </c>
      <c r="G1266" s="124">
        <v>1</v>
      </c>
      <c r="H1266" s="124" t="s">
        <v>251</v>
      </c>
      <c r="I1266" s="124">
        <v>0</v>
      </c>
      <c r="J1266" s="124">
        <v>0</v>
      </c>
      <c r="K1266" s="124" t="s">
        <v>251</v>
      </c>
      <c r="L1266" s="124" t="s">
        <v>251</v>
      </c>
      <c r="M1266" s="124">
        <v>0</v>
      </c>
      <c r="N1266" s="124" t="s">
        <v>251</v>
      </c>
      <c r="O1266" s="124">
        <v>0</v>
      </c>
      <c r="P1266" s="124">
        <v>0</v>
      </c>
      <c r="Q1266" s="124">
        <v>0</v>
      </c>
      <c r="R1266" s="124"/>
    </row>
    <row r="1267" spans="1:18" ht="15">
      <c r="A1267" s="105">
        <v>23</v>
      </c>
      <c r="B1267" s="105"/>
      <c r="C1267" s="107" t="s">
        <v>1020</v>
      </c>
      <c r="D1267" s="107" t="s">
        <v>2672</v>
      </c>
      <c r="E1267" s="124">
        <v>1</v>
      </c>
      <c r="F1267" s="124" t="s">
        <v>251</v>
      </c>
      <c r="G1267" s="124">
        <v>0</v>
      </c>
      <c r="H1267" s="124" t="s">
        <v>251</v>
      </c>
      <c r="I1267" s="124">
        <v>0</v>
      </c>
      <c r="J1267" s="124">
        <v>1</v>
      </c>
      <c r="K1267" s="124" t="s">
        <v>251</v>
      </c>
      <c r="L1267" s="124" t="s">
        <v>251</v>
      </c>
      <c r="M1267" s="124">
        <v>0</v>
      </c>
      <c r="N1267" s="124" t="s">
        <v>251</v>
      </c>
      <c r="O1267" s="124">
        <v>1</v>
      </c>
      <c r="P1267" s="124">
        <v>0.30848304677289368</v>
      </c>
      <c r="Q1267" s="124">
        <v>0.69151695322710627</v>
      </c>
      <c r="R1267" s="124"/>
    </row>
    <row r="1268" spans="1:18" ht="15">
      <c r="A1268" s="105">
        <v>24</v>
      </c>
      <c r="B1268" s="105"/>
      <c r="C1268" s="107" t="s">
        <v>1021</v>
      </c>
      <c r="D1268" s="107" t="s">
        <v>1022</v>
      </c>
      <c r="E1268" s="124">
        <v>0</v>
      </c>
      <c r="F1268" s="124" t="s">
        <v>251</v>
      </c>
      <c r="G1268" s="124">
        <v>0</v>
      </c>
      <c r="H1268" s="124" t="s">
        <v>251</v>
      </c>
      <c r="I1268" s="124">
        <v>0</v>
      </c>
      <c r="J1268" s="124">
        <v>0</v>
      </c>
      <c r="K1268" s="124" t="s">
        <v>251</v>
      </c>
      <c r="L1268" s="124" t="s">
        <v>251</v>
      </c>
      <c r="M1268" s="124">
        <v>0</v>
      </c>
      <c r="N1268" s="124" t="s">
        <v>251</v>
      </c>
      <c r="O1268" s="124">
        <v>0</v>
      </c>
      <c r="P1268" s="124">
        <v>0</v>
      </c>
      <c r="Q1268" s="124">
        <v>0</v>
      </c>
      <c r="R1268" s="124"/>
    </row>
    <row r="1269" spans="1:18" ht="15">
      <c r="A1269" s="105">
        <v>25</v>
      </c>
      <c r="B1269" s="105"/>
      <c r="C1269" s="107" t="s">
        <v>1023</v>
      </c>
      <c r="D1269" s="107" t="s">
        <v>1024</v>
      </c>
      <c r="E1269" s="124">
        <v>1</v>
      </c>
      <c r="F1269" s="124" t="s">
        <v>251</v>
      </c>
      <c r="G1269" s="124">
        <v>0</v>
      </c>
      <c r="H1269" s="124" t="s">
        <v>251</v>
      </c>
      <c r="I1269" s="124">
        <v>0</v>
      </c>
      <c r="J1269" s="124">
        <v>1</v>
      </c>
      <c r="K1269" s="124" t="s">
        <v>251</v>
      </c>
      <c r="L1269" s="124" t="s">
        <v>251</v>
      </c>
      <c r="M1269" s="124">
        <v>0</v>
      </c>
      <c r="N1269" s="124" t="s">
        <v>251</v>
      </c>
      <c r="O1269" s="124">
        <v>1</v>
      </c>
      <c r="P1269" s="124">
        <v>0.30848304677289379</v>
      </c>
      <c r="Q1269" s="124">
        <v>0.69151695322710627</v>
      </c>
      <c r="R1269" s="124"/>
    </row>
    <row r="1270" spans="1:18" ht="15">
      <c r="A1270" s="105">
        <v>26</v>
      </c>
      <c r="B1270" s="105"/>
      <c r="C1270" s="107" t="s">
        <v>1025</v>
      </c>
      <c r="D1270" s="107" t="s">
        <v>1026</v>
      </c>
      <c r="E1270" s="124">
        <v>1</v>
      </c>
      <c r="F1270" s="124" t="s">
        <v>251</v>
      </c>
      <c r="G1270" s="124">
        <v>0</v>
      </c>
      <c r="H1270" s="124" t="s">
        <v>251</v>
      </c>
      <c r="I1270" s="124">
        <v>0</v>
      </c>
      <c r="J1270" s="124">
        <v>1</v>
      </c>
      <c r="K1270" s="124" t="s">
        <v>251</v>
      </c>
      <c r="L1270" s="124" t="s">
        <v>251</v>
      </c>
      <c r="M1270" s="124">
        <v>0</v>
      </c>
      <c r="N1270" s="124" t="s">
        <v>251</v>
      </c>
      <c r="O1270" s="124">
        <v>1</v>
      </c>
      <c r="P1270" s="124">
        <v>0.30848304677289379</v>
      </c>
      <c r="Q1270" s="124">
        <v>0.69151695322710616</v>
      </c>
      <c r="R1270" s="124"/>
    </row>
    <row r="1271" spans="1:18" ht="15">
      <c r="A1271" s="105">
        <v>27</v>
      </c>
      <c r="B1271" s="105"/>
      <c r="C1271" s="107" t="s">
        <v>1027</v>
      </c>
      <c r="D1271" s="107" t="s">
        <v>1028</v>
      </c>
      <c r="E1271" s="124">
        <v>1</v>
      </c>
      <c r="F1271" s="124" t="s">
        <v>251</v>
      </c>
      <c r="G1271" s="124">
        <v>0.95220182510103646</v>
      </c>
      <c r="H1271" s="124" t="s">
        <v>251</v>
      </c>
      <c r="I1271" s="124">
        <v>4.4509674848094531E-2</v>
      </c>
      <c r="J1271" s="124">
        <v>3.2885000508690132E-3</v>
      </c>
      <c r="K1271" s="124" t="s">
        <v>251</v>
      </c>
      <c r="L1271" s="124" t="s">
        <v>251</v>
      </c>
      <c r="M1271" s="124">
        <v>3.056435209286244E-6</v>
      </c>
      <c r="N1271" s="124" t="s">
        <v>251</v>
      </c>
      <c r="O1271" s="124">
        <v>3.2854436156597271E-3</v>
      </c>
      <c r="P1271" s="124">
        <v>1.0135036565592649E-3</v>
      </c>
      <c r="Q1271" s="124">
        <v>2.271939959100462E-3</v>
      </c>
      <c r="R1271" s="124"/>
    </row>
    <row r="1272" spans="1:18" ht="15">
      <c r="A1272" s="105">
        <v>28</v>
      </c>
      <c r="B1272" s="105"/>
      <c r="C1272" s="107" t="s">
        <v>1154</v>
      </c>
      <c r="D1272" s="107" t="s">
        <v>459</v>
      </c>
      <c r="E1272" s="124">
        <v>1</v>
      </c>
      <c r="F1272" s="124" t="s">
        <v>251</v>
      </c>
      <c r="G1272" s="124">
        <v>0.12278103043301647</v>
      </c>
      <c r="H1272" s="124" t="s">
        <v>251</v>
      </c>
      <c r="I1272" s="124">
        <v>0.87721857545698023</v>
      </c>
      <c r="J1272" s="124">
        <v>3.9411000331583904E-7</v>
      </c>
      <c r="K1272" s="124" t="s">
        <v>251</v>
      </c>
      <c r="L1272" s="124" t="s">
        <v>251</v>
      </c>
      <c r="M1272" s="124">
        <v>3.9411000331583904E-7</v>
      </c>
      <c r="N1272" s="124" t="s">
        <v>251</v>
      </c>
      <c r="O1272" s="124">
        <v>0</v>
      </c>
      <c r="P1272" s="124">
        <v>0</v>
      </c>
      <c r="Q1272" s="124">
        <v>0</v>
      </c>
      <c r="R1272" s="124"/>
    </row>
    <row r="1273" spans="1:18" ht="15">
      <c r="A1273" s="105">
        <v>29</v>
      </c>
      <c r="B1273" s="105"/>
      <c r="C1273" s="107" t="s">
        <v>1030</v>
      </c>
      <c r="D1273" s="107" t="s">
        <v>659</v>
      </c>
      <c r="E1273" s="124">
        <v>1</v>
      </c>
      <c r="F1273" s="124" t="s">
        <v>251</v>
      </c>
      <c r="G1273" s="124">
        <v>0.92879887398910188</v>
      </c>
      <c r="H1273" s="124" t="s">
        <v>251</v>
      </c>
      <c r="I1273" s="124">
        <v>7.1085996863514078E-2</v>
      </c>
      <c r="J1273" s="124">
        <v>1.1512914738406094E-4</v>
      </c>
      <c r="K1273" s="124" t="s">
        <v>251</v>
      </c>
      <c r="L1273" s="124" t="s">
        <v>251</v>
      </c>
      <c r="M1273" s="124">
        <v>1.1512914738406094E-4</v>
      </c>
      <c r="N1273" s="124" t="s">
        <v>251</v>
      </c>
      <c r="O1273" s="124">
        <v>0</v>
      </c>
      <c r="P1273" s="124">
        <v>0</v>
      </c>
      <c r="Q1273" s="124">
        <v>0</v>
      </c>
      <c r="R1273" s="124"/>
    </row>
    <row r="1274" spans="1:18" ht="15">
      <c r="A1274" s="105">
        <v>30</v>
      </c>
      <c r="B1274" s="105"/>
      <c r="C1274" s="107" t="s">
        <v>439</v>
      </c>
      <c r="D1274" s="107" t="s">
        <v>717</v>
      </c>
      <c r="E1274" s="124">
        <v>0.99999999999999989</v>
      </c>
      <c r="F1274" s="124" t="s">
        <v>251</v>
      </c>
      <c r="G1274" s="124">
        <v>0.89018627924558213</v>
      </c>
      <c r="H1274" s="124" t="s">
        <v>251</v>
      </c>
      <c r="I1274" s="124">
        <v>4.8892230658646667E-2</v>
      </c>
      <c r="J1274" s="124">
        <v>6.092149009577106E-2</v>
      </c>
      <c r="K1274" s="124" t="s">
        <v>251</v>
      </c>
      <c r="L1274" s="124" t="s">
        <v>251</v>
      </c>
      <c r="M1274" s="124">
        <v>7.07792095591342E-5</v>
      </c>
      <c r="N1274" s="124" t="s">
        <v>251</v>
      </c>
      <c r="O1274" s="124">
        <v>6.0850710886211926E-2</v>
      </c>
      <c r="P1274" s="124">
        <v>1.9037047259792047E-2</v>
      </c>
      <c r="Q1274" s="124">
        <v>4.1813663626419882E-2</v>
      </c>
      <c r="R1274" s="124"/>
    </row>
    <row r="1275" spans="1:18" ht="15">
      <c r="A1275" s="105">
        <v>31</v>
      </c>
      <c r="B1275" s="105"/>
      <c r="C1275" s="107" t="s">
        <v>1031</v>
      </c>
      <c r="D1275" s="107" t="s">
        <v>489</v>
      </c>
      <c r="E1275" s="124">
        <v>1</v>
      </c>
      <c r="F1275" s="124" t="s">
        <v>251</v>
      </c>
      <c r="G1275" s="124">
        <v>1</v>
      </c>
      <c r="H1275" s="124" t="s">
        <v>251</v>
      </c>
      <c r="I1275" s="124">
        <v>0</v>
      </c>
      <c r="J1275" s="124">
        <v>0</v>
      </c>
      <c r="K1275" s="124" t="s">
        <v>251</v>
      </c>
      <c r="L1275" s="124" t="s">
        <v>251</v>
      </c>
      <c r="M1275" s="124">
        <v>0</v>
      </c>
      <c r="N1275" s="124" t="s">
        <v>251</v>
      </c>
      <c r="O1275" s="124">
        <v>0</v>
      </c>
      <c r="P1275" s="124">
        <v>0</v>
      </c>
      <c r="Q1275" s="124">
        <v>0</v>
      </c>
      <c r="R1275" s="124"/>
    </row>
    <row r="1276" spans="1:18" ht="15">
      <c r="A1276" s="105">
        <v>32</v>
      </c>
      <c r="B1276" s="105"/>
      <c r="C1276" s="107" t="s">
        <v>1032</v>
      </c>
      <c r="D1276" s="107" t="s">
        <v>798</v>
      </c>
      <c r="E1276" s="124">
        <v>0.99999999999999989</v>
      </c>
      <c r="F1276" s="124" t="s">
        <v>251</v>
      </c>
      <c r="G1276" s="124">
        <v>0.93594680638771399</v>
      </c>
      <c r="H1276" s="124" t="s">
        <v>251</v>
      </c>
      <c r="I1276" s="124">
        <v>0</v>
      </c>
      <c r="J1276" s="124">
        <v>6.4053193612285897E-2</v>
      </c>
      <c r="K1276" s="124" t="s">
        <v>251</v>
      </c>
      <c r="L1276" s="124" t="s">
        <v>251</v>
      </c>
      <c r="M1276" s="124">
        <v>7.4417654697689144E-5</v>
      </c>
      <c r="N1276" s="124" t="s">
        <v>251</v>
      </c>
      <c r="O1276" s="124">
        <v>6.3978775957588205E-2</v>
      </c>
      <c r="P1276" s="124">
        <v>2.0015657398083597E-2</v>
      </c>
      <c r="Q1276" s="124">
        <v>4.3963118559504612E-2</v>
      </c>
      <c r="R1276" s="124"/>
    </row>
    <row r="1277" spans="1:18" ht="15">
      <c r="A1277" s="105">
        <v>33</v>
      </c>
      <c r="B1277" s="105"/>
      <c r="C1277" s="107" t="s">
        <v>1033</v>
      </c>
      <c r="D1277" s="107" t="s">
        <v>1034</v>
      </c>
      <c r="E1277" s="124">
        <v>1</v>
      </c>
      <c r="F1277" s="124" t="s">
        <v>251</v>
      </c>
      <c r="G1277" s="124">
        <v>0</v>
      </c>
      <c r="H1277" s="124" t="s">
        <v>251</v>
      </c>
      <c r="I1277" s="124">
        <v>1</v>
      </c>
      <c r="J1277" s="124">
        <v>0</v>
      </c>
      <c r="K1277" s="124" t="s">
        <v>251</v>
      </c>
      <c r="L1277" s="124" t="s">
        <v>251</v>
      </c>
      <c r="M1277" s="124">
        <v>0</v>
      </c>
      <c r="N1277" s="124" t="s">
        <v>251</v>
      </c>
      <c r="O1277" s="124">
        <v>0</v>
      </c>
      <c r="P1277" s="124">
        <v>0</v>
      </c>
      <c r="Q1277" s="124">
        <v>0</v>
      </c>
      <c r="R1277" s="124"/>
    </row>
    <row r="1278" spans="1:18" ht="15">
      <c r="A1278" s="105">
        <v>34</v>
      </c>
      <c r="B1278" s="105"/>
      <c r="C1278" s="107" t="s">
        <v>315</v>
      </c>
      <c r="D1278" s="107" t="s">
        <v>585</v>
      </c>
      <c r="E1278" s="124">
        <v>1</v>
      </c>
      <c r="F1278" s="124" t="s">
        <v>251</v>
      </c>
      <c r="G1278" s="124">
        <v>0.86992421365398764</v>
      </c>
      <c r="H1278" s="124" t="s">
        <v>251</v>
      </c>
      <c r="I1278" s="124">
        <v>4.0861543542869048E-2</v>
      </c>
      <c r="J1278" s="124">
        <v>8.9214242803143301E-2</v>
      </c>
      <c r="K1278" s="124" t="s">
        <v>251</v>
      </c>
      <c r="L1278" s="124" t="s">
        <v>251</v>
      </c>
      <c r="M1278" s="124">
        <v>2.792335538466931E-6</v>
      </c>
      <c r="N1278" s="124" t="s">
        <v>251</v>
      </c>
      <c r="O1278" s="124">
        <v>8.9211450467604828E-2</v>
      </c>
      <c r="P1278" s="124">
        <v>2.7520220047275834E-2</v>
      </c>
      <c r="Q1278" s="124">
        <v>6.1691230420328994E-2</v>
      </c>
      <c r="R1278" s="124"/>
    </row>
    <row r="1279" spans="1:18" ht="15">
      <c r="A1279" s="105">
        <v>35</v>
      </c>
      <c r="B1279" s="105"/>
      <c r="C1279" s="107" t="s">
        <v>1035</v>
      </c>
      <c r="D1279" s="107" t="s">
        <v>600</v>
      </c>
      <c r="E1279" s="124">
        <v>1</v>
      </c>
      <c r="F1279" s="124" t="s">
        <v>251</v>
      </c>
      <c r="G1279" s="124">
        <v>0.87460906517350545</v>
      </c>
      <c r="H1279" s="124" t="s">
        <v>251</v>
      </c>
      <c r="I1279" s="124">
        <v>4.0055526875840318E-2</v>
      </c>
      <c r="J1279" s="124">
        <v>8.5335407950654293E-2</v>
      </c>
      <c r="K1279" s="124" t="s">
        <v>251</v>
      </c>
      <c r="L1279" s="124" t="s">
        <v>251</v>
      </c>
      <c r="M1279" s="124">
        <v>2.8073732592075024E-6</v>
      </c>
      <c r="N1279" s="124" t="s">
        <v>251</v>
      </c>
      <c r="O1279" s="124">
        <v>8.5332600577395085E-2</v>
      </c>
      <c r="P1279" s="124">
        <v>2.6323660615169234E-2</v>
      </c>
      <c r="Q1279" s="124">
        <v>5.9008939962225844E-2</v>
      </c>
      <c r="R1279" s="124"/>
    </row>
    <row r="1280" spans="1:18" ht="15">
      <c r="A1280" s="105">
        <v>36</v>
      </c>
      <c r="B1280" s="105"/>
      <c r="C1280" s="107" t="s">
        <v>1036</v>
      </c>
      <c r="D1280" s="107" t="s">
        <v>615</v>
      </c>
      <c r="E1280" s="124">
        <v>0.99999999999999989</v>
      </c>
      <c r="F1280" s="124" t="s">
        <v>251</v>
      </c>
      <c r="G1280" s="124">
        <v>0.8725234037066999</v>
      </c>
      <c r="H1280" s="124" t="s">
        <v>251</v>
      </c>
      <c r="I1280" s="124">
        <v>3.9954527661971655E-2</v>
      </c>
      <c r="J1280" s="124">
        <v>8.7522068631328387E-2</v>
      </c>
      <c r="K1280" s="124" t="s">
        <v>251</v>
      </c>
      <c r="L1280" s="124" t="s">
        <v>251</v>
      </c>
      <c r="M1280" s="124">
        <v>2.8006785764482887E-6</v>
      </c>
      <c r="N1280" s="124" t="s">
        <v>251</v>
      </c>
      <c r="O1280" s="124">
        <v>8.7519267952751945E-2</v>
      </c>
      <c r="P1280" s="124">
        <v>2.6998210429398203E-2</v>
      </c>
      <c r="Q1280" s="124">
        <v>6.0521057523353745E-2</v>
      </c>
      <c r="R1280" s="124"/>
    </row>
    <row r="1281" spans="1:18" ht="15">
      <c r="A1281" s="105">
        <v>37</v>
      </c>
      <c r="B1281" s="105"/>
      <c r="C1281" s="107" t="s">
        <v>1037</v>
      </c>
      <c r="D1281" s="107" t="s">
        <v>656</v>
      </c>
      <c r="E1281" s="124">
        <v>1</v>
      </c>
      <c r="F1281" s="124" t="s">
        <v>251</v>
      </c>
      <c r="G1281" s="124">
        <v>0.94914135100727282</v>
      </c>
      <c r="H1281" s="124" t="s">
        <v>251</v>
      </c>
      <c r="I1281" s="124">
        <v>3.5469360651060149E-2</v>
      </c>
      <c r="J1281" s="124">
        <v>1.5389288341667189E-2</v>
      </c>
      <c r="K1281" s="124" t="s">
        <v>251</v>
      </c>
      <c r="L1281" s="124" t="s">
        <v>251</v>
      </c>
      <c r="M1281" s="124">
        <v>2.0148532368777739E-3</v>
      </c>
      <c r="N1281" s="124" t="s">
        <v>251</v>
      </c>
      <c r="O1281" s="124">
        <v>1.3374435104789415E-2</v>
      </c>
      <c r="P1281" s="124">
        <v>1.3374435104789415E-2</v>
      </c>
      <c r="Q1281" s="124">
        <v>0</v>
      </c>
      <c r="R1281" s="124"/>
    </row>
    <row r="1282" spans="1:18" ht="15">
      <c r="A1282" s="105">
        <v>38</v>
      </c>
      <c r="B1282" s="105"/>
      <c r="C1282" s="107" t="s">
        <v>1038</v>
      </c>
      <c r="D1282" s="107" t="s">
        <v>661</v>
      </c>
      <c r="E1282" s="124">
        <v>1</v>
      </c>
      <c r="F1282" s="124" t="s">
        <v>251</v>
      </c>
      <c r="G1282" s="124">
        <v>0.97772582224392379</v>
      </c>
      <c r="H1282" s="124" t="s">
        <v>251</v>
      </c>
      <c r="I1282" s="124">
        <v>2.2274177756076201E-2</v>
      </c>
      <c r="J1282" s="124">
        <v>0</v>
      </c>
      <c r="K1282" s="124" t="s">
        <v>251</v>
      </c>
      <c r="L1282" s="124" t="s">
        <v>251</v>
      </c>
      <c r="M1282" s="124">
        <v>0</v>
      </c>
      <c r="N1282" s="124" t="s">
        <v>251</v>
      </c>
      <c r="O1282" s="124">
        <v>0</v>
      </c>
      <c r="P1282" s="124">
        <v>0</v>
      </c>
      <c r="Q1282" s="124">
        <v>0</v>
      </c>
      <c r="R1282" s="124"/>
    </row>
    <row r="1283" spans="1:18" ht="15">
      <c r="A1283" s="105">
        <v>39</v>
      </c>
      <c r="B1283" s="105"/>
      <c r="C1283" s="107" t="s">
        <v>1039</v>
      </c>
      <c r="D1283" s="107" t="s">
        <v>663</v>
      </c>
      <c r="E1283" s="124">
        <v>0.99999999999999989</v>
      </c>
      <c r="F1283" s="124" t="s">
        <v>251</v>
      </c>
      <c r="G1283" s="124">
        <v>0.97005667195212109</v>
      </c>
      <c r="H1283" s="124" t="s">
        <v>251</v>
      </c>
      <c r="I1283" s="124">
        <v>2.9943328047878855E-2</v>
      </c>
      <c r="J1283" s="124">
        <v>0</v>
      </c>
      <c r="K1283" s="124" t="s">
        <v>251</v>
      </c>
      <c r="L1283" s="124" t="s">
        <v>251</v>
      </c>
      <c r="M1283" s="124">
        <v>0</v>
      </c>
      <c r="N1283" s="124" t="s">
        <v>251</v>
      </c>
      <c r="O1283" s="124">
        <v>0</v>
      </c>
      <c r="P1283" s="124">
        <v>0</v>
      </c>
      <c r="Q1283" s="124">
        <v>0</v>
      </c>
      <c r="R1283" s="124"/>
    </row>
    <row r="1284" spans="1:18" ht="15">
      <c r="A1284" s="105">
        <v>40</v>
      </c>
      <c r="B1284" s="105"/>
      <c r="C1284" s="107" t="s">
        <v>1040</v>
      </c>
      <c r="D1284" s="107" t="s">
        <v>665</v>
      </c>
      <c r="E1284" s="124">
        <v>1</v>
      </c>
      <c r="F1284" s="124" t="s">
        <v>251</v>
      </c>
      <c r="G1284" s="124">
        <v>0.94902878928936263</v>
      </c>
      <c r="H1284" s="124" t="s">
        <v>251</v>
      </c>
      <c r="I1284" s="124">
        <v>4.6705826480030493E-2</v>
      </c>
      <c r="J1284" s="124">
        <v>4.265384230606916E-3</v>
      </c>
      <c r="K1284" s="124" t="s">
        <v>251</v>
      </c>
      <c r="L1284" s="124" t="s">
        <v>251</v>
      </c>
      <c r="M1284" s="124">
        <v>5.1836984427517554E-5</v>
      </c>
      <c r="N1284" s="124" t="s">
        <v>251</v>
      </c>
      <c r="O1284" s="124">
        <v>4.2135472461793987E-3</v>
      </c>
      <c r="P1284" s="124">
        <v>7.7963912866675547E-4</v>
      </c>
      <c r="Q1284" s="124">
        <v>3.4339081175126436E-3</v>
      </c>
      <c r="R1284" s="124"/>
    </row>
    <row r="1285" spans="1:18" ht="15">
      <c r="A1285" s="105">
        <v>41</v>
      </c>
      <c r="B1285" s="105"/>
      <c r="C1285" s="107" t="s">
        <v>1041</v>
      </c>
      <c r="D1285" s="107" t="s">
        <v>667</v>
      </c>
      <c r="E1285" s="124">
        <v>1</v>
      </c>
      <c r="F1285" s="124" t="s">
        <v>251</v>
      </c>
      <c r="G1285" s="124">
        <v>1</v>
      </c>
      <c r="H1285" s="124" t="s">
        <v>251</v>
      </c>
      <c r="I1285" s="124">
        <v>0</v>
      </c>
      <c r="J1285" s="124">
        <v>0</v>
      </c>
      <c r="K1285" s="124" t="s">
        <v>251</v>
      </c>
      <c r="L1285" s="124" t="s">
        <v>251</v>
      </c>
      <c r="M1285" s="124">
        <v>0</v>
      </c>
      <c r="N1285" s="124" t="s">
        <v>251</v>
      </c>
      <c r="O1285" s="124">
        <v>0</v>
      </c>
      <c r="P1285" s="124">
        <v>0</v>
      </c>
      <c r="Q1285" s="124">
        <v>0</v>
      </c>
      <c r="R1285" s="124"/>
    </row>
    <row r="1286" spans="1:18" ht="15">
      <c r="A1286" s="105">
        <v>42</v>
      </c>
      <c r="B1286" s="105"/>
      <c r="C1286" s="107" t="s">
        <v>1042</v>
      </c>
      <c r="D1286" s="107" t="s">
        <v>677</v>
      </c>
      <c r="E1286" s="124">
        <v>1</v>
      </c>
      <c r="F1286" s="124" t="s">
        <v>251</v>
      </c>
      <c r="G1286" s="124">
        <v>0.9653798887405558</v>
      </c>
      <c r="H1286" s="124" t="s">
        <v>251</v>
      </c>
      <c r="I1286" s="124">
        <v>3.4610409023691932E-2</v>
      </c>
      <c r="J1286" s="124">
        <v>9.702235752314822E-6</v>
      </c>
      <c r="K1286" s="124" t="s">
        <v>251</v>
      </c>
      <c r="L1286" s="124" t="s">
        <v>251</v>
      </c>
      <c r="M1286" s="124">
        <v>9.702235752314822E-6</v>
      </c>
      <c r="N1286" s="124" t="s">
        <v>251</v>
      </c>
      <c r="O1286" s="124">
        <v>0</v>
      </c>
      <c r="P1286" s="124">
        <v>0</v>
      </c>
      <c r="Q1286" s="124">
        <v>0</v>
      </c>
      <c r="R1286" s="124"/>
    </row>
    <row r="1287" spans="1:18" ht="15">
      <c r="A1287" s="105">
        <v>43</v>
      </c>
      <c r="B1287" s="105"/>
      <c r="C1287" s="107" t="s">
        <v>1043</v>
      </c>
      <c r="D1287" s="107" t="s">
        <v>693</v>
      </c>
      <c r="E1287" s="124">
        <v>1</v>
      </c>
      <c r="F1287" s="124" t="s">
        <v>251</v>
      </c>
      <c r="G1287" s="124">
        <v>0.94943492291049292</v>
      </c>
      <c r="H1287" s="124" t="s">
        <v>251</v>
      </c>
      <c r="I1287" s="124">
        <v>4.9653258630981009E-2</v>
      </c>
      <c r="J1287" s="124">
        <v>9.1181845852609557E-4</v>
      </c>
      <c r="K1287" s="124" t="s">
        <v>251</v>
      </c>
      <c r="L1287" s="124" t="s">
        <v>251</v>
      </c>
      <c r="M1287" s="124">
        <v>6.5882836598706323E-6</v>
      </c>
      <c r="N1287" s="124" t="s">
        <v>251</v>
      </c>
      <c r="O1287" s="124">
        <v>9.0523017486622494E-4</v>
      </c>
      <c r="P1287" s="124">
        <v>4.6908579658278904E-4</v>
      </c>
      <c r="Q1287" s="124">
        <v>4.3614437828343584E-4</v>
      </c>
      <c r="R1287" s="124"/>
    </row>
    <row r="1288" spans="1:18" ht="15">
      <c r="A1288" s="105">
        <v>44</v>
      </c>
      <c r="B1288" s="105"/>
      <c r="C1288" s="107" t="s">
        <v>1044</v>
      </c>
      <c r="D1288" s="107" t="s">
        <v>703</v>
      </c>
      <c r="E1288" s="124">
        <v>1</v>
      </c>
      <c r="F1288" s="124" t="s">
        <v>251</v>
      </c>
      <c r="G1288" s="124">
        <v>0.99817548500525233</v>
      </c>
      <c r="H1288" s="124" t="s">
        <v>251</v>
      </c>
      <c r="I1288" s="124">
        <v>1.8243203867342975E-3</v>
      </c>
      <c r="J1288" s="124">
        <v>1.9460801337705411E-7</v>
      </c>
      <c r="K1288" s="124" t="s">
        <v>251</v>
      </c>
      <c r="L1288" s="124" t="s">
        <v>251</v>
      </c>
      <c r="M1288" s="124">
        <v>1.9460801337705411E-7</v>
      </c>
      <c r="N1288" s="124" t="s">
        <v>251</v>
      </c>
      <c r="O1288" s="124">
        <v>0</v>
      </c>
      <c r="P1288" s="124">
        <v>0</v>
      </c>
      <c r="Q1288" s="124">
        <v>0</v>
      </c>
      <c r="R1288" s="124"/>
    </row>
    <row r="1289" spans="1:18" ht="15">
      <c r="A1289" s="105">
        <v>45</v>
      </c>
      <c r="B1289" s="105"/>
      <c r="C1289" s="107" t="s">
        <v>1045</v>
      </c>
      <c r="D1289" s="107" t="s">
        <v>1046</v>
      </c>
      <c r="E1289" s="124">
        <v>0.99999999999999989</v>
      </c>
      <c r="F1289" s="124" t="s">
        <v>251</v>
      </c>
      <c r="G1289" s="124">
        <v>0.93091327319303385</v>
      </c>
      <c r="H1289" s="124" t="s">
        <v>251</v>
      </c>
      <c r="I1289" s="124">
        <v>6.6465641324297928E-2</v>
      </c>
      <c r="J1289" s="124">
        <v>2.6210854826682053E-3</v>
      </c>
      <c r="K1289" s="124" t="s">
        <v>251</v>
      </c>
      <c r="L1289" s="124" t="s">
        <v>251</v>
      </c>
      <c r="M1289" s="124">
        <v>2.1506034267854157E-4</v>
      </c>
      <c r="N1289" s="124" t="s">
        <v>251</v>
      </c>
      <c r="O1289" s="124">
        <v>2.4060251399896635E-3</v>
      </c>
      <c r="P1289" s="124">
        <v>1.5556957713188085E-3</v>
      </c>
      <c r="Q1289" s="124">
        <v>8.5032936867085506E-4</v>
      </c>
      <c r="R1289" s="124"/>
    </row>
    <row r="1290" spans="1:18" ht="15">
      <c r="A1290" s="105" t="s">
        <v>251</v>
      </c>
      <c r="B1290" s="105"/>
      <c r="C1290" s="107" t="s">
        <v>1047</v>
      </c>
      <c r="D1290" s="107" t="s">
        <v>251</v>
      </c>
      <c r="E1290" s="124" t="s">
        <v>251</v>
      </c>
      <c r="F1290" s="124" t="s">
        <v>251</v>
      </c>
      <c r="G1290" s="124" t="s">
        <v>251</v>
      </c>
      <c r="H1290" s="124" t="s">
        <v>251</v>
      </c>
      <c r="I1290" s="124" t="s">
        <v>251</v>
      </c>
      <c r="J1290" s="124" t="s">
        <v>251</v>
      </c>
      <c r="K1290" s="124" t="s">
        <v>251</v>
      </c>
      <c r="L1290" s="124" t="s">
        <v>251</v>
      </c>
      <c r="M1290" s="124" t="s">
        <v>251</v>
      </c>
      <c r="N1290" s="124" t="s">
        <v>251</v>
      </c>
      <c r="O1290" s="124" t="s">
        <v>251</v>
      </c>
      <c r="P1290" s="124" t="s">
        <v>251</v>
      </c>
      <c r="Q1290" s="124" t="s">
        <v>251</v>
      </c>
      <c r="R1290" s="124"/>
    </row>
    <row r="1291" spans="1:18" ht="15">
      <c r="A1291" s="105" t="s">
        <v>251</v>
      </c>
      <c r="B1291" s="105"/>
      <c r="C1291" s="107" t="s">
        <v>920</v>
      </c>
      <c r="D1291" s="107" t="s">
        <v>251</v>
      </c>
      <c r="E1291" s="124" t="s">
        <v>251</v>
      </c>
      <c r="F1291" s="124" t="s">
        <v>251</v>
      </c>
      <c r="G1291" s="124" t="s">
        <v>251</v>
      </c>
      <c r="H1291" s="124" t="s">
        <v>251</v>
      </c>
      <c r="I1291" s="124" t="s">
        <v>251</v>
      </c>
      <c r="J1291" s="124" t="s">
        <v>251</v>
      </c>
      <c r="K1291" s="124" t="s">
        <v>251</v>
      </c>
      <c r="L1291" s="124" t="s">
        <v>251</v>
      </c>
      <c r="M1291" s="124" t="s">
        <v>251</v>
      </c>
      <c r="N1291" s="124" t="s">
        <v>251</v>
      </c>
      <c r="O1291" s="124" t="s">
        <v>251</v>
      </c>
      <c r="P1291" s="124" t="s">
        <v>251</v>
      </c>
      <c r="Q1291" s="124" t="s">
        <v>251</v>
      </c>
      <c r="R1291" s="124"/>
    </row>
    <row r="1292" spans="1:18" ht="15">
      <c r="A1292" s="105">
        <v>1</v>
      </c>
      <c r="B1292" s="105"/>
      <c r="C1292" s="107" t="s">
        <v>1048</v>
      </c>
      <c r="D1292" s="107" t="s">
        <v>712</v>
      </c>
      <c r="E1292" s="124">
        <v>1</v>
      </c>
      <c r="F1292" s="124" t="s">
        <v>251</v>
      </c>
      <c r="G1292" s="124">
        <v>0.94892097697757327</v>
      </c>
      <c r="H1292" s="124" t="s">
        <v>251</v>
      </c>
      <c r="I1292" s="124">
        <v>5.1073574787019398E-2</v>
      </c>
      <c r="J1292" s="124">
        <v>5.4482354073554811E-6</v>
      </c>
      <c r="K1292" s="124" t="s">
        <v>251</v>
      </c>
      <c r="L1292" s="124" t="s">
        <v>251</v>
      </c>
      <c r="M1292" s="124">
        <v>5.4482354073554811E-6</v>
      </c>
      <c r="N1292" s="124" t="s">
        <v>251</v>
      </c>
      <c r="O1292" s="124">
        <v>0</v>
      </c>
      <c r="P1292" s="124">
        <v>0</v>
      </c>
      <c r="Q1292" s="124">
        <v>0</v>
      </c>
      <c r="R1292" s="124"/>
    </row>
    <row r="1293" spans="1:18" ht="15">
      <c r="A1293" s="105">
        <v>2</v>
      </c>
      <c r="B1293" s="105"/>
      <c r="C1293" s="107" t="s">
        <v>1049</v>
      </c>
      <c r="D1293" s="107" t="s">
        <v>587</v>
      </c>
      <c r="E1293" s="124">
        <v>1</v>
      </c>
      <c r="F1293" s="124" t="s">
        <v>251</v>
      </c>
      <c r="G1293" s="124">
        <v>0</v>
      </c>
      <c r="H1293" s="124" t="s">
        <v>251</v>
      </c>
      <c r="I1293" s="124">
        <v>0</v>
      </c>
      <c r="J1293" s="124">
        <v>1</v>
      </c>
      <c r="K1293" s="124" t="s">
        <v>251</v>
      </c>
      <c r="L1293" s="124" t="s">
        <v>251</v>
      </c>
      <c r="M1293" s="124">
        <v>0</v>
      </c>
      <c r="N1293" s="124" t="s">
        <v>251</v>
      </c>
      <c r="O1293" s="124">
        <v>1</v>
      </c>
      <c r="P1293" s="124">
        <v>0.30999462542603756</v>
      </c>
      <c r="Q1293" s="124">
        <v>0.69000537457396249</v>
      </c>
      <c r="R1293" s="124"/>
    </row>
    <row r="1294" spans="1:18" ht="15">
      <c r="A1294" s="105">
        <v>3</v>
      </c>
      <c r="B1294" s="105"/>
      <c r="C1294" s="107" t="s">
        <v>1050</v>
      </c>
      <c r="D1294" s="107" t="s">
        <v>736</v>
      </c>
      <c r="E1294" s="124">
        <v>1</v>
      </c>
      <c r="F1294" s="124" t="s">
        <v>251</v>
      </c>
      <c r="G1294" s="124">
        <v>0</v>
      </c>
      <c r="H1294" s="124" t="s">
        <v>251</v>
      </c>
      <c r="I1294" s="124">
        <v>1</v>
      </c>
      <c r="J1294" s="124">
        <v>0</v>
      </c>
      <c r="K1294" s="124" t="s">
        <v>251</v>
      </c>
      <c r="L1294" s="124" t="s">
        <v>251</v>
      </c>
      <c r="M1294" s="124">
        <v>0</v>
      </c>
      <c r="N1294" s="124" t="s">
        <v>251</v>
      </c>
      <c r="O1294" s="124">
        <v>0</v>
      </c>
      <c r="P1294" s="124">
        <v>0</v>
      </c>
      <c r="Q1294" s="124">
        <v>0</v>
      </c>
      <c r="R1294" s="124"/>
    </row>
    <row r="1295" spans="1:18" ht="15">
      <c r="A1295" s="105">
        <v>4</v>
      </c>
      <c r="B1295" s="105"/>
      <c r="C1295" s="107" t="s">
        <v>1051</v>
      </c>
      <c r="D1295" s="107" t="s">
        <v>1052</v>
      </c>
      <c r="E1295" s="124">
        <v>0.99999999999999989</v>
      </c>
      <c r="F1295" s="124" t="s">
        <v>251</v>
      </c>
      <c r="G1295" s="124">
        <v>0.89131695927342647</v>
      </c>
      <c r="H1295" s="124" t="s">
        <v>251</v>
      </c>
      <c r="I1295" s="124">
        <v>4.2138105938219143E-2</v>
      </c>
      <c r="J1295" s="124">
        <v>6.654493478835434E-2</v>
      </c>
      <c r="K1295" s="124" t="s">
        <v>251</v>
      </c>
      <c r="L1295" s="124" t="s">
        <v>251</v>
      </c>
      <c r="M1295" s="124">
        <v>2.2235825785960015E-6</v>
      </c>
      <c r="N1295" s="124" t="s">
        <v>251</v>
      </c>
      <c r="O1295" s="124">
        <v>6.6542711205775748E-2</v>
      </c>
      <c r="P1295" s="124">
        <v>2.0627882835067442E-2</v>
      </c>
      <c r="Q1295" s="124">
        <v>4.5914828370708302E-2</v>
      </c>
      <c r="R1295" s="124"/>
    </row>
    <row r="1296" spans="1:18" ht="15">
      <c r="A1296" s="105">
        <v>5</v>
      </c>
      <c r="B1296" s="105"/>
      <c r="C1296" s="107" t="s">
        <v>1053</v>
      </c>
      <c r="D1296" s="107" t="s">
        <v>727</v>
      </c>
      <c r="E1296" s="124">
        <v>1</v>
      </c>
      <c r="F1296" s="124" t="s">
        <v>251</v>
      </c>
      <c r="G1296" s="124">
        <v>0</v>
      </c>
      <c r="H1296" s="124" t="s">
        <v>251</v>
      </c>
      <c r="I1296" s="124">
        <v>1</v>
      </c>
      <c r="J1296" s="124">
        <v>0</v>
      </c>
      <c r="K1296" s="124" t="s">
        <v>251</v>
      </c>
      <c r="L1296" s="124" t="s">
        <v>251</v>
      </c>
      <c r="M1296" s="124">
        <v>0</v>
      </c>
      <c r="N1296" s="124" t="s">
        <v>251</v>
      </c>
      <c r="O1296" s="124">
        <v>0</v>
      </c>
      <c r="P1296" s="124">
        <v>0</v>
      </c>
      <c r="Q1296" s="124">
        <v>0</v>
      </c>
      <c r="R1296" s="124"/>
    </row>
    <row r="1297" spans="1:18" ht="15">
      <c r="A1297" s="105">
        <v>6</v>
      </c>
      <c r="B1297" s="105"/>
      <c r="C1297" s="107" t="s">
        <v>1054</v>
      </c>
      <c r="D1297" s="107" t="s">
        <v>1055</v>
      </c>
      <c r="E1297" s="124">
        <v>1</v>
      </c>
      <c r="F1297" s="124" t="s">
        <v>251</v>
      </c>
      <c r="G1297" s="124">
        <v>0.95485564253804078</v>
      </c>
      <c r="H1297" s="124" t="s">
        <v>251</v>
      </c>
      <c r="I1297" s="124">
        <v>4.5141975368418026E-2</v>
      </c>
      <c r="J1297" s="124">
        <v>2.3820935411713071E-6</v>
      </c>
      <c r="K1297" s="124" t="s">
        <v>251</v>
      </c>
      <c r="L1297" s="124" t="s">
        <v>251</v>
      </c>
      <c r="M1297" s="124">
        <v>2.3820935411713071E-6</v>
      </c>
      <c r="N1297" s="124" t="s">
        <v>251</v>
      </c>
      <c r="O1297" s="124">
        <v>0</v>
      </c>
      <c r="P1297" s="124">
        <v>0</v>
      </c>
      <c r="Q1297" s="124">
        <v>0</v>
      </c>
      <c r="R1297" s="124"/>
    </row>
    <row r="1298" spans="1:18" ht="15">
      <c r="A1298" s="105">
        <v>7</v>
      </c>
      <c r="B1298" s="105"/>
      <c r="C1298" s="107" t="s">
        <v>1056</v>
      </c>
      <c r="D1298" s="107" t="s">
        <v>747</v>
      </c>
      <c r="E1298" s="124">
        <v>1</v>
      </c>
      <c r="F1298" s="124" t="s">
        <v>251</v>
      </c>
      <c r="G1298" s="124">
        <v>0.99785930021039737</v>
      </c>
      <c r="H1298" s="124" t="s">
        <v>251</v>
      </c>
      <c r="I1298" s="124">
        <v>0</v>
      </c>
      <c r="J1298" s="124">
        <v>2.140699789602614E-3</v>
      </c>
      <c r="K1298" s="124" t="s">
        <v>251</v>
      </c>
      <c r="L1298" s="124" t="s">
        <v>251</v>
      </c>
      <c r="M1298" s="124">
        <v>0</v>
      </c>
      <c r="N1298" s="124" t="s">
        <v>251</v>
      </c>
      <c r="O1298" s="124">
        <v>2.140699789602614E-3</v>
      </c>
      <c r="P1298" s="124">
        <v>1.9902856495891516E-3</v>
      </c>
      <c r="Q1298" s="124">
        <v>1.5041414001346244E-4</v>
      </c>
      <c r="R1298" s="124"/>
    </row>
    <row r="1299" spans="1:18" ht="15">
      <c r="A1299" s="105">
        <v>8</v>
      </c>
      <c r="B1299" s="105"/>
      <c r="C1299" s="107" t="s">
        <v>1057</v>
      </c>
      <c r="D1299" s="107" t="s">
        <v>749</v>
      </c>
      <c r="E1299" s="124">
        <v>1</v>
      </c>
      <c r="F1299" s="124" t="s">
        <v>251</v>
      </c>
      <c r="G1299" s="124">
        <v>0</v>
      </c>
      <c r="H1299" s="124" t="s">
        <v>251</v>
      </c>
      <c r="I1299" s="124">
        <v>1</v>
      </c>
      <c r="J1299" s="124">
        <v>0</v>
      </c>
      <c r="K1299" s="124" t="s">
        <v>251</v>
      </c>
      <c r="L1299" s="124" t="s">
        <v>251</v>
      </c>
      <c r="M1299" s="124">
        <v>0</v>
      </c>
      <c r="N1299" s="124" t="s">
        <v>251</v>
      </c>
      <c r="O1299" s="124">
        <v>0</v>
      </c>
      <c r="P1299" s="124">
        <v>0</v>
      </c>
      <c r="Q1299" s="124">
        <v>0</v>
      </c>
      <c r="R1299" s="124"/>
    </row>
    <row r="1300" spans="1:18" ht="15">
      <c r="A1300" s="105">
        <v>9</v>
      </c>
      <c r="B1300" s="105"/>
      <c r="C1300" s="107" t="s">
        <v>1058</v>
      </c>
      <c r="D1300" s="107" t="s">
        <v>751</v>
      </c>
      <c r="E1300" s="124">
        <v>1</v>
      </c>
      <c r="F1300" s="124" t="s">
        <v>251</v>
      </c>
      <c r="G1300" s="124">
        <v>0</v>
      </c>
      <c r="H1300" s="124" t="s">
        <v>251</v>
      </c>
      <c r="I1300" s="124">
        <v>0</v>
      </c>
      <c r="J1300" s="124">
        <v>1</v>
      </c>
      <c r="K1300" s="124" t="s">
        <v>251</v>
      </c>
      <c r="L1300" s="124" t="s">
        <v>251</v>
      </c>
      <c r="M1300" s="124">
        <v>1</v>
      </c>
      <c r="N1300" s="124" t="s">
        <v>251</v>
      </c>
      <c r="O1300" s="124">
        <v>0</v>
      </c>
      <c r="P1300" s="124">
        <v>0</v>
      </c>
      <c r="Q1300" s="124">
        <v>0</v>
      </c>
      <c r="R1300" s="124"/>
    </row>
    <row r="1301" spans="1:18" ht="15">
      <c r="A1301" s="105">
        <v>10</v>
      </c>
      <c r="B1301" s="105"/>
      <c r="C1301" s="107" t="s">
        <v>474</v>
      </c>
      <c r="D1301" s="107" t="s">
        <v>760</v>
      </c>
      <c r="E1301" s="124">
        <v>1</v>
      </c>
      <c r="F1301" s="124" t="s">
        <v>251</v>
      </c>
      <c r="G1301" s="124">
        <v>0.89387462735585499</v>
      </c>
      <c r="H1301" s="124" t="s">
        <v>251</v>
      </c>
      <c r="I1301" s="124">
        <v>4.6330504175895099E-2</v>
      </c>
      <c r="J1301" s="124">
        <v>5.9794868468249857E-2</v>
      </c>
      <c r="K1301" s="124" t="s">
        <v>251</v>
      </c>
      <c r="L1301" s="124" t="s">
        <v>251</v>
      </c>
      <c r="M1301" s="124">
        <v>8.2936250239532106E-5</v>
      </c>
      <c r="N1301" s="124" t="s">
        <v>251</v>
      </c>
      <c r="O1301" s="124">
        <v>5.9711932218010327E-2</v>
      </c>
      <c r="P1301" s="124">
        <v>1.8683500574451475E-2</v>
      </c>
      <c r="Q1301" s="124">
        <v>4.1028431643558849E-2</v>
      </c>
      <c r="R1301" s="124"/>
    </row>
    <row r="1302" spans="1:18" ht="15">
      <c r="A1302" s="105">
        <v>11</v>
      </c>
      <c r="B1302" s="105"/>
      <c r="C1302" s="107" t="s">
        <v>547</v>
      </c>
      <c r="D1302" s="107" t="s">
        <v>782</v>
      </c>
      <c r="E1302" s="124">
        <v>0.99999999999998901</v>
      </c>
      <c r="F1302" s="124" t="s">
        <v>251</v>
      </c>
      <c r="G1302" s="124">
        <v>0.89284346803684655</v>
      </c>
      <c r="H1302" s="124" t="s">
        <v>251</v>
      </c>
      <c r="I1302" s="124">
        <v>4.5462346155056767E-2</v>
      </c>
      <c r="J1302" s="124">
        <v>6.1694185808098101E-2</v>
      </c>
      <c r="K1302" s="124" t="s">
        <v>251</v>
      </c>
      <c r="L1302" s="124" t="s">
        <v>251</v>
      </c>
      <c r="M1302" s="124">
        <v>8.012426085552355E-5</v>
      </c>
      <c r="N1302" s="124" t="s">
        <v>251</v>
      </c>
      <c r="O1302" s="124">
        <v>6.1614061547241424E-2</v>
      </c>
      <c r="P1302" s="124">
        <v>1.927420877923465E-2</v>
      </c>
      <c r="Q1302" s="124">
        <v>4.2339852768007308E-2</v>
      </c>
      <c r="R1302" s="124"/>
    </row>
    <row r="1303" spans="1:18" ht="15">
      <c r="A1303" s="105">
        <v>12</v>
      </c>
      <c r="B1303" s="105"/>
      <c r="C1303" s="107" t="s">
        <v>1059</v>
      </c>
      <c r="D1303" s="107" t="s">
        <v>786</v>
      </c>
      <c r="E1303" s="124">
        <v>1</v>
      </c>
      <c r="F1303" s="124" t="s">
        <v>251</v>
      </c>
      <c r="G1303" s="124">
        <v>0</v>
      </c>
      <c r="H1303" s="124" t="s">
        <v>251</v>
      </c>
      <c r="I1303" s="124">
        <v>0</v>
      </c>
      <c r="J1303" s="124">
        <v>1</v>
      </c>
      <c r="K1303" s="124" t="s">
        <v>251</v>
      </c>
      <c r="L1303" s="124" t="s">
        <v>251</v>
      </c>
      <c r="M1303" s="124">
        <v>0</v>
      </c>
      <c r="N1303" s="124" t="s">
        <v>251</v>
      </c>
      <c r="O1303" s="124">
        <v>1</v>
      </c>
      <c r="P1303" s="124">
        <v>0.30848304677289384</v>
      </c>
      <c r="Q1303" s="124">
        <v>0.69151695322710627</v>
      </c>
      <c r="R1303" s="124"/>
    </row>
    <row r="1304" spans="1:18" ht="15">
      <c r="A1304" s="105">
        <v>13</v>
      </c>
      <c r="B1304" s="105"/>
      <c r="C1304" s="107" t="s">
        <v>1155</v>
      </c>
      <c r="D1304" s="107" t="s">
        <v>1061</v>
      </c>
      <c r="E1304" s="124">
        <v>1</v>
      </c>
      <c r="F1304" s="124" t="s">
        <v>251</v>
      </c>
      <c r="G1304" s="124">
        <v>0.89420117070704597</v>
      </c>
      <c r="H1304" s="124" t="s">
        <v>251</v>
      </c>
      <c r="I1304" s="124">
        <v>4.4602504777337404E-2</v>
      </c>
      <c r="J1304" s="124">
        <v>6.1196324515616657E-2</v>
      </c>
      <c r="K1304" s="124" t="s">
        <v>251</v>
      </c>
      <c r="L1304" s="124" t="s">
        <v>251</v>
      </c>
      <c r="M1304" s="124">
        <v>7.1117717743776255E-5</v>
      </c>
      <c r="N1304" s="124" t="s">
        <v>251</v>
      </c>
      <c r="O1304" s="124">
        <v>6.112520679787288E-2</v>
      </c>
      <c r="P1304" s="124">
        <v>1.9122931785469727E-2</v>
      </c>
      <c r="Q1304" s="124">
        <v>4.2002275012403154E-2</v>
      </c>
      <c r="R1304" s="124"/>
    </row>
    <row r="1305" spans="1:18" ht="15">
      <c r="A1305" s="105">
        <v>14</v>
      </c>
      <c r="B1305" s="105"/>
      <c r="C1305" s="107" t="s">
        <v>1062</v>
      </c>
      <c r="D1305" s="107" t="s">
        <v>1063</v>
      </c>
      <c r="E1305" s="124">
        <v>1</v>
      </c>
      <c r="F1305" s="124" t="s">
        <v>251</v>
      </c>
      <c r="G1305" s="124">
        <v>0.87882261558682095</v>
      </c>
      <c r="H1305" s="124" t="s">
        <v>251</v>
      </c>
      <c r="I1305" s="124">
        <v>3.6622705629842725E-2</v>
      </c>
      <c r="J1305" s="124">
        <v>8.4554678783336362E-2</v>
      </c>
      <c r="K1305" s="124" t="s">
        <v>251</v>
      </c>
      <c r="L1305" s="124" t="s">
        <v>251</v>
      </c>
      <c r="M1305" s="124">
        <v>3.8099038241231243E-6</v>
      </c>
      <c r="N1305" s="124" t="s">
        <v>251</v>
      </c>
      <c r="O1305" s="124">
        <v>8.4550868879512242E-2</v>
      </c>
      <c r="P1305" s="124">
        <v>2.6919358323197289E-2</v>
      </c>
      <c r="Q1305" s="124">
        <v>5.7631510556314949E-2</v>
      </c>
      <c r="R1305" s="124"/>
    </row>
    <row r="1306" spans="1:18" ht="15">
      <c r="A1306" s="105">
        <v>15</v>
      </c>
      <c r="B1306" s="105"/>
      <c r="C1306" s="107" t="s">
        <v>1064</v>
      </c>
      <c r="D1306" s="107" t="s">
        <v>1065</v>
      </c>
      <c r="E1306" s="124">
        <v>0.99999999999999989</v>
      </c>
      <c r="F1306" s="124" t="s">
        <v>251</v>
      </c>
      <c r="G1306" s="124">
        <v>0.87411163416006887</v>
      </c>
      <c r="H1306" s="124" t="s">
        <v>251</v>
      </c>
      <c r="I1306" s="124">
        <v>3.8095201702240851E-2</v>
      </c>
      <c r="J1306" s="124">
        <v>8.7793164137690144E-2</v>
      </c>
      <c r="K1306" s="124" t="s">
        <v>251</v>
      </c>
      <c r="L1306" s="124" t="s">
        <v>251</v>
      </c>
      <c r="M1306" s="124">
        <v>2.5608445008714599E-6</v>
      </c>
      <c r="N1306" s="124" t="s">
        <v>251</v>
      </c>
      <c r="O1306" s="124">
        <v>8.7790603293189273E-2</v>
      </c>
      <c r="P1306" s="124">
        <v>2.7902643073568476E-2</v>
      </c>
      <c r="Q1306" s="124">
        <v>5.9887960219620798E-2</v>
      </c>
      <c r="R1306" s="124"/>
    </row>
    <row r="1307" spans="1:18" ht="15">
      <c r="A1307" s="105">
        <v>16</v>
      </c>
      <c r="B1307" s="105"/>
      <c r="C1307" s="107" t="s">
        <v>1066</v>
      </c>
      <c r="D1307" s="107" t="s">
        <v>1067</v>
      </c>
      <c r="E1307" s="124">
        <v>1</v>
      </c>
      <c r="F1307" s="124" t="s">
        <v>251</v>
      </c>
      <c r="G1307" s="124">
        <v>0.87460906517350545</v>
      </c>
      <c r="H1307" s="124" t="s">
        <v>251</v>
      </c>
      <c r="I1307" s="124">
        <v>4.0055526875840318E-2</v>
      </c>
      <c r="J1307" s="124">
        <v>8.5335407950654293E-2</v>
      </c>
      <c r="K1307" s="124" t="s">
        <v>251</v>
      </c>
      <c r="L1307" s="124" t="s">
        <v>251</v>
      </c>
      <c r="M1307" s="124">
        <v>2.8073732592075024E-6</v>
      </c>
      <c r="N1307" s="124" t="s">
        <v>251</v>
      </c>
      <c r="O1307" s="124">
        <v>8.5332600577395085E-2</v>
      </c>
      <c r="P1307" s="124">
        <v>2.6323660615169234E-2</v>
      </c>
      <c r="Q1307" s="124">
        <v>5.9008939962225844E-2</v>
      </c>
      <c r="R1307" s="124"/>
    </row>
    <row r="1308" spans="1:18" ht="15">
      <c r="A1308" s="105">
        <v>17</v>
      </c>
      <c r="B1308" s="105"/>
      <c r="C1308" s="107" t="s">
        <v>1068</v>
      </c>
      <c r="D1308" s="107" t="s">
        <v>1069</v>
      </c>
      <c r="E1308" s="124">
        <v>1</v>
      </c>
      <c r="F1308" s="124" t="s">
        <v>251</v>
      </c>
      <c r="G1308" s="124">
        <v>0.87593086891790428</v>
      </c>
      <c r="H1308" s="124" t="s">
        <v>251</v>
      </c>
      <c r="I1308" s="124">
        <v>3.9086753965089573E-2</v>
      </c>
      <c r="J1308" s="124">
        <v>8.4982377117006264E-2</v>
      </c>
      <c r="K1308" s="124" t="s">
        <v>251</v>
      </c>
      <c r="L1308" s="124" t="s">
        <v>251</v>
      </c>
      <c r="M1308" s="124">
        <v>3.0720091782457107E-6</v>
      </c>
      <c r="N1308" s="124" t="s">
        <v>251</v>
      </c>
      <c r="O1308" s="124">
        <v>8.4979305107828015E-2</v>
      </c>
      <c r="P1308" s="124">
        <v>2.6439745282163248E-2</v>
      </c>
      <c r="Q1308" s="124">
        <v>5.8539559825664764E-2</v>
      </c>
      <c r="R1308" s="124"/>
    </row>
    <row r="1309" spans="1:18" ht="15">
      <c r="A1309" s="105">
        <v>18</v>
      </c>
      <c r="B1309" s="105"/>
      <c r="C1309" s="107" t="s">
        <v>1070</v>
      </c>
      <c r="D1309" s="107" t="s">
        <v>1071</v>
      </c>
      <c r="E1309" s="124">
        <v>1</v>
      </c>
      <c r="F1309" s="124" t="s">
        <v>251</v>
      </c>
      <c r="G1309" s="124">
        <v>0.88022816974134177</v>
      </c>
      <c r="H1309" s="124" t="s">
        <v>251</v>
      </c>
      <c r="I1309" s="124">
        <v>3.5929598090690192E-2</v>
      </c>
      <c r="J1309" s="124">
        <v>8.3842232167968073E-2</v>
      </c>
      <c r="K1309" s="124" t="s">
        <v>251</v>
      </c>
      <c r="L1309" s="124" t="s">
        <v>251</v>
      </c>
      <c r="M1309" s="124">
        <v>3.9342774699208884E-6</v>
      </c>
      <c r="N1309" s="124" t="s">
        <v>251</v>
      </c>
      <c r="O1309" s="124">
        <v>8.3838297890498154E-2</v>
      </c>
      <c r="P1309" s="124">
        <v>2.6821141389975392E-2</v>
      </c>
      <c r="Q1309" s="124">
        <v>5.7017156500522755E-2</v>
      </c>
      <c r="R1309" s="124"/>
    </row>
    <row r="1310" spans="1:18" ht="15">
      <c r="A1310" s="105">
        <v>19</v>
      </c>
      <c r="B1310" s="105"/>
      <c r="C1310" s="107" t="s">
        <v>1072</v>
      </c>
      <c r="D1310" s="107" t="s">
        <v>1073</v>
      </c>
      <c r="E1310" s="124">
        <v>1</v>
      </c>
      <c r="F1310" s="124" t="s">
        <v>251</v>
      </c>
      <c r="G1310" s="124">
        <v>0.87666371220342432</v>
      </c>
      <c r="H1310" s="124" t="s">
        <v>251</v>
      </c>
      <c r="I1310" s="124">
        <v>3.8654109230937594E-2</v>
      </c>
      <c r="J1310" s="124">
        <v>8.4682178565638075E-2</v>
      </c>
      <c r="K1310" s="124" t="s">
        <v>251</v>
      </c>
      <c r="L1310" s="124" t="s">
        <v>251</v>
      </c>
      <c r="M1310" s="124">
        <v>2.1874350476080995E-6</v>
      </c>
      <c r="N1310" s="124" t="s">
        <v>251</v>
      </c>
      <c r="O1310" s="124">
        <v>8.4679991130590465E-2</v>
      </c>
      <c r="P1310" s="124">
        <v>2.6122341664666166E-2</v>
      </c>
      <c r="Q1310" s="124">
        <v>5.8557649465924295E-2</v>
      </c>
      <c r="R1310" s="124"/>
    </row>
    <row r="1311" spans="1:18" ht="15">
      <c r="A1311" s="105">
        <v>20</v>
      </c>
      <c r="B1311" s="105"/>
      <c r="C1311" s="107" t="s">
        <v>1156</v>
      </c>
      <c r="D1311" s="107" t="s">
        <v>1075</v>
      </c>
      <c r="E1311" s="124">
        <v>0</v>
      </c>
      <c r="F1311" s="124" t="s">
        <v>251</v>
      </c>
      <c r="G1311" s="124">
        <v>0</v>
      </c>
      <c r="H1311" s="124" t="s">
        <v>251</v>
      </c>
      <c r="I1311" s="124">
        <v>0</v>
      </c>
      <c r="J1311" s="124">
        <v>0</v>
      </c>
      <c r="K1311" s="124" t="s">
        <v>251</v>
      </c>
      <c r="L1311" s="124" t="s">
        <v>251</v>
      </c>
      <c r="M1311" s="124">
        <v>0</v>
      </c>
      <c r="N1311" s="124" t="s">
        <v>251</v>
      </c>
      <c r="O1311" s="124">
        <v>0</v>
      </c>
      <c r="P1311" s="124">
        <v>0</v>
      </c>
      <c r="Q1311" s="124">
        <v>0</v>
      </c>
      <c r="R1311" s="124"/>
    </row>
    <row r="1312" spans="1:18" ht="15">
      <c r="A1312" s="105">
        <v>21</v>
      </c>
      <c r="B1312" s="105"/>
      <c r="C1312" s="107" t="s">
        <v>1157</v>
      </c>
      <c r="D1312" s="107" t="s">
        <v>1077</v>
      </c>
      <c r="E1312" s="124">
        <v>0</v>
      </c>
      <c r="F1312" s="124" t="s">
        <v>251</v>
      </c>
      <c r="G1312" s="124">
        <v>0</v>
      </c>
      <c r="H1312" s="124" t="s">
        <v>251</v>
      </c>
      <c r="I1312" s="124">
        <v>0</v>
      </c>
      <c r="J1312" s="124">
        <v>0</v>
      </c>
      <c r="K1312" s="124" t="s">
        <v>251</v>
      </c>
      <c r="L1312" s="124" t="s">
        <v>251</v>
      </c>
      <c r="M1312" s="124">
        <v>0</v>
      </c>
      <c r="N1312" s="124" t="s">
        <v>251</v>
      </c>
      <c r="O1312" s="124">
        <v>0</v>
      </c>
      <c r="P1312" s="124">
        <v>0</v>
      </c>
      <c r="Q1312" s="124">
        <v>0</v>
      </c>
      <c r="R1312" s="124"/>
    </row>
    <row r="1313" spans="1:18" ht="15">
      <c r="A1313" s="105">
        <v>22</v>
      </c>
      <c r="B1313" s="105"/>
      <c r="C1313" s="107" t="s">
        <v>1158</v>
      </c>
      <c r="D1313" s="107" t="s">
        <v>1079</v>
      </c>
      <c r="E1313" s="124">
        <v>0</v>
      </c>
      <c r="F1313" s="124" t="s">
        <v>251</v>
      </c>
      <c r="G1313" s="124">
        <v>0</v>
      </c>
      <c r="H1313" s="124" t="s">
        <v>251</v>
      </c>
      <c r="I1313" s="124">
        <v>0</v>
      </c>
      <c r="J1313" s="124">
        <v>0</v>
      </c>
      <c r="K1313" s="124" t="s">
        <v>251</v>
      </c>
      <c r="L1313" s="124" t="s">
        <v>251</v>
      </c>
      <c r="M1313" s="124">
        <v>0</v>
      </c>
      <c r="N1313" s="124" t="s">
        <v>251</v>
      </c>
      <c r="O1313" s="124">
        <v>0</v>
      </c>
      <c r="P1313" s="124">
        <v>0</v>
      </c>
      <c r="Q1313" s="124">
        <v>0</v>
      </c>
      <c r="R1313" s="124"/>
    </row>
    <row r="1314" spans="1:18" ht="15">
      <c r="A1314" s="105">
        <v>23</v>
      </c>
      <c r="B1314" s="105"/>
      <c r="C1314" s="107" t="s">
        <v>1159</v>
      </c>
      <c r="D1314" s="107" t="s">
        <v>1081</v>
      </c>
      <c r="E1314" s="124">
        <v>0</v>
      </c>
      <c r="F1314" s="124" t="s">
        <v>251</v>
      </c>
      <c r="G1314" s="124">
        <v>0</v>
      </c>
      <c r="H1314" s="124" t="s">
        <v>251</v>
      </c>
      <c r="I1314" s="124">
        <v>0</v>
      </c>
      <c r="J1314" s="124">
        <v>0</v>
      </c>
      <c r="K1314" s="124" t="s">
        <v>251</v>
      </c>
      <c r="L1314" s="124" t="s">
        <v>251</v>
      </c>
      <c r="M1314" s="124">
        <v>0</v>
      </c>
      <c r="N1314" s="124" t="s">
        <v>251</v>
      </c>
      <c r="O1314" s="124">
        <v>0</v>
      </c>
      <c r="P1314" s="124">
        <v>0</v>
      </c>
      <c r="Q1314" s="124">
        <v>0</v>
      </c>
      <c r="R1314" s="124"/>
    </row>
    <row r="1315" spans="1:18" ht="15">
      <c r="A1315" s="105">
        <v>24</v>
      </c>
      <c r="B1315" s="105"/>
      <c r="C1315" s="107" t="s">
        <v>1160</v>
      </c>
      <c r="D1315" s="107" t="s">
        <v>1083</v>
      </c>
      <c r="E1315" s="124">
        <v>0</v>
      </c>
      <c r="F1315" s="124" t="s">
        <v>251</v>
      </c>
      <c r="G1315" s="124">
        <v>0</v>
      </c>
      <c r="H1315" s="124" t="s">
        <v>251</v>
      </c>
      <c r="I1315" s="124">
        <v>0</v>
      </c>
      <c r="J1315" s="124">
        <v>0</v>
      </c>
      <c r="K1315" s="124" t="s">
        <v>251</v>
      </c>
      <c r="L1315" s="124" t="s">
        <v>251</v>
      </c>
      <c r="M1315" s="124">
        <v>0</v>
      </c>
      <c r="N1315" s="124" t="s">
        <v>251</v>
      </c>
      <c r="O1315" s="124">
        <v>0</v>
      </c>
      <c r="P1315" s="124">
        <v>0</v>
      </c>
      <c r="Q1315" s="124">
        <v>0</v>
      </c>
      <c r="R1315" s="124"/>
    </row>
    <row r="1316" spans="1:18" ht="15">
      <c r="A1316" s="105">
        <v>25</v>
      </c>
      <c r="B1316" s="105"/>
      <c r="C1316" s="107" t="s">
        <v>1161</v>
      </c>
      <c r="D1316" s="107" t="s">
        <v>1085</v>
      </c>
      <c r="E1316" s="124">
        <v>0</v>
      </c>
      <c r="F1316" s="124" t="s">
        <v>251</v>
      </c>
      <c r="G1316" s="124">
        <v>0</v>
      </c>
      <c r="H1316" s="124" t="s">
        <v>251</v>
      </c>
      <c r="I1316" s="124">
        <v>0</v>
      </c>
      <c r="J1316" s="124">
        <v>0</v>
      </c>
      <c r="K1316" s="124" t="s">
        <v>251</v>
      </c>
      <c r="L1316" s="124" t="s">
        <v>251</v>
      </c>
      <c r="M1316" s="124">
        <v>0</v>
      </c>
      <c r="N1316" s="124" t="s">
        <v>251</v>
      </c>
      <c r="O1316" s="124">
        <v>0</v>
      </c>
      <c r="P1316" s="124">
        <v>0</v>
      </c>
      <c r="Q1316" s="124">
        <v>0</v>
      </c>
      <c r="R1316" s="124"/>
    </row>
    <row r="1317" spans="1:18" ht="15">
      <c r="A1317" s="105">
        <v>26</v>
      </c>
      <c r="B1317" s="105"/>
      <c r="C1317" s="107" t="s">
        <v>1086</v>
      </c>
      <c r="D1317" s="107" t="s">
        <v>1087</v>
      </c>
      <c r="E1317" s="124">
        <v>1</v>
      </c>
      <c r="F1317" s="124" t="s">
        <v>251</v>
      </c>
      <c r="G1317" s="124">
        <v>0.90332291639145501</v>
      </c>
      <c r="H1317" s="124" t="s">
        <v>251</v>
      </c>
      <c r="I1317" s="124">
        <v>9.6674184067823479E-2</v>
      </c>
      <c r="J1317" s="124">
        <v>2.8995407215492561E-6</v>
      </c>
      <c r="K1317" s="124" t="s">
        <v>251</v>
      </c>
      <c r="L1317" s="124" t="s">
        <v>251</v>
      </c>
      <c r="M1317" s="124">
        <v>2.8995407215492561E-6</v>
      </c>
      <c r="N1317" s="124" t="s">
        <v>251</v>
      </c>
      <c r="O1317" s="124">
        <v>0</v>
      </c>
      <c r="P1317" s="124">
        <v>0</v>
      </c>
      <c r="Q1317" s="124">
        <v>0</v>
      </c>
      <c r="R1317" s="124"/>
    </row>
    <row r="1318" spans="1:18" ht="15">
      <c r="A1318" s="105">
        <v>27</v>
      </c>
      <c r="B1318" s="105"/>
      <c r="C1318" s="107" t="s">
        <v>1088</v>
      </c>
      <c r="D1318" s="107" t="s">
        <v>1089</v>
      </c>
      <c r="E1318" s="124">
        <v>0.99999999999999989</v>
      </c>
      <c r="F1318" s="124" t="s">
        <v>251</v>
      </c>
      <c r="G1318" s="124">
        <v>0.90380558701310887</v>
      </c>
      <c r="H1318" s="124" t="s">
        <v>251</v>
      </c>
      <c r="I1318" s="124">
        <v>9.6191527922434933E-2</v>
      </c>
      <c r="J1318" s="124">
        <v>2.885064456126852E-6</v>
      </c>
      <c r="K1318" s="124" t="s">
        <v>251</v>
      </c>
      <c r="L1318" s="124" t="s">
        <v>251</v>
      </c>
      <c r="M1318" s="124">
        <v>2.885064456126852E-6</v>
      </c>
      <c r="N1318" s="124" t="s">
        <v>251</v>
      </c>
      <c r="O1318" s="124">
        <v>0</v>
      </c>
      <c r="P1318" s="124">
        <v>0</v>
      </c>
      <c r="Q1318" s="124">
        <v>0</v>
      </c>
      <c r="R1318" s="124"/>
    </row>
    <row r="1319" spans="1:18" ht="15">
      <c r="A1319" s="105">
        <v>28</v>
      </c>
      <c r="B1319" s="105"/>
      <c r="C1319" s="107" t="s">
        <v>1090</v>
      </c>
      <c r="D1319" s="107" t="s">
        <v>635</v>
      </c>
      <c r="E1319" s="124">
        <v>1</v>
      </c>
      <c r="F1319" s="124" t="s">
        <v>251</v>
      </c>
      <c r="G1319" s="124">
        <v>0.90332291639145501</v>
      </c>
      <c r="H1319" s="124" t="s">
        <v>251</v>
      </c>
      <c r="I1319" s="124">
        <v>9.6674184067823479E-2</v>
      </c>
      <c r="J1319" s="124">
        <v>2.8995407215492557E-6</v>
      </c>
      <c r="K1319" s="124" t="s">
        <v>251</v>
      </c>
      <c r="L1319" s="124" t="s">
        <v>251</v>
      </c>
      <c r="M1319" s="124">
        <v>2.8995407215492557E-6</v>
      </c>
      <c r="N1319" s="124" t="s">
        <v>251</v>
      </c>
      <c r="O1319" s="124">
        <v>0</v>
      </c>
      <c r="P1319" s="124">
        <v>0</v>
      </c>
      <c r="Q1319" s="124">
        <v>0</v>
      </c>
      <c r="R1319" s="124"/>
    </row>
    <row r="1320" spans="1:18" ht="15">
      <c r="A1320" s="105">
        <v>29</v>
      </c>
      <c r="B1320" s="105"/>
      <c r="C1320" s="107" t="s">
        <v>1091</v>
      </c>
      <c r="D1320" s="107" t="s">
        <v>1092</v>
      </c>
      <c r="E1320" s="124">
        <v>0</v>
      </c>
      <c r="F1320" s="124" t="s">
        <v>251</v>
      </c>
      <c r="G1320" s="124">
        <v>0</v>
      </c>
      <c r="H1320" s="124" t="s">
        <v>251</v>
      </c>
      <c r="I1320" s="124">
        <v>0</v>
      </c>
      <c r="J1320" s="124">
        <v>0</v>
      </c>
      <c r="K1320" s="124" t="s">
        <v>251</v>
      </c>
      <c r="L1320" s="124" t="s">
        <v>251</v>
      </c>
      <c r="M1320" s="124">
        <v>0</v>
      </c>
      <c r="N1320" s="124" t="s">
        <v>251</v>
      </c>
      <c r="O1320" s="124">
        <v>0</v>
      </c>
      <c r="P1320" s="124">
        <v>0</v>
      </c>
      <c r="Q1320" s="124">
        <v>0</v>
      </c>
      <c r="R1320" s="124"/>
    </row>
    <row r="1321" spans="1:18" ht="15">
      <c r="A1321" s="105">
        <v>30</v>
      </c>
      <c r="B1321" s="105"/>
      <c r="C1321" s="107" t="s">
        <v>1093</v>
      </c>
      <c r="D1321" s="107" t="s">
        <v>1094</v>
      </c>
      <c r="E1321" s="124">
        <v>1</v>
      </c>
      <c r="F1321" s="124" t="s">
        <v>251</v>
      </c>
      <c r="G1321" s="124">
        <v>0.94340138539177598</v>
      </c>
      <c r="H1321" s="124" t="s">
        <v>251</v>
      </c>
      <c r="I1321" s="124">
        <v>5.3102034753036556E-2</v>
      </c>
      <c r="J1321" s="124">
        <v>3.4965798551875277E-3</v>
      </c>
      <c r="K1321" s="124" t="s">
        <v>251</v>
      </c>
      <c r="L1321" s="124" t="s">
        <v>251</v>
      </c>
      <c r="M1321" s="124">
        <v>3.1162852902982601E-4</v>
      </c>
      <c r="N1321" s="124" t="s">
        <v>251</v>
      </c>
      <c r="O1321" s="124">
        <v>3.1849513261577016E-3</v>
      </c>
      <c r="P1321" s="124">
        <v>1.9276575097438445E-3</v>
      </c>
      <c r="Q1321" s="124">
        <v>1.2572938164138571E-3</v>
      </c>
      <c r="R1321" s="124"/>
    </row>
    <row r="1322" spans="1:18" ht="15">
      <c r="A1322" s="105">
        <v>31</v>
      </c>
      <c r="B1322" s="105"/>
      <c r="C1322" s="107" t="s">
        <v>1095</v>
      </c>
      <c r="D1322" s="107" t="s">
        <v>1096</v>
      </c>
      <c r="E1322" s="124">
        <v>1.0000000000000002</v>
      </c>
      <c r="F1322" s="124" t="s">
        <v>251</v>
      </c>
      <c r="G1322" s="124">
        <v>0.942458522423258</v>
      </c>
      <c r="H1322" s="124" t="s">
        <v>251</v>
      </c>
      <c r="I1322" s="124">
        <v>5.6867174008182732E-2</v>
      </c>
      <c r="J1322" s="124">
        <v>6.7430356855937743E-4</v>
      </c>
      <c r="K1322" s="124" t="s">
        <v>251</v>
      </c>
      <c r="L1322" s="124" t="s">
        <v>251</v>
      </c>
      <c r="M1322" s="124">
        <v>1.654475469490219E-4</v>
      </c>
      <c r="N1322" s="124" t="s">
        <v>251</v>
      </c>
      <c r="O1322" s="124">
        <v>5.0885602161035556E-4</v>
      </c>
      <c r="P1322" s="124">
        <v>5.0771422283416544E-4</v>
      </c>
      <c r="Q1322" s="124">
        <v>1.1417987761901718E-6</v>
      </c>
      <c r="R1322" s="124"/>
    </row>
    <row r="1323" spans="1:18" ht="15">
      <c r="A1323" s="105">
        <v>32</v>
      </c>
      <c r="B1323" s="105"/>
      <c r="C1323" s="107" t="s">
        <v>1097</v>
      </c>
      <c r="D1323" s="107" t="s">
        <v>1098</v>
      </c>
      <c r="E1323" s="124">
        <v>0.99999999999999989</v>
      </c>
      <c r="F1323" s="124" t="s">
        <v>251</v>
      </c>
      <c r="G1323" s="124">
        <v>0.94769978511333941</v>
      </c>
      <c r="H1323" s="124" t="s">
        <v>251</v>
      </c>
      <c r="I1323" s="124">
        <v>4.9934801093281418E-2</v>
      </c>
      <c r="J1323" s="124">
        <v>2.3654137933791209E-3</v>
      </c>
      <c r="K1323" s="124" t="s">
        <v>251</v>
      </c>
      <c r="L1323" s="124" t="s">
        <v>251</v>
      </c>
      <c r="M1323" s="124">
        <v>3.3232082108251431E-4</v>
      </c>
      <c r="N1323" s="124" t="s">
        <v>251</v>
      </c>
      <c r="O1323" s="124">
        <v>2.0330929722966067E-3</v>
      </c>
      <c r="P1323" s="124">
        <v>1.890239718196845E-3</v>
      </c>
      <c r="Q1323" s="124">
        <v>1.4285325409976152E-4</v>
      </c>
      <c r="R1323" s="124"/>
    </row>
    <row r="1324" spans="1:18" ht="15">
      <c r="A1324" s="105">
        <v>33</v>
      </c>
      <c r="B1324" s="105"/>
      <c r="C1324" s="107" t="s">
        <v>1099</v>
      </c>
      <c r="D1324" s="107" t="s">
        <v>1100</v>
      </c>
      <c r="E1324" s="124">
        <v>0</v>
      </c>
      <c r="F1324" s="124" t="s">
        <v>251</v>
      </c>
      <c r="G1324" s="124">
        <v>0</v>
      </c>
      <c r="H1324" s="124" t="s">
        <v>251</v>
      </c>
      <c r="I1324" s="124">
        <v>0</v>
      </c>
      <c r="J1324" s="124">
        <v>0</v>
      </c>
      <c r="K1324" s="124" t="s">
        <v>251</v>
      </c>
      <c r="L1324" s="124" t="s">
        <v>251</v>
      </c>
      <c r="M1324" s="124">
        <v>0</v>
      </c>
      <c r="N1324" s="124" t="s">
        <v>251</v>
      </c>
      <c r="O1324" s="124">
        <v>0</v>
      </c>
      <c r="P1324" s="124">
        <v>0</v>
      </c>
      <c r="Q1324" s="124">
        <v>0</v>
      </c>
      <c r="R1324" s="124"/>
    </row>
    <row r="1325" spans="1:18" ht="15">
      <c r="A1325" s="105">
        <v>34</v>
      </c>
      <c r="B1325" s="105"/>
      <c r="C1325" s="107" t="s">
        <v>1101</v>
      </c>
      <c r="D1325" s="107" t="s">
        <v>885</v>
      </c>
      <c r="E1325" s="124">
        <v>1</v>
      </c>
      <c r="F1325" s="124" t="s">
        <v>251</v>
      </c>
      <c r="G1325" s="124">
        <v>0.94943492291049292</v>
      </c>
      <c r="H1325" s="124" t="s">
        <v>251</v>
      </c>
      <c r="I1325" s="124">
        <v>4.9653258630981002E-2</v>
      </c>
      <c r="J1325" s="124">
        <v>9.1181845852609535E-4</v>
      </c>
      <c r="K1325" s="124" t="s">
        <v>251</v>
      </c>
      <c r="L1325" s="124" t="s">
        <v>251</v>
      </c>
      <c r="M1325" s="124">
        <v>6.5882836598706315E-6</v>
      </c>
      <c r="N1325" s="124" t="s">
        <v>251</v>
      </c>
      <c r="O1325" s="124">
        <v>9.0523017486622472E-4</v>
      </c>
      <c r="P1325" s="124">
        <v>4.6908579658278899E-4</v>
      </c>
      <c r="Q1325" s="124">
        <v>4.3614437828343573E-4</v>
      </c>
      <c r="R1325" s="124"/>
    </row>
    <row r="1326" spans="1:18" ht="15">
      <c r="A1326" s="105">
        <v>35</v>
      </c>
      <c r="B1326" s="105"/>
      <c r="C1326" s="107" t="s">
        <v>1102</v>
      </c>
      <c r="D1326" s="107" t="s">
        <v>685</v>
      </c>
      <c r="E1326" s="124">
        <v>1</v>
      </c>
      <c r="F1326" s="124" t="s">
        <v>251</v>
      </c>
      <c r="G1326" s="124">
        <v>0.94943492291049292</v>
      </c>
      <c r="H1326" s="124" t="s">
        <v>251</v>
      </c>
      <c r="I1326" s="124">
        <v>4.9653258630981002E-2</v>
      </c>
      <c r="J1326" s="124">
        <v>9.1181845852609535E-4</v>
      </c>
      <c r="K1326" s="124" t="s">
        <v>251</v>
      </c>
      <c r="L1326" s="124" t="s">
        <v>251</v>
      </c>
      <c r="M1326" s="124">
        <v>6.5882836598706315E-6</v>
      </c>
      <c r="N1326" s="124" t="s">
        <v>251</v>
      </c>
      <c r="O1326" s="124">
        <v>9.0523017486622472E-4</v>
      </c>
      <c r="P1326" s="124">
        <v>4.6908579658278893E-4</v>
      </c>
      <c r="Q1326" s="124">
        <v>4.3614437828343573E-4</v>
      </c>
      <c r="R1326" s="124"/>
    </row>
    <row r="1327" spans="1:18" ht="15">
      <c r="A1327" s="105">
        <v>36</v>
      </c>
      <c r="B1327" s="105"/>
      <c r="C1327" s="107" t="s">
        <v>1162</v>
      </c>
      <c r="D1327" s="107" t="s">
        <v>893</v>
      </c>
      <c r="E1327" s="124">
        <v>1</v>
      </c>
      <c r="F1327" s="124" t="s">
        <v>251</v>
      </c>
      <c r="G1327" s="124">
        <v>0.99546919494031882</v>
      </c>
      <c r="H1327" s="124" t="s">
        <v>251</v>
      </c>
      <c r="I1327" s="124">
        <v>4.5303217909909979E-3</v>
      </c>
      <c r="J1327" s="124">
        <v>4.8326869014589446E-7</v>
      </c>
      <c r="K1327" s="124" t="s">
        <v>251</v>
      </c>
      <c r="L1327" s="124" t="s">
        <v>251</v>
      </c>
      <c r="M1327" s="124">
        <v>4.8326869014589446E-7</v>
      </c>
      <c r="N1327" s="124" t="s">
        <v>251</v>
      </c>
      <c r="O1327" s="124">
        <v>0</v>
      </c>
      <c r="P1327" s="124">
        <v>0</v>
      </c>
      <c r="Q1327" s="124">
        <v>0</v>
      </c>
      <c r="R1327" s="124"/>
    </row>
    <row r="1328" spans="1:18" ht="15">
      <c r="A1328" s="105">
        <v>37</v>
      </c>
      <c r="B1328" s="105"/>
      <c r="C1328" s="107" t="s">
        <v>1104</v>
      </c>
      <c r="D1328" s="107" t="s">
        <v>1105</v>
      </c>
      <c r="E1328" s="124">
        <v>1</v>
      </c>
      <c r="F1328" s="124" t="s">
        <v>251</v>
      </c>
      <c r="G1328" s="124">
        <v>0.94943492291049292</v>
      </c>
      <c r="H1328" s="124" t="s">
        <v>251</v>
      </c>
      <c r="I1328" s="124">
        <v>4.9653258630981002E-2</v>
      </c>
      <c r="J1328" s="124">
        <v>9.1181845852609535E-4</v>
      </c>
      <c r="K1328" s="124" t="s">
        <v>251</v>
      </c>
      <c r="L1328" s="124" t="s">
        <v>251</v>
      </c>
      <c r="M1328" s="124">
        <v>6.5882836598706315E-6</v>
      </c>
      <c r="N1328" s="124" t="s">
        <v>251</v>
      </c>
      <c r="O1328" s="124">
        <v>9.0523017486622472E-4</v>
      </c>
      <c r="P1328" s="124">
        <v>4.6908579658278893E-4</v>
      </c>
      <c r="Q1328" s="124">
        <v>4.3614437828343573E-4</v>
      </c>
      <c r="R1328" s="124"/>
    </row>
    <row r="1329" spans="1:18" ht="15">
      <c r="A1329" s="105">
        <v>38</v>
      </c>
      <c r="B1329" s="105"/>
      <c r="C1329" s="107" t="s">
        <v>1106</v>
      </c>
      <c r="D1329" s="107" t="s">
        <v>1107</v>
      </c>
      <c r="E1329" s="124">
        <v>1</v>
      </c>
      <c r="F1329" s="124" t="s">
        <v>251</v>
      </c>
      <c r="G1329" s="124">
        <v>0.94892097697757327</v>
      </c>
      <c r="H1329" s="124" t="s">
        <v>251</v>
      </c>
      <c r="I1329" s="124">
        <v>5.1073574787019398E-2</v>
      </c>
      <c r="J1329" s="124">
        <v>5.4482354073554811E-6</v>
      </c>
      <c r="K1329" s="124" t="s">
        <v>251</v>
      </c>
      <c r="L1329" s="124" t="s">
        <v>251</v>
      </c>
      <c r="M1329" s="124">
        <v>5.4482354073554811E-6</v>
      </c>
      <c r="N1329" s="124" t="s">
        <v>251</v>
      </c>
      <c r="O1329" s="124">
        <v>0</v>
      </c>
      <c r="P1329" s="124">
        <v>0</v>
      </c>
      <c r="Q1329" s="124">
        <v>0</v>
      </c>
      <c r="R1329" s="124"/>
    </row>
    <row r="1330" spans="1:18" ht="15">
      <c r="A1330" s="105">
        <v>39</v>
      </c>
      <c r="B1330" s="105"/>
      <c r="C1330" s="107" t="s">
        <v>1108</v>
      </c>
      <c r="D1330" s="107" t="s">
        <v>697</v>
      </c>
      <c r="E1330" s="124">
        <v>1</v>
      </c>
      <c r="F1330" s="124" t="s">
        <v>251</v>
      </c>
      <c r="G1330" s="124">
        <v>0.99546919494031882</v>
      </c>
      <c r="H1330" s="124" t="s">
        <v>251</v>
      </c>
      <c r="I1330" s="124">
        <v>4.5303217909909979E-3</v>
      </c>
      <c r="J1330" s="124">
        <v>4.8326869014589446E-7</v>
      </c>
      <c r="K1330" s="124" t="s">
        <v>251</v>
      </c>
      <c r="L1330" s="124" t="s">
        <v>251</v>
      </c>
      <c r="M1330" s="124">
        <v>4.8326869014589446E-7</v>
      </c>
      <c r="N1330" s="124" t="s">
        <v>251</v>
      </c>
      <c r="O1330" s="124">
        <v>0</v>
      </c>
      <c r="P1330" s="124">
        <v>0</v>
      </c>
      <c r="Q1330" s="124">
        <v>0</v>
      </c>
      <c r="R1330" s="124"/>
    </row>
    <row r="1331" spans="1:18" ht="15">
      <c r="A1331" s="105">
        <v>40</v>
      </c>
      <c r="B1331" s="105"/>
      <c r="C1331" s="107" t="s">
        <v>1109</v>
      </c>
      <c r="D1331" s="107" t="s">
        <v>1110</v>
      </c>
      <c r="E1331" s="124">
        <v>1</v>
      </c>
      <c r="F1331" s="124" t="s">
        <v>251</v>
      </c>
      <c r="G1331" s="124">
        <v>0.90045582207399799</v>
      </c>
      <c r="H1331" s="124" t="s">
        <v>251</v>
      </c>
      <c r="I1331" s="124">
        <v>4.8731652250770134E-2</v>
      </c>
      <c r="J1331" s="124">
        <v>5.0812525675231916E-2</v>
      </c>
      <c r="K1331" s="124" t="s">
        <v>251</v>
      </c>
      <c r="L1331" s="124" t="s">
        <v>251</v>
      </c>
      <c r="M1331" s="124">
        <v>6.9805512933093271E-5</v>
      </c>
      <c r="N1331" s="124" t="s">
        <v>251</v>
      </c>
      <c r="O1331" s="124">
        <v>5.0742720162298825E-2</v>
      </c>
      <c r="P1331" s="124">
        <v>1.6152284621247411E-2</v>
      </c>
      <c r="Q1331" s="124">
        <v>3.4590435541051415E-2</v>
      </c>
      <c r="R1331" s="124"/>
    </row>
    <row r="1332" spans="1:18" ht="15">
      <c r="A1332" s="105" t="s">
        <v>251</v>
      </c>
      <c r="B1332" s="105"/>
      <c r="C1332" s="107" t="s">
        <v>251</v>
      </c>
      <c r="D1332" s="107" t="s">
        <v>251</v>
      </c>
      <c r="E1332" s="124" t="s">
        <v>251</v>
      </c>
      <c r="F1332" s="124" t="s">
        <v>251</v>
      </c>
      <c r="G1332" s="124" t="s">
        <v>251</v>
      </c>
      <c r="H1332" s="124" t="s">
        <v>251</v>
      </c>
      <c r="I1332" s="124" t="s">
        <v>251</v>
      </c>
      <c r="J1332" s="124" t="s">
        <v>251</v>
      </c>
      <c r="K1332" s="124" t="s">
        <v>251</v>
      </c>
      <c r="L1332" s="124" t="s">
        <v>251</v>
      </c>
      <c r="M1332" s="124" t="s">
        <v>251</v>
      </c>
      <c r="N1332" s="124" t="s">
        <v>251</v>
      </c>
      <c r="O1332" s="124" t="s">
        <v>251</v>
      </c>
      <c r="P1332" s="124" t="s">
        <v>251</v>
      </c>
      <c r="Q1332" s="124" t="s">
        <v>251</v>
      </c>
      <c r="R1332" s="124"/>
    </row>
    <row r="1333" spans="1:18" ht="15">
      <c r="A1333" s="105" t="s">
        <v>251</v>
      </c>
      <c r="B1333" s="105"/>
      <c r="C1333" s="107" t="s">
        <v>1047</v>
      </c>
      <c r="D1333" s="107" t="s">
        <v>251</v>
      </c>
      <c r="E1333" s="124" t="s">
        <v>251</v>
      </c>
      <c r="F1333" s="124" t="s">
        <v>251</v>
      </c>
      <c r="G1333" s="124" t="s">
        <v>251</v>
      </c>
      <c r="H1333" s="124" t="s">
        <v>251</v>
      </c>
      <c r="I1333" s="124" t="s">
        <v>251</v>
      </c>
      <c r="J1333" s="124" t="s">
        <v>251</v>
      </c>
      <c r="K1333" s="124" t="s">
        <v>251</v>
      </c>
      <c r="L1333" s="124" t="s">
        <v>251</v>
      </c>
      <c r="M1333" s="124" t="s">
        <v>251</v>
      </c>
      <c r="N1333" s="124" t="s">
        <v>251</v>
      </c>
      <c r="O1333" s="124" t="s">
        <v>251</v>
      </c>
      <c r="P1333" s="124" t="s">
        <v>251</v>
      </c>
      <c r="Q1333" s="124" t="s">
        <v>251</v>
      </c>
      <c r="R1333" s="124"/>
    </row>
    <row r="1334" spans="1:18" ht="15">
      <c r="A1334" s="105" t="s">
        <v>251</v>
      </c>
      <c r="B1334" s="105"/>
      <c r="C1334" s="107" t="s">
        <v>920</v>
      </c>
      <c r="D1334" s="107" t="s">
        <v>251</v>
      </c>
      <c r="E1334" s="124" t="s">
        <v>251</v>
      </c>
      <c r="F1334" s="124" t="s">
        <v>251</v>
      </c>
      <c r="G1334" s="124" t="s">
        <v>251</v>
      </c>
      <c r="H1334" s="124" t="s">
        <v>251</v>
      </c>
      <c r="I1334" s="124" t="s">
        <v>251</v>
      </c>
      <c r="J1334" s="124" t="s">
        <v>251</v>
      </c>
      <c r="K1334" s="124" t="s">
        <v>251</v>
      </c>
      <c r="L1334" s="124" t="s">
        <v>251</v>
      </c>
      <c r="M1334" s="124" t="s">
        <v>251</v>
      </c>
      <c r="N1334" s="124" t="s">
        <v>251</v>
      </c>
      <c r="O1334" s="124" t="s">
        <v>251</v>
      </c>
      <c r="P1334" s="124" t="s">
        <v>251</v>
      </c>
      <c r="Q1334" s="124" t="s">
        <v>251</v>
      </c>
      <c r="R1334" s="124"/>
    </row>
    <row r="1335" spans="1:18" ht="15">
      <c r="A1335" s="105">
        <v>1</v>
      </c>
      <c r="B1335" s="105"/>
      <c r="C1335" s="107" t="s">
        <v>1111</v>
      </c>
      <c r="D1335" s="107" t="s">
        <v>1112</v>
      </c>
      <c r="E1335" s="124">
        <v>1</v>
      </c>
      <c r="F1335" s="124" t="s">
        <v>251</v>
      </c>
      <c r="G1335" s="124">
        <v>0.90728598452884845</v>
      </c>
      <c r="H1335" s="124" t="s">
        <v>251</v>
      </c>
      <c r="I1335" s="124">
        <v>4.5132437036486762E-2</v>
      </c>
      <c r="J1335" s="124">
        <v>4.7581578434664908E-2</v>
      </c>
      <c r="K1335" s="124" t="s">
        <v>251</v>
      </c>
      <c r="L1335" s="124" t="s">
        <v>251</v>
      </c>
      <c r="M1335" s="124">
        <v>6.9032145345654063E-5</v>
      </c>
      <c r="N1335" s="124" t="s">
        <v>251</v>
      </c>
      <c r="O1335" s="124">
        <v>4.7512546289319252E-2</v>
      </c>
      <c r="P1335" s="124">
        <v>1.5140480529416798E-2</v>
      </c>
      <c r="Q1335" s="124">
        <v>3.2372065759902452E-2</v>
      </c>
      <c r="R1335" s="124"/>
    </row>
    <row r="1336" spans="1:18" ht="15">
      <c r="A1336" s="105">
        <v>2</v>
      </c>
      <c r="B1336" s="105"/>
      <c r="C1336" s="107" t="s">
        <v>1113</v>
      </c>
      <c r="D1336" s="107" t="s">
        <v>1114</v>
      </c>
      <c r="E1336" s="124">
        <v>1</v>
      </c>
      <c r="F1336" s="124" t="s">
        <v>251</v>
      </c>
      <c r="G1336" s="124">
        <v>0.99808470725497245</v>
      </c>
      <c r="H1336" s="124" t="s">
        <v>251</v>
      </c>
      <c r="I1336" s="124">
        <v>1.9150884543984109E-3</v>
      </c>
      <c r="J1336" s="124">
        <v>2.0429062913612462E-7</v>
      </c>
      <c r="K1336" s="124" t="s">
        <v>251</v>
      </c>
      <c r="L1336" s="124" t="s">
        <v>251</v>
      </c>
      <c r="M1336" s="124">
        <v>2.0429062913612462E-7</v>
      </c>
      <c r="N1336" s="124" t="s">
        <v>251</v>
      </c>
      <c r="O1336" s="124">
        <v>0</v>
      </c>
      <c r="P1336" s="124">
        <v>0</v>
      </c>
      <c r="Q1336" s="124">
        <v>0</v>
      </c>
      <c r="R1336" s="124"/>
    </row>
    <row r="1337" spans="1:18" ht="15">
      <c r="A1337" s="105">
        <v>3</v>
      </c>
      <c r="B1337" s="105"/>
      <c r="C1337" s="107" t="s">
        <v>1115</v>
      </c>
      <c r="D1337" s="107" t="s">
        <v>525</v>
      </c>
      <c r="E1337" s="124">
        <v>0.99999999999999989</v>
      </c>
      <c r="F1337" s="124" t="s">
        <v>251</v>
      </c>
      <c r="G1337" s="124">
        <v>0.99751026161562262</v>
      </c>
      <c r="H1337" s="124" t="s">
        <v>251</v>
      </c>
      <c r="I1337" s="124">
        <v>0</v>
      </c>
      <c r="J1337" s="124">
        <v>2.4897383843773095E-3</v>
      </c>
      <c r="K1337" s="124" t="s">
        <v>251</v>
      </c>
      <c r="L1337" s="124" t="s">
        <v>251</v>
      </c>
      <c r="M1337" s="124">
        <v>3.4978738455521835E-4</v>
      </c>
      <c r="N1337" s="124" t="s">
        <v>251</v>
      </c>
      <c r="O1337" s="124">
        <v>2.1399509998220913E-3</v>
      </c>
      <c r="P1337" s="124">
        <v>1.9895894727772643E-3</v>
      </c>
      <c r="Q1337" s="124">
        <v>1.50361527044827E-4</v>
      </c>
      <c r="R1337" s="124"/>
    </row>
    <row r="1338" spans="1:18" ht="15">
      <c r="A1338" s="105">
        <v>4</v>
      </c>
      <c r="B1338" s="105"/>
      <c r="C1338" s="107" t="s">
        <v>1116</v>
      </c>
      <c r="D1338" s="107" t="s">
        <v>429</v>
      </c>
      <c r="E1338" s="124">
        <v>1</v>
      </c>
      <c r="F1338" s="124" t="s">
        <v>251</v>
      </c>
      <c r="G1338" s="124">
        <v>1</v>
      </c>
      <c r="H1338" s="124" t="s">
        <v>251</v>
      </c>
      <c r="I1338" s="124">
        <v>0</v>
      </c>
      <c r="J1338" s="124">
        <v>0</v>
      </c>
      <c r="K1338" s="124" t="s">
        <v>251</v>
      </c>
      <c r="L1338" s="124" t="s">
        <v>251</v>
      </c>
      <c r="M1338" s="124">
        <v>0</v>
      </c>
      <c r="N1338" s="124" t="s">
        <v>251</v>
      </c>
      <c r="O1338" s="124">
        <v>0</v>
      </c>
      <c r="P1338" s="124">
        <v>0</v>
      </c>
      <c r="Q1338" s="124">
        <v>0</v>
      </c>
      <c r="R1338" s="124"/>
    </row>
    <row r="1339" spans="1:18" ht="15">
      <c r="A1339" s="105">
        <v>5</v>
      </c>
      <c r="B1339" s="105"/>
      <c r="C1339" s="107" t="s">
        <v>1117</v>
      </c>
      <c r="D1339" s="107" t="s">
        <v>1118</v>
      </c>
      <c r="E1339" s="124">
        <v>1</v>
      </c>
      <c r="F1339" s="124" t="s">
        <v>251</v>
      </c>
      <c r="G1339" s="124">
        <v>0</v>
      </c>
      <c r="H1339" s="124" t="s">
        <v>251</v>
      </c>
      <c r="I1339" s="124">
        <v>1</v>
      </c>
      <c r="J1339" s="124">
        <v>0</v>
      </c>
      <c r="K1339" s="124" t="s">
        <v>251</v>
      </c>
      <c r="L1339" s="124" t="s">
        <v>251</v>
      </c>
      <c r="M1339" s="124">
        <v>0</v>
      </c>
      <c r="N1339" s="124" t="s">
        <v>251</v>
      </c>
      <c r="O1339" s="124">
        <v>0</v>
      </c>
      <c r="P1339" s="124">
        <v>0</v>
      </c>
      <c r="Q1339" s="124">
        <v>0</v>
      </c>
      <c r="R1339" s="124"/>
    </row>
    <row r="1340" spans="1:18" ht="15">
      <c r="A1340" s="105">
        <v>6</v>
      </c>
      <c r="B1340" s="105"/>
      <c r="C1340" s="107" t="s">
        <v>1119</v>
      </c>
      <c r="D1340" s="107" t="s">
        <v>1120</v>
      </c>
      <c r="E1340" s="124">
        <v>0</v>
      </c>
      <c r="F1340" s="124" t="s">
        <v>251</v>
      </c>
      <c r="G1340" s="124">
        <v>0</v>
      </c>
      <c r="H1340" s="124" t="s">
        <v>251</v>
      </c>
      <c r="I1340" s="124">
        <v>0</v>
      </c>
      <c r="J1340" s="124">
        <v>0</v>
      </c>
      <c r="K1340" s="124" t="s">
        <v>251</v>
      </c>
      <c r="L1340" s="124" t="s">
        <v>251</v>
      </c>
      <c r="M1340" s="124">
        <v>0</v>
      </c>
      <c r="N1340" s="124" t="s">
        <v>251</v>
      </c>
      <c r="O1340" s="124">
        <v>0</v>
      </c>
      <c r="P1340" s="124">
        <v>0</v>
      </c>
      <c r="Q1340" s="124">
        <v>0</v>
      </c>
      <c r="R1340" s="124"/>
    </row>
    <row r="1341" spans="1:18" ht="15">
      <c r="A1341" s="105">
        <v>7</v>
      </c>
      <c r="B1341" s="105"/>
      <c r="C1341" s="107" t="s">
        <v>1121</v>
      </c>
      <c r="D1341" s="107" t="s">
        <v>1122</v>
      </c>
      <c r="E1341" s="124">
        <v>1</v>
      </c>
      <c r="F1341" s="124" t="s">
        <v>251</v>
      </c>
      <c r="G1341" s="124">
        <v>0</v>
      </c>
      <c r="H1341" s="124" t="s">
        <v>251</v>
      </c>
      <c r="I1341" s="124">
        <v>0</v>
      </c>
      <c r="J1341" s="124">
        <v>1</v>
      </c>
      <c r="K1341" s="124" t="s">
        <v>251</v>
      </c>
      <c r="L1341" s="124" t="s">
        <v>251</v>
      </c>
      <c r="M1341" s="124">
        <v>0</v>
      </c>
      <c r="N1341" s="124" t="s">
        <v>251</v>
      </c>
      <c r="O1341" s="124">
        <v>1</v>
      </c>
      <c r="P1341" s="124">
        <v>0.31809387583124704</v>
      </c>
      <c r="Q1341" s="124">
        <v>0.68190612416875296</v>
      </c>
      <c r="R1341" s="124"/>
    </row>
    <row r="1342" spans="1:18" ht="15">
      <c r="A1342" s="105">
        <v>8</v>
      </c>
      <c r="B1342" s="105"/>
      <c r="C1342" s="107" t="s">
        <v>1123</v>
      </c>
      <c r="D1342" s="107" t="s">
        <v>1124</v>
      </c>
      <c r="E1342" s="124">
        <v>1</v>
      </c>
      <c r="F1342" s="124" t="s">
        <v>251</v>
      </c>
      <c r="G1342" s="124">
        <v>0.93594637741143083</v>
      </c>
      <c r="H1342" s="124" t="s">
        <v>251</v>
      </c>
      <c r="I1342" s="124">
        <v>0</v>
      </c>
      <c r="J1342" s="124">
        <v>6.4053622588569184E-2</v>
      </c>
      <c r="K1342" s="124" t="s">
        <v>251</v>
      </c>
      <c r="L1342" s="124" t="s">
        <v>251</v>
      </c>
      <c r="M1342" s="124">
        <v>7.4177197499475926E-5</v>
      </c>
      <c r="N1342" s="124" t="s">
        <v>251</v>
      </c>
      <c r="O1342" s="124">
        <v>6.3979445391069714E-2</v>
      </c>
      <c r="P1342" s="124">
        <v>2.0016017974532497E-2</v>
      </c>
      <c r="Q1342" s="124">
        <v>4.3963427416537214E-2</v>
      </c>
      <c r="R1342" s="124"/>
    </row>
    <row r="1343" spans="1:18" ht="15">
      <c r="A1343" s="105">
        <v>9</v>
      </c>
      <c r="B1343" s="105"/>
      <c r="C1343" s="107" t="s">
        <v>1125</v>
      </c>
      <c r="D1343" s="107" t="s">
        <v>728</v>
      </c>
      <c r="E1343" s="124">
        <v>1</v>
      </c>
      <c r="F1343" s="124" t="s">
        <v>251</v>
      </c>
      <c r="G1343" s="124">
        <v>0.95149115812303164</v>
      </c>
      <c r="H1343" s="124" t="s">
        <v>251</v>
      </c>
      <c r="I1343" s="124">
        <v>4.8434758678266764E-2</v>
      </c>
      <c r="J1343" s="124">
        <v>7.4083198701562123E-5</v>
      </c>
      <c r="K1343" s="124" t="s">
        <v>251</v>
      </c>
      <c r="L1343" s="124" t="s">
        <v>251</v>
      </c>
      <c r="M1343" s="124">
        <v>7.4083198701562123E-5</v>
      </c>
      <c r="N1343" s="124" t="s">
        <v>251</v>
      </c>
      <c r="O1343" s="124">
        <v>0</v>
      </c>
      <c r="P1343" s="124">
        <v>0</v>
      </c>
      <c r="Q1343" s="124">
        <v>0</v>
      </c>
      <c r="R1343" s="124"/>
    </row>
    <row r="1344" spans="1:18" ht="15">
      <c r="A1344" s="105">
        <v>10</v>
      </c>
      <c r="B1344" s="105"/>
      <c r="C1344" s="107" t="s">
        <v>1126</v>
      </c>
      <c r="D1344" s="107" t="s">
        <v>457</v>
      </c>
      <c r="E1344" s="124">
        <v>1</v>
      </c>
      <c r="F1344" s="124" t="s">
        <v>251</v>
      </c>
      <c r="G1344" s="124">
        <v>0.95534054258746137</v>
      </c>
      <c r="H1344" s="124" t="s">
        <v>251</v>
      </c>
      <c r="I1344" s="124">
        <v>4.4656390902483502E-2</v>
      </c>
      <c r="J1344" s="124">
        <v>3.066510055169357E-6</v>
      </c>
      <c r="K1344" s="124" t="s">
        <v>251</v>
      </c>
      <c r="L1344" s="124" t="s">
        <v>251</v>
      </c>
      <c r="M1344" s="124">
        <v>3.066510055169357E-6</v>
      </c>
      <c r="N1344" s="124" t="s">
        <v>251</v>
      </c>
      <c r="O1344" s="124">
        <v>0</v>
      </c>
      <c r="P1344" s="124">
        <v>0</v>
      </c>
      <c r="Q1344" s="124">
        <v>0</v>
      </c>
      <c r="R1344" s="124"/>
    </row>
    <row r="1345" spans="1:18" ht="15">
      <c r="A1345" s="105">
        <v>11</v>
      </c>
      <c r="B1345" s="105"/>
      <c r="C1345" s="107" t="s">
        <v>251</v>
      </c>
      <c r="D1345" s="107" t="s">
        <v>251</v>
      </c>
      <c r="E1345" s="124" t="s">
        <v>251</v>
      </c>
      <c r="F1345" s="124" t="s">
        <v>251</v>
      </c>
      <c r="G1345" s="124" t="s">
        <v>251</v>
      </c>
      <c r="H1345" s="124" t="s">
        <v>251</v>
      </c>
      <c r="I1345" s="124" t="s">
        <v>251</v>
      </c>
      <c r="J1345" s="124" t="s">
        <v>251</v>
      </c>
      <c r="K1345" s="124" t="s">
        <v>251</v>
      </c>
      <c r="L1345" s="124" t="s">
        <v>251</v>
      </c>
      <c r="M1345" s="124" t="s">
        <v>251</v>
      </c>
      <c r="N1345" s="124" t="s">
        <v>251</v>
      </c>
      <c r="O1345" s="124" t="s">
        <v>251</v>
      </c>
      <c r="P1345" s="124" t="s">
        <v>251</v>
      </c>
      <c r="Q1345" s="124" t="s">
        <v>251</v>
      </c>
      <c r="R1345" s="124"/>
    </row>
    <row r="1346" spans="1:18" ht="15">
      <c r="A1346" s="105">
        <v>12</v>
      </c>
      <c r="C1346" s="104" t="s">
        <v>251</v>
      </c>
      <c r="D1346" s="104" t="s">
        <v>251</v>
      </c>
      <c r="E1346" s="104" t="s">
        <v>251</v>
      </c>
      <c r="F1346" s="104" t="s">
        <v>251</v>
      </c>
      <c r="G1346" s="104" t="s">
        <v>251</v>
      </c>
      <c r="H1346" s="104" t="s">
        <v>251</v>
      </c>
      <c r="I1346" s="104" t="s">
        <v>251</v>
      </c>
      <c r="J1346" s="104" t="s">
        <v>251</v>
      </c>
      <c r="K1346" s="104" t="s">
        <v>251</v>
      </c>
      <c r="L1346" s="104" t="s">
        <v>251</v>
      </c>
      <c r="M1346" s="104" t="s">
        <v>251</v>
      </c>
      <c r="N1346" s="104" t="s">
        <v>251</v>
      </c>
      <c r="O1346" s="104" t="s">
        <v>251</v>
      </c>
      <c r="P1346" s="104" t="s">
        <v>251</v>
      </c>
      <c r="Q1346" s="104" t="s">
        <v>251</v>
      </c>
    </row>
    <row r="1347" spans="1:18" ht="15">
      <c r="A1347" s="105">
        <v>13</v>
      </c>
      <c r="C1347" s="104" t="s">
        <v>251</v>
      </c>
      <c r="D1347" s="104" t="s">
        <v>251</v>
      </c>
      <c r="E1347" s="104" t="s">
        <v>251</v>
      </c>
      <c r="F1347" s="104" t="s">
        <v>251</v>
      </c>
      <c r="G1347" s="104" t="s">
        <v>251</v>
      </c>
      <c r="H1347" s="104" t="s">
        <v>251</v>
      </c>
      <c r="I1347" s="104" t="s">
        <v>251</v>
      </c>
      <c r="J1347" s="104" t="s">
        <v>251</v>
      </c>
      <c r="K1347" s="104" t="s">
        <v>251</v>
      </c>
      <c r="L1347" s="104" t="s">
        <v>251</v>
      </c>
      <c r="M1347" s="104" t="s">
        <v>251</v>
      </c>
      <c r="N1347" s="104" t="s">
        <v>251</v>
      </c>
      <c r="O1347" s="104" t="s">
        <v>251</v>
      </c>
      <c r="P1347" s="104" t="s">
        <v>251</v>
      </c>
      <c r="Q1347" s="104" t="s">
        <v>251</v>
      </c>
    </row>
    <row r="1350" spans="1:18" ht="15">
      <c r="B1350" s="125"/>
      <c r="C1350" s="107"/>
      <c r="D1350" s="119"/>
      <c r="E1350" s="126"/>
      <c r="F1350" s="126"/>
      <c r="G1350" s="126"/>
      <c r="H1350" s="126"/>
      <c r="I1350" s="126"/>
      <c r="J1350" s="126"/>
      <c r="K1350" s="126"/>
      <c r="L1350" s="126"/>
      <c r="M1350" s="126"/>
      <c r="N1350" s="126"/>
      <c r="O1350" s="126"/>
      <c r="P1350" s="126"/>
      <c r="Q1350" s="126"/>
      <c r="R1350" s="126"/>
    </row>
    <row r="1351" spans="1:18" ht="15">
      <c r="B1351" s="125"/>
      <c r="C1351" s="107"/>
      <c r="D1351" s="119"/>
      <c r="E1351" s="126"/>
      <c r="F1351" s="126"/>
      <c r="G1351" s="126"/>
      <c r="H1351" s="126"/>
      <c r="I1351" s="126"/>
      <c r="J1351" s="126"/>
      <c r="K1351" s="126"/>
      <c r="L1351" s="126"/>
      <c r="M1351" s="126"/>
      <c r="N1351" s="126"/>
      <c r="O1351" s="126"/>
      <c r="P1351" s="126"/>
      <c r="Q1351" s="126"/>
      <c r="R1351" s="126"/>
    </row>
    <row r="1352" spans="1:18" ht="15">
      <c r="B1352" s="125"/>
      <c r="C1352" s="107"/>
      <c r="D1352" s="119"/>
      <c r="E1352" s="126"/>
      <c r="F1352" s="126"/>
      <c r="G1352" s="126"/>
      <c r="H1352" s="126"/>
      <c r="I1352" s="126"/>
      <c r="J1352" s="126"/>
      <c r="K1352" s="126"/>
      <c r="L1352" s="126"/>
      <c r="M1352" s="126"/>
      <c r="N1352" s="126"/>
      <c r="O1352" s="126"/>
      <c r="P1352" s="126"/>
      <c r="Q1352" s="126"/>
      <c r="R1352" s="126"/>
    </row>
    <row r="1353" spans="1:18">
      <c r="E1353" s="128"/>
      <c r="F1353" s="128"/>
      <c r="G1353" s="128"/>
      <c r="H1353" s="128"/>
      <c r="I1353" s="128"/>
      <c r="J1353" s="128"/>
      <c r="K1353" s="128"/>
      <c r="L1353" s="128"/>
      <c r="M1353" s="128"/>
      <c r="N1353" s="128"/>
      <c r="O1353" s="128"/>
      <c r="P1353" s="128"/>
      <c r="Q1353" s="128"/>
      <c r="R1353" s="128"/>
    </row>
    <row r="1354" spans="1:18">
      <c r="E1354" s="128"/>
      <c r="F1354" s="128"/>
      <c r="G1354" s="128"/>
      <c r="H1354" s="128"/>
      <c r="I1354" s="128"/>
      <c r="J1354" s="128"/>
      <c r="K1354" s="128"/>
      <c r="L1354" s="128"/>
      <c r="M1354" s="128"/>
      <c r="N1354" s="128"/>
      <c r="O1354" s="128"/>
      <c r="P1354" s="128"/>
      <c r="Q1354" s="128"/>
      <c r="R1354" s="128"/>
    </row>
    <row r="1355" spans="1:18">
      <c r="E1355" s="128"/>
      <c r="F1355" s="128"/>
      <c r="G1355" s="128"/>
      <c r="H1355" s="128"/>
      <c r="I1355" s="128"/>
      <c r="J1355" s="128"/>
      <c r="K1355" s="128"/>
      <c r="L1355" s="128"/>
      <c r="M1355" s="128"/>
      <c r="N1355" s="128"/>
      <c r="O1355" s="128"/>
      <c r="P1355" s="128"/>
      <c r="Q1355" s="128"/>
      <c r="R1355" s="128"/>
    </row>
    <row r="1356" spans="1:18">
      <c r="E1356" s="128"/>
      <c r="F1356" s="128"/>
      <c r="G1356" s="128"/>
      <c r="H1356" s="128"/>
      <c r="I1356" s="128"/>
      <c r="J1356" s="128"/>
      <c r="K1356" s="128"/>
      <c r="L1356" s="128"/>
      <c r="M1356" s="128"/>
      <c r="N1356" s="128"/>
      <c r="O1356" s="128"/>
      <c r="P1356" s="128"/>
      <c r="Q1356" s="128"/>
      <c r="R1356" s="128"/>
    </row>
    <row r="1357" spans="1:18">
      <c r="E1357" s="128"/>
      <c r="F1357" s="128"/>
      <c r="G1357" s="128"/>
      <c r="H1357" s="128"/>
      <c r="I1357" s="128"/>
      <c r="J1357" s="128"/>
      <c r="K1357" s="128"/>
      <c r="L1357" s="128"/>
      <c r="M1357" s="128"/>
      <c r="N1357" s="128"/>
      <c r="O1357" s="128"/>
      <c r="P1357" s="128"/>
      <c r="Q1357" s="128"/>
      <c r="R1357" s="128"/>
    </row>
    <row r="1358" spans="1:18">
      <c r="E1358" s="128"/>
      <c r="F1358" s="128"/>
      <c r="G1358" s="128"/>
      <c r="H1358" s="128"/>
      <c r="I1358" s="128"/>
      <c r="J1358" s="128"/>
      <c r="K1358" s="128"/>
      <c r="L1358" s="128"/>
      <c r="M1358" s="128"/>
      <c r="N1358" s="128"/>
      <c r="O1358" s="128"/>
      <c r="P1358" s="128"/>
      <c r="Q1358" s="128"/>
      <c r="R1358" s="128"/>
    </row>
    <row r="1359" spans="1:18">
      <c r="E1359" s="128"/>
      <c r="F1359" s="128"/>
      <c r="G1359" s="128"/>
      <c r="H1359" s="128"/>
      <c r="I1359" s="128"/>
      <c r="J1359" s="128"/>
      <c r="K1359" s="128"/>
      <c r="L1359" s="128"/>
      <c r="M1359" s="128"/>
      <c r="N1359" s="128"/>
      <c r="O1359" s="128"/>
      <c r="P1359" s="128"/>
      <c r="Q1359" s="128"/>
      <c r="R1359" s="128"/>
    </row>
    <row r="1360" spans="1:18">
      <c r="E1360" s="128"/>
      <c r="F1360" s="128"/>
      <c r="G1360" s="128"/>
      <c r="H1360" s="128"/>
      <c r="I1360" s="128"/>
      <c r="J1360" s="128"/>
      <c r="K1360" s="128"/>
      <c r="L1360" s="128"/>
      <c r="M1360" s="128"/>
      <c r="N1360" s="128"/>
      <c r="O1360" s="128"/>
      <c r="P1360" s="128"/>
      <c r="Q1360" s="128"/>
      <c r="R1360" s="128"/>
    </row>
    <row r="1361" spans="1:18" ht="15">
      <c r="A1361" s="125"/>
      <c r="E1361" s="128"/>
      <c r="F1361" s="128"/>
      <c r="G1361" s="128"/>
      <c r="H1361" s="128"/>
      <c r="I1361" s="128"/>
      <c r="J1361" s="128"/>
      <c r="K1361" s="128"/>
      <c r="L1361" s="128"/>
      <c r="M1361" s="128"/>
      <c r="N1361" s="128"/>
      <c r="O1361" s="128"/>
      <c r="P1361" s="128"/>
      <c r="Q1361" s="128"/>
      <c r="R1361" s="128"/>
    </row>
    <row r="1362" spans="1:18" ht="15">
      <c r="A1362" s="125"/>
      <c r="E1362" s="128"/>
      <c r="F1362" s="128"/>
      <c r="G1362" s="128"/>
      <c r="H1362" s="128"/>
      <c r="I1362" s="128"/>
      <c r="J1362" s="128"/>
      <c r="K1362" s="128"/>
      <c r="L1362" s="128"/>
      <c r="M1362" s="128"/>
      <c r="N1362" s="128"/>
      <c r="O1362" s="128"/>
      <c r="P1362" s="128"/>
      <c r="Q1362" s="128"/>
      <c r="R1362" s="128"/>
    </row>
    <row r="1363" spans="1:18" ht="15">
      <c r="A1363" s="125"/>
      <c r="E1363" s="128"/>
      <c r="F1363" s="128"/>
      <c r="G1363" s="128"/>
      <c r="H1363" s="128"/>
      <c r="I1363" s="128"/>
      <c r="J1363" s="128"/>
      <c r="K1363" s="128"/>
      <c r="L1363" s="128"/>
      <c r="M1363" s="128"/>
      <c r="N1363" s="128"/>
      <c r="O1363" s="128"/>
      <c r="P1363" s="128"/>
      <c r="Q1363" s="128"/>
      <c r="R1363" s="128"/>
    </row>
    <row r="1364" spans="1:18">
      <c r="E1364" s="128"/>
      <c r="F1364" s="128"/>
      <c r="G1364" s="128"/>
      <c r="H1364" s="128"/>
      <c r="I1364" s="128"/>
      <c r="J1364" s="128"/>
      <c r="K1364" s="128"/>
      <c r="L1364" s="128"/>
      <c r="M1364" s="128"/>
      <c r="N1364" s="128"/>
      <c r="O1364" s="128"/>
      <c r="P1364" s="128"/>
      <c r="Q1364" s="128"/>
      <c r="R1364" s="128"/>
    </row>
    <row r="1365" spans="1:18">
      <c r="E1365" s="128"/>
      <c r="F1365" s="128"/>
      <c r="G1365" s="128"/>
      <c r="H1365" s="128"/>
      <c r="I1365" s="128"/>
      <c r="J1365" s="128"/>
      <c r="K1365" s="128"/>
      <c r="L1365" s="128"/>
      <c r="M1365" s="128"/>
      <c r="N1365" s="128"/>
      <c r="O1365" s="128"/>
      <c r="P1365" s="128"/>
      <c r="Q1365" s="128"/>
      <c r="R1365" s="128"/>
    </row>
    <row r="1366" spans="1:18">
      <c r="E1366" s="128"/>
      <c r="F1366" s="128"/>
      <c r="G1366" s="128"/>
      <c r="H1366" s="128"/>
      <c r="I1366" s="128"/>
      <c r="J1366" s="128"/>
      <c r="K1366" s="128"/>
      <c r="L1366" s="128"/>
      <c r="M1366" s="128"/>
      <c r="N1366" s="128"/>
      <c r="O1366" s="128"/>
      <c r="P1366" s="128"/>
      <c r="Q1366" s="128"/>
      <c r="R1366" s="128"/>
    </row>
    <row r="1367" spans="1:18">
      <c r="E1367" s="128"/>
      <c r="F1367" s="128"/>
      <c r="G1367" s="128"/>
      <c r="H1367" s="128"/>
      <c r="I1367" s="128"/>
      <c r="J1367" s="128"/>
      <c r="K1367" s="128"/>
      <c r="L1367" s="128"/>
      <c r="M1367" s="128"/>
      <c r="N1367" s="128"/>
      <c r="O1367" s="128"/>
      <c r="P1367" s="128"/>
      <c r="Q1367" s="128"/>
      <c r="R1367" s="128"/>
    </row>
    <row r="1368" spans="1:18">
      <c r="E1368" s="128"/>
      <c r="F1368" s="128"/>
      <c r="G1368" s="128"/>
      <c r="H1368" s="128"/>
      <c r="I1368" s="128"/>
      <c r="J1368" s="128"/>
      <c r="K1368" s="128"/>
      <c r="L1368" s="128"/>
      <c r="M1368" s="128"/>
      <c r="N1368" s="128"/>
      <c r="O1368" s="128"/>
      <c r="P1368" s="128"/>
      <c r="Q1368" s="128"/>
      <c r="R1368" s="128"/>
    </row>
    <row r="1369" spans="1:18">
      <c r="E1369" s="128"/>
      <c r="F1369" s="128"/>
      <c r="G1369" s="128"/>
      <c r="H1369" s="128"/>
      <c r="I1369" s="128"/>
      <c r="J1369" s="128"/>
      <c r="K1369" s="128"/>
      <c r="L1369" s="128"/>
      <c r="M1369" s="128"/>
      <c r="N1369" s="128"/>
      <c r="O1369" s="128"/>
      <c r="P1369" s="128"/>
      <c r="Q1369" s="128"/>
      <c r="R1369" s="128"/>
    </row>
    <row r="1370" spans="1:18">
      <c r="E1370" s="128"/>
      <c r="F1370" s="128"/>
      <c r="G1370" s="128"/>
      <c r="H1370" s="128"/>
      <c r="I1370" s="128"/>
      <c r="J1370" s="128"/>
      <c r="K1370" s="128"/>
      <c r="L1370" s="128"/>
      <c r="M1370" s="128"/>
      <c r="N1370" s="128"/>
      <c r="O1370" s="128"/>
      <c r="P1370" s="128"/>
      <c r="Q1370" s="128"/>
      <c r="R1370" s="128"/>
    </row>
    <row r="1371" spans="1:18">
      <c r="E1371" s="128"/>
      <c r="F1371" s="128"/>
      <c r="G1371" s="128"/>
      <c r="H1371" s="128"/>
      <c r="I1371" s="128"/>
      <c r="J1371" s="128"/>
      <c r="K1371" s="128"/>
      <c r="L1371" s="128"/>
      <c r="M1371" s="128"/>
      <c r="N1371" s="128"/>
      <c r="O1371" s="128"/>
      <c r="P1371" s="128"/>
      <c r="Q1371" s="128"/>
      <c r="R1371" s="128"/>
    </row>
    <row r="1372" spans="1:18">
      <c r="E1372" s="128"/>
      <c r="F1372" s="128"/>
      <c r="G1372" s="128"/>
      <c r="H1372" s="128"/>
      <c r="I1372" s="128"/>
      <c r="J1372" s="128"/>
      <c r="K1372" s="128"/>
      <c r="L1372" s="128"/>
      <c r="M1372" s="128"/>
      <c r="N1372" s="128"/>
      <c r="O1372" s="128"/>
      <c r="P1372" s="128"/>
      <c r="Q1372" s="128"/>
      <c r="R1372" s="128"/>
    </row>
    <row r="1373" spans="1:18">
      <c r="E1373" s="128"/>
      <c r="F1373" s="128"/>
      <c r="G1373" s="128"/>
      <c r="H1373" s="128"/>
      <c r="I1373" s="128"/>
      <c r="J1373" s="128"/>
      <c r="K1373" s="128"/>
      <c r="L1373" s="128"/>
      <c r="M1373" s="128"/>
      <c r="N1373" s="128"/>
      <c r="O1373" s="128"/>
      <c r="P1373" s="128"/>
      <c r="Q1373" s="128"/>
      <c r="R1373" s="128"/>
    </row>
    <row r="1374" spans="1:18">
      <c r="E1374" s="128"/>
      <c r="F1374" s="128"/>
      <c r="G1374" s="128"/>
      <c r="H1374" s="128"/>
      <c r="I1374" s="128"/>
      <c r="J1374" s="128"/>
      <c r="K1374" s="128"/>
      <c r="L1374" s="128"/>
      <c r="M1374" s="128"/>
      <c r="N1374" s="128"/>
      <c r="O1374" s="128"/>
      <c r="P1374" s="128"/>
      <c r="Q1374" s="128"/>
      <c r="R1374" s="128"/>
    </row>
    <row r="1375" spans="1:18">
      <c r="E1375" s="128"/>
      <c r="F1375" s="128"/>
      <c r="G1375" s="128"/>
      <c r="H1375" s="128"/>
      <c r="I1375" s="128"/>
      <c r="J1375" s="128"/>
      <c r="K1375" s="128"/>
      <c r="L1375" s="128"/>
      <c r="M1375" s="128"/>
      <c r="N1375" s="128"/>
      <c r="O1375" s="128"/>
      <c r="P1375" s="128"/>
      <c r="Q1375" s="128"/>
      <c r="R1375" s="128"/>
    </row>
    <row r="1376" spans="1:18">
      <c r="E1376" s="128"/>
      <c r="F1376" s="128"/>
      <c r="G1376" s="128"/>
      <c r="H1376" s="128"/>
      <c r="I1376" s="128"/>
      <c r="J1376" s="128"/>
      <c r="K1376" s="128"/>
      <c r="L1376" s="128"/>
      <c r="M1376" s="128"/>
      <c r="N1376" s="128"/>
      <c r="O1376" s="128"/>
      <c r="P1376" s="128"/>
      <c r="Q1376" s="128"/>
      <c r="R1376" s="128"/>
    </row>
    <row r="1377" spans="5:18">
      <c r="E1377" s="128"/>
      <c r="F1377" s="128"/>
      <c r="G1377" s="128"/>
      <c r="H1377" s="128"/>
      <c r="I1377" s="128"/>
      <c r="J1377" s="128"/>
      <c r="K1377" s="128"/>
      <c r="L1377" s="128"/>
      <c r="M1377" s="128"/>
      <c r="N1377" s="128"/>
      <c r="O1377" s="128"/>
      <c r="P1377" s="128"/>
      <c r="Q1377" s="128"/>
      <c r="R1377" s="128"/>
    </row>
    <row r="1378" spans="5:18">
      <c r="E1378" s="128"/>
      <c r="F1378" s="128"/>
      <c r="G1378" s="128"/>
      <c r="H1378" s="128"/>
      <c r="I1378" s="128"/>
      <c r="J1378" s="128"/>
      <c r="K1378" s="128"/>
      <c r="L1378" s="128"/>
      <c r="M1378" s="128"/>
      <c r="N1378" s="128"/>
      <c r="O1378" s="128"/>
      <c r="P1378" s="128"/>
      <c r="Q1378" s="128"/>
      <c r="R1378" s="128"/>
    </row>
    <row r="1379" spans="5:18">
      <c r="E1379" s="128"/>
      <c r="F1379" s="128"/>
      <c r="G1379" s="128"/>
      <c r="H1379" s="128"/>
      <c r="I1379" s="128"/>
      <c r="J1379" s="128"/>
      <c r="K1379" s="128"/>
      <c r="L1379" s="128"/>
      <c r="M1379" s="128"/>
      <c r="N1379" s="128"/>
      <c r="O1379" s="128"/>
      <c r="P1379" s="128"/>
      <c r="Q1379" s="128"/>
      <c r="R1379" s="128"/>
    </row>
    <row r="1380" spans="5:18">
      <c r="E1380" s="128"/>
      <c r="F1380" s="128"/>
      <c r="G1380" s="128"/>
      <c r="H1380" s="128"/>
      <c r="I1380" s="128"/>
      <c r="J1380" s="128"/>
      <c r="K1380" s="128"/>
      <c r="L1380" s="128"/>
      <c r="M1380" s="128"/>
      <c r="N1380" s="128"/>
      <c r="O1380" s="128"/>
      <c r="P1380" s="128"/>
      <c r="Q1380" s="128"/>
      <c r="R1380" s="128"/>
    </row>
    <row r="1381" spans="5:18">
      <c r="E1381" s="128"/>
      <c r="F1381" s="128"/>
      <c r="G1381" s="128"/>
      <c r="H1381" s="128"/>
      <c r="I1381" s="128"/>
      <c r="J1381" s="128"/>
      <c r="K1381" s="128"/>
      <c r="L1381" s="128"/>
      <c r="M1381" s="128"/>
      <c r="N1381" s="128"/>
      <c r="O1381" s="128"/>
      <c r="P1381" s="128"/>
      <c r="Q1381" s="128"/>
      <c r="R1381" s="128"/>
    </row>
    <row r="1382" spans="5:18">
      <c r="E1382" s="128"/>
      <c r="F1382" s="128"/>
      <c r="G1382" s="128"/>
      <c r="H1382" s="128"/>
      <c r="I1382" s="128"/>
      <c r="J1382" s="128"/>
      <c r="K1382" s="128"/>
      <c r="L1382" s="128"/>
      <c r="M1382" s="128"/>
      <c r="N1382" s="128"/>
      <c r="O1382" s="128"/>
      <c r="P1382" s="128"/>
      <c r="Q1382" s="128"/>
      <c r="R1382" s="128"/>
    </row>
    <row r="1383" spans="5:18">
      <c r="E1383" s="128"/>
      <c r="F1383" s="128"/>
      <c r="G1383" s="128"/>
      <c r="H1383" s="128"/>
      <c r="I1383" s="128"/>
      <c r="J1383" s="128"/>
      <c r="K1383" s="128"/>
      <c r="L1383" s="128"/>
      <c r="M1383" s="128"/>
      <c r="N1383" s="128"/>
      <c r="O1383" s="128"/>
      <c r="P1383" s="128"/>
      <c r="Q1383" s="128"/>
      <c r="R1383" s="128"/>
    </row>
    <row r="1384" spans="5:18">
      <c r="E1384" s="128"/>
      <c r="F1384" s="128"/>
      <c r="G1384" s="128"/>
      <c r="H1384" s="128"/>
      <c r="I1384" s="128"/>
      <c r="J1384" s="128"/>
      <c r="K1384" s="128"/>
      <c r="L1384" s="128"/>
      <c r="M1384" s="128"/>
      <c r="N1384" s="128"/>
      <c r="O1384" s="128"/>
      <c r="P1384" s="128"/>
      <c r="Q1384" s="128"/>
      <c r="R1384" s="128"/>
    </row>
    <row r="1385" spans="5:18">
      <c r="E1385" s="128"/>
      <c r="F1385" s="128"/>
      <c r="G1385" s="128"/>
      <c r="H1385" s="128"/>
      <c r="I1385" s="128"/>
      <c r="J1385" s="128"/>
      <c r="K1385" s="128"/>
      <c r="L1385" s="128"/>
      <c r="M1385" s="128"/>
      <c r="N1385" s="128"/>
      <c r="O1385" s="128"/>
      <c r="P1385" s="128"/>
      <c r="Q1385" s="128"/>
      <c r="R1385" s="128"/>
    </row>
    <row r="1386" spans="5:18">
      <c r="E1386" s="128"/>
      <c r="F1386" s="128"/>
      <c r="G1386" s="128"/>
      <c r="H1386" s="128"/>
      <c r="I1386" s="128"/>
      <c r="J1386" s="128"/>
      <c r="K1386" s="128"/>
      <c r="L1386" s="128"/>
      <c r="M1386" s="128"/>
      <c r="N1386" s="128"/>
      <c r="O1386" s="128"/>
      <c r="P1386" s="128"/>
      <c r="Q1386" s="128"/>
      <c r="R1386" s="128"/>
    </row>
    <row r="1387" spans="5:18">
      <c r="E1387" s="128"/>
      <c r="F1387" s="128"/>
      <c r="G1387" s="128"/>
      <c r="H1387" s="128"/>
      <c r="I1387" s="128"/>
      <c r="J1387" s="128"/>
      <c r="K1387" s="128"/>
      <c r="L1387" s="128"/>
      <c r="M1387" s="128"/>
      <c r="N1387" s="128"/>
      <c r="O1387" s="128"/>
      <c r="P1387" s="128"/>
      <c r="Q1387" s="128"/>
      <c r="R1387" s="128"/>
    </row>
    <row r="1388" spans="5:18">
      <c r="E1388" s="128"/>
      <c r="F1388" s="128"/>
      <c r="G1388" s="128"/>
      <c r="H1388" s="128"/>
      <c r="I1388" s="128"/>
      <c r="J1388" s="128"/>
      <c r="K1388" s="128"/>
      <c r="L1388" s="128"/>
      <c r="M1388" s="128"/>
      <c r="N1388" s="128"/>
      <c r="O1388" s="128"/>
      <c r="P1388" s="128"/>
      <c r="Q1388" s="128"/>
      <c r="R1388" s="128"/>
    </row>
  </sheetData>
  <sheetProtection selectLockedCells="1" selectUnlockedCells="1"/>
  <pageMargins left="0.5" right="0.25" top="1" bottom="0.19" header="1" footer="0.4"/>
  <pageSetup scale="41" pageOrder="overThenDown" orientation="landscape" r:id="rId1"/>
  <headerFooter alignWithMargins="0"/>
  <rowBreaks count="29" manualBreakCount="29">
    <brk id="66" min="4" max="16" man="1"/>
    <brk id="116" min="4" max="16" man="1"/>
    <brk id="155" min="4" max="16" man="1"/>
    <brk id="208" min="4" max="16" man="1"/>
    <brk id="235" min="4" max="16" man="1"/>
    <brk id="280" min="4" max="16" man="1"/>
    <brk id="334" min="4" max="16" man="1"/>
    <brk id="381" min="4" max="16" man="1"/>
    <brk id="419" min="4" max="16" man="1"/>
    <brk id="473" min="4" max="16" man="1"/>
    <brk id="533" min="4" max="16" man="1"/>
    <brk id="594" min="4" max="16" man="1"/>
    <brk id="642" min="4" max="16" man="1"/>
    <brk id="690" min="4" max="16" man="1"/>
    <brk id="716" min="4" max="16" man="1"/>
    <brk id="776" min="4" max="16" man="1"/>
    <brk id="821" min="4" max="16" man="1"/>
    <brk id="864" min="4" max="16" man="1"/>
    <brk id="907" min="4" max="16" man="1"/>
    <brk id="966" min="4" max="16" man="1"/>
    <brk id="1001" min="4" max="16" man="1"/>
    <brk id="1050" min="4" max="16" man="1"/>
    <brk id="1093" min="4" max="16" man="1"/>
    <brk id="1125" max="16383" man="1"/>
    <brk id="1146" min="4" max="16" man="1"/>
    <brk id="1205" min="4" max="16" man="1"/>
    <brk id="1241" min="4" max="16" man="1"/>
    <brk id="1289" min="4" max="16" man="1"/>
    <brk id="1331" min="4" max="1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400"/>
  <sheetViews>
    <sheetView view="pageBreakPreview" zoomScale="55" zoomScaleNormal="75" zoomScaleSheetLayoutView="55" workbookViewId="0">
      <selection activeCell="F22" sqref="F22"/>
    </sheetView>
  </sheetViews>
  <sheetFormatPr defaultColWidth="8" defaultRowHeight="12.75"/>
  <cols>
    <col min="1" max="1" width="5.44140625" style="127" customWidth="1"/>
    <col min="2" max="2" width="7.77734375" style="127" customWidth="1"/>
    <col min="3" max="3" width="51.6640625" style="104" customWidth="1"/>
    <col min="4" max="4" width="17.77734375" style="104" customWidth="1"/>
    <col min="5" max="5" width="20.6640625" style="104" customWidth="1"/>
    <col min="6" max="6" width="17.88671875" style="104" customWidth="1"/>
    <col min="7" max="7" width="20.6640625" style="104" customWidth="1"/>
    <col min="8" max="8" width="17.88671875" style="104" hidden="1" customWidth="1"/>
    <col min="9" max="9" width="17.88671875" style="104" customWidth="1"/>
    <col min="10" max="10" width="19.88671875" style="104" customWidth="1"/>
    <col min="11" max="12" width="6.109375" style="104" hidden="1" customWidth="1"/>
    <col min="13" max="13" width="18.21875" style="104" customWidth="1"/>
    <col min="14" max="14" width="18.109375" style="104" hidden="1" customWidth="1"/>
    <col min="15" max="17" width="18" style="104" customWidth="1"/>
    <col min="18" max="18" width="14" style="104" customWidth="1"/>
    <col min="19" max="16384" width="8" style="104"/>
  </cols>
  <sheetData>
    <row r="1" spans="1:20" ht="15">
      <c r="A1" s="100"/>
      <c r="B1" s="100"/>
      <c r="C1" s="101"/>
      <c r="D1" s="101"/>
      <c r="E1" s="101">
        <v>0</v>
      </c>
      <c r="F1" s="101">
        <v>1</v>
      </c>
      <c r="G1" s="102">
        <v>2</v>
      </c>
      <c r="H1" s="103">
        <v>3</v>
      </c>
      <c r="I1" s="102">
        <v>4</v>
      </c>
      <c r="J1" s="102">
        <v>5</v>
      </c>
      <c r="K1" s="102">
        <v>6</v>
      </c>
      <c r="L1" s="102">
        <v>7</v>
      </c>
      <c r="M1" s="102">
        <v>8</v>
      </c>
      <c r="N1" s="102">
        <v>9</v>
      </c>
      <c r="O1" s="102">
        <v>10</v>
      </c>
      <c r="P1" s="102">
        <v>11</v>
      </c>
      <c r="Q1" s="102">
        <v>12</v>
      </c>
      <c r="R1" s="102">
        <f t="shared" ref="R1:T1" si="0">1+Q1</f>
        <v>13</v>
      </c>
      <c r="S1" s="102">
        <f t="shared" si="0"/>
        <v>14</v>
      </c>
      <c r="T1" s="102">
        <f t="shared" si="0"/>
        <v>15</v>
      </c>
    </row>
    <row r="2" spans="1:20" ht="15">
      <c r="A2" s="105"/>
      <c r="B2" s="105"/>
      <c r="C2" s="517"/>
      <c r="D2" s="107"/>
      <c r="E2" s="107"/>
      <c r="G2" s="108" t="s">
        <v>229</v>
      </c>
      <c r="H2" s="107"/>
      <c r="I2" s="107"/>
      <c r="J2" s="107"/>
      <c r="K2" s="107"/>
      <c r="L2" s="107"/>
      <c r="M2" s="107"/>
      <c r="N2" s="103" t="s">
        <v>229</v>
      </c>
      <c r="O2" s="107"/>
      <c r="P2" s="107"/>
      <c r="Q2" s="518">
        <v>43421.642431365741</v>
      </c>
      <c r="R2" s="107"/>
      <c r="S2" s="107"/>
      <c r="T2" s="107"/>
    </row>
    <row r="3" spans="1:20" ht="15">
      <c r="A3" s="105"/>
      <c r="B3" s="105"/>
      <c r="C3" s="519"/>
      <c r="D3" s="107"/>
      <c r="E3" s="107"/>
      <c r="G3" s="108" t="s">
        <v>230</v>
      </c>
      <c r="H3" s="107"/>
      <c r="I3" s="107"/>
      <c r="J3" s="110"/>
      <c r="K3" s="107"/>
      <c r="L3" s="107"/>
      <c r="M3" s="107"/>
      <c r="N3" s="103" t="s">
        <v>230</v>
      </c>
      <c r="O3" s="107"/>
      <c r="P3" s="107"/>
      <c r="Q3" s="520">
        <v>43421.642431365741</v>
      </c>
      <c r="S3" s="107"/>
      <c r="T3" s="107"/>
    </row>
    <row r="4" spans="1:20" ht="15">
      <c r="A4" s="105"/>
      <c r="B4" s="105"/>
      <c r="C4" s="107"/>
      <c r="D4" s="107"/>
      <c r="E4" s="107"/>
      <c r="G4" s="108" t="s">
        <v>231</v>
      </c>
      <c r="H4" s="107"/>
      <c r="I4" s="107"/>
      <c r="J4" s="107"/>
      <c r="K4" s="107"/>
      <c r="L4" s="107"/>
      <c r="M4" s="107"/>
      <c r="N4" s="103" t="s">
        <v>231</v>
      </c>
      <c r="O4" s="107"/>
      <c r="P4" s="107"/>
      <c r="Q4" s="107"/>
      <c r="R4" s="107"/>
      <c r="S4" s="107"/>
      <c r="T4" s="107"/>
    </row>
    <row r="5" spans="1:20" ht="15">
      <c r="A5" s="105"/>
      <c r="B5" s="105"/>
      <c r="C5" s="110" t="s">
        <v>2670</v>
      </c>
      <c r="D5" s="107"/>
      <c r="E5" s="107"/>
      <c r="G5" s="107"/>
      <c r="H5" s="107"/>
      <c r="I5" s="107"/>
      <c r="J5" s="107"/>
      <c r="K5" s="107"/>
      <c r="L5" s="107"/>
      <c r="M5" s="107"/>
      <c r="N5" s="107"/>
      <c r="O5" s="107"/>
      <c r="P5" s="107"/>
      <c r="Q5" s="107"/>
      <c r="R5" s="107"/>
      <c r="S5" s="107"/>
      <c r="T5" s="107"/>
    </row>
    <row r="6" spans="1:20" ht="15">
      <c r="A6" s="105"/>
      <c r="B6" s="105"/>
      <c r="C6" s="112" t="s">
        <v>233</v>
      </c>
      <c r="D6" s="107"/>
      <c r="E6" s="113"/>
      <c r="G6" s="114" t="s">
        <v>2545</v>
      </c>
      <c r="H6" s="107"/>
      <c r="I6" s="107"/>
      <c r="J6" s="107"/>
      <c r="K6" s="107"/>
      <c r="L6" s="107"/>
      <c r="M6" s="107"/>
      <c r="N6" s="103" t="s">
        <v>2545</v>
      </c>
      <c r="O6" s="107"/>
      <c r="P6" s="107"/>
      <c r="Q6" s="107"/>
      <c r="R6" s="107"/>
      <c r="S6" s="107"/>
      <c r="T6" s="107"/>
    </row>
    <row r="7" spans="1:20" ht="15">
      <c r="A7" s="105"/>
      <c r="B7" s="105"/>
      <c r="C7" s="107"/>
      <c r="D7" s="107"/>
      <c r="E7" s="107"/>
      <c r="F7" s="107"/>
      <c r="G7" s="107"/>
      <c r="H7" s="107"/>
      <c r="I7" s="107"/>
      <c r="J7" s="107"/>
      <c r="K7" s="107"/>
      <c r="L7" s="107"/>
      <c r="M7" s="107"/>
      <c r="N7" s="107"/>
      <c r="O7" s="107"/>
      <c r="P7" s="107"/>
      <c r="Q7" s="107"/>
      <c r="R7" s="107"/>
      <c r="S7" s="107"/>
      <c r="T7" s="107"/>
    </row>
    <row r="8" spans="1:20" ht="15">
      <c r="A8" s="105"/>
      <c r="B8" s="105"/>
      <c r="C8" s="107"/>
      <c r="D8" s="107"/>
      <c r="E8" s="111" t="s">
        <v>234</v>
      </c>
      <c r="F8" s="107"/>
      <c r="G8" s="111" t="s">
        <v>235</v>
      </c>
      <c r="H8" s="107"/>
      <c r="I8" s="111" t="s">
        <v>236</v>
      </c>
      <c r="J8" s="115" t="s">
        <v>237</v>
      </c>
      <c r="K8" s="107"/>
      <c r="L8" s="107"/>
      <c r="M8" s="111" t="s">
        <v>238</v>
      </c>
      <c r="N8" s="107"/>
      <c r="O8" s="107"/>
      <c r="P8" s="107"/>
      <c r="Q8" s="107"/>
      <c r="R8" s="107"/>
      <c r="S8" s="107"/>
      <c r="T8" s="107"/>
    </row>
    <row r="9" spans="1:20" ht="15">
      <c r="A9" s="105"/>
      <c r="B9" s="105"/>
      <c r="C9" s="107"/>
      <c r="D9" s="107"/>
      <c r="E9" s="111" t="s">
        <v>235</v>
      </c>
      <c r="F9" s="107"/>
      <c r="G9" s="111" t="s">
        <v>239</v>
      </c>
      <c r="H9" s="107"/>
      <c r="I9" s="111" t="s">
        <v>239</v>
      </c>
      <c r="J9" s="111" t="s">
        <v>238</v>
      </c>
      <c r="K9" s="107"/>
      <c r="L9" s="107"/>
      <c r="M9" s="111" t="s">
        <v>239</v>
      </c>
      <c r="N9" s="111"/>
      <c r="O9" s="111" t="s">
        <v>240</v>
      </c>
      <c r="P9" s="107"/>
      <c r="Q9" s="107"/>
      <c r="R9" s="107"/>
      <c r="S9" s="107"/>
      <c r="T9" s="107"/>
    </row>
    <row r="10" spans="1:20" ht="15">
      <c r="A10" s="105"/>
      <c r="B10" s="105"/>
      <c r="C10" s="107"/>
      <c r="D10" s="116" t="s">
        <v>241</v>
      </c>
      <c r="E10" s="111" t="s">
        <v>242</v>
      </c>
      <c r="F10" s="107"/>
      <c r="G10" s="111" t="s">
        <v>243</v>
      </c>
      <c r="H10" s="107"/>
      <c r="I10" s="111" t="s">
        <v>243</v>
      </c>
      <c r="J10" s="111" t="s">
        <v>243</v>
      </c>
      <c r="K10" s="107"/>
      <c r="L10" s="107"/>
      <c r="M10" s="111" t="s">
        <v>243</v>
      </c>
      <c r="N10" s="111"/>
      <c r="O10" s="111" t="s">
        <v>243</v>
      </c>
      <c r="P10" s="111" t="s">
        <v>244</v>
      </c>
      <c r="Q10" s="111" t="s">
        <v>245</v>
      </c>
      <c r="R10" s="111"/>
      <c r="S10" s="107"/>
      <c r="T10" s="107"/>
    </row>
    <row r="11" spans="1:20" ht="15">
      <c r="A11" s="105"/>
      <c r="B11" s="105"/>
      <c r="C11" s="107"/>
      <c r="D11" s="107"/>
      <c r="E11" s="117" t="s">
        <v>246</v>
      </c>
      <c r="F11" s="107"/>
      <c r="G11" s="111" t="s">
        <v>247</v>
      </c>
      <c r="H11" s="107"/>
      <c r="I11" s="521">
        <v>-3</v>
      </c>
      <c r="J11" s="521">
        <v>-4</v>
      </c>
      <c r="K11" s="107"/>
      <c r="L11" s="107"/>
      <c r="M11" s="521">
        <v>-5</v>
      </c>
      <c r="N11" s="111"/>
      <c r="O11" s="111" t="s">
        <v>248</v>
      </c>
      <c r="P11" s="111" t="s">
        <v>249</v>
      </c>
      <c r="Q11" s="111" t="s">
        <v>250</v>
      </c>
      <c r="R11" s="111"/>
      <c r="S11" s="107"/>
      <c r="T11" s="107"/>
    </row>
    <row r="12" spans="1:20" ht="15">
      <c r="A12" s="105"/>
      <c r="B12" s="105"/>
      <c r="C12" s="107"/>
      <c r="D12" s="119"/>
      <c r="E12" s="107"/>
      <c r="F12" s="107"/>
      <c r="G12" s="107"/>
      <c r="H12" s="107"/>
      <c r="I12" s="107"/>
      <c r="J12" s="107"/>
      <c r="K12" s="107"/>
      <c r="L12" s="107"/>
      <c r="M12" s="107"/>
      <c r="N12" s="107"/>
      <c r="O12" s="107"/>
      <c r="P12" s="107"/>
      <c r="Q12" s="107"/>
      <c r="R12" s="107"/>
      <c r="S12" s="107"/>
      <c r="T12" s="107"/>
    </row>
    <row r="13" spans="1:20" ht="15">
      <c r="A13" s="105" t="s">
        <v>251</v>
      </c>
      <c r="B13" s="105"/>
      <c r="C13" s="107" t="s">
        <v>252</v>
      </c>
      <c r="D13" s="107" t="s">
        <v>251</v>
      </c>
      <c r="E13" s="107" t="s">
        <v>251</v>
      </c>
      <c r="F13" s="107" t="s">
        <v>251</v>
      </c>
      <c r="G13" s="107" t="s">
        <v>251</v>
      </c>
      <c r="H13" s="107" t="s">
        <v>251</v>
      </c>
      <c r="I13" s="107" t="s">
        <v>251</v>
      </c>
      <c r="J13" s="107" t="s">
        <v>251</v>
      </c>
      <c r="K13" s="107" t="s">
        <v>251</v>
      </c>
      <c r="L13" s="107" t="s">
        <v>251</v>
      </c>
      <c r="M13" s="107" t="s">
        <v>251</v>
      </c>
      <c r="N13" s="107" t="s">
        <v>251</v>
      </c>
      <c r="O13" s="107" t="s">
        <v>251</v>
      </c>
      <c r="P13" s="107" t="s">
        <v>251</v>
      </c>
      <c r="Q13" s="107" t="s">
        <v>251</v>
      </c>
      <c r="R13" s="107"/>
      <c r="S13" s="107"/>
      <c r="T13" s="107"/>
    </row>
    <row r="14" spans="1:20" ht="15">
      <c r="A14" s="105" t="s">
        <v>251</v>
      </c>
      <c r="B14" s="105"/>
      <c r="C14" s="107" t="s">
        <v>251</v>
      </c>
      <c r="D14" s="107" t="s">
        <v>251</v>
      </c>
      <c r="E14" s="107" t="s">
        <v>251</v>
      </c>
      <c r="F14" s="107" t="s">
        <v>251</v>
      </c>
      <c r="G14" s="107" t="s">
        <v>251</v>
      </c>
      <c r="H14" s="107" t="s">
        <v>251</v>
      </c>
      <c r="I14" s="107" t="s">
        <v>251</v>
      </c>
      <c r="J14" s="107" t="s">
        <v>251</v>
      </c>
      <c r="K14" s="107" t="s">
        <v>251</v>
      </c>
      <c r="L14" s="107" t="s">
        <v>251</v>
      </c>
      <c r="M14" s="107" t="s">
        <v>251</v>
      </c>
      <c r="N14" s="107" t="s">
        <v>251</v>
      </c>
      <c r="O14" s="107" t="s">
        <v>251</v>
      </c>
      <c r="P14" s="107" t="s">
        <v>251</v>
      </c>
      <c r="Q14" s="107" t="s">
        <v>251</v>
      </c>
      <c r="R14" s="107"/>
      <c r="S14" s="107"/>
      <c r="T14" s="107"/>
    </row>
    <row r="15" spans="1:20" ht="15">
      <c r="A15" s="105" t="s">
        <v>251</v>
      </c>
      <c r="B15" s="105"/>
      <c r="C15" s="107" t="s">
        <v>253</v>
      </c>
      <c r="D15" s="107" t="s">
        <v>251</v>
      </c>
      <c r="E15" s="107" t="s">
        <v>251</v>
      </c>
      <c r="F15" s="107" t="s">
        <v>251</v>
      </c>
      <c r="G15" s="107" t="s">
        <v>251</v>
      </c>
      <c r="H15" s="107" t="s">
        <v>251</v>
      </c>
      <c r="I15" s="107" t="s">
        <v>251</v>
      </c>
      <c r="J15" s="107" t="s">
        <v>251</v>
      </c>
      <c r="K15" s="107" t="s">
        <v>251</v>
      </c>
      <c r="L15" s="107" t="s">
        <v>251</v>
      </c>
      <c r="M15" s="107" t="s">
        <v>251</v>
      </c>
      <c r="N15" s="107" t="s">
        <v>251</v>
      </c>
      <c r="O15" s="107" t="s">
        <v>251</v>
      </c>
      <c r="P15" s="107" t="s">
        <v>251</v>
      </c>
      <c r="Q15" s="107" t="s">
        <v>251</v>
      </c>
      <c r="R15" s="107"/>
      <c r="S15" s="107"/>
      <c r="T15" s="107"/>
    </row>
    <row r="16" spans="1:20" ht="15">
      <c r="A16" s="105" t="s">
        <v>251</v>
      </c>
      <c r="B16" s="105"/>
      <c r="C16" s="107" t="s">
        <v>251</v>
      </c>
      <c r="D16" s="107" t="s">
        <v>251</v>
      </c>
      <c r="E16" s="107" t="s">
        <v>251</v>
      </c>
      <c r="F16" s="107" t="s">
        <v>251</v>
      </c>
      <c r="G16" s="107" t="s">
        <v>251</v>
      </c>
      <c r="H16" s="107" t="s">
        <v>251</v>
      </c>
      <c r="I16" s="107" t="s">
        <v>251</v>
      </c>
      <c r="J16" s="107" t="s">
        <v>251</v>
      </c>
      <c r="K16" s="107" t="s">
        <v>251</v>
      </c>
      <c r="L16" s="107" t="s">
        <v>251</v>
      </c>
      <c r="M16" s="107" t="s">
        <v>251</v>
      </c>
      <c r="N16" s="107" t="s">
        <v>251</v>
      </c>
      <c r="O16" s="107" t="s">
        <v>251</v>
      </c>
      <c r="P16" s="107" t="s">
        <v>251</v>
      </c>
      <c r="Q16" s="107" t="s">
        <v>251</v>
      </c>
      <c r="R16" s="107"/>
      <c r="S16" s="107"/>
      <c r="T16" s="107"/>
    </row>
    <row r="17" spans="1:20" ht="15">
      <c r="A17" s="105">
        <v>1</v>
      </c>
      <c r="B17" s="105"/>
      <c r="C17" s="107" t="s">
        <v>254</v>
      </c>
      <c r="D17" s="107" t="s">
        <v>251</v>
      </c>
      <c r="E17" s="120">
        <v>10062394694.170284</v>
      </c>
      <c r="F17" s="120" t="s">
        <v>251</v>
      </c>
      <c r="G17" s="120">
        <v>9408080312.792635</v>
      </c>
      <c r="H17" s="120" t="s">
        <v>251</v>
      </c>
      <c r="I17" s="120">
        <v>507908229.66523838</v>
      </c>
      <c r="J17" s="120">
        <v>146406151.71240935</v>
      </c>
      <c r="K17" s="120" t="s">
        <v>251</v>
      </c>
      <c r="L17" s="120" t="s">
        <v>251</v>
      </c>
      <c r="M17" s="120">
        <v>691517.9776287952</v>
      </c>
      <c r="N17" s="120" t="s">
        <v>251</v>
      </c>
      <c r="O17" s="120">
        <v>145714633.73478055</v>
      </c>
      <c r="P17" s="120">
        <v>75736331.337945953</v>
      </c>
      <c r="Q17" s="120">
        <v>69978302.396834612</v>
      </c>
      <c r="R17" s="120"/>
      <c r="S17" s="120"/>
      <c r="T17" s="107"/>
    </row>
    <row r="18" spans="1:20" ht="15">
      <c r="A18" s="105" t="s">
        <v>251</v>
      </c>
      <c r="B18" s="105"/>
      <c r="C18" s="107" t="s">
        <v>251</v>
      </c>
      <c r="D18" s="107" t="s">
        <v>251</v>
      </c>
      <c r="E18" s="120" t="s">
        <v>251</v>
      </c>
      <c r="F18" s="120" t="s">
        <v>251</v>
      </c>
      <c r="G18" s="120" t="s">
        <v>251</v>
      </c>
      <c r="H18" s="120" t="s">
        <v>251</v>
      </c>
      <c r="I18" s="120" t="s">
        <v>251</v>
      </c>
      <c r="J18" s="120" t="s">
        <v>251</v>
      </c>
      <c r="K18" s="120" t="s">
        <v>251</v>
      </c>
      <c r="L18" s="120" t="s">
        <v>251</v>
      </c>
      <c r="M18" s="120" t="s">
        <v>251</v>
      </c>
      <c r="N18" s="120" t="s">
        <v>251</v>
      </c>
      <c r="O18" s="120" t="s">
        <v>251</v>
      </c>
      <c r="P18" s="120" t="s">
        <v>251</v>
      </c>
      <c r="Q18" s="120" t="s">
        <v>251</v>
      </c>
      <c r="R18" s="120"/>
      <c r="S18" s="120"/>
      <c r="T18" s="107"/>
    </row>
    <row r="19" spans="1:20" ht="15">
      <c r="A19" s="105">
        <v>2</v>
      </c>
      <c r="B19" s="105"/>
      <c r="C19" s="107" t="s">
        <v>255</v>
      </c>
      <c r="D19" s="107" t="s">
        <v>251</v>
      </c>
      <c r="E19" s="120">
        <v>3499029088.7600813</v>
      </c>
      <c r="F19" s="120" t="s">
        <v>251</v>
      </c>
      <c r="G19" s="120">
        <v>3251097364.7086844</v>
      </c>
      <c r="H19" s="120" t="s">
        <v>251</v>
      </c>
      <c r="I19" s="120">
        <v>195245403.44770193</v>
      </c>
      <c r="J19" s="120">
        <v>52686320.603694819</v>
      </c>
      <c r="K19" s="120" t="s">
        <v>251</v>
      </c>
      <c r="L19" s="120" t="s">
        <v>251</v>
      </c>
      <c r="M19" s="120">
        <v>170038.36686301819</v>
      </c>
      <c r="N19" s="120" t="s">
        <v>251</v>
      </c>
      <c r="O19" s="120">
        <v>52516282.236831799</v>
      </c>
      <c r="P19" s="120">
        <v>27283060.505773772</v>
      </c>
      <c r="Q19" s="120">
        <v>25233221.731058028</v>
      </c>
      <c r="R19" s="120"/>
      <c r="S19" s="120"/>
      <c r="T19" s="107"/>
    </row>
    <row r="20" spans="1:20" ht="15">
      <c r="A20" s="105">
        <v>3</v>
      </c>
      <c r="B20" s="105"/>
      <c r="C20" s="107" t="s">
        <v>256</v>
      </c>
      <c r="D20" s="107" t="s">
        <v>251</v>
      </c>
      <c r="E20" s="120">
        <v>6563365605.4102011</v>
      </c>
      <c r="F20" s="120" t="s">
        <v>251</v>
      </c>
      <c r="G20" s="120">
        <v>6156982948.08395</v>
      </c>
      <c r="H20" s="120" t="s">
        <v>251</v>
      </c>
      <c r="I20" s="120">
        <v>312662826.21753645</v>
      </c>
      <c r="J20" s="120">
        <v>93719831.108714536</v>
      </c>
      <c r="K20" s="120" t="s">
        <v>251</v>
      </c>
      <c r="L20" s="120" t="s">
        <v>251</v>
      </c>
      <c r="M20" s="120">
        <v>521479.610765777</v>
      </c>
      <c r="N20" s="120" t="s">
        <v>251</v>
      </c>
      <c r="O20" s="120">
        <v>93198351.497948766</v>
      </c>
      <c r="P20" s="120">
        <v>48453270.832172185</v>
      </c>
      <c r="Q20" s="120">
        <v>44745080.665776581</v>
      </c>
      <c r="R20" s="120"/>
      <c r="S20" s="120"/>
      <c r="T20" s="107"/>
    </row>
    <row r="21" spans="1:20" ht="15">
      <c r="A21" s="105" t="s">
        <v>251</v>
      </c>
      <c r="B21" s="105"/>
      <c r="C21" s="107" t="s">
        <v>251</v>
      </c>
      <c r="D21" s="107" t="s">
        <v>251</v>
      </c>
      <c r="E21" s="120" t="s">
        <v>251</v>
      </c>
      <c r="F21" s="120" t="s">
        <v>251</v>
      </c>
      <c r="G21" s="120" t="s">
        <v>251</v>
      </c>
      <c r="H21" s="120" t="s">
        <v>251</v>
      </c>
      <c r="I21" s="120" t="s">
        <v>251</v>
      </c>
      <c r="J21" s="120" t="s">
        <v>251</v>
      </c>
      <c r="K21" s="120" t="s">
        <v>251</v>
      </c>
      <c r="L21" s="120" t="s">
        <v>251</v>
      </c>
      <c r="M21" s="120" t="s">
        <v>251</v>
      </c>
      <c r="N21" s="120" t="s">
        <v>251</v>
      </c>
      <c r="O21" s="120" t="s">
        <v>251</v>
      </c>
      <c r="P21" s="120" t="s">
        <v>251</v>
      </c>
      <c r="Q21" s="120" t="s">
        <v>251</v>
      </c>
      <c r="R21" s="120"/>
      <c r="S21" s="120"/>
      <c r="T21" s="107"/>
    </row>
    <row r="22" spans="1:20" ht="15">
      <c r="A22" s="105">
        <v>4</v>
      </c>
      <c r="B22" s="105"/>
      <c r="C22" s="107" t="s">
        <v>257</v>
      </c>
      <c r="D22" s="107" t="s">
        <v>251</v>
      </c>
      <c r="E22" s="120">
        <v>233249501.75412571</v>
      </c>
      <c r="F22" s="120" t="s">
        <v>251</v>
      </c>
      <c r="G22" s="120">
        <v>217783948.97020823</v>
      </c>
      <c r="H22" s="120" t="s">
        <v>251</v>
      </c>
      <c r="I22" s="120">
        <v>12499879.803799547</v>
      </c>
      <c r="J22" s="120">
        <v>2965672.980117952</v>
      </c>
      <c r="K22" s="120" t="s">
        <v>251</v>
      </c>
      <c r="L22" s="120" t="s">
        <v>251</v>
      </c>
      <c r="M22" s="120">
        <v>2060.5652407180605</v>
      </c>
      <c r="N22" s="120" t="s">
        <v>251</v>
      </c>
      <c r="O22" s="120">
        <v>2963612.414877234</v>
      </c>
      <c r="P22" s="120">
        <v>1506799.5915451827</v>
      </c>
      <c r="Q22" s="120">
        <v>1456812.823332051</v>
      </c>
      <c r="R22" s="120"/>
      <c r="S22" s="120"/>
      <c r="T22" s="107"/>
    </row>
    <row r="23" spans="1:20" ht="15">
      <c r="A23" s="105">
        <v>5</v>
      </c>
      <c r="B23" s="105"/>
      <c r="C23" s="107" t="s">
        <v>258</v>
      </c>
      <c r="D23" s="107" t="s">
        <v>251</v>
      </c>
      <c r="E23" s="120">
        <v>6796615107.1643267</v>
      </c>
      <c r="F23" s="120" t="s">
        <v>251</v>
      </c>
      <c r="G23" s="120">
        <v>6374766897.0541582</v>
      </c>
      <c r="H23" s="120" t="s">
        <v>251</v>
      </c>
      <c r="I23" s="120">
        <v>325162706.02133602</v>
      </c>
      <c r="J23" s="120">
        <v>96685504.088832498</v>
      </c>
      <c r="K23" s="120" t="s">
        <v>251</v>
      </c>
      <c r="L23" s="120" t="s">
        <v>251</v>
      </c>
      <c r="M23" s="120">
        <v>523540.17600649508</v>
      </c>
      <c r="N23" s="120" t="s">
        <v>251</v>
      </c>
      <c r="O23" s="120">
        <v>96161963.912826002</v>
      </c>
      <c r="P23" s="120">
        <v>49960070.423717365</v>
      </c>
      <c r="Q23" s="120">
        <v>46201893.48910863</v>
      </c>
      <c r="R23" s="120"/>
      <c r="S23" s="120"/>
      <c r="T23" s="107"/>
    </row>
    <row r="24" spans="1:20" ht="15">
      <c r="A24" s="105" t="s">
        <v>251</v>
      </c>
      <c r="B24" s="105"/>
      <c r="C24" s="107" t="s">
        <v>251</v>
      </c>
      <c r="D24" s="107" t="s">
        <v>251</v>
      </c>
      <c r="E24" s="120"/>
      <c r="F24" s="120" t="s">
        <v>251</v>
      </c>
      <c r="G24" s="120" t="s">
        <v>251</v>
      </c>
      <c r="H24" s="120" t="s">
        <v>251</v>
      </c>
      <c r="I24" s="120" t="s">
        <v>251</v>
      </c>
      <c r="J24" s="120" t="s">
        <v>251</v>
      </c>
      <c r="K24" s="120" t="s">
        <v>251</v>
      </c>
      <c r="L24" s="120" t="s">
        <v>251</v>
      </c>
      <c r="M24" s="120" t="s">
        <v>251</v>
      </c>
      <c r="N24" s="120" t="s">
        <v>251</v>
      </c>
      <c r="O24" s="120" t="s">
        <v>251</v>
      </c>
      <c r="P24" s="120" t="s">
        <v>251</v>
      </c>
      <c r="Q24" s="120" t="s">
        <v>251</v>
      </c>
      <c r="R24" s="120"/>
      <c r="S24" s="120"/>
      <c r="T24" s="107"/>
    </row>
    <row r="25" spans="1:20" ht="15">
      <c r="A25" s="105" t="s">
        <v>251</v>
      </c>
      <c r="B25" s="105"/>
      <c r="C25" s="107" t="s">
        <v>259</v>
      </c>
      <c r="D25" s="107" t="s">
        <v>251</v>
      </c>
      <c r="E25" s="120"/>
      <c r="F25" s="120" t="s">
        <v>251</v>
      </c>
      <c r="G25" s="120" t="s">
        <v>251</v>
      </c>
      <c r="H25" s="120" t="s">
        <v>251</v>
      </c>
      <c r="I25" s="120" t="s">
        <v>251</v>
      </c>
      <c r="J25" s="120" t="s">
        <v>251</v>
      </c>
      <c r="K25" s="120" t="s">
        <v>251</v>
      </c>
      <c r="L25" s="120" t="s">
        <v>251</v>
      </c>
      <c r="M25" s="120" t="s">
        <v>251</v>
      </c>
      <c r="N25" s="120" t="s">
        <v>251</v>
      </c>
      <c r="O25" s="120" t="s">
        <v>251</v>
      </c>
      <c r="P25" s="120" t="s">
        <v>251</v>
      </c>
      <c r="Q25" s="120" t="s">
        <v>251</v>
      </c>
      <c r="R25" s="120"/>
      <c r="S25" s="121"/>
    </row>
    <row r="26" spans="1:20" ht="15">
      <c r="A26" s="105">
        <v>6</v>
      </c>
      <c r="B26" s="105"/>
      <c r="C26" s="107" t="s">
        <v>260</v>
      </c>
      <c r="D26" s="107" t="s">
        <v>251</v>
      </c>
      <c r="E26" s="120">
        <v>60204948.999999993</v>
      </c>
      <c r="F26" s="120" t="s">
        <v>251</v>
      </c>
      <c r="G26" s="120">
        <v>56082637.706404522</v>
      </c>
      <c r="H26" s="120" t="s">
        <v>251</v>
      </c>
      <c r="I26" s="120">
        <v>3281761.5110206492</v>
      </c>
      <c r="J26" s="120">
        <v>840549.78257482743</v>
      </c>
      <c r="K26" s="120" t="s">
        <v>251</v>
      </c>
      <c r="L26" s="120" t="s">
        <v>251</v>
      </c>
      <c r="M26" s="120">
        <v>2948.7730920599552</v>
      </c>
      <c r="N26" s="120" t="s">
        <v>251</v>
      </c>
      <c r="O26" s="120">
        <v>837601.00948276743</v>
      </c>
      <c r="P26" s="120">
        <v>432496.21149577515</v>
      </c>
      <c r="Q26" s="120">
        <v>405104.79798699223</v>
      </c>
      <c r="R26" s="120"/>
      <c r="S26" s="121"/>
    </row>
    <row r="27" spans="1:20" ht="15">
      <c r="A27" s="105">
        <v>7</v>
      </c>
      <c r="B27" s="105"/>
      <c r="C27" s="107" t="s">
        <v>261</v>
      </c>
      <c r="D27" s="107" t="s">
        <v>251</v>
      </c>
      <c r="E27" s="120">
        <v>62955456.000000007</v>
      </c>
      <c r="F27" s="120" t="s">
        <v>251</v>
      </c>
      <c r="G27" s="120">
        <v>59241660.740988947</v>
      </c>
      <c r="H27" s="120" t="s">
        <v>251</v>
      </c>
      <c r="I27" s="120">
        <v>2416789.5602463312</v>
      </c>
      <c r="J27" s="120">
        <v>1297005.6987647284</v>
      </c>
      <c r="K27" s="120" t="s">
        <v>251</v>
      </c>
      <c r="L27" s="120" t="s">
        <v>251</v>
      </c>
      <c r="M27" s="120">
        <v>265.13329903306823</v>
      </c>
      <c r="N27" s="120" t="s">
        <v>251</v>
      </c>
      <c r="O27" s="120">
        <v>1296740.5654656952</v>
      </c>
      <c r="P27" s="120">
        <v>656679.3526504836</v>
      </c>
      <c r="Q27" s="120">
        <v>640061.2128152115</v>
      </c>
      <c r="R27" s="120"/>
      <c r="S27" s="121"/>
    </row>
    <row r="28" spans="1:20" ht="15">
      <c r="A28" s="105">
        <v>8</v>
      </c>
      <c r="B28" s="105"/>
      <c r="C28" s="107" t="s">
        <v>262</v>
      </c>
      <c r="D28" s="107" t="s">
        <v>251</v>
      </c>
      <c r="E28" s="120">
        <v>15827640.363883544</v>
      </c>
      <c r="F28" s="120" t="s">
        <v>251</v>
      </c>
      <c r="G28" s="120">
        <v>15604608.223481942</v>
      </c>
      <c r="H28" s="120" t="s">
        <v>251</v>
      </c>
      <c r="I28" s="120">
        <v>0</v>
      </c>
      <c r="J28" s="120">
        <v>223032.14040160261</v>
      </c>
      <c r="K28" s="120" t="s">
        <v>251</v>
      </c>
      <c r="L28" s="120" t="s">
        <v>251</v>
      </c>
      <c r="M28" s="120">
        <v>1133.8842849669027</v>
      </c>
      <c r="N28" s="120" t="s">
        <v>251</v>
      </c>
      <c r="O28" s="120">
        <v>221898.25611663569</v>
      </c>
      <c r="P28" s="120">
        <v>115468.19290699322</v>
      </c>
      <c r="Q28" s="120">
        <v>106430.06320964245</v>
      </c>
      <c r="R28" s="120"/>
      <c r="S28" s="121"/>
    </row>
    <row r="29" spans="1:20" ht="15">
      <c r="A29" s="105">
        <v>9</v>
      </c>
      <c r="B29" s="105"/>
      <c r="C29" s="107" t="s">
        <v>263</v>
      </c>
      <c r="D29" s="107" t="s">
        <v>251</v>
      </c>
      <c r="E29" s="120">
        <v>107314039.5445969</v>
      </c>
      <c r="F29" s="120" t="s">
        <v>251</v>
      </c>
      <c r="G29" s="120">
        <v>98296696.272289366</v>
      </c>
      <c r="H29" s="120" t="s">
        <v>251</v>
      </c>
      <c r="I29" s="120">
        <v>7228495.1166923987</v>
      </c>
      <c r="J29" s="120">
        <v>1788848.1556468399</v>
      </c>
      <c r="K29" s="120" t="s">
        <v>251</v>
      </c>
      <c r="L29" s="120" t="s">
        <v>251</v>
      </c>
      <c r="M29" s="120">
        <v>3132.7200039664281</v>
      </c>
      <c r="N29" s="120" t="s">
        <v>251</v>
      </c>
      <c r="O29" s="120">
        <v>1785715.4356428734</v>
      </c>
      <c r="P29" s="120">
        <v>910962.66564100038</v>
      </c>
      <c r="Q29" s="120">
        <v>874752.77000187314</v>
      </c>
      <c r="R29" s="120"/>
      <c r="S29" s="121"/>
    </row>
    <row r="30" spans="1:20" ht="15">
      <c r="A30" s="105">
        <v>10</v>
      </c>
      <c r="B30" s="105"/>
      <c r="C30" s="107" t="s">
        <v>264</v>
      </c>
      <c r="D30" s="107" t="s">
        <v>251</v>
      </c>
      <c r="E30" s="120">
        <v>129522</v>
      </c>
      <c r="F30" s="120" t="s">
        <v>251</v>
      </c>
      <c r="G30" s="120">
        <v>121415.99914063678</v>
      </c>
      <c r="H30" s="120" t="s">
        <v>251</v>
      </c>
      <c r="I30" s="120">
        <v>5559.7880225348144</v>
      </c>
      <c r="J30" s="120">
        <v>2546.2128368284079</v>
      </c>
      <c r="K30" s="120" t="s">
        <v>251</v>
      </c>
      <c r="L30" s="120" t="s">
        <v>251</v>
      </c>
      <c r="M30" s="120">
        <v>0.3897284430270167</v>
      </c>
      <c r="N30" s="120" t="s">
        <v>251</v>
      </c>
      <c r="O30" s="120">
        <v>2545.8231083853811</v>
      </c>
      <c r="P30" s="120">
        <v>1291.1703317485064</v>
      </c>
      <c r="Q30" s="120">
        <v>1254.6527766368747</v>
      </c>
      <c r="R30" s="120"/>
      <c r="S30" s="121"/>
    </row>
    <row r="31" spans="1:20" ht="15">
      <c r="A31" s="105">
        <v>11</v>
      </c>
      <c r="B31" s="105"/>
      <c r="C31" s="107" t="s">
        <v>2493</v>
      </c>
      <c r="D31" s="107" t="s">
        <v>251</v>
      </c>
      <c r="E31" s="120">
        <v>101937692.82886787</v>
      </c>
      <c r="F31" s="120" t="s">
        <v>251</v>
      </c>
      <c r="G31" s="120">
        <v>96343596</v>
      </c>
      <c r="H31" s="120" t="s">
        <v>251</v>
      </c>
      <c r="I31" s="120">
        <v>3332590.8360824827</v>
      </c>
      <c r="J31" s="120">
        <v>2261505.9927853812</v>
      </c>
      <c r="K31" s="120" t="s">
        <v>251</v>
      </c>
      <c r="L31" s="120" t="s">
        <v>251</v>
      </c>
      <c r="M31" s="120">
        <v>346.15064252144873</v>
      </c>
      <c r="N31" s="120" t="s">
        <v>251</v>
      </c>
      <c r="O31" s="120">
        <v>2261159.8421428595</v>
      </c>
      <c r="P31" s="120">
        <v>1146797.0786735597</v>
      </c>
      <c r="Q31" s="120">
        <v>1114362.7634692998</v>
      </c>
      <c r="R31" s="120"/>
      <c r="S31" s="121"/>
    </row>
    <row r="32" spans="1:20" ht="15">
      <c r="A32" s="105">
        <v>12</v>
      </c>
      <c r="B32" s="105"/>
      <c r="C32" s="107" t="s">
        <v>265</v>
      </c>
      <c r="D32" s="107" t="s">
        <v>251</v>
      </c>
      <c r="E32" s="120">
        <v>348369299.73734832</v>
      </c>
      <c r="F32" s="120" t="s">
        <v>251</v>
      </c>
      <c r="G32" s="120">
        <v>325690614.94230545</v>
      </c>
      <c r="H32" s="120" t="s">
        <v>251</v>
      </c>
      <c r="I32" s="120">
        <v>16265196.812064398</v>
      </c>
      <c r="J32" s="120">
        <v>6413487.9830102082</v>
      </c>
      <c r="K32" s="120" t="s">
        <v>251</v>
      </c>
      <c r="L32" s="120" t="s">
        <v>251</v>
      </c>
      <c r="M32" s="120">
        <v>7827.0510509908299</v>
      </c>
      <c r="N32" s="120" t="s">
        <v>251</v>
      </c>
      <c r="O32" s="120">
        <v>6405660.9319592174</v>
      </c>
      <c r="P32" s="120">
        <v>3263694.6716995607</v>
      </c>
      <c r="Q32" s="120">
        <v>3141966.2602596562</v>
      </c>
      <c r="R32" s="120"/>
      <c r="S32" s="121"/>
    </row>
    <row r="33" spans="1:19" ht="15">
      <c r="A33" s="105" t="s">
        <v>251</v>
      </c>
      <c r="B33" s="105"/>
      <c r="C33" s="107" t="s">
        <v>251</v>
      </c>
      <c r="D33" s="107" t="s">
        <v>251</v>
      </c>
      <c r="E33" s="120" t="s">
        <v>251</v>
      </c>
      <c r="F33" s="120" t="s">
        <v>251</v>
      </c>
      <c r="G33" s="120" t="s">
        <v>251</v>
      </c>
      <c r="H33" s="120" t="s">
        <v>251</v>
      </c>
      <c r="I33" s="120" t="s">
        <v>251</v>
      </c>
      <c r="J33" s="120" t="s">
        <v>251</v>
      </c>
      <c r="K33" s="120" t="s">
        <v>251</v>
      </c>
      <c r="L33" s="120" t="s">
        <v>251</v>
      </c>
      <c r="M33" s="120" t="s">
        <v>251</v>
      </c>
      <c r="N33" s="120" t="s">
        <v>251</v>
      </c>
      <c r="O33" s="120" t="s">
        <v>251</v>
      </c>
      <c r="P33" s="120" t="s">
        <v>251</v>
      </c>
      <c r="Q33" s="120" t="s">
        <v>251</v>
      </c>
      <c r="R33" s="120"/>
      <c r="S33" s="121"/>
    </row>
    <row r="34" spans="1:19" ht="15">
      <c r="A34" s="105" t="s">
        <v>251</v>
      </c>
      <c r="B34" s="105"/>
      <c r="C34" s="107" t="s">
        <v>266</v>
      </c>
      <c r="D34" s="107" t="s">
        <v>251</v>
      </c>
      <c r="E34" s="120" t="s">
        <v>251</v>
      </c>
      <c r="F34" s="120" t="s">
        <v>251</v>
      </c>
      <c r="G34" s="120" t="s">
        <v>251</v>
      </c>
      <c r="H34" s="120" t="s">
        <v>251</v>
      </c>
      <c r="I34" s="120" t="s">
        <v>251</v>
      </c>
      <c r="J34" s="120" t="s">
        <v>251</v>
      </c>
      <c r="K34" s="120" t="s">
        <v>251</v>
      </c>
      <c r="L34" s="120" t="s">
        <v>251</v>
      </c>
      <c r="M34" s="120" t="s">
        <v>251</v>
      </c>
      <c r="N34" s="120" t="s">
        <v>251</v>
      </c>
      <c r="O34" s="120" t="s">
        <v>251</v>
      </c>
      <c r="P34" s="120" t="s">
        <v>251</v>
      </c>
      <c r="Q34" s="120" t="s">
        <v>251</v>
      </c>
      <c r="R34" s="120"/>
      <c r="S34" s="121"/>
    </row>
    <row r="35" spans="1:19" ht="15">
      <c r="A35" s="105">
        <v>13</v>
      </c>
      <c r="B35" s="105"/>
      <c r="C35" s="107" t="s">
        <v>267</v>
      </c>
      <c r="D35" s="107" t="s">
        <v>251</v>
      </c>
      <c r="E35" s="120">
        <v>1404439676</v>
      </c>
      <c r="F35" s="120" t="s">
        <v>251</v>
      </c>
      <c r="G35" s="120">
        <v>1317539216.4786587</v>
      </c>
      <c r="H35" s="120" t="s">
        <v>251</v>
      </c>
      <c r="I35" s="120">
        <v>67557134.350649521</v>
      </c>
      <c r="J35" s="120">
        <v>19343325.170691621</v>
      </c>
      <c r="K35" s="120" t="s">
        <v>251</v>
      </c>
      <c r="L35" s="120" t="s">
        <v>251</v>
      </c>
      <c r="M35" s="120">
        <v>97658.179203134583</v>
      </c>
      <c r="N35" s="120" t="s">
        <v>251</v>
      </c>
      <c r="O35" s="120">
        <v>19245666.991488487</v>
      </c>
      <c r="P35" s="120">
        <v>10019931.964561019</v>
      </c>
      <c r="Q35" s="120">
        <v>9225735.0269274674</v>
      </c>
      <c r="R35" s="120"/>
      <c r="S35" s="121"/>
    </row>
    <row r="36" spans="1:19" ht="15">
      <c r="A36" s="105">
        <v>14</v>
      </c>
      <c r="B36" s="105"/>
      <c r="C36" s="107" t="s">
        <v>268</v>
      </c>
      <c r="D36" s="107" t="s">
        <v>251</v>
      </c>
      <c r="E36" s="120">
        <v>89931576</v>
      </c>
      <c r="F36" s="120" t="s">
        <v>251</v>
      </c>
      <c r="G36" s="120">
        <v>84144180.918382138</v>
      </c>
      <c r="H36" s="120" t="s">
        <v>251</v>
      </c>
      <c r="I36" s="120">
        <v>3907889.6670551179</v>
      </c>
      <c r="J36" s="120">
        <v>1879505.4145627418</v>
      </c>
      <c r="K36" s="120" t="s">
        <v>251</v>
      </c>
      <c r="L36" s="120" t="s">
        <v>251</v>
      </c>
      <c r="M36" s="120">
        <v>268.68863240388049</v>
      </c>
      <c r="N36" s="120" t="s">
        <v>251</v>
      </c>
      <c r="O36" s="120">
        <v>1879236.7259303378</v>
      </c>
      <c r="P36" s="120">
        <v>953096.3478418336</v>
      </c>
      <c r="Q36" s="120">
        <v>926140.37808850419</v>
      </c>
      <c r="R36" s="120"/>
      <c r="S36" s="121"/>
    </row>
    <row r="37" spans="1:19" ht="15">
      <c r="A37" s="105">
        <v>15</v>
      </c>
      <c r="B37" s="105"/>
      <c r="C37" s="107" t="s">
        <v>269</v>
      </c>
      <c r="D37" s="107" t="s">
        <v>251</v>
      </c>
      <c r="E37" s="120">
        <v>980981.36999999965</v>
      </c>
      <c r="F37" s="120" t="s">
        <v>251</v>
      </c>
      <c r="G37" s="120">
        <v>951646.55364259344</v>
      </c>
      <c r="H37" s="120" t="s">
        <v>251</v>
      </c>
      <c r="I37" s="120">
        <v>29334.816357406231</v>
      </c>
      <c r="J37" s="120">
        <v>0</v>
      </c>
      <c r="K37" s="120" t="s">
        <v>251</v>
      </c>
      <c r="L37" s="120" t="s">
        <v>251</v>
      </c>
      <c r="M37" s="120">
        <v>0</v>
      </c>
      <c r="N37" s="120" t="s">
        <v>251</v>
      </c>
      <c r="O37" s="120">
        <v>0</v>
      </c>
      <c r="P37" s="120">
        <v>0</v>
      </c>
      <c r="Q37" s="120">
        <v>0</v>
      </c>
      <c r="R37" s="120"/>
      <c r="S37" s="121"/>
    </row>
    <row r="38" spans="1:19" ht="15">
      <c r="A38" s="105">
        <v>16</v>
      </c>
      <c r="B38" s="105"/>
      <c r="C38" s="107" t="s">
        <v>270</v>
      </c>
      <c r="D38" s="107" t="s">
        <v>251</v>
      </c>
      <c r="E38" s="120">
        <v>30898393.370000001</v>
      </c>
      <c r="F38" s="120" t="s">
        <v>251</v>
      </c>
      <c r="G38" s="120">
        <v>0</v>
      </c>
      <c r="H38" s="120" t="s">
        <v>251</v>
      </c>
      <c r="I38" s="120">
        <v>1710542.4421739152</v>
      </c>
      <c r="J38" s="120">
        <v>1.0102626508301783E-2</v>
      </c>
      <c r="K38" s="120" t="s">
        <v>251</v>
      </c>
      <c r="L38" s="120" t="s">
        <v>251</v>
      </c>
      <c r="M38" s="120">
        <v>0</v>
      </c>
      <c r="N38" s="120" t="s">
        <v>251</v>
      </c>
      <c r="O38" s="120">
        <v>1.0102626508301783E-2</v>
      </c>
      <c r="P38" s="120">
        <v>1.0102626508301783E-2</v>
      </c>
      <c r="Q38" s="120">
        <v>0</v>
      </c>
      <c r="R38" s="120"/>
      <c r="S38" s="121"/>
    </row>
    <row r="39" spans="1:19" ht="15">
      <c r="A39" s="105">
        <v>17</v>
      </c>
      <c r="B39" s="105"/>
      <c r="C39" s="107" t="s">
        <v>271</v>
      </c>
      <c r="D39" s="107" t="s">
        <v>251</v>
      </c>
      <c r="E39" s="120">
        <v>-91173</v>
      </c>
      <c r="F39" s="120" t="s">
        <v>251</v>
      </c>
      <c r="G39" s="120">
        <v>0</v>
      </c>
      <c r="H39" s="120" t="s">
        <v>251</v>
      </c>
      <c r="I39" s="120">
        <v>-91173</v>
      </c>
      <c r="J39" s="120">
        <v>0</v>
      </c>
      <c r="K39" s="120" t="s">
        <v>251</v>
      </c>
      <c r="L39" s="120" t="s">
        <v>251</v>
      </c>
      <c r="M39" s="120">
        <v>0</v>
      </c>
      <c r="N39" s="120" t="s">
        <v>251</v>
      </c>
      <c r="O39" s="120">
        <v>0</v>
      </c>
      <c r="P39" s="120">
        <v>0</v>
      </c>
      <c r="Q39" s="120">
        <v>0</v>
      </c>
      <c r="R39" s="120"/>
      <c r="S39" s="121"/>
    </row>
    <row r="40" spans="1:19" ht="15">
      <c r="A40" s="105">
        <v>18</v>
      </c>
      <c r="B40" s="105"/>
      <c r="C40" s="107" t="s">
        <v>272</v>
      </c>
      <c r="D40" s="107" t="s">
        <v>251</v>
      </c>
      <c r="E40" s="120">
        <v>18730630.045384593</v>
      </c>
      <c r="F40" s="120" t="s">
        <v>251</v>
      </c>
      <c r="G40" s="120">
        <v>0</v>
      </c>
      <c r="H40" s="120" t="s">
        <v>251</v>
      </c>
      <c r="I40" s="120">
        <v>886854.04059820552</v>
      </c>
      <c r="J40" s="120">
        <v>9.983713851556717E-13</v>
      </c>
      <c r="K40" s="120" t="s">
        <v>251</v>
      </c>
      <c r="L40" s="120" t="s">
        <v>251</v>
      </c>
      <c r="M40" s="120">
        <v>0</v>
      </c>
      <c r="N40" s="120" t="s">
        <v>251</v>
      </c>
      <c r="O40" s="120">
        <v>9.983713851556717E-13</v>
      </c>
      <c r="P40" s="120">
        <v>0</v>
      </c>
      <c r="Q40" s="120">
        <v>0</v>
      </c>
      <c r="R40" s="120"/>
      <c r="S40" s="121"/>
    </row>
    <row r="41" spans="1:19" ht="15">
      <c r="A41" s="105">
        <v>19</v>
      </c>
      <c r="B41" s="105"/>
      <c r="C41" s="107" t="s">
        <v>273</v>
      </c>
      <c r="D41" s="107" t="s">
        <v>251</v>
      </c>
      <c r="E41" s="120">
        <v>6921646.9999999981</v>
      </c>
      <c r="F41" s="120" t="s">
        <v>251</v>
      </c>
      <c r="G41" s="120">
        <v>0</v>
      </c>
      <c r="H41" s="120" t="s">
        <v>251</v>
      </c>
      <c r="I41" s="120">
        <v>0</v>
      </c>
      <c r="J41" s="120">
        <v>82431.071509072906</v>
      </c>
      <c r="K41" s="120" t="s">
        <v>251</v>
      </c>
      <c r="L41" s="120" t="s">
        <v>251</v>
      </c>
      <c r="M41" s="120">
        <v>0</v>
      </c>
      <c r="N41" s="120" t="s">
        <v>251</v>
      </c>
      <c r="O41" s="120">
        <v>82431.071509072906</v>
      </c>
      <c r="P41" s="120">
        <v>42969.645202867752</v>
      </c>
      <c r="Q41" s="120">
        <v>39461.426306205147</v>
      </c>
      <c r="R41" s="120"/>
      <c r="S41" s="121"/>
    </row>
    <row r="42" spans="1:19" ht="15">
      <c r="A42" s="105">
        <v>20</v>
      </c>
      <c r="B42" s="105"/>
      <c r="C42" s="107" t="s">
        <v>274</v>
      </c>
      <c r="D42" s="107" t="s">
        <v>251</v>
      </c>
      <c r="E42" s="120">
        <v>6465681.3499999996</v>
      </c>
      <c r="F42" s="120" t="s">
        <v>251</v>
      </c>
      <c r="G42" s="120">
        <v>0</v>
      </c>
      <c r="H42" s="120" t="s">
        <v>251</v>
      </c>
      <c r="I42" s="120">
        <v>0</v>
      </c>
      <c r="J42" s="120">
        <v>77000.899022548983</v>
      </c>
      <c r="K42" s="120" t="s">
        <v>251</v>
      </c>
      <c r="L42" s="120" t="s">
        <v>251</v>
      </c>
      <c r="M42" s="120">
        <v>0</v>
      </c>
      <c r="N42" s="120" t="s">
        <v>251</v>
      </c>
      <c r="O42" s="120">
        <v>77000.899022548983</v>
      </c>
      <c r="P42" s="120">
        <v>40139.006453853981</v>
      </c>
      <c r="Q42" s="120">
        <v>36861.89256869501</v>
      </c>
      <c r="R42" s="120"/>
      <c r="S42" s="121"/>
    </row>
    <row r="43" spans="1:19" ht="15">
      <c r="A43" s="105">
        <v>21</v>
      </c>
      <c r="B43" s="105"/>
      <c r="C43" s="107" t="s">
        <v>275</v>
      </c>
      <c r="D43" s="107" t="s">
        <v>251</v>
      </c>
      <c r="E43" s="120">
        <v>1944142.0800000003</v>
      </c>
      <c r="F43" s="120" t="s">
        <v>251</v>
      </c>
      <c r="G43" s="120">
        <v>0</v>
      </c>
      <c r="H43" s="120" t="s">
        <v>251</v>
      </c>
      <c r="I43" s="120">
        <v>0</v>
      </c>
      <c r="J43" s="120">
        <v>23153.118733197141</v>
      </c>
      <c r="K43" s="120" t="s">
        <v>251</v>
      </c>
      <c r="L43" s="120" t="s">
        <v>251</v>
      </c>
      <c r="M43" s="120">
        <v>0</v>
      </c>
      <c r="N43" s="120" t="s">
        <v>251</v>
      </c>
      <c r="O43" s="120">
        <v>23153.118733197141</v>
      </c>
      <c r="P43" s="120">
        <v>12069.251061425895</v>
      </c>
      <c r="Q43" s="120">
        <v>11083.867671771246</v>
      </c>
      <c r="R43" s="120"/>
      <c r="S43" s="121"/>
    </row>
    <row r="44" spans="1:19" ht="15">
      <c r="A44" s="105">
        <v>22</v>
      </c>
      <c r="B44" s="105"/>
      <c r="C44" s="107" t="s">
        <v>276</v>
      </c>
      <c r="D44" s="107" t="s">
        <v>251</v>
      </c>
      <c r="E44" s="120">
        <v>1560221554.2153842</v>
      </c>
      <c r="F44" s="120" t="s">
        <v>251</v>
      </c>
      <c r="G44" s="120">
        <v>1402635043.9506834</v>
      </c>
      <c r="H44" s="120" t="s">
        <v>251</v>
      </c>
      <c r="I44" s="120">
        <v>74000582.316834152</v>
      </c>
      <c r="J44" s="120">
        <v>21405415.684621803</v>
      </c>
      <c r="K44" s="120" t="s">
        <v>251</v>
      </c>
      <c r="L44" s="120" t="s">
        <v>251</v>
      </c>
      <c r="M44" s="120">
        <v>97926.867835538462</v>
      </c>
      <c r="N44" s="120" t="s">
        <v>251</v>
      </c>
      <c r="O44" s="120">
        <v>21307488.816786267</v>
      </c>
      <c r="P44" s="120">
        <v>11068206.225223625</v>
      </c>
      <c r="Q44" s="120">
        <v>10239282.591562642</v>
      </c>
      <c r="R44" s="120"/>
      <c r="S44" s="121"/>
    </row>
    <row r="45" spans="1:19" ht="15">
      <c r="A45" s="105" t="s">
        <v>251</v>
      </c>
      <c r="B45" s="105"/>
      <c r="C45" s="107" t="s">
        <v>251</v>
      </c>
      <c r="D45" s="107" t="s">
        <v>251</v>
      </c>
      <c r="E45" s="120" t="s">
        <v>251</v>
      </c>
      <c r="F45" s="120" t="s">
        <v>251</v>
      </c>
      <c r="G45" s="120" t="s">
        <v>251</v>
      </c>
      <c r="H45" s="120" t="s">
        <v>251</v>
      </c>
      <c r="I45" s="120" t="s">
        <v>251</v>
      </c>
      <c r="J45" s="120" t="s">
        <v>251</v>
      </c>
      <c r="K45" s="120" t="s">
        <v>251</v>
      </c>
      <c r="L45" s="120" t="s">
        <v>251</v>
      </c>
      <c r="M45" s="120" t="s">
        <v>251</v>
      </c>
      <c r="N45" s="120" t="s">
        <v>251</v>
      </c>
      <c r="O45" s="120" t="s">
        <v>251</v>
      </c>
      <c r="P45" s="120" t="s">
        <v>251</v>
      </c>
      <c r="Q45" s="120" t="s">
        <v>251</v>
      </c>
      <c r="R45" s="120"/>
      <c r="S45" s="121"/>
    </row>
    <row r="46" spans="1:19" ht="15">
      <c r="A46" s="105">
        <v>23</v>
      </c>
      <c r="B46" s="105"/>
      <c r="C46" s="107" t="s">
        <v>277</v>
      </c>
      <c r="D46" s="107" t="s">
        <v>251</v>
      </c>
      <c r="E46" s="120">
        <v>5584762852.6862907</v>
      </c>
      <c r="F46" s="120" t="s">
        <v>251</v>
      </c>
      <c r="G46" s="120">
        <v>5297822468.0457802</v>
      </c>
      <c r="H46" s="120" t="s">
        <v>251</v>
      </c>
      <c r="I46" s="120">
        <v>267427320.51656628</v>
      </c>
      <c r="J46" s="120">
        <v>81693576.387220904</v>
      </c>
      <c r="K46" s="120" t="s">
        <v>251</v>
      </c>
      <c r="L46" s="120" t="s">
        <v>251</v>
      </c>
      <c r="M46" s="120">
        <v>433440.3592219475</v>
      </c>
      <c r="N46" s="120" t="s">
        <v>251</v>
      </c>
      <c r="O46" s="120">
        <v>81260136.027998954</v>
      </c>
      <c r="P46" s="120">
        <v>42155558.870193303</v>
      </c>
      <c r="Q46" s="120">
        <v>39104577.157805644</v>
      </c>
      <c r="R46" s="120"/>
      <c r="S46" s="121"/>
    </row>
    <row r="47" spans="1:19" ht="15">
      <c r="A47" s="105" t="s">
        <v>251</v>
      </c>
      <c r="B47" s="105"/>
      <c r="C47" s="107" t="s">
        <v>251</v>
      </c>
      <c r="D47" s="107" t="s">
        <v>251</v>
      </c>
      <c r="E47" s="120" t="s">
        <v>251</v>
      </c>
      <c r="F47" s="120" t="s">
        <v>251</v>
      </c>
      <c r="G47" s="120"/>
      <c r="H47" s="120"/>
      <c r="I47" s="120"/>
      <c r="J47" s="120"/>
      <c r="K47" s="120"/>
      <c r="L47" s="120"/>
      <c r="M47" s="120"/>
      <c r="N47" s="120"/>
      <c r="O47" s="120"/>
      <c r="P47" s="120"/>
      <c r="Q47" s="120"/>
      <c r="R47" s="120"/>
      <c r="S47" s="121"/>
    </row>
    <row r="48" spans="1:19" ht="15">
      <c r="A48" s="105" t="s">
        <v>251</v>
      </c>
      <c r="B48" s="105"/>
      <c r="C48" s="107" t="s">
        <v>278</v>
      </c>
      <c r="D48" s="107" t="s">
        <v>251</v>
      </c>
      <c r="E48" s="120" t="s">
        <v>251</v>
      </c>
      <c r="F48" s="120" t="s">
        <v>251</v>
      </c>
      <c r="G48" s="120"/>
      <c r="H48" s="120"/>
      <c r="I48" s="120"/>
      <c r="J48" s="120"/>
      <c r="K48" s="120"/>
      <c r="L48" s="120"/>
      <c r="M48" s="120"/>
      <c r="N48" s="120"/>
      <c r="O48" s="120"/>
      <c r="P48" s="120"/>
      <c r="Q48" s="120"/>
      <c r="R48" s="120"/>
      <c r="S48" s="121"/>
    </row>
    <row r="49" spans="1:19" ht="15">
      <c r="A49" s="105">
        <v>24</v>
      </c>
      <c r="B49" s="105"/>
      <c r="C49" s="107" t="s">
        <v>279</v>
      </c>
      <c r="D49" s="107" t="s">
        <v>251</v>
      </c>
      <c r="E49" s="120">
        <v>1736122450.5255041</v>
      </c>
      <c r="F49" s="120" t="s">
        <v>251</v>
      </c>
      <c r="G49" s="120">
        <v>1637071255.570703</v>
      </c>
      <c r="H49" s="120" t="s">
        <v>251</v>
      </c>
      <c r="I49" s="120">
        <v>73646268.174997061</v>
      </c>
      <c r="J49" s="120">
        <v>25404926.779804032</v>
      </c>
      <c r="K49" s="120" t="s">
        <v>251</v>
      </c>
      <c r="L49" s="120" t="s">
        <v>251</v>
      </c>
      <c r="M49" s="120">
        <v>172.13271890353676</v>
      </c>
      <c r="N49" s="120" t="s">
        <v>251</v>
      </c>
      <c r="O49" s="120">
        <v>25404754.64708513</v>
      </c>
      <c r="P49" s="120">
        <v>12946042.706812311</v>
      </c>
      <c r="Q49" s="120">
        <v>12458711.940272819</v>
      </c>
      <c r="R49" s="120"/>
      <c r="S49" s="121"/>
    </row>
    <row r="50" spans="1:19" ht="15">
      <c r="A50" s="105" t="s">
        <v>251</v>
      </c>
      <c r="B50" s="105"/>
      <c r="C50" s="107" t="s">
        <v>251</v>
      </c>
      <c r="D50" s="107" t="s">
        <v>251</v>
      </c>
      <c r="E50" s="120" t="s">
        <v>251</v>
      </c>
      <c r="F50" s="120" t="s">
        <v>251</v>
      </c>
      <c r="G50" s="120" t="s">
        <v>251</v>
      </c>
      <c r="H50" s="120" t="s">
        <v>251</v>
      </c>
      <c r="I50" s="120" t="s">
        <v>251</v>
      </c>
      <c r="J50" s="120" t="s">
        <v>251</v>
      </c>
      <c r="K50" s="120" t="s">
        <v>251</v>
      </c>
      <c r="L50" s="120" t="s">
        <v>251</v>
      </c>
      <c r="M50" s="120" t="s">
        <v>251</v>
      </c>
      <c r="N50" s="120" t="s">
        <v>251</v>
      </c>
      <c r="O50" s="120" t="s">
        <v>251</v>
      </c>
      <c r="P50" s="120" t="s">
        <v>251</v>
      </c>
      <c r="Q50" s="120" t="s">
        <v>251</v>
      </c>
      <c r="R50" s="120"/>
      <c r="S50" s="121"/>
    </row>
    <row r="51" spans="1:19" ht="15">
      <c r="A51" s="105" t="s">
        <v>251</v>
      </c>
      <c r="B51" s="105"/>
      <c r="C51" s="107" t="s">
        <v>280</v>
      </c>
      <c r="D51" s="107" t="s">
        <v>251</v>
      </c>
      <c r="E51" s="120" t="s">
        <v>251</v>
      </c>
      <c r="F51" s="120" t="s">
        <v>251</v>
      </c>
      <c r="G51" s="120" t="s">
        <v>251</v>
      </c>
      <c r="H51" s="120" t="s">
        <v>251</v>
      </c>
      <c r="I51" s="120" t="s">
        <v>251</v>
      </c>
      <c r="J51" s="120" t="s">
        <v>251</v>
      </c>
      <c r="K51" s="120" t="s">
        <v>251</v>
      </c>
      <c r="L51" s="120" t="s">
        <v>251</v>
      </c>
      <c r="M51" s="120" t="s">
        <v>251</v>
      </c>
      <c r="N51" s="120" t="s">
        <v>251</v>
      </c>
      <c r="O51" s="120" t="s">
        <v>251</v>
      </c>
      <c r="P51" s="120" t="s">
        <v>251</v>
      </c>
      <c r="Q51" s="120" t="s">
        <v>251</v>
      </c>
      <c r="R51" s="120"/>
      <c r="S51" s="121"/>
    </row>
    <row r="52" spans="1:19" ht="15">
      <c r="A52" s="105">
        <v>25</v>
      </c>
      <c r="B52" s="105"/>
      <c r="C52" s="107" t="s">
        <v>281</v>
      </c>
      <c r="D52" s="107" t="s">
        <v>251</v>
      </c>
      <c r="E52" s="120">
        <v>938986321.69972634</v>
      </c>
      <c r="F52" s="120" t="s">
        <v>251</v>
      </c>
      <c r="G52" s="120">
        <v>880920467.51762056</v>
      </c>
      <c r="H52" s="120" t="s">
        <v>251</v>
      </c>
      <c r="I52" s="120">
        <v>42570834.745900512</v>
      </c>
      <c r="J52" s="120">
        <v>15495019.436205316</v>
      </c>
      <c r="K52" s="120" t="s">
        <v>251</v>
      </c>
      <c r="L52" s="120" t="s">
        <v>251</v>
      </c>
      <c r="M52" s="120">
        <v>25291.613923351957</v>
      </c>
      <c r="N52" s="120" t="s">
        <v>251</v>
      </c>
      <c r="O52" s="120">
        <v>15469727.822281964</v>
      </c>
      <c r="P52" s="120">
        <v>7887472.1403816631</v>
      </c>
      <c r="Q52" s="120">
        <v>7582255.6819003001</v>
      </c>
      <c r="R52" s="120"/>
      <c r="S52" s="121"/>
    </row>
    <row r="53" spans="1:19" ht="15">
      <c r="A53" s="105">
        <v>26</v>
      </c>
      <c r="B53" s="105"/>
      <c r="C53" s="107" t="s">
        <v>282</v>
      </c>
      <c r="D53" s="107" t="s">
        <v>251</v>
      </c>
      <c r="E53" s="120">
        <v>358022831.3684656</v>
      </c>
      <c r="F53" s="120" t="s">
        <v>251</v>
      </c>
      <c r="G53" s="120">
        <v>335078116.72106242</v>
      </c>
      <c r="H53" s="120" t="s">
        <v>251</v>
      </c>
      <c r="I53" s="120">
        <v>17272167.353005558</v>
      </c>
      <c r="J53" s="120">
        <v>5672547.294397627</v>
      </c>
      <c r="K53" s="120" t="s">
        <v>251</v>
      </c>
      <c r="L53" s="120" t="s">
        <v>251</v>
      </c>
      <c r="M53" s="120">
        <v>7210.8949214003687</v>
      </c>
      <c r="N53" s="120" t="s">
        <v>251</v>
      </c>
      <c r="O53" s="120">
        <v>5665336.3994762264</v>
      </c>
      <c r="P53" s="120">
        <v>2922543.2395374426</v>
      </c>
      <c r="Q53" s="120">
        <v>2742793.1599387839</v>
      </c>
      <c r="R53" s="120"/>
      <c r="S53" s="121"/>
    </row>
    <row r="54" spans="1:19" ht="15">
      <c r="A54" s="105">
        <v>27</v>
      </c>
      <c r="B54" s="105"/>
      <c r="C54" s="107" t="s">
        <v>2232</v>
      </c>
      <c r="D54" s="107" t="s">
        <v>251</v>
      </c>
      <c r="E54" s="120">
        <v>9627422.6450364999</v>
      </c>
      <c r="F54" s="120" t="s">
        <v>251</v>
      </c>
      <c r="G54" s="120">
        <v>8494110.8450364992</v>
      </c>
      <c r="H54" s="120" t="s">
        <v>251</v>
      </c>
      <c r="I54" s="120">
        <v>1133311.8</v>
      </c>
      <c r="J54" s="120">
        <v>0</v>
      </c>
      <c r="K54" s="120" t="s">
        <v>251</v>
      </c>
      <c r="L54" s="120" t="s">
        <v>251</v>
      </c>
      <c r="M54" s="120">
        <v>0</v>
      </c>
      <c r="N54" s="120" t="s">
        <v>251</v>
      </c>
      <c r="O54" s="120">
        <v>0</v>
      </c>
      <c r="P54" s="120">
        <v>0</v>
      </c>
      <c r="Q54" s="120">
        <v>0</v>
      </c>
      <c r="R54" s="120"/>
      <c r="S54" s="121"/>
    </row>
    <row r="55" spans="1:19" ht="15">
      <c r="A55" s="105">
        <v>28</v>
      </c>
      <c r="B55" s="105"/>
      <c r="C55" s="107" t="s">
        <v>283</v>
      </c>
      <c r="D55" s="107" t="s">
        <v>251</v>
      </c>
      <c r="E55" s="120">
        <v>48253363.348729044</v>
      </c>
      <c r="F55" s="120" t="s">
        <v>251</v>
      </c>
      <c r="G55" s="120">
        <v>45504236.550886422</v>
      </c>
      <c r="H55" s="120" t="s">
        <v>251</v>
      </c>
      <c r="I55" s="120">
        <v>2133286.7750078598</v>
      </c>
      <c r="J55" s="120">
        <v>615840.0228347634</v>
      </c>
      <c r="K55" s="120" t="s">
        <v>251</v>
      </c>
      <c r="L55" s="120" t="s">
        <v>251</v>
      </c>
      <c r="M55" s="120">
        <v>3434.5807416059679</v>
      </c>
      <c r="N55" s="120" t="s">
        <v>251</v>
      </c>
      <c r="O55" s="120">
        <v>612405.44209315744</v>
      </c>
      <c r="P55" s="120">
        <v>318561.76778776961</v>
      </c>
      <c r="Q55" s="120">
        <v>293843.67430538783</v>
      </c>
      <c r="R55" s="120"/>
      <c r="S55" s="121"/>
    </row>
    <row r="56" spans="1:19" ht="15">
      <c r="A56" s="105">
        <v>29</v>
      </c>
      <c r="B56" s="105"/>
      <c r="C56" s="107" t="s">
        <v>284</v>
      </c>
      <c r="D56" s="107" t="s">
        <v>251</v>
      </c>
      <c r="E56" s="120">
        <v>47740751.899999976</v>
      </c>
      <c r="F56" s="120" t="s">
        <v>251</v>
      </c>
      <c r="G56" s="120">
        <v>47032707.367272116</v>
      </c>
      <c r="H56" s="120" t="s">
        <v>251</v>
      </c>
      <c r="I56" s="120">
        <v>676071.1289047366</v>
      </c>
      <c r="J56" s="120">
        <v>246233.0072059932</v>
      </c>
      <c r="K56" s="120" t="s">
        <v>251</v>
      </c>
      <c r="L56" s="120" t="s">
        <v>251</v>
      </c>
      <c r="M56" s="120">
        <v>-12345.188685951836</v>
      </c>
      <c r="N56" s="120" t="s">
        <v>251</v>
      </c>
      <c r="O56" s="120">
        <v>258578.1958919437</v>
      </c>
      <c r="P56" s="120">
        <v>113811.61811011884</v>
      </c>
      <c r="Q56" s="120">
        <v>144766.57778182492</v>
      </c>
      <c r="R56" s="120"/>
      <c r="S56" s="121"/>
    </row>
    <row r="57" spans="1:19" ht="15">
      <c r="A57" s="105">
        <v>30</v>
      </c>
      <c r="B57" s="105"/>
      <c r="C57" s="107" t="s">
        <v>285</v>
      </c>
      <c r="D57" s="107" t="s">
        <v>251</v>
      </c>
      <c r="E57" s="120">
        <v>0</v>
      </c>
      <c r="F57" s="120" t="s">
        <v>251</v>
      </c>
      <c r="G57" s="120">
        <v>0</v>
      </c>
      <c r="H57" s="120" t="s">
        <v>251</v>
      </c>
      <c r="I57" s="120">
        <v>0</v>
      </c>
      <c r="J57" s="120">
        <v>0</v>
      </c>
      <c r="K57" s="120"/>
      <c r="L57" s="120"/>
      <c r="M57" s="120">
        <v>0</v>
      </c>
      <c r="N57" s="120" t="s">
        <v>251</v>
      </c>
      <c r="O57" s="120">
        <v>0</v>
      </c>
      <c r="P57" s="120">
        <v>0</v>
      </c>
      <c r="Q57" s="120">
        <v>0</v>
      </c>
      <c r="R57" s="120"/>
      <c r="S57" s="121"/>
    </row>
    <row r="58" spans="1:19" ht="15">
      <c r="A58" s="105">
        <v>31</v>
      </c>
      <c r="B58" s="105"/>
      <c r="C58" s="107" t="s">
        <v>286</v>
      </c>
      <c r="D58" s="107" t="s">
        <v>251</v>
      </c>
      <c r="E58" s="120">
        <v>0</v>
      </c>
      <c r="F58" s="120" t="s">
        <v>251</v>
      </c>
      <c r="G58" s="120">
        <v>0</v>
      </c>
      <c r="H58" s="120" t="s">
        <v>251</v>
      </c>
      <c r="I58" s="120">
        <v>0</v>
      </c>
      <c r="J58" s="120">
        <v>0</v>
      </c>
      <c r="K58" s="120"/>
      <c r="L58" s="120"/>
      <c r="M58" s="120">
        <v>0</v>
      </c>
      <c r="N58" s="120" t="s">
        <v>251</v>
      </c>
      <c r="O58" s="120">
        <v>0</v>
      </c>
      <c r="P58" s="120">
        <v>0</v>
      </c>
      <c r="Q58" s="120">
        <v>0</v>
      </c>
      <c r="R58" s="120"/>
      <c r="S58" s="121"/>
    </row>
    <row r="59" spans="1:19" ht="15">
      <c r="A59" s="105">
        <v>32</v>
      </c>
      <c r="B59" s="105"/>
      <c r="C59" s="107" t="s">
        <v>287</v>
      </c>
      <c r="D59" s="107" t="s">
        <v>251</v>
      </c>
      <c r="E59" s="120">
        <v>1123628.06</v>
      </c>
      <c r="F59" s="120" t="s">
        <v>251</v>
      </c>
      <c r="G59" s="120">
        <v>0</v>
      </c>
      <c r="H59" s="120" t="s">
        <v>251</v>
      </c>
      <c r="I59" s="120">
        <v>26600.655790168377</v>
      </c>
      <c r="J59" s="120">
        <v>0</v>
      </c>
      <c r="K59" s="120"/>
      <c r="L59" s="120"/>
      <c r="M59" s="120">
        <v>0</v>
      </c>
      <c r="N59" s="120" t="s">
        <v>251</v>
      </c>
      <c r="O59" s="120">
        <v>0</v>
      </c>
      <c r="P59" s="120">
        <v>0</v>
      </c>
      <c r="Q59" s="120">
        <v>0</v>
      </c>
      <c r="R59" s="120"/>
      <c r="S59" s="121"/>
    </row>
    <row r="60" spans="1:19" ht="15">
      <c r="A60" s="105">
        <v>33</v>
      </c>
      <c r="B60" s="105"/>
      <c r="C60" s="107" t="s">
        <v>288</v>
      </c>
      <c r="D60" s="107" t="s">
        <v>251</v>
      </c>
      <c r="E60" s="120">
        <v>435510.9</v>
      </c>
      <c r="F60" s="120" t="s">
        <v>251</v>
      </c>
      <c r="G60" s="120">
        <v>0</v>
      </c>
      <c r="H60" s="120" t="s">
        <v>251</v>
      </c>
      <c r="I60" s="120">
        <v>21902.279497089981</v>
      </c>
      <c r="J60" s="120">
        <v>0</v>
      </c>
      <c r="K60" s="120"/>
      <c r="L60" s="120"/>
      <c r="M60" s="120">
        <v>0</v>
      </c>
      <c r="N60" s="120" t="s">
        <v>251</v>
      </c>
      <c r="O60" s="120">
        <v>0</v>
      </c>
      <c r="P60" s="120">
        <v>0</v>
      </c>
      <c r="Q60" s="120">
        <v>0</v>
      </c>
      <c r="R60" s="120"/>
      <c r="S60" s="121"/>
    </row>
    <row r="61" spans="1:19" ht="15">
      <c r="A61" s="105">
        <v>34</v>
      </c>
      <c r="B61" s="105"/>
      <c r="C61" s="107" t="s">
        <v>289</v>
      </c>
      <c r="D61" s="107" t="s">
        <v>251</v>
      </c>
      <c r="E61" s="120">
        <v>0</v>
      </c>
      <c r="F61" s="120" t="s">
        <v>251</v>
      </c>
      <c r="G61" s="120">
        <v>0</v>
      </c>
      <c r="H61" s="120" t="s">
        <v>251</v>
      </c>
      <c r="I61" s="120">
        <v>0</v>
      </c>
      <c r="J61" s="120">
        <v>0</v>
      </c>
      <c r="K61" s="120"/>
      <c r="L61" s="120"/>
      <c r="M61" s="120">
        <v>0</v>
      </c>
      <c r="N61" s="120" t="s">
        <v>251</v>
      </c>
      <c r="O61" s="120">
        <v>0</v>
      </c>
      <c r="P61" s="120">
        <v>0</v>
      </c>
      <c r="Q61" s="120">
        <v>0</v>
      </c>
      <c r="R61" s="120"/>
      <c r="S61" s="121"/>
    </row>
    <row r="62" spans="1:19" ht="15">
      <c r="A62" s="105">
        <v>35</v>
      </c>
      <c r="B62" s="105"/>
      <c r="C62" s="107" t="s">
        <v>290</v>
      </c>
      <c r="D62" s="107" t="s">
        <v>251</v>
      </c>
      <c r="E62" s="120">
        <v>1404189829.9219575</v>
      </c>
      <c r="F62" s="120" t="s">
        <v>251</v>
      </c>
      <c r="G62" s="120">
        <v>1317029639.001878</v>
      </c>
      <c r="H62" s="120" t="s">
        <v>251</v>
      </c>
      <c r="I62" s="120">
        <v>63834174.738105915</v>
      </c>
      <c r="J62" s="120">
        <v>22029639.760643702</v>
      </c>
      <c r="K62" s="120" t="s">
        <v>251</v>
      </c>
      <c r="L62" s="120" t="s">
        <v>251</v>
      </c>
      <c r="M62" s="120">
        <v>23591.900900406457</v>
      </c>
      <c r="N62" s="120" t="s">
        <v>251</v>
      </c>
      <c r="O62" s="120">
        <v>22006047.85974329</v>
      </c>
      <c r="P62" s="120">
        <v>11242388.765816994</v>
      </c>
      <c r="Q62" s="120">
        <v>10763659.093926298</v>
      </c>
      <c r="R62" s="120"/>
      <c r="S62" s="121"/>
    </row>
    <row r="63" spans="1:19" ht="15">
      <c r="A63" s="105" t="s">
        <v>251</v>
      </c>
      <c r="B63" s="105"/>
      <c r="C63" s="107" t="s">
        <v>251</v>
      </c>
      <c r="D63" s="107" t="s">
        <v>251</v>
      </c>
      <c r="E63" s="120" t="s">
        <v>251</v>
      </c>
      <c r="F63" s="120" t="s">
        <v>251</v>
      </c>
      <c r="G63" s="120" t="s">
        <v>251</v>
      </c>
      <c r="H63" s="120" t="s">
        <v>251</v>
      </c>
      <c r="I63" s="120" t="s">
        <v>251</v>
      </c>
      <c r="J63" s="120" t="s">
        <v>251</v>
      </c>
      <c r="K63" s="120" t="s">
        <v>251</v>
      </c>
      <c r="L63" s="120" t="s">
        <v>251</v>
      </c>
      <c r="M63" s="120" t="s">
        <v>251</v>
      </c>
      <c r="N63" s="120" t="s">
        <v>251</v>
      </c>
      <c r="O63" s="120" t="s">
        <v>251</v>
      </c>
      <c r="P63" s="120" t="s">
        <v>251</v>
      </c>
      <c r="Q63" s="120" t="s">
        <v>251</v>
      </c>
      <c r="R63" s="120"/>
      <c r="S63" s="121"/>
    </row>
    <row r="64" spans="1:19" ht="15">
      <c r="A64" s="105">
        <v>36</v>
      </c>
      <c r="B64" s="105"/>
      <c r="C64" s="107" t="s">
        <v>291</v>
      </c>
      <c r="D64" s="107" t="s">
        <v>251</v>
      </c>
      <c r="E64" s="120">
        <v>331932620.60354662</v>
      </c>
      <c r="F64" s="120" t="s">
        <v>251</v>
      </c>
      <c r="G64" s="120">
        <v>320041616.56882501</v>
      </c>
      <c r="H64" s="120" t="s">
        <v>251</v>
      </c>
      <c r="I64" s="120">
        <v>9812093.436891146</v>
      </c>
      <c r="J64" s="120">
        <v>3375287.0191603322</v>
      </c>
      <c r="K64" s="120" t="s">
        <v>251</v>
      </c>
      <c r="L64" s="120" t="s">
        <v>251</v>
      </c>
      <c r="M64" s="120">
        <v>-23419.768181502921</v>
      </c>
      <c r="N64" s="120" t="s">
        <v>251</v>
      </c>
      <c r="O64" s="120">
        <v>3398706.7873418387</v>
      </c>
      <c r="P64" s="120">
        <v>1703653.940995317</v>
      </c>
      <c r="Q64" s="120">
        <v>1695052.8463465218</v>
      </c>
      <c r="R64" s="122"/>
      <c r="S64" s="121"/>
    </row>
    <row r="65" spans="1:19" ht="15">
      <c r="A65" s="105">
        <v>37</v>
      </c>
      <c r="B65" s="105"/>
      <c r="C65" s="107" t="s">
        <v>292</v>
      </c>
      <c r="D65" s="107" t="s">
        <v>251</v>
      </c>
      <c r="E65" s="522">
        <v>5.9435401172654244E-2</v>
      </c>
      <c r="F65" s="522" t="s">
        <v>251</v>
      </c>
      <c r="G65" s="522">
        <v>6.041003044159754E-2</v>
      </c>
      <c r="H65" s="522" t="s">
        <v>251</v>
      </c>
      <c r="I65" s="522">
        <v>3.669069195300604E-2</v>
      </c>
      <c r="J65" s="522">
        <v>4.1316431088311602E-2</v>
      </c>
      <c r="K65" s="522" t="s">
        <v>251</v>
      </c>
      <c r="L65" s="522" t="s">
        <v>251</v>
      </c>
      <c r="M65" s="522">
        <v>-5.4032273837034621E-2</v>
      </c>
      <c r="N65" s="522" t="s">
        <v>251</v>
      </c>
      <c r="O65" s="522">
        <v>4.182501966487949E-2</v>
      </c>
      <c r="P65" s="522">
        <v>4.0413506229184645E-2</v>
      </c>
      <c r="Q65" s="522">
        <v>4.3346660916602525E-2</v>
      </c>
      <c r="R65" s="120"/>
      <c r="S65" s="121"/>
    </row>
    <row r="66" spans="1:19" ht="15">
      <c r="A66" s="105" t="s">
        <v>251</v>
      </c>
      <c r="B66" s="105"/>
      <c r="C66" s="107" t="s">
        <v>251</v>
      </c>
      <c r="D66" s="107" t="s">
        <v>251</v>
      </c>
      <c r="E66" s="120" t="s">
        <v>251</v>
      </c>
      <c r="F66" s="120" t="s">
        <v>251</v>
      </c>
      <c r="G66" s="522"/>
      <c r="H66" s="522"/>
      <c r="I66" s="522"/>
      <c r="J66" s="522"/>
      <c r="K66" s="522"/>
      <c r="L66" s="522"/>
      <c r="M66" s="522"/>
      <c r="N66" s="522"/>
      <c r="O66" s="522"/>
      <c r="P66" s="522"/>
      <c r="Q66" s="522"/>
      <c r="R66" s="120"/>
      <c r="S66" s="121"/>
    </row>
    <row r="67" spans="1:19" ht="15">
      <c r="A67" s="105" t="s">
        <v>251</v>
      </c>
      <c r="B67" s="105"/>
      <c r="C67" s="107" t="s">
        <v>251</v>
      </c>
      <c r="D67" s="107" t="s">
        <v>251</v>
      </c>
      <c r="E67" s="120" t="s">
        <v>251</v>
      </c>
      <c r="F67" s="120" t="s">
        <v>251</v>
      </c>
      <c r="G67" s="120" t="s">
        <v>251</v>
      </c>
      <c r="H67" s="120" t="s">
        <v>251</v>
      </c>
      <c r="I67" s="120" t="s">
        <v>251</v>
      </c>
      <c r="J67" s="120" t="s">
        <v>251</v>
      </c>
      <c r="K67" s="120" t="s">
        <v>251</v>
      </c>
      <c r="L67" s="120" t="s">
        <v>251</v>
      </c>
      <c r="M67" s="120" t="s">
        <v>251</v>
      </c>
      <c r="N67" s="120" t="s">
        <v>251</v>
      </c>
      <c r="O67" s="120" t="s">
        <v>251</v>
      </c>
      <c r="P67" s="120" t="s">
        <v>251</v>
      </c>
      <c r="Q67" s="120" t="s">
        <v>251</v>
      </c>
      <c r="R67" s="120"/>
      <c r="S67" s="121"/>
    </row>
    <row r="68" spans="1:19" ht="15">
      <c r="A68" s="105" t="s">
        <v>251</v>
      </c>
      <c r="B68" s="105"/>
      <c r="C68" s="107" t="s">
        <v>251</v>
      </c>
      <c r="D68" s="107" t="s">
        <v>251</v>
      </c>
      <c r="E68" s="120" t="s">
        <v>251</v>
      </c>
      <c r="F68" s="120" t="s">
        <v>251</v>
      </c>
      <c r="G68" s="120" t="s">
        <v>251</v>
      </c>
      <c r="H68" s="120" t="s">
        <v>251</v>
      </c>
      <c r="I68" s="120" t="s">
        <v>251</v>
      </c>
      <c r="J68" s="120" t="s">
        <v>251</v>
      </c>
      <c r="K68" s="120" t="s">
        <v>251</v>
      </c>
      <c r="L68" s="120" t="s">
        <v>251</v>
      </c>
      <c r="M68" s="120" t="s">
        <v>251</v>
      </c>
      <c r="N68" s="120" t="s">
        <v>251</v>
      </c>
      <c r="O68" s="120" t="s">
        <v>251</v>
      </c>
      <c r="P68" s="120" t="s">
        <v>251</v>
      </c>
      <c r="Q68" s="120" t="s">
        <v>251</v>
      </c>
      <c r="R68" s="120"/>
      <c r="S68" s="121"/>
    </row>
    <row r="69" spans="1:19" ht="15">
      <c r="A69" s="105" t="s">
        <v>251</v>
      </c>
      <c r="B69" s="105"/>
      <c r="C69" s="107" t="s">
        <v>293</v>
      </c>
      <c r="D69" s="107" t="s">
        <v>251</v>
      </c>
      <c r="E69" s="120" t="s">
        <v>251</v>
      </c>
      <c r="F69" s="120" t="s">
        <v>251</v>
      </c>
      <c r="G69" s="120" t="s">
        <v>251</v>
      </c>
      <c r="H69" s="120" t="s">
        <v>251</v>
      </c>
      <c r="I69" s="120" t="s">
        <v>251</v>
      </c>
      <c r="J69" s="120" t="s">
        <v>251</v>
      </c>
      <c r="K69" s="120" t="s">
        <v>251</v>
      </c>
      <c r="L69" s="120" t="s">
        <v>251</v>
      </c>
      <c r="M69" s="120" t="s">
        <v>251</v>
      </c>
      <c r="N69" s="120" t="s">
        <v>251</v>
      </c>
      <c r="O69" s="120" t="s">
        <v>251</v>
      </c>
      <c r="P69" s="120" t="s">
        <v>251</v>
      </c>
      <c r="Q69" s="120" t="s">
        <v>251</v>
      </c>
      <c r="R69" s="120"/>
      <c r="S69" s="121"/>
    </row>
    <row r="70" spans="1:19" ht="15">
      <c r="A70" s="105" t="s">
        <v>251</v>
      </c>
      <c r="B70" s="105"/>
      <c r="C70" s="107" t="s">
        <v>251</v>
      </c>
      <c r="D70" s="107" t="s">
        <v>251</v>
      </c>
      <c r="E70" s="120" t="s">
        <v>251</v>
      </c>
      <c r="F70" s="120" t="s">
        <v>251</v>
      </c>
      <c r="G70" s="120" t="s">
        <v>251</v>
      </c>
      <c r="H70" s="120" t="s">
        <v>251</v>
      </c>
      <c r="I70" s="120" t="s">
        <v>251</v>
      </c>
      <c r="J70" s="120" t="s">
        <v>251</v>
      </c>
      <c r="K70" s="120" t="s">
        <v>251</v>
      </c>
      <c r="L70" s="120" t="s">
        <v>251</v>
      </c>
      <c r="M70" s="120" t="s">
        <v>251</v>
      </c>
      <c r="N70" s="120" t="s">
        <v>251</v>
      </c>
      <c r="O70" s="120" t="s">
        <v>251</v>
      </c>
      <c r="P70" s="120" t="s">
        <v>251</v>
      </c>
      <c r="Q70" s="120" t="s">
        <v>251</v>
      </c>
      <c r="R70" s="120"/>
      <c r="S70" s="121"/>
    </row>
    <row r="71" spans="1:19" ht="15">
      <c r="A71" s="105" t="s">
        <v>251</v>
      </c>
      <c r="B71" s="129"/>
      <c r="C71" s="107" t="s">
        <v>294</v>
      </c>
      <c r="D71" s="107" t="s">
        <v>251</v>
      </c>
      <c r="E71" s="120" t="s">
        <v>251</v>
      </c>
      <c r="F71" s="120" t="s">
        <v>251</v>
      </c>
      <c r="G71" s="120" t="s">
        <v>251</v>
      </c>
      <c r="H71" s="120" t="s">
        <v>251</v>
      </c>
      <c r="I71" s="120" t="s">
        <v>251</v>
      </c>
      <c r="J71" s="120" t="s">
        <v>251</v>
      </c>
      <c r="K71" s="120" t="s">
        <v>251</v>
      </c>
      <c r="L71" s="120" t="s">
        <v>251</v>
      </c>
      <c r="M71" s="120" t="s">
        <v>251</v>
      </c>
      <c r="N71" s="120" t="s">
        <v>251</v>
      </c>
      <c r="O71" s="120" t="s">
        <v>251</v>
      </c>
      <c r="P71" s="120" t="s">
        <v>251</v>
      </c>
      <c r="Q71" s="120" t="s">
        <v>251</v>
      </c>
      <c r="R71" s="120"/>
      <c r="S71" s="121"/>
    </row>
    <row r="72" spans="1:19" ht="15">
      <c r="A72" s="105">
        <v>1</v>
      </c>
      <c r="B72" s="129" t="str">
        <f t="shared" ref="B72:B74" si="1">MID(C72,2,3)</f>
        <v>301</v>
      </c>
      <c r="C72" s="107" t="s">
        <v>295</v>
      </c>
      <c r="D72" s="107" t="s">
        <v>296</v>
      </c>
      <c r="E72" s="120">
        <v>44455.580000000016</v>
      </c>
      <c r="F72" s="120" t="s">
        <v>251</v>
      </c>
      <c r="G72" s="120">
        <v>41564.808184826179</v>
      </c>
      <c r="H72" s="120" t="s">
        <v>251</v>
      </c>
      <c r="I72" s="120">
        <v>2243.9470028455498</v>
      </c>
      <c r="J72" s="120">
        <v>646.82481232829002</v>
      </c>
      <c r="K72" s="120" t="s">
        <v>251</v>
      </c>
      <c r="L72" s="120" t="s">
        <v>251</v>
      </c>
      <c r="M72" s="120">
        <v>3.0551379219365944</v>
      </c>
      <c r="N72" s="120" t="s">
        <v>251</v>
      </c>
      <c r="O72" s="120">
        <v>643.76967440635337</v>
      </c>
      <c r="P72" s="120">
        <v>334.60437099889873</v>
      </c>
      <c r="Q72" s="120">
        <v>309.16530340745464</v>
      </c>
      <c r="R72" s="120"/>
      <c r="S72" s="121"/>
    </row>
    <row r="73" spans="1:19" ht="15">
      <c r="A73" s="105">
        <v>2</v>
      </c>
      <c r="B73" s="129" t="str">
        <f t="shared" si="1"/>
        <v>302</v>
      </c>
      <c r="C73" s="107" t="s">
        <v>297</v>
      </c>
      <c r="D73" s="107" t="s">
        <v>298</v>
      </c>
      <c r="E73" s="120">
        <v>55918.829999999994</v>
      </c>
      <c r="F73" s="120" t="s">
        <v>251</v>
      </c>
      <c r="G73" s="120">
        <v>55918.829999999994</v>
      </c>
      <c r="H73" s="120" t="s">
        <v>251</v>
      </c>
      <c r="I73" s="120">
        <v>0</v>
      </c>
      <c r="J73" s="120">
        <v>0</v>
      </c>
      <c r="K73" s="120" t="s">
        <v>251</v>
      </c>
      <c r="L73" s="120" t="s">
        <v>251</v>
      </c>
      <c r="M73" s="120">
        <v>0</v>
      </c>
      <c r="N73" s="120" t="s">
        <v>251</v>
      </c>
      <c r="O73" s="120">
        <v>0</v>
      </c>
      <c r="P73" s="120">
        <v>0</v>
      </c>
      <c r="Q73" s="120">
        <v>0</v>
      </c>
      <c r="R73" s="120"/>
      <c r="S73" s="121"/>
    </row>
    <row r="74" spans="1:19" ht="15">
      <c r="A74" s="105">
        <v>3</v>
      </c>
      <c r="B74" s="129" t="str">
        <f t="shared" si="1"/>
        <v>303</v>
      </c>
      <c r="C74" s="107" t="s">
        <v>299</v>
      </c>
      <c r="D74" s="107" t="s">
        <v>296</v>
      </c>
      <c r="E74" s="120">
        <v>97263001.68879576</v>
      </c>
      <c r="F74" s="120" t="s">
        <v>251</v>
      </c>
      <c r="G74" s="120">
        <v>90938370.586441979</v>
      </c>
      <c r="H74" s="120" t="s">
        <v>251</v>
      </c>
      <c r="I74" s="120">
        <v>4909462.9094330743</v>
      </c>
      <c r="J74" s="120">
        <v>1415168.192920696</v>
      </c>
      <c r="K74" s="120" t="s">
        <v>251</v>
      </c>
      <c r="L74" s="120" t="s">
        <v>251</v>
      </c>
      <c r="M74" s="120">
        <v>6684.2426723669514</v>
      </c>
      <c r="N74" s="120" t="s">
        <v>251</v>
      </c>
      <c r="O74" s="120">
        <v>1408483.950248329</v>
      </c>
      <c r="P74" s="120">
        <v>732070.65348251699</v>
      </c>
      <c r="Q74" s="120">
        <v>676413.29676581209</v>
      </c>
      <c r="R74" s="120"/>
      <c r="S74" s="121"/>
    </row>
    <row r="75" spans="1:19" ht="15">
      <c r="A75" s="105">
        <v>4</v>
      </c>
      <c r="B75" s="105"/>
      <c r="C75" s="107" t="s">
        <v>300</v>
      </c>
      <c r="D75" s="107" t="s">
        <v>251</v>
      </c>
      <c r="E75" s="120">
        <v>97363376.098795757</v>
      </c>
      <c r="F75" s="120" t="s">
        <v>251</v>
      </c>
      <c r="G75" s="120">
        <v>91035854.224626809</v>
      </c>
      <c r="H75" s="120" t="s">
        <v>251</v>
      </c>
      <c r="I75" s="120">
        <v>4911706.8564359201</v>
      </c>
      <c r="J75" s="120">
        <v>1415815.0177330242</v>
      </c>
      <c r="K75" s="120" t="s">
        <v>251</v>
      </c>
      <c r="L75" s="120" t="s">
        <v>251</v>
      </c>
      <c r="M75" s="120">
        <v>6687.2978102888883</v>
      </c>
      <c r="N75" s="120" t="s">
        <v>251</v>
      </c>
      <c r="O75" s="120">
        <v>1409127.7199227354</v>
      </c>
      <c r="P75" s="120">
        <v>732405.25785351591</v>
      </c>
      <c r="Q75" s="120">
        <v>676722.46206921956</v>
      </c>
      <c r="R75" s="120"/>
      <c r="S75" s="121"/>
    </row>
    <row r="76" spans="1:19" ht="15">
      <c r="A76" s="105" t="s">
        <v>251</v>
      </c>
      <c r="B76" s="105"/>
      <c r="C76" s="107" t="s">
        <v>251</v>
      </c>
      <c r="D76" s="107" t="s">
        <v>251</v>
      </c>
      <c r="E76" s="120" t="s">
        <v>251</v>
      </c>
      <c r="F76" s="120" t="s">
        <v>251</v>
      </c>
      <c r="G76" s="120" t="s">
        <v>251</v>
      </c>
      <c r="H76" s="120" t="s">
        <v>251</v>
      </c>
      <c r="I76" s="120" t="s">
        <v>251</v>
      </c>
      <c r="J76" s="120" t="s">
        <v>251</v>
      </c>
      <c r="K76" s="120" t="s">
        <v>251</v>
      </c>
      <c r="L76" s="120" t="s">
        <v>251</v>
      </c>
      <c r="M76" s="120" t="s">
        <v>251</v>
      </c>
      <c r="N76" s="120" t="s">
        <v>251</v>
      </c>
      <c r="O76" s="120" t="s">
        <v>251</v>
      </c>
      <c r="P76" s="120" t="s">
        <v>251</v>
      </c>
      <c r="Q76" s="120" t="s">
        <v>251</v>
      </c>
      <c r="R76" s="120"/>
      <c r="S76" s="121"/>
    </row>
    <row r="77" spans="1:19" ht="15">
      <c r="A77" s="105" t="s">
        <v>251</v>
      </c>
      <c r="B77" s="105"/>
      <c r="C77" s="107" t="s">
        <v>301</v>
      </c>
      <c r="D77" s="107" t="s">
        <v>251</v>
      </c>
      <c r="E77" s="120" t="s">
        <v>251</v>
      </c>
      <c r="F77" s="120" t="s">
        <v>251</v>
      </c>
      <c r="G77" s="120" t="s">
        <v>251</v>
      </c>
      <c r="H77" s="120" t="s">
        <v>251</v>
      </c>
      <c r="I77" s="120" t="s">
        <v>251</v>
      </c>
      <c r="J77" s="120" t="s">
        <v>251</v>
      </c>
      <c r="K77" s="120" t="s">
        <v>251</v>
      </c>
      <c r="L77" s="120" t="s">
        <v>251</v>
      </c>
      <c r="M77" s="120" t="s">
        <v>251</v>
      </c>
      <c r="N77" s="120" t="s">
        <v>251</v>
      </c>
      <c r="O77" s="120" t="s">
        <v>251</v>
      </c>
      <c r="P77" s="120" t="s">
        <v>251</v>
      </c>
      <c r="Q77" s="120" t="s">
        <v>251</v>
      </c>
      <c r="R77" s="120"/>
      <c r="S77" s="121"/>
    </row>
    <row r="78" spans="1:19" ht="15">
      <c r="A78" s="105" t="s">
        <v>251</v>
      </c>
      <c r="B78" s="129"/>
      <c r="C78" s="107" t="s">
        <v>302</v>
      </c>
      <c r="D78" s="107" t="s">
        <v>251</v>
      </c>
      <c r="E78" s="120" t="s">
        <v>251</v>
      </c>
      <c r="F78" s="120" t="s">
        <v>251</v>
      </c>
      <c r="G78" s="120" t="s">
        <v>251</v>
      </c>
      <c r="H78" s="120" t="s">
        <v>251</v>
      </c>
      <c r="I78" s="120" t="s">
        <v>251</v>
      </c>
      <c r="J78" s="120" t="s">
        <v>251</v>
      </c>
      <c r="K78" s="120" t="s">
        <v>251</v>
      </c>
      <c r="L78" s="120" t="s">
        <v>251</v>
      </c>
      <c r="M78" s="120" t="s">
        <v>251</v>
      </c>
      <c r="N78" s="120" t="s">
        <v>251</v>
      </c>
      <c r="O78" s="120" t="s">
        <v>251</v>
      </c>
      <c r="P78" s="120" t="s">
        <v>251</v>
      </c>
      <c r="Q78" s="120" t="s">
        <v>251</v>
      </c>
      <c r="R78" s="120"/>
      <c r="S78" s="121"/>
    </row>
    <row r="79" spans="1:19" ht="15">
      <c r="A79" s="105">
        <v>5</v>
      </c>
      <c r="B79" s="129" t="str">
        <f t="shared" ref="B79:B85" si="2">MID(C79,2,3)</f>
        <v>310</v>
      </c>
      <c r="C79" s="107" t="s">
        <v>303</v>
      </c>
      <c r="D79" s="107" t="s">
        <v>304</v>
      </c>
      <c r="E79" s="120">
        <v>24446473.830399901</v>
      </c>
      <c r="F79" s="120" t="s">
        <v>251</v>
      </c>
      <c r="G79" s="120">
        <v>22916516.465028595</v>
      </c>
      <c r="H79" s="120" t="s">
        <v>251</v>
      </c>
      <c r="I79" s="120">
        <v>1049375.4913873177</v>
      </c>
      <c r="J79" s="120">
        <v>480581.87398398702</v>
      </c>
      <c r="K79" s="120" t="s">
        <v>251</v>
      </c>
      <c r="L79" s="120" t="s">
        <v>251</v>
      </c>
      <c r="M79" s="120">
        <v>73.558825399719453</v>
      </c>
      <c r="N79" s="120" t="s">
        <v>251</v>
      </c>
      <c r="O79" s="120">
        <v>480508.3151585873</v>
      </c>
      <c r="P79" s="120">
        <v>243700.38854927054</v>
      </c>
      <c r="Q79" s="120">
        <v>236807.92660931678</v>
      </c>
      <c r="R79" s="120"/>
      <c r="S79" s="121"/>
    </row>
    <row r="80" spans="1:19" ht="15">
      <c r="A80" s="105">
        <v>6</v>
      </c>
      <c r="B80" s="129" t="str">
        <f t="shared" si="2"/>
        <v>311</v>
      </c>
      <c r="C80" s="107" t="s">
        <v>305</v>
      </c>
      <c r="D80" s="107" t="s">
        <v>304</v>
      </c>
      <c r="E80" s="120">
        <v>352632986.1379748</v>
      </c>
      <c r="F80" s="120" t="s">
        <v>251</v>
      </c>
      <c r="G80" s="120">
        <v>330563814.1928671</v>
      </c>
      <c r="H80" s="120" t="s">
        <v>251</v>
      </c>
      <c r="I80" s="120">
        <v>15136923.863749769</v>
      </c>
      <c r="J80" s="120">
        <v>6932248.0813579587</v>
      </c>
      <c r="K80" s="120" t="s">
        <v>251</v>
      </c>
      <c r="L80" s="120" t="s">
        <v>251</v>
      </c>
      <c r="M80" s="120">
        <v>1061.0637933904702</v>
      </c>
      <c r="N80" s="120" t="s">
        <v>251</v>
      </c>
      <c r="O80" s="120">
        <v>6931187.0175645687</v>
      </c>
      <c r="P80" s="120">
        <v>3515304.3475026279</v>
      </c>
      <c r="Q80" s="120">
        <v>3415882.6700619403</v>
      </c>
      <c r="R80" s="120"/>
      <c r="S80" s="121"/>
    </row>
    <row r="81" spans="1:19" ht="15">
      <c r="A81" s="105">
        <v>7</v>
      </c>
      <c r="B81" s="129" t="str">
        <f t="shared" si="2"/>
        <v>312</v>
      </c>
      <c r="C81" s="107" t="s">
        <v>306</v>
      </c>
      <c r="D81" s="107" t="s">
        <v>304</v>
      </c>
      <c r="E81" s="120">
        <v>4237631210.2340765</v>
      </c>
      <c r="F81" s="120" t="s">
        <v>251</v>
      </c>
      <c r="G81" s="120">
        <v>3972423429.0708623</v>
      </c>
      <c r="H81" s="120" t="s">
        <v>251</v>
      </c>
      <c r="I81" s="120">
        <v>181902157.52211305</v>
      </c>
      <c r="J81" s="120">
        <v>83305623.641101182</v>
      </c>
      <c r="K81" s="120" t="s">
        <v>251</v>
      </c>
      <c r="L81" s="120" t="s">
        <v>251</v>
      </c>
      <c r="M81" s="120">
        <v>12750.925817137004</v>
      </c>
      <c r="N81" s="120" t="s">
        <v>251</v>
      </c>
      <c r="O81" s="120">
        <v>83292872.71528405</v>
      </c>
      <c r="P81" s="120">
        <v>42243817.232174896</v>
      </c>
      <c r="Q81" s="120">
        <v>41049055.483109154</v>
      </c>
      <c r="R81" s="120"/>
      <c r="S81" s="121"/>
    </row>
    <row r="82" spans="1:19" ht="15">
      <c r="A82" s="105">
        <v>8</v>
      </c>
      <c r="B82" s="129" t="str">
        <f t="shared" si="2"/>
        <v>314</v>
      </c>
      <c r="C82" s="107" t="s">
        <v>307</v>
      </c>
      <c r="D82" s="107" t="s">
        <v>304</v>
      </c>
      <c r="E82" s="120">
        <v>330257103.94648623</v>
      </c>
      <c r="F82" s="120" t="s">
        <v>251</v>
      </c>
      <c r="G82" s="120">
        <v>309588303.52338421</v>
      </c>
      <c r="H82" s="120" t="s">
        <v>251</v>
      </c>
      <c r="I82" s="120">
        <v>14176429.416459827</v>
      </c>
      <c r="J82" s="120">
        <v>6492371.0066422485</v>
      </c>
      <c r="K82" s="120" t="s">
        <v>251</v>
      </c>
      <c r="L82" s="120" t="s">
        <v>251</v>
      </c>
      <c r="M82" s="120">
        <v>993.73532619690639</v>
      </c>
      <c r="N82" s="120" t="s">
        <v>251</v>
      </c>
      <c r="O82" s="120">
        <v>6491377.2713160515</v>
      </c>
      <c r="P82" s="120">
        <v>3292245.135690351</v>
      </c>
      <c r="Q82" s="120">
        <v>3199132.1356257005</v>
      </c>
      <c r="R82" s="120"/>
      <c r="S82" s="121"/>
    </row>
    <row r="83" spans="1:19" ht="15">
      <c r="A83" s="105">
        <v>9</v>
      </c>
      <c r="B83" s="129" t="str">
        <f t="shared" si="2"/>
        <v>315</v>
      </c>
      <c r="C83" s="107" t="s">
        <v>308</v>
      </c>
      <c r="D83" s="107" t="s">
        <v>304</v>
      </c>
      <c r="E83" s="120">
        <v>250701562.97526214</v>
      </c>
      <c r="F83" s="120" t="s">
        <v>251</v>
      </c>
      <c r="G83" s="120">
        <v>235011664.0783861</v>
      </c>
      <c r="H83" s="120" t="s">
        <v>251</v>
      </c>
      <c r="I83" s="120">
        <v>10761473.317742312</v>
      </c>
      <c r="J83" s="120">
        <v>4928425.579133722</v>
      </c>
      <c r="K83" s="120" t="s">
        <v>251</v>
      </c>
      <c r="L83" s="120" t="s">
        <v>251</v>
      </c>
      <c r="M83" s="120">
        <v>754.35470269752238</v>
      </c>
      <c r="N83" s="120" t="s">
        <v>251</v>
      </c>
      <c r="O83" s="120">
        <v>4927671.2244310249</v>
      </c>
      <c r="P83" s="120">
        <v>2499177.1300368914</v>
      </c>
      <c r="Q83" s="120">
        <v>2428494.0943941334</v>
      </c>
      <c r="R83" s="120"/>
      <c r="S83" s="121"/>
    </row>
    <row r="84" spans="1:19" ht="15">
      <c r="A84" s="105">
        <v>10</v>
      </c>
      <c r="B84" s="129" t="str">
        <f t="shared" si="2"/>
        <v>316</v>
      </c>
      <c r="C84" s="107" t="s">
        <v>309</v>
      </c>
      <c r="D84" s="107" t="s">
        <v>304</v>
      </c>
      <c r="E84" s="120">
        <v>43103349.172118492</v>
      </c>
      <c r="F84" s="120" t="s">
        <v>251</v>
      </c>
      <c r="G84" s="120">
        <v>40405770.494900525</v>
      </c>
      <c r="H84" s="120" t="s">
        <v>251</v>
      </c>
      <c r="I84" s="120">
        <v>1850229.9567508246</v>
      </c>
      <c r="J84" s="120">
        <v>847348.72046714253</v>
      </c>
      <c r="K84" s="120" t="s">
        <v>251</v>
      </c>
      <c r="L84" s="120" t="s">
        <v>251</v>
      </c>
      <c r="M84" s="120">
        <v>129.69689444341185</v>
      </c>
      <c r="N84" s="120" t="s">
        <v>251</v>
      </c>
      <c r="O84" s="120">
        <v>847219.02357269917</v>
      </c>
      <c r="P84" s="120">
        <v>429685.81129102345</v>
      </c>
      <c r="Q84" s="120">
        <v>417533.21228167572</v>
      </c>
      <c r="R84" s="120"/>
      <c r="S84" s="121"/>
    </row>
    <row r="85" spans="1:19" ht="15">
      <c r="A85" s="105">
        <v>11</v>
      </c>
      <c r="B85" s="129" t="str">
        <f t="shared" si="2"/>
        <v>317</v>
      </c>
      <c r="C85" s="107" t="s">
        <v>310</v>
      </c>
      <c r="D85" s="107" t="s">
        <v>304</v>
      </c>
      <c r="E85" s="120">
        <v>178310652.40384617</v>
      </c>
      <c r="F85" s="120" t="s">
        <v>251</v>
      </c>
      <c r="G85" s="120">
        <v>167151264.02488977</v>
      </c>
      <c r="H85" s="120" t="s">
        <v>251</v>
      </c>
      <c r="I85" s="120">
        <v>7654062.0861727931</v>
      </c>
      <c r="J85" s="120">
        <v>3505326.2927836305</v>
      </c>
      <c r="K85" s="120" t="s">
        <v>251</v>
      </c>
      <c r="L85" s="120" t="s">
        <v>251</v>
      </c>
      <c r="M85" s="120">
        <v>536.53227201929053</v>
      </c>
      <c r="N85" s="120" t="s">
        <v>251</v>
      </c>
      <c r="O85" s="120">
        <v>3504789.7605116111</v>
      </c>
      <c r="P85" s="120">
        <v>1777531.4171999095</v>
      </c>
      <c r="Q85" s="120">
        <v>1727258.3433117017</v>
      </c>
      <c r="R85" s="120"/>
      <c r="S85" s="121"/>
    </row>
    <row r="86" spans="1:19" ht="15">
      <c r="A86" s="105">
        <v>12</v>
      </c>
      <c r="B86" s="105"/>
      <c r="C86" s="107" t="s">
        <v>311</v>
      </c>
      <c r="D86" s="107" t="s">
        <v>312</v>
      </c>
      <c r="E86" s="120">
        <v>16782672.029999997</v>
      </c>
      <c r="F86" s="120" t="s">
        <v>251</v>
      </c>
      <c r="G86" s="120">
        <v>8813546.6613437645</v>
      </c>
      <c r="H86" s="120" t="s">
        <v>251</v>
      </c>
      <c r="I86" s="120">
        <v>5466169.9234149307</v>
      </c>
      <c r="J86" s="120">
        <v>2502955.4452413009</v>
      </c>
      <c r="K86" s="120" t="s">
        <v>251</v>
      </c>
      <c r="L86" s="120" t="s">
        <v>251</v>
      </c>
      <c r="M86" s="120">
        <v>0</v>
      </c>
      <c r="N86" s="120" t="s">
        <v>251</v>
      </c>
      <c r="O86" s="120">
        <v>2502955.4452413009</v>
      </c>
      <c r="P86" s="120">
        <v>1269429.0510363011</v>
      </c>
      <c r="Q86" s="120">
        <v>1233526.3942049998</v>
      </c>
      <c r="R86" s="120"/>
      <c r="S86" s="121"/>
    </row>
    <row r="87" spans="1:19" ht="15">
      <c r="A87" s="105">
        <v>13</v>
      </c>
      <c r="B87" s="105"/>
      <c r="C87" s="107" t="s">
        <v>313</v>
      </c>
      <c r="D87" s="107" t="s">
        <v>314</v>
      </c>
      <c r="E87" s="120">
        <v>24580305.350000001</v>
      </c>
      <c r="F87" s="120" t="s">
        <v>251</v>
      </c>
      <c r="G87" s="120">
        <v>19143695.29664474</v>
      </c>
      <c r="H87" s="120" t="s">
        <v>251</v>
      </c>
      <c r="I87" s="120">
        <v>0</v>
      </c>
      <c r="J87" s="120">
        <v>5436610.0533552635</v>
      </c>
      <c r="K87" s="120" t="s">
        <v>251</v>
      </c>
      <c r="L87" s="120" t="s">
        <v>251</v>
      </c>
      <c r="M87" s="120">
        <v>0</v>
      </c>
      <c r="N87" s="120" t="s">
        <v>251</v>
      </c>
      <c r="O87" s="120">
        <v>5436610.0533552635</v>
      </c>
      <c r="P87" s="120">
        <v>2757296.6806126465</v>
      </c>
      <c r="Q87" s="120">
        <v>2679313.3727426175</v>
      </c>
      <c r="R87" s="120"/>
      <c r="S87" s="121"/>
    </row>
    <row r="88" spans="1:19" ht="15">
      <c r="A88" s="105">
        <v>14</v>
      </c>
      <c r="B88" s="105"/>
      <c r="C88" s="107" t="s">
        <v>315</v>
      </c>
      <c r="D88" s="107" t="s">
        <v>251</v>
      </c>
      <c r="E88" s="120">
        <v>5458446316.0801649</v>
      </c>
      <c r="F88" s="120" t="s">
        <v>251</v>
      </c>
      <c r="G88" s="120">
        <v>5106018003.8083076</v>
      </c>
      <c r="H88" s="120" t="s">
        <v>251</v>
      </c>
      <c r="I88" s="120">
        <v>237996821.5777908</v>
      </c>
      <c r="J88" s="120">
        <v>114431490.69406644</v>
      </c>
      <c r="K88" s="120" t="s">
        <v>251</v>
      </c>
      <c r="L88" s="120" t="s">
        <v>251</v>
      </c>
      <c r="M88" s="120">
        <v>16299.867631284325</v>
      </c>
      <c r="N88" s="120" t="s">
        <v>251</v>
      </c>
      <c r="O88" s="120">
        <v>114415190.82643515</v>
      </c>
      <c r="P88" s="120">
        <v>58028187.194093913</v>
      </c>
      <c r="Q88" s="120">
        <v>56387003.632341236</v>
      </c>
      <c r="R88" s="120"/>
      <c r="S88" s="121"/>
    </row>
    <row r="89" spans="1:19" ht="15">
      <c r="A89" s="105" t="s">
        <v>251</v>
      </c>
      <c r="B89" s="105"/>
      <c r="C89" s="107" t="s">
        <v>251</v>
      </c>
      <c r="D89" s="107" t="s">
        <v>251</v>
      </c>
      <c r="E89" s="120" t="s">
        <v>251</v>
      </c>
      <c r="F89" s="120" t="s">
        <v>251</v>
      </c>
      <c r="G89" s="120" t="s">
        <v>251</v>
      </c>
      <c r="H89" s="120" t="s">
        <v>251</v>
      </c>
      <c r="I89" s="120" t="s">
        <v>251</v>
      </c>
      <c r="J89" s="120" t="s">
        <v>251</v>
      </c>
      <c r="K89" s="120" t="s">
        <v>251</v>
      </c>
      <c r="L89" s="120" t="s">
        <v>251</v>
      </c>
      <c r="M89" s="120" t="s">
        <v>251</v>
      </c>
      <c r="N89" s="120" t="s">
        <v>251</v>
      </c>
      <c r="O89" s="120" t="s">
        <v>251</v>
      </c>
      <c r="P89" s="120" t="s">
        <v>251</v>
      </c>
      <c r="Q89" s="120" t="s">
        <v>251</v>
      </c>
      <c r="R89" s="120"/>
      <c r="S89" s="121"/>
    </row>
    <row r="90" spans="1:19" ht="15">
      <c r="A90" s="105" t="s">
        <v>251</v>
      </c>
      <c r="B90" s="129"/>
      <c r="C90" s="107" t="s">
        <v>316</v>
      </c>
      <c r="D90" s="107" t="s">
        <v>251</v>
      </c>
      <c r="E90" s="120" t="s">
        <v>251</v>
      </c>
      <c r="F90" s="120" t="s">
        <v>251</v>
      </c>
      <c r="G90" s="120" t="s">
        <v>251</v>
      </c>
      <c r="H90" s="120" t="s">
        <v>251</v>
      </c>
      <c r="I90" s="120" t="s">
        <v>251</v>
      </c>
      <c r="J90" s="120" t="s">
        <v>251</v>
      </c>
      <c r="K90" s="120" t="s">
        <v>251</v>
      </c>
      <c r="L90" s="120" t="s">
        <v>251</v>
      </c>
      <c r="M90" s="120" t="s">
        <v>251</v>
      </c>
      <c r="N90" s="120" t="s">
        <v>251</v>
      </c>
      <c r="O90" s="120" t="s">
        <v>251</v>
      </c>
      <c r="P90" s="120" t="s">
        <v>251</v>
      </c>
      <c r="Q90" s="120" t="s">
        <v>251</v>
      </c>
      <c r="R90" s="120"/>
      <c r="S90" s="121"/>
    </row>
    <row r="91" spans="1:19" ht="15">
      <c r="A91" s="105">
        <v>15</v>
      </c>
      <c r="B91" s="129" t="str">
        <f t="shared" ref="B91:B98" si="3">MID(C91,2,3)</f>
        <v>330</v>
      </c>
      <c r="C91" s="107" t="s">
        <v>317</v>
      </c>
      <c r="D91" s="107" t="s">
        <v>304</v>
      </c>
      <c r="E91" s="120">
        <v>855636.47000000009</v>
      </c>
      <c r="F91" s="120" t="s">
        <v>251</v>
      </c>
      <c r="G91" s="120">
        <v>802087.34351089003</v>
      </c>
      <c r="H91" s="120" t="s">
        <v>251</v>
      </c>
      <c r="I91" s="120">
        <v>36728.56655664651</v>
      </c>
      <c r="J91" s="120">
        <v>16820.559932463562</v>
      </c>
      <c r="K91" s="120" t="s">
        <v>251</v>
      </c>
      <c r="L91" s="120" t="s">
        <v>251</v>
      </c>
      <c r="M91" s="120">
        <v>2.5745886355231753</v>
      </c>
      <c r="N91" s="120" t="s">
        <v>251</v>
      </c>
      <c r="O91" s="120">
        <v>16817.985343828041</v>
      </c>
      <c r="P91" s="120">
        <v>8529.6121494882809</v>
      </c>
      <c r="Q91" s="120">
        <v>8288.3731943397579</v>
      </c>
      <c r="R91" s="120"/>
      <c r="S91" s="121"/>
    </row>
    <row r="92" spans="1:19" ht="15">
      <c r="A92" s="105">
        <v>16</v>
      </c>
      <c r="B92" s="129" t="str">
        <f t="shared" si="3"/>
        <v>331</v>
      </c>
      <c r="C92" s="107" t="s">
        <v>318</v>
      </c>
      <c r="D92" s="107" t="s">
        <v>304</v>
      </c>
      <c r="E92" s="120">
        <v>4472311.3654446071</v>
      </c>
      <c r="F92" s="120" t="s">
        <v>251</v>
      </c>
      <c r="G92" s="120">
        <v>4192416.3686746848</v>
      </c>
      <c r="H92" s="120" t="s">
        <v>251</v>
      </c>
      <c r="I92" s="120">
        <v>191975.90496321279</v>
      </c>
      <c r="J92" s="120">
        <v>87919.091806709635</v>
      </c>
      <c r="K92" s="120" t="s">
        <v>251</v>
      </c>
      <c r="L92" s="120" t="s">
        <v>251</v>
      </c>
      <c r="M92" s="120">
        <v>13.457072506498957</v>
      </c>
      <c r="N92" s="120" t="s">
        <v>251</v>
      </c>
      <c r="O92" s="120">
        <v>87905.634734203137</v>
      </c>
      <c r="P92" s="120">
        <v>44583.281214031042</v>
      </c>
      <c r="Q92" s="120">
        <v>43322.353520172088</v>
      </c>
      <c r="R92" s="120"/>
      <c r="S92" s="121"/>
    </row>
    <row r="93" spans="1:19" ht="15">
      <c r="A93" s="105">
        <v>17</v>
      </c>
      <c r="B93" s="129" t="str">
        <f t="shared" si="3"/>
        <v>332</v>
      </c>
      <c r="C93" s="107" t="s">
        <v>319</v>
      </c>
      <c r="D93" s="107" t="s">
        <v>304</v>
      </c>
      <c r="E93" s="120">
        <v>21842694.049999993</v>
      </c>
      <c r="F93" s="120" t="s">
        <v>251</v>
      </c>
      <c r="G93" s="120">
        <v>20475691.558221702</v>
      </c>
      <c r="H93" s="120" t="s">
        <v>251</v>
      </c>
      <c r="I93" s="120">
        <v>937607.11507761164</v>
      </c>
      <c r="J93" s="120">
        <v>429395.37670068</v>
      </c>
      <c r="K93" s="120" t="s">
        <v>251</v>
      </c>
      <c r="L93" s="120" t="s">
        <v>251</v>
      </c>
      <c r="M93" s="120">
        <v>65.724117475193239</v>
      </c>
      <c r="N93" s="120" t="s">
        <v>251</v>
      </c>
      <c r="O93" s="120">
        <v>429329.65258320479</v>
      </c>
      <c r="P93" s="120">
        <v>217744.00119531521</v>
      </c>
      <c r="Q93" s="120">
        <v>211585.65138788958</v>
      </c>
      <c r="R93" s="120"/>
      <c r="S93" s="121"/>
    </row>
    <row r="94" spans="1:19" ht="15">
      <c r="A94" s="105">
        <v>18</v>
      </c>
      <c r="B94" s="129" t="str">
        <f t="shared" si="3"/>
        <v>333</v>
      </c>
      <c r="C94" s="107" t="s">
        <v>320</v>
      </c>
      <c r="D94" s="107" t="s">
        <v>304</v>
      </c>
      <c r="E94" s="120">
        <v>13988241.579999998</v>
      </c>
      <c r="F94" s="120" t="s">
        <v>251</v>
      </c>
      <c r="G94" s="120">
        <v>13112801.899725912</v>
      </c>
      <c r="H94" s="120" t="s">
        <v>251</v>
      </c>
      <c r="I94" s="120">
        <v>600451.33639696322</v>
      </c>
      <c r="J94" s="120">
        <v>274988.34387712431</v>
      </c>
      <c r="K94" s="120" t="s">
        <v>251</v>
      </c>
      <c r="L94" s="120" t="s">
        <v>251</v>
      </c>
      <c r="M94" s="120">
        <v>42.090267380515868</v>
      </c>
      <c r="N94" s="120" t="s">
        <v>251</v>
      </c>
      <c r="O94" s="120">
        <v>274946.25360974378</v>
      </c>
      <c r="P94" s="120">
        <v>139445.05583164908</v>
      </c>
      <c r="Q94" s="120">
        <v>135501.19777809471</v>
      </c>
      <c r="R94" s="120"/>
      <c r="S94" s="121"/>
    </row>
    <row r="95" spans="1:19" ht="15">
      <c r="A95" s="105">
        <v>19</v>
      </c>
      <c r="B95" s="129" t="str">
        <f t="shared" si="3"/>
        <v>334</v>
      </c>
      <c r="C95" s="107" t="s">
        <v>321</v>
      </c>
      <c r="D95" s="107" t="s">
        <v>304</v>
      </c>
      <c r="E95" s="120">
        <v>1377986.23</v>
      </c>
      <c r="F95" s="120" t="s">
        <v>251</v>
      </c>
      <c r="G95" s="120">
        <v>1291746.3822168382</v>
      </c>
      <c r="H95" s="120" t="s">
        <v>251</v>
      </c>
      <c r="I95" s="120">
        <v>59150.656543073019</v>
      </c>
      <c r="J95" s="120">
        <v>27089.191240088814</v>
      </c>
      <c r="K95" s="120" t="s">
        <v>251</v>
      </c>
      <c r="L95" s="120" t="s">
        <v>251</v>
      </c>
      <c r="M95" s="120">
        <v>4.1463259363704124</v>
      </c>
      <c r="N95" s="120" t="s">
        <v>251</v>
      </c>
      <c r="O95" s="120">
        <v>27085.044914152444</v>
      </c>
      <c r="P95" s="120">
        <v>13736.777827195176</v>
      </c>
      <c r="Q95" s="120">
        <v>13348.267086957267</v>
      </c>
      <c r="R95" s="120"/>
      <c r="S95" s="121"/>
    </row>
    <row r="96" spans="1:19" ht="15">
      <c r="A96" s="105">
        <v>20</v>
      </c>
      <c r="B96" s="129" t="str">
        <f t="shared" si="3"/>
        <v>335</v>
      </c>
      <c r="C96" s="107" t="s">
        <v>322</v>
      </c>
      <c r="D96" s="107" t="s">
        <v>304</v>
      </c>
      <c r="E96" s="120">
        <v>328554.18</v>
      </c>
      <c r="F96" s="120" t="s">
        <v>251</v>
      </c>
      <c r="G96" s="120">
        <v>307991.95531672315</v>
      </c>
      <c r="H96" s="120" t="s">
        <v>251</v>
      </c>
      <c r="I96" s="120">
        <v>14103.33066751399</v>
      </c>
      <c r="J96" s="120">
        <v>6458.894015762814</v>
      </c>
      <c r="K96" s="120" t="s">
        <v>251</v>
      </c>
      <c r="L96" s="120" t="s">
        <v>251</v>
      </c>
      <c r="M96" s="120">
        <v>0.98861127083752698</v>
      </c>
      <c r="N96" s="120" t="s">
        <v>251</v>
      </c>
      <c r="O96" s="120">
        <v>6457.9054044919767</v>
      </c>
      <c r="P96" s="120">
        <v>3275.2691402847267</v>
      </c>
      <c r="Q96" s="120">
        <v>3182.63626420725</v>
      </c>
      <c r="R96" s="120"/>
      <c r="S96" s="121"/>
    </row>
    <row r="97" spans="1:19" ht="15">
      <c r="A97" s="105">
        <v>21</v>
      </c>
      <c r="B97" s="129" t="str">
        <f t="shared" si="3"/>
        <v>336</v>
      </c>
      <c r="C97" s="107" t="s">
        <v>323</v>
      </c>
      <c r="D97" s="107" t="s">
        <v>304</v>
      </c>
      <c r="E97" s="120">
        <v>234509.12999999998</v>
      </c>
      <c r="F97" s="120" t="s">
        <v>251</v>
      </c>
      <c r="G97" s="120">
        <v>219832.6178298009</v>
      </c>
      <c r="H97" s="120" t="s">
        <v>251</v>
      </c>
      <c r="I97" s="120">
        <v>10066.406109765594</v>
      </c>
      <c r="J97" s="120">
        <v>4610.1060604334534</v>
      </c>
      <c r="K97" s="120" t="s">
        <v>251</v>
      </c>
      <c r="L97" s="120" t="s">
        <v>251</v>
      </c>
      <c r="M97" s="120">
        <v>0.70563207880144097</v>
      </c>
      <c r="N97" s="120" t="s">
        <v>251</v>
      </c>
      <c r="O97" s="120">
        <v>4609.4004283546519</v>
      </c>
      <c r="P97" s="120">
        <v>2337.7590770691736</v>
      </c>
      <c r="Q97" s="120">
        <v>2271.6413512854783</v>
      </c>
      <c r="R97" s="120"/>
      <c r="S97" s="121"/>
    </row>
    <row r="98" spans="1:19" ht="15">
      <c r="A98" s="105">
        <v>22</v>
      </c>
      <c r="B98" s="129" t="str">
        <f t="shared" si="3"/>
        <v>337</v>
      </c>
      <c r="C98" s="107" t="s">
        <v>324</v>
      </c>
      <c r="D98" s="107" t="s">
        <v>304</v>
      </c>
      <c r="E98" s="120">
        <v>645787.98999999987</v>
      </c>
      <c r="F98" s="120" t="s">
        <v>251</v>
      </c>
      <c r="G98" s="120">
        <v>605372.01432091487</v>
      </c>
      <c r="H98" s="120" t="s">
        <v>251</v>
      </c>
      <c r="I98" s="120">
        <v>27720.7295432346</v>
      </c>
      <c r="J98" s="120">
        <v>12695.246135850399</v>
      </c>
      <c r="K98" s="120" t="s">
        <v>251</v>
      </c>
      <c r="L98" s="120" t="s">
        <v>251</v>
      </c>
      <c r="M98" s="120">
        <v>1.9431598328333919</v>
      </c>
      <c r="N98" s="120" t="s">
        <v>251</v>
      </c>
      <c r="O98" s="120">
        <v>12693.302976017565</v>
      </c>
      <c r="P98" s="120">
        <v>6437.6885261770276</v>
      </c>
      <c r="Q98" s="120">
        <v>6255.6144498405374</v>
      </c>
      <c r="R98" s="120"/>
      <c r="S98" s="121"/>
    </row>
    <row r="99" spans="1:19" ht="15">
      <c r="A99" s="105">
        <v>23</v>
      </c>
      <c r="B99" s="105"/>
      <c r="C99" s="107" t="s">
        <v>311</v>
      </c>
      <c r="D99" s="107" t="s">
        <v>312</v>
      </c>
      <c r="E99" s="120">
        <v>819.99999999999989</v>
      </c>
      <c r="F99" s="120" t="s">
        <v>251</v>
      </c>
      <c r="G99" s="120">
        <v>430.62917808219174</v>
      </c>
      <c r="H99" s="120" t="s">
        <v>251</v>
      </c>
      <c r="I99" s="120">
        <v>267.07662100456622</v>
      </c>
      <c r="J99" s="120">
        <v>122.29420091324201</v>
      </c>
      <c r="K99" s="120" t="s">
        <v>251</v>
      </c>
      <c r="L99" s="120" t="s">
        <v>251</v>
      </c>
      <c r="M99" s="120">
        <v>0</v>
      </c>
      <c r="N99" s="120" t="s">
        <v>251</v>
      </c>
      <c r="O99" s="120">
        <v>122.29420091324201</v>
      </c>
      <c r="P99" s="120">
        <v>62.024200913242005</v>
      </c>
      <c r="Q99" s="120">
        <v>60.269999999999996</v>
      </c>
      <c r="R99" s="120"/>
      <c r="S99" s="121"/>
    </row>
    <row r="100" spans="1:19" ht="15">
      <c r="A100" s="105">
        <v>24</v>
      </c>
      <c r="B100" s="105"/>
      <c r="C100" s="107" t="s">
        <v>313</v>
      </c>
      <c r="D100" s="107" t="s">
        <v>314</v>
      </c>
      <c r="E100" s="120">
        <v>105336.76000000001</v>
      </c>
      <c r="F100" s="120" t="s">
        <v>251</v>
      </c>
      <c r="G100" s="120">
        <v>82038.640621516752</v>
      </c>
      <c r="H100" s="120" t="s">
        <v>251</v>
      </c>
      <c r="I100" s="120">
        <v>0</v>
      </c>
      <c r="J100" s="120">
        <v>23298.119378483254</v>
      </c>
      <c r="K100" s="120" t="s">
        <v>251</v>
      </c>
      <c r="L100" s="120" t="s">
        <v>251</v>
      </c>
      <c r="M100" s="120">
        <v>0</v>
      </c>
      <c r="N100" s="120" t="s">
        <v>251</v>
      </c>
      <c r="O100" s="120">
        <v>23298.119378483254</v>
      </c>
      <c r="P100" s="120">
        <v>11816.155029762109</v>
      </c>
      <c r="Q100" s="120">
        <v>11481.964348721145</v>
      </c>
      <c r="R100" s="120"/>
      <c r="S100" s="121"/>
    </row>
    <row r="101" spans="1:19" ht="15">
      <c r="A101" s="105">
        <v>25</v>
      </c>
      <c r="B101" s="105"/>
      <c r="C101" s="107" t="s">
        <v>325</v>
      </c>
      <c r="D101" s="107" t="s">
        <v>251</v>
      </c>
      <c r="E101" s="120">
        <v>43851877.755444609</v>
      </c>
      <c r="F101" s="120" t="s">
        <v>251</v>
      </c>
      <c r="G101" s="120">
        <v>41090409.409617066</v>
      </c>
      <c r="H101" s="120" t="s">
        <v>251</v>
      </c>
      <c r="I101" s="120">
        <v>1878071.1224790262</v>
      </c>
      <c r="J101" s="120">
        <v>883397.22334850964</v>
      </c>
      <c r="K101" s="120" t="s">
        <v>251</v>
      </c>
      <c r="L101" s="120" t="s">
        <v>251</v>
      </c>
      <c r="M101" s="120">
        <v>131.62977511657402</v>
      </c>
      <c r="N101" s="120" t="s">
        <v>251</v>
      </c>
      <c r="O101" s="120">
        <v>883265.59357339307</v>
      </c>
      <c r="P101" s="120">
        <v>447967.62419188512</v>
      </c>
      <c r="Q101" s="120">
        <v>435297.96938150795</v>
      </c>
      <c r="R101" s="120"/>
      <c r="S101" s="121"/>
    </row>
    <row r="102" spans="1:19" ht="15">
      <c r="A102" s="105" t="s">
        <v>251</v>
      </c>
      <c r="B102" s="105"/>
      <c r="C102" s="107" t="s">
        <v>251</v>
      </c>
      <c r="D102" s="107" t="s">
        <v>251</v>
      </c>
      <c r="E102" s="120" t="s">
        <v>251</v>
      </c>
      <c r="F102" s="120" t="s">
        <v>251</v>
      </c>
      <c r="G102" s="120" t="s">
        <v>251</v>
      </c>
      <c r="H102" s="120" t="s">
        <v>251</v>
      </c>
      <c r="I102" s="120" t="s">
        <v>251</v>
      </c>
      <c r="J102" s="120" t="s">
        <v>251</v>
      </c>
      <c r="K102" s="120" t="s">
        <v>251</v>
      </c>
      <c r="L102" s="120" t="s">
        <v>251</v>
      </c>
      <c r="M102" s="120" t="s">
        <v>251</v>
      </c>
      <c r="N102" s="120" t="s">
        <v>251</v>
      </c>
      <c r="O102" s="120" t="s">
        <v>251</v>
      </c>
      <c r="P102" s="120" t="s">
        <v>251</v>
      </c>
      <c r="Q102" s="120" t="s">
        <v>251</v>
      </c>
      <c r="R102" s="120"/>
      <c r="S102" s="121"/>
    </row>
    <row r="103" spans="1:19" ht="15">
      <c r="A103" s="105" t="s">
        <v>251</v>
      </c>
      <c r="B103" s="129" t="str">
        <f t="shared" ref="B103:B111" si="4">MID(C103,2,3)</f>
        <v>THE</v>
      </c>
      <c r="C103" s="107" t="s">
        <v>326</v>
      </c>
      <c r="D103" s="107" t="s">
        <v>251</v>
      </c>
      <c r="E103" s="120" t="s">
        <v>251</v>
      </c>
      <c r="F103" s="120" t="s">
        <v>251</v>
      </c>
      <c r="G103" s="120" t="s">
        <v>251</v>
      </c>
      <c r="H103" s="120" t="s">
        <v>251</v>
      </c>
      <c r="I103" s="120" t="s">
        <v>251</v>
      </c>
      <c r="J103" s="120" t="s">
        <v>251</v>
      </c>
      <c r="K103" s="120" t="s">
        <v>251</v>
      </c>
      <c r="L103" s="120" t="s">
        <v>251</v>
      </c>
      <c r="M103" s="120" t="s">
        <v>251</v>
      </c>
      <c r="N103" s="120" t="s">
        <v>251</v>
      </c>
      <c r="O103" s="120" t="s">
        <v>251</v>
      </c>
      <c r="P103" s="120" t="s">
        <v>251</v>
      </c>
      <c r="Q103" s="120" t="s">
        <v>251</v>
      </c>
      <c r="R103" s="120"/>
      <c r="S103" s="121"/>
    </row>
    <row r="104" spans="1:19" ht="15">
      <c r="A104" s="105">
        <v>26</v>
      </c>
      <c r="B104" s="129" t="str">
        <f t="shared" si="4"/>
        <v>340</v>
      </c>
      <c r="C104" s="107" t="s">
        <v>327</v>
      </c>
      <c r="D104" s="107" t="s">
        <v>304</v>
      </c>
      <c r="E104" s="120">
        <v>902801.45799999998</v>
      </c>
      <c r="F104" s="120" t="s">
        <v>251</v>
      </c>
      <c r="G104" s="120">
        <v>846300.55935434625</v>
      </c>
      <c r="H104" s="120" t="s">
        <v>251</v>
      </c>
      <c r="I104" s="120">
        <v>38753.144121580634</v>
      </c>
      <c r="J104" s="120">
        <v>17747.754524073152</v>
      </c>
      <c r="K104" s="120" t="s">
        <v>251</v>
      </c>
      <c r="L104" s="120" t="s">
        <v>251</v>
      </c>
      <c r="M104" s="120">
        <v>2.7165068991280292</v>
      </c>
      <c r="N104" s="120" t="s">
        <v>251</v>
      </c>
      <c r="O104" s="120">
        <v>17745.038017174025</v>
      </c>
      <c r="P104" s="120">
        <v>8999.7873568111609</v>
      </c>
      <c r="Q104" s="120">
        <v>8745.2506603628626</v>
      </c>
      <c r="R104" s="120"/>
      <c r="S104" s="121"/>
    </row>
    <row r="105" spans="1:19" ht="15">
      <c r="A105" s="105">
        <v>27</v>
      </c>
      <c r="B105" s="129" t="str">
        <f t="shared" si="4"/>
        <v>341</v>
      </c>
      <c r="C105" s="107" t="s">
        <v>328</v>
      </c>
      <c r="D105" s="107" t="s">
        <v>304</v>
      </c>
      <c r="E105" s="120">
        <v>86587215.233681977</v>
      </c>
      <c r="F105" s="120" t="s">
        <v>251</v>
      </c>
      <c r="G105" s="120">
        <v>81168243.621955052</v>
      </c>
      <c r="H105" s="120" t="s">
        <v>251</v>
      </c>
      <c r="I105" s="120">
        <v>3716793.7660078523</v>
      </c>
      <c r="J105" s="120">
        <v>1702177.8457190697</v>
      </c>
      <c r="K105" s="120" t="s">
        <v>251</v>
      </c>
      <c r="L105" s="120" t="s">
        <v>251</v>
      </c>
      <c r="M105" s="120">
        <v>260.53875464452415</v>
      </c>
      <c r="N105" s="120" t="s">
        <v>251</v>
      </c>
      <c r="O105" s="120">
        <v>1701917.3069644251</v>
      </c>
      <c r="P105" s="120">
        <v>863164.89413730858</v>
      </c>
      <c r="Q105" s="120">
        <v>838752.41282711655</v>
      </c>
      <c r="R105" s="120"/>
      <c r="S105" s="121"/>
    </row>
    <row r="106" spans="1:19" ht="15">
      <c r="A106" s="105">
        <v>28</v>
      </c>
      <c r="B106" s="129" t="str">
        <f t="shared" si="4"/>
        <v>342</v>
      </c>
      <c r="C106" s="107" t="s">
        <v>329</v>
      </c>
      <c r="D106" s="107" t="s">
        <v>304</v>
      </c>
      <c r="E106" s="120">
        <v>75137359.715738341</v>
      </c>
      <c r="F106" s="120" t="s">
        <v>251</v>
      </c>
      <c r="G106" s="120">
        <v>70434965.50914751</v>
      </c>
      <c r="H106" s="120" t="s">
        <v>251</v>
      </c>
      <c r="I106" s="120">
        <v>3225303.752200027</v>
      </c>
      <c r="J106" s="120">
        <v>1477090.4543908115</v>
      </c>
      <c r="K106" s="120" t="s">
        <v>251</v>
      </c>
      <c r="L106" s="120" t="s">
        <v>251</v>
      </c>
      <c r="M106" s="120">
        <v>226.0864271334259</v>
      </c>
      <c r="N106" s="120" t="s">
        <v>251</v>
      </c>
      <c r="O106" s="120">
        <v>1476864.367963678</v>
      </c>
      <c r="P106" s="120">
        <v>749024.33309304004</v>
      </c>
      <c r="Q106" s="120">
        <v>727840.03487063793</v>
      </c>
      <c r="R106" s="120"/>
      <c r="S106" s="121"/>
    </row>
    <row r="107" spans="1:19" ht="15">
      <c r="A107" s="105">
        <v>29</v>
      </c>
      <c r="B107" s="129" t="str">
        <f t="shared" si="4"/>
        <v>343</v>
      </c>
      <c r="C107" s="107" t="s">
        <v>330</v>
      </c>
      <c r="D107" s="107" t="s">
        <v>304</v>
      </c>
      <c r="E107" s="120">
        <v>676385810.20366788</v>
      </c>
      <c r="F107" s="120" t="s">
        <v>251</v>
      </c>
      <c r="G107" s="120">
        <v>634054901.48721802</v>
      </c>
      <c r="H107" s="120" t="s">
        <v>251</v>
      </c>
      <c r="I107" s="120">
        <v>29034154.245478444</v>
      </c>
      <c r="J107" s="120">
        <v>13296754.470971435</v>
      </c>
      <c r="K107" s="120" t="s">
        <v>251</v>
      </c>
      <c r="L107" s="120" t="s">
        <v>251</v>
      </c>
      <c r="M107" s="120">
        <v>2035.227904882898</v>
      </c>
      <c r="N107" s="120" t="s">
        <v>251</v>
      </c>
      <c r="O107" s="120">
        <v>13294719.243066553</v>
      </c>
      <c r="P107" s="120">
        <v>6742710.0488770409</v>
      </c>
      <c r="Q107" s="120">
        <v>6552009.1941895122</v>
      </c>
      <c r="R107" s="120"/>
      <c r="S107" s="121"/>
    </row>
    <row r="108" spans="1:19" ht="15">
      <c r="A108" s="105">
        <v>30</v>
      </c>
      <c r="B108" s="129" t="str">
        <f t="shared" si="4"/>
        <v>344</v>
      </c>
      <c r="C108" s="107" t="s">
        <v>331</v>
      </c>
      <c r="D108" s="107" t="s">
        <v>304</v>
      </c>
      <c r="E108" s="120">
        <v>131706344.09798837</v>
      </c>
      <c r="F108" s="120" t="s">
        <v>251</v>
      </c>
      <c r="G108" s="120">
        <v>123463638.31486364</v>
      </c>
      <c r="H108" s="120" t="s">
        <v>251</v>
      </c>
      <c r="I108" s="120">
        <v>5653551.9402714949</v>
      </c>
      <c r="J108" s="120">
        <v>2589153.8428532407</v>
      </c>
      <c r="K108" s="120" t="s">
        <v>251</v>
      </c>
      <c r="L108" s="120" t="s">
        <v>251</v>
      </c>
      <c r="M108" s="120">
        <v>396.30107952386095</v>
      </c>
      <c r="N108" s="120" t="s">
        <v>251</v>
      </c>
      <c r="O108" s="120">
        <v>2588757.5417737169</v>
      </c>
      <c r="P108" s="120">
        <v>1312945.4764625514</v>
      </c>
      <c r="Q108" s="120">
        <v>1275812.0653111653</v>
      </c>
      <c r="R108" s="120"/>
      <c r="S108" s="121"/>
    </row>
    <row r="109" spans="1:19" ht="15">
      <c r="A109" s="105">
        <v>31</v>
      </c>
      <c r="B109" s="129" t="str">
        <f t="shared" si="4"/>
        <v>345</v>
      </c>
      <c r="C109" s="107" t="s">
        <v>332</v>
      </c>
      <c r="D109" s="107" t="s">
        <v>304</v>
      </c>
      <c r="E109" s="120">
        <v>78988054.974942178</v>
      </c>
      <c r="F109" s="120" t="s">
        <v>251</v>
      </c>
      <c r="G109" s="120">
        <v>74044668.974831685</v>
      </c>
      <c r="H109" s="120" t="s">
        <v>251</v>
      </c>
      <c r="I109" s="120">
        <v>3390596.5162134999</v>
      </c>
      <c r="J109" s="120">
        <v>1552789.4838969887</v>
      </c>
      <c r="K109" s="120" t="s">
        <v>251</v>
      </c>
      <c r="L109" s="120" t="s">
        <v>251</v>
      </c>
      <c r="M109" s="120">
        <v>237.67307239786766</v>
      </c>
      <c r="N109" s="120" t="s">
        <v>251</v>
      </c>
      <c r="O109" s="120">
        <v>1552551.8108245907</v>
      </c>
      <c r="P109" s="120">
        <v>787410.88885413553</v>
      </c>
      <c r="Q109" s="120">
        <v>765140.92197045533</v>
      </c>
      <c r="R109" s="120"/>
      <c r="S109" s="121"/>
    </row>
    <row r="110" spans="1:19" ht="15">
      <c r="A110" s="105">
        <v>32</v>
      </c>
      <c r="B110" s="129" t="str">
        <f t="shared" si="4"/>
        <v>346</v>
      </c>
      <c r="C110" s="107" t="s">
        <v>333</v>
      </c>
      <c r="D110" s="107" t="s">
        <v>304</v>
      </c>
      <c r="E110" s="120">
        <v>12558313.255764617</v>
      </c>
      <c r="F110" s="120" t="s">
        <v>251</v>
      </c>
      <c r="G110" s="120">
        <v>11772364.165699759</v>
      </c>
      <c r="H110" s="120" t="s">
        <v>251</v>
      </c>
      <c r="I110" s="120">
        <v>539071.04293201386</v>
      </c>
      <c r="J110" s="120">
        <v>246878.04713284402</v>
      </c>
      <c r="K110" s="120" t="s">
        <v>251</v>
      </c>
      <c r="L110" s="120" t="s">
        <v>251</v>
      </c>
      <c r="M110" s="120">
        <v>37.787648987930147</v>
      </c>
      <c r="N110" s="120" t="s">
        <v>251</v>
      </c>
      <c r="O110" s="120">
        <v>246840.25948385609</v>
      </c>
      <c r="P110" s="120">
        <v>125190.48109701258</v>
      </c>
      <c r="Q110" s="120">
        <v>121649.77838684352</v>
      </c>
      <c r="R110" s="120"/>
      <c r="S110" s="121"/>
    </row>
    <row r="111" spans="1:19" ht="15">
      <c r="A111" s="105">
        <v>33</v>
      </c>
      <c r="B111" s="129" t="str">
        <f t="shared" si="4"/>
        <v>347</v>
      </c>
      <c r="C111" s="107" t="s">
        <v>334</v>
      </c>
      <c r="D111" s="107" t="s">
        <v>304</v>
      </c>
      <c r="E111" s="120">
        <v>406991.12</v>
      </c>
      <c r="F111" s="120" t="s">
        <v>251</v>
      </c>
      <c r="G111" s="120">
        <v>381520.00027923286</v>
      </c>
      <c r="H111" s="120" t="s">
        <v>251</v>
      </c>
      <c r="I111" s="120">
        <v>17470.270334414457</v>
      </c>
      <c r="J111" s="120">
        <v>8000.8493863526746</v>
      </c>
      <c r="K111" s="120" t="s">
        <v>251</v>
      </c>
      <c r="L111" s="120" t="s">
        <v>251</v>
      </c>
      <c r="M111" s="120">
        <v>1.2246260521256753</v>
      </c>
      <c r="N111" s="120" t="s">
        <v>251</v>
      </c>
      <c r="O111" s="120">
        <v>7999.6247603005486</v>
      </c>
      <c r="P111" s="120">
        <v>4057.1861106923625</v>
      </c>
      <c r="Q111" s="120">
        <v>3942.4386496081861</v>
      </c>
      <c r="R111" s="120"/>
      <c r="S111" s="121"/>
    </row>
    <row r="112" spans="1:19" ht="15">
      <c r="A112" s="105">
        <v>34</v>
      </c>
      <c r="B112" s="105"/>
      <c r="C112" s="107" t="s">
        <v>311</v>
      </c>
      <c r="D112" s="107" t="s">
        <v>312</v>
      </c>
      <c r="E112" s="120">
        <v>1934.2600000000002</v>
      </c>
      <c r="F112" s="120" t="s">
        <v>251</v>
      </c>
      <c r="G112" s="120">
        <v>1015.7912121917808</v>
      </c>
      <c r="H112" s="120" t="s">
        <v>251</v>
      </c>
      <c r="I112" s="120">
        <v>629.99466456621019</v>
      </c>
      <c r="J112" s="120">
        <v>288.47412324200917</v>
      </c>
      <c r="K112" s="120" t="s">
        <v>251</v>
      </c>
      <c r="L112" s="120" t="s">
        <v>251</v>
      </c>
      <c r="M112" s="120">
        <v>0</v>
      </c>
      <c r="N112" s="120" t="s">
        <v>251</v>
      </c>
      <c r="O112" s="120">
        <v>288.47412324200917</v>
      </c>
      <c r="P112" s="120">
        <v>146.30601324200916</v>
      </c>
      <c r="Q112" s="120">
        <v>142.16811000000001</v>
      </c>
      <c r="R112" s="120"/>
      <c r="S112" s="121"/>
    </row>
    <row r="113" spans="1:19" ht="15">
      <c r="A113" s="105">
        <v>35</v>
      </c>
      <c r="B113" s="105"/>
      <c r="C113" s="107" t="s">
        <v>313</v>
      </c>
      <c r="D113" s="107" t="s">
        <v>314</v>
      </c>
      <c r="E113" s="120">
        <v>4982273.58</v>
      </c>
      <c r="F113" s="120" t="s">
        <v>251</v>
      </c>
      <c r="G113" s="120">
        <v>3880306.8530653277</v>
      </c>
      <c r="H113" s="120" t="s">
        <v>251</v>
      </c>
      <c r="I113" s="120">
        <v>0</v>
      </c>
      <c r="J113" s="120">
        <v>1101966.7269346723</v>
      </c>
      <c r="K113" s="120" t="s">
        <v>251</v>
      </c>
      <c r="L113" s="120" t="s">
        <v>251</v>
      </c>
      <c r="M113" s="120">
        <v>0</v>
      </c>
      <c r="N113" s="120" t="s">
        <v>251</v>
      </c>
      <c r="O113" s="120">
        <v>1101966.7269346723</v>
      </c>
      <c r="P113" s="120">
        <v>558886.72693148965</v>
      </c>
      <c r="Q113" s="120">
        <v>543080.00000318279</v>
      </c>
      <c r="R113" s="120"/>
      <c r="S113" s="121"/>
    </row>
    <row r="114" spans="1:19" ht="15">
      <c r="A114" s="105">
        <v>36</v>
      </c>
      <c r="B114" s="105"/>
      <c r="C114" s="107" t="s">
        <v>335</v>
      </c>
      <c r="D114" s="107" t="s">
        <v>251</v>
      </c>
      <c r="E114" s="120">
        <v>1067657097.8997835</v>
      </c>
      <c r="F114" s="120" t="s">
        <v>251</v>
      </c>
      <c r="G114" s="120">
        <v>1000047925.2776269</v>
      </c>
      <c r="H114" s="120" t="s">
        <v>251</v>
      </c>
      <c r="I114" s="120">
        <v>45616324.672223888</v>
      </c>
      <c r="J114" s="120">
        <v>21992847.949932732</v>
      </c>
      <c r="K114" s="120" t="s">
        <v>251</v>
      </c>
      <c r="L114" s="120" t="s">
        <v>251</v>
      </c>
      <c r="M114" s="120">
        <v>3197.5560205217603</v>
      </c>
      <c r="N114" s="120" t="s">
        <v>251</v>
      </c>
      <c r="O114" s="120">
        <v>21989650.393912211</v>
      </c>
      <c r="P114" s="120">
        <v>11152536.128933324</v>
      </c>
      <c r="Q114" s="120">
        <v>10837114.264978886</v>
      </c>
      <c r="R114" s="120"/>
      <c r="S114" s="121"/>
    </row>
    <row r="115" spans="1:19" ht="15">
      <c r="A115" s="105" t="s">
        <v>251</v>
      </c>
      <c r="B115" s="105"/>
      <c r="C115" s="107" t="s">
        <v>251</v>
      </c>
      <c r="D115" s="107" t="s">
        <v>251</v>
      </c>
      <c r="E115" s="120" t="s">
        <v>251</v>
      </c>
      <c r="F115" s="120" t="s">
        <v>251</v>
      </c>
      <c r="G115" s="120" t="s">
        <v>251</v>
      </c>
      <c r="H115" s="120" t="s">
        <v>251</v>
      </c>
      <c r="I115" s="120" t="s">
        <v>251</v>
      </c>
      <c r="J115" s="120" t="s">
        <v>251</v>
      </c>
      <c r="K115" s="120" t="s">
        <v>251</v>
      </c>
      <c r="L115" s="120" t="s">
        <v>251</v>
      </c>
      <c r="M115" s="120" t="s">
        <v>251</v>
      </c>
      <c r="N115" s="120" t="s">
        <v>251</v>
      </c>
      <c r="O115" s="120" t="s">
        <v>251</v>
      </c>
      <c r="P115" s="120" t="s">
        <v>251</v>
      </c>
      <c r="Q115" s="120" t="s">
        <v>251</v>
      </c>
      <c r="R115" s="120"/>
      <c r="S115" s="121"/>
    </row>
    <row r="116" spans="1:19" ht="15">
      <c r="A116" s="105">
        <v>37</v>
      </c>
      <c r="B116" s="105"/>
      <c r="C116" s="107" t="s">
        <v>336</v>
      </c>
      <c r="D116" s="107" t="s">
        <v>251</v>
      </c>
      <c r="E116" s="120">
        <v>6569955291.7353935</v>
      </c>
      <c r="F116" s="120" t="s">
        <v>251</v>
      </c>
      <c r="G116" s="120">
        <v>6147156338.4955521</v>
      </c>
      <c r="H116" s="120" t="s">
        <v>251</v>
      </c>
      <c r="I116" s="120">
        <v>285491217.37249374</v>
      </c>
      <c r="J116" s="120">
        <v>137307735.86734766</v>
      </c>
      <c r="K116" s="120" t="s">
        <v>251</v>
      </c>
      <c r="L116" s="120" t="s">
        <v>251</v>
      </c>
      <c r="M116" s="120">
        <v>19629.053426922659</v>
      </c>
      <c r="N116" s="120" t="s">
        <v>251</v>
      </c>
      <c r="O116" s="120">
        <v>137288106.81392074</v>
      </c>
      <c r="P116" s="120">
        <v>69628690.947219118</v>
      </c>
      <c r="Q116" s="120">
        <v>67659415.866701633</v>
      </c>
      <c r="R116" s="120"/>
      <c r="S116" s="121"/>
    </row>
    <row r="117" spans="1:19" ht="15">
      <c r="A117" s="105" t="s">
        <v>251</v>
      </c>
      <c r="B117" s="105"/>
      <c r="C117" s="107" t="s">
        <v>251</v>
      </c>
      <c r="D117" s="107" t="s">
        <v>251</v>
      </c>
      <c r="E117" s="120" t="s">
        <v>251</v>
      </c>
      <c r="F117" s="120" t="s">
        <v>251</v>
      </c>
      <c r="G117" s="120" t="s">
        <v>251</v>
      </c>
      <c r="H117" s="120" t="s">
        <v>251</v>
      </c>
      <c r="I117" s="120" t="s">
        <v>251</v>
      </c>
      <c r="J117" s="120" t="s">
        <v>251</v>
      </c>
      <c r="K117" s="120" t="s">
        <v>251</v>
      </c>
      <c r="L117" s="120" t="s">
        <v>251</v>
      </c>
      <c r="M117" s="120" t="s">
        <v>251</v>
      </c>
      <c r="N117" s="120" t="s">
        <v>251</v>
      </c>
      <c r="O117" s="120" t="s">
        <v>251</v>
      </c>
      <c r="P117" s="120" t="s">
        <v>251</v>
      </c>
      <c r="Q117" s="120" t="s">
        <v>251</v>
      </c>
      <c r="R117" s="120"/>
      <c r="S117" s="121"/>
    </row>
    <row r="118" spans="1:19" ht="15">
      <c r="A118" s="105" t="s">
        <v>251</v>
      </c>
      <c r="B118" s="105"/>
      <c r="C118" s="107" t="s">
        <v>337</v>
      </c>
      <c r="D118" s="107" t="s">
        <v>251</v>
      </c>
      <c r="E118" s="120" t="s">
        <v>251</v>
      </c>
      <c r="F118" s="120" t="s">
        <v>251</v>
      </c>
      <c r="G118" s="120" t="s">
        <v>251</v>
      </c>
      <c r="H118" s="120" t="s">
        <v>251</v>
      </c>
      <c r="I118" s="120" t="s">
        <v>251</v>
      </c>
      <c r="J118" s="120" t="s">
        <v>251</v>
      </c>
      <c r="K118" s="120" t="s">
        <v>251</v>
      </c>
      <c r="L118" s="120" t="s">
        <v>251</v>
      </c>
      <c r="M118" s="120" t="s">
        <v>251</v>
      </c>
      <c r="N118" s="120" t="s">
        <v>251</v>
      </c>
      <c r="O118" s="120" t="s">
        <v>251</v>
      </c>
      <c r="P118" s="120" t="s">
        <v>251</v>
      </c>
      <c r="Q118" s="120" t="s">
        <v>251</v>
      </c>
      <c r="R118" s="120"/>
      <c r="S118" s="121"/>
    </row>
    <row r="119" spans="1:19" ht="15">
      <c r="A119" s="105" t="s">
        <v>251</v>
      </c>
      <c r="B119" s="105"/>
      <c r="C119" s="107" t="s">
        <v>251</v>
      </c>
      <c r="D119" s="107" t="s">
        <v>251</v>
      </c>
      <c r="E119" s="120" t="s">
        <v>251</v>
      </c>
      <c r="F119" s="120" t="s">
        <v>251</v>
      </c>
      <c r="G119" s="120" t="s">
        <v>251</v>
      </c>
      <c r="H119" s="120" t="s">
        <v>251</v>
      </c>
      <c r="I119" s="120" t="s">
        <v>251</v>
      </c>
      <c r="J119" s="120" t="s">
        <v>251</v>
      </c>
      <c r="K119" s="120" t="s">
        <v>251</v>
      </c>
      <c r="L119" s="120" t="s">
        <v>251</v>
      </c>
      <c r="M119" s="120" t="s">
        <v>251</v>
      </c>
      <c r="N119" s="120" t="s">
        <v>251</v>
      </c>
      <c r="O119" s="120" t="s">
        <v>251</v>
      </c>
      <c r="P119" s="120" t="s">
        <v>251</v>
      </c>
      <c r="Q119" s="120" t="s">
        <v>251</v>
      </c>
      <c r="R119" s="120"/>
      <c r="S119" s="121"/>
    </row>
    <row r="120" spans="1:19" ht="15">
      <c r="A120" s="105" t="s">
        <v>251</v>
      </c>
      <c r="B120" s="105"/>
      <c r="C120" s="107" t="s">
        <v>338</v>
      </c>
      <c r="D120" s="107" t="s">
        <v>251</v>
      </c>
      <c r="E120" s="120" t="s">
        <v>251</v>
      </c>
      <c r="F120" s="120" t="s">
        <v>251</v>
      </c>
      <c r="G120" s="120" t="s">
        <v>251</v>
      </c>
      <c r="H120" s="120" t="s">
        <v>251</v>
      </c>
      <c r="I120" s="120" t="s">
        <v>251</v>
      </c>
      <c r="J120" s="120" t="s">
        <v>251</v>
      </c>
      <c r="K120" s="120" t="s">
        <v>251</v>
      </c>
      <c r="L120" s="120" t="s">
        <v>251</v>
      </c>
      <c r="M120" s="120" t="s">
        <v>251</v>
      </c>
      <c r="N120" s="120" t="s">
        <v>251</v>
      </c>
      <c r="O120" s="120" t="s">
        <v>251</v>
      </c>
      <c r="P120" s="120" t="s">
        <v>251</v>
      </c>
      <c r="Q120" s="120" t="s">
        <v>251</v>
      </c>
      <c r="R120" s="120"/>
      <c r="S120" s="121"/>
    </row>
    <row r="121" spans="1:19" ht="15">
      <c r="A121" s="105" t="s">
        <v>251</v>
      </c>
      <c r="B121" s="129" t="str">
        <f t="shared" ref="B121:B130" si="5">MID(C121,2,3)</f>
        <v>ENT</v>
      </c>
      <c r="C121" s="107" t="s">
        <v>339</v>
      </c>
      <c r="D121" s="107" t="s">
        <v>251</v>
      </c>
      <c r="E121" s="120" t="s">
        <v>251</v>
      </c>
      <c r="F121" s="120" t="s">
        <v>251</v>
      </c>
      <c r="G121" s="120" t="s">
        <v>251</v>
      </c>
      <c r="H121" s="120" t="s">
        <v>251</v>
      </c>
      <c r="I121" s="120" t="s">
        <v>251</v>
      </c>
      <c r="J121" s="120" t="s">
        <v>251</v>
      </c>
      <c r="K121" s="120" t="s">
        <v>251</v>
      </c>
      <c r="L121" s="120" t="s">
        <v>251</v>
      </c>
      <c r="M121" s="120" t="s">
        <v>251</v>
      </c>
      <c r="N121" s="120" t="s">
        <v>251</v>
      </c>
      <c r="O121" s="120" t="s">
        <v>251</v>
      </c>
      <c r="P121" s="120" t="s">
        <v>251</v>
      </c>
      <c r="Q121" s="120" t="s">
        <v>251</v>
      </c>
      <c r="R121" s="120"/>
      <c r="S121" s="121"/>
    </row>
    <row r="122" spans="1:19" ht="15">
      <c r="A122" s="105">
        <v>1</v>
      </c>
      <c r="B122" s="129" t="str">
        <f t="shared" si="5"/>
        <v>350</v>
      </c>
      <c r="C122" s="107" t="s">
        <v>340</v>
      </c>
      <c r="D122" s="107" t="s">
        <v>341</v>
      </c>
      <c r="E122" s="120">
        <v>29679524.648327898</v>
      </c>
      <c r="F122" s="120" t="s">
        <v>251</v>
      </c>
      <c r="G122" s="120">
        <v>28379883.749940373</v>
      </c>
      <c r="H122" s="120" t="s">
        <v>251</v>
      </c>
      <c r="I122" s="120">
        <v>1299549.8029142304</v>
      </c>
      <c r="J122" s="120">
        <v>91.095473293767654</v>
      </c>
      <c r="K122" s="120" t="s">
        <v>251</v>
      </c>
      <c r="L122" s="120" t="s">
        <v>251</v>
      </c>
      <c r="M122" s="120">
        <v>91.095473293767654</v>
      </c>
      <c r="N122" s="120" t="s">
        <v>251</v>
      </c>
      <c r="O122" s="120">
        <v>0</v>
      </c>
      <c r="P122" s="120">
        <v>0</v>
      </c>
      <c r="Q122" s="120">
        <v>0</v>
      </c>
      <c r="R122" s="120"/>
      <c r="S122" s="121"/>
    </row>
    <row r="123" spans="1:19" ht="15">
      <c r="A123" s="105">
        <v>2</v>
      </c>
      <c r="B123" s="129" t="str">
        <f t="shared" si="5"/>
        <v>352</v>
      </c>
      <c r="C123" s="107" t="s">
        <v>342</v>
      </c>
      <c r="D123" s="107" t="s">
        <v>341</v>
      </c>
      <c r="E123" s="120">
        <v>27813584.910567705</v>
      </c>
      <c r="F123" s="120" t="s">
        <v>251</v>
      </c>
      <c r="G123" s="120">
        <v>26595651.911004502</v>
      </c>
      <c r="H123" s="120" t="s">
        <v>251</v>
      </c>
      <c r="I123" s="120">
        <v>1217847.6312255505</v>
      </c>
      <c r="J123" s="120">
        <v>85.368337648470515</v>
      </c>
      <c r="K123" s="120" t="s">
        <v>251</v>
      </c>
      <c r="L123" s="120" t="s">
        <v>251</v>
      </c>
      <c r="M123" s="120">
        <v>85.368337648470515</v>
      </c>
      <c r="N123" s="120" t="s">
        <v>251</v>
      </c>
      <c r="O123" s="120">
        <v>0</v>
      </c>
      <c r="P123" s="120">
        <v>0</v>
      </c>
      <c r="Q123" s="120">
        <v>0</v>
      </c>
      <c r="R123" s="120"/>
      <c r="S123" s="121"/>
    </row>
    <row r="124" spans="1:19" ht="15">
      <c r="A124" s="105">
        <v>3</v>
      </c>
      <c r="B124" s="129" t="str">
        <f t="shared" si="5"/>
        <v>353</v>
      </c>
      <c r="C124" s="107" t="s">
        <v>343</v>
      </c>
      <c r="D124" s="107" t="s">
        <v>341</v>
      </c>
      <c r="E124" s="120">
        <v>345178620.68259746</v>
      </c>
      <c r="F124" s="120" t="s">
        <v>251</v>
      </c>
      <c r="G124" s="120">
        <v>330063545.28959006</v>
      </c>
      <c r="H124" s="120" t="s">
        <v>251</v>
      </c>
      <c r="I124" s="120">
        <v>15114015.93500749</v>
      </c>
      <c r="J124" s="120">
        <v>1059.4579999023883</v>
      </c>
      <c r="K124" s="120" t="s">
        <v>251</v>
      </c>
      <c r="L124" s="120" t="s">
        <v>251</v>
      </c>
      <c r="M124" s="120">
        <v>1059.4579999023883</v>
      </c>
      <c r="N124" s="120" t="s">
        <v>251</v>
      </c>
      <c r="O124" s="120">
        <v>0</v>
      </c>
      <c r="P124" s="120">
        <v>0</v>
      </c>
      <c r="Q124" s="120">
        <v>0</v>
      </c>
      <c r="R124" s="120"/>
      <c r="S124" s="121"/>
    </row>
    <row r="125" spans="1:19" ht="15">
      <c r="A125" s="105">
        <v>4</v>
      </c>
      <c r="B125" s="129" t="str">
        <f t="shared" si="5"/>
        <v>354</v>
      </c>
      <c r="C125" s="107" t="s">
        <v>344</v>
      </c>
      <c r="D125" s="107" t="s">
        <v>341</v>
      </c>
      <c r="E125" s="120">
        <v>69889664.12000002</v>
      </c>
      <c r="F125" s="120" t="s">
        <v>251</v>
      </c>
      <c r="G125" s="120">
        <v>66829255.742804646</v>
      </c>
      <c r="H125" s="120" t="s">
        <v>251</v>
      </c>
      <c r="I125" s="120">
        <v>3060193.8645942817</v>
      </c>
      <c r="J125" s="120">
        <v>214.51260108751575</v>
      </c>
      <c r="K125" s="120" t="s">
        <v>251</v>
      </c>
      <c r="L125" s="120" t="s">
        <v>251</v>
      </c>
      <c r="M125" s="120">
        <v>214.51260108751575</v>
      </c>
      <c r="N125" s="120" t="s">
        <v>251</v>
      </c>
      <c r="O125" s="120">
        <v>0</v>
      </c>
      <c r="P125" s="120">
        <v>0</v>
      </c>
      <c r="Q125" s="120">
        <v>0</v>
      </c>
      <c r="R125" s="120"/>
      <c r="S125" s="121"/>
    </row>
    <row r="126" spans="1:19" ht="15">
      <c r="A126" s="105">
        <v>5</v>
      </c>
      <c r="B126" s="129" t="str">
        <f t="shared" si="5"/>
        <v>355</v>
      </c>
      <c r="C126" s="107" t="s">
        <v>345</v>
      </c>
      <c r="D126" s="107" t="s">
        <v>341</v>
      </c>
      <c r="E126" s="120">
        <v>417586768.646429</v>
      </c>
      <c r="F126" s="120" t="s">
        <v>251</v>
      </c>
      <c r="G126" s="120">
        <v>399301002.63134009</v>
      </c>
      <c r="H126" s="120" t="s">
        <v>251</v>
      </c>
      <c r="I126" s="120">
        <v>18284484.314496279</v>
      </c>
      <c r="J126" s="120">
        <v>1281.700592640881</v>
      </c>
      <c r="K126" s="120" t="s">
        <v>251</v>
      </c>
      <c r="L126" s="120" t="s">
        <v>251</v>
      </c>
      <c r="M126" s="120">
        <v>1281.700592640881</v>
      </c>
      <c r="N126" s="120" t="s">
        <v>251</v>
      </c>
      <c r="O126" s="120">
        <v>0</v>
      </c>
      <c r="P126" s="120">
        <v>0</v>
      </c>
      <c r="Q126" s="120">
        <v>0</v>
      </c>
      <c r="R126" s="120"/>
      <c r="S126" s="121"/>
    </row>
    <row r="127" spans="1:19" ht="15">
      <c r="A127" s="105">
        <v>6</v>
      </c>
      <c r="B127" s="129" t="str">
        <f t="shared" si="5"/>
        <v>356</v>
      </c>
      <c r="C127" s="107" t="s">
        <v>346</v>
      </c>
      <c r="D127" s="107" t="s">
        <v>341</v>
      </c>
      <c r="E127" s="120">
        <v>169751654.62737158</v>
      </c>
      <c r="F127" s="120" t="s">
        <v>251</v>
      </c>
      <c r="G127" s="120">
        <v>162318375.43787098</v>
      </c>
      <c r="H127" s="120" t="s">
        <v>251</v>
      </c>
      <c r="I127" s="120">
        <v>7432758.170127687</v>
      </c>
      <c r="J127" s="120">
        <v>521.01937291478134</v>
      </c>
      <c r="K127" s="120" t="s">
        <v>251</v>
      </c>
      <c r="L127" s="120" t="s">
        <v>251</v>
      </c>
      <c r="M127" s="120">
        <v>521.01937291478134</v>
      </c>
      <c r="N127" s="120" t="s">
        <v>251</v>
      </c>
      <c r="O127" s="120">
        <v>0</v>
      </c>
      <c r="P127" s="120">
        <v>0</v>
      </c>
      <c r="Q127" s="120">
        <v>0</v>
      </c>
      <c r="R127" s="120"/>
      <c r="S127" s="121"/>
    </row>
    <row r="128" spans="1:19" ht="15">
      <c r="A128" s="105">
        <v>7</v>
      </c>
      <c r="B128" s="129" t="str">
        <f t="shared" si="5"/>
        <v>357</v>
      </c>
      <c r="C128" s="107" t="s">
        <v>347</v>
      </c>
      <c r="D128" s="107" t="s">
        <v>341</v>
      </c>
      <c r="E128" s="120">
        <v>447363.25999999995</v>
      </c>
      <c r="F128" s="120" t="s">
        <v>251</v>
      </c>
      <c r="G128" s="120">
        <v>427773.60699776676</v>
      </c>
      <c r="H128" s="120" t="s">
        <v>251</v>
      </c>
      <c r="I128" s="120">
        <v>19588.279908547029</v>
      </c>
      <c r="J128" s="120">
        <v>1.3730936861968506</v>
      </c>
      <c r="K128" s="120" t="s">
        <v>251</v>
      </c>
      <c r="L128" s="120" t="s">
        <v>251</v>
      </c>
      <c r="M128" s="120">
        <v>1.3730936861968506</v>
      </c>
      <c r="N128" s="120" t="s">
        <v>251</v>
      </c>
      <c r="O128" s="120">
        <v>0</v>
      </c>
      <c r="P128" s="120">
        <v>0</v>
      </c>
      <c r="Q128" s="120">
        <v>0</v>
      </c>
      <c r="R128" s="120"/>
      <c r="S128" s="121"/>
    </row>
    <row r="129" spans="1:19" ht="15">
      <c r="A129" s="105">
        <v>8</v>
      </c>
      <c r="B129" s="129" t="str">
        <f t="shared" si="5"/>
        <v>358</v>
      </c>
      <c r="C129" s="107" t="s">
        <v>348</v>
      </c>
      <c r="D129" s="107" t="s">
        <v>341</v>
      </c>
      <c r="E129" s="120">
        <v>4859140.0092461528</v>
      </c>
      <c r="F129" s="120" t="s">
        <v>251</v>
      </c>
      <c r="G129" s="120">
        <v>4646362.440810157</v>
      </c>
      <c r="H129" s="120" t="s">
        <v>251</v>
      </c>
      <c r="I129" s="120">
        <v>212762.65425983674</v>
      </c>
      <c r="J129" s="120">
        <v>14.914176159755272</v>
      </c>
      <c r="K129" s="120" t="s">
        <v>251</v>
      </c>
      <c r="L129" s="120" t="s">
        <v>251</v>
      </c>
      <c r="M129" s="120">
        <v>14.914176159755272</v>
      </c>
      <c r="N129" s="120" t="s">
        <v>251</v>
      </c>
      <c r="O129" s="120">
        <v>0</v>
      </c>
      <c r="P129" s="120">
        <v>0</v>
      </c>
      <c r="Q129" s="120">
        <v>0</v>
      </c>
      <c r="R129" s="120"/>
      <c r="S129" s="121"/>
    </row>
    <row r="130" spans="1:19" ht="15">
      <c r="A130" s="105">
        <v>9</v>
      </c>
      <c r="B130" s="129" t="str">
        <f t="shared" si="5"/>
        <v>359</v>
      </c>
      <c r="C130" s="107" t="s">
        <v>349</v>
      </c>
      <c r="D130" s="107" t="s">
        <v>341</v>
      </c>
      <c r="E130" s="120">
        <v>551323.88</v>
      </c>
      <c r="F130" s="120" t="s">
        <v>251</v>
      </c>
      <c r="G130" s="120">
        <v>527181.88071949384</v>
      </c>
      <c r="H130" s="120" t="s">
        <v>251</v>
      </c>
      <c r="I130" s="120">
        <v>24140.307100109632</v>
      </c>
      <c r="J130" s="120">
        <v>1.6921803964803681</v>
      </c>
      <c r="K130" s="120" t="s">
        <v>251</v>
      </c>
      <c r="L130" s="120" t="s">
        <v>251</v>
      </c>
      <c r="M130" s="120">
        <v>1.6921803964803681</v>
      </c>
      <c r="N130" s="120" t="s">
        <v>251</v>
      </c>
      <c r="O130" s="120">
        <v>0</v>
      </c>
      <c r="P130" s="120">
        <v>0</v>
      </c>
      <c r="Q130" s="120">
        <v>0</v>
      </c>
      <c r="R130" s="120"/>
      <c r="S130" s="121"/>
    </row>
    <row r="131" spans="1:19" ht="15">
      <c r="A131" s="105">
        <v>10</v>
      </c>
      <c r="B131" s="105"/>
      <c r="C131" s="107" t="s">
        <v>311</v>
      </c>
      <c r="D131" s="107" t="s">
        <v>312</v>
      </c>
      <c r="E131" s="120">
        <v>2810844.66</v>
      </c>
      <c r="F131" s="120" t="s">
        <v>251</v>
      </c>
      <c r="G131" s="120">
        <v>1476136.2507957534</v>
      </c>
      <c r="H131" s="120" t="s">
        <v>251</v>
      </c>
      <c r="I131" s="120">
        <v>915501.09019698645</v>
      </c>
      <c r="J131" s="120">
        <v>419207.31900726026</v>
      </c>
      <c r="K131" s="120" t="s">
        <v>251</v>
      </c>
      <c r="L131" s="120" t="s">
        <v>251</v>
      </c>
      <c r="M131" s="120">
        <v>0</v>
      </c>
      <c r="N131" s="120" t="s">
        <v>251</v>
      </c>
      <c r="O131" s="120">
        <v>419207.31900726026</v>
      </c>
      <c r="P131" s="120">
        <v>212610.23649726028</v>
      </c>
      <c r="Q131" s="120">
        <v>206597.08251000001</v>
      </c>
      <c r="R131" s="120"/>
      <c r="S131" s="121"/>
    </row>
    <row r="132" spans="1:19" ht="15">
      <c r="A132" s="105">
        <v>11</v>
      </c>
      <c r="B132" s="105"/>
      <c r="C132" s="107" t="s">
        <v>313</v>
      </c>
      <c r="D132" s="107" t="s">
        <v>314</v>
      </c>
      <c r="E132" s="120">
        <v>1420230.45</v>
      </c>
      <c r="F132" s="120" t="s">
        <v>251</v>
      </c>
      <c r="G132" s="120">
        <v>1106107.4546747499</v>
      </c>
      <c r="H132" s="120" t="s">
        <v>251</v>
      </c>
      <c r="I132" s="120">
        <v>0</v>
      </c>
      <c r="J132" s="120">
        <v>314122.99532525009</v>
      </c>
      <c r="K132" s="120" t="s">
        <v>251</v>
      </c>
      <c r="L132" s="120" t="s">
        <v>251</v>
      </c>
      <c r="M132" s="120">
        <v>0</v>
      </c>
      <c r="N132" s="120" t="s">
        <v>251</v>
      </c>
      <c r="O132" s="120">
        <v>314122.99532525009</v>
      </c>
      <c r="P132" s="120">
        <v>159314.40434648644</v>
      </c>
      <c r="Q132" s="120">
        <v>154808.59097876362</v>
      </c>
      <c r="R132" s="120"/>
      <c r="S132" s="121"/>
    </row>
    <row r="133" spans="1:19" ht="15">
      <c r="A133" s="105">
        <v>12</v>
      </c>
      <c r="B133" s="105"/>
      <c r="C133" s="107" t="s">
        <v>350</v>
      </c>
      <c r="D133" s="107" t="s">
        <v>251</v>
      </c>
      <c r="E133" s="120">
        <v>1069988719.8945398</v>
      </c>
      <c r="F133" s="120" t="s">
        <v>251</v>
      </c>
      <c r="G133" s="120">
        <v>1021671276.3965485</v>
      </c>
      <c r="H133" s="120" t="s">
        <v>251</v>
      </c>
      <c r="I133" s="120">
        <v>47580842.049831003</v>
      </c>
      <c r="J133" s="120">
        <v>736601.44816024054</v>
      </c>
      <c r="K133" s="120" t="s">
        <v>251</v>
      </c>
      <c r="L133" s="120" t="s">
        <v>251</v>
      </c>
      <c r="M133" s="120">
        <v>3271.133827730237</v>
      </c>
      <c r="N133" s="120" t="s">
        <v>251</v>
      </c>
      <c r="O133" s="120">
        <v>733330.31433251034</v>
      </c>
      <c r="P133" s="120">
        <v>371924.64084374672</v>
      </c>
      <c r="Q133" s="120">
        <v>361405.67348876363</v>
      </c>
      <c r="R133" s="120"/>
      <c r="S133" s="121"/>
    </row>
    <row r="134" spans="1:19" ht="15">
      <c r="A134" s="105" t="s">
        <v>251</v>
      </c>
      <c r="B134" s="105"/>
      <c r="C134" s="107" t="s">
        <v>251</v>
      </c>
      <c r="D134" s="107" t="s">
        <v>251</v>
      </c>
      <c r="E134" s="120" t="s">
        <v>251</v>
      </c>
      <c r="F134" s="120" t="s">
        <v>251</v>
      </c>
      <c r="G134" s="120" t="s">
        <v>251</v>
      </c>
      <c r="H134" s="120" t="s">
        <v>251</v>
      </c>
      <c r="I134" s="120" t="s">
        <v>251</v>
      </c>
      <c r="J134" s="120" t="s">
        <v>251</v>
      </c>
      <c r="K134" s="120" t="s">
        <v>251</v>
      </c>
      <c r="L134" s="120" t="s">
        <v>251</v>
      </c>
      <c r="M134" s="120" t="s">
        <v>251</v>
      </c>
      <c r="N134" s="120" t="s">
        <v>251</v>
      </c>
      <c r="O134" s="120" t="s">
        <v>251</v>
      </c>
      <c r="P134" s="120" t="s">
        <v>251</v>
      </c>
      <c r="Q134" s="120" t="s">
        <v>251</v>
      </c>
      <c r="R134" s="120"/>
      <c r="S134" s="121"/>
    </row>
    <row r="135" spans="1:19" ht="15">
      <c r="A135" s="105" t="s">
        <v>251</v>
      </c>
      <c r="B135" s="129" t="str">
        <f t="shared" ref="B135:B141" si="6">MID(C135,2,3)</f>
        <v>IRG</v>
      </c>
      <c r="C135" s="107" t="s">
        <v>351</v>
      </c>
      <c r="D135" s="107" t="s">
        <v>251</v>
      </c>
      <c r="E135" s="120" t="s">
        <v>251</v>
      </c>
      <c r="F135" s="120" t="s">
        <v>251</v>
      </c>
      <c r="G135" s="120" t="s">
        <v>251</v>
      </c>
      <c r="H135" s="120" t="s">
        <v>251</v>
      </c>
      <c r="I135" s="120" t="s">
        <v>251</v>
      </c>
      <c r="J135" s="120" t="s">
        <v>251</v>
      </c>
      <c r="K135" s="120" t="s">
        <v>251</v>
      </c>
      <c r="L135" s="120" t="s">
        <v>251</v>
      </c>
      <c r="M135" s="120" t="s">
        <v>251</v>
      </c>
      <c r="N135" s="120" t="s">
        <v>251</v>
      </c>
      <c r="O135" s="120" t="s">
        <v>251</v>
      </c>
      <c r="P135" s="120" t="s">
        <v>251</v>
      </c>
      <c r="Q135" s="120" t="s">
        <v>251</v>
      </c>
      <c r="R135" s="120"/>
      <c r="S135" s="121"/>
    </row>
    <row r="136" spans="1:19" ht="15">
      <c r="A136" s="105">
        <v>13</v>
      </c>
      <c r="B136" s="129" t="str">
        <f t="shared" si="6"/>
        <v>350</v>
      </c>
      <c r="C136" s="107" t="s">
        <v>340</v>
      </c>
      <c r="D136" s="107" t="s">
        <v>352</v>
      </c>
      <c r="E136" s="120">
        <v>2101901.4251153846</v>
      </c>
      <c r="F136" s="120" t="s">
        <v>251</v>
      </c>
      <c r="G136" s="120">
        <v>0</v>
      </c>
      <c r="H136" s="120" t="s">
        <v>251</v>
      </c>
      <c r="I136" s="120">
        <v>2101901.4251153846</v>
      </c>
      <c r="J136" s="120">
        <v>0</v>
      </c>
      <c r="K136" s="120" t="s">
        <v>251</v>
      </c>
      <c r="L136" s="120" t="s">
        <v>251</v>
      </c>
      <c r="M136" s="120">
        <v>0</v>
      </c>
      <c r="N136" s="120" t="s">
        <v>251</v>
      </c>
      <c r="O136" s="120">
        <v>0</v>
      </c>
      <c r="P136" s="120">
        <v>0</v>
      </c>
      <c r="Q136" s="120">
        <v>0</v>
      </c>
      <c r="R136" s="120"/>
      <c r="S136" s="121"/>
    </row>
    <row r="137" spans="1:19" ht="15">
      <c r="A137" s="105">
        <v>14</v>
      </c>
      <c r="B137" s="129" t="str">
        <f t="shared" si="6"/>
        <v>352</v>
      </c>
      <c r="C137" s="107" t="s">
        <v>342</v>
      </c>
      <c r="D137" s="107" t="s">
        <v>352</v>
      </c>
      <c r="E137" s="120">
        <v>1743195.88</v>
      </c>
      <c r="F137" s="120" t="s">
        <v>251</v>
      </c>
      <c r="G137" s="120">
        <v>0</v>
      </c>
      <c r="H137" s="120" t="s">
        <v>251</v>
      </c>
      <c r="I137" s="120">
        <v>1743195.88</v>
      </c>
      <c r="J137" s="120">
        <v>0</v>
      </c>
      <c r="K137" s="120" t="s">
        <v>251</v>
      </c>
      <c r="L137" s="120" t="s">
        <v>251</v>
      </c>
      <c r="M137" s="120">
        <v>0</v>
      </c>
      <c r="N137" s="120" t="s">
        <v>251</v>
      </c>
      <c r="O137" s="120">
        <v>0</v>
      </c>
      <c r="P137" s="120">
        <v>0</v>
      </c>
      <c r="Q137" s="120">
        <v>0</v>
      </c>
      <c r="R137" s="120"/>
      <c r="S137" s="121"/>
    </row>
    <row r="138" spans="1:19" ht="15">
      <c r="A138" s="105">
        <v>15</v>
      </c>
      <c r="B138" s="129" t="str">
        <f t="shared" si="6"/>
        <v>353</v>
      </c>
      <c r="C138" s="107" t="s">
        <v>343</v>
      </c>
      <c r="D138" s="107" t="s">
        <v>352</v>
      </c>
      <c r="E138" s="120">
        <v>22950562.109999996</v>
      </c>
      <c r="F138" s="120" t="s">
        <v>251</v>
      </c>
      <c r="G138" s="120">
        <v>0</v>
      </c>
      <c r="H138" s="120" t="s">
        <v>251</v>
      </c>
      <c r="I138" s="120">
        <v>22950562.109999996</v>
      </c>
      <c r="J138" s="120">
        <v>0</v>
      </c>
      <c r="K138" s="120" t="s">
        <v>251</v>
      </c>
      <c r="L138" s="120" t="s">
        <v>251</v>
      </c>
      <c r="M138" s="120">
        <v>0</v>
      </c>
      <c r="N138" s="120" t="s">
        <v>251</v>
      </c>
      <c r="O138" s="120">
        <v>0</v>
      </c>
      <c r="P138" s="120">
        <v>0</v>
      </c>
      <c r="Q138" s="120">
        <v>0</v>
      </c>
      <c r="R138" s="120"/>
      <c r="S138" s="121"/>
    </row>
    <row r="139" spans="1:19" ht="15">
      <c r="A139" s="105">
        <v>16</v>
      </c>
      <c r="B139" s="129" t="str">
        <f t="shared" si="6"/>
        <v>354</v>
      </c>
      <c r="C139" s="107" t="s">
        <v>344</v>
      </c>
      <c r="D139" s="107" t="s">
        <v>352</v>
      </c>
      <c r="E139" s="120">
        <v>2411758.4300000016</v>
      </c>
      <c r="F139" s="120" t="s">
        <v>251</v>
      </c>
      <c r="G139" s="120">
        <v>0</v>
      </c>
      <c r="H139" s="120" t="s">
        <v>251</v>
      </c>
      <c r="I139" s="120">
        <v>2411758.4300000016</v>
      </c>
      <c r="J139" s="120">
        <v>0</v>
      </c>
      <c r="K139" s="120" t="s">
        <v>251</v>
      </c>
      <c r="L139" s="120" t="s">
        <v>251</v>
      </c>
      <c r="M139" s="120">
        <v>0</v>
      </c>
      <c r="N139" s="120" t="s">
        <v>251</v>
      </c>
      <c r="O139" s="120">
        <v>0</v>
      </c>
      <c r="P139" s="120">
        <v>0</v>
      </c>
      <c r="Q139" s="120">
        <v>0</v>
      </c>
      <c r="R139" s="120"/>
      <c r="S139" s="121"/>
    </row>
    <row r="140" spans="1:19" ht="15">
      <c r="A140" s="105">
        <v>17</v>
      </c>
      <c r="B140" s="129" t="str">
        <f t="shared" si="6"/>
        <v>355</v>
      </c>
      <c r="C140" s="107" t="s">
        <v>345</v>
      </c>
      <c r="D140" s="107" t="s">
        <v>352</v>
      </c>
      <c r="E140" s="120">
        <v>14911337.72301645</v>
      </c>
      <c r="F140" s="120" t="s">
        <v>251</v>
      </c>
      <c r="G140" s="120">
        <v>0</v>
      </c>
      <c r="H140" s="120" t="s">
        <v>251</v>
      </c>
      <c r="I140" s="120">
        <v>14911337.72301645</v>
      </c>
      <c r="J140" s="120">
        <v>0</v>
      </c>
      <c r="K140" s="120" t="s">
        <v>251</v>
      </c>
      <c r="L140" s="120" t="s">
        <v>251</v>
      </c>
      <c r="M140" s="120">
        <v>0</v>
      </c>
      <c r="N140" s="120" t="s">
        <v>251</v>
      </c>
      <c r="O140" s="120">
        <v>0</v>
      </c>
      <c r="P140" s="120">
        <v>0</v>
      </c>
      <c r="Q140" s="120">
        <v>0</v>
      </c>
      <c r="R140" s="120"/>
      <c r="S140" s="121"/>
    </row>
    <row r="141" spans="1:19" ht="15">
      <c r="A141" s="105">
        <v>18</v>
      </c>
      <c r="B141" s="129" t="str">
        <f t="shared" si="6"/>
        <v>356</v>
      </c>
      <c r="C141" s="107" t="s">
        <v>346</v>
      </c>
      <c r="D141" s="107" t="s">
        <v>352</v>
      </c>
      <c r="E141" s="120">
        <v>15565058.871008495</v>
      </c>
      <c r="F141" s="120" t="s">
        <v>251</v>
      </c>
      <c r="G141" s="120">
        <v>0</v>
      </c>
      <c r="H141" s="120" t="s">
        <v>251</v>
      </c>
      <c r="I141" s="120">
        <v>15565058.871008495</v>
      </c>
      <c r="J141" s="120">
        <v>0</v>
      </c>
      <c r="K141" s="120" t="s">
        <v>251</v>
      </c>
      <c r="L141" s="120" t="s">
        <v>251</v>
      </c>
      <c r="M141" s="120">
        <v>0</v>
      </c>
      <c r="N141" s="120" t="s">
        <v>251</v>
      </c>
      <c r="O141" s="120">
        <v>0</v>
      </c>
      <c r="P141" s="120">
        <v>0</v>
      </c>
      <c r="Q141" s="120">
        <v>0</v>
      </c>
      <c r="R141" s="120"/>
      <c r="S141" s="121"/>
    </row>
    <row r="142" spans="1:19" ht="15">
      <c r="A142" s="105">
        <v>19</v>
      </c>
      <c r="B142" s="105"/>
      <c r="C142" s="107" t="s">
        <v>311</v>
      </c>
      <c r="D142" s="107" t="s">
        <v>352</v>
      </c>
      <c r="E142" s="120">
        <v>2</v>
      </c>
      <c r="F142" s="120" t="s">
        <v>251</v>
      </c>
      <c r="G142" s="120">
        <v>0</v>
      </c>
      <c r="H142" s="120" t="s">
        <v>251</v>
      </c>
      <c r="I142" s="120">
        <v>2</v>
      </c>
      <c r="J142" s="120">
        <v>0</v>
      </c>
      <c r="K142" s="120" t="s">
        <v>251</v>
      </c>
      <c r="L142" s="120" t="s">
        <v>251</v>
      </c>
      <c r="M142" s="120">
        <v>0</v>
      </c>
      <c r="N142" s="120" t="s">
        <v>251</v>
      </c>
      <c r="O142" s="120">
        <v>0</v>
      </c>
      <c r="P142" s="120">
        <v>0</v>
      </c>
      <c r="Q142" s="120">
        <v>0</v>
      </c>
      <c r="R142" s="120"/>
      <c r="S142" s="121"/>
    </row>
    <row r="143" spans="1:19" ht="15">
      <c r="A143" s="105">
        <v>20</v>
      </c>
      <c r="B143" s="105"/>
      <c r="C143" s="107" t="s">
        <v>313</v>
      </c>
      <c r="D143" s="107" t="s">
        <v>352</v>
      </c>
      <c r="E143" s="120">
        <v>4288.38</v>
      </c>
      <c r="F143" s="120" t="s">
        <v>251</v>
      </c>
      <c r="G143" s="120">
        <v>0</v>
      </c>
      <c r="H143" s="120" t="s">
        <v>251</v>
      </c>
      <c r="I143" s="120">
        <v>4288.38</v>
      </c>
      <c r="J143" s="120">
        <v>0</v>
      </c>
      <c r="K143" s="120" t="s">
        <v>251</v>
      </c>
      <c r="L143" s="120" t="s">
        <v>251</v>
      </c>
      <c r="M143" s="120">
        <v>0</v>
      </c>
      <c r="N143" s="120" t="s">
        <v>251</v>
      </c>
      <c r="O143" s="120">
        <v>0</v>
      </c>
      <c r="P143" s="120">
        <v>0</v>
      </c>
      <c r="Q143" s="120">
        <v>0</v>
      </c>
      <c r="R143" s="120"/>
      <c r="S143" s="121"/>
    </row>
    <row r="144" spans="1:19" ht="15">
      <c r="A144" s="105">
        <v>21</v>
      </c>
      <c r="B144" s="105"/>
      <c r="C144" s="107" t="s">
        <v>353</v>
      </c>
      <c r="D144" s="107" t="s">
        <v>251</v>
      </c>
      <c r="E144" s="120">
        <v>59688104.819140323</v>
      </c>
      <c r="F144" s="120" t="s">
        <v>251</v>
      </c>
      <c r="G144" s="120">
        <v>0</v>
      </c>
      <c r="H144" s="120" t="s">
        <v>251</v>
      </c>
      <c r="I144" s="120">
        <v>59688104.819140323</v>
      </c>
      <c r="J144" s="120">
        <v>0</v>
      </c>
      <c r="K144" s="120" t="s">
        <v>251</v>
      </c>
      <c r="L144" s="120" t="s">
        <v>251</v>
      </c>
      <c r="M144" s="120">
        <v>0</v>
      </c>
      <c r="N144" s="120" t="s">
        <v>251</v>
      </c>
      <c r="O144" s="120">
        <v>0</v>
      </c>
      <c r="P144" s="120">
        <v>0</v>
      </c>
      <c r="Q144" s="120">
        <v>0</v>
      </c>
      <c r="R144" s="120"/>
      <c r="S144" s="121"/>
    </row>
    <row r="145" spans="1:19" ht="15">
      <c r="A145" s="105" t="s">
        <v>251</v>
      </c>
      <c r="B145" s="105"/>
      <c r="C145" s="107" t="s">
        <v>251</v>
      </c>
      <c r="D145" s="107" t="s">
        <v>251</v>
      </c>
      <c r="E145" s="120" t="s">
        <v>251</v>
      </c>
      <c r="F145" s="120" t="s">
        <v>251</v>
      </c>
      <c r="G145" s="120" t="s">
        <v>251</v>
      </c>
      <c r="H145" s="120" t="s">
        <v>251</v>
      </c>
      <c r="I145" s="120" t="s">
        <v>251</v>
      </c>
      <c r="J145" s="120" t="s">
        <v>251</v>
      </c>
      <c r="K145" s="120" t="s">
        <v>251</v>
      </c>
      <c r="L145" s="120" t="s">
        <v>251</v>
      </c>
      <c r="M145" s="120" t="s">
        <v>251</v>
      </c>
      <c r="N145" s="120" t="s">
        <v>251</v>
      </c>
      <c r="O145" s="120" t="s">
        <v>251</v>
      </c>
      <c r="P145" s="120" t="s">
        <v>251</v>
      </c>
      <c r="Q145" s="120" t="s">
        <v>251</v>
      </c>
      <c r="R145" s="120"/>
      <c r="S145" s="121"/>
    </row>
    <row r="146" spans="1:19" ht="15">
      <c r="A146" s="105" t="s">
        <v>251</v>
      </c>
      <c r="B146" s="129" t="str">
        <f t="shared" ref="B146:B150" si="7">MID(C146,2,3)</f>
        <v>IRG</v>
      </c>
      <c r="C146" s="107" t="s">
        <v>354</v>
      </c>
      <c r="D146" s="107" t="s">
        <v>251</v>
      </c>
      <c r="E146" s="120" t="s">
        <v>251</v>
      </c>
      <c r="F146" s="120" t="s">
        <v>251</v>
      </c>
      <c r="G146" s="120" t="s">
        <v>251</v>
      </c>
      <c r="H146" s="120" t="s">
        <v>251</v>
      </c>
      <c r="I146" s="120" t="s">
        <v>251</v>
      </c>
      <c r="J146" s="120" t="s">
        <v>251</v>
      </c>
      <c r="K146" s="120" t="s">
        <v>251</v>
      </c>
      <c r="L146" s="120" t="s">
        <v>251</v>
      </c>
      <c r="M146" s="120" t="s">
        <v>251</v>
      </c>
      <c r="N146" s="120" t="s">
        <v>251</v>
      </c>
      <c r="O146" s="120" t="s">
        <v>251</v>
      </c>
      <c r="P146" s="120" t="s">
        <v>251</v>
      </c>
      <c r="Q146" s="120" t="s">
        <v>251</v>
      </c>
      <c r="R146" s="120"/>
      <c r="S146" s="121"/>
    </row>
    <row r="147" spans="1:19" ht="15">
      <c r="A147" s="105">
        <v>22</v>
      </c>
      <c r="B147" s="129" t="str">
        <f t="shared" si="7"/>
        <v>350</v>
      </c>
      <c r="C147" s="107" t="s">
        <v>340</v>
      </c>
      <c r="D147" s="107" t="s">
        <v>355</v>
      </c>
      <c r="E147" s="120">
        <v>280370.75</v>
      </c>
      <c r="F147" s="120" t="s">
        <v>251</v>
      </c>
      <c r="G147" s="120">
        <v>280369.85005183908</v>
      </c>
      <c r="H147" s="120" t="s">
        <v>251</v>
      </c>
      <c r="I147" s="120">
        <v>0</v>
      </c>
      <c r="J147" s="120">
        <v>0.89994816091621976</v>
      </c>
      <c r="K147" s="120" t="s">
        <v>251</v>
      </c>
      <c r="L147" s="120" t="s">
        <v>251</v>
      </c>
      <c r="M147" s="120">
        <v>0.89994816091621976</v>
      </c>
      <c r="N147" s="120" t="s">
        <v>251</v>
      </c>
      <c r="O147" s="120">
        <v>0</v>
      </c>
      <c r="P147" s="120">
        <v>0</v>
      </c>
      <c r="Q147" s="120">
        <v>0</v>
      </c>
      <c r="R147" s="120"/>
      <c r="S147" s="121"/>
    </row>
    <row r="148" spans="1:19" ht="15">
      <c r="A148" s="105">
        <v>23</v>
      </c>
      <c r="B148" s="129" t="str">
        <f t="shared" si="7"/>
        <v>354</v>
      </c>
      <c r="C148" s="107" t="s">
        <v>344</v>
      </c>
      <c r="D148" s="107" t="s">
        <v>355</v>
      </c>
      <c r="E148" s="120">
        <v>4769322.8699999992</v>
      </c>
      <c r="F148" s="120" t="s">
        <v>251</v>
      </c>
      <c r="G148" s="120">
        <v>4769307.5611871304</v>
      </c>
      <c r="H148" s="120" t="s">
        <v>251</v>
      </c>
      <c r="I148" s="120">
        <v>0</v>
      </c>
      <c r="J148" s="120">
        <v>15.308812868932177</v>
      </c>
      <c r="K148" s="120" t="s">
        <v>251</v>
      </c>
      <c r="L148" s="120" t="s">
        <v>251</v>
      </c>
      <c r="M148" s="120">
        <v>15.308812868932177</v>
      </c>
      <c r="N148" s="120" t="s">
        <v>251</v>
      </c>
      <c r="O148" s="120">
        <v>0</v>
      </c>
      <c r="P148" s="120">
        <v>0</v>
      </c>
      <c r="Q148" s="120">
        <v>0</v>
      </c>
      <c r="R148" s="120"/>
      <c r="S148" s="121"/>
    </row>
    <row r="149" spans="1:19" ht="15">
      <c r="A149" s="105">
        <v>24</v>
      </c>
      <c r="B149" s="129" t="str">
        <f t="shared" si="7"/>
        <v>355</v>
      </c>
      <c r="C149" s="107" t="s">
        <v>345</v>
      </c>
      <c r="D149" s="107" t="s">
        <v>355</v>
      </c>
      <c r="E149" s="120">
        <v>51357.98</v>
      </c>
      <c r="F149" s="120" t="s">
        <v>251</v>
      </c>
      <c r="G149" s="120">
        <v>51357.815148567926</v>
      </c>
      <c r="H149" s="120" t="s">
        <v>251</v>
      </c>
      <c r="I149" s="120">
        <v>0</v>
      </c>
      <c r="J149" s="120">
        <v>0.164851432074751</v>
      </c>
      <c r="K149" s="120" t="s">
        <v>251</v>
      </c>
      <c r="L149" s="120" t="s">
        <v>251</v>
      </c>
      <c r="M149" s="120">
        <v>0.164851432074751</v>
      </c>
      <c r="N149" s="120" t="s">
        <v>251</v>
      </c>
      <c r="O149" s="120">
        <v>0</v>
      </c>
      <c r="P149" s="120">
        <v>0</v>
      </c>
      <c r="Q149" s="120">
        <v>0</v>
      </c>
      <c r="R149" s="120"/>
      <c r="S149" s="121"/>
    </row>
    <row r="150" spans="1:19" ht="15">
      <c r="A150" s="105">
        <v>25</v>
      </c>
      <c r="B150" s="129" t="str">
        <f t="shared" si="7"/>
        <v>356</v>
      </c>
      <c r="C150" s="107" t="s">
        <v>346</v>
      </c>
      <c r="D150" s="107" t="s">
        <v>355</v>
      </c>
      <c r="E150" s="120">
        <v>3129377.81</v>
      </c>
      <c r="F150" s="120" t="s">
        <v>251</v>
      </c>
      <c r="G150" s="120">
        <v>3129367.7651654198</v>
      </c>
      <c r="H150" s="120" t="s">
        <v>251</v>
      </c>
      <c r="I150" s="120">
        <v>0</v>
      </c>
      <c r="J150" s="120">
        <v>10.044834580360209</v>
      </c>
      <c r="K150" s="120" t="s">
        <v>251</v>
      </c>
      <c r="L150" s="120" t="s">
        <v>251</v>
      </c>
      <c r="M150" s="120">
        <v>10.044834580360209</v>
      </c>
      <c r="N150" s="120" t="s">
        <v>251</v>
      </c>
      <c r="O150" s="120">
        <v>0</v>
      </c>
      <c r="P150" s="120">
        <v>0</v>
      </c>
      <c r="Q150" s="120">
        <v>0</v>
      </c>
      <c r="R150" s="120"/>
      <c r="S150" s="121"/>
    </row>
    <row r="151" spans="1:19" ht="15">
      <c r="A151" s="105">
        <v>26</v>
      </c>
      <c r="B151" s="105"/>
      <c r="C151" s="107" t="s">
        <v>311</v>
      </c>
      <c r="D151" s="107" t="s">
        <v>312</v>
      </c>
      <c r="E151" s="120">
        <v>0</v>
      </c>
      <c r="F151" s="120" t="s">
        <v>251</v>
      </c>
      <c r="G151" s="120">
        <v>0</v>
      </c>
      <c r="H151" s="120" t="s">
        <v>251</v>
      </c>
      <c r="I151" s="120">
        <v>0</v>
      </c>
      <c r="J151" s="120">
        <v>0</v>
      </c>
      <c r="K151" s="120" t="s">
        <v>251</v>
      </c>
      <c r="L151" s="120" t="s">
        <v>251</v>
      </c>
      <c r="M151" s="120">
        <v>0</v>
      </c>
      <c r="N151" s="120" t="s">
        <v>251</v>
      </c>
      <c r="O151" s="120">
        <v>0</v>
      </c>
      <c r="P151" s="120">
        <v>0</v>
      </c>
      <c r="Q151" s="120">
        <v>0</v>
      </c>
      <c r="R151" s="120"/>
      <c r="S151" s="121"/>
    </row>
    <row r="152" spans="1:19" ht="15">
      <c r="A152" s="105">
        <v>27</v>
      </c>
      <c r="B152" s="105"/>
      <c r="C152" s="107" t="s">
        <v>313</v>
      </c>
      <c r="D152" s="107" t="s">
        <v>314</v>
      </c>
      <c r="E152" s="120">
        <v>0</v>
      </c>
      <c r="F152" s="120" t="s">
        <v>251</v>
      </c>
      <c r="G152" s="120">
        <v>0</v>
      </c>
      <c r="H152" s="120" t="s">
        <v>251</v>
      </c>
      <c r="I152" s="120">
        <v>0</v>
      </c>
      <c r="J152" s="120">
        <v>0</v>
      </c>
      <c r="K152" s="120" t="s">
        <v>251</v>
      </c>
      <c r="L152" s="120" t="s">
        <v>251</v>
      </c>
      <c r="M152" s="120">
        <v>0</v>
      </c>
      <c r="N152" s="120" t="s">
        <v>251</v>
      </c>
      <c r="O152" s="120">
        <v>0</v>
      </c>
      <c r="P152" s="120">
        <v>0</v>
      </c>
      <c r="Q152" s="120">
        <v>0</v>
      </c>
      <c r="R152" s="120"/>
      <c r="S152" s="121"/>
    </row>
    <row r="153" spans="1:19" ht="15">
      <c r="A153" s="105">
        <v>28</v>
      </c>
      <c r="B153" s="105"/>
      <c r="C153" s="107" t="s">
        <v>356</v>
      </c>
      <c r="D153" s="107" t="s">
        <v>251</v>
      </c>
      <c r="E153" s="120">
        <v>8230429.4099999983</v>
      </c>
      <c r="F153" s="120" t="s">
        <v>251</v>
      </c>
      <c r="G153" s="120">
        <v>8230402.9915529564</v>
      </c>
      <c r="H153" s="120" t="s">
        <v>251</v>
      </c>
      <c r="I153" s="120">
        <v>0</v>
      </c>
      <c r="J153" s="120">
        <v>26.418447042283358</v>
      </c>
      <c r="K153" s="120" t="s">
        <v>251</v>
      </c>
      <c r="L153" s="120" t="s">
        <v>251</v>
      </c>
      <c r="M153" s="120">
        <v>26.418447042283358</v>
      </c>
      <c r="N153" s="120" t="s">
        <v>251</v>
      </c>
      <c r="O153" s="120">
        <v>0</v>
      </c>
      <c r="P153" s="120">
        <v>0</v>
      </c>
      <c r="Q153" s="120">
        <v>0</v>
      </c>
      <c r="R153" s="120"/>
      <c r="S153" s="121"/>
    </row>
    <row r="154" spans="1:19" ht="15">
      <c r="A154" s="105" t="s">
        <v>251</v>
      </c>
      <c r="B154" s="105"/>
      <c r="C154" s="107" t="s">
        <v>251</v>
      </c>
      <c r="D154" s="107" t="s">
        <v>251</v>
      </c>
      <c r="E154" s="120" t="s">
        <v>251</v>
      </c>
      <c r="F154" s="120" t="s">
        <v>251</v>
      </c>
      <c r="G154" s="120" t="s">
        <v>251</v>
      </c>
      <c r="H154" s="120" t="s">
        <v>251</v>
      </c>
      <c r="I154" s="120" t="s">
        <v>251</v>
      </c>
      <c r="J154" s="120" t="s">
        <v>251</v>
      </c>
      <c r="K154" s="120" t="s">
        <v>251</v>
      </c>
      <c r="L154" s="120" t="s">
        <v>251</v>
      </c>
      <c r="M154" s="120" t="s">
        <v>251</v>
      </c>
      <c r="N154" s="120" t="s">
        <v>251</v>
      </c>
      <c r="O154" s="120" t="s">
        <v>251</v>
      </c>
      <c r="P154" s="120" t="s">
        <v>251</v>
      </c>
      <c r="Q154" s="120" t="s">
        <v>251</v>
      </c>
      <c r="R154" s="120"/>
      <c r="S154" s="121"/>
    </row>
    <row r="155" spans="1:19" ht="15">
      <c r="A155" s="105">
        <v>29</v>
      </c>
      <c r="B155" s="105"/>
      <c r="C155" s="107" t="s">
        <v>357</v>
      </c>
      <c r="D155" s="107" t="s">
        <v>251</v>
      </c>
      <c r="E155" s="120">
        <v>1137907254.1236799</v>
      </c>
      <c r="F155" s="120" t="s">
        <v>251</v>
      </c>
      <c r="G155" s="120">
        <v>1029901679.3881015</v>
      </c>
      <c r="H155" s="120" t="s">
        <v>251</v>
      </c>
      <c r="I155" s="120">
        <v>107268946.86897132</v>
      </c>
      <c r="J155" s="120">
        <v>736627.86660728289</v>
      </c>
      <c r="K155" s="120" t="s">
        <v>251</v>
      </c>
      <c r="L155" s="120" t="s">
        <v>251</v>
      </c>
      <c r="M155" s="120">
        <v>3297.5522747725204</v>
      </c>
      <c r="N155" s="120" t="s">
        <v>251</v>
      </c>
      <c r="O155" s="120">
        <v>733330.31433251034</v>
      </c>
      <c r="P155" s="120">
        <v>371924.64084374672</v>
      </c>
      <c r="Q155" s="120">
        <v>361405.67348876363</v>
      </c>
      <c r="R155" s="120"/>
      <c r="S155" s="121"/>
    </row>
    <row r="156" spans="1:19" ht="15">
      <c r="A156" s="105" t="s">
        <v>251</v>
      </c>
      <c r="B156" s="105"/>
      <c r="C156" s="107" t="s">
        <v>251</v>
      </c>
      <c r="D156" s="107" t="s">
        <v>251</v>
      </c>
      <c r="E156" s="120" t="s">
        <v>251</v>
      </c>
      <c r="F156" s="120" t="s">
        <v>251</v>
      </c>
      <c r="G156" s="120" t="s">
        <v>251</v>
      </c>
      <c r="H156" s="120" t="s">
        <v>251</v>
      </c>
      <c r="I156" s="120" t="s">
        <v>251</v>
      </c>
      <c r="J156" s="120" t="s">
        <v>251</v>
      </c>
      <c r="K156" s="120" t="s">
        <v>251</v>
      </c>
      <c r="L156" s="120" t="s">
        <v>251</v>
      </c>
      <c r="M156" s="120" t="s">
        <v>251</v>
      </c>
      <c r="N156" s="120" t="s">
        <v>251</v>
      </c>
      <c r="O156" s="120" t="s">
        <v>251</v>
      </c>
      <c r="P156" s="120" t="s">
        <v>251</v>
      </c>
      <c r="Q156" s="120" t="s">
        <v>251</v>
      </c>
      <c r="R156" s="120"/>
      <c r="S156" s="121"/>
    </row>
    <row r="157" spans="1:19" ht="15">
      <c r="A157" s="105" t="s">
        <v>251</v>
      </c>
      <c r="B157" s="105"/>
      <c r="C157" s="107" t="s">
        <v>337</v>
      </c>
      <c r="D157" s="107" t="s">
        <v>251</v>
      </c>
      <c r="E157" s="120" t="s">
        <v>251</v>
      </c>
      <c r="F157" s="120" t="s">
        <v>251</v>
      </c>
      <c r="G157" s="120" t="s">
        <v>251</v>
      </c>
      <c r="H157" s="120" t="s">
        <v>251</v>
      </c>
      <c r="I157" s="120" t="s">
        <v>251</v>
      </c>
      <c r="J157" s="120" t="s">
        <v>251</v>
      </c>
      <c r="K157" s="120" t="s">
        <v>251</v>
      </c>
      <c r="L157" s="120" t="s">
        <v>251</v>
      </c>
      <c r="M157" s="120" t="s">
        <v>251</v>
      </c>
      <c r="N157" s="120" t="s">
        <v>251</v>
      </c>
      <c r="O157" s="120" t="s">
        <v>251</v>
      </c>
      <c r="P157" s="120" t="s">
        <v>251</v>
      </c>
      <c r="Q157" s="120" t="s">
        <v>251</v>
      </c>
      <c r="R157" s="120"/>
      <c r="S157" s="121"/>
    </row>
    <row r="158" spans="1:19" ht="15">
      <c r="A158" s="105" t="s">
        <v>251</v>
      </c>
      <c r="B158" s="105"/>
      <c r="C158" s="107" t="s">
        <v>251</v>
      </c>
      <c r="D158" s="107" t="s">
        <v>251</v>
      </c>
      <c r="E158" s="120" t="s">
        <v>251</v>
      </c>
      <c r="F158" s="120" t="s">
        <v>251</v>
      </c>
      <c r="G158" s="120" t="s">
        <v>251</v>
      </c>
      <c r="H158" s="120" t="s">
        <v>251</v>
      </c>
      <c r="I158" s="120" t="s">
        <v>251</v>
      </c>
      <c r="J158" s="120" t="s">
        <v>251</v>
      </c>
      <c r="K158" s="120" t="s">
        <v>251</v>
      </c>
      <c r="L158" s="120" t="s">
        <v>251</v>
      </c>
      <c r="M158" s="120" t="s">
        <v>251</v>
      </c>
      <c r="N158" s="120" t="s">
        <v>251</v>
      </c>
      <c r="O158" s="120" t="s">
        <v>251</v>
      </c>
      <c r="P158" s="120" t="s">
        <v>251</v>
      </c>
      <c r="Q158" s="120" t="s">
        <v>251</v>
      </c>
      <c r="R158" s="120"/>
      <c r="S158" s="121"/>
    </row>
    <row r="159" spans="1:19" ht="15">
      <c r="A159" s="105" t="s">
        <v>251</v>
      </c>
      <c r="B159" s="105"/>
      <c r="C159" s="107" t="s">
        <v>358</v>
      </c>
      <c r="D159" s="107" t="s">
        <v>251</v>
      </c>
      <c r="E159" s="120" t="s">
        <v>251</v>
      </c>
      <c r="F159" s="120" t="s">
        <v>251</v>
      </c>
      <c r="G159" s="120" t="s">
        <v>251</v>
      </c>
      <c r="H159" s="120" t="s">
        <v>251</v>
      </c>
      <c r="I159" s="120" t="s">
        <v>251</v>
      </c>
      <c r="J159" s="120" t="s">
        <v>251</v>
      </c>
      <c r="K159" s="120" t="s">
        <v>251</v>
      </c>
      <c r="L159" s="120" t="s">
        <v>251</v>
      </c>
      <c r="M159" s="120" t="s">
        <v>251</v>
      </c>
      <c r="N159" s="120" t="s">
        <v>251</v>
      </c>
      <c r="O159" s="120" t="s">
        <v>251</v>
      </c>
      <c r="P159" s="120" t="s">
        <v>251</v>
      </c>
      <c r="Q159" s="120" t="s">
        <v>251</v>
      </c>
      <c r="R159" s="120"/>
      <c r="S159" s="121"/>
    </row>
    <row r="160" spans="1:19" ht="15">
      <c r="A160" s="105" t="s">
        <v>251</v>
      </c>
      <c r="B160" s="129" t="str">
        <f t="shared" ref="B160:B167" si="8">MID(C160,2,3)</f>
        <v>KEN</v>
      </c>
      <c r="C160" s="107" t="s">
        <v>359</v>
      </c>
      <c r="D160" s="107" t="s">
        <v>251</v>
      </c>
      <c r="E160" s="120" t="s">
        <v>251</v>
      </c>
      <c r="F160" s="120" t="s">
        <v>251</v>
      </c>
      <c r="G160" s="120" t="s">
        <v>251</v>
      </c>
      <c r="H160" s="120" t="s">
        <v>251</v>
      </c>
      <c r="I160" s="120" t="s">
        <v>251</v>
      </c>
      <c r="J160" s="120" t="s">
        <v>251</v>
      </c>
      <c r="K160" s="120" t="s">
        <v>251</v>
      </c>
      <c r="L160" s="120" t="s">
        <v>251</v>
      </c>
      <c r="M160" s="120" t="s">
        <v>251</v>
      </c>
      <c r="N160" s="120" t="s">
        <v>251</v>
      </c>
      <c r="O160" s="120" t="s">
        <v>251</v>
      </c>
      <c r="P160" s="120" t="s">
        <v>251</v>
      </c>
      <c r="Q160" s="120" t="s">
        <v>251</v>
      </c>
      <c r="R160" s="120"/>
      <c r="S160" s="121"/>
    </row>
    <row r="161" spans="1:19" ht="15">
      <c r="A161" s="105">
        <v>1</v>
      </c>
      <c r="B161" s="129" t="str">
        <f t="shared" si="8"/>
        <v>360</v>
      </c>
      <c r="C161" s="107" t="s">
        <v>360</v>
      </c>
      <c r="D161" s="107" t="s">
        <v>361</v>
      </c>
      <c r="E161" s="120">
        <v>9234551.6162830666</v>
      </c>
      <c r="F161" s="120" t="s">
        <v>251</v>
      </c>
      <c r="G161" s="120">
        <v>9225394.6162830666</v>
      </c>
      <c r="H161" s="120" t="s">
        <v>251</v>
      </c>
      <c r="I161" s="120">
        <v>0</v>
      </c>
      <c r="J161" s="120">
        <v>9156.9999999999982</v>
      </c>
      <c r="K161" s="120" t="s">
        <v>251</v>
      </c>
      <c r="L161" s="120" t="s">
        <v>251</v>
      </c>
      <c r="M161" s="120">
        <v>0</v>
      </c>
      <c r="N161" s="120" t="s">
        <v>251</v>
      </c>
      <c r="O161" s="120">
        <v>9156.9999999999982</v>
      </c>
      <c r="P161" s="120">
        <v>9156.9999999999982</v>
      </c>
      <c r="Q161" s="120">
        <v>0</v>
      </c>
      <c r="R161" s="120"/>
      <c r="S161" s="121"/>
    </row>
    <row r="162" spans="1:19" ht="15">
      <c r="A162" s="105">
        <v>2</v>
      </c>
      <c r="B162" s="129" t="str">
        <f t="shared" si="8"/>
        <v>361</v>
      </c>
      <c r="C162" s="107" t="s">
        <v>362</v>
      </c>
      <c r="D162" s="107" t="s">
        <v>363</v>
      </c>
      <c r="E162" s="120">
        <v>27775081.824258152</v>
      </c>
      <c r="F162" s="120" t="s">
        <v>251</v>
      </c>
      <c r="G162" s="120">
        <v>27419669.824258152</v>
      </c>
      <c r="H162" s="120" t="s">
        <v>251</v>
      </c>
      <c r="I162" s="120">
        <v>0</v>
      </c>
      <c r="J162" s="120">
        <v>355412</v>
      </c>
      <c r="K162" s="120" t="s">
        <v>251</v>
      </c>
      <c r="L162" s="120" t="s">
        <v>251</v>
      </c>
      <c r="M162" s="120">
        <v>0</v>
      </c>
      <c r="N162" s="120" t="s">
        <v>251</v>
      </c>
      <c r="O162" s="120">
        <v>355412</v>
      </c>
      <c r="P162" s="120">
        <v>355412</v>
      </c>
      <c r="Q162" s="120">
        <v>0</v>
      </c>
      <c r="R162" s="120"/>
      <c r="S162" s="121"/>
    </row>
    <row r="163" spans="1:19" ht="15">
      <c r="A163" s="105">
        <v>3</v>
      </c>
      <c r="B163" s="129" t="str">
        <f t="shared" si="8"/>
        <v>362</v>
      </c>
      <c r="C163" s="107" t="s">
        <v>364</v>
      </c>
      <c r="D163" s="107" t="s">
        <v>365</v>
      </c>
      <c r="E163" s="120">
        <v>245177243.60645169</v>
      </c>
      <c r="F163" s="120" t="s">
        <v>251</v>
      </c>
      <c r="G163" s="120">
        <v>241924160.60645169</v>
      </c>
      <c r="H163" s="120" t="s">
        <v>251</v>
      </c>
      <c r="I163" s="120">
        <v>0</v>
      </c>
      <c r="J163" s="120">
        <v>3253083</v>
      </c>
      <c r="K163" s="120" t="s">
        <v>251</v>
      </c>
      <c r="L163" s="120" t="s">
        <v>251</v>
      </c>
      <c r="M163" s="120">
        <v>0</v>
      </c>
      <c r="N163" s="120" t="s">
        <v>251</v>
      </c>
      <c r="O163" s="120">
        <v>3253083</v>
      </c>
      <c r="P163" s="120">
        <v>3253083</v>
      </c>
      <c r="Q163" s="120">
        <v>0</v>
      </c>
      <c r="R163" s="120"/>
      <c r="S163" s="121"/>
    </row>
    <row r="164" spans="1:19" ht="15">
      <c r="A164" s="105">
        <v>4</v>
      </c>
      <c r="B164" s="129" t="str">
        <f t="shared" si="8"/>
        <v>364</v>
      </c>
      <c r="C164" s="107" t="s">
        <v>366</v>
      </c>
      <c r="D164" s="107" t="s">
        <v>367</v>
      </c>
      <c r="E164" s="120">
        <v>397421920.71178764</v>
      </c>
      <c r="F164" s="120" t="s">
        <v>251</v>
      </c>
      <c r="G164" s="120">
        <v>397421920.71178764</v>
      </c>
      <c r="H164" s="120" t="s">
        <v>251</v>
      </c>
      <c r="I164" s="120">
        <v>0</v>
      </c>
      <c r="J164" s="120">
        <v>0</v>
      </c>
      <c r="K164" s="120" t="s">
        <v>251</v>
      </c>
      <c r="L164" s="120" t="s">
        <v>251</v>
      </c>
      <c r="M164" s="120">
        <v>0</v>
      </c>
      <c r="N164" s="120" t="s">
        <v>251</v>
      </c>
      <c r="O164" s="120">
        <v>0</v>
      </c>
      <c r="P164" s="120">
        <v>0</v>
      </c>
      <c r="Q164" s="120">
        <v>0</v>
      </c>
      <c r="R164" s="120"/>
      <c r="S164" s="121"/>
    </row>
    <row r="165" spans="1:19" ht="15">
      <c r="A165" s="105">
        <v>5</v>
      </c>
      <c r="B165" s="129" t="str">
        <f t="shared" si="8"/>
        <v>365</v>
      </c>
      <c r="C165" s="107" t="s">
        <v>368</v>
      </c>
      <c r="D165" s="107" t="s">
        <v>369</v>
      </c>
      <c r="E165" s="120">
        <v>398758262.97508228</v>
      </c>
      <c r="F165" s="120" t="s">
        <v>251</v>
      </c>
      <c r="G165" s="120">
        <v>398758262.97508228</v>
      </c>
      <c r="H165" s="120" t="s">
        <v>251</v>
      </c>
      <c r="I165" s="120">
        <v>0</v>
      </c>
      <c r="J165" s="120">
        <v>0</v>
      </c>
      <c r="K165" s="120" t="s">
        <v>251</v>
      </c>
      <c r="L165" s="120" t="s">
        <v>251</v>
      </c>
      <c r="M165" s="120">
        <v>0</v>
      </c>
      <c r="N165" s="120" t="s">
        <v>251</v>
      </c>
      <c r="O165" s="120">
        <v>0</v>
      </c>
      <c r="P165" s="120">
        <v>0</v>
      </c>
      <c r="Q165" s="120">
        <v>0</v>
      </c>
      <c r="R165" s="120"/>
      <c r="S165" s="121"/>
    </row>
    <row r="166" spans="1:19" ht="15">
      <c r="A166" s="105">
        <v>6</v>
      </c>
      <c r="B166" s="129" t="str">
        <f t="shared" si="8"/>
        <v>366</v>
      </c>
      <c r="C166" s="107" t="s">
        <v>370</v>
      </c>
      <c r="D166" s="107" t="s">
        <v>371</v>
      </c>
      <c r="E166" s="120">
        <v>2390106.04</v>
      </c>
      <c r="F166" s="120" t="s">
        <v>251</v>
      </c>
      <c r="G166" s="120">
        <v>2390106.04</v>
      </c>
      <c r="H166" s="120" t="s">
        <v>251</v>
      </c>
      <c r="I166" s="120">
        <v>0</v>
      </c>
      <c r="J166" s="120">
        <v>0</v>
      </c>
      <c r="K166" s="120" t="s">
        <v>251</v>
      </c>
      <c r="L166" s="120" t="s">
        <v>251</v>
      </c>
      <c r="M166" s="120">
        <v>0</v>
      </c>
      <c r="N166" s="120" t="s">
        <v>251</v>
      </c>
      <c r="O166" s="120">
        <v>0</v>
      </c>
      <c r="P166" s="120">
        <v>0</v>
      </c>
      <c r="Q166" s="120">
        <v>0</v>
      </c>
      <c r="R166" s="120"/>
      <c r="S166" s="121"/>
    </row>
    <row r="167" spans="1:19" ht="15">
      <c r="A167" s="105">
        <v>7</v>
      </c>
      <c r="B167" s="129" t="str">
        <f t="shared" si="8"/>
        <v>367</v>
      </c>
      <c r="C167" s="107" t="s">
        <v>372</v>
      </c>
      <c r="D167" s="107" t="s">
        <v>373</v>
      </c>
      <c r="E167" s="120">
        <v>216528926.38302183</v>
      </c>
      <c r="F167" s="120" t="s">
        <v>251</v>
      </c>
      <c r="G167" s="120">
        <v>216528926.38302183</v>
      </c>
      <c r="H167" s="120" t="s">
        <v>251</v>
      </c>
      <c r="I167" s="120">
        <v>0</v>
      </c>
      <c r="J167" s="120">
        <v>0</v>
      </c>
      <c r="K167" s="120" t="s">
        <v>251</v>
      </c>
      <c r="L167" s="120" t="s">
        <v>251</v>
      </c>
      <c r="M167" s="120">
        <v>0</v>
      </c>
      <c r="N167" s="120" t="s">
        <v>251</v>
      </c>
      <c r="O167" s="120">
        <v>0</v>
      </c>
      <c r="P167" s="120">
        <v>0</v>
      </c>
      <c r="Q167" s="120">
        <v>0</v>
      </c>
      <c r="R167" s="120"/>
      <c r="S167" s="121"/>
    </row>
    <row r="168" spans="1:19" ht="15">
      <c r="A168" s="105" t="s">
        <v>251</v>
      </c>
      <c r="B168" s="105"/>
      <c r="C168" s="107" t="s">
        <v>374</v>
      </c>
      <c r="D168" s="107" t="s">
        <v>251</v>
      </c>
      <c r="E168" s="120" t="s">
        <v>251</v>
      </c>
      <c r="F168" s="120" t="s">
        <v>251</v>
      </c>
      <c r="G168" s="120" t="s">
        <v>251</v>
      </c>
      <c r="H168" s="120" t="s">
        <v>251</v>
      </c>
      <c r="I168" s="120" t="s">
        <v>251</v>
      </c>
      <c r="J168" s="120" t="s">
        <v>251</v>
      </c>
      <c r="K168" s="120" t="s">
        <v>251</v>
      </c>
      <c r="L168" s="120" t="s">
        <v>251</v>
      </c>
      <c r="M168" s="120" t="s">
        <v>251</v>
      </c>
      <c r="N168" s="120" t="s">
        <v>251</v>
      </c>
      <c r="O168" s="120" t="s">
        <v>251</v>
      </c>
      <c r="P168" s="120" t="s">
        <v>251</v>
      </c>
      <c r="Q168" s="120" t="s">
        <v>251</v>
      </c>
      <c r="R168" s="120"/>
      <c r="S168" s="121"/>
    </row>
    <row r="169" spans="1:19" ht="15">
      <c r="A169" s="105">
        <v>8</v>
      </c>
      <c r="B169" s="105"/>
      <c r="C169" s="107" t="s">
        <v>375</v>
      </c>
      <c r="D169" s="107" t="s">
        <v>378</v>
      </c>
      <c r="E169" s="120">
        <v>5932112.0200000023</v>
      </c>
      <c r="F169" s="120" t="s">
        <v>251</v>
      </c>
      <c r="G169" s="120">
        <v>5932112.0200000023</v>
      </c>
      <c r="H169" s="120" t="s">
        <v>251</v>
      </c>
      <c r="I169" s="120">
        <v>0</v>
      </c>
      <c r="J169" s="120">
        <v>0</v>
      </c>
      <c r="K169" s="120" t="s">
        <v>251</v>
      </c>
      <c r="L169" s="120" t="s">
        <v>251</v>
      </c>
      <c r="M169" s="120">
        <v>0</v>
      </c>
      <c r="N169" s="120" t="s">
        <v>251</v>
      </c>
      <c r="O169" s="120">
        <v>0</v>
      </c>
      <c r="P169" s="120">
        <v>0</v>
      </c>
      <c r="Q169" s="120">
        <v>0</v>
      </c>
      <c r="R169" s="120"/>
      <c r="S169" s="121"/>
    </row>
    <row r="170" spans="1:19" ht="15">
      <c r="A170" s="105">
        <v>9</v>
      </c>
      <c r="B170" s="129"/>
      <c r="C170" s="107" t="s">
        <v>377</v>
      </c>
      <c r="D170" s="107" t="s">
        <v>378</v>
      </c>
      <c r="E170" s="120">
        <v>309505030.7854324</v>
      </c>
      <c r="F170" s="120" t="s">
        <v>251</v>
      </c>
      <c r="G170" s="120">
        <v>309505030.7854324</v>
      </c>
      <c r="H170" s="120" t="s">
        <v>251</v>
      </c>
      <c r="I170" s="120">
        <v>0</v>
      </c>
      <c r="J170" s="120">
        <v>0</v>
      </c>
      <c r="K170" s="120" t="s">
        <v>251</v>
      </c>
      <c r="L170" s="120" t="s">
        <v>251</v>
      </c>
      <c r="M170" s="120">
        <v>0</v>
      </c>
      <c r="N170" s="120" t="s">
        <v>251</v>
      </c>
      <c r="O170" s="120">
        <v>0</v>
      </c>
      <c r="P170" s="120">
        <v>0</v>
      </c>
      <c r="Q170" s="120">
        <v>0</v>
      </c>
      <c r="R170" s="120"/>
      <c r="S170" s="121"/>
    </row>
    <row r="171" spans="1:19" ht="15">
      <c r="A171" s="105">
        <v>10</v>
      </c>
      <c r="B171" s="129">
        <v>368</v>
      </c>
      <c r="C171" s="107" t="s">
        <v>379</v>
      </c>
      <c r="D171" s="107" t="s">
        <v>251</v>
      </c>
      <c r="E171" s="120">
        <v>315437142.80543238</v>
      </c>
      <c r="F171" s="120" t="s">
        <v>251</v>
      </c>
      <c r="G171" s="120">
        <v>315437142.80543238</v>
      </c>
      <c r="H171" s="120" t="s">
        <v>251</v>
      </c>
      <c r="I171" s="120">
        <v>0</v>
      </c>
      <c r="J171" s="120">
        <v>0</v>
      </c>
      <c r="K171" s="120" t="s">
        <v>251</v>
      </c>
      <c r="L171" s="120" t="s">
        <v>251</v>
      </c>
      <c r="M171" s="120">
        <v>0</v>
      </c>
      <c r="N171" s="120" t="s">
        <v>251</v>
      </c>
      <c r="O171" s="120">
        <v>0</v>
      </c>
      <c r="P171" s="120">
        <v>0</v>
      </c>
      <c r="Q171" s="120">
        <v>0</v>
      </c>
      <c r="R171" s="120"/>
      <c r="S171" s="121"/>
    </row>
    <row r="172" spans="1:19" ht="15">
      <c r="A172" s="105">
        <v>11</v>
      </c>
      <c r="B172" s="129" t="str">
        <f t="shared" ref="B172:B176" si="9">MID(C172,2,3)</f>
        <v>369</v>
      </c>
      <c r="C172" s="107" t="s">
        <v>380</v>
      </c>
      <c r="D172" s="107" t="s">
        <v>381</v>
      </c>
      <c r="E172" s="120">
        <v>108671232.43846154</v>
      </c>
      <c r="F172" s="120" t="s">
        <v>251</v>
      </c>
      <c r="G172" s="120">
        <v>108671232.43846154</v>
      </c>
      <c r="H172" s="120" t="s">
        <v>251</v>
      </c>
      <c r="I172" s="120">
        <v>0</v>
      </c>
      <c r="J172" s="120">
        <v>0</v>
      </c>
      <c r="K172" s="120" t="s">
        <v>251</v>
      </c>
      <c r="L172" s="120" t="s">
        <v>251</v>
      </c>
      <c r="M172" s="120">
        <v>0</v>
      </c>
      <c r="N172" s="120" t="s">
        <v>251</v>
      </c>
      <c r="O172" s="120">
        <v>0</v>
      </c>
      <c r="P172" s="120">
        <v>0</v>
      </c>
      <c r="Q172" s="120">
        <v>0</v>
      </c>
      <c r="R172" s="120"/>
      <c r="S172" s="121"/>
    </row>
    <row r="173" spans="1:19" ht="15">
      <c r="A173" s="105">
        <v>12</v>
      </c>
      <c r="B173" s="129" t="str">
        <f t="shared" si="9"/>
        <v>370</v>
      </c>
      <c r="C173" s="107" t="s">
        <v>382</v>
      </c>
      <c r="D173" s="107" t="s">
        <v>383</v>
      </c>
      <c r="E173" s="120">
        <v>78790854.284320772</v>
      </c>
      <c r="F173" s="120" t="s">
        <v>251</v>
      </c>
      <c r="G173" s="120">
        <v>78743546.284320772</v>
      </c>
      <c r="H173" s="120" t="s">
        <v>251</v>
      </c>
      <c r="I173" s="120">
        <v>0</v>
      </c>
      <c r="J173" s="120">
        <v>47308</v>
      </c>
      <c r="K173" s="120" t="s">
        <v>251</v>
      </c>
      <c r="L173" s="120" t="s">
        <v>251</v>
      </c>
      <c r="M173" s="120">
        <v>0</v>
      </c>
      <c r="N173" s="120" t="s">
        <v>251</v>
      </c>
      <c r="O173" s="120">
        <v>47308</v>
      </c>
      <c r="P173" s="120">
        <v>20456</v>
      </c>
      <c r="Q173" s="120">
        <v>26852</v>
      </c>
      <c r="R173" s="120"/>
      <c r="S173" s="121"/>
    </row>
    <row r="174" spans="1:19" ht="15">
      <c r="A174" s="105">
        <v>13</v>
      </c>
      <c r="B174" s="129" t="str">
        <f t="shared" si="9"/>
        <v>371</v>
      </c>
      <c r="C174" s="107" t="s">
        <v>384</v>
      </c>
      <c r="D174" s="107" t="s">
        <v>385</v>
      </c>
      <c r="E174" s="120">
        <v>145659.9681</v>
      </c>
      <c r="F174" s="120" t="s">
        <v>251</v>
      </c>
      <c r="G174" s="120">
        <v>145659.9681</v>
      </c>
      <c r="H174" s="120" t="s">
        <v>251</v>
      </c>
      <c r="I174" s="120">
        <v>0</v>
      </c>
      <c r="J174" s="120">
        <v>0</v>
      </c>
      <c r="K174" s="120" t="s">
        <v>251</v>
      </c>
      <c r="L174" s="120" t="s">
        <v>251</v>
      </c>
      <c r="M174" s="120">
        <v>0</v>
      </c>
      <c r="N174" s="120" t="s">
        <v>251</v>
      </c>
      <c r="O174" s="120">
        <v>0</v>
      </c>
      <c r="P174" s="120">
        <v>0</v>
      </c>
      <c r="Q174" s="120">
        <v>0</v>
      </c>
      <c r="R174" s="120"/>
      <c r="S174" s="121"/>
    </row>
    <row r="175" spans="1:19" ht="15">
      <c r="A175" s="105">
        <v>14</v>
      </c>
      <c r="B175" s="129" t="str">
        <f t="shared" si="9"/>
        <v>373</v>
      </c>
      <c r="C175" s="107" t="s">
        <v>386</v>
      </c>
      <c r="D175" s="107" t="s">
        <v>387</v>
      </c>
      <c r="E175" s="120">
        <v>126856868.67395324</v>
      </c>
      <c r="F175" s="120" t="s">
        <v>251</v>
      </c>
      <c r="G175" s="120">
        <v>126856868.67395324</v>
      </c>
      <c r="H175" s="120" t="s">
        <v>251</v>
      </c>
      <c r="I175" s="120">
        <v>0</v>
      </c>
      <c r="J175" s="120">
        <v>0</v>
      </c>
      <c r="K175" s="120" t="s">
        <v>251</v>
      </c>
      <c r="L175" s="120" t="s">
        <v>251</v>
      </c>
      <c r="M175" s="120">
        <v>0</v>
      </c>
      <c r="N175" s="120" t="s">
        <v>251</v>
      </c>
      <c r="O175" s="120">
        <v>0</v>
      </c>
      <c r="P175" s="120">
        <v>0</v>
      </c>
      <c r="Q175" s="120">
        <v>0</v>
      </c>
      <c r="R175" s="120"/>
      <c r="S175" s="121"/>
    </row>
    <row r="176" spans="1:19" ht="15">
      <c r="A176" s="105">
        <v>15</v>
      </c>
      <c r="B176" s="129" t="str">
        <f t="shared" si="9"/>
        <v>374</v>
      </c>
      <c r="C176" s="107" t="s">
        <v>388</v>
      </c>
      <c r="D176" s="107" t="s">
        <v>389</v>
      </c>
      <c r="E176" s="120">
        <v>658287.18999999994</v>
      </c>
      <c r="F176" s="120" t="s">
        <v>251</v>
      </c>
      <c r="G176" s="120">
        <v>658287.18999999994</v>
      </c>
      <c r="H176" s="120" t="s">
        <v>251</v>
      </c>
      <c r="I176" s="120">
        <v>0</v>
      </c>
      <c r="J176" s="120">
        <v>0</v>
      </c>
      <c r="K176" s="120" t="s">
        <v>251</v>
      </c>
      <c r="L176" s="120" t="s">
        <v>251</v>
      </c>
      <c r="M176" s="120">
        <v>0</v>
      </c>
      <c r="N176" s="120" t="s">
        <v>251</v>
      </c>
      <c r="O176" s="120">
        <v>0</v>
      </c>
      <c r="P176" s="120">
        <v>0</v>
      </c>
      <c r="Q176" s="120">
        <v>0</v>
      </c>
      <c r="R176" s="120"/>
      <c r="S176" s="121"/>
    </row>
    <row r="177" spans="1:19" ht="15">
      <c r="A177" s="105">
        <v>16</v>
      </c>
      <c r="B177" s="105"/>
      <c r="C177" s="107" t="s">
        <v>390</v>
      </c>
      <c r="D177" s="107" t="s">
        <v>251</v>
      </c>
      <c r="E177" s="120">
        <v>1927846138.5171525</v>
      </c>
      <c r="F177" s="120" t="s">
        <v>251</v>
      </c>
      <c r="G177" s="120">
        <v>1924181178.5171525</v>
      </c>
      <c r="H177" s="120" t="s">
        <v>251</v>
      </c>
      <c r="I177" s="120">
        <v>0</v>
      </c>
      <c r="J177" s="120">
        <v>3664960</v>
      </c>
      <c r="K177" s="120" t="s">
        <v>251</v>
      </c>
      <c r="L177" s="120" t="s">
        <v>251</v>
      </c>
      <c r="M177" s="120">
        <v>0</v>
      </c>
      <c r="N177" s="120" t="s">
        <v>251</v>
      </c>
      <c r="O177" s="120">
        <v>3664960</v>
      </c>
      <c r="P177" s="120">
        <v>3638108</v>
      </c>
      <c r="Q177" s="120">
        <v>26852</v>
      </c>
      <c r="R177" s="120"/>
      <c r="S177" s="121"/>
    </row>
    <row r="178" spans="1:19" ht="15">
      <c r="A178" s="105" t="s">
        <v>251</v>
      </c>
      <c r="B178" s="105"/>
      <c r="C178" s="107" t="s">
        <v>251</v>
      </c>
      <c r="D178" s="107" t="s">
        <v>251</v>
      </c>
      <c r="E178" s="120"/>
      <c r="F178" s="120" t="s">
        <v>251</v>
      </c>
      <c r="G178" s="120" t="s">
        <v>251</v>
      </c>
      <c r="H178" s="120" t="s">
        <v>251</v>
      </c>
      <c r="I178" s="120" t="s">
        <v>251</v>
      </c>
      <c r="J178" s="120" t="s">
        <v>251</v>
      </c>
      <c r="K178" s="120" t="s">
        <v>251</v>
      </c>
      <c r="L178" s="120" t="s">
        <v>251</v>
      </c>
      <c r="M178" s="120" t="s">
        <v>251</v>
      </c>
      <c r="N178" s="120" t="s">
        <v>251</v>
      </c>
      <c r="O178" s="120" t="s">
        <v>251</v>
      </c>
      <c r="P178" s="120" t="s">
        <v>251</v>
      </c>
      <c r="Q178" s="120" t="s">
        <v>251</v>
      </c>
      <c r="R178" s="120"/>
      <c r="S178" s="121"/>
    </row>
    <row r="179" spans="1:19" ht="15">
      <c r="A179" s="105" t="s">
        <v>251</v>
      </c>
      <c r="B179" s="129" t="str">
        <f t="shared" ref="B179:B185" si="10">MID(C179,2,3)</f>
        <v>VIR</v>
      </c>
      <c r="C179" s="107" t="s">
        <v>391</v>
      </c>
      <c r="D179" s="107" t="s">
        <v>251</v>
      </c>
      <c r="E179" s="120" t="s">
        <v>251</v>
      </c>
      <c r="F179" s="120" t="s">
        <v>251</v>
      </c>
      <c r="G179" s="120" t="s">
        <v>251</v>
      </c>
      <c r="H179" s="120" t="s">
        <v>251</v>
      </c>
      <c r="I179" s="120" t="s">
        <v>251</v>
      </c>
      <c r="J179" s="120" t="s">
        <v>251</v>
      </c>
      <c r="K179" s="120" t="s">
        <v>251</v>
      </c>
      <c r="L179" s="120" t="s">
        <v>251</v>
      </c>
      <c r="M179" s="120" t="s">
        <v>251</v>
      </c>
      <c r="N179" s="120" t="s">
        <v>251</v>
      </c>
      <c r="O179" s="120" t="s">
        <v>251</v>
      </c>
      <c r="P179" s="120" t="s">
        <v>251</v>
      </c>
      <c r="Q179" s="120" t="s">
        <v>251</v>
      </c>
      <c r="R179" s="120"/>
      <c r="S179" s="121"/>
    </row>
    <row r="180" spans="1:19" ht="15">
      <c r="A180" s="105">
        <v>17</v>
      </c>
      <c r="B180" s="129" t="str">
        <f t="shared" si="10"/>
        <v>360</v>
      </c>
      <c r="C180" s="107" t="s">
        <v>360</v>
      </c>
      <c r="D180" s="107" t="s">
        <v>392</v>
      </c>
      <c r="E180" s="120">
        <v>313284.18999999901</v>
      </c>
      <c r="F180" s="120" t="s">
        <v>251</v>
      </c>
      <c r="G180" s="120">
        <v>0</v>
      </c>
      <c r="H180" s="120" t="s">
        <v>251</v>
      </c>
      <c r="I180" s="120">
        <v>313284.18999999901</v>
      </c>
      <c r="J180" s="120">
        <v>0</v>
      </c>
      <c r="K180" s="120" t="s">
        <v>251</v>
      </c>
      <c r="L180" s="120" t="s">
        <v>251</v>
      </c>
      <c r="M180" s="120">
        <v>0</v>
      </c>
      <c r="N180" s="120" t="s">
        <v>251</v>
      </c>
      <c r="O180" s="120">
        <v>0</v>
      </c>
      <c r="P180" s="120">
        <v>0</v>
      </c>
      <c r="Q180" s="120">
        <v>0</v>
      </c>
      <c r="R180" s="120"/>
      <c r="S180" s="121"/>
    </row>
    <row r="181" spans="1:19" ht="15">
      <c r="A181" s="105">
        <v>18</v>
      </c>
      <c r="B181" s="129" t="str">
        <f t="shared" si="10"/>
        <v>361</v>
      </c>
      <c r="C181" s="107" t="s">
        <v>362</v>
      </c>
      <c r="D181" s="107" t="s">
        <v>393</v>
      </c>
      <c r="E181" s="120">
        <v>767594.02317000006</v>
      </c>
      <c r="F181" s="120" t="s">
        <v>251</v>
      </c>
      <c r="G181" s="120">
        <v>0</v>
      </c>
      <c r="H181" s="120" t="s">
        <v>251</v>
      </c>
      <c r="I181" s="120">
        <v>767594.02317000006</v>
      </c>
      <c r="J181" s="120">
        <v>0</v>
      </c>
      <c r="K181" s="120" t="s">
        <v>251</v>
      </c>
      <c r="L181" s="120" t="s">
        <v>251</v>
      </c>
      <c r="M181" s="120">
        <v>0</v>
      </c>
      <c r="N181" s="120" t="s">
        <v>251</v>
      </c>
      <c r="O181" s="120">
        <v>0</v>
      </c>
      <c r="P181" s="120">
        <v>0</v>
      </c>
      <c r="Q181" s="120">
        <v>0</v>
      </c>
      <c r="R181" s="120"/>
      <c r="S181" s="121"/>
    </row>
    <row r="182" spans="1:19" ht="15">
      <c r="A182" s="105">
        <v>19</v>
      </c>
      <c r="B182" s="129" t="str">
        <f t="shared" si="10"/>
        <v>362</v>
      </c>
      <c r="C182" s="107" t="s">
        <v>364</v>
      </c>
      <c r="D182" s="107" t="s">
        <v>394</v>
      </c>
      <c r="E182" s="120">
        <v>8513231.9299999978</v>
      </c>
      <c r="F182" s="120" t="s">
        <v>251</v>
      </c>
      <c r="G182" s="120">
        <v>0</v>
      </c>
      <c r="H182" s="120" t="s">
        <v>251</v>
      </c>
      <c r="I182" s="120">
        <v>8513231.9299999978</v>
      </c>
      <c r="J182" s="120">
        <v>0</v>
      </c>
      <c r="K182" s="120" t="s">
        <v>251</v>
      </c>
      <c r="L182" s="120" t="s">
        <v>251</v>
      </c>
      <c r="M182" s="120">
        <v>0</v>
      </c>
      <c r="N182" s="120" t="s">
        <v>251</v>
      </c>
      <c r="O182" s="120">
        <v>0</v>
      </c>
      <c r="P182" s="120">
        <v>0</v>
      </c>
      <c r="Q182" s="120">
        <v>0</v>
      </c>
      <c r="R182" s="120"/>
      <c r="S182" s="121"/>
    </row>
    <row r="183" spans="1:19" ht="15">
      <c r="A183" s="105">
        <v>20</v>
      </c>
      <c r="B183" s="129" t="str">
        <f t="shared" si="10"/>
        <v>364</v>
      </c>
      <c r="C183" s="107" t="s">
        <v>366</v>
      </c>
      <c r="D183" s="107" t="s">
        <v>395</v>
      </c>
      <c r="E183" s="120">
        <v>30706197.138817247</v>
      </c>
      <c r="F183" s="120" t="s">
        <v>251</v>
      </c>
      <c r="G183" s="120">
        <v>0</v>
      </c>
      <c r="H183" s="120" t="s">
        <v>251</v>
      </c>
      <c r="I183" s="120">
        <v>30706197.138817247</v>
      </c>
      <c r="J183" s="120">
        <v>0</v>
      </c>
      <c r="K183" s="120" t="s">
        <v>251</v>
      </c>
      <c r="L183" s="120" t="s">
        <v>251</v>
      </c>
      <c r="M183" s="120">
        <v>0</v>
      </c>
      <c r="N183" s="120" t="s">
        <v>251</v>
      </c>
      <c r="O183" s="120">
        <v>0</v>
      </c>
      <c r="P183" s="120">
        <v>0</v>
      </c>
      <c r="Q183" s="120">
        <v>0</v>
      </c>
      <c r="R183" s="120"/>
      <c r="S183" s="121"/>
    </row>
    <row r="184" spans="1:19" ht="15">
      <c r="A184" s="105">
        <v>21</v>
      </c>
      <c r="B184" s="129" t="str">
        <f t="shared" si="10"/>
        <v>365</v>
      </c>
      <c r="C184" s="107" t="s">
        <v>368</v>
      </c>
      <c r="D184" s="107" t="s">
        <v>396</v>
      </c>
      <c r="E184" s="120">
        <v>29286126.704622615</v>
      </c>
      <c r="F184" s="120" t="s">
        <v>251</v>
      </c>
      <c r="G184" s="120">
        <v>0</v>
      </c>
      <c r="H184" s="120" t="s">
        <v>251</v>
      </c>
      <c r="I184" s="120">
        <v>29286126.704622615</v>
      </c>
      <c r="J184" s="120">
        <v>0</v>
      </c>
      <c r="K184" s="120" t="s">
        <v>251</v>
      </c>
      <c r="L184" s="120" t="s">
        <v>251</v>
      </c>
      <c r="M184" s="120">
        <v>0</v>
      </c>
      <c r="N184" s="120" t="s">
        <v>251</v>
      </c>
      <c r="O184" s="120">
        <v>0</v>
      </c>
      <c r="P184" s="120">
        <v>0</v>
      </c>
      <c r="Q184" s="120">
        <v>0</v>
      </c>
      <c r="R184" s="120"/>
      <c r="S184" s="121"/>
    </row>
    <row r="185" spans="1:19" ht="15">
      <c r="A185" s="105">
        <v>22</v>
      </c>
      <c r="B185" s="129" t="str">
        <f t="shared" si="10"/>
        <v>367</v>
      </c>
      <c r="C185" s="107" t="s">
        <v>372</v>
      </c>
      <c r="D185" s="107" t="s">
        <v>397</v>
      </c>
      <c r="E185" s="120">
        <v>5120978.2345003467</v>
      </c>
      <c r="F185" s="120" t="s">
        <v>251</v>
      </c>
      <c r="G185" s="120">
        <v>0</v>
      </c>
      <c r="H185" s="120" t="s">
        <v>251</v>
      </c>
      <c r="I185" s="120">
        <v>5120978.2345003467</v>
      </c>
      <c r="J185" s="120">
        <v>0</v>
      </c>
      <c r="K185" s="120" t="s">
        <v>251</v>
      </c>
      <c r="L185" s="120" t="s">
        <v>251</v>
      </c>
      <c r="M185" s="120">
        <v>0</v>
      </c>
      <c r="N185" s="120" t="s">
        <v>251</v>
      </c>
      <c r="O185" s="120">
        <v>0</v>
      </c>
      <c r="P185" s="120">
        <v>0</v>
      </c>
      <c r="Q185" s="120">
        <v>0</v>
      </c>
      <c r="R185" s="120"/>
      <c r="S185" s="121"/>
    </row>
    <row r="186" spans="1:19" ht="15">
      <c r="A186" s="105" t="s">
        <v>251</v>
      </c>
      <c r="B186" s="105"/>
      <c r="C186" s="107" t="s">
        <v>374</v>
      </c>
      <c r="D186" s="107" t="s">
        <v>251</v>
      </c>
      <c r="E186" s="120" t="s">
        <v>251</v>
      </c>
      <c r="F186" s="120" t="s">
        <v>251</v>
      </c>
      <c r="G186" s="120" t="s">
        <v>251</v>
      </c>
      <c r="H186" s="120" t="s">
        <v>251</v>
      </c>
      <c r="I186" s="120" t="s">
        <v>251</v>
      </c>
      <c r="J186" s="120" t="s">
        <v>251</v>
      </c>
      <c r="K186" s="120" t="s">
        <v>251</v>
      </c>
      <c r="L186" s="120" t="s">
        <v>251</v>
      </c>
      <c r="M186" s="120" t="s">
        <v>251</v>
      </c>
      <c r="N186" s="120" t="s">
        <v>251</v>
      </c>
      <c r="O186" s="120" t="s">
        <v>251</v>
      </c>
      <c r="P186" s="120" t="s">
        <v>251</v>
      </c>
      <c r="Q186" s="120" t="s">
        <v>251</v>
      </c>
      <c r="R186" s="120"/>
      <c r="S186" s="121"/>
    </row>
    <row r="187" spans="1:19" ht="15">
      <c r="A187" s="105">
        <v>23</v>
      </c>
      <c r="B187" s="105"/>
      <c r="C187" s="107" t="s">
        <v>375</v>
      </c>
      <c r="D187" s="107" t="s">
        <v>399</v>
      </c>
      <c r="E187" s="120">
        <v>128027.56</v>
      </c>
      <c r="F187" s="120" t="s">
        <v>251</v>
      </c>
      <c r="G187" s="120">
        <v>0</v>
      </c>
      <c r="H187" s="120" t="s">
        <v>251</v>
      </c>
      <c r="I187" s="120">
        <v>128027.56</v>
      </c>
      <c r="J187" s="120">
        <v>0</v>
      </c>
      <c r="K187" s="120" t="s">
        <v>251</v>
      </c>
      <c r="L187" s="120" t="s">
        <v>251</v>
      </c>
      <c r="M187" s="120">
        <v>0</v>
      </c>
      <c r="N187" s="120" t="s">
        <v>251</v>
      </c>
      <c r="O187" s="120">
        <v>0</v>
      </c>
      <c r="P187" s="120">
        <v>0</v>
      </c>
      <c r="Q187" s="120">
        <v>0</v>
      </c>
      <c r="R187" s="120"/>
      <c r="S187" s="121"/>
    </row>
    <row r="188" spans="1:19" ht="15">
      <c r="A188" s="105">
        <v>24</v>
      </c>
      <c r="B188" s="129"/>
      <c r="C188" s="107" t="s">
        <v>377</v>
      </c>
      <c r="D188" s="107" t="s">
        <v>399</v>
      </c>
      <c r="E188" s="120">
        <v>11046496.494247306</v>
      </c>
      <c r="F188" s="120" t="s">
        <v>251</v>
      </c>
      <c r="G188" s="120">
        <v>0</v>
      </c>
      <c r="H188" s="120" t="s">
        <v>251</v>
      </c>
      <c r="I188" s="120">
        <v>11046496.494247306</v>
      </c>
      <c r="J188" s="120">
        <v>0</v>
      </c>
      <c r="K188" s="120" t="s">
        <v>251</v>
      </c>
      <c r="L188" s="120" t="s">
        <v>251</v>
      </c>
      <c r="M188" s="120">
        <v>0</v>
      </c>
      <c r="N188" s="120" t="s">
        <v>251</v>
      </c>
      <c r="O188" s="120">
        <v>0</v>
      </c>
      <c r="P188" s="120">
        <v>0</v>
      </c>
      <c r="Q188" s="120">
        <v>0</v>
      </c>
      <c r="R188" s="120"/>
      <c r="S188" s="121"/>
    </row>
    <row r="189" spans="1:19" ht="15">
      <c r="A189" s="105">
        <v>25</v>
      </c>
      <c r="B189" s="129">
        <v>368</v>
      </c>
      <c r="C189" s="107" t="s">
        <v>379</v>
      </c>
      <c r="D189" s="107" t="s">
        <v>251</v>
      </c>
      <c r="E189" s="120">
        <v>11174524.054247307</v>
      </c>
      <c r="F189" s="120" t="s">
        <v>251</v>
      </c>
      <c r="G189" s="120">
        <v>0</v>
      </c>
      <c r="H189" s="120" t="s">
        <v>251</v>
      </c>
      <c r="I189" s="120">
        <v>11174524.054247307</v>
      </c>
      <c r="J189" s="120">
        <v>0</v>
      </c>
      <c r="K189" s="120" t="s">
        <v>251</v>
      </c>
      <c r="L189" s="120" t="s">
        <v>251</v>
      </c>
      <c r="M189" s="120">
        <v>0</v>
      </c>
      <c r="N189" s="120" t="s">
        <v>251</v>
      </c>
      <c r="O189" s="120">
        <v>0</v>
      </c>
      <c r="P189" s="120">
        <v>0</v>
      </c>
      <c r="Q189" s="120">
        <v>0</v>
      </c>
      <c r="R189" s="120"/>
      <c r="S189" s="121"/>
    </row>
    <row r="190" spans="1:19" ht="15">
      <c r="A190" s="105">
        <v>26</v>
      </c>
      <c r="B190" s="129" t="str">
        <f t="shared" ref="B190:B193" si="11">MID(C190,2,3)</f>
        <v>369</v>
      </c>
      <c r="C190" s="107" t="s">
        <v>380</v>
      </c>
      <c r="D190" s="107" t="s">
        <v>400</v>
      </c>
      <c r="E190" s="120">
        <v>5852947.5299999993</v>
      </c>
      <c r="F190" s="120" t="s">
        <v>251</v>
      </c>
      <c r="G190" s="120">
        <v>0</v>
      </c>
      <c r="H190" s="120" t="s">
        <v>251</v>
      </c>
      <c r="I190" s="120">
        <v>5852947.5299999993</v>
      </c>
      <c r="J190" s="120">
        <v>0</v>
      </c>
      <c r="K190" s="120" t="s">
        <v>251</v>
      </c>
      <c r="L190" s="120" t="s">
        <v>251</v>
      </c>
      <c r="M190" s="120">
        <v>0</v>
      </c>
      <c r="N190" s="120" t="s">
        <v>251</v>
      </c>
      <c r="O190" s="120">
        <v>0</v>
      </c>
      <c r="P190" s="120">
        <v>0</v>
      </c>
      <c r="Q190" s="120">
        <v>0</v>
      </c>
      <c r="R190" s="120"/>
      <c r="S190" s="121"/>
    </row>
    <row r="191" spans="1:19" ht="15">
      <c r="A191" s="105">
        <v>27</v>
      </c>
      <c r="B191" s="129" t="str">
        <f t="shared" si="11"/>
        <v>370</v>
      </c>
      <c r="C191" s="107" t="s">
        <v>382</v>
      </c>
      <c r="D191" s="107" t="s">
        <v>401</v>
      </c>
      <c r="E191" s="120">
        <v>3783545.2</v>
      </c>
      <c r="F191" s="120" t="s">
        <v>251</v>
      </c>
      <c r="G191" s="120">
        <v>0</v>
      </c>
      <c r="H191" s="120" t="s">
        <v>251</v>
      </c>
      <c r="I191" s="120">
        <v>3783545.2</v>
      </c>
      <c r="J191" s="120">
        <v>0</v>
      </c>
      <c r="K191" s="120" t="s">
        <v>251</v>
      </c>
      <c r="L191" s="120" t="s">
        <v>251</v>
      </c>
      <c r="M191" s="120">
        <v>0</v>
      </c>
      <c r="N191" s="120" t="s">
        <v>251</v>
      </c>
      <c r="O191" s="120">
        <v>0</v>
      </c>
      <c r="P191" s="120">
        <v>0</v>
      </c>
      <c r="Q191" s="120">
        <v>0</v>
      </c>
      <c r="R191" s="120"/>
      <c r="S191" s="121"/>
    </row>
    <row r="192" spans="1:19" ht="15">
      <c r="A192" s="105">
        <v>28</v>
      </c>
      <c r="B192" s="129" t="str">
        <f t="shared" si="11"/>
        <v>371</v>
      </c>
      <c r="C192" s="107" t="s">
        <v>384</v>
      </c>
      <c r="D192" s="107" t="s">
        <v>402</v>
      </c>
      <c r="E192" s="120">
        <v>0</v>
      </c>
      <c r="F192" s="120" t="s">
        <v>251</v>
      </c>
      <c r="G192" s="120">
        <v>0</v>
      </c>
      <c r="H192" s="120" t="s">
        <v>251</v>
      </c>
      <c r="I192" s="120">
        <v>0</v>
      </c>
      <c r="J192" s="120">
        <v>0</v>
      </c>
      <c r="K192" s="120" t="s">
        <v>251</v>
      </c>
      <c r="L192" s="120" t="s">
        <v>251</v>
      </c>
      <c r="M192" s="120">
        <v>0</v>
      </c>
      <c r="N192" s="120" t="s">
        <v>251</v>
      </c>
      <c r="O192" s="120">
        <v>0</v>
      </c>
      <c r="P192" s="120">
        <v>0</v>
      </c>
      <c r="Q192" s="120">
        <v>0</v>
      </c>
      <c r="R192" s="120"/>
      <c r="S192" s="121"/>
    </row>
    <row r="193" spans="1:19" ht="15">
      <c r="A193" s="105">
        <v>29</v>
      </c>
      <c r="B193" s="129" t="str">
        <f t="shared" si="11"/>
        <v>373</v>
      </c>
      <c r="C193" s="107" t="s">
        <v>386</v>
      </c>
      <c r="D193" s="107" t="s">
        <v>403</v>
      </c>
      <c r="E193" s="120">
        <v>3991840.8131227978</v>
      </c>
      <c r="F193" s="120" t="s">
        <v>251</v>
      </c>
      <c r="G193" s="120">
        <v>0</v>
      </c>
      <c r="H193" s="120" t="s">
        <v>251</v>
      </c>
      <c r="I193" s="120">
        <v>3991840.8131227978</v>
      </c>
      <c r="J193" s="120">
        <v>0</v>
      </c>
      <c r="K193" s="120" t="s">
        <v>251</v>
      </c>
      <c r="L193" s="120" t="s">
        <v>251</v>
      </c>
      <c r="M193" s="120">
        <v>0</v>
      </c>
      <c r="N193" s="120" t="s">
        <v>251</v>
      </c>
      <c r="O193" s="120">
        <v>0</v>
      </c>
      <c r="P193" s="120">
        <v>0</v>
      </c>
      <c r="Q193" s="120">
        <v>0</v>
      </c>
      <c r="R193" s="120"/>
      <c r="S193" s="121"/>
    </row>
    <row r="194" spans="1:19" ht="15">
      <c r="A194" s="105">
        <v>30</v>
      </c>
      <c r="B194" s="105"/>
      <c r="C194" s="107" t="s">
        <v>404</v>
      </c>
      <c r="D194" s="107" t="s">
        <v>251</v>
      </c>
      <c r="E194" s="120">
        <v>99510269.818480313</v>
      </c>
      <c r="F194" s="120" t="s">
        <v>251</v>
      </c>
      <c r="G194" s="120">
        <v>0</v>
      </c>
      <c r="H194" s="120" t="s">
        <v>251</v>
      </c>
      <c r="I194" s="120">
        <v>99510269.818480313</v>
      </c>
      <c r="J194" s="120">
        <v>0</v>
      </c>
      <c r="K194" s="120" t="s">
        <v>251</v>
      </c>
      <c r="L194" s="120" t="s">
        <v>251</v>
      </c>
      <c r="M194" s="120">
        <v>0</v>
      </c>
      <c r="N194" s="120" t="s">
        <v>251</v>
      </c>
      <c r="O194" s="120">
        <v>0</v>
      </c>
      <c r="P194" s="120">
        <v>0</v>
      </c>
      <c r="Q194" s="120">
        <v>0</v>
      </c>
      <c r="R194" s="120"/>
      <c r="S194" s="121"/>
    </row>
    <row r="195" spans="1:19" ht="15">
      <c r="A195" s="105" t="s">
        <v>251</v>
      </c>
      <c r="B195" s="105"/>
      <c r="C195" s="107" t="s">
        <v>251</v>
      </c>
      <c r="D195" s="107" t="s">
        <v>251</v>
      </c>
      <c r="E195" s="120" t="s">
        <v>251</v>
      </c>
      <c r="F195" s="120" t="s">
        <v>251</v>
      </c>
      <c r="G195" s="120" t="s">
        <v>251</v>
      </c>
      <c r="H195" s="120" t="s">
        <v>251</v>
      </c>
      <c r="I195" s="120" t="s">
        <v>251</v>
      </c>
      <c r="J195" s="120" t="s">
        <v>251</v>
      </c>
      <c r="K195" s="120" t="s">
        <v>251</v>
      </c>
      <c r="L195" s="120" t="s">
        <v>251</v>
      </c>
      <c r="M195" s="120" t="s">
        <v>251</v>
      </c>
      <c r="N195" s="120" t="s">
        <v>251</v>
      </c>
      <c r="O195" s="120" t="s">
        <v>251</v>
      </c>
      <c r="P195" s="120" t="s">
        <v>251</v>
      </c>
      <c r="Q195" s="120" t="s">
        <v>251</v>
      </c>
      <c r="R195" s="120"/>
      <c r="S195" s="121"/>
    </row>
    <row r="196" spans="1:19" ht="15">
      <c r="A196" s="105" t="s">
        <v>251</v>
      </c>
      <c r="B196" s="129" t="str">
        <f t="shared" ref="B196:B205" si="12">MID(C196,2,3)</f>
        <v>TEN</v>
      </c>
      <c r="C196" s="107" t="s">
        <v>405</v>
      </c>
      <c r="D196" s="107" t="s">
        <v>251</v>
      </c>
      <c r="E196" s="120" t="s">
        <v>251</v>
      </c>
      <c r="F196" s="120" t="s">
        <v>251</v>
      </c>
      <c r="G196" s="120" t="s">
        <v>251</v>
      </c>
      <c r="H196" s="120" t="s">
        <v>251</v>
      </c>
      <c r="I196" s="120" t="s">
        <v>251</v>
      </c>
      <c r="J196" s="120" t="s">
        <v>251</v>
      </c>
      <c r="K196" s="120" t="s">
        <v>251</v>
      </c>
      <c r="L196" s="120" t="s">
        <v>251</v>
      </c>
      <c r="M196" s="120" t="s">
        <v>251</v>
      </c>
      <c r="N196" s="120" t="s">
        <v>251</v>
      </c>
      <c r="O196" s="120" t="s">
        <v>251</v>
      </c>
      <c r="P196" s="120" t="s">
        <v>251</v>
      </c>
      <c r="Q196" s="120" t="s">
        <v>251</v>
      </c>
      <c r="R196" s="120"/>
      <c r="S196" s="121"/>
    </row>
    <row r="197" spans="1:19" ht="15">
      <c r="A197" s="105">
        <v>31</v>
      </c>
      <c r="B197" s="129" t="str">
        <f t="shared" si="12"/>
        <v>360</v>
      </c>
      <c r="C197" s="107" t="s">
        <v>360</v>
      </c>
      <c r="D197" s="107" t="s">
        <v>406</v>
      </c>
      <c r="E197" s="120">
        <v>475572.53000000009</v>
      </c>
      <c r="F197" s="120" t="s">
        <v>251</v>
      </c>
      <c r="G197" s="120">
        <v>0</v>
      </c>
      <c r="H197" s="120" t="s">
        <v>251</v>
      </c>
      <c r="I197" s="120">
        <v>0</v>
      </c>
      <c r="J197" s="120">
        <v>475572.53000000009</v>
      </c>
      <c r="K197" s="120" t="s">
        <v>251</v>
      </c>
      <c r="L197" s="120" t="s">
        <v>251</v>
      </c>
      <c r="M197" s="120">
        <v>475572.53000000009</v>
      </c>
      <c r="N197" s="120" t="s">
        <v>251</v>
      </c>
      <c r="O197" s="120">
        <v>0</v>
      </c>
      <c r="P197" s="120">
        <v>0</v>
      </c>
      <c r="Q197" s="120">
        <v>0</v>
      </c>
      <c r="R197" s="120"/>
      <c r="S197" s="121"/>
    </row>
    <row r="198" spans="1:19" ht="15">
      <c r="A198" s="105">
        <v>32</v>
      </c>
      <c r="B198" s="129" t="str">
        <f t="shared" si="12"/>
        <v>361</v>
      </c>
      <c r="C198" s="107" t="s">
        <v>362</v>
      </c>
      <c r="D198" s="107" t="s">
        <v>407</v>
      </c>
      <c r="E198" s="120">
        <v>2545.13</v>
      </c>
      <c r="F198" s="120" t="s">
        <v>251</v>
      </c>
      <c r="G198" s="120">
        <v>0</v>
      </c>
      <c r="H198" s="120" t="s">
        <v>251</v>
      </c>
      <c r="I198" s="120">
        <v>0</v>
      </c>
      <c r="J198" s="120">
        <v>2545.13</v>
      </c>
      <c r="K198" s="120" t="s">
        <v>251</v>
      </c>
      <c r="L198" s="120" t="s">
        <v>251</v>
      </c>
      <c r="M198" s="120">
        <v>2545.13</v>
      </c>
      <c r="N198" s="120" t="s">
        <v>251</v>
      </c>
      <c r="O198" s="120">
        <v>0</v>
      </c>
      <c r="P198" s="120">
        <v>0</v>
      </c>
      <c r="Q198" s="120">
        <v>0</v>
      </c>
      <c r="R198" s="120"/>
      <c r="S198" s="121"/>
    </row>
    <row r="199" spans="1:19" ht="15">
      <c r="A199" s="105">
        <v>33</v>
      </c>
      <c r="B199" s="129" t="str">
        <f t="shared" si="12"/>
        <v>362</v>
      </c>
      <c r="C199" s="107" t="s">
        <v>364</v>
      </c>
      <c r="D199" s="107" t="s">
        <v>408</v>
      </c>
      <c r="E199" s="120">
        <v>66880.14999999998</v>
      </c>
      <c r="F199" s="120" t="s">
        <v>251</v>
      </c>
      <c r="G199" s="120">
        <v>0</v>
      </c>
      <c r="H199" s="120" t="s">
        <v>251</v>
      </c>
      <c r="I199" s="120">
        <v>0</v>
      </c>
      <c r="J199" s="120">
        <v>66880.14999999998</v>
      </c>
      <c r="K199" s="120" t="s">
        <v>251</v>
      </c>
      <c r="L199" s="120" t="s">
        <v>251</v>
      </c>
      <c r="M199" s="120">
        <v>66880.14999999998</v>
      </c>
      <c r="N199" s="120" t="s">
        <v>251</v>
      </c>
      <c r="O199" s="120">
        <v>0</v>
      </c>
      <c r="P199" s="120">
        <v>0</v>
      </c>
      <c r="Q199" s="120">
        <v>0</v>
      </c>
      <c r="R199" s="120"/>
      <c r="S199" s="121"/>
    </row>
    <row r="200" spans="1:19" ht="15">
      <c r="A200" s="105">
        <v>34</v>
      </c>
      <c r="B200" s="129" t="str">
        <f t="shared" si="12"/>
        <v>364</v>
      </c>
      <c r="C200" s="107" t="s">
        <v>366</v>
      </c>
      <c r="D200" s="107" t="s">
        <v>409</v>
      </c>
      <c r="E200" s="120">
        <v>47785.56</v>
      </c>
      <c r="F200" s="120" t="s">
        <v>251</v>
      </c>
      <c r="G200" s="120">
        <v>0</v>
      </c>
      <c r="H200" s="120" t="s">
        <v>251</v>
      </c>
      <c r="I200" s="120">
        <v>0</v>
      </c>
      <c r="J200" s="120">
        <v>47785.56</v>
      </c>
      <c r="K200" s="120" t="s">
        <v>251</v>
      </c>
      <c r="L200" s="120" t="s">
        <v>251</v>
      </c>
      <c r="M200" s="120">
        <v>47785.56</v>
      </c>
      <c r="N200" s="120" t="s">
        <v>251</v>
      </c>
      <c r="O200" s="120">
        <v>0</v>
      </c>
      <c r="P200" s="120">
        <v>0</v>
      </c>
      <c r="Q200" s="120">
        <v>0</v>
      </c>
      <c r="R200" s="120"/>
      <c r="S200" s="121"/>
    </row>
    <row r="201" spans="1:19" ht="15">
      <c r="A201" s="105">
        <v>35</v>
      </c>
      <c r="B201" s="129" t="str">
        <f t="shared" si="12"/>
        <v>365</v>
      </c>
      <c r="C201" s="107" t="s">
        <v>368</v>
      </c>
      <c r="D201" s="107" t="s">
        <v>410</v>
      </c>
      <c r="E201" s="120">
        <v>46763.22</v>
      </c>
      <c r="F201" s="120" t="s">
        <v>251</v>
      </c>
      <c r="G201" s="120">
        <v>0</v>
      </c>
      <c r="H201" s="120" t="s">
        <v>251</v>
      </c>
      <c r="I201" s="120">
        <v>0</v>
      </c>
      <c r="J201" s="120">
        <v>46763.22</v>
      </c>
      <c r="K201" s="120" t="s">
        <v>251</v>
      </c>
      <c r="L201" s="120" t="s">
        <v>251</v>
      </c>
      <c r="M201" s="120">
        <v>46763.22</v>
      </c>
      <c r="N201" s="120" t="s">
        <v>251</v>
      </c>
      <c r="O201" s="120">
        <v>0</v>
      </c>
      <c r="P201" s="120">
        <v>0</v>
      </c>
      <c r="Q201" s="120">
        <v>0</v>
      </c>
      <c r="R201" s="120"/>
      <c r="S201" s="121"/>
    </row>
    <row r="202" spans="1:19" ht="15">
      <c r="A202" s="105">
        <v>36</v>
      </c>
      <c r="B202" s="129" t="str">
        <f t="shared" si="12"/>
        <v>368</v>
      </c>
      <c r="C202" s="107" t="s">
        <v>374</v>
      </c>
      <c r="D202" s="107" t="s">
        <v>411</v>
      </c>
      <c r="E202" s="120">
        <v>3118.2799999999988</v>
      </c>
      <c r="F202" s="120" t="s">
        <v>251</v>
      </c>
      <c r="G202" s="120">
        <v>0</v>
      </c>
      <c r="H202" s="120" t="s">
        <v>251</v>
      </c>
      <c r="I202" s="120">
        <v>0</v>
      </c>
      <c r="J202" s="120">
        <v>3118.2799999999988</v>
      </c>
      <c r="K202" s="120" t="s">
        <v>251</v>
      </c>
      <c r="L202" s="120" t="s">
        <v>251</v>
      </c>
      <c r="M202" s="120">
        <v>3118.2799999999988</v>
      </c>
      <c r="N202" s="120" t="s">
        <v>251</v>
      </c>
      <c r="O202" s="120">
        <v>0</v>
      </c>
      <c r="P202" s="120">
        <v>0</v>
      </c>
      <c r="Q202" s="120">
        <v>0</v>
      </c>
      <c r="R202" s="120"/>
      <c r="S202" s="121"/>
    </row>
    <row r="203" spans="1:19" ht="15">
      <c r="A203" s="105">
        <v>37</v>
      </c>
      <c r="B203" s="129" t="str">
        <f t="shared" si="12"/>
        <v>369</v>
      </c>
      <c r="C203" s="107" t="s">
        <v>380</v>
      </c>
      <c r="D203" s="107" t="s">
        <v>412</v>
      </c>
      <c r="E203" s="120">
        <v>254.62</v>
      </c>
      <c r="F203" s="120" t="s">
        <v>251</v>
      </c>
      <c r="G203" s="120">
        <v>0</v>
      </c>
      <c r="H203" s="120" t="s">
        <v>251</v>
      </c>
      <c r="I203" s="120">
        <v>0</v>
      </c>
      <c r="J203" s="120">
        <v>254.62</v>
      </c>
      <c r="K203" s="120" t="s">
        <v>251</v>
      </c>
      <c r="L203" s="120" t="s">
        <v>251</v>
      </c>
      <c r="M203" s="120">
        <v>254.62</v>
      </c>
      <c r="N203" s="120" t="s">
        <v>251</v>
      </c>
      <c r="O203" s="120">
        <v>0</v>
      </c>
      <c r="P203" s="120">
        <v>0</v>
      </c>
      <c r="Q203" s="120">
        <v>0</v>
      </c>
      <c r="R203" s="120"/>
      <c r="S203" s="121"/>
    </row>
    <row r="204" spans="1:19" ht="15">
      <c r="A204" s="105">
        <v>38</v>
      </c>
      <c r="B204" s="129" t="str">
        <f t="shared" si="12"/>
        <v>370</v>
      </c>
      <c r="C204" s="107" t="s">
        <v>382</v>
      </c>
      <c r="D204" s="107" t="s">
        <v>413</v>
      </c>
      <c r="E204" s="120">
        <v>4199.21</v>
      </c>
      <c r="F204" s="120" t="s">
        <v>251</v>
      </c>
      <c r="G204" s="120">
        <v>0</v>
      </c>
      <c r="H204" s="120" t="s">
        <v>251</v>
      </c>
      <c r="I204" s="120">
        <v>0</v>
      </c>
      <c r="J204" s="120">
        <v>4199.21</v>
      </c>
      <c r="K204" s="120" t="s">
        <v>251</v>
      </c>
      <c r="L204" s="120" t="s">
        <v>251</v>
      </c>
      <c r="M204" s="120">
        <v>4199.21</v>
      </c>
      <c r="N204" s="120" t="s">
        <v>251</v>
      </c>
      <c r="O204" s="120">
        <v>0</v>
      </c>
      <c r="P204" s="120">
        <v>0</v>
      </c>
      <c r="Q204" s="120">
        <v>0</v>
      </c>
      <c r="R204" s="120"/>
      <c r="S204" s="121"/>
    </row>
    <row r="205" spans="1:19" ht="15">
      <c r="A205" s="105">
        <v>39</v>
      </c>
      <c r="B205" s="129" t="str">
        <f t="shared" si="12"/>
        <v>371</v>
      </c>
      <c r="C205" s="107" t="s">
        <v>384</v>
      </c>
      <c r="D205" s="107" t="s">
        <v>414</v>
      </c>
      <c r="E205" s="120">
        <v>0</v>
      </c>
      <c r="F205" s="120" t="s">
        <v>251</v>
      </c>
      <c r="G205" s="120">
        <v>0</v>
      </c>
      <c r="H205" s="120" t="s">
        <v>251</v>
      </c>
      <c r="I205" s="120">
        <v>0</v>
      </c>
      <c r="J205" s="120">
        <v>0</v>
      </c>
      <c r="K205" s="120" t="s">
        <v>251</v>
      </c>
      <c r="L205" s="120" t="s">
        <v>251</v>
      </c>
      <c r="M205" s="120">
        <v>0</v>
      </c>
      <c r="N205" s="120" t="s">
        <v>251</v>
      </c>
      <c r="O205" s="120">
        <v>0</v>
      </c>
      <c r="P205" s="120">
        <v>0</v>
      </c>
      <c r="Q205" s="120">
        <v>0</v>
      </c>
      <c r="R205" s="120"/>
      <c r="S205" s="121"/>
    </row>
    <row r="206" spans="1:19" ht="15">
      <c r="A206" s="105">
        <v>40</v>
      </c>
      <c r="B206" s="105"/>
      <c r="C206" s="107" t="s">
        <v>415</v>
      </c>
      <c r="D206" s="107" t="s">
        <v>251</v>
      </c>
      <c r="E206" s="120">
        <v>647118.70000000007</v>
      </c>
      <c r="F206" s="120" t="s">
        <v>251</v>
      </c>
      <c r="G206" s="120">
        <v>0</v>
      </c>
      <c r="H206" s="120" t="s">
        <v>251</v>
      </c>
      <c r="I206" s="120">
        <v>0</v>
      </c>
      <c r="J206" s="120">
        <v>647118.70000000007</v>
      </c>
      <c r="K206" s="120" t="s">
        <v>251</v>
      </c>
      <c r="L206" s="120" t="s">
        <v>251</v>
      </c>
      <c r="M206" s="120">
        <v>647118.70000000007</v>
      </c>
      <c r="N206" s="120" t="s">
        <v>251</v>
      </c>
      <c r="O206" s="120">
        <v>0</v>
      </c>
      <c r="P206" s="120">
        <v>0</v>
      </c>
      <c r="Q206" s="120">
        <v>0</v>
      </c>
      <c r="R206" s="120"/>
      <c r="S206" s="121"/>
    </row>
    <row r="207" spans="1:19" ht="15">
      <c r="A207" s="105" t="s">
        <v>251</v>
      </c>
      <c r="B207" s="105"/>
      <c r="C207" s="107" t="s">
        <v>251</v>
      </c>
      <c r="D207" s="107" t="s">
        <v>251</v>
      </c>
      <c r="E207" s="120" t="s">
        <v>251</v>
      </c>
      <c r="F207" s="120" t="s">
        <v>251</v>
      </c>
      <c r="G207" s="120" t="s">
        <v>251</v>
      </c>
      <c r="H207" s="120" t="s">
        <v>251</v>
      </c>
      <c r="I207" s="120" t="s">
        <v>251</v>
      </c>
      <c r="J207" s="120" t="s">
        <v>251</v>
      </c>
      <c r="K207" s="120" t="s">
        <v>251</v>
      </c>
      <c r="L207" s="120" t="s">
        <v>251</v>
      </c>
      <c r="M207" s="120" t="s">
        <v>251</v>
      </c>
      <c r="N207" s="120" t="s">
        <v>251</v>
      </c>
      <c r="O207" s="120" t="s">
        <v>251</v>
      </c>
      <c r="P207" s="120" t="s">
        <v>251</v>
      </c>
      <c r="Q207" s="120" t="s">
        <v>251</v>
      </c>
      <c r="R207" s="120"/>
      <c r="S207" s="121"/>
    </row>
    <row r="208" spans="1:19" ht="15">
      <c r="A208" s="105">
        <v>41</v>
      </c>
      <c r="B208" s="105"/>
      <c r="C208" s="107" t="s">
        <v>416</v>
      </c>
      <c r="D208" s="107" t="s">
        <v>251</v>
      </c>
      <c r="E208" s="120">
        <v>2028003527.0356328</v>
      </c>
      <c r="F208" s="120" t="s">
        <v>251</v>
      </c>
      <c r="G208" s="120">
        <v>1924181178.5171525</v>
      </c>
      <c r="H208" s="120" t="s">
        <v>251</v>
      </c>
      <c r="I208" s="120">
        <v>99510269.818480313</v>
      </c>
      <c r="J208" s="120">
        <v>4312078.7</v>
      </c>
      <c r="K208" s="120" t="s">
        <v>251</v>
      </c>
      <c r="L208" s="120" t="s">
        <v>251</v>
      </c>
      <c r="M208" s="120">
        <v>647118.70000000007</v>
      </c>
      <c r="N208" s="120" t="s">
        <v>251</v>
      </c>
      <c r="O208" s="120">
        <v>3664960</v>
      </c>
      <c r="P208" s="120">
        <v>3638108</v>
      </c>
      <c r="Q208" s="120">
        <v>26852</v>
      </c>
      <c r="R208" s="120"/>
      <c r="S208" s="121"/>
    </row>
    <row r="209" spans="1:19" ht="15">
      <c r="A209" s="105" t="s">
        <v>251</v>
      </c>
      <c r="B209" s="105"/>
      <c r="C209" s="107" t="s">
        <v>251</v>
      </c>
      <c r="D209" s="107" t="s">
        <v>251</v>
      </c>
      <c r="E209" s="120" t="s">
        <v>251</v>
      </c>
      <c r="F209" s="120" t="s">
        <v>251</v>
      </c>
      <c r="G209" s="120" t="s">
        <v>251</v>
      </c>
      <c r="H209" s="120" t="s">
        <v>251</v>
      </c>
      <c r="I209" s="120" t="s">
        <v>251</v>
      </c>
      <c r="J209" s="120" t="s">
        <v>251</v>
      </c>
      <c r="K209" s="120" t="s">
        <v>251</v>
      </c>
      <c r="L209" s="120" t="s">
        <v>251</v>
      </c>
      <c r="M209" s="120" t="s">
        <v>251</v>
      </c>
      <c r="N209" s="120" t="s">
        <v>251</v>
      </c>
      <c r="O209" s="120" t="s">
        <v>251</v>
      </c>
      <c r="P209" s="120" t="s">
        <v>251</v>
      </c>
      <c r="Q209" s="120" t="s">
        <v>251</v>
      </c>
      <c r="R209" s="120"/>
      <c r="S209" s="121"/>
    </row>
    <row r="210" spans="1:19" ht="15">
      <c r="A210" s="105" t="s">
        <v>251</v>
      </c>
      <c r="B210" s="105"/>
      <c r="C210" s="107" t="s">
        <v>337</v>
      </c>
      <c r="D210" s="107" t="s">
        <v>251</v>
      </c>
      <c r="E210" s="120" t="s">
        <v>251</v>
      </c>
      <c r="F210" s="120" t="s">
        <v>251</v>
      </c>
      <c r="G210" s="120" t="s">
        <v>251</v>
      </c>
      <c r="H210" s="120" t="s">
        <v>251</v>
      </c>
      <c r="I210" s="120" t="s">
        <v>251</v>
      </c>
      <c r="J210" s="120" t="s">
        <v>251</v>
      </c>
      <c r="K210" s="120" t="s">
        <v>251</v>
      </c>
      <c r="L210" s="120" t="s">
        <v>251</v>
      </c>
      <c r="M210" s="120" t="s">
        <v>251</v>
      </c>
      <c r="N210" s="120" t="s">
        <v>251</v>
      </c>
      <c r="O210" s="120" t="s">
        <v>251</v>
      </c>
      <c r="P210" s="120" t="s">
        <v>251</v>
      </c>
      <c r="Q210" s="120" t="s">
        <v>251</v>
      </c>
      <c r="R210" s="120"/>
      <c r="S210" s="121"/>
    </row>
    <row r="211" spans="1:19" ht="15">
      <c r="A211" s="105" t="s">
        <v>251</v>
      </c>
      <c r="B211" s="105"/>
      <c r="C211" s="107" t="s">
        <v>251</v>
      </c>
      <c r="D211" s="107" t="s">
        <v>251</v>
      </c>
      <c r="E211" s="120" t="s">
        <v>251</v>
      </c>
      <c r="F211" s="120" t="s">
        <v>251</v>
      </c>
      <c r="G211" s="120" t="s">
        <v>251</v>
      </c>
      <c r="H211" s="120" t="s">
        <v>251</v>
      </c>
      <c r="I211" s="120" t="s">
        <v>251</v>
      </c>
      <c r="J211" s="120" t="s">
        <v>251</v>
      </c>
      <c r="K211" s="120" t="s">
        <v>251</v>
      </c>
      <c r="L211" s="120" t="s">
        <v>251</v>
      </c>
      <c r="M211" s="120" t="s">
        <v>251</v>
      </c>
      <c r="N211" s="120" t="s">
        <v>251</v>
      </c>
      <c r="O211" s="120" t="s">
        <v>251</v>
      </c>
      <c r="P211" s="120" t="s">
        <v>251</v>
      </c>
      <c r="Q211" s="120" t="s">
        <v>251</v>
      </c>
      <c r="R211" s="120"/>
      <c r="S211" s="121"/>
    </row>
    <row r="212" spans="1:19" ht="15">
      <c r="A212" s="105" t="s">
        <v>251</v>
      </c>
      <c r="B212" s="129" t="str">
        <f t="shared" ref="B212:B220" si="13">MID(C212,2,3)</f>
        <v>GEN</v>
      </c>
      <c r="C212" s="107" t="s">
        <v>417</v>
      </c>
      <c r="D212" s="107" t="s">
        <v>251</v>
      </c>
      <c r="E212" s="120" t="s">
        <v>251</v>
      </c>
      <c r="F212" s="120" t="s">
        <v>251</v>
      </c>
      <c r="G212" s="120" t="s">
        <v>251</v>
      </c>
      <c r="H212" s="120" t="s">
        <v>251</v>
      </c>
      <c r="I212" s="120" t="s">
        <v>251</v>
      </c>
      <c r="J212" s="120" t="s">
        <v>251</v>
      </c>
      <c r="K212" s="120" t="s">
        <v>251</v>
      </c>
      <c r="L212" s="120" t="s">
        <v>251</v>
      </c>
      <c r="M212" s="120" t="s">
        <v>251</v>
      </c>
      <c r="N212" s="120" t="s">
        <v>251</v>
      </c>
      <c r="O212" s="120" t="s">
        <v>251</v>
      </c>
      <c r="P212" s="120" t="s">
        <v>251</v>
      </c>
      <c r="Q212" s="120" t="s">
        <v>251</v>
      </c>
      <c r="R212" s="120"/>
      <c r="S212" s="121"/>
    </row>
    <row r="213" spans="1:19" ht="15">
      <c r="A213" s="105">
        <v>1</v>
      </c>
      <c r="B213" s="129" t="str">
        <f t="shared" si="13"/>
        <v>389</v>
      </c>
      <c r="C213" s="107" t="s">
        <v>418</v>
      </c>
      <c r="D213" s="107" t="s">
        <v>419</v>
      </c>
      <c r="E213" s="120">
        <v>4407139.5781769175</v>
      </c>
      <c r="F213" s="120" t="s">
        <v>251</v>
      </c>
      <c r="G213" s="120">
        <v>4145688.8986520241</v>
      </c>
      <c r="H213" s="120" t="s">
        <v>251</v>
      </c>
      <c r="I213" s="120">
        <v>208668.34339881479</v>
      </c>
      <c r="J213" s="120">
        <v>52782.336126078611</v>
      </c>
      <c r="K213" s="120" t="s">
        <v>251</v>
      </c>
      <c r="L213" s="120" t="s">
        <v>251</v>
      </c>
      <c r="M213" s="120">
        <v>296.96122626546531</v>
      </c>
      <c r="N213" s="120" t="s">
        <v>251</v>
      </c>
      <c r="O213" s="120">
        <v>52485.374899813149</v>
      </c>
      <c r="P213" s="120">
        <v>27359.56110356082</v>
      </c>
      <c r="Q213" s="120">
        <v>25125.813796252325</v>
      </c>
      <c r="R213" s="120"/>
      <c r="S213" s="121"/>
    </row>
    <row r="214" spans="1:19" ht="15">
      <c r="A214" s="105">
        <v>2</v>
      </c>
      <c r="B214" s="129" t="str">
        <f t="shared" si="13"/>
        <v>390</v>
      </c>
      <c r="C214" s="107" t="s">
        <v>420</v>
      </c>
      <c r="D214" s="107" t="s">
        <v>419</v>
      </c>
      <c r="E214" s="120">
        <v>82444608.51143311</v>
      </c>
      <c r="F214" s="120" t="s">
        <v>251</v>
      </c>
      <c r="G214" s="120">
        <v>77553635.91205956</v>
      </c>
      <c r="H214" s="120" t="s">
        <v>251</v>
      </c>
      <c r="I214" s="120">
        <v>3903570.4622182865</v>
      </c>
      <c r="J214" s="120">
        <v>987402.13715526112</v>
      </c>
      <c r="K214" s="120" t="s">
        <v>251</v>
      </c>
      <c r="L214" s="120" t="s">
        <v>251</v>
      </c>
      <c r="M214" s="120">
        <v>5555.270398914643</v>
      </c>
      <c r="N214" s="120" t="s">
        <v>251</v>
      </c>
      <c r="O214" s="120">
        <v>981846.86675634643</v>
      </c>
      <c r="P214" s="120">
        <v>511816.85177322861</v>
      </c>
      <c r="Q214" s="120">
        <v>470030.01498311781</v>
      </c>
      <c r="R214" s="120"/>
      <c r="S214" s="121"/>
    </row>
    <row r="215" spans="1:19" ht="15">
      <c r="A215" s="105">
        <v>3</v>
      </c>
      <c r="B215" s="129" t="str">
        <f t="shared" si="13"/>
        <v>391</v>
      </c>
      <c r="C215" s="107" t="s">
        <v>421</v>
      </c>
      <c r="D215" s="107" t="s">
        <v>419</v>
      </c>
      <c r="E215" s="120">
        <v>43470434.51483319</v>
      </c>
      <c r="F215" s="120" t="s">
        <v>251</v>
      </c>
      <c r="G215" s="120">
        <v>40891579.354578204</v>
      </c>
      <c r="H215" s="120" t="s">
        <v>251</v>
      </c>
      <c r="I215" s="120">
        <v>2058229.2428299321</v>
      </c>
      <c r="J215" s="120">
        <v>520625.91742505203</v>
      </c>
      <c r="K215" s="120" t="s">
        <v>251</v>
      </c>
      <c r="L215" s="120" t="s">
        <v>251</v>
      </c>
      <c r="M215" s="120">
        <v>2929.118379581138</v>
      </c>
      <c r="N215" s="120" t="s">
        <v>251</v>
      </c>
      <c r="O215" s="120">
        <v>517696.79904547089</v>
      </c>
      <c r="P215" s="120">
        <v>269864.83822663582</v>
      </c>
      <c r="Q215" s="120">
        <v>247831.96081883507</v>
      </c>
      <c r="R215" s="120"/>
      <c r="S215" s="121"/>
    </row>
    <row r="216" spans="1:19" ht="15">
      <c r="A216" s="105">
        <v>4</v>
      </c>
      <c r="B216" s="129" t="str">
        <f t="shared" si="13"/>
        <v>392</v>
      </c>
      <c r="C216" s="107" t="s">
        <v>422</v>
      </c>
      <c r="D216" s="107" t="s">
        <v>419</v>
      </c>
      <c r="E216" s="120">
        <v>7538271.7000000011</v>
      </c>
      <c r="F216" s="120" t="s">
        <v>251</v>
      </c>
      <c r="G216" s="120">
        <v>7091068.6506190328</v>
      </c>
      <c r="H216" s="120" t="s">
        <v>251</v>
      </c>
      <c r="I216" s="120">
        <v>356920.54672338365</v>
      </c>
      <c r="J216" s="120">
        <v>90282.502657585123</v>
      </c>
      <c r="K216" s="120" t="s">
        <v>251</v>
      </c>
      <c r="L216" s="120" t="s">
        <v>251</v>
      </c>
      <c r="M216" s="120">
        <v>507.94270711078229</v>
      </c>
      <c r="N216" s="120" t="s">
        <v>251</v>
      </c>
      <c r="O216" s="120">
        <v>89774.559950474344</v>
      </c>
      <c r="P216" s="120">
        <v>46797.656741497929</v>
      </c>
      <c r="Q216" s="120">
        <v>42976.903208976415</v>
      </c>
      <c r="R216" s="120"/>
      <c r="S216" s="121"/>
    </row>
    <row r="217" spans="1:19" ht="15">
      <c r="A217" s="105">
        <v>5</v>
      </c>
      <c r="B217" s="129" t="str">
        <f t="shared" si="13"/>
        <v>393</v>
      </c>
      <c r="C217" s="107" t="s">
        <v>423</v>
      </c>
      <c r="D217" s="107" t="s">
        <v>419</v>
      </c>
      <c r="E217" s="120">
        <v>908062.33049692307</v>
      </c>
      <c r="F217" s="120" t="s">
        <v>251</v>
      </c>
      <c r="G217" s="120">
        <v>854192.12531100318</v>
      </c>
      <c r="H217" s="120" t="s">
        <v>251</v>
      </c>
      <c r="I217" s="120">
        <v>42994.749507353466</v>
      </c>
      <c r="J217" s="120">
        <v>10875.455678566397</v>
      </c>
      <c r="K217" s="120" t="s">
        <v>251</v>
      </c>
      <c r="L217" s="120" t="s">
        <v>251</v>
      </c>
      <c r="M217" s="120">
        <v>61.186921450169123</v>
      </c>
      <c r="N217" s="120" t="s">
        <v>251</v>
      </c>
      <c r="O217" s="120">
        <v>10814.268757116228</v>
      </c>
      <c r="P217" s="120">
        <v>5637.2589014640635</v>
      </c>
      <c r="Q217" s="120">
        <v>5177.0098556521652</v>
      </c>
      <c r="R217" s="120"/>
      <c r="S217" s="121"/>
    </row>
    <row r="218" spans="1:19" ht="15">
      <c r="A218" s="105">
        <v>6</v>
      </c>
      <c r="B218" s="129" t="str">
        <f t="shared" si="13"/>
        <v>394</v>
      </c>
      <c r="C218" s="107" t="s">
        <v>424</v>
      </c>
      <c r="D218" s="107" t="s">
        <v>419</v>
      </c>
      <c r="E218" s="120">
        <v>16911378.19559266</v>
      </c>
      <c r="F218" s="120" t="s">
        <v>251</v>
      </c>
      <c r="G218" s="120">
        <v>15908121.719933411</v>
      </c>
      <c r="H218" s="120" t="s">
        <v>251</v>
      </c>
      <c r="I218" s="120">
        <v>800716.47608785972</v>
      </c>
      <c r="J218" s="120">
        <v>202539.99957138996</v>
      </c>
      <c r="K218" s="120" t="s">
        <v>251</v>
      </c>
      <c r="L218" s="120" t="s">
        <v>251</v>
      </c>
      <c r="M218" s="120">
        <v>1139.5199806400703</v>
      </c>
      <c r="N218" s="120" t="s">
        <v>251</v>
      </c>
      <c r="O218" s="120">
        <v>201400.47959074989</v>
      </c>
      <c r="P218" s="120">
        <v>104985.98396539591</v>
      </c>
      <c r="Q218" s="120">
        <v>96414.495625353986</v>
      </c>
      <c r="R218" s="120"/>
      <c r="S218" s="121"/>
    </row>
    <row r="219" spans="1:19" ht="15">
      <c r="A219" s="105">
        <v>7</v>
      </c>
      <c r="B219" s="129" t="str">
        <f t="shared" si="13"/>
        <v>395</v>
      </c>
      <c r="C219" s="107" t="s">
        <v>425</v>
      </c>
      <c r="D219" s="107" t="s">
        <v>419</v>
      </c>
      <c r="E219" s="120">
        <v>0</v>
      </c>
      <c r="F219" s="120" t="s">
        <v>251</v>
      </c>
      <c r="G219" s="120">
        <v>0</v>
      </c>
      <c r="H219" s="120" t="s">
        <v>251</v>
      </c>
      <c r="I219" s="120">
        <v>0</v>
      </c>
      <c r="J219" s="120">
        <v>0</v>
      </c>
      <c r="K219" s="120" t="s">
        <v>251</v>
      </c>
      <c r="L219" s="120" t="s">
        <v>251</v>
      </c>
      <c r="M219" s="120">
        <v>0</v>
      </c>
      <c r="N219" s="120" t="s">
        <v>251</v>
      </c>
      <c r="O219" s="120">
        <v>0</v>
      </c>
      <c r="P219" s="120">
        <v>0</v>
      </c>
      <c r="Q219" s="120">
        <v>0</v>
      </c>
      <c r="R219" s="120"/>
      <c r="S219" s="121"/>
    </row>
    <row r="220" spans="1:19" ht="15">
      <c r="A220" s="105">
        <v>8</v>
      </c>
      <c r="B220" s="129" t="str">
        <f t="shared" si="13"/>
        <v>396</v>
      </c>
      <c r="C220" s="107" t="s">
        <v>426</v>
      </c>
      <c r="D220" s="107" t="s">
        <v>419</v>
      </c>
      <c r="E220" s="120">
        <v>4137907.4</v>
      </c>
      <c r="F220" s="120" t="s">
        <v>251</v>
      </c>
      <c r="G220" s="120">
        <v>3892428.7437536251</v>
      </c>
      <c r="H220" s="120" t="s">
        <v>251</v>
      </c>
      <c r="I220" s="120">
        <v>195920.79328989092</v>
      </c>
      <c r="J220" s="120">
        <v>49557.862956483914</v>
      </c>
      <c r="K220" s="120" t="s">
        <v>251</v>
      </c>
      <c r="L220" s="120" t="s">
        <v>251</v>
      </c>
      <c r="M220" s="120">
        <v>278.81986351456897</v>
      </c>
      <c r="N220" s="120" t="s">
        <v>251</v>
      </c>
      <c r="O220" s="120">
        <v>49279.043092969347</v>
      </c>
      <c r="P220" s="120">
        <v>25688.165383227577</v>
      </c>
      <c r="Q220" s="120">
        <v>23590.87770974177</v>
      </c>
      <c r="R220" s="120"/>
      <c r="S220" s="121"/>
    </row>
    <row r="221" spans="1:19" ht="15">
      <c r="A221" s="105" t="s">
        <v>251</v>
      </c>
      <c r="B221" s="105"/>
      <c r="C221" s="107" t="s">
        <v>427</v>
      </c>
      <c r="D221" s="107" t="s">
        <v>251</v>
      </c>
      <c r="E221" s="120" t="s">
        <v>251</v>
      </c>
      <c r="F221" s="120" t="s">
        <v>251</v>
      </c>
      <c r="G221" s="120" t="s">
        <v>251</v>
      </c>
      <c r="H221" s="120" t="s">
        <v>251</v>
      </c>
      <c r="I221" s="120" t="s">
        <v>251</v>
      </c>
      <c r="J221" s="120" t="s">
        <v>251</v>
      </c>
      <c r="K221" s="120" t="s">
        <v>251</v>
      </c>
      <c r="L221" s="120" t="s">
        <v>251</v>
      </c>
      <c r="M221" s="120" t="s">
        <v>251</v>
      </c>
      <c r="N221" s="120" t="s">
        <v>251</v>
      </c>
      <c r="O221" s="120" t="s">
        <v>251</v>
      </c>
      <c r="P221" s="120" t="s">
        <v>251</v>
      </c>
      <c r="Q221" s="120" t="s">
        <v>251</v>
      </c>
      <c r="R221" s="120"/>
      <c r="S221" s="121"/>
    </row>
    <row r="222" spans="1:19" ht="15">
      <c r="A222" s="105">
        <v>9</v>
      </c>
      <c r="B222" s="105"/>
      <c r="C222" s="107" t="s">
        <v>428</v>
      </c>
      <c r="D222" s="107" t="s">
        <v>429</v>
      </c>
      <c r="E222" s="120">
        <v>7971453.149230768</v>
      </c>
      <c r="F222" s="120" t="s">
        <v>251</v>
      </c>
      <c r="G222" s="120">
        <v>7971453.149230768</v>
      </c>
      <c r="H222" s="120" t="s">
        <v>251</v>
      </c>
      <c r="I222" s="120">
        <v>0</v>
      </c>
      <c r="J222" s="120">
        <v>0</v>
      </c>
      <c r="K222" s="120" t="s">
        <v>251</v>
      </c>
      <c r="L222" s="120" t="s">
        <v>251</v>
      </c>
      <c r="M222" s="120">
        <v>0</v>
      </c>
      <c r="N222" s="120" t="s">
        <v>251</v>
      </c>
      <c r="O222" s="120">
        <v>0</v>
      </c>
      <c r="P222" s="120">
        <v>0</v>
      </c>
      <c r="Q222" s="120">
        <v>0</v>
      </c>
      <c r="R222" s="120"/>
      <c r="S222" s="121"/>
    </row>
    <row r="223" spans="1:19" ht="15">
      <c r="A223" s="105">
        <v>10</v>
      </c>
      <c r="B223" s="129"/>
      <c r="C223" s="107" t="s">
        <v>377</v>
      </c>
      <c r="D223" s="107" t="s">
        <v>419</v>
      </c>
      <c r="E223" s="120">
        <v>59463070.0470163</v>
      </c>
      <c r="F223" s="120" t="s">
        <v>251</v>
      </c>
      <c r="G223" s="120">
        <v>55935462.220068403</v>
      </c>
      <c r="H223" s="120" t="s">
        <v>251</v>
      </c>
      <c r="I223" s="120">
        <v>2815445.2791920342</v>
      </c>
      <c r="J223" s="120">
        <v>712162.54775586259</v>
      </c>
      <c r="K223" s="120" t="s">
        <v>251</v>
      </c>
      <c r="L223" s="120" t="s">
        <v>251</v>
      </c>
      <c r="M223" s="120">
        <v>4006.7317781607053</v>
      </c>
      <c r="N223" s="120" t="s">
        <v>251</v>
      </c>
      <c r="O223" s="120">
        <v>708155.81597770192</v>
      </c>
      <c r="P223" s="120">
        <v>369147.25969029678</v>
      </c>
      <c r="Q223" s="120">
        <v>339008.5562874052</v>
      </c>
      <c r="R223" s="120"/>
      <c r="S223" s="121"/>
    </row>
    <row r="224" spans="1:19" ht="15">
      <c r="A224" s="105">
        <v>11</v>
      </c>
      <c r="B224" s="129">
        <v>397</v>
      </c>
      <c r="C224" s="107" t="s">
        <v>430</v>
      </c>
      <c r="D224" s="107" t="s">
        <v>251</v>
      </c>
      <c r="E224" s="120">
        <v>67434523.196247071</v>
      </c>
      <c r="F224" s="120" t="s">
        <v>251</v>
      </c>
      <c r="G224" s="120">
        <v>63906915.369299173</v>
      </c>
      <c r="H224" s="120" t="s">
        <v>251</v>
      </c>
      <c r="I224" s="120">
        <v>2815445.2791920342</v>
      </c>
      <c r="J224" s="120">
        <v>712162.54775586259</v>
      </c>
      <c r="K224" s="120" t="s">
        <v>251</v>
      </c>
      <c r="L224" s="120" t="s">
        <v>251</v>
      </c>
      <c r="M224" s="120">
        <v>4006.7317781607053</v>
      </c>
      <c r="N224" s="120" t="s">
        <v>251</v>
      </c>
      <c r="O224" s="120">
        <v>708155.81597770192</v>
      </c>
      <c r="P224" s="120">
        <v>369147.25969029678</v>
      </c>
      <c r="Q224" s="120">
        <v>339008.5562874052</v>
      </c>
      <c r="R224" s="120"/>
      <c r="S224" s="121"/>
    </row>
    <row r="225" spans="1:19" ht="15">
      <c r="A225" s="105">
        <v>12</v>
      </c>
      <c r="B225" s="129" t="str">
        <f t="shared" ref="B225" si="14">MID(C225,2,3)</f>
        <v>398</v>
      </c>
      <c r="C225" s="107" t="s">
        <v>431</v>
      </c>
      <c r="D225" s="107" t="s">
        <v>419</v>
      </c>
      <c r="E225" s="120">
        <v>0</v>
      </c>
      <c r="F225" s="120" t="s">
        <v>251</v>
      </c>
      <c r="G225" s="120">
        <v>0</v>
      </c>
      <c r="H225" s="120" t="s">
        <v>251</v>
      </c>
      <c r="I225" s="120">
        <v>0</v>
      </c>
      <c r="J225" s="120">
        <v>0</v>
      </c>
      <c r="K225" s="120" t="s">
        <v>251</v>
      </c>
      <c r="L225" s="120" t="s">
        <v>251</v>
      </c>
      <c r="M225" s="120">
        <v>0</v>
      </c>
      <c r="N225" s="120" t="s">
        <v>251</v>
      </c>
      <c r="O225" s="120">
        <v>0</v>
      </c>
      <c r="P225" s="120">
        <v>0</v>
      </c>
      <c r="Q225" s="120">
        <v>0</v>
      </c>
      <c r="R225" s="120"/>
      <c r="S225" s="121"/>
    </row>
    <row r="226" spans="1:19" ht="15">
      <c r="A226" s="105">
        <v>13</v>
      </c>
      <c r="B226" s="105"/>
      <c r="C226" s="107" t="s">
        <v>432</v>
      </c>
      <c r="D226" s="107" t="s">
        <v>251</v>
      </c>
      <c r="E226" s="120">
        <v>227252325.42677984</v>
      </c>
      <c r="F226" s="120" t="s">
        <v>251</v>
      </c>
      <c r="G226" s="120">
        <v>214243630.77420601</v>
      </c>
      <c r="H226" s="120" t="s">
        <v>251</v>
      </c>
      <c r="I226" s="120">
        <v>10382465.893247556</v>
      </c>
      <c r="J226" s="120">
        <v>2626228.7593262796</v>
      </c>
      <c r="K226" s="120" t="s">
        <v>251</v>
      </c>
      <c r="L226" s="120" t="s">
        <v>251</v>
      </c>
      <c r="M226" s="120">
        <v>14775.551255637543</v>
      </c>
      <c r="N226" s="120" t="s">
        <v>251</v>
      </c>
      <c r="O226" s="120">
        <v>2611453.2080706423</v>
      </c>
      <c r="P226" s="120">
        <v>1361297.5757853077</v>
      </c>
      <c r="Q226" s="120">
        <v>1250155.6322853346</v>
      </c>
      <c r="R226" s="120"/>
      <c r="S226" s="121"/>
    </row>
    <row r="227" spans="1:19" ht="15">
      <c r="A227" s="105" t="s">
        <v>251</v>
      </c>
      <c r="B227" s="105"/>
      <c r="C227" s="107" t="s">
        <v>251</v>
      </c>
      <c r="D227" s="107" t="s">
        <v>251</v>
      </c>
      <c r="E227" s="120" t="s">
        <v>251</v>
      </c>
      <c r="F227" s="120" t="s">
        <v>251</v>
      </c>
      <c r="G227" s="120" t="s">
        <v>251</v>
      </c>
      <c r="H227" s="120" t="s">
        <v>251</v>
      </c>
      <c r="I227" s="120" t="s">
        <v>251</v>
      </c>
      <c r="J227" s="120" t="s">
        <v>251</v>
      </c>
      <c r="K227" s="120" t="s">
        <v>251</v>
      </c>
      <c r="L227" s="120" t="s">
        <v>251</v>
      </c>
      <c r="M227" s="120" t="s">
        <v>251</v>
      </c>
      <c r="N227" s="120" t="s">
        <v>251</v>
      </c>
      <c r="O227" s="120" t="s">
        <v>251</v>
      </c>
      <c r="P227" s="120" t="s">
        <v>251</v>
      </c>
      <c r="Q227" s="120" t="s">
        <v>251</v>
      </c>
      <c r="R227" s="120"/>
      <c r="S227" s="121"/>
    </row>
    <row r="228" spans="1:19" ht="15">
      <c r="A228" s="105" t="s">
        <v>251</v>
      </c>
      <c r="B228" s="105"/>
      <c r="C228" s="107" t="s">
        <v>433</v>
      </c>
      <c r="D228" s="107" t="s">
        <v>251</v>
      </c>
      <c r="E228" s="120" t="s">
        <v>251</v>
      </c>
      <c r="F228" s="120" t="s">
        <v>251</v>
      </c>
      <c r="G228" s="120" t="s">
        <v>251</v>
      </c>
      <c r="H228" s="120" t="s">
        <v>251</v>
      </c>
      <c r="I228" s="120" t="s">
        <v>251</v>
      </c>
      <c r="J228" s="120" t="s">
        <v>251</v>
      </c>
      <c r="K228" s="120" t="s">
        <v>251</v>
      </c>
      <c r="L228" s="120" t="s">
        <v>251</v>
      </c>
      <c r="M228" s="120" t="s">
        <v>251</v>
      </c>
      <c r="N228" s="120" t="s">
        <v>251</v>
      </c>
      <c r="O228" s="120" t="s">
        <v>251</v>
      </c>
      <c r="P228" s="120" t="s">
        <v>251</v>
      </c>
      <c r="Q228" s="120" t="s">
        <v>251</v>
      </c>
      <c r="R228" s="120"/>
      <c r="S228" s="121"/>
    </row>
    <row r="229" spans="1:19" ht="15">
      <c r="A229" s="105">
        <v>14</v>
      </c>
      <c r="B229" s="105"/>
      <c r="C229" s="107" t="s">
        <v>434</v>
      </c>
      <c r="D229" s="107" t="s">
        <v>304</v>
      </c>
      <c r="E229" s="120">
        <v>309540.85000000003</v>
      </c>
      <c r="F229" s="120" t="s">
        <v>251</v>
      </c>
      <c r="G229" s="120">
        <v>290168.5549759267</v>
      </c>
      <c r="H229" s="120" t="s">
        <v>251</v>
      </c>
      <c r="I229" s="120">
        <v>13287.175231352554</v>
      </c>
      <c r="J229" s="120">
        <v>6085.1197927207468</v>
      </c>
      <c r="K229" s="120" t="s">
        <v>251</v>
      </c>
      <c r="L229" s="120" t="s">
        <v>251</v>
      </c>
      <c r="M229" s="120">
        <v>0.93140063868500578</v>
      </c>
      <c r="N229" s="120" t="s">
        <v>251</v>
      </c>
      <c r="O229" s="120">
        <v>6084.1883920820619</v>
      </c>
      <c r="P229" s="120">
        <v>3085.7303159634239</v>
      </c>
      <c r="Q229" s="120">
        <v>2998.4580761186385</v>
      </c>
      <c r="R229" s="120"/>
      <c r="S229" s="121"/>
    </row>
    <row r="230" spans="1:19" ht="15">
      <c r="A230" s="105">
        <v>15</v>
      </c>
      <c r="B230" s="105"/>
      <c r="C230" s="107" t="s">
        <v>435</v>
      </c>
      <c r="D230" s="107" t="s">
        <v>341</v>
      </c>
      <c r="E230" s="120">
        <v>0</v>
      </c>
      <c r="F230" s="120" t="s">
        <v>251</v>
      </c>
      <c r="G230" s="120">
        <v>0</v>
      </c>
      <c r="H230" s="120" t="s">
        <v>251</v>
      </c>
      <c r="I230" s="120">
        <v>0</v>
      </c>
      <c r="J230" s="120">
        <v>0</v>
      </c>
      <c r="K230" s="120" t="s">
        <v>251</v>
      </c>
      <c r="L230" s="120" t="s">
        <v>251</v>
      </c>
      <c r="M230" s="120">
        <v>0</v>
      </c>
      <c r="N230" s="120" t="s">
        <v>251</v>
      </c>
      <c r="O230" s="120">
        <v>0</v>
      </c>
      <c r="P230" s="120">
        <v>0</v>
      </c>
      <c r="Q230" s="120">
        <v>0</v>
      </c>
      <c r="R230" s="120"/>
      <c r="S230" s="121"/>
    </row>
    <row r="231" spans="1:19" ht="15">
      <c r="A231" s="105">
        <v>16</v>
      </c>
      <c r="B231" s="105"/>
      <c r="C231" s="107" t="s">
        <v>436</v>
      </c>
      <c r="D231" s="107" t="s">
        <v>2233</v>
      </c>
      <c r="E231" s="120">
        <v>1471422.5899999999</v>
      </c>
      <c r="F231" s="120" t="s">
        <v>251</v>
      </c>
      <c r="G231" s="120">
        <v>1147334.75</v>
      </c>
      <c r="H231" s="120" t="s">
        <v>251</v>
      </c>
      <c r="I231" s="120">
        <v>324087.83999999997</v>
      </c>
      <c r="J231" s="120">
        <v>0</v>
      </c>
      <c r="K231" s="120" t="s">
        <v>251</v>
      </c>
      <c r="L231" s="120" t="s">
        <v>251</v>
      </c>
      <c r="M231" s="120">
        <v>0</v>
      </c>
      <c r="N231" s="120" t="s">
        <v>251</v>
      </c>
      <c r="O231" s="120">
        <v>0</v>
      </c>
      <c r="P231" s="120">
        <v>0</v>
      </c>
      <c r="Q231" s="120">
        <v>0</v>
      </c>
      <c r="R231" s="120"/>
      <c r="S231" s="121"/>
    </row>
    <row r="232" spans="1:19" ht="15">
      <c r="A232" s="105">
        <v>17</v>
      </c>
      <c r="B232" s="105"/>
      <c r="C232" s="107" t="s">
        <v>437</v>
      </c>
      <c r="D232" s="107" t="s">
        <v>419</v>
      </c>
      <c r="E232" s="120">
        <v>131956.31</v>
      </c>
      <c r="F232" s="120" t="s">
        <v>251</v>
      </c>
      <c r="G232" s="120">
        <v>124128.08801948151</v>
      </c>
      <c r="H232" s="120" t="s">
        <v>251</v>
      </c>
      <c r="I232" s="120">
        <v>6247.8403781599282</v>
      </c>
      <c r="J232" s="120">
        <v>1580.3816023585516</v>
      </c>
      <c r="K232" s="120" t="s">
        <v>251</v>
      </c>
      <c r="L232" s="120" t="s">
        <v>251</v>
      </c>
      <c r="M232" s="120">
        <v>8.8914605348795757</v>
      </c>
      <c r="N232" s="120" t="s">
        <v>251</v>
      </c>
      <c r="O232" s="120">
        <v>1571.490141823672</v>
      </c>
      <c r="P232" s="120">
        <v>819.18592828840178</v>
      </c>
      <c r="Q232" s="120">
        <v>752.30421353527026</v>
      </c>
      <c r="R232" s="120"/>
      <c r="S232" s="121"/>
    </row>
    <row r="233" spans="1:19" ht="15">
      <c r="A233" s="105">
        <v>18</v>
      </c>
      <c r="B233" s="105"/>
      <c r="C233" s="107" t="s">
        <v>438</v>
      </c>
      <c r="D233" s="107" t="s">
        <v>251</v>
      </c>
      <c r="E233" s="120">
        <v>1912919.75</v>
      </c>
      <c r="F233" s="120" t="s">
        <v>251</v>
      </c>
      <c r="G233" s="120">
        <v>1561631.3929954083</v>
      </c>
      <c r="H233" s="120" t="s">
        <v>251</v>
      </c>
      <c r="I233" s="120">
        <v>343622.85560951248</v>
      </c>
      <c r="J233" s="120">
        <v>7665.5013950792991</v>
      </c>
      <c r="K233" s="120" t="s">
        <v>251</v>
      </c>
      <c r="L233" s="120" t="s">
        <v>251</v>
      </c>
      <c r="M233" s="120">
        <v>9.822861173564581</v>
      </c>
      <c r="N233" s="120" t="s">
        <v>251</v>
      </c>
      <c r="O233" s="120">
        <v>7655.6785339057342</v>
      </c>
      <c r="P233" s="120">
        <v>3904.9162442518254</v>
      </c>
      <c r="Q233" s="120">
        <v>3750.7622896539087</v>
      </c>
      <c r="R233" s="120"/>
      <c r="S233" s="121"/>
    </row>
    <row r="234" spans="1:19" ht="15">
      <c r="A234" s="105" t="s">
        <v>251</v>
      </c>
      <c r="B234" s="105"/>
      <c r="C234" s="107" t="s">
        <v>251</v>
      </c>
      <c r="D234" s="107" t="s">
        <v>251</v>
      </c>
      <c r="E234" s="120" t="s">
        <v>251</v>
      </c>
      <c r="F234" s="120" t="s">
        <v>251</v>
      </c>
      <c r="G234" s="120" t="s">
        <v>251</v>
      </c>
      <c r="H234" s="120" t="s">
        <v>251</v>
      </c>
      <c r="I234" s="120" t="s">
        <v>251</v>
      </c>
      <c r="J234" s="120" t="s">
        <v>251</v>
      </c>
      <c r="K234" s="120" t="s">
        <v>251</v>
      </c>
      <c r="L234" s="120" t="s">
        <v>251</v>
      </c>
      <c r="M234" s="120" t="s">
        <v>251</v>
      </c>
      <c r="N234" s="120" t="s">
        <v>251</v>
      </c>
      <c r="O234" s="120" t="s">
        <v>251</v>
      </c>
      <c r="P234" s="120" t="s">
        <v>251</v>
      </c>
      <c r="Q234" s="120" t="s">
        <v>251</v>
      </c>
      <c r="R234" s="120"/>
      <c r="S234" s="121"/>
    </row>
    <row r="235" spans="1:19" ht="15">
      <c r="A235" s="105">
        <v>19</v>
      </c>
      <c r="B235" s="105"/>
      <c r="C235" s="107" t="s">
        <v>439</v>
      </c>
      <c r="D235" s="107" t="s">
        <v>251</v>
      </c>
      <c r="E235" s="120">
        <v>10062394694.170284</v>
      </c>
      <c r="F235" s="120" t="s">
        <v>251</v>
      </c>
      <c r="G235" s="120">
        <v>9408080312.792635</v>
      </c>
      <c r="H235" s="120" t="s">
        <v>251</v>
      </c>
      <c r="I235" s="120">
        <v>507908229.66523838</v>
      </c>
      <c r="J235" s="120">
        <v>146406151.71240935</v>
      </c>
      <c r="K235" s="120" t="s">
        <v>251</v>
      </c>
      <c r="L235" s="120" t="s">
        <v>251</v>
      </c>
      <c r="M235" s="120">
        <v>691517.9776287952</v>
      </c>
      <c r="N235" s="120" t="s">
        <v>251</v>
      </c>
      <c r="O235" s="120">
        <v>145714633.73478055</v>
      </c>
      <c r="P235" s="120">
        <v>75736331.337945953</v>
      </c>
      <c r="Q235" s="120">
        <v>69978302.396834612</v>
      </c>
      <c r="R235" s="120"/>
      <c r="S235" s="121"/>
    </row>
    <row r="236" spans="1:19" ht="15">
      <c r="A236" s="105" t="s">
        <v>251</v>
      </c>
      <c r="B236" s="105"/>
      <c r="C236" s="107" t="s">
        <v>251</v>
      </c>
      <c r="D236" s="107" t="s">
        <v>251</v>
      </c>
      <c r="E236" s="120" t="s">
        <v>251</v>
      </c>
      <c r="F236" s="120" t="s">
        <v>251</v>
      </c>
      <c r="G236" s="120" t="s">
        <v>251</v>
      </c>
      <c r="H236" s="120" t="s">
        <v>251</v>
      </c>
      <c r="I236" s="120" t="s">
        <v>251</v>
      </c>
      <c r="J236" s="120" t="s">
        <v>251</v>
      </c>
      <c r="K236" s="120" t="s">
        <v>251</v>
      </c>
      <c r="L236" s="120" t="s">
        <v>251</v>
      </c>
      <c r="M236" s="120" t="s">
        <v>251</v>
      </c>
      <c r="N236" s="120" t="s">
        <v>251</v>
      </c>
      <c r="O236" s="120" t="s">
        <v>251</v>
      </c>
      <c r="P236" s="120" t="s">
        <v>251</v>
      </c>
      <c r="Q236" s="120" t="s">
        <v>251</v>
      </c>
      <c r="R236" s="120"/>
      <c r="S236" s="121"/>
    </row>
    <row r="237" spans="1:19" ht="15">
      <c r="A237" s="105" t="s">
        <v>251</v>
      </c>
      <c r="B237" s="105"/>
      <c r="C237" s="107" t="s">
        <v>337</v>
      </c>
      <c r="D237" s="107" t="s">
        <v>251</v>
      </c>
      <c r="E237" s="120" t="s">
        <v>251</v>
      </c>
      <c r="F237" s="120" t="s">
        <v>251</v>
      </c>
      <c r="G237" s="120" t="s">
        <v>251</v>
      </c>
      <c r="H237" s="120" t="s">
        <v>251</v>
      </c>
      <c r="I237" s="120" t="s">
        <v>251</v>
      </c>
      <c r="J237" s="120" t="s">
        <v>251</v>
      </c>
      <c r="K237" s="120" t="s">
        <v>251</v>
      </c>
      <c r="L237" s="120" t="s">
        <v>251</v>
      </c>
      <c r="M237" s="120" t="s">
        <v>251</v>
      </c>
      <c r="N237" s="120" t="s">
        <v>251</v>
      </c>
      <c r="O237" s="120" t="s">
        <v>251</v>
      </c>
      <c r="P237" s="120" t="s">
        <v>251</v>
      </c>
      <c r="Q237" s="120" t="s">
        <v>251</v>
      </c>
      <c r="R237" s="120"/>
      <c r="S237" s="121"/>
    </row>
    <row r="238" spans="1:19" ht="15">
      <c r="A238" s="105" t="s">
        <v>251</v>
      </c>
      <c r="B238" s="105"/>
      <c r="C238" s="107" t="s">
        <v>251</v>
      </c>
      <c r="D238" s="107" t="s">
        <v>251</v>
      </c>
      <c r="E238" s="120" t="s">
        <v>251</v>
      </c>
      <c r="F238" s="120" t="s">
        <v>251</v>
      </c>
      <c r="G238" s="120" t="s">
        <v>251</v>
      </c>
      <c r="H238" s="120" t="s">
        <v>251</v>
      </c>
      <c r="I238" s="120" t="s">
        <v>251</v>
      </c>
      <c r="J238" s="120" t="s">
        <v>251</v>
      </c>
      <c r="K238" s="120" t="s">
        <v>251</v>
      </c>
      <c r="L238" s="120" t="s">
        <v>251</v>
      </c>
      <c r="M238" s="120" t="s">
        <v>251</v>
      </c>
      <c r="N238" s="120" t="s">
        <v>251</v>
      </c>
      <c r="O238" s="120" t="s">
        <v>251</v>
      </c>
      <c r="P238" s="120" t="s">
        <v>251</v>
      </c>
      <c r="Q238" s="120" t="s">
        <v>251</v>
      </c>
      <c r="R238" s="120"/>
      <c r="S238" s="121"/>
    </row>
    <row r="239" spans="1:19" ht="15">
      <c r="A239" s="105" t="s">
        <v>251</v>
      </c>
      <c r="B239" s="105"/>
      <c r="C239" s="107" t="s">
        <v>440</v>
      </c>
      <c r="D239" s="107" t="s">
        <v>251</v>
      </c>
      <c r="E239" s="120" t="s">
        <v>251</v>
      </c>
      <c r="F239" s="120" t="s">
        <v>251</v>
      </c>
      <c r="G239" s="120" t="s">
        <v>251</v>
      </c>
      <c r="H239" s="120" t="s">
        <v>251</v>
      </c>
      <c r="I239" s="120" t="s">
        <v>251</v>
      </c>
      <c r="J239" s="120" t="s">
        <v>251</v>
      </c>
      <c r="K239" s="120" t="s">
        <v>251</v>
      </c>
      <c r="L239" s="120" t="s">
        <v>251</v>
      </c>
      <c r="M239" s="120" t="s">
        <v>251</v>
      </c>
      <c r="N239" s="120" t="s">
        <v>251</v>
      </c>
      <c r="O239" s="120" t="s">
        <v>251</v>
      </c>
      <c r="P239" s="120" t="s">
        <v>251</v>
      </c>
      <c r="Q239" s="120" t="s">
        <v>251</v>
      </c>
      <c r="R239" s="120"/>
      <c r="S239" s="121"/>
    </row>
    <row r="240" spans="1:19" ht="15">
      <c r="A240" s="105" t="s">
        <v>251</v>
      </c>
      <c r="B240" s="105"/>
      <c r="C240" s="107" t="s">
        <v>251</v>
      </c>
      <c r="D240" s="107" t="s">
        <v>251</v>
      </c>
      <c r="E240" s="120" t="s">
        <v>251</v>
      </c>
      <c r="F240" s="120" t="s">
        <v>251</v>
      </c>
      <c r="G240" s="120" t="s">
        <v>251</v>
      </c>
      <c r="H240" s="120" t="s">
        <v>251</v>
      </c>
      <c r="I240" s="120" t="s">
        <v>251</v>
      </c>
      <c r="J240" s="120" t="s">
        <v>251</v>
      </c>
      <c r="K240" s="120" t="s">
        <v>251</v>
      </c>
      <c r="L240" s="120" t="s">
        <v>251</v>
      </c>
      <c r="M240" s="120" t="s">
        <v>251</v>
      </c>
      <c r="N240" s="120" t="s">
        <v>251</v>
      </c>
      <c r="O240" s="120" t="s">
        <v>251</v>
      </c>
      <c r="P240" s="120" t="s">
        <v>251</v>
      </c>
      <c r="Q240" s="120" t="s">
        <v>251</v>
      </c>
      <c r="R240" s="120"/>
      <c r="S240" s="121"/>
    </row>
    <row r="241" spans="1:19" ht="15">
      <c r="A241" s="105" t="s">
        <v>251</v>
      </c>
      <c r="B241" s="105"/>
      <c r="C241" s="107" t="s">
        <v>441</v>
      </c>
      <c r="D241" s="107" t="s">
        <v>251</v>
      </c>
      <c r="E241" s="120" t="s">
        <v>251</v>
      </c>
      <c r="F241" s="120" t="s">
        <v>251</v>
      </c>
      <c r="G241" s="120" t="s">
        <v>251</v>
      </c>
      <c r="H241" s="120" t="s">
        <v>251</v>
      </c>
      <c r="I241" s="120" t="s">
        <v>251</v>
      </c>
      <c r="J241" s="120" t="s">
        <v>251</v>
      </c>
      <c r="K241" s="120" t="s">
        <v>251</v>
      </c>
      <c r="L241" s="120" t="s">
        <v>251</v>
      </c>
      <c r="M241" s="120" t="s">
        <v>251</v>
      </c>
      <c r="N241" s="120" t="s">
        <v>251</v>
      </c>
      <c r="O241" s="120" t="s">
        <v>251</v>
      </c>
      <c r="P241" s="120" t="s">
        <v>251</v>
      </c>
      <c r="Q241" s="120" t="s">
        <v>251</v>
      </c>
      <c r="R241" s="120"/>
      <c r="S241" s="121"/>
    </row>
    <row r="242" spans="1:19" ht="15">
      <c r="A242" s="105" t="s">
        <v>251</v>
      </c>
      <c r="B242" s="105"/>
      <c r="C242" s="107" t="s">
        <v>442</v>
      </c>
      <c r="D242" s="107" t="s">
        <v>251</v>
      </c>
      <c r="E242" s="120" t="s">
        <v>251</v>
      </c>
      <c r="F242" s="120" t="s">
        <v>251</v>
      </c>
      <c r="G242" s="120" t="s">
        <v>251</v>
      </c>
      <c r="H242" s="120" t="s">
        <v>251</v>
      </c>
      <c r="I242" s="120" t="s">
        <v>251</v>
      </c>
      <c r="J242" s="120" t="s">
        <v>251</v>
      </c>
      <c r="K242" s="120" t="s">
        <v>251</v>
      </c>
      <c r="L242" s="120" t="s">
        <v>251</v>
      </c>
      <c r="M242" s="120" t="s">
        <v>251</v>
      </c>
      <c r="N242" s="120" t="s">
        <v>251</v>
      </c>
      <c r="O242" s="120" t="s">
        <v>251</v>
      </c>
      <c r="P242" s="120" t="s">
        <v>251</v>
      </c>
      <c r="Q242" s="120" t="s">
        <v>251</v>
      </c>
      <c r="R242" s="120"/>
      <c r="S242" s="121"/>
    </row>
    <row r="243" spans="1:19" ht="15">
      <c r="A243" s="105">
        <v>1</v>
      </c>
      <c r="B243" s="105"/>
      <c r="C243" s="107" t="s">
        <v>443</v>
      </c>
      <c r="D243" s="107" t="s">
        <v>444</v>
      </c>
      <c r="E243" s="120">
        <v>1868697116.9742374</v>
      </c>
      <c r="F243" s="120" t="s">
        <v>251</v>
      </c>
      <c r="G243" s="120">
        <v>1751746634.1521473</v>
      </c>
      <c r="H243" s="120" t="s">
        <v>251</v>
      </c>
      <c r="I243" s="120">
        <v>80214634.183371946</v>
      </c>
      <c r="J243" s="120">
        <v>36735848.638718054</v>
      </c>
      <c r="K243" s="120" t="s">
        <v>251</v>
      </c>
      <c r="L243" s="120" t="s">
        <v>251</v>
      </c>
      <c r="M243" s="120">
        <v>5622.8626633888007</v>
      </c>
      <c r="N243" s="120" t="s">
        <v>251</v>
      </c>
      <c r="O243" s="120">
        <v>36730225.776054665</v>
      </c>
      <c r="P243" s="120">
        <v>18628544.003807098</v>
      </c>
      <c r="Q243" s="120">
        <v>18101681.772247568</v>
      </c>
      <c r="R243" s="120"/>
      <c r="S243" s="121"/>
    </row>
    <row r="244" spans="1:19" ht="15">
      <c r="A244" s="105">
        <v>2</v>
      </c>
      <c r="B244" s="105"/>
      <c r="C244" s="107" t="s">
        <v>445</v>
      </c>
      <c r="D244" s="107" t="s">
        <v>312</v>
      </c>
      <c r="E244" s="120">
        <v>18008590.653333403</v>
      </c>
      <c r="F244" s="120" t="s">
        <v>251</v>
      </c>
      <c r="G244" s="120">
        <v>9457347.0627604946</v>
      </c>
      <c r="H244" s="120" t="s">
        <v>251</v>
      </c>
      <c r="I244" s="120">
        <v>5865455.5374959754</v>
      </c>
      <c r="J244" s="120">
        <v>2685788.0530769359</v>
      </c>
      <c r="K244" s="120" t="s">
        <v>251</v>
      </c>
      <c r="L244" s="120" t="s">
        <v>251</v>
      </c>
      <c r="M244" s="120">
        <v>0</v>
      </c>
      <c r="N244" s="120" t="s">
        <v>251</v>
      </c>
      <c r="O244" s="120">
        <v>2685788.0530769359</v>
      </c>
      <c r="P244" s="120">
        <v>1362156.6400569309</v>
      </c>
      <c r="Q244" s="120">
        <v>1323631.4130200052</v>
      </c>
      <c r="R244" s="120"/>
      <c r="S244" s="121"/>
    </row>
    <row r="245" spans="1:19" ht="15">
      <c r="A245" s="105">
        <v>3</v>
      </c>
      <c r="B245" s="105"/>
      <c r="C245" s="107" t="s">
        <v>446</v>
      </c>
      <c r="D245" s="107" t="s">
        <v>314</v>
      </c>
      <c r="E245" s="120">
        <v>7410604.1733333375</v>
      </c>
      <c r="F245" s="120" t="s">
        <v>251</v>
      </c>
      <c r="G245" s="120">
        <v>5771545.3993876958</v>
      </c>
      <c r="H245" s="120" t="s">
        <v>251</v>
      </c>
      <c r="I245" s="120">
        <v>0</v>
      </c>
      <c r="J245" s="120">
        <v>1639058.7739456415</v>
      </c>
      <c r="K245" s="120" t="s">
        <v>251</v>
      </c>
      <c r="L245" s="120" t="s">
        <v>251</v>
      </c>
      <c r="M245" s="120">
        <v>0</v>
      </c>
      <c r="N245" s="120" t="s">
        <v>251</v>
      </c>
      <c r="O245" s="120">
        <v>1639058.7739456415</v>
      </c>
      <c r="P245" s="120">
        <v>831284.80291503912</v>
      </c>
      <c r="Q245" s="120">
        <v>807773.97103060235</v>
      </c>
      <c r="R245" s="120"/>
      <c r="S245" s="121"/>
    </row>
    <row r="246" spans="1:19" ht="15">
      <c r="A246" s="105">
        <v>4</v>
      </c>
      <c r="B246" s="105"/>
      <c r="C246" s="107" t="s">
        <v>447</v>
      </c>
      <c r="D246" s="107" t="s">
        <v>251</v>
      </c>
      <c r="E246" s="120">
        <v>1894116311.800904</v>
      </c>
      <c r="F246" s="120" t="s">
        <v>251</v>
      </c>
      <c r="G246" s="120">
        <v>1766975526.6142955</v>
      </c>
      <c r="H246" s="120" t="s">
        <v>251</v>
      </c>
      <c r="I246" s="120">
        <v>86080089.720867917</v>
      </c>
      <c r="J246" s="120">
        <v>41060695.465740636</v>
      </c>
      <c r="K246" s="120" t="s">
        <v>251</v>
      </c>
      <c r="L246" s="120" t="s">
        <v>251</v>
      </c>
      <c r="M246" s="120">
        <v>5622.8626633888007</v>
      </c>
      <c r="N246" s="120" t="s">
        <v>251</v>
      </c>
      <c r="O246" s="120">
        <v>41055072.603077248</v>
      </c>
      <c r="P246" s="120">
        <v>20821985.446779069</v>
      </c>
      <c r="Q246" s="120">
        <v>20233087.156298175</v>
      </c>
      <c r="R246" s="120"/>
      <c r="S246" s="121"/>
    </row>
    <row r="247" spans="1:19" ht="15">
      <c r="A247" s="105" t="s">
        <v>251</v>
      </c>
      <c r="B247" s="105"/>
      <c r="C247" s="107" t="s">
        <v>251</v>
      </c>
      <c r="D247" s="107" t="s">
        <v>251</v>
      </c>
      <c r="E247" s="120" t="s">
        <v>251</v>
      </c>
      <c r="F247" s="120" t="s">
        <v>251</v>
      </c>
      <c r="G247" s="120" t="s">
        <v>251</v>
      </c>
      <c r="H247" s="120" t="s">
        <v>251</v>
      </c>
      <c r="I247" s="120" t="s">
        <v>251</v>
      </c>
      <c r="J247" s="120" t="s">
        <v>251</v>
      </c>
      <c r="K247" s="120" t="s">
        <v>251</v>
      </c>
      <c r="L247" s="120" t="s">
        <v>251</v>
      </c>
      <c r="M247" s="120" t="s">
        <v>251</v>
      </c>
      <c r="N247" s="120" t="s">
        <v>251</v>
      </c>
      <c r="O247" s="120" t="s">
        <v>251</v>
      </c>
      <c r="P247" s="120" t="s">
        <v>251</v>
      </c>
      <c r="Q247" s="120" t="s">
        <v>251</v>
      </c>
      <c r="R247" s="120"/>
      <c r="S247" s="121"/>
    </row>
    <row r="248" spans="1:19" ht="15">
      <c r="A248" s="105" t="s">
        <v>251</v>
      </c>
      <c r="B248" s="105"/>
      <c r="C248" s="107" t="s">
        <v>448</v>
      </c>
      <c r="D248" s="107" t="s">
        <v>251</v>
      </c>
      <c r="E248" s="120" t="s">
        <v>251</v>
      </c>
      <c r="F248" s="120" t="s">
        <v>251</v>
      </c>
      <c r="G248" s="120" t="s">
        <v>251</v>
      </c>
      <c r="H248" s="120" t="s">
        <v>251</v>
      </c>
      <c r="I248" s="120" t="s">
        <v>251</v>
      </c>
      <c r="J248" s="120" t="s">
        <v>251</v>
      </c>
      <c r="K248" s="120" t="s">
        <v>251</v>
      </c>
      <c r="L248" s="120" t="s">
        <v>251</v>
      </c>
      <c r="M248" s="120" t="s">
        <v>251</v>
      </c>
      <c r="N248" s="120" t="s">
        <v>251</v>
      </c>
      <c r="O248" s="120" t="s">
        <v>251</v>
      </c>
      <c r="P248" s="120" t="s">
        <v>251</v>
      </c>
      <c r="Q248" s="120" t="s">
        <v>251</v>
      </c>
      <c r="R248" s="120"/>
      <c r="S248" s="121"/>
    </row>
    <row r="249" spans="1:19" ht="15">
      <c r="A249" s="105">
        <v>5</v>
      </c>
      <c r="B249" s="105"/>
      <c r="C249" s="107" t="s">
        <v>443</v>
      </c>
      <c r="D249" s="107" t="s">
        <v>449</v>
      </c>
      <c r="E249" s="120">
        <v>15262073.425133567</v>
      </c>
      <c r="F249" s="120" t="s">
        <v>251</v>
      </c>
      <c r="G249" s="120">
        <v>14306912.291891359</v>
      </c>
      <c r="H249" s="120" t="s">
        <v>251</v>
      </c>
      <c r="I249" s="120">
        <v>655131.12079881795</v>
      </c>
      <c r="J249" s="120">
        <v>300030.01244339033</v>
      </c>
      <c r="K249" s="120" t="s">
        <v>251</v>
      </c>
      <c r="L249" s="120" t="s">
        <v>251</v>
      </c>
      <c r="M249" s="120">
        <v>45.923195390291326</v>
      </c>
      <c r="N249" s="120" t="s">
        <v>251</v>
      </c>
      <c r="O249" s="120">
        <v>299984.08924800006</v>
      </c>
      <c r="P249" s="120">
        <v>152143.54632803515</v>
      </c>
      <c r="Q249" s="120">
        <v>147840.54291996488</v>
      </c>
      <c r="R249" s="120"/>
      <c r="S249" s="121"/>
    </row>
    <row r="250" spans="1:19" ht="15">
      <c r="A250" s="105">
        <v>6</v>
      </c>
      <c r="B250" s="105"/>
      <c r="C250" s="107" t="s">
        <v>445</v>
      </c>
      <c r="D250" s="107" t="s">
        <v>312</v>
      </c>
      <c r="E250" s="120">
        <v>3414.3333333333408</v>
      </c>
      <c r="F250" s="120" t="s">
        <v>251</v>
      </c>
      <c r="G250" s="120">
        <v>1793.0628744292276</v>
      </c>
      <c r="H250" s="120" t="s">
        <v>251</v>
      </c>
      <c r="I250" s="120">
        <v>1112.0592800608854</v>
      </c>
      <c r="J250" s="120">
        <v>509.21117884322786</v>
      </c>
      <c r="K250" s="120" t="s">
        <v>251</v>
      </c>
      <c r="L250" s="120" t="s">
        <v>251</v>
      </c>
      <c r="M250" s="120">
        <v>0</v>
      </c>
      <c r="N250" s="120" t="s">
        <v>251</v>
      </c>
      <c r="O250" s="120">
        <v>509.21117884322786</v>
      </c>
      <c r="P250" s="120">
        <v>258.25767884322732</v>
      </c>
      <c r="Q250" s="120">
        <v>250.95350000000053</v>
      </c>
      <c r="R250" s="120"/>
      <c r="S250" s="121"/>
    </row>
    <row r="251" spans="1:19" ht="15">
      <c r="A251" s="105">
        <v>7</v>
      </c>
      <c r="B251" s="105"/>
      <c r="C251" s="107" t="s">
        <v>446</v>
      </c>
      <c r="D251" s="107" t="s">
        <v>314</v>
      </c>
      <c r="E251" s="120">
        <v>21448.5</v>
      </c>
      <c r="F251" s="120" t="s">
        <v>251</v>
      </c>
      <c r="G251" s="120">
        <v>16704.574769250565</v>
      </c>
      <c r="H251" s="120" t="s">
        <v>251</v>
      </c>
      <c r="I251" s="120">
        <v>0</v>
      </c>
      <c r="J251" s="120">
        <v>4743.9252307494371</v>
      </c>
      <c r="K251" s="120" t="s">
        <v>251</v>
      </c>
      <c r="L251" s="120" t="s">
        <v>251</v>
      </c>
      <c r="M251" s="120">
        <v>0</v>
      </c>
      <c r="N251" s="120" t="s">
        <v>251</v>
      </c>
      <c r="O251" s="120">
        <v>4743.9252307494371</v>
      </c>
      <c r="P251" s="120">
        <v>2405.9862972418418</v>
      </c>
      <c r="Q251" s="120">
        <v>2337.9389335075948</v>
      </c>
      <c r="R251" s="120"/>
      <c r="S251" s="121"/>
    </row>
    <row r="252" spans="1:19" ht="15">
      <c r="A252" s="105">
        <v>8</v>
      </c>
      <c r="B252" s="105"/>
      <c r="C252" s="107" t="s">
        <v>450</v>
      </c>
      <c r="D252" s="107" t="s">
        <v>251</v>
      </c>
      <c r="E252" s="120">
        <v>15286936.258466901</v>
      </c>
      <c r="F252" s="120" t="s">
        <v>251</v>
      </c>
      <c r="G252" s="120">
        <v>14325409.929535039</v>
      </c>
      <c r="H252" s="120" t="s">
        <v>251</v>
      </c>
      <c r="I252" s="120">
        <v>656243.18007887888</v>
      </c>
      <c r="J252" s="120">
        <v>305283.14885298297</v>
      </c>
      <c r="K252" s="120" t="s">
        <v>251</v>
      </c>
      <c r="L252" s="120" t="s">
        <v>251</v>
      </c>
      <c r="M252" s="120">
        <v>45.923195390291326</v>
      </c>
      <c r="N252" s="120" t="s">
        <v>251</v>
      </c>
      <c r="O252" s="120">
        <v>305237.2256575927</v>
      </c>
      <c r="P252" s="120">
        <v>154807.79030412022</v>
      </c>
      <c r="Q252" s="120">
        <v>150429.43535347248</v>
      </c>
      <c r="R252" s="120"/>
      <c r="S252" s="121"/>
    </row>
    <row r="253" spans="1:19" ht="15">
      <c r="A253" s="105" t="s">
        <v>251</v>
      </c>
      <c r="B253" s="105"/>
      <c r="C253" s="107" t="s">
        <v>251</v>
      </c>
      <c r="D253" s="107" t="s">
        <v>251</v>
      </c>
      <c r="E253" s="120" t="s">
        <v>251</v>
      </c>
      <c r="F253" s="120" t="s">
        <v>251</v>
      </c>
      <c r="G253" s="120" t="s">
        <v>251</v>
      </c>
      <c r="H253" s="120" t="s">
        <v>251</v>
      </c>
      <c r="I253" s="120" t="s">
        <v>251</v>
      </c>
      <c r="J253" s="120" t="s">
        <v>251</v>
      </c>
      <c r="K253" s="120" t="s">
        <v>251</v>
      </c>
      <c r="L253" s="120" t="s">
        <v>251</v>
      </c>
      <c r="M253" s="120" t="s">
        <v>251</v>
      </c>
      <c r="N253" s="120" t="s">
        <v>251</v>
      </c>
      <c r="O253" s="120" t="s">
        <v>251</v>
      </c>
      <c r="P253" s="120" t="s">
        <v>251</v>
      </c>
      <c r="Q253" s="120" t="s">
        <v>251</v>
      </c>
      <c r="R253" s="120"/>
      <c r="S253" s="121"/>
    </row>
    <row r="254" spans="1:19" ht="15">
      <c r="A254" s="105" t="s">
        <v>251</v>
      </c>
      <c r="B254" s="105"/>
      <c r="C254" s="107" t="s">
        <v>451</v>
      </c>
      <c r="D254" s="107" t="s">
        <v>251</v>
      </c>
      <c r="E254" s="120" t="s">
        <v>251</v>
      </c>
      <c r="F254" s="120" t="s">
        <v>251</v>
      </c>
      <c r="G254" s="120" t="s">
        <v>251</v>
      </c>
      <c r="H254" s="120" t="s">
        <v>251</v>
      </c>
      <c r="I254" s="120" t="s">
        <v>251</v>
      </c>
      <c r="J254" s="120" t="s">
        <v>251</v>
      </c>
      <c r="K254" s="120" t="s">
        <v>251</v>
      </c>
      <c r="L254" s="120" t="s">
        <v>251</v>
      </c>
      <c r="M254" s="120" t="s">
        <v>251</v>
      </c>
      <c r="N254" s="120" t="s">
        <v>251</v>
      </c>
      <c r="O254" s="120" t="s">
        <v>251</v>
      </c>
      <c r="P254" s="120" t="s">
        <v>251</v>
      </c>
      <c r="Q254" s="120" t="s">
        <v>251</v>
      </c>
      <c r="R254" s="120"/>
      <c r="S254" s="121"/>
    </row>
    <row r="255" spans="1:19" ht="15">
      <c r="A255" s="105">
        <v>9</v>
      </c>
      <c r="B255" s="105"/>
      <c r="C255" s="107" t="s">
        <v>443</v>
      </c>
      <c r="D255" s="107" t="s">
        <v>452</v>
      </c>
      <c r="E255" s="120">
        <v>380240513.0600546</v>
      </c>
      <c r="F255" s="120" t="s">
        <v>251</v>
      </c>
      <c r="G255" s="120">
        <v>356443552.50023067</v>
      </c>
      <c r="H255" s="120" t="s">
        <v>251</v>
      </c>
      <c r="I255" s="120">
        <v>16321988.930017941</v>
      </c>
      <c r="J255" s="120">
        <v>7474971.6298059858</v>
      </c>
      <c r="K255" s="120" t="s">
        <v>251</v>
      </c>
      <c r="L255" s="120" t="s">
        <v>251</v>
      </c>
      <c r="M255" s="120">
        <v>1144.1341481037127</v>
      </c>
      <c r="N255" s="120" t="s">
        <v>251</v>
      </c>
      <c r="O255" s="120">
        <v>7473827.4956578817</v>
      </c>
      <c r="P255" s="120">
        <v>3790516.4326676</v>
      </c>
      <c r="Q255" s="120">
        <v>3683311.0629902822</v>
      </c>
      <c r="R255" s="120"/>
      <c r="S255" s="121"/>
    </row>
    <row r="256" spans="1:19" ht="15">
      <c r="A256" s="105">
        <v>10</v>
      </c>
      <c r="B256" s="105"/>
      <c r="C256" s="107" t="s">
        <v>445</v>
      </c>
      <c r="D256" s="107" t="s">
        <v>312</v>
      </c>
      <c r="E256" s="120">
        <v>1842.1566666666668</v>
      </c>
      <c r="F256" s="120" t="s">
        <v>251</v>
      </c>
      <c r="G256" s="120">
        <v>967.42245276255721</v>
      </c>
      <c r="H256" s="120" t="s">
        <v>251</v>
      </c>
      <c r="I256" s="120">
        <v>599.9963145053274</v>
      </c>
      <c r="J256" s="120">
        <v>274.73789939878236</v>
      </c>
      <c r="K256" s="120" t="s">
        <v>251</v>
      </c>
      <c r="L256" s="120" t="s">
        <v>251</v>
      </c>
      <c r="M256" s="120">
        <v>0</v>
      </c>
      <c r="N256" s="120" t="s">
        <v>251</v>
      </c>
      <c r="O256" s="120">
        <v>274.73789939878236</v>
      </c>
      <c r="P256" s="120">
        <v>139.33938439878236</v>
      </c>
      <c r="Q256" s="120">
        <v>135.398515</v>
      </c>
      <c r="R256" s="120"/>
      <c r="S256" s="121"/>
    </row>
    <row r="257" spans="1:19" ht="15">
      <c r="A257" s="105">
        <v>11</v>
      </c>
      <c r="B257" s="105"/>
      <c r="C257" s="107" t="s">
        <v>446</v>
      </c>
      <c r="D257" s="107" t="s">
        <v>314</v>
      </c>
      <c r="E257" s="120">
        <v>1868599.35</v>
      </c>
      <c r="F257" s="120" t="s">
        <v>251</v>
      </c>
      <c r="G257" s="120">
        <v>1455307.2501968904</v>
      </c>
      <c r="H257" s="120" t="s">
        <v>251</v>
      </c>
      <c r="I257" s="120">
        <v>0</v>
      </c>
      <c r="J257" s="120">
        <v>413292.09980310965</v>
      </c>
      <c r="K257" s="120" t="s">
        <v>251</v>
      </c>
      <c r="L257" s="120" t="s">
        <v>251</v>
      </c>
      <c r="M257" s="120">
        <v>0</v>
      </c>
      <c r="N257" s="120" t="s">
        <v>251</v>
      </c>
      <c r="O257" s="120">
        <v>413292.09980310965</v>
      </c>
      <c r="P257" s="120">
        <v>209610.20263118693</v>
      </c>
      <c r="Q257" s="120">
        <v>203681.89717192273</v>
      </c>
      <c r="R257" s="120"/>
      <c r="S257" s="121"/>
    </row>
    <row r="258" spans="1:19" ht="15">
      <c r="A258" s="105">
        <v>12</v>
      </c>
      <c r="B258" s="105"/>
      <c r="C258" s="107" t="s">
        <v>453</v>
      </c>
      <c r="D258" s="107" t="s">
        <v>251</v>
      </c>
      <c r="E258" s="120">
        <v>382110954.56672126</v>
      </c>
      <c r="F258" s="120" t="s">
        <v>251</v>
      </c>
      <c r="G258" s="120">
        <v>357899827.17288029</v>
      </c>
      <c r="H258" s="120" t="s">
        <v>251</v>
      </c>
      <c r="I258" s="120">
        <v>16322588.926332446</v>
      </c>
      <c r="J258" s="120">
        <v>7888538.4675084949</v>
      </c>
      <c r="K258" s="120" t="s">
        <v>251</v>
      </c>
      <c r="L258" s="120" t="s">
        <v>251</v>
      </c>
      <c r="M258" s="120">
        <v>1144.1341481037127</v>
      </c>
      <c r="N258" s="120" t="s">
        <v>251</v>
      </c>
      <c r="O258" s="120">
        <v>7887394.3333603907</v>
      </c>
      <c r="P258" s="120">
        <v>4000265.974683186</v>
      </c>
      <c r="Q258" s="120">
        <v>3887128.3586772047</v>
      </c>
      <c r="R258" s="120"/>
      <c r="S258" s="121"/>
    </row>
    <row r="259" spans="1:19" ht="15">
      <c r="A259" s="105" t="s">
        <v>251</v>
      </c>
      <c r="B259" s="105"/>
      <c r="C259" s="107" t="s">
        <v>251</v>
      </c>
      <c r="D259" s="107" t="s">
        <v>251</v>
      </c>
      <c r="E259" s="120" t="s">
        <v>251</v>
      </c>
      <c r="F259" s="120" t="s">
        <v>251</v>
      </c>
      <c r="G259" s="120" t="s">
        <v>251</v>
      </c>
      <c r="H259" s="120" t="s">
        <v>251</v>
      </c>
      <c r="I259" s="120" t="s">
        <v>251</v>
      </c>
      <c r="J259" s="120" t="s">
        <v>251</v>
      </c>
      <c r="K259" s="120" t="s">
        <v>251</v>
      </c>
      <c r="L259" s="120" t="s">
        <v>251</v>
      </c>
      <c r="M259" s="120" t="s">
        <v>251</v>
      </c>
      <c r="N259" s="120" t="s">
        <v>251</v>
      </c>
      <c r="O259" s="120" t="s">
        <v>251</v>
      </c>
      <c r="P259" s="120" t="s">
        <v>251</v>
      </c>
      <c r="Q259" s="120" t="s">
        <v>251</v>
      </c>
      <c r="R259" s="120"/>
      <c r="S259" s="121"/>
    </row>
    <row r="260" spans="1:19" ht="15">
      <c r="A260" s="105">
        <v>13</v>
      </c>
      <c r="B260" s="105"/>
      <c r="C260" s="107" t="s">
        <v>454</v>
      </c>
      <c r="D260" s="107" t="s">
        <v>251</v>
      </c>
      <c r="E260" s="120">
        <v>2291514202.6260924</v>
      </c>
      <c r="F260" s="120" t="s">
        <v>251</v>
      </c>
      <c r="G260" s="120">
        <v>2139200763.716711</v>
      </c>
      <c r="H260" s="120" t="s">
        <v>251</v>
      </c>
      <c r="I260" s="120">
        <v>103058921.82727924</v>
      </c>
      <c r="J260" s="120">
        <v>49254517.08210212</v>
      </c>
      <c r="K260" s="120" t="s">
        <v>251</v>
      </c>
      <c r="L260" s="120" t="s">
        <v>251</v>
      </c>
      <c r="M260" s="120">
        <v>6812.920006882805</v>
      </c>
      <c r="N260" s="120" t="s">
        <v>251</v>
      </c>
      <c r="O260" s="120">
        <v>49247704.162095234</v>
      </c>
      <c r="P260" s="120">
        <v>24977059.211766377</v>
      </c>
      <c r="Q260" s="120">
        <v>24270644.950328853</v>
      </c>
      <c r="R260" s="120"/>
      <c r="S260" s="121"/>
    </row>
    <row r="261" spans="1:19" ht="15">
      <c r="A261" s="105" t="s">
        <v>251</v>
      </c>
      <c r="B261" s="105"/>
      <c r="C261" s="107" t="s">
        <v>251</v>
      </c>
      <c r="D261" s="107" t="s">
        <v>251</v>
      </c>
      <c r="E261" s="120" t="s">
        <v>251</v>
      </c>
      <c r="F261" s="120" t="s">
        <v>251</v>
      </c>
      <c r="G261" s="120" t="s">
        <v>251</v>
      </c>
      <c r="H261" s="120" t="s">
        <v>251</v>
      </c>
      <c r="I261" s="120" t="s">
        <v>251</v>
      </c>
      <c r="J261" s="120" t="s">
        <v>251</v>
      </c>
      <c r="K261" s="120" t="s">
        <v>251</v>
      </c>
      <c r="L261" s="120" t="s">
        <v>251</v>
      </c>
      <c r="M261" s="120" t="s">
        <v>251</v>
      </c>
      <c r="N261" s="120" t="s">
        <v>251</v>
      </c>
      <c r="O261" s="120" t="s">
        <v>251</v>
      </c>
      <c r="P261" s="120" t="s">
        <v>251</v>
      </c>
      <c r="Q261" s="120" t="s">
        <v>251</v>
      </c>
      <c r="R261" s="120"/>
      <c r="S261" s="121"/>
    </row>
    <row r="262" spans="1:19" ht="15">
      <c r="A262" s="105" t="s">
        <v>251</v>
      </c>
      <c r="B262" s="105"/>
      <c r="C262" s="107" t="s">
        <v>455</v>
      </c>
      <c r="D262" s="107" t="s">
        <v>251</v>
      </c>
      <c r="E262" s="120" t="s">
        <v>251</v>
      </c>
      <c r="F262" s="120" t="s">
        <v>251</v>
      </c>
      <c r="G262" s="120" t="s">
        <v>251</v>
      </c>
      <c r="H262" s="120" t="s">
        <v>251</v>
      </c>
      <c r="I262" s="120" t="s">
        <v>251</v>
      </c>
      <c r="J262" s="120" t="s">
        <v>251</v>
      </c>
      <c r="K262" s="120" t="s">
        <v>251</v>
      </c>
      <c r="L262" s="120" t="s">
        <v>251</v>
      </c>
      <c r="M262" s="120" t="s">
        <v>251</v>
      </c>
      <c r="N262" s="120" t="s">
        <v>251</v>
      </c>
      <c r="O262" s="120" t="s">
        <v>251</v>
      </c>
      <c r="P262" s="120" t="s">
        <v>251</v>
      </c>
      <c r="Q262" s="120" t="s">
        <v>251</v>
      </c>
      <c r="R262" s="120"/>
      <c r="S262" s="121"/>
    </row>
    <row r="263" spans="1:19" ht="15">
      <c r="A263" s="105">
        <v>14</v>
      </c>
      <c r="B263" s="105"/>
      <c r="C263" s="107" t="s">
        <v>456</v>
      </c>
      <c r="D263" s="107" t="s">
        <v>457</v>
      </c>
      <c r="E263" s="120">
        <v>329304684.07358497</v>
      </c>
      <c r="F263" s="120" t="s">
        <v>251</v>
      </c>
      <c r="G263" s="120">
        <v>314649933.19595003</v>
      </c>
      <c r="H263" s="120" t="s">
        <v>251</v>
      </c>
      <c r="I263" s="120">
        <v>14653743.447883185</v>
      </c>
      <c r="J263" s="120">
        <v>1007.4297517696256</v>
      </c>
      <c r="K263" s="120" t="s">
        <v>251</v>
      </c>
      <c r="L263" s="120" t="s">
        <v>251</v>
      </c>
      <c r="M263" s="120">
        <v>1007.4297517696256</v>
      </c>
      <c r="N263" s="120" t="s">
        <v>251</v>
      </c>
      <c r="O263" s="120">
        <v>0</v>
      </c>
      <c r="P263" s="120">
        <v>0</v>
      </c>
      <c r="Q263" s="120">
        <v>0</v>
      </c>
      <c r="R263" s="120"/>
      <c r="S263" s="121"/>
    </row>
    <row r="264" spans="1:19" ht="15">
      <c r="A264" s="105">
        <v>15</v>
      </c>
      <c r="B264" s="105"/>
      <c r="C264" s="107" t="s">
        <v>458</v>
      </c>
      <c r="D264" s="107" t="s">
        <v>459</v>
      </c>
      <c r="E264" s="120">
        <v>32687354.737698622</v>
      </c>
      <c r="F264" s="120" t="s">
        <v>251</v>
      </c>
      <c r="G264" s="120">
        <v>3961070.4982452434</v>
      </c>
      <c r="H264" s="120" t="s">
        <v>251</v>
      </c>
      <c r="I264" s="120">
        <v>28726271.524968889</v>
      </c>
      <c r="J264" s="120">
        <v>12.714484490740332</v>
      </c>
      <c r="K264" s="120" t="s">
        <v>251</v>
      </c>
      <c r="L264" s="120" t="s">
        <v>251</v>
      </c>
      <c r="M264" s="120">
        <v>12.714484490740332</v>
      </c>
      <c r="N264" s="120" t="s">
        <v>251</v>
      </c>
      <c r="O264" s="120">
        <v>0</v>
      </c>
      <c r="P264" s="120">
        <v>0</v>
      </c>
      <c r="Q264" s="120">
        <v>0</v>
      </c>
      <c r="R264" s="120"/>
      <c r="S264" s="121"/>
    </row>
    <row r="265" spans="1:19" ht="15">
      <c r="A265" s="105">
        <v>16</v>
      </c>
      <c r="B265" s="105"/>
      <c r="C265" s="107" t="s">
        <v>460</v>
      </c>
      <c r="D265" s="107" t="s">
        <v>312</v>
      </c>
      <c r="E265" s="120">
        <v>2703657.0133333327</v>
      </c>
      <c r="F265" s="120" t="s">
        <v>251</v>
      </c>
      <c r="G265" s="120">
        <v>1419845.8505705935</v>
      </c>
      <c r="H265" s="120" t="s">
        <v>251</v>
      </c>
      <c r="I265" s="120">
        <v>880589.73106873664</v>
      </c>
      <c r="J265" s="120">
        <v>403221.431694003</v>
      </c>
      <c r="K265" s="120" t="s">
        <v>251</v>
      </c>
      <c r="L265" s="120" t="s">
        <v>251</v>
      </c>
      <c r="M265" s="120">
        <v>0</v>
      </c>
      <c r="N265" s="120" t="s">
        <v>251</v>
      </c>
      <c r="O265" s="120">
        <v>403221.431694003</v>
      </c>
      <c r="P265" s="120">
        <v>204502.64121400303</v>
      </c>
      <c r="Q265" s="120">
        <v>198718.79047999997</v>
      </c>
      <c r="R265" s="120"/>
      <c r="S265" s="121"/>
    </row>
    <row r="266" spans="1:19" ht="15">
      <c r="A266" s="105">
        <v>17</v>
      </c>
      <c r="B266" s="105"/>
      <c r="C266" s="107" t="s">
        <v>461</v>
      </c>
      <c r="D266" s="107" t="s">
        <v>314</v>
      </c>
      <c r="E266" s="120">
        <v>355111.563333333</v>
      </c>
      <c r="F266" s="120" t="s">
        <v>251</v>
      </c>
      <c r="G266" s="120">
        <v>276568.88179253176</v>
      </c>
      <c r="H266" s="120" t="s">
        <v>251</v>
      </c>
      <c r="I266" s="120">
        <v>0</v>
      </c>
      <c r="J266" s="120">
        <v>78542.681540801219</v>
      </c>
      <c r="K266" s="120" t="s">
        <v>251</v>
      </c>
      <c r="L266" s="120" t="s">
        <v>251</v>
      </c>
      <c r="M266" s="120">
        <v>0</v>
      </c>
      <c r="N266" s="120" t="s">
        <v>251</v>
      </c>
      <c r="O266" s="120">
        <v>78542.681540801219</v>
      </c>
      <c r="P266" s="120">
        <v>39834.653023387538</v>
      </c>
      <c r="Q266" s="120">
        <v>38708.028517413673</v>
      </c>
      <c r="R266" s="120"/>
      <c r="S266" s="121"/>
    </row>
    <row r="267" spans="1:19" ht="15">
      <c r="A267" s="105">
        <v>18</v>
      </c>
      <c r="B267" s="105"/>
      <c r="C267" s="107" t="s">
        <v>462</v>
      </c>
      <c r="D267" s="107" t="s">
        <v>251</v>
      </c>
      <c r="E267" s="120">
        <v>365050807.3879503</v>
      </c>
      <c r="F267" s="120" t="s">
        <v>251</v>
      </c>
      <c r="G267" s="120">
        <v>320307418.42655843</v>
      </c>
      <c r="H267" s="120" t="s">
        <v>251</v>
      </c>
      <c r="I267" s="120">
        <v>44260604.703920811</v>
      </c>
      <c r="J267" s="120">
        <v>482784.25747106463</v>
      </c>
      <c r="K267" s="120" t="s">
        <v>251</v>
      </c>
      <c r="L267" s="120" t="s">
        <v>251</v>
      </c>
      <c r="M267" s="120">
        <v>1020.1442362603659</v>
      </c>
      <c r="N267" s="120" t="s">
        <v>251</v>
      </c>
      <c r="O267" s="120">
        <v>481764.11323480424</v>
      </c>
      <c r="P267" s="120">
        <v>244337.29423739057</v>
      </c>
      <c r="Q267" s="120">
        <v>237426.81899741365</v>
      </c>
      <c r="R267" s="120"/>
      <c r="S267" s="121"/>
    </row>
    <row r="268" spans="1:19" ht="15">
      <c r="A268" s="105" t="s">
        <v>251</v>
      </c>
      <c r="B268" s="105"/>
      <c r="C268" s="107" t="s">
        <v>251</v>
      </c>
      <c r="D268" s="107" t="s">
        <v>251</v>
      </c>
      <c r="E268" s="120" t="s">
        <v>251</v>
      </c>
      <c r="F268" s="120" t="s">
        <v>251</v>
      </c>
      <c r="G268" s="120" t="s">
        <v>251</v>
      </c>
      <c r="H268" s="120" t="s">
        <v>251</v>
      </c>
      <c r="I268" s="120" t="s">
        <v>251</v>
      </c>
      <c r="J268" s="120" t="s">
        <v>251</v>
      </c>
      <c r="K268" s="120" t="s">
        <v>251</v>
      </c>
      <c r="L268" s="120" t="s">
        <v>251</v>
      </c>
      <c r="M268" s="120" t="s">
        <v>251</v>
      </c>
      <c r="N268" s="120" t="s">
        <v>251</v>
      </c>
      <c r="O268" s="120" t="s">
        <v>251</v>
      </c>
      <c r="P268" s="120" t="s">
        <v>251</v>
      </c>
      <c r="Q268" s="120" t="s">
        <v>251</v>
      </c>
      <c r="R268" s="120"/>
      <c r="S268" s="121"/>
    </row>
    <row r="269" spans="1:19" ht="15">
      <c r="A269" s="105">
        <v>19</v>
      </c>
      <c r="B269" s="105"/>
      <c r="C269" s="107" t="s">
        <v>463</v>
      </c>
      <c r="D269" s="107" t="s">
        <v>464</v>
      </c>
      <c r="E269" s="120">
        <v>42429984.265592985</v>
      </c>
      <c r="F269" s="120" t="s">
        <v>251</v>
      </c>
      <c r="G269" s="120">
        <v>0</v>
      </c>
      <c r="H269" s="120" t="s">
        <v>251</v>
      </c>
      <c r="I269" s="120">
        <v>42275694.515592985</v>
      </c>
      <c r="J269" s="120">
        <v>154289.74999999983</v>
      </c>
      <c r="K269" s="120" t="s">
        <v>251</v>
      </c>
      <c r="L269" s="120" t="s">
        <v>251</v>
      </c>
      <c r="M269" s="120">
        <v>154289.74999999983</v>
      </c>
      <c r="N269" s="120" t="s">
        <v>251</v>
      </c>
      <c r="O269" s="120">
        <v>0</v>
      </c>
      <c r="P269" s="120">
        <v>0</v>
      </c>
      <c r="Q269" s="120">
        <v>0</v>
      </c>
      <c r="R269" s="120"/>
      <c r="S269" s="121"/>
    </row>
    <row r="270" spans="1:19" ht="15">
      <c r="A270" s="105">
        <v>20</v>
      </c>
      <c r="B270" s="105"/>
      <c r="C270" s="107" t="s">
        <v>465</v>
      </c>
      <c r="D270" s="107" t="s">
        <v>466</v>
      </c>
      <c r="E270" s="120">
        <v>680514241.95573843</v>
      </c>
      <c r="F270" s="120" t="s">
        <v>251</v>
      </c>
      <c r="G270" s="120">
        <v>679220540.43756831</v>
      </c>
      <c r="H270" s="120" t="s">
        <v>251</v>
      </c>
      <c r="I270" s="120">
        <v>0</v>
      </c>
      <c r="J270" s="120">
        <v>1293701.5181701507</v>
      </c>
      <c r="K270" s="120" t="s">
        <v>251</v>
      </c>
      <c r="L270" s="120" t="s">
        <v>251</v>
      </c>
      <c r="M270" s="120">
        <v>0</v>
      </c>
      <c r="N270" s="120" t="s">
        <v>251</v>
      </c>
      <c r="O270" s="120">
        <v>1293701.5181701507</v>
      </c>
      <c r="P270" s="120">
        <v>1284222.9772949694</v>
      </c>
      <c r="Q270" s="120">
        <v>9478.5408751814175</v>
      </c>
      <c r="R270" s="120"/>
      <c r="S270" s="121"/>
    </row>
    <row r="271" spans="1:19" ht="15">
      <c r="A271" s="105">
        <v>21</v>
      </c>
      <c r="B271" s="105"/>
      <c r="C271" s="107" t="s">
        <v>467</v>
      </c>
      <c r="D271" s="107" t="s">
        <v>251</v>
      </c>
      <c r="E271" s="120">
        <v>722944226.22133136</v>
      </c>
      <c r="F271" s="120" t="s">
        <v>251</v>
      </c>
      <c r="G271" s="120">
        <v>679220540.43756831</v>
      </c>
      <c r="H271" s="120" t="s">
        <v>251</v>
      </c>
      <c r="I271" s="120">
        <v>42275694.515592985</v>
      </c>
      <c r="J271" s="120">
        <v>1447991.2681701505</v>
      </c>
      <c r="K271" s="120" t="s">
        <v>251</v>
      </c>
      <c r="L271" s="120" t="s">
        <v>251</v>
      </c>
      <c r="M271" s="120">
        <v>154289.74999999983</v>
      </c>
      <c r="N271" s="120" t="s">
        <v>251</v>
      </c>
      <c r="O271" s="120">
        <v>1293701.5181701507</v>
      </c>
      <c r="P271" s="120">
        <v>1284222.9772949694</v>
      </c>
      <c r="Q271" s="120">
        <v>9478.5408751814175</v>
      </c>
      <c r="R271" s="120"/>
      <c r="S271" s="121"/>
    </row>
    <row r="272" spans="1:19" ht="15">
      <c r="A272" s="105" t="s">
        <v>251</v>
      </c>
      <c r="B272" s="105"/>
      <c r="C272" s="107" t="s">
        <v>251</v>
      </c>
      <c r="D272" s="107" t="s">
        <v>251</v>
      </c>
      <c r="E272" s="120" t="s">
        <v>251</v>
      </c>
      <c r="F272" s="120" t="s">
        <v>251</v>
      </c>
      <c r="G272" s="120" t="s">
        <v>251</v>
      </c>
      <c r="H272" s="120" t="s">
        <v>251</v>
      </c>
      <c r="I272" s="120" t="s">
        <v>251</v>
      </c>
      <c r="J272" s="120" t="s">
        <v>251</v>
      </c>
      <c r="K272" s="120" t="s">
        <v>251</v>
      </c>
      <c r="L272" s="120" t="s">
        <v>251</v>
      </c>
      <c r="M272" s="120" t="s">
        <v>251</v>
      </c>
      <c r="N272" s="120" t="s">
        <v>251</v>
      </c>
      <c r="O272" s="120" t="s">
        <v>251</v>
      </c>
      <c r="P272" s="120" t="s">
        <v>251</v>
      </c>
      <c r="Q272" s="120" t="s">
        <v>251</v>
      </c>
      <c r="R272" s="120"/>
      <c r="S272" s="121"/>
    </row>
    <row r="273" spans="1:19" ht="15">
      <c r="A273" s="105">
        <v>22</v>
      </c>
      <c r="B273" s="105"/>
      <c r="C273" s="107" t="s">
        <v>417</v>
      </c>
      <c r="D273" s="107" t="s">
        <v>468</v>
      </c>
      <c r="E273" s="120">
        <v>79143071.824589849</v>
      </c>
      <c r="F273" s="120" t="s">
        <v>251</v>
      </c>
      <c r="G273" s="120">
        <v>74612653.69443731</v>
      </c>
      <c r="H273" s="120" t="s">
        <v>251</v>
      </c>
      <c r="I273" s="120">
        <v>3615805.6572688213</v>
      </c>
      <c r="J273" s="120">
        <v>914612.47288372123</v>
      </c>
      <c r="K273" s="120" t="s">
        <v>251</v>
      </c>
      <c r="L273" s="120" t="s">
        <v>251</v>
      </c>
      <c r="M273" s="120">
        <v>5145.7449866650677</v>
      </c>
      <c r="N273" s="120" t="s">
        <v>251</v>
      </c>
      <c r="O273" s="120">
        <v>909466.72789705615</v>
      </c>
      <c r="P273" s="120">
        <v>474086.55384575744</v>
      </c>
      <c r="Q273" s="120">
        <v>435380.1740512987</v>
      </c>
      <c r="R273" s="120"/>
      <c r="S273" s="121"/>
    </row>
    <row r="274" spans="1:19" ht="15">
      <c r="A274" s="105" t="s">
        <v>251</v>
      </c>
      <c r="B274" s="105"/>
      <c r="C274" s="107" t="s">
        <v>251</v>
      </c>
      <c r="D274" s="107" t="s">
        <v>251</v>
      </c>
      <c r="E274" s="120" t="s">
        <v>251</v>
      </c>
      <c r="F274" s="120" t="s">
        <v>251</v>
      </c>
      <c r="G274" s="120" t="s">
        <v>251</v>
      </c>
      <c r="H274" s="120" t="s">
        <v>251</v>
      </c>
      <c r="I274" s="120" t="s">
        <v>251</v>
      </c>
      <c r="J274" s="120" t="s">
        <v>251</v>
      </c>
      <c r="K274" s="120" t="s">
        <v>251</v>
      </c>
      <c r="L274" s="120" t="s">
        <v>251</v>
      </c>
      <c r="M274" s="120" t="s">
        <v>251</v>
      </c>
      <c r="N274" s="120" t="s">
        <v>251</v>
      </c>
      <c r="O274" s="120" t="s">
        <v>251</v>
      </c>
      <c r="P274" s="120" t="s">
        <v>251</v>
      </c>
      <c r="Q274" s="120" t="s">
        <v>251</v>
      </c>
      <c r="R274" s="120"/>
      <c r="S274" s="121"/>
    </row>
    <row r="275" spans="1:19" ht="15">
      <c r="A275" s="105">
        <v>23</v>
      </c>
      <c r="B275" s="105"/>
      <c r="C275" s="107" t="s">
        <v>469</v>
      </c>
      <c r="D275" s="107" t="s">
        <v>470</v>
      </c>
      <c r="E275" s="120">
        <v>73066.77</v>
      </c>
      <c r="F275" s="120" t="s">
        <v>251</v>
      </c>
      <c r="G275" s="120">
        <v>73066.77</v>
      </c>
      <c r="H275" s="120" t="s">
        <v>251</v>
      </c>
      <c r="I275" s="120">
        <v>0</v>
      </c>
      <c r="J275" s="120">
        <v>0</v>
      </c>
      <c r="K275" s="120" t="s">
        <v>251</v>
      </c>
      <c r="L275" s="120" t="s">
        <v>251</v>
      </c>
      <c r="M275" s="120">
        <v>0</v>
      </c>
      <c r="N275" s="120" t="s">
        <v>251</v>
      </c>
      <c r="O275" s="120">
        <v>0</v>
      </c>
      <c r="P275" s="120">
        <v>0</v>
      </c>
      <c r="Q275" s="120">
        <v>0</v>
      </c>
      <c r="R275" s="120"/>
      <c r="S275" s="121"/>
    </row>
    <row r="276" spans="1:19" ht="15">
      <c r="A276" s="105">
        <v>24</v>
      </c>
      <c r="B276" s="105"/>
      <c r="C276" s="107" t="s">
        <v>471</v>
      </c>
      <c r="D276" s="107" t="s">
        <v>472</v>
      </c>
      <c r="E276" s="120">
        <v>40303713.930116959</v>
      </c>
      <c r="F276" s="120" t="s">
        <v>251</v>
      </c>
      <c r="G276" s="120">
        <v>37682921.663409129</v>
      </c>
      <c r="H276" s="120" t="s">
        <v>251</v>
      </c>
      <c r="I276" s="120">
        <v>2034376.743640064</v>
      </c>
      <c r="J276" s="120">
        <v>586415.5230677675</v>
      </c>
      <c r="K276" s="120" t="s">
        <v>251</v>
      </c>
      <c r="L276" s="120" t="s">
        <v>251</v>
      </c>
      <c r="M276" s="120">
        <v>2769.8076332101491</v>
      </c>
      <c r="N276" s="120" t="s">
        <v>251</v>
      </c>
      <c r="O276" s="120">
        <v>583645.71543455729</v>
      </c>
      <c r="P276" s="120">
        <v>303354.46862927743</v>
      </c>
      <c r="Q276" s="120">
        <v>280291.24680527986</v>
      </c>
      <c r="R276" s="120"/>
      <c r="S276" s="121"/>
    </row>
    <row r="277" spans="1:19" ht="15">
      <c r="A277" s="105" t="s">
        <v>251</v>
      </c>
      <c r="B277" s="105"/>
      <c r="C277" s="107" t="s">
        <v>251</v>
      </c>
      <c r="D277" s="107" t="s">
        <v>251</v>
      </c>
      <c r="E277" s="120" t="s">
        <v>251</v>
      </c>
      <c r="F277" s="120" t="s">
        <v>251</v>
      </c>
      <c r="G277" s="120" t="s">
        <v>251</v>
      </c>
      <c r="H277" s="120" t="s">
        <v>251</v>
      </c>
      <c r="I277" s="120" t="s">
        <v>251</v>
      </c>
      <c r="J277" s="120" t="s">
        <v>251</v>
      </c>
      <c r="K277" s="120" t="s">
        <v>251</v>
      </c>
      <c r="L277" s="120" t="s">
        <v>251</v>
      </c>
      <c r="M277" s="120" t="s">
        <v>251</v>
      </c>
      <c r="N277" s="120" t="s">
        <v>251</v>
      </c>
      <c r="O277" s="120" t="s">
        <v>251</v>
      </c>
      <c r="P277" s="120" t="s">
        <v>251</v>
      </c>
      <c r="Q277" s="120" t="s">
        <v>251</v>
      </c>
      <c r="R277" s="120"/>
      <c r="S277" s="121"/>
    </row>
    <row r="278" spans="1:19" ht="15">
      <c r="A278" s="105">
        <v>25</v>
      </c>
      <c r="B278" s="105"/>
      <c r="C278" s="107" t="s">
        <v>473</v>
      </c>
      <c r="D278" s="107" t="s">
        <v>251</v>
      </c>
      <c r="E278" s="120">
        <v>3499029088.7600813</v>
      </c>
      <c r="F278" s="120" t="s">
        <v>251</v>
      </c>
      <c r="G278" s="120">
        <v>3251097364.7086844</v>
      </c>
      <c r="H278" s="120" t="s">
        <v>251</v>
      </c>
      <c r="I278" s="120">
        <v>195245403.44770193</v>
      </c>
      <c r="J278" s="120">
        <v>52686320.603694819</v>
      </c>
      <c r="K278" s="120" t="s">
        <v>251</v>
      </c>
      <c r="L278" s="120" t="s">
        <v>251</v>
      </c>
      <c r="M278" s="120">
        <v>170038.36686301819</v>
      </c>
      <c r="N278" s="120" t="s">
        <v>251</v>
      </c>
      <c r="O278" s="120">
        <v>52516282.236831799</v>
      </c>
      <c r="P278" s="120">
        <v>27283060.505773772</v>
      </c>
      <c r="Q278" s="120">
        <v>25233221.731058028</v>
      </c>
      <c r="R278" s="120"/>
      <c r="S278" s="121"/>
    </row>
    <row r="279" spans="1:19" ht="15">
      <c r="A279" s="105" t="s">
        <v>251</v>
      </c>
      <c r="B279" s="105"/>
      <c r="C279" s="107" t="s">
        <v>251</v>
      </c>
      <c r="D279" s="107" t="s">
        <v>251</v>
      </c>
      <c r="E279" s="120" t="s">
        <v>251</v>
      </c>
      <c r="F279" s="120" t="s">
        <v>251</v>
      </c>
      <c r="G279" s="120" t="s">
        <v>251</v>
      </c>
      <c r="H279" s="120" t="s">
        <v>251</v>
      </c>
      <c r="I279" s="120" t="s">
        <v>251</v>
      </c>
      <c r="J279" s="120" t="s">
        <v>251</v>
      </c>
      <c r="K279" s="120" t="s">
        <v>251</v>
      </c>
      <c r="L279" s="120" t="s">
        <v>251</v>
      </c>
      <c r="M279" s="120" t="s">
        <v>251</v>
      </c>
      <c r="N279" s="120" t="s">
        <v>251</v>
      </c>
      <c r="O279" s="120" t="s">
        <v>251</v>
      </c>
      <c r="P279" s="120" t="s">
        <v>251</v>
      </c>
      <c r="Q279" s="120" t="s">
        <v>251</v>
      </c>
      <c r="R279" s="120"/>
      <c r="S279" s="121"/>
    </row>
    <row r="280" spans="1:19" ht="15">
      <c r="A280" s="105">
        <v>26</v>
      </c>
      <c r="B280" s="105"/>
      <c r="C280" s="107" t="s">
        <v>474</v>
      </c>
      <c r="D280" s="107" t="s">
        <v>251</v>
      </c>
      <c r="E280" s="120">
        <v>6563365605.4102011</v>
      </c>
      <c r="F280" s="120" t="s">
        <v>251</v>
      </c>
      <c r="G280" s="120">
        <v>6156982948.08395</v>
      </c>
      <c r="H280" s="120" t="s">
        <v>251</v>
      </c>
      <c r="I280" s="120">
        <v>312662826.21753645</v>
      </c>
      <c r="J280" s="120">
        <v>93719831.108714536</v>
      </c>
      <c r="K280" s="120" t="s">
        <v>251</v>
      </c>
      <c r="L280" s="120" t="s">
        <v>251</v>
      </c>
      <c r="M280" s="120">
        <v>521479.610765777</v>
      </c>
      <c r="N280" s="120" t="s">
        <v>251</v>
      </c>
      <c r="O280" s="120">
        <v>93198351.497948766</v>
      </c>
      <c r="P280" s="120">
        <v>48453270.832172185</v>
      </c>
      <c r="Q280" s="120">
        <v>44745080.665776581</v>
      </c>
      <c r="R280" s="120"/>
      <c r="S280" s="121"/>
    </row>
    <row r="281" spans="1:19" ht="15">
      <c r="A281" s="105" t="s">
        <v>251</v>
      </c>
      <c r="B281" s="105"/>
      <c r="C281" s="107" t="s">
        <v>251</v>
      </c>
      <c r="D281" s="107" t="s">
        <v>251</v>
      </c>
      <c r="E281" s="120" t="s">
        <v>251</v>
      </c>
      <c r="F281" s="120" t="s">
        <v>251</v>
      </c>
      <c r="G281" s="120" t="s">
        <v>251</v>
      </c>
      <c r="H281" s="120" t="s">
        <v>251</v>
      </c>
      <c r="I281" s="120" t="s">
        <v>251</v>
      </c>
      <c r="J281" s="120" t="s">
        <v>251</v>
      </c>
      <c r="K281" s="120" t="s">
        <v>251</v>
      </c>
      <c r="L281" s="120" t="s">
        <v>251</v>
      </c>
      <c r="M281" s="120" t="s">
        <v>251</v>
      </c>
      <c r="N281" s="120" t="s">
        <v>251</v>
      </c>
      <c r="O281" s="120" t="s">
        <v>251</v>
      </c>
      <c r="P281" s="120" t="s">
        <v>251</v>
      </c>
      <c r="Q281" s="120" t="s">
        <v>251</v>
      </c>
      <c r="R281" s="120"/>
      <c r="S281" s="121"/>
    </row>
    <row r="282" spans="1:19" ht="15">
      <c r="A282" s="105" t="s">
        <v>251</v>
      </c>
      <c r="B282" s="105"/>
      <c r="C282" s="107" t="s">
        <v>251</v>
      </c>
      <c r="D282" s="107" t="s">
        <v>251</v>
      </c>
      <c r="E282" s="120" t="s">
        <v>251</v>
      </c>
      <c r="F282" s="120" t="s">
        <v>251</v>
      </c>
      <c r="G282" s="120" t="s">
        <v>251</v>
      </c>
      <c r="H282" s="120" t="s">
        <v>251</v>
      </c>
      <c r="I282" s="120" t="s">
        <v>251</v>
      </c>
      <c r="J282" s="120" t="s">
        <v>251</v>
      </c>
      <c r="K282" s="120" t="s">
        <v>251</v>
      </c>
      <c r="L282" s="120" t="s">
        <v>251</v>
      </c>
      <c r="M282" s="120" t="s">
        <v>251</v>
      </c>
      <c r="N282" s="120" t="s">
        <v>251</v>
      </c>
      <c r="O282" s="120" t="s">
        <v>251</v>
      </c>
      <c r="P282" s="120" t="s">
        <v>251</v>
      </c>
      <c r="Q282" s="120" t="s">
        <v>251</v>
      </c>
      <c r="R282" s="120"/>
      <c r="S282" s="121"/>
    </row>
    <row r="283" spans="1:19" ht="15">
      <c r="A283" s="105" t="s">
        <v>251</v>
      </c>
      <c r="B283" s="105"/>
      <c r="C283" s="107" t="s">
        <v>475</v>
      </c>
      <c r="D283" s="107" t="s">
        <v>251</v>
      </c>
      <c r="E283" s="120" t="s">
        <v>251</v>
      </c>
      <c r="F283" s="120" t="s">
        <v>251</v>
      </c>
      <c r="G283" s="120" t="s">
        <v>251</v>
      </c>
      <c r="H283" s="120" t="s">
        <v>251</v>
      </c>
      <c r="I283" s="120" t="s">
        <v>251</v>
      </c>
      <c r="J283" s="120" t="s">
        <v>251</v>
      </c>
      <c r="K283" s="120" t="s">
        <v>251</v>
      </c>
      <c r="L283" s="120" t="s">
        <v>251</v>
      </c>
      <c r="M283" s="120" t="s">
        <v>251</v>
      </c>
      <c r="N283" s="120" t="s">
        <v>251</v>
      </c>
      <c r="O283" s="120" t="s">
        <v>251</v>
      </c>
      <c r="P283" s="120" t="s">
        <v>251</v>
      </c>
      <c r="Q283" s="120" t="s">
        <v>251</v>
      </c>
      <c r="R283" s="120"/>
      <c r="S283" s="121"/>
    </row>
    <row r="284" spans="1:19" ht="15">
      <c r="A284" s="105" t="s">
        <v>251</v>
      </c>
      <c r="B284" s="105"/>
      <c r="C284" s="107" t="s">
        <v>251</v>
      </c>
      <c r="D284" s="107" t="s">
        <v>251</v>
      </c>
      <c r="E284" s="120" t="s">
        <v>251</v>
      </c>
      <c r="F284" s="120" t="s">
        <v>251</v>
      </c>
      <c r="G284" s="120" t="s">
        <v>251</v>
      </c>
      <c r="H284" s="120" t="s">
        <v>251</v>
      </c>
      <c r="I284" s="120" t="s">
        <v>251</v>
      </c>
      <c r="J284" s="120" t="s">
        <v>251</v>
      </c>
      <c r="K284" s="120" t="s">
        <v>251</v>
      </c>
      <c r="L284" s="120" t="s">
        <v>251</v>
      </c>
      <c r="M284" s="120" t="s">
        <v>251</v>
      </c>
      <c r="N284" s="120" t="s">
        <v>251</v>
      </c>
      <c r="O284" s="120" t="s">
        <v>251</v>
      </c>
      <c r="P284" s="120" t="s">
        <v>251</v>
      </c>
      <c r="Q284" s="120" t="s">
        <v>251</v>
      </c>
      <c r="R284" s="120"/>
      <c r="S284" s="121"/>
    </row>
    <row r="285" spans="1:19" ht="15">
      <c r="A285" s="105" t="s">
        <v>251</v>
      </c>
      <c r="B285" s="105"/>
      <c r="C285" s="107" t="s">
        <v>476</v>
      </c>
      <c r="D285" s="107" t="s">
        <v>251</v>
      </c>
      <c r="E285" s="120" t="s">
        <v>251</v>
      </c>
      <c r="F285" s="120" t="s">
        <v>251</v>
      </c>
      <c r="G285" s="120" t="s">
        <v>251</v>
      </c>
      <c r="H285" s="120" t="s">
        <v>251</v>
      </c>
      <c r="I285" s="120" t="s">
        <v>251</v>
      </c>
      <c r="J285" s="120" t="s">
        <v>251</v>
      </c>
      <c r="K285" s="120" t="s">
        <v>251</v>
      </c>
      <c r="L285" s="120" t="s">
        <v>251</v>
      </c>
      <c r="M285" s="120" t="s">
        <v>251</v>
      </c>
      <c r="N285" s="120" t="s">
        <v>251</v>
      </c>
      <c r="O285" s="120" t="s">
        <v>251</v>
      </c>
      <c r="P285" s="120" t="s">
        <v>251</v>
      </c>
      <c r="Q285" s="120" t="s">
        <v>251</v>
      </c>
      <c r="R285" s="120"/>
      <c r="S285" s="121"/>
    </row>
    <row r="286" spans="1:19" ht="15">
      <c r="A286" s="105" t="s">
        <v>251</v>
      </c>
      <c r="B286" s="105"/>
      <c r="C286" s="107" t="s">
        <v>251</v>
      </c>
      <c r="D286" s="107" t="s">
        <v>251</v>
      </c>
      <c r="E286" s="120" t="s">
        <v>251</v>
      </c>
      <c r="F286" s="120" t="s">
        <v>251</v>
      </c>
      <c r="G286" s="120" t="s">
        <v>251</v>
      </c>
      <c r="H286" s="120" t="s">
        <v>251</v>
      </c>
      <c r="I286" s="120" t="s">
        <v>251</v>
      </c>
      <c r="J286" s="120" t="s">
        <v>251</v>
      </c>
      <c r="K286" s="120" t="s">
        <v>251</v>
      </c>
      <c r="L286" s="120" t="s">
        <v>251</v>
      </c>
      <c r="M286" s="120" t="s">
        <v>251</v>
      </c>
      <c r="N286" s="120" t="s">
        <v>251</v>
      </c>
      <c r="O286" s="120" t="s">
        <v>251</v>
      </c>
      <c r="P286" s="120" t="s">
        <v>251</v>
      </c>
      <c r="Q286" s="120" t="s">
        <v>251</v>
      </c>
      <c r="R286" s="120"/>
      <c r="S286" s="121"/>
    </row>
    <row r="287" spans="1:19" ht="15">
      <c r="A287" s="105" t="s">
        <v>251</v>
      </c>
      <c r="B287" s="105"/>
      <c r="C287" s="107" t="s">
        <v>441</v>
      </c>
      <c r="D287" s="107" t="s">
        <v>251</v>
      </c>
      <c r="E287" s="120" t="s">
        <v>251</v>
      </c>
      <c r="F287" s="120" t="s">
        <v>251</v>
      </c>
      <c r="G287" s="120" t="s">
        <v>251</v>
      </c>
      <c r="H287" s="120" t="s">
        <v>251</v>
      </c>
      <c r="I287" s="120" t="s">
        <v>251</v>
      </c>
      <c r="J287" s="120" t="s">
        <v>251</v>
      </c>
      <c r="K287" s="120" t="s">
        <v>251</v>
      </c>
      <c r="L287" s="120" t="s">
        <v>251</v>
      </c>
      <c r="M287" s="120" t="s">
        <v>251</v>
      </c>
      <c r="N287" s="120" t="s">
        <v>251</v>
      </c>
      <c r="O287" s="120" t="s">
        <v>251</v>
      </c>
      <c r="P287" s="120" t="s">
        <v>251</v>
      </c>
      <c r="Q287" s="120" t="s">
        <v>251</v>
      </c>
      <c r="R287" s="120"/>
      <c r="S287" s="121"/>
    </row>
    <row r="288" spans="1:19" ht="15">
      <c r="A288" s="105">
        <v>1</v>
      </c>
      <c r="B288" s="105"/>
      <c r="C288" s="107" t="s">
        <v>477</v>
      </c>
      <c r="D288" s="107" t="s">
        <v>478</v>
      </c>
      <c r="E288" s="120">
        <v>126475092.12703142</v>
      </c>
      <c r="F288" s="120" t="s">
        <v>251</v>
      </c>
      <c r="G288" s="120">
        <v>118559778.85616037</v>
      </c>
      <c r="H288" s="120" t="s">
        <v>251</v>
      </c>
      <c r="I288" s="120">
        <v>5428998.1806709012</v>
      </c>
      <c r="J288" s="120">
        <v>2486315.0902001429</v>
      </c>
      <c r="K288" s="120" t="s">
        <v>251</v>
      </c>
      <c r="L288" s="120" t="s">
        <v>251</v>
      </c>
      <c r="M288" s="120">
        <v>380.56037380805145</v>
      </c>
      <c r="N288" s="120" t="s">
        <v>251</v>
      </c>
      <c r="O288" s="120">
        <v>2485934.5298263347</v>
      </c>
      <c r="P288" s="120">
        <v>1260796.5184260746</v>
      </c>
      <c r="Q288" s="120">
        <v>1225138.0114002603</v>
      </c>
      <c r="R288" s="120"/>
      <c r="S288" s="121"/>
    </row>
    <row r="289" spans="1:19" ht="15">
      <c r="A289" s="105">
        <v>2</v>
      </c>
      <c r="B289" s="105"/>
      <c r="C289" s="107" t="s">
        <v>479</v>
      </c>
      <c r="D289" s="107" t="s">
        <v>312</v>
      </c>
      <c r="E289" s="120">
        <v>0</v>
      </c>
      <c r="F289" s="120" t="s">
        <v>251</v>
      </c>
      <c r="G289" s="120">
        <v>0</v>
      </c>
      <c r="H289" s="120" t="s">
        <v>251</v>
      </c>
      <c r="I289" s="120">
        <v>0</v>
      </c>
      <c r="J289" s="120">
        <v>0</v>
      </c>
      <c r="K289" s="120" t="s">
        <v>251</v>
      </c>
      <c r="L289" s="120" t="s">
        <v>251</v>
      </c>
      <c r="M289" s="120">
        <v>0</v>
      </c>
      <c r="N289" s="120" t="s">
        <v>251</v>
      </c>
      <c r="O289" s="120">
        <v>0</v>
      </c>
      <c r="P289" s="120">
        <v>0</v>
      </c>
      <c r="Q289" s="120">
        <v>0</v>
      </c>
      <c r="R289" s="120"/>
      <c r="S289" s="121"/>
    </row>
    <row r="290" spans="1:19" ht="15">
      <c r="A290" s="105">
        <v>3</v>
      </c>
      <c r="B290" s="105"/>
      <c r="C290" s="107" t="s">
        <v>480</v>
      </c>
      <c r="D290" s="107" t="s">
        <v>314</v>
      </c>
      <c r="E290" s="120">
        <v>961676.92</v>
      </c>
      <c r="F290" s="120" t="s">
        <v>251</v>
      </c>
      <c r="G290" s="120">
        <v>748975.63997494429</v>
      </c>
      <c r="H290" s="120" t="s">
        <v>251</v>
      </c>
      <c r="I290" s="120">
        <v>0</v>
      </c>
      <c r="J290" s="120">
        <v>212701.28002505572</v>
      </c>
      <c r="K290" s="120" t="s">
        <v>251</v>
      </c>
      <c r="L290" s="120" t="s">
        <v>251</v>
      </c>
      <c r="M290" s="120">
        <v>0</v>
      </c>
      <c r="N290" s="120" t="s">
        <v>251</v>
      </c>
      <c r="O290" s="120">
        <v>212701.28002505572</v>
      </c>
      <c r="P290" s="120">
        <v>107876.14480703727</v>
      </c>
      <c r="Q290" s="120">
        <v>104825.13521801845</v>
      </c>
      <c r="R290" s="120"/>
      <c r="S290" s="121"/>
    </row>
    <row r="291" spans="1:19" ht="15">
      <c r="A291" s="105">
        <v>4</v>
      </c>
      <c r="B291" s="105"/>
      <c r="C291" s="107" t="s">
        <v>481</v>
      </c>
      <c r="D291" s="107" t="s">
        <v>251</v>
      </c>
      <c r="E291" s="120">
        <v>127436769.04703143</v>
      </c>
      <c r="F291" s="120" t="s">
        <v>251</v>
      </c>
      <c r="G291" s="120">
        <v>119308754.49613532</v>
      </c>
      <c r="H291" s="120" t="s">
        <v>251</v>
      </c>
      <c r="I291" s="120">
        <v>5428998.1806709012</v>
      </c>
      <c r="J291" s="120">
        <v>2699016.3702251986</v>
      </c>
      <c r="K291" s="120" t="s">
        <v>251</v>
      </c>
      <c r="L291" s="120" t="s">
        <v>251</v>
      </c>
      <c r="M291" s="120">
        <v>380.56037380805145</v>
      </c>
      <c r="N291" s="120" t="s">
        <v>251</v>
      </c>
      <c r="O291" s="120">
        <v>2698635.8098513903</v>
      </c>
      <c r="P291" s="120">
        <v>1368672.6632331118</v>
      </c>
      <c r="Q291" s="120">
        <v>1329963.1466182787</v>
      </c>
      <c r="R291" s="120"/>
      <c r="S291" s="121"/>
    </row>
    <row r="292" spans="1:19" ht="15">
      <c r="A292" s="105" t="s">
        <v>251</v>
      </c>
      <c r="B292" s="105"/>
      <c r="C292" s="107" t="s">
        <v>251</v>
      </c>
      <c r="D292" s="107" t="s">
        <v>251</v>
      </c>
      <c r="E292" s="120" t="s">
        <v>251</v>
      </c>
      <c r="F292" s="120" t="s">
        <v>251</v>
      </c>
      <c r="G292" s="120" t="s">
        <v>251</v>
      </c>
      <c r="H292" s="120" t="s">
        <v>251</v>
      </c>
      <c r="I292" s="120" t="s">
        <v>251</v>
      </c>
      <c r="J292" s="120" t="s">
        <v>251</v>
      </c>
      <c r="K292" s="120" t="s">
        <v>251</v>
      </c>
      <c r="L292" s="120" t="s">
        <v>251</v>
      </c>
      <c r="M292" s="120" t="s">
        <v>251</v>
      </c>
      <c r="N292" s="120" t="s">
        <v>251</v>
      </c>
      <c r="O292" s="120" t="s">
        <v>251</v>
      </c>
      <c r="P292" s="120" t="s">
        <v>251</v>
      </c>
      <c r="Q292" s="120" t="s">
        <v>251</v>
      </c>
      <c r="R292" s="120"/>
      <c r="S292" s="121"/>
    </row>
    <row r="293" spans="1:19" ht="15">
      <c r="A293" s="105" t="s">
        <v>251</v>
      </c>
      <c r="B293" s="105"/>
      <c r="C293" s="107" t="s">
        <v>455</v>
      </c>
      <c r="D293" s="107" t="s">
        <v>251</v>
      </c>
      <c r="E293" s="120" t="s">
        <v>251</v>
      </c>
      <c r="F293" s="120" t="s">
        <v>251</v>
      </c>
      <c r="G293" s="120" t="s">
        <v>251</v>
      </c>
      <c r="H293" s="120" t="s">
        <v>251</v>
      </c>
      <c r="I293" s="120" t="s">
        <v>251</v>
      </c>
      <c r="J293" s="120" t="s">
        <v>251</v>
      </c>
      <c r="K293" s="120" t="s">
        <v>251</v>
      </c>
      <c r="L293" s="120" t="s">
        <v>251</v>
      </c>
      <c r="M293" s="120" t="s">
        <v>251</v>
      </c>
      <c r="N293" s="120" t="s">
        <v>251</v>
      </c>
      <c r="O293" s="120" t="s">
        <v>251</v>
      </c>
      <c r="P293" s="120" t="s">
        <v>251</v>
      </c>
      <c r="Q293" s="120" t="s">
        <v>251</v>
      </c>
      <c r="R293" s="120"/>
      <c r="S293" s="121"/>
    </row>
    <row r="294" spans="1:19" ht="15">
      <c r="A294" s="105">
        <v>5</v>
      </c>
      <c r="B294" s="105"/>
      <c r="C294" s="107" t="s">
        <v>477</v>
      </c>
      <c r="D294" s="107" t="s">
        <v>457</v>
      </c>
      <c r="E294" s="120">
        <v>59090176.041546986</v>
      </c>
      <c r="F294" s="120" t="s">
        <v>251</v>
      </c>
      <c r="G294" s="120">
        <v>56460538.957456917</v>
      </c>
      <c r="H294" s="120" t="s">
        <v>251</v>
      </c>
      <c r="I294" s="120">
        <v>2629456.3116800208</v>
      </c>
      <c r="J294" s="120">
        <v>180.77241005250028</v>
      </c>
      <c r="K294" s="120" t="s">
        <v>251</v>
      </c>
      <c r="L294" s="120" t="s">
        <v>251</v>
      </c>
      <c r="M294" s="120">
        <v>180.77241005250028</v>
      </c>
      <c r="N294" s="120" t="s">
        <v>251</v>
      </c>
      <c r="O294" s="120">
        <v>0</v>
      </c>
      <c r="P294" s="120">
        <v>0</v>
      </c>
      <c r="Q294" s="120">
        <v>0</v>
      </c>
      <c r="R294" s="120"/>
      <c r="S294" s="121"/>
    </row>
    <row r="295" spans="1:19" ht="15">
      <c r="A295" s="105">
        <v>6</v>
      </c>
      <c r="B295" s="105"/>
      <c r="C295" s="107" t="s">
        <v>482</v>
      </c>
      <c r="D295" s="107" t="s">
        <v>457</v>
      </c>
      <c r="E295" s="120">
        <v>0</v>
      </c>
      <c r="F295" s="120" t="s">
        <v>251</v>
      </c>
      <c r="G295" s="120">
        <v>0</v>
      </c>
      <c r="H295" s="120" t="s">
        <v>251</v>
      </c>
      <c r="I295" s="120">
        <v>0</v>
      </c>
      <c r="J295" s="120">
        <v>0</v>
      </c>
      <c r="K295" s="120" t="s">
        <v>251</v>
      </c>
      <c r="L295" s="120" t="s">
        <v>251</v>
      </c>
      <c r="M295" s="120">
        <v>0</v>
      </c>
      <c r="N295" s="120" t="s">
        <v>251</v>
      </c>
      <c r="O295" s="120">
        <v>0</v>
      </c>
      <c r="P295" s="120">
        <v>0</v>
      </c>
      <c r="Q295" s="120">
        <v>0</v>
      </c>
      <c r="R295" s="120"/>
      <c r="S295" s="121"/>
    </row>
    <row r="296" spans="1:19" ht="15">
      <c r="A296" s="105">
        <v>7</v>
      </c>
      <c r="B296" s="105"/>
      <c r="C296" s="107" t="s">
        <v>483</v>
      </c>
      <c r="D296" s="107" t="s">
        <v>484</v>
      </c>
      <c r="E296" s="120">
        <v>3379186.0083753155</v>
      </c>
      <c r="F296" s="120" t="s">
        <v>251</v>
      </c>
      <c r="G296" s="120">
        <v>0</v>
      </c>
      <c r="H296" s="120" t="s">
        <v>251</v>
      </c>
      <c r="I296" s="120">
        <v>3379186.0083753155</v>
      </c>
      <c r="J296" s="120">
        <v>0</v>
      </c>
      <c r="K296" s="120" t="s">
        <v>251</v>
      </c>
      <c r="L296" s="120" t="s">
        <v>251</v>
      </c>
      <c r="M296" s="120">
        <v>0</v>
      </c>
      <c r="N296" s="120" t="s">
        <v>251</v>
      </c>
      <c r="O296" s="120">
        <v>0</v>
      </c>
      <c r="P296" s="120">
        <v>0</v>
      </c>
      <c r="Q296" s="120">
        <v>0</v>
      </c>
      <c r="R296" s="120"/>
      <c r="S296" s="121"/>
    </row>
    <row r="297" spans="1:19" ht="15">
      <c r="A297" s="105">
        <v>8</v>
      </c>
      <c r="B297" s="105"/>
      <c r="C297" s="107" t="s">
        <v>479</v>
      </c>
      <c r="D297" s="107" t="s">
        <v>312</v>
      </c>
      <c r="E297" s="120">
        <v>0</v>
      </c>
      <c r="F297" s="120" t="s">
        <v>251</v>
      </c>
      <c r="G297" s="120">
        <v>0</v>
      </c>
      <c r="H297" s="120" t="s">
        <v>251</v>
      </c>
      <c r="I297" s="120">
        <v>0</v>
      </c>
      <c r="J297" s="120">
        <v>0</v>
      </c>
      <c r="K297" s="120" t="s">
        <v>251</v>
      </c>
      <c r="L297" s="120" t="s">
        <v>251</v>
      </c>
      <c r="M297" s="120">
        <v>0</v>
      </c>
      <c r="N297" s="120" t="s">
        <v>251</v>
      </c>
      <c r="O297" s="120">
        <v>0</v>
      </c>
      <c r="P297" s="120">
        <v>0</v>
      </c>
      <c r="Q297" s="120">
        <v>0</v>
      </c>
      <c r="R297" s="120"/>
      <c r="S297" s="121"/>
    </row>
    <row r="298" spans="1:19" ht="15">
      <c r="A298" s="105">
        <v>9</v>
      </c>
      <c r="B298" s="105"/>
      <c r="C298" s="107" t="s">
        <v>480</v>
      </c>
      <c r="D298" s="107" t="s">
        <v>314</v>
      </c>
      <c r="E298" s="120">
        <v>0</v>
      </c>
      <c r="F298" s="120" t="s">
        <v>251</v>
      </c>
      <c r="G298" s="120">
        <v>0</v>
      </c>
      <c r="H298" s="120" t="s">
        <v>251</v>
      </c>
      <c r="I298" s="120">
        <v>0</v>
      </c>
      <c r="J298" s="120">
        <v>0</v>
      </c>
      <c r="K298" s="120" t="s">
        <v>251</v>
      </c>
      <c r="L298" s="120" t="s">
        <v>251</v>
      </c>
      <c r="M298" s="120">
        <v>0</v>
      </c>
      <c r="N298" s="120" t="s">
        <v>251</v>
      </c>
      <c r="O298" s="120">
        <v>0</v>
      </c>
      <c r="P298" s="120">
        <v>0</v>
      </c>
      <c r="Q298" s="120">
        <v>0</v>
      </c>
      <c r="R298" s="120"/>
      <c r="S298" s="121"/>
    </row>
    <row r="299" spans="1:19" ht="15">
      <c r="A299" s="105">
        <v>10</v>
      </c>
      <c r="B299" s="105"/>
      <c r="C299" s="107" t="s">
        <v>485</v>
      </c>
      <c r="D299" s="107" t="s">
        <v>251</v>
      </c>
      <c r="E299" s="120">
        <v>62469362.049922302</v>
      </c>
      <c r="F299" s="120" t="s">
        <v>251</v>
      </c>
      <c r="G299" s="120">
        <v>56460538.957456917</v>
      </c>
      <c r="H299" s="120" t="s">
        <v>251</v>
      </c>
      <c r="I299" s="120">
        <v>6008642.3200553358</v>
      </c>
      <c r="J299" s="120">
        <v>180.77241005250028</v>
      </c>
      <c r="K299" s="120" t="s">
        <v>251</v>
      </c>
      <c r="L299" s="120" t="s">
        <v>251</v>
      </c>
      <c r="M299" s="120">
        <v>180.77241005250028</v>
      </c>
      <c r="N299" s="120" t="s">
        <v>251</v>
      </c>
      <c r="O299" s="120">
        <v>0</v>
      </c>
      <c r="P299" s="120">
        <v>0</v>
      </c>
      <c r="Q299" s="120">
        <v>0</v>
      </c>
      <c r="R299" s="120"/>
      <c r="S299" s="121"/>
    </row>
    <row r="300" spans="1:19" ht="15">
      <c r="A300" s="105" t="s">
        <v>251</v>
      </c>
      <c r="B300" s="105"/>
      <c r="C300" s="107" t="s">
        <v>251</v>
      </c>
      <c r="D300" s="107" t="s">
        <v>251</v>
      </c>
      <c r="E300" s="120" t="s">
        <v>251</v>
      </c>
      <c r="F300" s="120" t="s">
        <v>251</v>
      </c>
      <c r="G300" s="120" t="s">
        <v>251</v>
      </c>
      <c r="H300" s="120" t="s">
        <v>251</v>
      </c>
      <c r="I300" s="120" t="s">
        <v>251</v>
      </c>
      <c r="J300" s="120" t="s">
        <v>251</v>
      </c>
      <c r="K300" s="120" t="s">
        <v>251</v>
      </c>
      <c r="L300" s="120" t="s">
        <v>251</v>
      </c>
      <c r="M300" s="120" t="s">
        <v>251</v>
      </c>
      <c r="N300" s="120" t="s">
        <v>251</v>
      </c>
      <c r="O300" s="120" t="s">
        <v>251</v>
      </c>
      <c r="P300" s="120" t="s">
        <v>251</v>
      </c>
      <c r="Q300" s="120" t="s">
        <v>251</v>
      </c>
      <c r="R300" s="120"/>
      <c r="S300" s="121"/>
    </row>
    <row r="301" spans="1:19" ht="15">
      <c r="A301" s="105">
        <v>11</v>
      </c>
      <c r="B301" s="105"/>
      <c r="C301" s="107" t="s">
        <v>486</v>
      </c>
      <c r="D301" s="107" t="s">
        <v>487</v>
      </c>
      <c r="E301" s="120">
        <v>8760.513682369372</v>
      </c>
      <c r="F301" s="120" t="s">
        <v>251</v>
      </c>
      <c r="G301" s="120">
        <v>0</v>
      </c>
      <c r="H301" s="120" t="s">
        <v>251</v>
      </c>
      <c r="I301" s="120">
        <v>8760.513682369372</v>
      </c>
      <c r="J301" s="120">
        <v>0</v>
      </c>
      <c r="K301" s="120" t="s">
        <v>251</v>
      </c>
      <c r="L301" s="120" t="s">
        <v>251</v>
      </c>
      <c r="M301" s="120">
        <v>0</v>
      </c>
      <c r="N301" s="120" t="s">
        <v>251</v>
      </c>
      <c r="O301" s="120">
        <v>0</v>
      </c>
      <c r="P301" s="120">
        <v>0</v>
      </c>
      <c r="Q301" s="120">
        <v>0</v>
      </c>
      <c r="R301" s="120"/>
      <c r="S301" s="121"/>
    </row>
    <row r="302" spans="1:19" ht="15">
      <c r="A302" s="105">
        <v>12</v>
      </c>
      <c r="B302" s="105"/>
      <c r="C302" s="107" t="s">
        <v>488</v>
      </c>
      <c r="D302" s="107" t="s">
        <v>489</v>
      </c>
      <c r="E302" s="120">
        <v>20275973.867825828</v>
      </c>
      <c r="F302" s="120" t="s">
        <v>251</v>
      </c>
      <c r="G302" s="120">
        <v>20275973.867825828</v>
      </c>
      <c r="H302" s="120" t="s">
        <v>251</v>
      </c>
      <c r="I302" s="120">
        <v>0</v>
      </c>
      <c r="J302" s="120">
        <v>0</v>
      </c>
      <c r="K302" s="120" t="s">
        <v>251</v>
      </c>
      <c r="L302" s="120" t="s">
        <v>251</v>
      </c>
      <c r="M302" s="120">
        <v>0</v>
      </c>
      <c r="N302" s="120" t="s">
        <v>251</v>
      </c>
      <c r="O302" s="120">
        <v>0</v>
      </c>
      <c r="P302" s="120">
        <v>0</v>
      </c>
      <c r="Q302" s="120">
        <v>0</v>
      </c>
      <c r="R302" s="120"/>
      <c r="S302" s="121"/>
    </row>
    <row r="303" spans="1:19" ht="15">
      <c r="A303" s="105">
        <v>13</v>
      </c>
      <c r="B303" s="105"/>
      <c r="C303" s="107" t="s">
        <v>490</v>
      </c>
      <c r="D303" s="107" t="s">
        <v>251</v>
      </c>
      <c r="E303" s="120">
        <v>20284734.381508198</v>
      </c>
      <c r="F303" s="120" t="s">
        <v>251</v>
      </c>
      <c r="G303" s="120">
        <v>20275973.867825828</v>
      </c>
      <c r="H303" s="120" t="s">
        <v>251</v>
      </c>
      <c r="I303" s="120">
        <v>8760.513682369372</v>
      </c>
      <c r="J303" s="120">
        <v>0</v>
      </c>
      <c r="K303" s="120" t="s">
        <v>251</v>
      </c>
      <c r="L303" s="120" t="s">
        <v>251</v>
      </c>
      <c r="M303" s="120">
        <v>0</v>
      </c>
      <c r="N303" s="120" t="s">
        <v>251</v>
      </c>
      <c r="O303" s="120">
        <v>0</v>
      </c>
      <c r="P303" s="120">
        <v>0</v>
      </c>
      <c r="Q303" s="120">
        <v>0</v>
      </c>
      <c r="R303" s="120"/>
      <c r="S303" s="121"/>
    </row>
    <row r="304" spans="1:19" ht="15">
      <c r="A304" s="105" t="s">
        <v>251</v>
      </c>
      <c r="B304" s="105"/>
      <c r="C304" s="107" t="s">
        <v>251</v>
      </c>
      <c r="D304" s="107" t="s">
        <v>251</v>
      </c>
      <c r="E304" s="120" t="s">
        <v>251</v>
      </c>
      <c r="F304" s="120" t="s">
        <v>251</v>
      </c>
      <c r="G304" s="120" t="s">
        <v>251</v>
      </c>
      <c r="H304" s="120" t="s">
        <v>251</v>
      </c>
      <c r="I304" s="120" t="s">
        <v>251</v>
      </c>
      <c r="J304" s="120" t="s">
        <v>251</v>
      </c>
      <c r="K304" s="120" t="s">
        <v>251</v>
      </c>
      <c r="L304" s="120" t="s">
        <v>251</v>
      </c>
      <c r="M304" s="120" t="s">
        <v>251</v>
      </c>
      <c r="N304" s="120" t="s">
        <v>251</v>
      </c>
      <c r="O304" s="120" t="s">
        <v>251</v>
      </c>
      <c r="P304" s="120" t="s">
        <v>251</v>
      </c>
      <c r="Q304" s="120" t="s">
        <v>251</v>
      </c>
      <c r="R304" s="120"/>
      <c r="S304" s="121"/>
    </row>
    <row r="305" spans="1:19" ht="15">
      <c r="A305" s="105">
        <v>14</v>
      </c>
      <c r="B305" s="105"/>
      <c r="C305" s="107" t="s">
        <v>437</v>
      </c>
      <c r="D305" s="107" t="s">
        <v>468</v>
      </c>
      <c r="E305" s="120">
        <v>23058636.275663778</v>
      </c>
      <c r="F305" s="120" t="s">
        <v>251</v>
      </c>
      <c r="G305" s="120">
        <v>21738681.648790136</v>
      </c>
      <c r="H305" s="120" t="s">
        <v>251</v>
      </c>
      <c r="I305" s="120">
        <v>1053478.7893909402</v>
      </c>
      <c r="J305" s="120">
        <v>266475.83748270082</v>
      </c>
      <c r="K305" s="120" t="s">
        <v>251</v>
      </c>
      <c r="L305" s="120" t="s">
        <v>251</v>
      </c>
      <c r="M305" s="120">
        <v>1499.2324568575091</v>
      </c>
      <c r="N305" s="120" t="s">
        <v>251</v>
      </c>
      <c r="O305" s="120">
        <v>264976.60502584331</v>
      </c>
      <c r="P305" s="120">
        <v>138126.92831207102</v>
      </c>
      <c r="Q305" s="120">
        <v>126849.67671377231</v>
      </c>
      <c r="R305" s="120"/>
      <c r="S305" s="121"/>
    </row>
    <row r="306" spans="1:19" ht="15">
      <c r="A306" s="105" t="s">
        <v>251</v>
      </c>
      <c r="B306" s="105"/>
      <c r="C306" s="107" t="s">
        <v>251</v>
      </c>
      <c r="D306" s="107" t="s">
        <v>251</v>
      </c>
      <c r="E306" s="120" t="s">
        <v>251</v>
      </c>
      <c r="F306" s="120" t="s">
        <v>251</v>
      </c>
      <c r="G306" s="120" t="s">
        <v>251</v>
      </c>
      <c r="H306" s="120" t="s">
        <v>251</v>
      </c>
      <c r="I306" s="120" t="s">
        <v>251</v>
      </c>
      <c r="J306" s="120" t="s">
        <v>251</v>
      </c>
      <c r="K306" s="120" t="s">
        <v>251</v>
      </c>
      <c r="L306" s="120" t="s">
        <v>251</v>
      </c>
      <c r="M306" s="120" t="s">
        <v>251</v>
      </c>
      <c r="N306" s="120" t="s">
        <v>251</v>
      </c>
      <c r="O306" s="120" t="s">
        <v>251</v>
      </c>
      <c r="P306" s="120" t="s">
        <v>251</v>
      </c>
      <c r="Q306" s="120" t="s">
        <v>251</v>
      </c>
      <c r="R306" s="120"/>
      <c r="S306" s="121"/>
    </row>
    <row r="307" spans="1:19" ht="15">
      <c r="A307" s="105">
        <v>15</v>
      </c>
      <c r="B307" s="105"/>
      <c r="C307" s="107" t="s">
        <v>491</v>
      </c>
      <c r="D307" s="107" t="s">
        <v>251</v>
      </c>
      <c r="E307" s="120">
        <v>233249501.75412571</v>
      </c>
      <c r="F307" s="120" t="s">
        <v>251</v>
      </c>
      <c r="G307" s="120">
        <v>217783948.97020823</v>
      </c>
      <c r="H307" s="120" t="s">
        <v>251</v>
      </c>
      <c r="I307" s="120">
        <v>12499879.803799547</v>
      </c>
      <c r="J307" s="120">
        <v>2965672.980117952</v>
      </c>
      <c r="K307" s="120" t="s">
        <v>251</v>
      </c>
      <c r="L307" s="120" t="s">
        <v>251</v>
      </c>
      <c r="M307" s="120">
        <v>2060.5652407180605</v>
      </c>
      <c r="N307" s="120" t="s">
        <v>251</v>
      </c>
      <c r="O307" s="120">
        <v>2963612.414877234</v>
      </c>
      <c r="P307" s="120">
        <v>1506799.5915451827</v>
      </c>
      <c r="Q307" s="120">
        <v>1456812.823332051</v>
      </c>
      <c r="R307" s="120"/>
      <c r="S307" s="121"/>
    </row>
    <row r="308" spans="1:19" ht="15">
      <c r="A308" s="105" t="s">
        <v>251</v>
      </c>
      <c r="B308" s="105"/>
      <c r="C308" s="107" t="s">
        <v>251</v>
      </c>
      <c r="D308" s="107" t="s">
        <v>251</v>
      </c>
      <c r="E308" s="120" t="s">
        <v>251</v>
      </c>
      <c r="F308" s="120" t="s">
        <v>251</v>
      </c>
      <c r="G308" s="120" t="s">
        <v>251</v>
      </c>
      <c r="H308" s="120" t="s">
        <v>251</v>
      </c>
      <c r="I308" s="120" t="s">
        <v>251</v>
      </c>
      <c r="J308" s="120" t="s">
        <v>251</v>
      </c>
      <c r="K308" s="120" t="s">
        <v>251</v>
      </c>
      <c r="L308" s="120" t="s">
        <v>251</v>
      </c>
      <c r="M308" s="120" t="s">
        <v>251</v>
      </c>
      <c r="N308" s="120" t="s">
        <v>251</v>
      </c>
      <c r="O308" s="120" t="s">
        <v>251</v>
      </c>
      <c r="P308" s="120" t="s">
        <v>251</v>
      </c>
      <c r="Q308" s="120" t="s">
        <v>251</v>
      </c>
      <c r="R308" s="120"/>
      <c r="S308" s="121"/>
    </row>
    <row r="309" spans="1:19" ht="15">
      <c r="A309" s="105" t="s">
        <v>251</v>
      </c>
      <c r="B309" s="105"/>
      <c r="C309" s="107" t="s">
        <v>492</v>
      </c>
      <c r="D309" s="107" t="s">
        <v>251</v>
      </c>
      <c r="E309" s="120" t="s">
        <v>251</v>
      </c>
      <c r="F309" s="120" t="s">
        <v>251</v>
      </c>
      <c r="G309" s="120" t="s">
        <v>251</v>
      </c>
      <c r="H309" s="120" t="s">
        <v>251</v>
      </c>
      <c r="I309" s="120" t="s">
        <v>251</v>
      </c>
      <c r="J309" s="120" t="s">
        <v>251</v>
      </c>
      <c r="K309" s="120" t="s">
        <v>251</v>
      </c>
      <c r="L309" s="120" t="s">
        <v>251</v>
      </c>
      <c r="M309" s="120" t="s">
        <v>251</v>
      </c>
      <c r="N309" s="120" t="s">
        <v>251</v>
      </c>
      <c r="O309" s="120" t="s">
        <v>251</v>
      </c>
      <c r="P309" s="120" t="s">
        <v>251</v>
      </c>
      <c r="Q309" s="120" t="s">
        <v>251</v>
      </c>
      <c r="R309" s="120"/>
      <c r="S309" s="121"/>
    </row>
    <row r="310" spans="1:19" ht="15">
      <c r="A310" s="105" t="s">
        <v>251</v>
      </c>
      <c r="B310" s="105"/>
      <c r="C310" s="107" t="s">
        <v>493</v>
      </c>
      <c r="D310" s="107" t="s">
        <v>251</v>
      </c>
      <c r="E310" s="120" t="s">
        <v>251</v>
      </c>
      <c r="F310" s="120" t="s">
        <v>251</v>
      </c>
      <c r="G310" s="120" t="s">
        <v>251</v>
      </c>
      <c r="H310" s="120" t="s">
        <v>251</v>
      </c>
      <c r="I310" s="120" t="s">
        <v>251</v>
      </c>
      <c r="J310" s="120" t="s">
        <v>251</v>
      </c>
      <c r="K310" s="120" t="s">
        <v>251</v>
      </c>
      <c r="L310" s="120" t="s">
        <v>251</v>
      </c>
      <c r="M310" s="120" t="s">
        <v>251</v>
      </c>
      <c r="N310" s="120" t="s">
        <v>251</v>
      </c>
      <c r="O310" s="120" t="s">
        <v>251</v>
      </c>
      <c r="P310" s="120" t="s">
        <v>251</v>
      </c>
      <c r="Q310" s="120" t="s">
        <v>251</v>
      </c>
      <c r="R310" s="120"/>
      <c r="S310" s="121"/>
    </row>
    <row r="311" spans="1:19" ht="15">
      <c r="A311" s="105">
        <v>16</v>
      </c>
      <c r="B311" s="105"/>
      <c r="C311" s="107" t="s">
        <v>494</v>
      </c>
      <c r="D311" s="107" t="s">
        <v>495</v>
      </c>
      <c r="E311" s="120">
        <v>62955456.000000007</v>
      </c>
      <c r="F311" s="120" t="s">
        <v>251</v>
      </c>
      <c r="G311" s="120">
        <v>59241660.740988947</v>
      </c>
      <c r="H311" s="120" t="s">
        <v>251</v>
      </c>
      <c r="I311" s="120">
        <v>2416789.5602463312</v>
      </c>
      <c r="J311" s="120">
        <v>1297005.6987647284</v>
      </c>
      <c r="K311" s="120" t="s">
        <v>251</v>
      </c>
      <c r="L311" s="120" t="s">
        <v>251</v>
      </c>
      <c r="M311" s="120">
        <v>265.13329903306823</v>
      </c>
      <c r="N311" s="120" t="s">
        <v>251</v>
      </c>
      <c r="O311" s="120">
        <v>1296740.5654656952</v>
      </c>
      <c r="P311" s="120">
        <v>656679.3526504836</v>
      </c>
      <c r="Q311" s="120">
        <v>640061.2128152115</v>
      </c>
      <c r="R311" s="120"/>
      <c r="S311" s="121"/>
    </row>
    <row r="312" spans="1:19" ht="15">
      <c r="A312" s="105" t="s">
        <v>251</v>
      </c>
      <c r="B312" s="105"/>
      <c r="C312" s="107" t="s">
        <v>496</v>
      </c>
      <c r="D312" s="107" t="s">
        <v>251</v>
      </c>
      <c r="E312" s="120" t="s">
        <v>251</v>
      </c>
      <c r="F312" s="120" t="s">
        <v>251</v>
      </c>
      <c r="G312" s="120" t="s">
        <v>251</v>
      </c>
      <c r="H312" s="120" t="s">
        <v>251</v>
      </c>
      <c r="I312" s="120" t="s">
        <v>251</v>
      </c>
      <c r="J312" s="120" t="s">
        <v>251</v>
      </c>
      <c r="K312" s="120" t="s">
        <v>251</v>
      </c>
      <c r="L312" s="120" t="s">
        <v>251</v>
      </c>
      <c r="M312" s="120" t="s">
        <v>251</v>
      </c>
      <c r="N312" s="120" t="s">
        <v>251</v>
      </c>
      <c r="O312" s="120" t="s">
        <v>251</v>
      </c>
      <c r="P312" s="120" t="s">
        <v>251</v>
      </c>
      <c r="Q312" s="120" t="s">
        <v>251</v>
      </c>
      <c r="R312" s="120"/>
      <c r="S312" s="121"/>
    </row>
    <row r="313" spans="1:19" ht="15">
      <c r="A313" s="105">
        <v>17</v>
      </c>
      <c r="B313" s="105"/>
      <c r="C313" s="107" t="s">
        <v>497</v>
      </c>
      <c r="D313" s="107" t="s">
        <v>498</v>
      </c>
      <c r="E313" s="120">
        <v>31487351.844799999</v>
      </c>
      <c r="F313" s="120" t="s">
        <v>251</v>
      </c>
      <c r="G313" s="120">
        <v>29461036.358015172</v>
      </c>
      <c r="H313" s="120" t="s">
        <v>251</v>
      </c>
      <c r="I313" s="120">
        <v>1368252.424679212</v>
      </c>
      <c r="J313" s="120">
        <v>658063.06210561388</v>
      </c>
      <c r="K313" s="120" t="s">
        <v>251</v>
      </c>
      <c r="L313" s="120" t="s">
        <v>251</v>
      </c>
      <c r="M313" s="120">
        <v>94.074783090636757</v>
      </c>
      <c r="N313" s="120" t="s">
        <v>251</v>
      </c>
      <c r="O313" s="120">
        <v>657968.98732252326</v>
      </c>
      <c r="P313" s="120">
        <v>333703.48192819062</v>
      </c>
      <c r="Q313" s="120">
        <v>324265.50539433258</v>
      </c>
      <c r="R313" s="120"/>
      <c r="S313" s="121"/>
    </row>
    <row r="314" spans="1:19" ht="15">
      <c r="A314" s="105">
        <v>18</v>
      </c>
      <c r="B314" s="105"/>
      <c r="C314" s="107" t="s">
        <v>499</v>
      </c>
      <c r="D314" s="107" t="s">
        <v>500</v>
      </c>
      <c r="E314" s="120">
        <v>9701208.7550000027</v>
      </c>
      <c r="F314" s="120" t="s">
        <v>251</v>
      </c>
      <c r="G314" s="120">
        <v>8786071.3121171966</v>
      </c>
      <c r="H314" s="120" t="s">
        <v>251</v>
      </c>
      <c r="I314" s="120">
        <v>915109.31152811286</v>
      </c>
      <c r="J314" s="120">
        <v>28.131354692808326</v>
      </c>
      <c r="K314" s="120" t="s">
        <v>251</v>
      </c>
      <c r="L314" s="120" t="s">
        <v>251</v>
      </c>
      <c r="M314" s="120">
        <v>28.131354692808326</v>
      </c>
      <c r="N314" s="120" t="s">
        <v>251</v>
      </c>
      <c r="O314" s="120">
        <v>0</v>
      </c>
      <c r="P314" s="120">
        <v>0</v>
      </c>
      <c r="Q314" s="120">
        <v>0</v>
      </c>
      <c r="R314" s="120"/>
      <c r="S314" s="121"/>
    </row>
    <row r="315" spans="1:19" ht="15">
      <c r="A315" s="105">
        <v>19</v>
      </c>
      <c r="B315" s="105"/>
      <c r="C315" s="107" t="s">
        <v>501</v>
      </c>
      <c r="D315" s="107" t="s">
        <v>502</v>
      </c>
      <c r="E315" s="120">
        <v>7016203.400200001</v>
      </c>
      <c r="F315" s="120" t="s">
        <v>251</v>
      </c>
      <c r="G315" s="120">
        <v>6657013.3371743802</v>
      </c>
      <c r="H315" s="120" t="s">
        <v>251</v>
      </c>
      <c r="I315" s="120">
        <v>344271.73530402529</v>
      </c>
      <c r="J315" s="120">
        <v>14918.32772159593</v>
      </c>
      <c r="K315" s="120" t="s">
        <v>251</v>
      </c>
      <c r="L315" s="120" t="s">
        <v>251</v>
      </c>
      <c r="M315" s="120">
        <v>2238.8109107037217</v>
      </c>
      <c r="N315" s="120" t="s">
        <v>251</v>
      </c>
      <c r="O315" s="120">
        <v>12679.516810892208</v>
      </c>
      <c r="P315" s="120">
        <v>12586.618011067359</v>
      </c>
      <c r="Q315" s="120">
        <v>92.898799824848709</v>
      </c>
      <c r="R315" s="120"/>
      <c r="S315" s="121"/>
    </row>
    <row r="316" spans="1:19" ht="15">
      <c r="A316" s="105">
        <v>20</v>
      </c>
      <c r="B316" s="105"/>
      <c r="C316" s="107" t="s">
        <v>503</v>
      </c>
      <c r="D316" s="107" t="s">
        <v>468</v>
      </c>
      <c r="E316" s="120">
        <v>0</v>
      </c>
      <c r="F316" s="120" t="s">
        <v>251</v>
      </c>
      <c r="G316" s="120">
        <v>0</v>
      </c>
      <c r="H316" s="120" t="s">
        <v>251</v>
      </c>
      <c r="I316" s="120">
        <v>0</v>
      </c>
      <c r="J316" s="120">
        <v>0</v>
      </c>
      <c r="K316" s="120" t="s">
        <v>251</v>
      </c>
      <c r="L316" s="120" t="s">
        <v>251</v>
      </c>
      <c r="M316" s="120">
        <v>0</v>
      </c>
      <c r="N316" s="120" t="s">
        <v>251</v>
      </c>
      <c r="O316" s="120">
        <v>0</v>
      </c>
      <c r="P316" s="120">
        <v>0</v>
      </c>
      <c r="Q316" s="120">
        <v>0</v>
      </c>
      <c r="R316" s="120"/>
      <c r="S316" s="121"/>
    </row>
    <row r="317" spans="1:19" ht="15">
      <c r="A317" s="105">
        <v>21</v>
      </c>
      <c r="B317" s="105"/>
      <c r="C317" s="107" t="s">
        <v>504</v>
      </c>
      <c r="D317" s="107" t="s">
        <v>505</v>
      </c>
      <c r="E317" s="120">
        <v>12000184.999999998</v>
      </c>
      <c r="F317" s="120" t="s">
        <v>251</v>
      </c>
      <c r="G317" s="120">
        <v>11178516.699097775</v>
      </c>
      <c r="H317" s="120" t="s">
        <v>251</v>
      </c>
      <c r="I317" s="120">
        <v>654128.03950929898</v>
      </c>
      <c r="J317" s="120">
        <v>167540.26139292476</v>
      </c>
      <c r="K317" s="120" t="s">
        <v>251</v>
      </c>
      <c r="L317" s="120" t="s">
        <v>251</v>
      </c>
      <c r="M317" s="120">
        <v>587.75604357278826</v>
      </c>
      <c r="N317" s="120" t="s">
        <v>251</v>
      </c>
      <c r="O317" s="120">
        <v>166952.50534935197</v>
      </c>
      <c r="P317" s="120">
        <v>86206.111556517208</v>
      </c>
      <c r="Q317" s="120">
        <v>80746.393792834773</v>
      </c>
      <c r="R317" s="120"/>
      <c r="S317" s="121"/>
    </row>
    <row r="318" spans="1:19" ht="15">
      <c r="A318" s="105">
        <v>22</v>
      </c>
      <c r="B318" s="105"/>
      <c r="C318" s="107" t="s">
        <v>506</v>
      </c>
      <c r="D318" s="107" t="s">
        <v>251</v>
      </c>
      <c r="E318" s="120">
        <v>60204948.999999993</v>
      </c>
      <c r="F318" s="120" t="s">
        <v>251</v>
      </c>
      <c r="G318" s="120">
        <v>56082637.706404522</v>
      </c>
      <c r="H318" s="120" t="s">
        <v>251</v>
      </c>
      <c r="I318" s="120">
        <v>3281761.5110206492</v>
      </c>
      <c r="J318" s="120">
        <v>840549.78257482743</v>
      </c>
      <c r="K318" s="120" t="s">
        <v>251</v>
      </c>
      <c r="L318" s="120" t="s">
        <v>251</v>
      </c>
      <c r="M318" s="120">
        <v>2948.7730920599552</v>
      </c>
      <c r="N318" s="120" t="s">
        <v>251</v>
      </c>
      <c r="O318" s="120">
        <v>837601.00948276743</v>
      </c>
      <c r="P318" s="120">
        <v>432496.21149577515</v>
      </c>
      <c r="Q318" s="120">
        <v>405104.79798699223</v>
      </c>
      <c r="R318" s="120"/>
      <c r="S318" s="121"/>
    </row>
    <row r="319" spans="1:19" ht="15">
      <c r="A319" s="105">
        <v>23</v>
      </c>
      <c r="B319" s="105"/>
      <c r="C319" s="107" t="s">
        <v>507</v>
      </c>
      <c r="D319" s="107" t="s">
        <v>251</v>
      </c>
      <c r="E319" s="120">
        <v>123160405.00000001</v>
      </c>
      <c r="F319" s="120" t="s">
        <v>251</v>
      </c>
      <c r="G319" s="120">
        <v>115324298.44739348</v>
      </c>
      <c r="H319" s="120" t="s">
        <v>251</v>
      </c>
      <c r="I319" s="120">
        <v>5698551.0712669808</v>
      </c>
      <c r="J319" s="120">
        <v>2137555.4813395557</v>
      </c>
      <c r="K319" s="120" t="s">
        <v>251</v>
      </c>
      <c r="L319" s="120" t="s">
        <v>251</v>
      </c>
      <c r="M319" s="120">
        <v>3213.9063910930236</v>
      </c>
      <c r="N319" s="120" t="s">
        <v>251</v>
      </c>
      <c r="O319" s="120">
        <v>2134341.5749484627</v>
      </c>
      <c r="P319" s="120">
        <v>1089175.5641462589</v>
      </c>
      <c r="Q319" s="120">
        <v>1045166.0108022038</v>
      </c>
      <c r="R319" s="120"/>
      <c r="S319" s="121"/>
    </row>
    <row r="320" spans="1:19" ht="15">
      <c r="A320" s="105" t="s">
        <v>251</v>
      </c>
      <c r="B320" s="105"/>
      <c r="C320" s="107" t="s">
        <v>251</v>
      </c>
      <c r="D320" s="107" t="s">
        <v>251</v>
      </c>
      <c r="E320" s="120" t="s">
        <v>251</v>
      </c>
      <c r="F320" s="120" t="s">
        <v>251</v>
      </c>
      <c r="G320" s="120" t="s">
        <v>251</v>
      </c>
      <c r="H320" s="120" t="s">
        <v>251</v>
      </c>
      <c r="I320" s="120" t="s">
        <v>251</v>
      </c>
      <c r="J320" s="120" t="s">
        <v>251</v>
      </c>
      <c r="K320" s="120" t="s">
        <v>251</v>
      </c>
      <c r="L320" s="120" t="s">
        <v>251</v>
      </c>
      <c r="M320" s="120" t="s">
        <v>251</v>
      </c>
      <c r="N320" s="120" t="s">
        <v>251</v>
      </c>
      <c r="O320" s="120" t="s">
        <v>251</v>
      </c>
      <c r="P320" s="120" t="s">
        <v>251</v>
      </c>
      <c r="Q320" s="120" t="s">
        <v>251</v>
      </c>
      <c r="R320" s="120"/>
      <c r="S320" s="121"/>
    </row>
    <row r="321" spans="1:19" ht="15">
      <c r="A321" s="105" t="s">
        <v>251</v>
      </c>
      <c r="B321" s="105"/>
      <c r="C321" s="107" t="s">
        <v>508</v>
      </c>
      <c r="D321" s="107" t="s">
        <v>251</v>
      </c>
      <c r="E321" s="120" t="s">
        <v>251</v>
      </c>
      <c r="F321" s="120" t="s">
        <v>251</v>
      </c>
      <c r="G321" s="120" t="s">
        <v>251</v>
      </c>
      <c r="H321" s="120" t="s">
        <v>251</v>
      </c>
      <c r="I321" s="120" t="s">
        <v>251</v>
      </c>
      <c r="J321" s="120" t="s">
        <v>251</v>
      </c>
      <c r="K321" s="120" t="s">
        <v>251</v>
      </c>
      <c r="L321" s="120" t="s">
        <v>251</v>
      </c>
      <c r="M321" s="120" t="s">
        <v>251</v>
      </c>
      <c r="N321" s="120" t="s">
        <v>251</v>
      </c>
      <c r="O321" s="120" t="s">
        <v>251</v>
      </c>
      <c r="P321" s="120" t="s">
        <v>251</v>
      </c>
      <c r="Q321" s="120" t="s">
        <v>251</v>
      </c>
      <c r="R321" s="120"/>
      <c r="S321" s="121"/>
    </row>
    <row r="322" spans="1:19" ht="15">
      <c r="A322" s="105">
        <v>24</v>
      </c>
      <c r="B322" s="105"/>
      <c r="C322" s="107" t="s">
        <v>509</v>
      </c>
      <c r="D322" s="107" t="s">
        <v>510</v>
      </c>
      <c r="E322" s="120">
        <v>15827640.363883544</v>
      </c>
      <c r="F322" s="120" t="s">
        <v>251</v>
      </c>
      <c r="G322" s="120">
        <v>15604608.223481942</v>
      </c>
      <c r="H322" s="120" t="s">
        <v>251</v>
      </c>
      <c r="I322" s="120">
        <v>0</v>
      </c>
      <c r="J322" s="120">
        <v>223032.14040160261</v>
      </c>
      <c r="K322" s="120" t="s">
        <v>251</v>
      </c>
      <c r="L322" s="120" t="s">
        <v>251</v>
      </c>
      <c r="M322" s="120">
        <v>1133.8842849669027</v>
      </c>
      <c r="N322" s="120" t="s">
        <v>251</v>
      </c>
      <c r="O322" s="120">
        <v>221898.25611663569</v>
      </c>
      <c r="P322" s="120">
        <v>115468.19290699322</v>
      </c>
      <c r="Q322" s="120">
        <v>106430.06320964245</v>
      </c>
      <c r="R322" s="120"/>
      <c r="S322" s="121"/>
    </row>
    <row r="323" spans="1:19" ht="15">
      <c r="A323" s="105">
        <v>25</v>
      </c>
      <c r="B323" s="105"/>
      <c r="C323" s="107" t="s">
        <v>511</v>
      </c>
      <c r="D323" s="107" t="s">
        <v>512</v>
      </c>
      <c r="E323" s="120">
        <v>0</v>
      </c>
      <c r="F323" s="120" t="s">
        <v>251</v>
      </c>
      <c r="G323" s="120">
        <v>0</v>
      </c>
      <c r="H323" s="120" t="s">
        <v>251</v>
      </c>
      <c r="I323" s="120">
        <v>0</v>
      </c>
      <c r="J323" s="120">
        <v>0</v>
      </c>
      <c r="K323" s="120" t="s">
        <v>251</v>
      </c>
      <c r="L323" s="120" t="s">
        <v>251</v>
      </c>
      <c r="M323" s="120">
        <v>0</v>
      </c>
      <c r="N323" s="120" t="s">
        <v>251</v>
      </c>
      <c r="O323" s="120">
        <v>0</v>
      </c>
      <c r="P323" s="120">
        <v>0</v>
      </c>
      <c r="Q323" s="120">
        <v>0</v>
      </c>
      <c r="R323" s="120"/>
      <c r="S323" s="121"/>
    </row>
    <row r="324" spans="1:19" ht="15">
      <c r="A324" s="105">
        <v>26</v>
      </c>
      <c r="B324" s="105"/>
      <c r="C324" s="107" t="s">
        <v>513</v>
      </c>
      <c r="D324" s="107" t="s">
        <v>251</v>
      </c>
      <c r="E324" s="120">
        <v>15827640.363883544</v>
      </c>
      <c r="F324" s="120" t="s">
        <v>251</v>
      </c>
      <c r="G324" s="120">
        <v>15604608.223481942</v>
      </c>
      <c r="H324" s="120" t="s">
        <v>251</v>
      </c>
      <c r="I324" s="120">
        <v>0</v>
      </c>
      <c r="J324" s="120">
        <v>223032.14040160261</v>
      </c>
      <c r="K324" s="120" t="s">
        <v>251</v>
      </c>
      <c r="L324" s="120" t="s">
        <v>251</v>
      </c>
      <c r="M324" s="120">
        <v>1133.8842849669027</v>
      </c>
      <c r="N324" s="120" t="s">
        <v>251</v>
      </c>
      <c r="O324" s="120">
        <v>221898.25611663569</v>
      </c>
      <c r="P324" s="120">
        <v>115468.19290699322</v>
      </c>
      <c r="Q324" s="120">
        <v>106430.06320964245</v>
      </c>
      <c r="R324" s="120"/>
      <c r="S324" s="121"/>
    </row>
    <row r="325" spans="1:19" ht="15">
      <c r="A325" s="105" t="s">
        <v>251</v>
      </c>
      <c r="B325" s="105"/>
      <c r="C325" s="107" t="s">
        <v>251</v>
      </c>
      <c r="D325" s="107" t="s">
        <v>251</v>
      </c>
      <c r="E325" s="120" t="s">
        <v>251</v>
      </c>
      <c r="F325" s="120" t="s">
        <v>251</v>
      </c>
      <c r="G325" s="120" t="s">
        <v>251</v>
      </c>
      <c r="H325" s="120" t="s">
        <v>251</v>
      </c>
      <c r="I325" s="120" t="s">
        <v>251</v>
      </c>
      <c r="J325" s="120" t="s">
        <v>251</v>
      </c>
      <c r="K325" s="120" t="s">
        <v>251</v>
      </c>
      <c r="L325" s="120" t="s">
        <v>251</v>
      </c>
      <c r="M325" s="120" t="s">
        <v>251</v>
      </c>
      <c r="N325" s="120" t="s">
        <v>251</v>
      </c>
      <c r="O325" s="120" t="s">
        <v>251</v>
      </c>
      <c r="P325" s="120" t="s">
        <v>251</v>
      </c>
      <c r="Q325" s="120" t="s">
        <v>251</v>
      </c>
      <c r="R325" s="120"/>
      <c r="S325" s="121"/>
    </row>
    <row r="326" spans="1:19" ht="15">
      <c r="A326" s="105">
        <v>27</v>
      </c>
      <c r="B326" s="105"/>
      <c r="C326" s="107" t="s">
        <v>514</v>
      </c>
      <c r="D326" s="107" t="s">
        <v>251</v>
      </c>
      <c r="E326" s="120">
        <v>107314039.54462861</v>
      </c>
      <c r="F326" s="120" t="s">
        <v>251</v>
      </c>
      <c r="G326" s="120">
        <v>98296696.272287518</v>
      </c>
      <c r="H326" s="120" t="s">
        <v>251</v>
      </c>
      <c r="I326" s="120">
        <v>7228495.1166923195</v>
      </c>
      <c r="J326" s="120">
        <v>1788848.1556468399</v>
      </c>
      <c r="K326" s="120" t="s">
        <v>251</v>
      </c>
      <c r="L326" s="120" t="s">
        <v>251</v>
      </c>
      <c r="M326" s="120">
        <v>3132.7200039664281</v>
      </c>
      <c r="N326" s="120" t="s">
        <v>251</v>
      </c>
      <c r="O326" s="120">
        <v>1785715.4356428734</v>
      </c>
      <c r="P326" s="120">
        <v>910962.66564100038</v>
      </c>
      <c r="Q326" s="120">
        <v>874752.77000187314</v>
      </c>
      <c r="R326" s="120"/>
      <c r="S326" s="121"/>
    </row>
    <row r="327" spans="1:19" ht="15">
      <c r="A327" s="105" t="s">
        <v>251</v>
      </c>
      <c r="B327" s="105"/>
      <c r="C327" s="107" t="s">
        <v>251</v>
      </c>
      <c r="D327" s="107" t="s">
        <v>251</v>
      </c>
      <c r="E327" s="120" t="s">
        <v>251</v>
      </c>
      <c r="F327" s="120" t="s">
        <v>251</v>
      </c>
      <c r="G327" s="120" t="s">
        <v>251</v>
      </c>
      <c r="H327" s="120" t="s">
        <v>251</v>
      </c>
      <c r="I327" s="120" t="s">
        <v>251</v>
      </c>
      <c r="J327" s="120" t="s">
        <v>251</v>
      </c>
      <c r="K327" s="120" t="s">
        <v>251</v>
      </c>
      <c r="L327" s="120" t="s">
        <v>251</v>
      </c>
      <c r="M327" s="120" t="s">
        <v>251</v>
      </c>
      <c r="N327" s="120" t="s">
        <v>251</v>
      </c>
      <c r="O327" s="120" t="s">
        <v>251</v>
      </c>
      <c r="P327" s="120" t="s">
        <v>251</v>
      </c>
      <c r="Q327" s="120" t="s">
        <v>251</v>
      </c>
      <c r="R327" s="120"/>
      <c r="S327" s="121"/>
    </row>
    <row r="328" spans="1:19" ht="15">
      <c r="A328" s="105">
        <v>28</v>
      </c>
      <c r="B328" s="105"/>
      <c r="C328" s="107" t="s">
        <v>515</v>
      </c>
      <c r="D328" s="107" t="s">
        <v>251</v>
      </c>
      <c r="E328" s="120">
        <v>246302084.90851215</v>
      </c>
      <c r="F328" s="120" t="s">
        <v>251</v>
      </c>
      <c r="G328" s="120">
        <v>229225602.94316292</v>
      </c>
      <c r="H328" s="120" t="s">
        <v>251</v>
      </c>
      <c r="I328" s="120">
        <v>12927046.1879593</v>
      </c>
      <c r="J328" s="120">
        <v>4149435.7773879981</v>
      </c>
      <c r="K328" s="120" t="s">
        <v>251</v>
      </c>
      <c r="L328" s="120" t="s">
        <v>251</v>
      </c>
      <c r="M328" s="120">
        <v>7480.5106800263547</v>
      </c>
      <c r="N328" s="120" t="s">
        <v>251</v>
      </c>
      <c r="O328" s="120">
        <v>4141955.2667079717</v>
      </c>
      <c r="P328" s="120">
        <v>2115606.4226942523</v>
      </c>
      <c r="Q328" s="120">
        <v>2026348.8440137194</v>
      </c>
      <c r="R328" s="120"/>
      <c r="S328" s="121"/>
    </row>
    <row r="329" spans="1:19" ht="15">
      <c r="A329" s="105" t="s">
        <v>251</v>
      </c>
      <c r="B329" s="105"/>
      <c r="C329" s="107" t="s">
        <v>251</v>
      </c>
      <c r="D329" s="107" t="s">
        <v>251</v>
      </c>
      <c r="E329" s="120" t="s">
        <v>251</v>
      </c>
      <c r="F329" s="120" t="s">
        <v>251</v>
      </c>
      <c r="G329" s="120" t="s">
        <v>251</v>
      </c>
      <c r="H329" s="120" t="s">
        <v>251</v>
      </c>
      <c r="I329" s="120" t="s">
        <v>251</v>
      </c>
      <c r="J329" s="120" t="s">
        <v>251</v>
      </c>
      <c r="K329" s="120" t="s">
        <v>251</v>
      </c>
      <c r="L329" s="120" t="s">
        <v>251</v>
      </c>
      <c r="M329" s="120" t="s">
        <v>251</v>
      </c>
      <c r="N329" s="120" t="s">
        <v>251</v>
      </c>
      <c r="O329" s="120" t="s">
        <v>251</v>
      </c>
      <c r="P329" s="120" t="s">
        <v>251</v>
      </c>
      <c r="Q329" s="120" t="s">
        <v>251</v>
      </c>
      <c r="R329" s="120"/>
      <c r="S329" s="121"/>
    </row>
    <row r="330" spans="1:19" ht="15">
      <c r="A330" s="105">
        <v>29</v>
      </c>
      <c r="B330" s="105"/>
      <c r="C330" s="107" t="s">
        <v>516</v>
      </c>
      <c r="D330" s="107" t="s">
        <v>304</v>
      </c>
      <c r="E330" s="120">
        <v>129522</v>
      </c>
      <c r="F330" s="120" t="s">
        <v>251</v>
      </c>
      <c r="G330" s="120">
        <v>121415.99914063678</v>
      </c>
      <c r="H330" s="120" t="s">
        <v>251</v>
      </c>
      <c r="I330" s="120">
        <v>5559.7880225348144</v>
      </c>
      <c r="J330" s="120">
        <v>2546.2128368284079</v>
      </c>
      <c r="K330" s="120" t="s">
        <v>251</v>
      </c>
      <c r="L330" s="120" t="s">
        <v>251</v>
      </c>
      <c r="M330" s="120">
        <v>0.3897284430270167</v>
      </c>
      <c r="N330" s="120" t="s">
        <v>251</v>
      </c>
      <c r="O330" s="120">
        <v>2545.8231083853811</v>
      </c>
      <c r="P330" s="120">
        <v>1291.1703317485064</v>
      </c>
      <c r="Q330" s="120">
        <v>1254.6527766368747</v>
      </c>
      <c r="R330" s="120"/>
      <c r="S330" s="121"/>
    </row>
    <row r="331" spans="1:19" ht="15">
      <c r="A331" s="105" t="s">
        <v>251</v>
      </c>
      <c r="B331" s="105"/>
      <c r="C331" s="107" t="s">
        <v>251</v>
      </c>
      <c r="D331" s="107" t="s">
        <v>251</v>
      </c>
      <c r="E331" s="120" t="s">
        <v>251</v>
      </c>
      <c r="F331" s="120" t="s">
        <v>251</v>
      </c>
      <c r="G331" s="120" t="s">
        <v>251</v>
      </c>
      <c r="H331" s="120" t="s">
        <v>251</v>
      </c>
      <c r="I331" s="120" t="s">
        <v>251</v>
      </c>
      <c r="J331" s="120" t="s">
        <v>251</v>
      </c>
      <c r="K331" s="120" t="s">
        <v>251</v>
      </c>
      <c r="L331" s="120" t="s">
        <v>251</v>
      </c>
      <c r="M331" s="120" t="s">
        <v>251</v>
      </c>
      <c r="N331" s="120" t="s">
        <v>251</v>
      </c>
      <c r="O331" s="120" t="s">
        <v>251</v>
      </c>
      <c r="P331" s="120" t="s">
        <v>251</v>
      </c>
      <c r="Q331" s="120" t="s">
        <v>251</v>
      </c>
      <c r="R331" s="120"/>
      <c r="S331" s="121"/>
    </row>
    <row r="332" spans="1:19" ht="15">
      <c r="A332" s="105">
        <v>30</v>
      </c>
      <c r="B332" s="105"/>
      <c r="C332" s="107" t="s">
        <v>2494</v>
      </c>
      <c r="D332" s="107" t="s">
        <v>304</v>
      </c>
      <c r="E332" s="120">
        <v>101937692.82886787</v>
      </c>
      <c r="F332" s="120" t="s">
        <v>251</v>
      </c>
      <c r="G332" s="120">
        <v>96343596</v>
      </c>
      <c r="H332" s="120" t="s">
        <v>251</v>
      </c>
      <c r="I332" s="120">
        <v>3332590.8360824827</v>
      </c>
      <c r="J332" s="120">
        <v>2261505.9927853812</v>
      </c>
      <c r="K332" s="120" t="s">
        <v>251</v>
      </c>
      <c r="L332" s="120" t="s">
        <v>251</v>
      </c>
      <c r="M332" s="120">
        <v>346.15064252144873</v>
      </c>
      <c r="N332" s="120" t="s">
        <v>251</v>
      </c>
      <c r="O332" s="120">
        <v>2261159.8421428595</v>
      </c>
      <c r="P332" s="120">
        <v>1146797.0786735597</v>
      </c>
      <c r="Q332" s="120">
        <v>1114362.7634692998</v>
      </c>
      <c r="R332" s="120"/>
      <c r="S332" s="121"/>
    </row>
    <row r="333" spans="1:19" ht="15">
      <c r="A333" s="105" t="s">
        <v>251</v>
      </c>
      <c r="B333" s="105"/>
      <c r="C333" s="107" t="s">
        <v>251</v>
      </c>
      <c r="D333" s="107" t="s">
        <v>251</v>
      </c>
      <c r="E333" s="120" t="s">
        <v>251</v>
      </c>
      <c r="F333" s="120" t="s">
        <v>251</v>
      </c>
      <c r="G333" s="120" t="s">
        <v>251</v>
      </c>
      <c r="H333" s="120" t="s">
        <v>251</v>
      </c>
      <c r="I333" s="120" t="s">
        <v>251</v>
      </c>
      <c r="J333" s="120" t="s">
        <v>251</v>
      </c>
      <c r="K333" s="120" t="s">
        <v>251</v>
      </c>
      <c r="L333" s="120" t="s">
        <v>251</v>
      </c>
      <c r="M333" s="120" t="s">
        <v>251</v>
      </c>
      <c r="N333" s="120" t="s">
        <v>251</v>
      </c>
      <c r="O333" s="120" t="s">
        <v>251</v>
      </c>
      <c r="P333" s="120" t="s">
        <v>251</v>
      </c>
      <c r="Q333" s="120" t="s">
        <v>251</v>
      </c>
      <c r="R333" s="120"/>
      <c r="S333" s="121"/>
    </row>
    <row r="334" spans="1:19" ht="15">
      <c r="A334" s="105">
        <v>31</v>
      </c>
      <c r="B334" s="105"/>
      <c r="C334" s="107" t="s">
        <v>517</v>
      </c>
      <c r="D334" s="107" t="s">
        <v>251</v>
      </c>
      <c r="E334" s="120">
        <v>581618801.49150574</v>
      </c>
      <c r="F334" s="120" t="s">
        <v>251</v>
      </c>
      <c r="G334" s="120">
        <v>543474563.91251183</v>
      </c>
      <c r="H334" s="120" t="s">
        <v>251</v>
      </c>
      <c r="I334" s="120">
        <v>28765076.615863867</v>
      </c>
      <c r="J334" s="120">
        <v>9379160.9631281588</v>
      </c>
      <c r="K334" s="120" t="s">
        <v>251</v>
      </c>
      <c r="L334" s="120" t="s">
        <v>251</v>
      </c>
      <c r="M334" s="120">
        <v>9887.6162917088914</v>
      </c>
      <c r="N334" s="120" t="s">
        <v>251</v>
      </c>
      <c r="O334" s="120">
        <v>9369273.3468364496</v>
      </c>
      <c r="P334" s="120">
        <v>4770494.2632447425</v>
      </c>
      <c r="Q334" s="120">
        <v>4598779.0835917071</v>
      </c>
      <c r="R334" s="120"/>
      <c r="S334" s="121"/>
    </row>
    <row r="335" spans="1:19" ht="15">
      <c r="A335" s="105" t="s">
        <v>251</v>
      </c>
      <c r="B335" s="105"/>
      <c r="C335" s="107" t="s">
        <v>251</v>
      </c>
      <c r="D335" s="107" t="s">
        <v>251</v>
      </c>
      <c r="E335" s="120" t="s">
        <v>251</v>
      </c>
      <c r="F335" s="120" t="s">
        <v>251</v>
      </c>
      <c r="G335" s="120" t="s">
        <v>251</v>
      </c>
      <c r="H335" s="120" t="s">
        <v>251</v>
      </c>
      <c r="I335" s="120" t="s">
        <v>251</v>
      </c>
      <c r="J335" s="120" t="s">
        <v>251</v>
      </c>
      <c r="K335" s="120" t="s">
        <v>251</v>
      </c>
      <c r="L335" s="120" t="s">
        <v>251</v>
      </c>
      <c r="M335" s="120" t="s">
        <v>251</v>
      </c>
      <c r="N335" s="120" t="s">
        <v>251</v>
      </c>
      <c r="O335" s="120" t="s">
        <v>251</v>
      </c>
      <c r="P335" s="120" t="s">
        <v>251</v>
      </c>
      <c r="Q335" s="120" t="s">
        <v>251</v>
      </c>
      <c r="R335" s="120"/>
      <c r="S335" s="121"/>
    </row>
    <row r="336" spans="1:19" ht="15">
      <c r="A336" s="105" t="s">
        <v>251</v>
      </c>
      <c r="B336" s="105"/>
      <c r="C336" s="107" t="s">
        <v>251</v>
      </c>
      <c r="D336" s="107" t="s">
        <v>251</v>
      </c>
      <c r="E336" s="120" t="s">
        <v>251</v>
      </c>
      <c r="F336" s="120" t="s">
        <v>251</v>
      </c>
      <c r="G336" s="120" t="s">
        <v>251</v>
      </c>
      <c r="H336" s="120" t="s">
        <v>251</v>
      </c>
      <c r="I336" s="120" t="s">
        <v>251</v>
      </c>
      <c r="J336" s="120" t="s">
        <v>251</v>
      </c>
      <c r="K336" s="120" t="s">
        <v>251</v>
      </c>
      <c r="L336" s="120" t="s">
        <v>251</v>
      </c>
      <c r="M336" s="120" t="s">
        <v>251</v>
      </c>
      <c r="N336" s="120" t="s">
        <v>251</v>
      </c>
      <c r="O336" s="120" t="s">
        <v>251</v>
      </c>
      <c r="P336" s="120" t="s">
        <v>251</v>
      </c>
      <c r="Q336" s="120" t="s">
        <v>251</v>
      </c>
      <c r="R336" s="120"/>
      <c r="S336" s="121"/>
    </row>
    <row r="337" spans="1:19" ht="15">
      <c r="A337" s="105" t="s">
        <v>251</v>
      </c>
      <c r="B337" s="105"/>
      <c r="C337" s="107" t="s">
        <v>518</v>
      </c>
      <c r="D337" s="107" t="s">
        <v>251</v>
      </c>
      <c r="E337" s="120" t="s">
        <v>251</v>
      </c>
      <c r="F337" s="120" t="s">
        <v>251</v>
      </c>
      <c r="G337" s="120" t="s">
        <v>251</v>
      </c>
      <c r="H337" s="120" t="s">
        <v>251</v>
      </c>
      <c r="I337" s="120" t="s">
        <v>251</v>
      </c>
      <c r="J337" s="120" t="s">
        <v>251</v>
      </c>
      <c r="K337" s="120" t="s">
        <v>251</v>
      </c>
      <c r="L337" s="120" t="s">
        <v>251</v>
      </c>
      <c r="M337" s="120" t="s">
        <v>251</v>
      </c>
      <c r="N337" s="120" t="s">
        <v>251</v>
      </c>
      <c r="O337" s="120" t="s">
        <v>251</v>
      </c>
      <c r="P337" s="120" t="s">
        <v>251</v>
      </c>
      <c r="Q337" s="120" t="s">
        <v>251</v>
      </c>
      <c r="R337" s="120"/>
      <c r="S337" s="121"/>
    </row>
    <row r="338" spans="1:19" ht="15">
      <c r="A338" s="105" t="s">
        <v>251</v>
      </c>
      <c r="B338" s="105"/>
      <c r="C338" s="107" t="s">
        <v>251</v>
      </c>
      <c r="D338" s="107" t="s">
        <v>251</v>
      </c>
      <c r="E338" s="120" t="s">
        <v>251</v>
      </c>
      <c r="F338" s="120" t="s">
        <v>251</v>
      </c>
      <c r="G338" s="120" t="s">
        <v>251</v>
      </c>
      <c r="H338" s="120" t="s">
        <v>251</v>
      </c>
      <c r="I338" s="120" t="s">
        <v>251</v>
      </c>
      <c r="J338" s="120" t="s">
        <v>251</v>
      </c>
      <c r="K338" s="120" t="s">
        <v>251</v>
      </c>
      <c r="L338" s="120" t="s">
        <v>251</v>
      </c>
      <c r="M338" s="120" t="s">
        <v>251</v>
      </c>
      <c r="N338" s="120" t="s">
        <v>251</v>
      </c>
      <c r="O338" s="120" t="s">
        <v>251</v>
      </c>
      <c r="P338" s="120" t="s">
        <v>251</v>
      </c>
      <c r="Q338" s="120" t="s">
        <v>251</v>
      </c>
      <c r="R338" s="120"/>
      <c r="S338" s="121"/>
    </row>
    <row r="339" spans="1:19" ht="15">
      <c r="A339" s="105" t="s">
        <v>251</v>
      </c>
      <c r="B339" s="105"/>
      <c r="C339" s="107" t="s">
        <v>519</v>
      </c>
      <c r="D339" s="107" t="s">
        <v>251</v>
      </c>
      <c r="E339" s="120" t="s">
        <v>251</v>
      </c>
      <c r="F339" s="120" t="s">
        <v>251</v>
      </c>
      <c r="G339" s="120" t="s">
        <v>251</v>
      </c>
      <c r="H339" s="120" t="s">
        <v>251</v>
      </c>
      <c r="I339" s="120" t="s">
        <v>251</v>
      </c>
      <c r="J339" s="120" t="s">
        <v>251</v>
      </c>
      <c r="K339" s="120" t="s">
        <v>251</v>
      </c>
      <c r="L339" s="120" t="s">
        <v>251</v>
      </c>
      <c r="M339" s="120" t="s">
        <v>251</v>
      </c>
      <c r="N339" s="120" t="s">
        <v>251</v>
      </c>
      <c r="O339" s="120" t="s">
        <v>251</v>
      </c>
      <c r="P339" s="120" t="s">
        <v>251</v>
      </c>
      <c r="Q339" s="120" t="s">
        <v>251</v>
      </c>
      <c r="R339" s="120"/>
      <c r="S339" s="121"/>
    </row>
    <row r="340" spans="1:19" ht="15">
      <c r="A340" s="105" t="s">
        <v>251</v>
      </c>
      <c r="B340" s="105"/>
      <c r="C340" s="107" t="s">
        <v>251</v>
      </c>
      <c r="D340" s="107" t="s">
        <v>251</v>
      </c>
      <c r="E340" s="120" t="s">
        <v>251</v>
      </c>
      <c r="F340" s="120" t="s">
        <v>251</v>
      </c>
      <c r="G340" s="120" t="s">
        <v>251</v>
      </c>
      <c r="H340" s="120" t="s">
        <v>251</v>
      </c>
      <c r="I340" s="120" t="s">
        <v>251</v>
      </c>
      <c r="J340" s="120" t="s">
        <v>251</v>
      </c>
      <c r="K340" s="120" t="s">
        <v>251</v>
      </c>
      <c r="L340" s="120" t="s">
        <v>251</v>
      </c>
      <c r="M340" s="120" t="s">
        <v>251</v>
      </c>
      <c r="N340" s="120" t="s">
        <v>251</v>
      </c>
      <c r="O340" s="120" t="s">
        <v>251</v>
      </c>
      <c r="P340" s="120" t="s">
        <v>251</v>
      </c>
      <c r="Q340" s="120" t="s">
        <v>251</v>
      </c>
      <c r="R340" s="120"/>
      <c r="S340" s="121"/>
    </row>
    <row r="341" spans="1:19" ht="15">
      <c r="A341" s="105" t="s">
        <v>251</v>
      </c>
      <c r="B341" s="105"/>
      <c r="C341" s="107" t="s">
        <v>441</v>
      </c>
      <c r="D341" s="107" t="s">
        <v>251</v>
      </c>
      <c r="E341" s="120" t="s">
        <v>251</v>
      </c>
      <c r="F341" s="120" t="s">
        <v>251</v>
      </c>
      <c r="G341" s="120" t="s">
        <v>251</v>
      </c>
      <c r="H341" s="120" t="s">
        <v>251</v>
      </c>
      <c r="I341" s="120" t="s">
        <v>251</v>
      </c>
      <c r="J341" s="120" t="s">
        <v>251</v>
      </c>
      <c r="K341" s="120" t="s">
        <v>251</v>
      </c>
      <c r="L341" s="120" t="s">
        <v>251</v>
      </c>
      <c r="M341" s="120" t="s">
        <v>251</v>
      </c>
      <c r="N341" s="120" t="s">
        <v>251</v>
      </c>
      <c r="O341" s="120" t="s">
        <v>251</v>
      </c>
      <c r="P341" s="120" t="s">
        <v>251</v>
      </c>
      <c r="Q341" s="120" t="s">
        <v>251</v>
      </c>
      <c r="R341" s="120"/>
      <c r="S341" s="121"/>
    </row>
    <row r="342" spans="1:19" ht="15">
      <c r="A342" s="105">
        <v>1</v>
      </c>
      <c r="B342" s="105"/>
      <c r="C342" s="107" t="s">
        <v>477</v>
      </c>
      <c r="D342" s="107" t="s">
        <v>478</v>
      </c>
      <c r="E342" s="120">
        <v>908412553.99999988</v>
      </c>
      <c r="F342" s="120" t="s">
        <v>251</v>
      </c>
      <c r="G342" s="120">
        <v>851560490.69507611</v>
      </c>
      <c r="H342" s="120" t="s">
        <v>251</v>
      </c>
      <c r="I342" s="120">
        <v>38994002.850862861</v>
      </c>
      <c r="J342" s="120">
        <v>17858060.454060927</v>
      </c>
      <c r="K342" s="120" t="s">
        <v>251</v>
      </c>
      <c r="L342" s="120" t="s">
        <v>251</v>
      </c>
      <c r="M342" s="120">
        <v>2733.3905459814982</v>
      </c>
      <c r="N342" s="120" t="s">
        <v>251</v>
      </c>
      <c r="O342" s="120">
        <v>17855327.063514944</v>
      </c>
      <c r="P342" s="120">
        <v>9055722.8788367044</v>
      </c>
      <c r="Q342" s="120">
        <v>8799604.1846782397</v>
      </c>
      <c r="R342" s="120"/>
      <c r="S342" s="121"/>
    </row>
    <row r="343" spans="1:19" ht="15">
      <c r="A343" s="105">
        <v>2</v>
      </c>
      <c r="B343" s="105"/>
      <c r="C343" s="107" t="s">
        <v>479</v>
      </c>
      <c r="D343" s="107" t="s">
        <v>312</v>
      </c>
      <c r="E343" s="120">
        <v>17805</v>
      </c>
      <c r="F343" s="120" t="s">
        <v>251</v>
      </c>
      <c r="G343" s="120">
        <v>9350.4298972602737</v>
      </c>
      <c r="H343" s="120" t="s">
        <v>251</v>
      </c>
      <c r="I343" s="120">
        <v>5799.1454109589049</v>
      </c>
      <c r="J343" s="120">
        <v>2655.4246917808218</v>
      </c>
      <c r="K343" s="120" t="s">
        <v>251</v>
      </c>
      <c r="L343" s="120" t="s">
        <v>251</v>
      </c>
      <c r="M343" s="120">
        <v>0</v>
      </c>
      <c r="N343" s="120" t="s">
        <v>251</v>
      </c>
      <c r="O343" s="120">
        <v>2655.4246917808218</v>
      </c>
      <c r="P343" s="120">
        <v>1346.7571917808218</v>
      </c>
      <c r="Q343" s="120">
        <v>1308.6675</v>
      </c>
      <c r="R343" s="120"/>
      <c r="S343" s="121"/>
    </row>
    <row r="344" spans="1:19" ht="15">
      <c r="A344" s="105">
        <v>3</v>
      </c>
      <c r="B344" s="105"/>
      <c r="C344" s="107" t="s">
        <v>480</v>
      </c>
      <c r="D344" s="107" t="s">
        <v>314</v>
      </c>
      <c r="E344" s="120">
        <v>1891531</v>
      </c>
      <c r="F344" s="120" t="s">
        <v>251</v>
      </c>
      <c r="G344" s="120">
        <v>1473166.9355831544</v>
      </c>
      <c r="H344" s="120" t="s">
        <v>251</v>
      </c>
      <c r="I344" s="120">
        <v>0</v>
      </c>
      <c r="J344" s="120">
        <v>418364.06441684556</v>
      </c>
      <c r="K344" s="120" t="s">
        <v>251</v>
      </c>
      <c r="L344" s="120" t="s">
        <v>251</v>
      </c>
      <c r="M344" s="120">
        <v>0</v>
      </c>
      <c r="N344" s="120" t="s">
        <v>251</v>
      </c>
      <c r="O344" s="120">
        <v>418364.06441684556</v>
      </c>
      <c r="P344" s="120">
        <v>212182.56133567187</v>
      </c>
      <c r="Q344" s="120">
        <v>206181.50308117369</v>
      </c>
      <c r="R344" s="120"/>
      <c r="S344" s="121"/>
    </row>
    <row r="345" spans="1:19" ht="15">
      <c r="A345" s="105">
        <v>4</v>
      </c>
      <c r="B345" s="105"/>
      <c r="C345" s="107" t="s">
        <v>481</v>
      </c>
      <c r="D345" s="107" t="s">
        <v>251</v>
      </c>
      <c r="E345" s="120">
        <v>910321890</v>
      </c>
      <c r="F345" s="120" t="s">
        <v>251</v>
      </c>
      <c r="G345" s="120">
        <v>853043008.06055653</v>
      </c>
      <c r="H345" s="120" t="s">
        <v>251</v>
      </c>
      <c r="I345" s="120">
        <v>38999801.996273823</v>
      </c>
      <c r="J345" s="120">
        <v>18279079.943169553</v>
      </c>
      <c r="K345" s="120" t="s">
        <v>251</v>
      </c>
      <c r="L345" s="120" t="s">
        <v>251</v>
      </c>
      <c r="M345" s="120">
        <v>2733.3905459814982</v>
      </c>
      <c r="N345" s="120" t="s">
        <v>251</v>
      </c>
      <c r="O345" s="120">
        <v>18276346.55262357</v>
      </c>
      <c r="P345" s="120">
        <v>9269252.1973641571</v>
      </c>
      <c r="Q345" s="120">
        <v>9007094.3552594148</v>
      </c>
      <c r="R345" s="120"/>
      <c r="S345" s="121"/>
    </row>
    <row r="346" spans="1:19" ht="15">
      <c r="A346" s="105" t="s">
        <v>251</v>
      </c>
      <c r="B346" s="105"/>
      <c r="C346" s="107" t="s">
        <v>251</v>
      </c>
      <c r="D346" s="107" t="s">
        <v>251</v>
      </c>
      <c r="E346" s="120" t="s">
        <v>251</v>
      </c>
      <c r="F346" s="120" t="s">
        <v>251</v>
      </c>
      <c r="G346" s="120" t="s">
        <v>251</v>
      </c>
      <c r="H346" s="120" t="s">
        <v>251</v>
      </c>
      <c r="I346" s="120" t="s">
        <v>251</v>
      </c>
      <c r="J346" s="120" t="s">
        <v>251</v>
      </c>
      <c r="K346" s="120" t="s">
        <v>251</v>
      </c>
      <c r="L346" s="120" t="s">
        <v>251</v>
      </c>
      <c r="M346" s="120" t="s">
        <v>251</v>
      </c>
      <c r="N346" s="120" t="s">
        <v>251</v>
      </c>
      <c r="O346" s="120" t="s">
        <v>251</v>
      </c>
      <c r="P346" s="120" t="s">
        <v>251</v>
      </c>
      <c r="Q346" s="120" t="s">
        <v>251</v>
      </c>
      <c r="R346" s="120"/>
      <c r="S346" s="121"/>
    </row>
    <row r="347" spans="1:19" ht="15">
      <c r="A347" s="105" t="s">
        <v>251</v>
      </c>
      <c r="B347" s="105"/>
      <c r="C347" s="107" t="s">
        <v>455</v>
      </c>
      <c r="D347" s="107" t="s">
        <v>251</v>
      </c>
      <c r="E347" s="120" t="s">
        <v>251</v>
      </c>
      <c r="F347" s="120" t="s">
        <v>251</v>
      </c>
      <c r="G347" s="120" t="s">
        <v>251</v>
      </c>
      <c r="H347" s="120" t="s">
        <v>251</v>
      </c>
      <c r="I347" s="120" t="s">
        <v>251</v>
      </c>
      <c r="J347" s="120" t="s">
        <v>251</v>
      </c>
      <c r="K347" s="120" t="s">
        <v>251</v>
      </c>
      <c r="L347" s="120" t="s">
        <v>251</v>
      </c>
      <c r="M347" s="120" t="s">
        <v>251</v>
      </c>
      <c r="N347" s="120" t="s">
        <v>251</v>
      </c>
      <c r="O347" s="120" t="s">
        <v>251</v>
      </c>
      <c r="P347" s="120" t="s">
        <v>251</v>
      </c>
      <c r="Q347" s="120" t="s">
        <v>251</v>
      </c>
      <c r="R347" s="120"/>
      <c r="S347" s="121"/>
    </row>
    <row r="348" spans="1:19" ht="15">
      <c r="A348" s="105">
        <v>5</v>
      </c>
      <c r="B348" s="105"/>
      <c r="C348" s="107" t="s">
        <v>456</v>
      </c>
      <c r="D348" s="107" t="s">
        <v>457</v>
      </c>
      <c r="E348" s="120">
        <v>166635549</v>
      </c>
      <c r="F348" s="120" t="s">
        <v>251</v>
      </c>
      <c r="G348" s="120">
        <v>159219916.68118593</v>
      </c>
      <c r="H348" s="120" t="s">
        <v>251</v>
      </c>
      <c r="I348" s="120">
        <v>7415122.5367857991</v>
      </c>
      <c r="J348" s="120">
        <v>509.78202826763612</v>
      </c>
      <c r="K348" s="120" t="s">
        <v>251</v>
      </c>
      <c r="L348" s="120" t="s">
        <v>251</v>
      </c>
      <c r="M348" s="120">
        <v>509.78202826763612</v>
      </c>
      <c r="N348" s="120" t="s">
        <v>251</v>
      </c>
      <c r="O348" s="120">
        <v>0</v>
      </c>
      <c r="P348" s="120">
        <v>0</v>
      </c>
      <c r="Q348" s="120">
        <v>0</v>
      </c>
      <c r="R348" s="120"/>
      <c r="S348" s="121"/>
    </row>
    <row r="349" spans="1:19" ht="15">
      <c r="A349" s="105">
        <v>6</v>
      </c>
      <c r="B349" s="105"/>
      <c r="C349" s="107" t="s">
        <v>520</v>
      </c>
      <c r="D349" s="107" t="s">
        <v>355</v>
      </c>
      <c r="E349" s="120">
        <v>0</v>
      </c>
      <c r="F349" s="120" t="s">
        <v>251</v>
      </c>
      <c r="G349" s="120">
        <v>0</v>
      </c>
      <c r="H349" s="120" t="s">
        <v>251</v>
      </c>
      <c r="I349" s="120">
        <v>0</v>
      </c>
      <c r="J349" s="120">
        <v>0</v>
      </c>
      <c r="K349" s="120" t="s">
        <v>251</v>
      </c>
      <c r="L349" s="120" t="s">
        <v>251</v>
      </c>
      <c r="M349" s="120">
        <v>0</v>
      </c>
      <c r="N349" s="120" t="s">
        <v>251</v>
      </c>
      <c r="O349" s="120">
        <v>0</v>
      </c>
      <c r="P349" s="120">
        <v>0</v>
      </c>
      <c r="Q349" s="120">
        <v>0</v>
      </c>
      <c r="R349" s="120"/>
      <c r="S349" s="121"/>
    </row>
    <row r="350" spans="1:19" ht="15">
      <c r="A350" s="105">
        <v>7</v>
      </c>
      <c r="B350" s="105"/>
      <c r="C350" s="107" t="s">
        <v>521</v>
      </c>
      <c r="D350" s="107" t="s">
        <v>484</v>
      </c>
      <c r="E350" s="120">
        <v>7408047</v>
      </c>
      <c r="F350" s="120" t="s">
        <v>251</v>
      </c>
      <c r="G350" s="120">
        <v>0</v>
      </c>
      <c r="H350" s="120" t="s">
        <v>251</v>
      </c>
      <c r="I350" s="120">
        <v>7408047</v>
      </c>
      <c r="J350" s="120">
        <v>0</v>
      </c>
      <c r="K350" s="120" t="s">
        <v>251</v>
      </c>
      <c r="L350" s="120" t="s">
        <v>251</v>
      </c>
      <c r="M350" s="120">
        <v>0</v>
      </c>
      <c r="N350" s="120" t="s">
        <v>251</v>
      </c>
      <c r="O350" s="120">
        <v>0</v>
      </c>
      <c r="P350" s="120">
        <v>0</v>
      </c>
      <c r="Q350" s="120">
        <v>0</v>
      </c>
      <c r="R350" s="120"/>
      <c r="S350" s="121"/>
    </row>
    <row r="351" spans="1:19" ht="15">
      <c r="A351" s="105">
        <v>8</v>
      </c>
      <c r="B351" s="105"/>
      <c r="C351" s="107" t="s">
        <v>460</v>
      </c>
      <c r="D351" s="107" t="s">
        <v>312</v>
      </c>
      <c r="E351" s="120">
        <v>3142</v>
      </c>
      <c r="F351" s="120" t="s">
        <v>251</v>
      </c>
      <c r="G351" s="120">
        <v>1650.0449726027396</v>
      </c>
      <c r="H351" s="120" t="s">
        <v>251</v>
      </c>
      <c r="I351" s="120">
        <v>1023.3594429223745</v>
      </c>
      <c r="J351" s="120">
        <v>468.59558447488581</v>
      </c>
      <c r="K351" s="120" t="s">
        <v>251</v>
      </c>
      <c r="L351" s="120" t="s">
        <v>251</v>
      </c>
      <c r="M351" s="120">
        <v>0</v>
      </c>
      <c r="N351" s="120" t="s">
        <v>251</v>
      </c>
      <c r="O351" s="120">
        <v>468.59558447488581</v>
      </c>
      <c r="P351" s="120">
        <v>237.65858447488583</v>
      </c>
      <c r="Q351" s="120">
        <v>230.93699999999998</v>
      </c>
      <c r="R351" s="120"/>
      <c r="S351" s="121"/>
    </row>
    <row r="352" spans="1:19" ht="15">
      <c r="A352" s="105">
        <v>9</v>
      </c>
      <c r="B352" s="105"/>
      <c r="C352" s="107" t="s">
        <v>461</v>
      </c>
      <c r="D352" s="107" t="s">
        <v>314</v>
      </c>
      <c r="E352" s="120">
        <v>333800</v>
      </c>
      <c r="F352" s="120" t="s">
        <v>251</v>
      </c>
      <c r="G352" s="120">
        <v>259970.9563827698</v>
      </c>
      <c r="H352" s="120" t="s">
        <v>251</v>
      </c>
      <c r="I352" s="120">
        <v>0</v>
      </c>
      <c r="J352" s="120">
        <v>73829.0436172302</v>
      </c>
      <c r="K352" s="120" t="s">
        <v>251</v>
      </c>
      <c r="L352" s="120" t="s">
        <v>251</v>
      </c>
      <c r="M352" s="120">
        <v>0</v>
      </c>
      <c r="N352" s="120" t="s">
        <v>251</v>
      </c>
      <c r="O352" s="120">
        <v>73829.0436172302</v>
      </c>
      <c r="P352" s="120">
        <v>37444.027601898815</v>
      </c>
      <c r="Q352" s="120">
        <v>36385.016015331377</v>
      </c>
      <c r="R352" s="120"/>
      <c r="S352" s="121"/>
    </row>
    <row r="353" spans="1:19" ht="15">
      <c r="A353" s="105">
        <v>10</v>
      </c>
      <c r="B353" s="105"/>
      <c r="C353" s="107" t="s">
        <v>462</v>
      </c>
      <c r="D353" s="107" t="s">
        <v>251</v>
      </c>
      <c r="E353" s="120">
        <v>174380538</v>
      </c>
      <c r="F353" s="120" t="s">
        <v>251</v>
      </c>
      <c r="G353" s="120">
        <v>159481537.68254131</v>
      </c>
      <c r="H353" s="120" t="s">
        <v>251</v>
      </c>
      <c r="I353" s="120">
        <v>14824192.896228723</v>
      </c>
      <c r="J353" s="120">
        <v>74807.421229972722</v>
      </c>
      <c r="K353" s="120" t="s">
        <v>251</v>
      </c>
      <c r="L353" s="120" t="s">
        <v>251</v>
      </c>
      <c r="M353" s="120">
        <v>509.78202826763612</v>
      </c>
      <c r="N353" s="120" t="s">
        <v>251</v>
      </c>
      <c r="O353" s="120">
        <v>74297.639201705082</v>
      </c>
      <c r="P353" s="120">
        <v>37681.686186373699</v>
      </c>
      <c r="Q353" s="120">
        <v>36615.953015331375</v>
      </c>
      <c r="R353" s="120"/>
      <c r="S353" s="121"/>
    </row>
    <row r="354" spans="1:19" ht="15">
      <c r="A354" s="105" t="s">
        <v>251</v>
      </c>
      <c r="B354" s="105"/>
      <c r="C354" s="107" t="s">
        <v>251</v>
      </c>
      <c r="D354" s="107" t="s">
        <v>251</v>
      </c>
      <c r="E354" s="120" t="s">
        <v>251</v>
      </c>
      <c r="F354" s="120" t="s">
        <v>251</v>
      </c>
      <c r="G354" s="120" t="s">
        <v>251</v>
      </c>
      <c r="H354" s="120" t="s">
        <v>251</v>
      </c>
      <c r="I354" s="120" t="s">
        <v>251</v>
      </c>
      <c r="J354" s="120" t="s">
        <v>251</v>
      </c>
      <c r="K354" s="120" t="s">
        <v>251</v>
      </c>
      <c r="L354" s="120" t="s">
        <v>251</v>
      </c>
      <c r="M354" s="120" t="s">
        <v>251</v>
      </c>
      <c r="N354" s="120" t="s">
        <v>251</v>
      </c>
      <c r="O354" s="120" t="s">
        <v>251</v>
      </c>
      <c r="P354" s="120" t="s">
        <v>251</v>
      </c>
      <c r="Q354" s="120" t="s">
        <v>251</v>
      </c>
      <c r="R354" s="120"/>
      <c r="S354" s="121"/>
    </row>
    <row r="355" spans="1:19" ht="15">
      <c r="A355" s="105">
        <v>11</v>
      </c>
      <c r="B355" s="105"/>
      <c r="C355" s="107" t="s">
        <v>522</v>
      </c>
      <c r="D355" s="107" t="s">
        <v>523</v>
      </c>
      <c r="E355" s="120">
        <v>12253246</v>
      </c>
      <c r="F355" s="120" t="s">
        <v>251</v>
      </c>
      <c r="G355" s="120">
        <v>0</v>
      </c>
      <c r="H355" s="120" t="s">
        <v>251</v>
      </c>
      <c r="I355" s="120">
        <v>12253246</v>
      </c>
      <c r="J355" s="120">
        <v>0</v>
      </c>
      <c r="K355" s="120" t="s">
        <v>251</v>
      </c>
      <c r="L355" s="120" t="s">
        <v>251</v>
      </c>
      <c r="M355" s="120">
        <v>0</v>
      </c>
      <c r="N355" s="120" t="s">
        <v>251</v>
      </c>
      <c r="O355" s="120">
        <v>0</v>
      </c>
      <c r="P355" s="120">
        <v>0</v>
      </c>
      <c r="Q355" s="120">
        <v>0</v>
      </c>
      <c r="R355" s="120"/>
      <c r="S355" s="121"/>
    </row>
    <row r="356" spans="1:19" ht="15">
      <c r="A356" s="105">
        <v>12</v>
      </c>
      <c r="B356" s="105"/>
      <c r="C356" s="107" t="s">
        <v>524</v>
      </c>
      <c r="D356" s="107" t="s">
        <v>525</v>
      </c>
      <c r="E356" s="120">
        <v>275091963.99999994</v>
      </c>
      <c r="F356" s="120" t="s">
        <v>251</v>
      </c>
      <c r="G356" s="120">
        <v>274476862.96499956</v>
      </c>
      <c r="H356" s="120" t="s">
        <v>251</v>
      </c>
      <c r="I356" s="120">
        <v>0</v>
      </c>
      <c r="J356" s="120">
        <v>615101.0350004019</v>
      </c>
      <c r="K356" s="120" t="s">
        <v>251</v>
      </c>
      <c r="L356" s="120" t="s">
        <v>251</v>
      </c>
      <c r="M356" s="120">
        <v>92308.932612504184</v>
      </c>
      <c r="N356" s="120" t="s">
        <v>251</v>
      </c>
      <c r="O356" s="120">
        <v>522792.10238789767</v>
      </c>
      <c r="P356" s="120">
        <v>518961.77039701107</v>
      </c>
      <c r="Q356" s="120">
        <v>3830.3319908866206</v>
      </c>
      <c r="R356" s="120"/>
      <c r="S356" s="121"/>
    </row>
    <row r="357" spans="1:19" ht="15">
      <c r="A357" s="105">
        <v>13</v>
      </c>
      <c r="B357" s="105"/>
      <c r="C357" s="107" t="s">
        <v>467</v>
      </c>
      <c r="D357" s="107" t="s">
        <v>251</v>
      </c>
      <c r="E357" s="120">
        <v>287345209.99999994</v>
      </c>
      <c r="F357" s="120" t="s">
        <v>251</v>
      </c>
      <c r="G357" s="120">
        <v>274476862.96499956</v>
      </c>
      <c r="H357" s="120" t="s">
        <v>251</v>
      </c>
      <c r="I357" s="120">
        <v>12253246</v>
      </c>
      <c r="J357" s="120">
        <v>615101.0350004019</v>
      </c>
      <c r="K357" s="120" t="s">
        <v>251</v>
      </c>
      <c r="L357" s="120" t="s">
        <v>251</v>
      </c>
      <c r="M357" s="120">
        <v>92308.932612504184</v>
      </c>
      <c r="N357" s="120" t="s">
        <v>251</v>
      </c>
      <c r="O357" s="120">
        <v>522792.10238789767</v>
      </c>
      <c r="P357" s="120">
        <v>518961.77039701107</v>
      </c>
      <c r="Q357" s="120">
        <v>3830.3319908866206</v>
      </c>
      <c r="R357" s="120"/>
      <c r="S357" s="121"/>
    </row>
    <row r="358" spans="1:19" ht="15">
      <c r="A358" s="105" t="s">
        <v>251</v>
      </c>
      <c r="B358" s="105"/>
      <c r="C358" s="107" t="s">
        <v>251</v>
      </c>
      <c r="D358" s="107" t="s">
        <v>251</v>
      </c>
      <c r="E358" s="120" t="s">
        <v>251</v>
      </c>
      <c r="F358" s="120" t="s">
        <v>251</v>
      </c>
      <c r="G358" s="120" t="s">
        <v>251</v>
      </c>
      <c r="H358" s="120" t="s">
        <v>251</v>
      </c>
      <c r="I358" s="120" t="s">
        <v>251</v>
      </c>
      <c r="J358" s="120" t="s">
        <v>251</v>
      </c>
      <c r="K358" s="120" t="s">
        <v>251</v>
      </c>
      <c r="L358" s="120" t="s">
        <v>251</v>
      </c>
      <c r="M358" s="120" t="s">
        <v>251</v>
      </c>
      <c r="N358" s="120" t="s">
        <v>251</v>
      </c>
      <c r="O358" s="120" t="s">
        <v>251</v>
      </c>
      <c r="P358" s="120" t="s">
        <v>251</v>
      </c>
      <c r="Q358" s="120" t="s">
        <v>251</v>
      </c>
      <c r="R358" s="120"/>
      <c r="S358" s="121"/>
    </row>
    <row r="359" spans="1:19" ht="15">
      <c r="A359" s="105">
        <v>14</v>
      </c>
      <c r="B359" s="105"/>
      <c r="C359" s="107" t="s">
        <v>437</v>
      </c>
      <c r="D359" s="107" t="s">
        <v>468</v>
      </c>
      <c r="E359" s="120">
        <v>32392038</v>
      </c>
      <c r="F359" s="120" t="s">
        <v>251</v>
      </c>
      <c r="G359" s="120">
        <v>30537807.770561334</v>
      </c>
      <c r="H359" s="120" t="s">
        <v>251</v>
      </c>
      <c r="I359" s="120">
        <v>1479893.4581469742</v>
      </c>
      <c r="J359" s="120">
        <v>374336.77129169228</v>
      </c>
      <c r="K359" s="120" t="s">
        <v>251</v>
      </c>
      <c r="L359" s="120" t="s">
        <v>251</v>
      </c>
      <c r="M359" s="120">
        <v>2106.0740163812588</v>
      </c>
      <c r="N359" s="120" t="s">
        <v>251</v>
      </c>
      <c r="O359" s="120">
        <v>372230.69727531105</v>
      </c>
      <c r="P359" s="120">
        <v>194036.31061347682</v>
      </c>
      <c r="Q359" s="120">
        <v>178194.38666183423</v>
      </c>
      <c r="R359" s="120"/>
      <c r="S359" s="121"/>
    </row>
    <row r="360" spans="1:19" ht="15">
      <c r="A360" s="105" t="s">
        <v>251</v>
      </c>
      <c r="B360" s="105"/>
      <c r="C360" s="107" t="s">
        <v>251</v>
      </c>
      <c r="D360" s="107" t="s">
        <v>251</v>
      </c>
      <c r="E360" s="120" t="s">
        <v>251</v>
      </c>
      <c r="F360" s="120" t="s">
        <v>251</v>
      </c>
      <c r="G360" s="120" t="s">
        <v>251</v>
      </c>
      <c r="H360" s="120" t="s">
        <v>251</v>
      </c>
      <c r="I360" s="120" t="s">
        <v>251</v>
      </c>
      <c r="J360" s="120" t="s">
        <v>251</v>
      </c>
      <c r="K360" s="120" t="s">
        <v>251</v>
      </c>
      <c r="L360" s="120" t="s">
        <v>251</v>
      </c>
      <c r="M360" s="120" t="s">
        <v>251</v>
      </c>
      <c r="N360" s="120" t="s">
        <v>251</v>
      </c>
      <c r="O360" s="120" t="s">
        <v>251</v>
      </c>
      <c r="P360" s="120" t="s">
        <v>251</v>
      </c>
      <c r="Q360" s="120" t="s">
        <v>251</v>
      </c>
      <c r="R360" s="120"/>
      <c r="S360" s="121"/>
    </row>
    <row r="361" spans="1:19" ht="15">
      <c r="A361" s="105">
        <v>15</v>
      </c>
      <c r="B361" s="105"/>
      <c r="C361" s="107" t="s">
        <v>526</v>
      </c>
      <c r="D361" s="107" t="s">
        <v>251</v>
      </c>
      <c r="E361" s="120">
        <v>1404439676</v>
      </c>
      <c r="F361" s="120" t="s">
        <v>251</v>
      </c>
      <c r="G361" s="120">
        <v>1317539216.4786587</v>
      </c>
      <c r="H361" s="120" t="s">
        <v>251</v>
      </c>
      <c r="I361" s="120">
        <v>67557134.350649521</v>
      </c>
      <c r="J361" s="120">
        <v>19343325.170691621</v>
      </c>
      <c r="K361" s="120" t="s">
        <v>251</v>
      </c>
      <c r="L361" s="120" t="s">
        <v>251</v>
      </c>
      <c r="M361" s="120">
        <v>97658.179203134583</v>
      </c>
      <c r="N361" s="120" t="s">
        <v>251</v>
      </c>
      <c r="O361" s="120">
        <v>19245666.991488487</v>
      </c>
      <c r="P361" s="120">
        <v>10019931.964561019</v>
      </c>
      <c r="Q361" s="120">
        <v>9225735.0269274674</v>
      </c>
      <c r="R361" s="120"/>
      <c r="S361" s="121"/>
    </row>
    <row r="362" spans="1:19" ht="15">
      <c r="A362" s="105" t="s">
        <v>251</v>
      </c>
      <c r="B362" s="105"/>
      <c r="C362" s="107" t="s">
        <v>251</v>
      </c>
      <c r="D362" s="107" t="s">
        <v>251</v>
      </c>
      <c r="E362" s="120" t="s">
        <v>251</v>
      </c>
      <c r="F362" s="120" t="s">
        <v>251</v>
      </c>
      <c r="G362" s="120" t="s">
        <v>251</v>
      </c>
      <c r="H362" s="120" t="s">
        <v>251</v>
      </c>
      <c r="I362" s="120" t="s">
        <v>251</v>
      </c>
      <c r="J362" s="120" t="s">
        <v>251</v>
      </c>
      <c r="K362" s="120" t="s">
        <v>251</v>
      </c>
      <c r="L362" s="120" t="s">
        <v>251</v>
      </c>
      <c r="M362" s="120" t="s">
        <v>251</v>
      </c>
      <c r="N362" s="120" t="s">
        <v>251</v>
      </c>
      <c r="O362" s="120" t="s">
        <v>251</v>
      </c>
      <c r="P362" s="120" t="s">
        <v>251</v>
      </c>
      <c r="Q362" s="120" t="s">
        <v>251</v>
      </c>
      <c r="R362" s="120"/>
      <c r="S362" s="121"/>
    </row>
    <row r="363" spans="1:19" ht="15">
      <c r="A363" s="105" t="s">
        <v>251</v>
      </c>
      <c r="B363" s="105"/>
      <c r="C363" s="107" t="s">
        <v>527</v>
      </c>
      <c r="D363" s="107" t="s">
        <v>251</v>
      </c>
      <c r="E363" s="120" t="s">
        <v>251</v>
      </c>
      <c r="F363" s="120" t="s">
        <v>251</v>
      </c>
      <c r="G363" s="120" t="s">
        <v>251</v>
      </c>
      <c r="H363" s="120" t="s">
        <v>251</v>
      </c>
      <c r="I363" s="120" t="s">
        <v>251</v>
      </c>
      <c r="J363" s="120" t="s">
        <v>251</v>
      </c>
      <c r="K363" s="120" t="s">
        <v>251</v>
      </c>
      <c r="L363" s="120" t="s">
        <v>251</v>
      </c>
      <c r="M363" s="120" t="s">
        <v>251</v>
      </c>
      <c r="N363" s="120" t="s">
        <v>251</v>
      </c>
      <c r="O363" s="120" t="s">
        <v>251</v>
      </c>
      <c r="P363" s="120" t="s">
        <v>251</v>
      </c>
      <c r="Q363" s="120" t="s">
        <v>251</v>
      </c>
      <c r="R363" s="120"/>
      <c r="S363" s="121"/>
    </row>
    <row r="364" spans="1:19" ht="15">
      <c r="A364" s="105">
        <v>16</v>
      </c>
      <c r="B364" s="105"/>
      <c r="C364" s="107" t="s">
        <v>528</v>
      </c>
      <c r="D364" s="107" t="s">
        <v>498</v>
      </c>
      <c r="E364" s="120">
        <v>89931576</v>
      </c>
      <c r="F364" s="120" t="s">
        <v>251</v>
      </c>
      <c r="G364" s="120">
        <v>84144180.918382138</v>
      </c>
      <c r="H364" s="120" t="s">
        <v>251</v>
      </c>
      <c r="I364" s="120">
        <v>3907889.6670551179</v>
      </c>
      <c r="J364" s="120">
        <v>1879505.4145627418</v>
      </c>
      <c r="K364" s="120" t="s">
        <v>251</v>
      </c>
      <c r="L364" s="120" t="s">
        <v>251</v>
      </c>
      <c r="M364" s="120">
        <v>268.68863240388049</v>
      </c>
      <c r="N364" s="120" t="s">
        <v>251</v>
      </c>
      <c r="O364" s="120">
        <v>1879236.7259303378</v>
      </c>
      <c r="P364" s="120">
        <v>953096.3478418336</v>
      </c>
      <c r="Q364" s="120">
        <v>926140.37808850419</v>
      </c>
      <c r="R364" s="120"/>
      <c r="S364" s="121"/>
    </row>
    <row r="365" spans="1:19" ht="15">
      <c r="A365" s="105">
        <v>17</v>
      </c>
      <c r="B365" s="105"/>
      <c r="C365" s="107" t="s">
        <v>529</v>
      </c>
      <c r="D365" s="107" t="s">
        <v>500</v>
      </c>
      <c r="E365" s="120">
        <v>0</v>
      </c>
      <c r="F365" s="120" t="s">
        <v>251</v>
      </c>
      <c r="G365" s="120">
        <v>0</v>
      </c>
      <c r="H365" s="120" t="s">
        <v>251</v>
      </c>
      <c r="I365" s="120">
        <v>0</v>
      </c>
      <c r="J365" s="120">
        <v>0</v>
      </c>
      <c r="K365" s="120" t="s">
        <v>251</v>
      </c>
      <c r="L365" s="120" t="s">
        <v>251</v>
      </c>
      <c r="M365" s="120">
        <v>0</v>
      </c>
      <c r="N365" s="120" t="s">
        <v>251</v>
      </c>
      <c r="O365" s="120">
        <v>0</v>
      </c>
      <c r="P365" s="120">
        <v>0</v>
      </c>
      <c r="Q365" s="120">
        <v>0</v>
      </c>
      <c r="R365" s="120"/>
      <c r="S365" s="121"/>
    </row>
    <row r="366" spans="1:19" ht="15">
      <c r="A366" s="105">
        <v>18</v>
      </c>
      <c r="B366" s="105"/>
      <c r="C366" s="107" t="s">
        <v>530</v>
      </c>
      <c r="D366" s="107" t="s">
        <v>459</v>
      </c>
      <c r="E366" s="120">
        <v>0</v>
      </c>
      <c r="F366" s="120" t="s">
        <v>251</v>
      </c>
      <c r="G366" s="120">
        <v>0</v>
      </c>
      <c r="H366" s="120" t="s">
        <v>251</v>
      </c>
      <c r="I366" s="120">
        <v>0</v>
      </c>
      <c r="J366" s="120">
        <v>0</v>
      </c>
      <c r="K366" s="120" t="s">
        <v>251</v>
      </c>
      <c r="L366" s="120" t="s">
        <v>251</v>
      </c>
      <c r="M366" s="120">
        <v>0</v>
      </c>
      <c r="N366" s="120" t="s">
        <v>251</v>
      </c>
      <c r="O366" s="120">
        <v>0</v>
      </c>
      <c r="P366" s="120">
        <v>0</v>
      </c>
      <c r="Q366" s="120">
        <v>0</v>
      </c>
      <c r="R366" s="120"/>
      <c r="S366" s="121"/>
    </row>
    <row r="367" spans="1:19" ht="15">
      <c r="A367" s="105">
        <v>18</v>
      </c>
      <c r="B367" s="105"/>
      <c r="C367" s="107" t="s">
        <v>531</v>
      </c>
      <c r="D367" s="107" t="s">
        <v>532</v>
      </c>
      <c r="E367" s="120">
        <v>0</v>
      </c>
      <c r="F367" s="120" t="s">
        <v>251</v>
      </c>
      <c r="G367" s="120">
        <v>0</v>
      </c>
      <c r="H367" s="120" t="s">
        <v>251</v>
      </c>
      <c r="I367" s="120">
        <v>0</v>
      </c>
      <c r="J367" s="120">
        <v>0</v>
      </c>
      <c r="K367" s="120" t="s">
        <v>251</v>
      </c>
      <c r="L367" s="120" t="s">
        <v>251</v>
      </c>
      <c r="M367" s="120">
        <v>0</v>
      </c>
      <c r="N367" s="120" t="s">
        <v>251</v>
      </c>
      <c r="O367" s="120">
        <v>0</v>
      </c>
      <c r="P367" s="120">
        <v>0</v>
      </c>
      <c r="Q367" s="120">
        <v>0</v>
      </c>
      <c r="R367" s="120"/>
      <c r="S367" s="121"/>
    </row>
    <row r="368" spans="1:19" ht="15">
      <c r="A368" s="105">
        <v>20</v>
      </c>
      <c r="B368" s="105"/>
      <c r="C368" s="107" t="s">
        <v>533</v>
      </c>
      <c r="D368" s="107" t="s">
        <v>525</v>
      </c>
      <c r="E368" s="120">
        <v>0</v>
      </c>
      <c r="F368" s="120" t="s">
        <v>251</v>
      </c>
      <c r="G368" s="120">
        <v>0</v>
      </c>
      <c r="H368" s="120" t="s">
        <v>251</v>
      </c>
      <c r="I368" s="120">
        <v>0</v>
      </c>
      <c r="J368" s="120">
        <v>0</v>
      </c>
      <c r="K368" s="120" t="s">
        <v>251</v>
      </c>
      <c r="L368" s="120" t="s">
        <v>251</v>
      </c>
      <c r="M368" s="120">
        <v>0</v>
      </c>
      <c r="N368" s="120" t="s">
        <v>251</v>
      </c>
      <c r="O368" s="120">
        <v>0</v>
      </c>
      <c r="P368" s="120">
        <v>0</v>
      </c>
      <c r="Q368" s="120">
        <v>0</v>
      </c>
      <c r="R368" s="120"/>
      <c r="S368" s="121"/>
    </row>
    <row r="369" spans="1:19" ht="15">
      <c r="A369" s="105">
        <v>21</v>
      </c>
      <c r="B369" s="105"/>
      <c r="C369" s="107" t="s">
        <v>534</v>
      </c>
      <c r="D369" s="107" t="s">
        <v>468</v>
      </c>
      <c r="E369" s="120">
        <v>0</v>
      </c>
      <c r="F369" s="120" t="s">
        <v>251</v>
      </c>
      <c r="G369" s="120">
        <v>0</v>
      </c>
      <c r="H369" s="120" t="s">
        <v>251</v>
      </c>
      <c r="I369" s="120">
        <v>0</v>
      </c>
      <c r="J369" s="120">
        <v>0</v>
      </c>
      <c r="K369" s="120" t="s">
        <v>251</v>
      </c>
      <c r="L369" s="120" t="s">
        <v>251</v>
      </c>
      <c r="M369" s="120">
        <v>0</v>
      </c>
      <c r="N369" s="120" t="s">
        <v>251</v>
      </c>
      <c r="O369" s="120" t="s">
        <v>2495</v>
      </c>
      <c r="P369" s="120">
        <v>0</v>
      </c>
      <c r="Q369" s="120">
        <v>0</v>
      </c>
      <c r="R369" s="120"/>
      <c r="S369" s="121"/>
    </row>
    <row r="370" spans="1:19" ht="15">
      <c r="A370" s="105">
        <v>22</v>
      </c>
      <c r="B370" s="105"/>
      <c r="C370" s="107" t="s">
        <v>535</v>
      </c>
      <c r="D370" s="107" t="s">
        <v>251</v>
      </c>
      <c r="E370" s="120">
        <v>89931576</v>
      </c>
      <c r="F370" s="120" t="s">
        <v>251</v>
      </c>
      <c r="G370" s="120">
        <v>84144180.918382138</v>
      </c>
      <c r="H370" s="120" t="s">
        <v>251</v>
      </c>
      <c r="I370" s="120">
        <v>3907889.6670551179</v>
      </c>
      <c r="J370" s="120">
        <v>1879505.4145627418</v>
      </c>
      <c r="K370" s="120" t="s">
        <v>251</v>
      </c>
      <c r="L370" s="120" t="s">
        <v>251</v>
      </c>
      <c r="M370" s="120">
        <v>268.68863240388049</v>
      </c>
      <c r="N370" s="120" t="s">
        <v>251</v>
      </c>
      <c r="O370" s="120">
        <v>1879236.7259303378</v>
      </c>
      <c r="P370" s="120">
        <v>953096.3478418336</v>
      </c>
      <c r="Q370" s="120">
        <v>926140.37808850419</v>
      </c>
      <c r="R370" s="120"/>
      <c r="S370" s="121"/>
    </row>
    <row r="371" spans="1:19" ht="15">
      <c r="A371" s="105" t="s">
        <v>251</v>
      </c>
      <c r="B371" s="105"/>
      <c r="C371" s="107" t="s">
        <v>251</v>
      </c>
      <c r="D371" s="107" t="s">
        <v>251</v>
      </c>
      <c r="E371" s="120" t="s">
        <v>251</v>
      </c>
      <c r="F371" s="120" t="s">
        <v>251</v>
      </c>
      <c r="G371" s="120" t="s">
        <v>251</v>
      </c>
      <c r="H371" s="120" t="s">
        <v>251</v>
      </c>
      <c r="I371" s="120" t="s">
        <v>251</v>
      </c>
      <c r="J371" s="120" t="s">
        <v>251</v>
      </c>
      <c r="K371" s="120" t="s">
        <v>251</v>
      </c>
      <c r="L371" s="120" t="s">
        <v>251</v>
      </c>
      <c r="M371" s="120" t="s">
        <v>251</v>
      </c>
      <c r="N371" s="120" t="s">
        <v>251</v>
      </c>
      <c r="O371" s="120" t="s">
        <v>251</v>
      </c>
      <c r="P371" s="120" t="s">
        <v>251</v>
      </c>
      <c r="Q371" s="120" t="s">
        <v>251</v>
      </c>
      <c r="R371" s="120"/>
      <c r="S371" s="121"/>
    </row>
    <row r="372" spans="1:19" ht="15">
      <c r="A372" s="105">
        <v>23</v>
      </c>
      <c r="B372" s="105"/>
      <c r="C372" s="107" t="s">
        <v>536</v>
      </c>
      <c r="D372" s="107" t="s">
        <v>537</v>
      </c>
      <c r="E372" s="120">
        <v>980981.36999999965</v>
      </c>
      <c r="F372" s="120" t="s">
        <v>251</v>
      </c>
      <c r="G372" s="120">
        <v>951646.55364259344</v>
      </c>
      <c r="H372" s="120" t="s">
        <v>251</v>
      </c>
      <c r="I372" s="120">
        <v>29334.816357406231</v>
      </c>
      <c r="J372" s="120">
        <v>0</v>
      </c>
      <c r="K372" s="120" t="s">
        <v>251</v>
      </c>
      <c r="L372" s="120" t="s">
        <v>251</v>
      </c>
      <c r="M372" s="120">
        <v>0</v>
      </c>
      <c r="N372" s="120" t="s">
        <v>251</v>
      </c>
      <c r="O372" s="120">
        <v>0</v>
      </c>
      <c r="P372" s="120">
        <v>0</v>
      </c>
      <c r="Q372" s="120">
        <v>0</v>
      </c>
      <c r="R372" s="120"/>
      <c r="S372" s="121"/>
    </row>
    <row r="373" spans="1:19" ht="15">
      <c r="A373" s="105">
        <v>24</v>
      </c>
      <c r="B373" s="105"/>
      <c r="C373" s="107" t="s">
        <v>538</v>
      </c>
      <c r="D373" s="107" t="s">
        <v>539</v>
      </c>
      <c r="E373" s="120">
        <v>30898393.370000001</v>
      </c>
      <c r="F373" s="120" t="s">
        <v>251</v>
      </c>
      <c r="G373" s="120">
        <v>0</v>
      </c>
      <c r="H373" s="120" t="s">
        <v>251</v>
      </c>
      <c r="I373" s="120">
        <v>1710542.4421739152</v>
      </c>
      <c r="J373" s="120">
        <v>1.0102626508301783E-2</v>
      </c>
      <c r="K373" s="120" t="s">
        <v>251</v>
      </c>
      <c r="L373" s="120" t="s">
        <v>251</v>
      </c>
      <c r="M373" s="120">
        <v>0</v>
      </c>
      <c r="N373" s="120" t="s">
        <v>251</v>
      </c>
      <c r="O373" s="120">
        <v>1.0102626508301783E-2</v>
      </c>
      <c r="P373" s="120">
        <v>1.0102626508301783E-2</v>
      </c>
      <c r="Q373" s="120">
        <v>0</v>
      </c>
      <c r="R373" s="120"/>
      <c r="S373" s="121"/>
    </row>
    <row r="374" spans="1:19" ht="15">
      <c r="A374" s="105">
        <v>25</v>
      </c>
      <c r="B374" s="105"/>
      <c r="C374" s="107" t="s">
        <v>540</v>
      </c>
      <c r="D374" s="107" t="s">
        <v>541</v>
      </c>
      <c r="E374" s="120">
        <v>-91173</v>
      </c>
      <c r="F374" s="120" t="s">
        <v>251</v>
      </c>
      <c r="G374" s="120">
        <v>0</v>
      </c>
      <c r="H374" s="120" t="s">
        <v>251</v>
      </c>
      <c r="I374" s="120">
        <v>-91173</v>
      </c>
      <c r="J374" s="120">
        <v>0</v>
      </c>
      <c r="K374" s="120" t="s">
        <v>251</v>
      </c>
      <c r="L374" s="120" t="s">
        <v>251</v>
      </c>
      <c r="M374" s="120">
        <v>0</v>
      </c>
      <c r="N374" s="120" t="s">
        <v>251</v>
      </c>
      <c r="O374" s="120">
        <v>0</v>
      </c>
      <c r="P374" s="120">
        <v>0</v>
      </c>
      <c r="Q374" s="120">
        <v>0</v>
      </c>
      <c r="R374" s="120"/>
      <c r="S374" s="121"/>
    </row>
    <row r="375" spans="1:19" ht="15">
      <c r="A375" s="105">
        <v>26</v>
      </c>
      <c r="B375" s="105"/>
      <c r="C375" s="107" t="s">
        <v>542</v>
      </c>
      <c r="D375" s="107" t="s">
        <v>419</v>
      </c>
      <c r="E375" s="120">
        <v>18730630.045384593</v>
      </c>
      <c r="F375" s="120" t="s">
        <v>251</v>
      </c>
      <c r="G375" s="120">
        <v>0</v>
      </c>
      <c r="H375" s="120" t="s">
        <v>251</v>
      </c>
      <c r="I375" s="120">
        <v>886854.04059820552</v>
      </c>
      <c r="J375" s="120">
        <v>9.983713851556717E-13</v>
      </c>
      <c r="K375" s="120" t="s">
        <v>251</v>
      </c>
      <c r="L375" s="120" t="s">
        <v>251</v>
      </c>
      <c r="M375" s="120">
        <v>0</v>
      </c>
      <c r="N375" s="120" t="s">
        <v>251</v>
      </c>
      <c r="O375" s="120">
        <v>9.983713851556717E-13</v>
      </c>
      <c r="P375" s="120">
        <v>0</v>
      </c>
      <c r="Q375" s="120">
        <v>0</v>
      </c>
      <c r="R375" s="120"/>
      <c r="S375" s="121"/>
    </row>
    <row r="376" spans="1:19" ht="15">
      <c r="A376" s="105">
        <v>27</v>
      </c>
      <c r="B376" s="105"/>
      <c r="C376" s="107" t="s">
        <v>543</v>
      </c>
      <c r="D376" s="107" t="s">
        <v>419</v>
      </c>
      <c r="E376" s="120">
        <v>6921646.9999999981</v>
      </c>
      <c r="F376" s="120" t="s">
        <v>251</v>
      </c>
      <c r="G376" s="120">
        <v>0</v>
      </c>
      <c r="H376" s="120" t="s">
        <v>251</v>
      </c>
      <c r="I376" s="120">
        <v>0</v>
      </c>
      <c r="J376" s="120">
        <v>82431.071509072906</v>
      </c>
      <c r="K376" s="120" t="s">
        <v>251</v>
      </c>
      <c r="L376" s="120" t="s">
        <v>251</v>
      </c>
      <c r="M376" s="120">
        <v>0</v>
      </c>
      <c r="N376" s="120" t="s">
        <v>251</v>
      </c>
      <c r="O376" s="120">
        <v>82431.071509072906</v>
      </c>
      <c r="P376" s="120">
        <v>42969.645202867752</v>
      </c>
      <c r="Q376" s="120">
        <v>39461.426306205147</v>
      </c>
      <c r="R376" s="120"/>
      <c r="S376" s="121"/>
    </row>
    <row r="377" spans="1:19" ht="15">
      <c r="A377" s="105">
        <v>28</v>
      </c>
      <c r="B377" s="105"/>
      <c r="C377" s="107" t="s">
        <v>544</v>
      </c>
      <c r="D377" s="107" t="s">
        <v>419</v>
      </c>
      <c r="E377" s="120">
        <v>6465681.3499999996</v>
      </c>
      <c r="F377" s="120" t="s">
        <v>251</v>
      </c>
      <c r="G377" s="120">
        <v>0</v>
      </c>
      <c r="H377" s="120" t="s">
        <v>251</v>
      </c>
      <c r="I377" s="120">
        <v>0</v>
      </c>
      <c r="J377" s="120">
        <v>77000.899022548983</v>
      </c>
      <c r="K377" s="120" t="s">
        <v>251</v>
      </c>
      <c r="L377" s="120" t="s">
        <v>251</v>
      </c>
      <c r="M377" s="120">
        <v>0</v>
      </c>
      <c r="N377" s="120" t="s">
        <v>251</v>
      </c>
      <c r="O377" s="120">
        <v>77000.899022548983</v>
      </c>
      <c r="P377" s="120">
        <v>40139.006453853981</v>
      </c>
      <c r="Q377" s="120">
        <v>36861.89256869501</v>
      </c>
      <c r="R377" s="120"/>
      <c r="S377" s="121"/>
    </row>
    <row r="378" spans="1:19" ht="15">
      <c r="A378" s="105">
        <v>29</v>
      </c>
      <c r="B378" s="105"/>
      <c r="C378" s="107" t="s">
        <v>545</v>
      </c>
      <c r="D378" s="107" t="s">
        <v>419</v>
      </c>
      <c r="E378" s="120">
        <v>1944142.0800000003</v>
      </c>
      <c r="F378" s="120" t="s">
        <v>251</v>
      </c>
      <c r="G378" s="120">
        <v>0</v>
      </c>
      <c r="H378" s="120" t="s">
        <v>251</v>
      </c>
      <c r="I378" s="120">
        <v>0</v>
      </c>
      <c r="J378" s="120">
        <v>23153.118733197141</v>
      </c>
      <c r="K378" s="120" t="s">
        <v>251</v>
      </c>
      <c r="L378" s="120" t="s">
        <v>251</v>
      </c>
      <c r="M378" s="120">
        <v>0</v>
      </c>
      <c r="N378" s="120" t="s">
        <v>251</v>
      </c>
      <c r="O378" s="120">
        <v>23153.118733197141</v>
      </c>
      <c r="P378" s="120">
        <v>12069.251061425895</v>
      </c>
      <c r="Q378" s="120">
        <v>11083.867671771246</v>
      </c>
      <c r="R378" s="120"/>
      <c r="S378" s="121"/>
    </row>
    <row r="379" spans="1:19" ht="15">
      <c r="A379" s="105">
        <v>30</v>
      </c>
      <c r="B379" s="105"/>
      <c r="C379" s="107" t="s">
        <v>546</v>
      </c>
      <c r="D379" s="107" t="s">
        <v>251</v>
      </c>
      <c r="E379" s="120">
        <v>1560221554.2153842</v>
      </c>
      <c r="F379" s="120" t="s">
        <v>251</v>
      </c>
      <c r="G379" s="120">
        <v>1402635043.9506834</v>
      </c>
      <c r="H379" s="120" t="s">
        <v>251</v>
      </c>
      <c r="I379" s="120">
        <v>74000582.316834152</v>
      </c>
      <c r="J379" s="120">
        <v>21405415.684621803</v>
      </c>
      <c r="K379" s="120" t="s">
        <v>251</v>
      </c>
      <c r="L379" s="120" t="s">
        <v>251</v>
      </c>
      <c r="M379" s="120">
        <v>97926.867835538462</v>
      </c>
      <c r="N379" s="120" t="s">
        <v>251</v>
      </c>
      <c r="O379" s="120">
        <v>21307488.816786267</v>
      </c>
      <c r="P379" s="120">
        <v>11068206.225223625</v>
      </c>
      <c r="Q379" s="120">
        <v>10239282.591562642</v>
      </c>
      <c r="R379" s="120"/>
      <c r="S379" s="121"/>
    </row>
    <row r="380" spans="1:19" ht="15">
      <c r="A380" s="105" t="s">
        <v>251</v>
      </c>
      <c r="B380" s="105"/>
      <c r="C380" s="107" t="s">
        <v>251</v>
      </c>
      <c r="D380" s="107" t="s">
        <v>251</v>
      </c>
      <c r="E380" s="120" t="s">
        <v>251</v>
      </c>
      <c r="F380" s="120" t="s">
        <v>251</v>
      </c>
      <c r="G380" s="120" t="s">
        <v>251</v>
      </c>
      <c r="H380" s="120" t="s">
        <v>251</v>
      </c>
      <c r="I380" s="120" t="s">
        <v>251</v>
      </c>
      <c r="J380" s="120" t="s">
        <v>251</v>
      </c>
      <c r="K380" s="120" t="s">
        <v>251</v>
      </c>
      <c r="L380" s="120" t="s">
        <v>251</v>
      </c>
      <c r="M380" s="120" t="s">
        <v>251</v>
      </c>
      <c r="N380" s="120" t="s">
        <v>251</v>
      </c>
      <c r="O380" s="120" t="s">
        <v>251</v>
      </c>
      <c r="P380" s="120" t="s">
        <v>251</v>
      </c>
      <c r="Q380" s="120" t="s">
        <v>251</v>
      </c>
      <c r="R380" s="120"/>
      <c r="S380" s="121"/>
    </row>
    <row r="381" spans="1:19" ht="15">
      <c r="A381" s="105">
        <v>31</v>
      </c>
      <c r="B381" s="105"/>
      <c r="C381" s="107" t="s">
        <v>547</v>
      </c>
      <c r="D381" s="107" t="s">
        <v>251</v>
      </c>
      <c r="E381" s="120">
        <v>5584762852.6863222</v>
      </c>
      <c r="F381" s="120" t="s">
        <v>251</v>
      </c>
      <c r="G381" s="120">
        <v>5297822468.0457783</v>
      </c>
      <c r="H381" s="120" t="s">
        <v>251</v>
      </c>
      <c r="I381" s="120">
        <v>267427320.51656616</v>
      </c>
      <c r="J381" s="120">
        <v>81693576.387220904</v>
      </c>
      <c r="K381" s="120" t="s">
        <v>251</v>
      </c>
      <c r="L381" s="120" t="s">
        <v>251</v>
      </c>
      <c r="M381" s="120">
        <v>433440.35922194738</v>
      </c>
      <c r="N381" s="120" t="s">
        <v>251</v>
      </c>
      <c r="O381" s="120">
        <v>81260136.027998954</v>
      </c>
      <c r="P381" s="120">
        <v>42155558.870193303</v>
      </c>
      <c r="Q381" s="120">
        <v>39104577.157805644</v>
      </c>
      <c r="R381" s="120"/>
      <c r="S381" s="121"/>
    </row>
    <row r="382" spans="1:19" ht="15">
      <c r="A382" s="105" t="s">
        <v>251</v>
      </c>
      <c r="B382" s="105"/>
      <c r="C382" s="107" t="s">
        <v>251</v>
      </c>
      <c r="D382" s="107" t="s">
        <v>251</v>
      </c>
      <c r="E382" s="120" t="s">
        <v>251</v>
      </c>
      <c r="F382" s="120" t="s">
        <v>251</v>
      </c>
      <c r="G382" s="120" t="s">
        <v>251</v>
      </c>
      <c r="H382" s="120" t="s">
        <v>251</v>
      </c>
      <c r="I382" s="120" t="s">
        <v>251</v>
      </c>
      <c r="J382" s="120" t="s">
        <v>251</v>
      </c>
      <c r="K382" s="120" t="s">
        <v>251</v>
      </c>
      <c r="L382" s="120" t="s">
        <v>251</v>
      </c>
      <c r="M382" s="120" t="s">
        <v>251</v>
      </c>
      <c r="N382" s="120" t="s">
        <v>251</v>
      </c>
      <c r="O382" s="120" t="s">
        <v>251</v>
      </c>
      <c r="P382" s="120" t="s">
        <v>251</v>
      </c>
      <c r="Q382" s="120" t="s">
        <v>251</v>
      </c>
      <c r="R382" s="120"/>
      <c r="S382" s="121"/>
    </row>
    <row r="383" spans="1:19" ht="15">
      <c r="A383" s="105" t="s">
        <v>251</v>
      </c>
      <c r="B383" s="105"/>
      <c r="C383" s="107" t="s">
        <v>251</v>
      </c>
      <c r="D383" s="107" t="s">
        <v>251</v>
      </c>
      <c r="E383" s="120" t="s">
        <v>251</v>
      </c>
      <c r="F383" s="120" t="s">
        <v>251</v>
      </c>
      <c r="G383" s="120" t="s">
        <v>251</v>
      </c>
      <c r="H383" s="120" t="s">
        <v>251</v>
      </c>
      <c r="I383" s="120" t="s">
        <v>251</v>
      </c>
      <c r="J383" s="120" t="s">
        <v>251</v>
      </c>
      <c r="K383" s="120" t="s">
        <v>251</v>
      </c>
      <c r="L383" s="120" t="s">
        <v>251</v>
      </c>
      <c r="M383" s="120" t="s">
        <v>251</v>
      </c>
      <c r="N383" s="120" t="s">
        <v>251</v>
      </c>
      <c r="O383" s="120" t="s">
        <v>251</v>
      </c>
      <c r="P383" s="120" t="s">
        <v>251</v>
      </c>
      <c r="Q383" s="120" t="s">
        <v>251</v>
      </c>
      <c r="R383" s="120"/>
      <c r="S383" s="121"/>
    </row>
    <row r="384" spans="1:19" ht="15">
      <c r="A384" s="105" t="s">
        <v>251</v>
      </c>
      <c r="B384" s="129"/>
      <c r="C384" s="107" t="s">
        <v>279</v>
      </c>
      <c r="D384" s="107" t="s">
        <v>251</v>
      </c>
      <c r="E384" s="120" t="s">
        <v>251</v>
      </c>
      <c r="F384" s="120" t="s">
        <v>251</v>
      </c>
      <c r="G384" s="120" t="s">
        <v>251</v>
      </c>
      <c r="H384" s="120" t="s">
        <v>251</v>
      </c>
      <c r="I384" s="120" t="s">
        <v>251</v>
      </c>
      <c r="J384" s="120" t="s">
        <v>251</v>
      </c>
      <c r="K384" s="120" t="s">
        <v>251</v>
      </c>
      <c r="L384" s="120" t="s">
        <v>251</v>
      </c>
      <c r="M384" s="120" t="s">
        <v>251</v>
      </c>
      <c r="N384" s="120" t="s">
        <v>251</v>
      </c>
      <c r="O384" s="120" t="s">
        <v>251</v>
      </c>
      <c r="P384" s="120" t="s">
        <v>251</v>
      </c>
      <c r="Q384" s="120" t="s">
        <v>251</v>
      </c>
      <c r="R384" s="120"/>
      <c r="S384" s="121"/>
    </row>
    <row r="385" spans="1:19" ht="15">
      <c r="A385" s="105" t="s">
        <v>251</v>
      </c>
      <c r="B385" s="129" t="str">
        <f t="shared" ref="B385:B448" si="15">MID(C385,3,3)</f>
        <v/>
      </c>
      <c r="C385" s="107" t="s">
        <v>251</v>
      </c>
      <c r="D385" s="107" t="s">
        <v>251</v>
      </c>
      <c r="E385" s="120" t="s">
        <v>251</v>
      </c>
      <c r="F385" s="120" t="s">
        <v>251</v>
      </c>
      <c r="G385" s="120" t="s">
        <v>251</v>
      </c>
      <c r="H385" s="120" t="s">
        <v>251</v>
      </c>
      <c r="I385" s="120" t="s">
        <v>251</v>
      </c>
      <c r="J385" s="120" t="s">
        <v>251</v>
      </c>
      <c r="K385" s="120" t="s">
        <v>251</v>
      </c>
      <c r="L385" s="120" t="s">
        <v>251</v>
      </c>
      <c r="M385" s="120" t="s">
        <v>251</v>
      </c>
      <c r="N385" s="120" t="s">
        <v>251</v>
      </c>
      <c r="O385" s="120" t="s">
        <v>251</v>
      </c>
      <c r="P385" s="120" t="s">
        <v>251</v>
      </c>
      <c r="Q385" s="120" t="s">
        <v>251</v>
      </c>
      <c r="R385" s="120"/>
      <c r="S385" s="121"/>
    </row>
    <row r="386" spans="1:19" ht="15">
      <c r="A386" s="105" t="s">
        <v>251</v>
      </c>
      <c r="B386" s="129"/>
      <c r="C386" s="107" t="s">
        <v>548</v>
      </c>
      <c r="D386" s="107" t="s">
        <v>251</v>
      </c>
      <c r="E386" s="120" t="s">
        <v>251</v>
      </c>
      <c r="F386" s="120" t="s">
        <v>251</v>
      </c>
      <c r="G386" s="120" t="s">
        <v>251</v>
      </c>
      <c r="H386" s="120" t="s">
        <v>251</v>
      </c>
      <c r="I386" s="120" t="s">
        <v>251</v>
      </c>
      <c r="J386" s="120" t="s">
        <v>251</v>
      </c>
      <c r="K386" s="120" t="s">
        <v>251</v>
      </c>
      <c r="L386" s="120" t="s">
        <v>251</v>
      </c>
      <c r="M386" s="120" t="s">
        <v>251</v>
      </c>
      <c r="N386" s="120" t="s">
        <v>251</v>
      </c>
      <c r="O386" s="120" t="s">
        <v>251</v>
      </c>
      <c r="P386" s="120" t="s">
        <v>251</v>
      </c>
      <c r="Q386" s="120" t="s">
        <v>251</v>
      </c>
      <c r="R386" s="120"/>
      <c r="S386" s="121"/>
    </row>
    <row r="387" spans="1:19" ht="15">
      <c r="A387" s="105">
        <v>1</v>
      </c>
      <c r="B387" s="129" t="str">
        <f t="shared" si="15"/>
        <v>440</v>
      </c>
      <c r="C387" s="107" t="s">
        <v>549</v>
      </c>
      <c r="D387" s="107" t="s">
        <v>251</v>
      </c>
      <c r="E387" s="120">
        <v>665780962.51379442</v>
      </c>
      <c r="F387" s="120" t="s">
        <v>251</v>
      </c>
      <c r="G387" s="120">
        <v>627616026.95713294</v>
      </c>
      <c r="H387" s="120" t="s">
        <v>251</v>
      </c>
      <c r="I387" s="120">
        <v>38164935.556661539</v>
      </c>
      <c r="J387" s="120">
        <v>0</v>
      </c>
      <c r="K387" s="120" t="s">
        <v>251</v>
      </c>
      <c r="L387" s="120" t="s">
        <v>251</v>
      </c>
      <c r="M387" s="120">
        <v>0</v>
      </c>
      <c r="N387" s="120" t="s">
        <v>251</v>
      </c>
      <c r="O387" s="120">
        <v>0</v>
      </c>
      <c r="P387" s="120">
        <v>0</v>
      </c>
      <c r="Q387" s="120">
        <v>0</v>
      </c>
      <c r="R387" s="120"/>
      <c r="S387" s="121"/>
    </row>
    <row r="388" spans="1:19" ht="15">
      <c r="A388" s="105">
        <v>2</v>
      </c>
      <c r="B388" s="129" t="str">
        <f t="shared" si="15"/>
        <v>442</v>
      </c>
      <c r="C388" s="107" t="s">
        <v>550</v>
      </c>
      <c r="D388" s="107" t="s">
        <v>251</v>
      </c>
      <c r="E388" s="120">
        <v>416946133.83197814</v>
      </c>
      <c r="F388" s="120" t="s">
        <v>251</v>
      </c>
      <c r="G388" s="120">
        <v>399084558.84822679</v>
      </c>
      <c r="H388" s="120" t="s">
        <v>251</v>
      </c>
      <c r="I388" s="120">
        <v>17861574.983751338</v>
      </c>
      <c r="J388" s="120">
        <v>0</v>
      </c>
      <c r="K388" s="120" t="s">
        <v>251</v>
      </c>
      <c r="L388" s="120" t="s">
        <v>251</v>
      </c>
      <c r="M388" s="120">
        <v>0</v>
      </c>
      <c r="N388" s="120" t="s">
        <v>251</v>
      </c>
      <c r="O388" s="120">
        <v>0</v>
      </c>
      <c r="P388" s="120">
        <v>0</v>
      </c>
      <c r="Q388" s="120">
        <v>0</v>
      </c>
      <c r="R388" s="120"/>
      <c r="S388" s="121"/>
    </row>
    <row r="389" spans="1:19" ht="15">
      <c r="A389" s="105">
        <v>3</v>
      </c>
      <c r="B389" s="129" t="str">
        <f t="shared" si="15"/>
        <v>442</v>
      </c>
      <c r="C389" s="107" t="s">
        <v>551</v>
      </c>
      <c r="D389" s="107" t="s">
        <v>251</v>
      </c>
      <c r="E389" s="120">
        <v>432592206.28307968</v>
      </c>
      <c r="F389" s="120" t="s">
        <v>251</v>
      </c>
      <c r="G389" s="120">
        <v>424468413.84072071</v>
      </c>
      <c r="H389" s="120" t="s">
        <v>251</v>
      </c>
      <c r="I389" s="120">
        <v>8123792.442358966</v>
      </c>
      <c r="J389" s="120">
        <v>0</v>
      </c>
      <c r="K389" s="120" t="s">
        <v>251</v>
      </c>
      <c r="L389" s="120" t="s">
        <v>251</v>
      </c>
      <c r="M389" s="120">
        <v>0</v>
      </c>
      <c r="N389" s="120" t="s">
        <v>251</v>
      </c>
      <c r="O389" s="120">
        <v>0</v>
      </c>
      <c r="P389" s="120">
        <v>0</v>
      </c>
      <c r="Q389" s="120">
        <v>0</v>
      </c>
      <c r="R389" s="120"/>
      <c r="S389" s="121"/>
    </row>
    <row r="390" spans="1:19" ht="15">
      <c r="A390" s="105">
        <v>4</v>
      </c>
      <c r="B390" s="129" t="str">
        <f t="shared" si="15"/>
        <v>444</v>
      </c>
      <c r="C390" s="107" t="s">
        <v>552</v>
      </c>
      <c r="D390" s="107" t="s">
        <v>251</v>
      </c>
      <c r="E390" s="120">
        <v>13596751.489532916</v>
      </c>
      <c r="F390" s="120" t="s">
        <v>251</v>
      </c>
      <c r="G390" s="120">
        <v>13142555.364521325</v>
      </c>
      <c r="H390" s="120" t="s">
        <v>251</v>
      </c>
      <c r="I390" s="120">
        <v>454196.12501159054</v>
      </c>
      <c r="J390" s="120">
        <v>0</v>
      </c>
      <c r="K390" s="120" t="s">
        <v>251</v>
      </c>
      <c r="L390" s="120" t="s">
        <v>251</v>
      </c>
      <c r="M390" s="120">
        <v>0</v>
      </c>
      <c r="N390" s="120" t="s">
        <v>251</v>
      </c>
      <c r="O390" s="120">
        <v>0</v>
      </c>
      <c r="P390" s="120">
        <v>0</v>
      </c>
      <c r="Q390" s="120">
        <v>0</v>
      </c>
      <c r="R390" s="120"/>
      <c r="S390" s="121"/>
    </row>
    <row r="391" spans="1:19" ht="15">
      <c r="A391" s="105">
        <v>5</v>
      </c>
      <c r="B391" s="129" t="str">
        <f t="shared" si="15"/>
        <v>445</v>
      </c>
      <c r="C391" s="107" t="s">
        <v>553</v>
      </c>
      <c r="D391" s="107" t="s">
        <v>251</v>
      </c>
      <c r="E391" s="120">
        <v>130933976.42200138</v>
      </c>
      <c r="F391" s="120" t="s">
        <v>251</v>
      </c>
      <c r="G391" s="120">
        <v>124371272.41641091</v>
      </c>
      <c r="H391" s="120" t="s">
        <v>251</v>
      </c>
      <c r="I391" s="120">
        <v>6562704.0055904742</v>
      </c>
      <c r="J391" s="120">
        <v>0</v>
      </c>
      <c r="K391" s="120" t="s">
        <v>251</v>
      </c>
      <c r="L391" s="120" t="s">
        <v>251</v>
      </c>
      <c r="M391" s="120">
        <v>0</v>
      </c>
      <c r="N391" s="120" t="s">
        <v>251</v>
      </c>
      <c r="O391" s="120">
        <v>0</v>
      </c>
      <c r="P391" s="120">
        <v>0</v>
      </c>
      <c r="Q391" s="120">
        <v>0</v>
      </c>
      <c r="R391" s="120"/>
      <c r="S391" s="121"/>
    </row>
    <row r="392" spans="1:19" ht="15">
      <c r="A392" s="105">
        <v>6</v>
      </c>
      <c r="B392" s="129" t="str">
        <f t="shared" si="15"/>
        <v>447</v>
      </c>
      <c r="C392" s="107" t="s">
        <v>554</v>
      </c>
      <c r="D392" s="107" t="s">
        <v>251</v>
      </c>
      <c r="E392" s="120">
        <v>24857217.745995708</v>
      </c>
      <c r="F392" s="120" t="s">
        <v>251</v>
      </c>
      <c r="G392" s="120">
        <v>0</v>
      </c>
      <c r="H392" s="120" t="s">
        <v>251</v>
      </c>
      <c r="I392" s="120">
        <v>0</v>
      </c>
      <c r="J392" s="120">
        <v>24857217.745995708</v>
      </c>
      <c r="K392" s="120" t="s">
        <v>251</v>
      </c>
      <c r="L392" s="120" t="s">
        <v>251</v>
      </c>
      <c r="M392" s="120">
        <v>0</v>
      </c>
      <c r="N392" s="120" t="s">
        <v>251</v>
      </c>
      <c r="O392" s="120">
        <v>24857217.745995708</v>
      </c>
      <c r="P392" s="120">
        <v>12585764.562653359</v>
      </c>
      <c r="Q392" s="120">
        <v>12271453.183342351</v>
      </c>
      <c r="R392" s="120"/>
      <c r="S392" s="121"/>
    </row>
    <row r="393" spans="1:19" ht="15">
      <c r="A393" s="105">
        <v>7</v>
      </c>
      <c r="B393" s="129" t="str">
        <f t="shared" si="15"/>
        <v>447</v>
      </c>
      <c r="C393" s="107" t="s">
        <v>2234</v>
      </c>
      <c r="D393" s="107" t="s">
        <v>251</v>
      </c>
      <c r="E393" s="120">
        <v>2969.5068393167198</v>
      </c>
      <c r="F393" s="120" t="s">
        <v>251</v>
      </c>
      <c r="G393" s="120">
        <v>0</v>
      </c>
      <c r="H393" s="120" t="s">
        <v>251</v>
      </c>
      <c r="I393" s="120">
        <v>2969.5068393167198</v>
      </c>
      <c r="J393" s="120">
        <v>0</v>
      </c>
      <c r="K393" s="120" t="s">
        <v>251</v>
      </c>
      <c r="L393" s="120" t="s">
        <v>251</v>
      </c>
      <c r="M393" s="120">
        <v>0</v>
      </c>
      <c r="N393" s="120" t="s">
        <v>251</v>
      </c>
      <c r="O393" s="120">
        <v>0</v>
      </c>
      <c r="P393" s="120">
        <v>0</v>
      </c>
      <c r="Q393" s="120">
        <v>0</v>
      </c>
      <c r="R393" s="120"/>
      <c r="S393" s="121"/>
    </row>
    <row r="394" spans="1:19" ht="15">
      <c r="A394" s="105">
        <v>8</v>
      </c>
      <c r="B394" s="129"/>
      <c r="C394" s="107" t="s">
        <v>555</v>
      </c>
      <c r="D394" s="107" t="s">
        <v>251</v>
      </c>
      <c r="E394" s="120" t="s">
        <v>251</v>
      </c>
      <c r="F394" s="120" t="s">
        <v>251</v>
      </c>
      <c r="G394" s="120" t="s">
        <v>251</v>
      </c>
      <c r="H394" s="120" t="s">
        <v>251</v>
      </c>
      <c r="I394" s="120" t="s">
        <v>251</v>
      </c>
      <c r="J394" s="120" t="s">
        <v>251</v>
      </c>
      <c r="K394" s="120" t="s">
        <v>251</v>
      </c>
      <c r="L394" s="120" t="s">
        <v>251</v>
      </c>
      <c r="M394" s="120" t="s">
        <v>251</v>
      </c>
      <c r="N394" s="120" t="s">
        <v>251</v>
      </c>
      <c r="O394" s="120" t="s">
        <v>251</v>
      </c>
      <c r="P394" s="120" t="s">
        <v>251</v>
      </c>
      <c r="Q394" s="120" t="s">
        <v>251</v>
      </c>
      <c r="R394" s="120"/>
      <c r="S394" s="121"/>
    </row>
    <row r="395" spans="1:19" ht="15">
      <c r="A395" s="105">
        <v>9</v>
      </c>
      <c r="B395" s="129" t="str">
        <f t="shared" si="15"/>
        <v xml:space="preserve">   </v>
      </c>
      <c r="C395" s="107" t="s">
        <v>556</v>
      </c>
      <c r="D395" s="107" t="s">
        <v>304</v>
      </c>
      <c r="E395" s="120">
        <v>0</v>
      </c>
      <c r="F395" s="120" t="s">
        <v>251</v>
      </c>
      <c r="G395" s="120">
        <v>0</v>
      </c>
      <c r="H395" s="120" t="s">
        <v>251</v>
      </c>
      <c r="I395" s="120">
        <v>0</v>
      </c>
      <c r="J395" s="120">
        <v>0</v>
      </c>
      <c r="K395" s="120" t="s">
        <v>251</v>
      </c>
      <c r="L395" s="120" t="s">
        <v>251</v>
      </c>
      <c r="M395" s="120">
        <v>0</v>
      </c>
      <c r="N395" s="120" t="s">
        <v>251</v>
      </c>
      <c r="O395" s="120">
        <v>0</v>
      </c>
      <c r="P395" s="120">
        <v>0</v>
      </c>
      <c r="Q395" s="120">
        <v>0</v>
      </c>
      <c r="R395" s="120"/>
      <c r="S395" s="121"/>
    </row>
    <row r="396" spans="1:19" ht="15">
      <c r="A396" s="105">
        <v>10</v>
      </c>
      <c r="B396" s="129" t="str">
        <f t="shared" si="15"/>
        <v xml:space="preserve">   </v>
      </c>
      <c r="C396" s="107" t="s">
        <v>557</v>
      </c>
      <c r="D396" s="107" t="s">
        <v>495</v>
      </c>
      <c r="E396" s="120">
        <v>10135947.354481341</v>
      </c>
      <c r="F396" s="120" t="s">
        <v>251</v>
      </c>
      <c r="G396" s="120">
        <v>9538019.3014995866</v>
      </c>
      <c r="H396" s="120" t="s">
        <v>251</v>
      </c>
      <c r="I396" s="120">
        <v>389107.68511496321</v>
      </c>
      <c r="J396" s="120">
        <v>208820.36786679088</v>
      </c>
      <c r="K396" s="120" t="s">
        <v>251</v>
      </c>
      <c r="L396" s="120" t="s">
        <v>251</v>
      </c>
      <c r="M396" s="120">
        <v>42.686962046929459</v>
      </c>
      <c r="N396" s="120" t="s">
        <v>251</v>
      </c>
      <c r="O396" s="120">
        <v>208777.68090474396</v>
      </c>
      <c r="P396" s="120">
        <v>105726.6164070067</v>
      </c>
      <c r="Q396" s="120">
        <v>103051.06449773727</v>
      </c>
      <c r="R396" s="120"/>
      <c r="S396" s="121"/>
    </row>
    <row r="397" spans="1:19" ht="15">
      <c r="A397" s="105">
        <v>11</v>
      </c>
      <c r="B397" s="129">
        <v>447</v>
      </c>
      <c r="C397" s="107" t="s">
        <v>558</v>
      </c>
      <c r="D397" s="107" t="s">
        <v>251</v>
      </c>
      <c r="E397" s="120">
        <v>10135947.354481341</v>
      </c>
      <c r="F397" s="120" t="s">
        <v>251</v>
      </c>
      <c r="G397" s="120">
        <v>9538019.3014995866</v>
      </c>
      <c r="H397" s="120" t="s">
        <v>251</v>
      </c>
      <c r="I397" s="120">
        <v>389107.68511496321</v>
      </c>
      <c r="J397" s="120">
        <v>208820.36786679088</v>
      </c>
      <c r="K397" s="120" t="s">
        <v>251</v>
      </c>
      <c r="L397" s="120" t="s">
        <v>251</v>
      </c>
      <c r="M397" s="120">
        <v>42.686962046929459</v>
      </c>
      <c r="N397" s="120" t="s">
        <v>251</v>
      </c>
      <c r="O397" s="120">
        <v>208777.68090474396</v>
      </c>
      <c r="P397" s="120">
        <v>105726.6164070067</v>
      </c>
      <c r="Q397" s="120">
        <v>103051.06449773727</v>
      </c>
      <c r="R397" s="120"/>
      <c r="S397" s="121"/>
    </row>
    <row r="398" spans="1:19" ht="15">
      <c r="A398" s="105" t="s">
        <v>251</v>
      </c>
      <c r="B398" s="129" t="str">
        <f t="shared" si="15"/>
        <v/>
      </c>
      <c r="C398" s="107" t="s">
        <v>251</v>
      </c>
      <c r="D398" s="107" t="s">
        <v>251</v>
      </c>
      <c r="E398" s="120" t="s">
        <v>251</v>
      </c>
      <c r="F398" s="120" t="s">
        <v>251</v>
      </c>
      <c r="G398" s="120" t="s">
        <v>251</v>
      </c>
      <c r="H398" s="120" t="s">
        <v>251</v>
      </c>
      <c r="I398" s="120" t="s">
        <v>251</v>
      </c>
      <c r="J398" s="120" t="s">
        <v>251</v>
      </c>
      <c r="K398" s="120" t="s">
        <v>251</v>
      </c>
      <c r="L398" s="120" t="s">
        <v>251</v>
      </c>
      <c r="M398" s="120" t="s">
        <v>251</v>
      </c>
      <c r="N398" s="120" t="s">
        <v>251</v>
      </c>
      <c r="O398" s="120" t="s">
        <v>251</v>
      </c>
      <c r="P398" s="120" t="s">
        <v>251</v>
      </c>
      <c r="Q398" s="120" t="s">
        <v>251</v>
      </c>
      <c r="R398" s="120"/>
      <c r="S398" s="121"/>
    </row>
    <row r="399" spans="1:19" ht="15">
      <c r="A399" s="105">
        <v>12</v>
      </c>
      <c r="B399" s="129" t="str">
        <f t="shared" si="15"/>
        <v>449</v>
      </c>
      <c r="C399" s="107" t="s">
        <v>559</v>
      </c>
      <c r="D399" s="107" t="s">
        <v>251</v>
      </c>
      <c r="E399" s="120">
        <v>0</v>
      </c>
      <c r="F399" s="120" t="s">
        <v>251</v>
      </c>
      <c r="G399" s="120">
        <v>0</v>
      </c>
      <c r="H399" s="120" t="s">
        <v>251</v>
      </c>
      <c r="I399" s="120">
        <v>0</v>
      </c>
      <c r="J399" s="120">
        <v>0</v>
      </c>
      <c r="K399" s="120" t="s">
        <v>251</v>
      </c>
      <c r="L399" s="120" t="s">
        <v>251</v>
      </c>
      <c r="M399" s="120">
        <v>0</v>
      </c>
      <c r="N399" s="120" t="s">
        <v>251</v>
      </c>
      <c r="O399" s="120">
        <v>0</v>
      </c>
      <c r="P399" s="120">
        <v>0</v>
      </c>
      <c r="Q399" s="120">
        <v>0</v>
      </c>
      <c r="R399" s="120"/>
      <c r="S399" s="121"/>
    </row>
    <row r="400" spans="1:19" ht="15">
      <c r="A400" s="105" t="s">
        <v>251</v>
      </c>
      <c r="B400" s="129" t="str">
        <f t="shared" si="15"/>
        <v/>
      </c>
      <c r="C400" s="107" t="s">
        <v>251</v>
      </c>
      <c r="D400" s="107" t="s">
        <v>251</v>
      </c>
      <c r="E400" s="120" t="s">
        <v>251</v>
      </c>
      <c r="F400" s="120" t="s">
        <v>251</v>
      </c>
      <c r="G400" s="120" t="s">
        <v>251</v>
      </c>
      <c r="H400" s="120" t="s">
        <v>251</v>
      </c>
      <c r="I400" s="120" t="s">
        <v>251</v>
      </c>
      <c r="J400" s="120" t="s">
        <v>251</v>
      </c>
      <c r="K400" s="120" t="s">
        <v>251</v>
      </c>
      <c r="L400" s="120" t="s">
        <v>251</v>
      </c>
      <c r="M400" s="120" t="s">
        <v>251</v>
      </c>
      <c r="N400" s="120" t="s">
        <v>251</v>
      </c>
      <c r="O400" s="120" t="s">
        <v>251</v>
      </c>
      <c r="P400" s="120" t="s">
        <v>251</v>
      </c>
      <c r="Q400" s="120" t="s">
        <v>251</v>
      </c>
      <c r="R400" s="120"/>
      <c r="S400" s="121"/>
    </row>
    <row r="401" spans="1:19" ht="15">
      <c r="A401" s="105">
        <v>13</v>
      </c>
      <c r="B401" s="129"/>
      <c r="C401" s="107" t="s">
        <v>560</v>
      </c>
      <c r="D401" s="107" t="s">
        <v>251</v>
      </c>
      <c r="E401" s="120">
        <v>1694846165.1477029</v>
      </c>
      <c r="F401" s="120" t="s">
        <v>251</v>
      </c>
      <c r="G401" s="120">
        <v>1598220846.7285123</v>
      </c>
      <c r="H401" s="120" t="s">
        <v>251</v>
      </c>
      <c r="I401" s="120">
        <v>71559280.30532819</v>
      </c>
      <c r="J401" s="120">
        <v>25066038.1138625</v>
      </c>
      <c r="K401" s="120" t="s">
        <v>251</v>
      </c>
      <c r="L401" s="120" t="s">
        <v>251</v>
      </c>
      <c r="M401" s="120">
        <v>42.686962046929459</v>
      </c>
      <c r="N401" s="120" t="s">
        <v>251</v>
      </c>
      <c r="O401" s="120">
        <v>25065995.426900454</v>
      </c>
      <c r="P401" s="120">
        <v>12691491.179060366</v>
      </c>
      <c r="Q401" s="120">
        <v>12374504.247840088</v>
      </c>
      <c r="R401" s="120"/>
      <c r="S401" s="121"/>
    </row>
    <row r="402" spans="1:19" ht="15">
      <c r="A402" s="105" t="s">
        <v>251</v>
      </c>
      <c r="B402" s="129" t="str">
        <f t="shared" si="15"/>
        <v/>
      </c>
      <c r="C402" s="107" t="s">
        <v>251</v>
      </c>
      <c r="D402" s="107" t="s">
        <v>251</v>
      </c>
      <c r="E402" s="120" t="s">
        <v>251</v>
      </c>
      <c r="F402" s="120" t="s">
        <v>251</v>
      </c>
      <c r="G402" s="120" t="s">
        <v>251</v>
      </c>
      <c r="H402" s="120" t="s">
        <v>251</v>
      </c>
      <c r="I402" s="120" t="s">
        <v>251</v>
      </c>
      <c r="J402" s="120" t="s">
        <v>251</v>
      </c>
      <c r="K402" s="120" t="s">
        <v>251</v>
      </c>
      <c r="L402" s="120" t="s">
        <v>251</v>
      </c>
      <c r="M402" s="120" t="s">
        <v>251</v>
      </c>
      <c r="N402" s="120" t="s">
        <v>251</v>
      </c>
      <c r="O402" s="120" t="s">
        <v>251</v>
      </c>
      <c r="P402" s="120" t="s">
        <v>251</v>
      </c>
      <c r="Q402" s="120" t="s">
        <v>251</v>
      </c>
      <c r="R402" s="120"/>
      <c r="S402" s="121"/>
    </row>
    <row r="403" spans="1:19" ht="15">
      <c r="A403" s="105" t="s">
        <v>251</v>
      </c>
      <c r="B403" s="129"/>
      <c r="C403" s="107" t="s">
        <v>561</v>
      </c>
      <c r="D403" s="107" t="s">
        <v>251</v>
      </c>
      <c r="E403" s="120" t="s">
        <v>251</v>
      </c>
      <c r="F403" s="120" t="s">
        <v>251</v>
      </c>
      <c r="G403" s="120" t="s">
        <v>251</v>
      </c>
      <c r="H403" s="120" t="s">
        <v>251</v>
      </c>
      <c r="I403" s="120" t="s">
        <v>251</v>
      </c>
      <c r="J403" s="120" t="s">
        <v>251</v>
      </c>
      <c r="K403" s="120" t="s">
        <v>251</v>
      </c>
      <c r="L403" s="120" t="s">
        <v>251</v>
      </c>
      <c r="M403" s="120" t="s">
        <v>251</v>
      </c>
      <c r="N403" s="120" t="s">
        <v>251</v>
      </c>
      <c r="O403" s="120" t="s">
        <v>251</v>
      </c>
      <c r="P403" s="120" t="s">
        <v>251</v>
      </c>
      <c r="Q403" s="120" t="s">
        <v>251</v>
      </c>
      <c r="R403" s="120"/>
      <c r="S403" s="121"/>
    </row>
    <row r="404" spans="1:19" ht="15">
      <c r="A404" s="105">
        <v>14</v>
      </c>
      <c r="B404" s="129" t="str">
        <f t="shared" si="15"/>
        <v>450</v>
      </c>
      <c r="C404" s="107" t="s">
        <v>562</v>
      </c>
      <c r="D404" s="107" t="s">
        <v>563</v>
      </c>
      <c r="E404" s="120">
        <v>3962819.9333333327</v>
      </c>
      <c r="F404" s="120" t="s">
        <v>251</v>
      </c>
      <c r="G404" s="120">
        <v>3803817.2532682326</v>
      </c>
      <c r="H404" s="120" t="s">
        <v>251</v>
      </c>
      <c r="I404" s="120">
        <v>158910.25599425804</v>
      </c>
      <c r="J404" s="120">
        <v>92.424070842210355</v>
      </c>
      <c r="K404" s="120" t="s">
        <v>251</v>
      </c>
      <c r="L404" s="120" t="s">
        <v>251</v>
      </c>
      <c r="M404" s="120">
        <v>0</v>
      </c>
      <c r="N404" s="120" t="s">
        <v>251</v>
      </c>
      <c r="O404" s="120">
        <v>92.424070842210355</v>
      </c>
      <c r="P404" s="120">
        <v>5.7637833968665726</v>
      </c>
      <c r="Q404" s="120">
        <v>86.660287445343783</v>
      </c>
      <c r="R404" s="120"/>
      <c r="S404" s="121"/>
    </row>
    <row r="405" spans="1:19" ht="15">
      <c r="A405" s="105">
        <v>15</v>
      </c>
      <c r="B405" s="129" t="str">
        <f t="shared" si="15"/>
        <v>451</v>
      </c>
      <c r="C405" s="107" t="s">
        <v>564</v>
      </c>
      <c r="D405" s="107" t="s">
        <v>565</v>
      </c>
      <c r="E405" s="120">
        <v>2253137.8000000003</v>
      </c>
      <c r="F405" s="120" t="s">
        <v>251</v>
      </c>
      <c r="G405" s="120">
        <v>2110069.1081305002</v>
      </c>
      <c r="H405" s="120" t="s">
        <v>251</v>
      </c>
      <c r="I405" s="120">
        <v>143068.69186950012</v>
      </c>
      <c r="J405" s="120">
        <v>0</v>
      </c>
      <c r="K405" s="120" t="s">
        <v>251</v>
      </c>
      <c r="L405" s="120" t="s">
        <v>251</v>
      </c>
      <c r="M405" s="120">
        <v>0</v>
      </c>
      <c r="N405" s="120" t="s">
        <v>251</v>
      </c>
      <c r="O405" s="120">
        <v>0</v>
      </c>
      <c r="P405" s="120">
        <v>0</v>
      </c>
      <c r="Q405" s="120">
        <v>0</v>
      </c>
      <c r="R405" s="120"/>
      <c r="S405" s="121"/>
    </row>
    <row r="406" spans="1:19" ht="15">
      <c r="A406" s="105">
        <v>16</v>
      </c>
      <c r="B406" s="129" t="str">
        <f t="shared" si="15"/>
        <v>451</v>
      </c>
      <c r="C406" s="107" t="s">
        <v>566</v>
      </c>
      <c r="D406" s="107" t="s">
        <v>567</v>
      </c>
      <c r="E406" s="120">
        <v>59718.7933333334</v>
      </c>
      <c r="F406" s="120" t="s">
        <v>251</v>
      </c>
      <c r="G406" s="120">
        <v>59264.561379314859</v>
      </c>
      <c r="H406" s="120" t="s">
        <v>251</v>
      </c>
      <c r="I406" s="120">
        <v>454.23195401854167</v>
      </c>
      <c r="J406" s="120">
        <v>0</v>
      </c>
      <c r="K406" s="120" t="s">
        <v>251</v>
      </c>
      <c r="L406" s="120" t="s">
        <v>251</v>
      </c>
      <c r="M406" s="120">
        <v>0</v>
      </c>
      <c r="N406" s="120" t="s">
        <v>251</v>
      </c>
      <c r="O406" s="120">
        <v>0</v>
      </c>
      <c r="P406" s="120">
        <v>0</v>
      </c>
      <c r="Q406" s="120">
        <v>0</v>
      </c>
      <c r="R406" s="120"/>
      <c r="S406" s="121"/>
    </row>
    <row r="407" spans="1:19" ht="15">
      <c r="A407" s="105">
        <v>17</v>
      </c>
      <c r="B407" s="129" t="str">
        <f t="shared" si="15"/>
        <v>454</v>
      </c>
      <c r="C407" s="107" t="s">
        <v>568</v>
      </c>
      <c r="D407" s="107" t="s">
        <v>569</v>
      </c>
      <c r="E407" s="120">
        <v>3695780.1399999964</v>
      </c>
      <c r="F407" s="120" t="s">
        <v>251</v>
      </c>
      <c r="G407" s="120">
        <v>3139768.4099999964</v>
      </c>
      <c r="H407" s="120" t="s">
        <v>251</v>
      </c>
      <c r="I407" s="120">
        <v>387734.87</v>
      </c>
      <c r="J407" s="120">
        <v>168276.86000000002</v>
      </c>
      <c r="K407" s="120" t="s">
        <v>251</v>
      </c>
      <c r="L407" s="120" t="s">
        <v>251</v>
      </c>
      <c r="M407" s="120">
        <v>57.5</v>
      </c>
      <c r="N407" s="120" t="s">
        <v>251</v>
      </c>
      <c r="O407" s="120">
        <v>168219.36000000002</v>
      </c>
      <c r="P407" s="120">
        <v>168219.36000000002</v>
      </c>
      <c r="Q407" s="120">
        <v>0</v>
      </c>
      <c r="R407" s="120"/>
      <c r="S407" s="121"/>
    </row>
    <row r="408" spans="1:19" ht="15">
      <c r="A408" s="105">
        <v>18</v>
      </c>
      <c r="B408" s="129" t="str">
        <f t="shared" si="15"/>
        <v>454</v>
      </c>
      <c r="C408" s="107" t="s">
        <v>2496</v>
      </c>
      <c r="D408" s="107" t="s">
        <v>512</v>
      </c>
      <c r="E408" s="120">
        <v>5720.6799999999994</v>
      </c>
      <c r="F408" s="120" t="s">
        <v>251</v>
      </c>
      <c r="G408" s="120">
        <v>5720.6799999999994</v>
      </c>
      <c r="H408" s="120" t="s">
        <v>251</v>
      </c>
      <c r="I408" s="120">
        <v>0</v>
      </c>
      <c r="J408" s="120">
        <v>0</v>
      </c>
      <c r="K408" s="120" t="s">
        <v>251</v>
      </c>
      <c r="L408" s="120" t="s">
        <v>251</v>
      </c>
      <c r="M408" s="120">
        <v>0</v>
      </c>
      <c r="N408" s="120" t="s">
        <v>251</v>
      </c>
      <c r="O408" s="120">
        <v>0</v>
      </c>
      <c r="P408" s="120">
        <v>0</v>
      </c>
      <c r="Q408" s="120">
        <v>0</v>
      </c>
      <c r="R408" s="120"/>
      <c r="S408" s="121"/>
    </row>
    <row r="409" spans="1:19" ht="15">
      <c r="A409" s="105">
        <v>19</v>
      </c>
      <c r="B409" s="129" t="str">
        <f t="shared" si="15"/>
        <v>454</v>
      </c>
      <c r="C409" s="107" t="s">
        <v>2497</v>
      </c>
      <c r="D409" s="107" t="s">
        <v>733</v>
      </c>
      <c r="E409" s="120">
        <v>7379090.0399999991</v>
      </c>
      <c r="F409" s="120" t="s">
        <v>251</v>
      </c>
      <c r="G409" s="120">
        <v>6877843.4400000004</v>
      </c>
      <c r="H409" s="120" t="s">
        <v>251</v>
      </c>
      <c r="I409" s="120">
        <v>360291.24</v>
      </c>
      <c r="J409" s="120">
        <v>140955.35999999882</v>
      </c>
      <c r="K409" s="120" t="s">
        <v>251</v>
      </c>
      <c r="L409" s="120" t="s">
        <v>251</v>
      </c>
      <c r="M409" s="120">
        <v>0</v>
      </c>
      <c r="N409" s="120" t="s">
        <v>251</v>
      </c>
      <c r="O409" s="120">
        <v>140955.35999999882</v>
      </c>
      <c r="P409" s="120">
        <v>71368.847186842278</v>
      </c>
      <c r="Q409" s="120">
        <v>69586.512813156529</v>
      </c>
      <c r="R409" s="120"/>
      <c r="S409" s="121"/>
    </row>
    <row r="410" spans="1:19" ht="15">
      <c r="A410" s="105">
        <v>20</v>
      </c>
      <c r="B410" s="129" t="str">
        <f t="shared" si="15"/>
        <v>456</v>
      </c>
      <c r="C410" s="107" t="s">
        <v>570</v>
      </c>
      <c r="D410" s="107" t="s">
        <v>341</v>
      </c>
      <c r="E410" s="120">
        <v>21969461.876645327</v>
      </c>
      <c r="F410" s="120" t="s">
        <v>251</v>
      </c>
      <c r="G410" s="120">
        <v>21007438.006358631</v>
      </c>
      <c r="H410" s="120" t="s">
        <v>251</v>
      </c>
      <c r="I410" s="120">
        <v>961956.43933719886</v>
      </c>
      <c r="J410" s="120">
        <v>67.430949497203031</v>
      </c>
      <c r="K410" s="120" t="s">
        <v>251</v>
      </c>
      <c r="L410" s="120" t="s">
        <v>251</v>
      </c>
      <c r="M410" s="120">
        <v>67.430949497203031</v>
      </c>
      <c r="N410" s="120" t="s">
        <v>251</v>
      </c>
      <c r="O410" s="120">
        <v>0</v>
      </c>
      <c r="P410" s="120">
        <v>0</v>
      </c>
      <c r="Q410" s="120">
        <v>0</v>
      </c>
      <c r="R410" s="120"/>
      <c r="S410" s="121"/>
    </row>
    <row r="411" spans="1:19" ht="15">
      <c r="A411" s="105">
        <v>21</v>
      </c>
      <c r="B411" s="129" t="str">
        <f t="shared" si="15"/>
        <v>456</v>
      </c>
      <c r="C411" s="107" t="s">
        <v>571</v>
      </c>
      <c r="D411" s="107" t="s">
        <v>572</v>
      </c>
      <c r="E411" s="120">
        <v>1500447.0144977879</v>
      </c>
      <c r="F411" s="120" t="s">
        <v>251</v>
      </c>
      <c r="G411" s="120">
        <v>1406543.0847488027</v>
      </c>
      <c r="H411" s="120" t="s">
        <v>251</v>
      </c>
      <c r="I411" s="120">
        <v>64407.338827789259</v>
      </c>
      <c r="J411" s="120">
        <v>29496.590921195835</v>
      </c>
      <c r="K411" s="120" t="s">
        <v>251</v>
      </c>
      <c r="L411" s="120" t="s">
        <v>251</v>
      </c>
      <c r="M411" s="120">
        <v>4.5148073594042586</v>
      </c>
      <c r="N411" s="120" t="s">
        <v>251</v>
      </c>
      <c r="O411" s="120">
        <v>29492.076113836432</v>
      </c>
      <c r="P411" s="120">
        <v>14957.556781706307</v>
      </c>
      <c r="Q411" s="120">
        <v>14534.519332130127</v>
      </c>
      <c r="R411" s="120"/>
      <c r="S411" s="121"/>
    </row>
    <row r="412" spans="1:19" ht="15">
      <c r="A412" s="105">
        <v>22</v>
      </c>
      <c r="B412" s="129" t="str">
        <f t="shared" si="15"/>
        <v>456</v>
      </c>
      <c r="C412" s="107" t="s">
        <v>573</v>
      </c>
      <c r="D412" s="107" t="s">
        <v>512</v>
      </c>
      <c r="E412" s="120">
        <v>600</v>
      </c>
      <c r="F412" s="120" t="s">
        <v>251</v>
      </c>
      <c r="G412" s="120">
        <v>600</v>
      </c>
      <c r="H412" s="120" t="s">
        <v>251</v>
      </c>
      <c r="I412" s="120">
        <v>0</v>
      </c>
      <c r="J412" s="120">
        <v>0</v>
      </c>
      <c r="K412" s="120" t="s">
        <v>251</v>
      </c>
      <c r="L412" s="120" t="s">
        <v>251</v>
      </c>
      <c r="M412" s="120">
        <v>0</v>
      </c>
      <c r="N412" s="120" t="s">
        <v>251</v>
      </c>
      <c r="O412" s="120">
        <v>0</v>
      </c>
      <c r="P412" s="120">
        <v>0</v>
      </c>
      <c r="Q412" s="120">
        <v>0</v>
      </c>
      <c r="R412" s="120"/>
      <c r="S412" s="121"/>
    </row>
    <row r="413" spans="1:19" ht="15">
      <c r="A413" s="105">
        <v>23</v>
      </c>
      <c r="B413" s="129" t="str">
        <f t="shared" si="15"/>
        <v>456</v>
      </c>
      <c r="C413" s="107" t="s">
        <v>574</v>
      </c>
      <c r="D413" s="107" t="s">
        <v>575</v>
      </c>
      <c r="E413" s="120">
        <v>162426.66666666718</v>
      </c>
      <c r="F413" s="120" t="s">
        <v>251</v>
      </c>
      <c r="G413" s="120">
        <v>162426.66666666718</v>
      </c>
      <c r="H413" s="120" t="s">
        <v>251</v>
      </c>
      <c r="I413" s="120">
        <v>0</v>
      </c>
      <c r="J413" s="120">
        <v>0</v>
      </c>
      <c r="K413" s="120" t="s">
        <v>251</v>
      </c>
      <c r="L413" s="120" t="s">
        <v>251</v>
      </c>
      <c r="M413" s="120">
        <v>0</v>
      </c>
      <c r="N413" s="120" t="s">
        <v>251</v>
      </c>
      <c r="O413" s="120">
        <v>0</v>
      </c>
      <c r="P413" s="120">
        <v>0</v>
      </c>
      <c r="Q413" s="120">
        <v>0</v>
      </c>
      <c r="R413" s="120"/>
      <c r="S413" s="121"/>
    </row>
    <row r="414" spans="1:19" ht="15">
      <c r="A414" s="105">
        <v>24</v>
      </c>
      <c r="B414" s="129" t="str">
        <f t="shared" si="15"/>
        <v>456</v>
      </c>
      <c r="C414" s="107" t="s">
        <v>576</v>
      </c>
      <c r="D414" s="107" t="s">
        <v>577</v>
      </c>
      <c r="E414" s="120">
        <v>72900.206666669401</v>
      </c>
      <c r="F414" s="120" t="s">
        <v>251</v>
      </c>
      <c r="G414" s="120">
        <v>72900.206666669401</v>
      </c>
      <c r="H414" s="120" t="s">
        <v>251</v>
      </c>
      <c r="I414" s="120">
        <v>0</v>
      </c>
      <c r="J414" s="120">
        <v>0</v>
      </c>
      <c r="K414" s="120" t="s">
        <v>251</v>
      </c>
      <c r="L414" s="120" t="s">
        <v>251</v>
      </c>
      <c r="M414" s="120">
        <v>0</v>
      </c>
      <c r="N414" s="120" t="s">
        <v>251</v>
      </c>
      <c r="O414" s="120">
        <v>0</v>
      </c>
      <c r="P414" s="120">
        <v>0</v>
      </c>
      <c r="Q414" s="120">
        <v>0</v>
      </c>
      <c r="R414" s="120"/>
      <c r="S414" s="121"/>
    </row>
    <row r="415" spans="1:19" ht="15">
      <c r="A415" s="105">
        <v>25</v>
      </c>
      <c r="B415" s="129" t="str">
        <f t="shared" si="15"/>
        <v>456</v>
      </c>
      <c r="C415" s="107" t="s">
        <v>578</v>
      </c>
      <c r="D415" s="107" t="s">
        <v>579</v>
      </c>
      <c r="E415" s="120">
        <v>32021.28999999995</v>
      </c>
      <c r="F415" s="120" t="s">
        <v>251</v>
      </c>
      <c r="G415" s="120">
        <v>30678.048313890475</v>
      </c>
      <c r="H415" s="120" t="s">
        <v>251</v>
      </c>
      <c r="I415" s="120">
        <v>1343.2416861094771</v>
      </c>
      <c r="J415" s="120">
        <v>0</v>
      </c>
      <c r="K415" s="120" t="s">
        <v>251</v>
      </c>
      <c r="L415" s="120" t="s">
        <v>251</v>
      </c>
      <c r="M415" s="120">
        <v>0</v>
      </c>
      <c r="N415" s="120" t="s">
        <v>251</v>
      </c>
      <c r="O415" s="120">
        <v>0</v>
      </c>
      <c r="P415" s="120">
        <v>0</v>
      </c>
      <c r="Q415" s="120">
        <v>0</v>
      </c>
      <c r="R415" s="120"/>
      <c r="S415" s="121"/>
    </row>
    <row r="416" spans="1:19" ht="15">
      <c r="A416" s="105">
        <v>26</v>
      </c>
      <c r="B416" s="129" t="str">
        <f t="shared" si="15"/>
        <v>456</v>
      </c>
      <c r="C416" s="107" t="s">
        <v>2498</v>
      </c>
      <c r="D416" s="107" t="s">
        <v>733</v>
      </c>
      <c r="E416" s="120">
        <v>182160.93665792039</v>
      </c>
      <c r="F416" s="120" t="s">
        <v>251</v>
      </c>
      <c r="G416" s="120">
        <v>173339.37665792039</v>
      </c>
      <c r="H416" s="120" t="s">
        <v>251</v>
      </c>
      <c r="I416" s="120">
        <v>8821.56</v>
      </c>
      <c r="J416" s="120">
        <v>0</v>
      </c>
      <c r="K416" s="120" t="s">
        <v>251</v>
      </c>
      <c r="L416" s="120" t="s">
        <v>251</v>
      </c>
      <c r="M416" s="120">
        <v>0</v>
      </c>
      <c r="N416" s="120" t="s">
        <v>251</v>
      </c>
      <c r="O416" s="120">
        <v>0</v>
      </c>
      <c r="P416" s="120">
        <v>0</v>
      </c>
      <c r="Q416" s="120">
        <v>0</v>
      </c>
      <c r="R416" s="120"/>
      <c r="S416" s="121"/>
    </row>
    <row r="417" spans="1:19" ht="15">
      <c r="A417" s="105">
        <v>27</v>
      </c>
      <c r="B417" s="129" t="str">
        <f t="shared" si="15"/>
        <v>TAL</v>
      </c>
      <c r="C417" s="107" t="s">
        <v>580</v>
      </c>
      <c r="D417" s="107" t="s">
        <v>251</v>
      </c>
      <c r="E417" s="120">
        <v>41276285.377801038</v>
      </c>
      <c r="F417" s="120" t="s">
        <v>251</v>
      </c>
      <c r="G417" s="120">
        <v>38850408.842190631</v>
      </c>
      <c r="H417" s="120" t="s">
        <v>251</v>
      </c>
      <c r="I417" s="120">
        <v>2086987.8696688744</v>
      </c>
      <c r="J417" s="120">
        <v>338888.66594153404</v>
      </c>
      <c r="K417" s="120" t="s">
        <v>251</v>
      </c>
      <c r="L417" s="120" t="s">
        <v>251</v>
      </c>
      <c r="M417" s="120">
        <v>129.44575685660729</v>
      </c>
      <c r="N417" s="120" t="s">
        <v>251</v>
      </c>
      <c r="O417" s="120">
        <v>338759.22018467746</v>
      </c>
      <c r="P417" s="120">
        <v>254551.52775194545</v>
      </c>
      <c r="Q417" s="120">
        <v>84207.692432732001</v>
      </c>
      <c r="R417" s="120"/>
      <c r="S417" s="121"/>
    </row>
    <row r="418" spans="1:19" ht="15">
      <c r="A418" s="105" t="s">
        <v>251</v>
      </c>
      <c r="B418" s="129"/>
      <c r="C418" s="107" t="s">
        <v>251</v>
      </c>
      <c r="D418" s="107" t="s">
        <v>251</v>
      </c>
      <c r="E418" s="120" t="s">
        <v>251</v>
      </c>
      <c r="F418" s="120" t="s">
        <v>251</v>
      </c>
      <c r="G418" s="120" t="s">
        <v>251</v>
      </c>
      <c r="H418" s="120" t="s">
        <v>251</v>
      </c>
      <c r="I418" s="120" t="s">
        <v>251</v>
      </c>
      <c r="J418" s="120" t="s">
        <v>251</v>
      </c>
      <c r="K418" s="120" t="s">
        <v>251</v>
      </c>
      <c r="L418" s="120" t="s">
        <v>251</v>
      </c>
      <c r="M418" s="120" t="s">
        <v>251</v>
      </c>
      <c r="N418" s="120" t="s">
        <v>251</v>
      </c>
      <c r="O418" s="120" t="s">
        <v>251</v>
      </c>
      <c r="P418" s="120" t="s">
        <v>251</v>
      </c>
      <c r="Q418" s="120" t="s">
        <v>251</v>
      </c>
      <c r="R418" s="120"/>
      <c r="S418" s="121"/>
    </row>
    <row r="419" spans="1:19" ht="15">
      <c r="A419" s="105">
        <v>28</v>
      </c>
      <c r="B419" s="129" t="str">
        <f t="shared" si="15"/>
        <v>TAL</v>
      </c>
      <c r="C419" s="107" t="s">
        <v>581</v>
      </c>
      <c r="D419" s="107" t="s">
        <v>251</v>
      </c>
      <c r="E419" s="120">
        <v>1736122450.5255041</v>
      </c>
      <c r="F419" s="120" t="s">
        <v>251</v>
      </c>
      <c r="G419" s="120">
        <v>1637071255.570703</v>
      </c>
      <c r="H419" s="120" t="s">
        <v>251</v>
      </c>
      <c r="I419" s="120">
        <v>73646268.174997061</v>
      </c>
      <c r="J419" s="120">
        <v>25404926.779804032</v>
      </c>
      <c r="K419" s="120" t="s">
        <v>251</v>
      </c>
      <c r="L419" s="120" t="s">
        <v>251</v>
      </c>
      <c r="M419" s="120">
        <v>172.13271890353676</v>
      </c>
      <c r="N419" s="120" t="s">
        <v>251</v>
      </c>
      <c r="O419" s="120">
        <v>25404754.64708513</v>
      </c>
      <c r="P419" s="120">
        <v>12946042.706812311</v>
      </c>
      <c r="Q419" s="120">
        <v>12458711.940272819</v>
      </c>
      <c r="R419" s="120"/>
      <c r="S419" s="121"/>
    </row>
    <row r="420" spans="1:19" ht="15">
      <c r="A420" s="105" t="s">
        <v>251</v>
      </c>
      <c r="B420" s="129" t="str">
        <f t="shared" si="15"/>
        <v/>
      </c>
      <c r="C420" s="107" t="s">
        <v>251</v>
      </c>
      <c r="D420" s="107" t="s">
        <v>251</v>
      </c>
      <c r="E420" s="120" t="s">
        <v>251</v>
      </c>
      <c r="F420" s="120" t="s">
        <v>251</v>
      </c>
      <c r="G420" s="120" t="s">
        <v>251</v>
      </c>
      <c r="H420" s="120" t="s">
        <v>251</v>
      </c>
      <c r="I420" s="120" t="s">
        <v>251</v>
      </c>
      <c r="J420" s="120" t="s">
        <v>251</v>
      </c>
      <c r="K420" s="120" t="s">
        <v>251</v>
      </c>
      <c r="L420" s="120" t="s">
        <v>251</v>
      </c>
      <c r="M420" s="120" t="s">
        <v>251</v>
      </c>
      <c r="N420" s="120" t="s">
        <v>251</v>
      </c>
      <c r="O420" s="120" t="s">
        <v>251</v>
      </c>
      <c r="P420" s="120" t="s">
        <v>251</v>
      </c>
      <c r="Q420" s="120" t="s">
        <v>251</v>
      </c>
      <c r="R420" s="120"/>
      <c r="S420" s="121"/>
    </row>
    <row r="421" spans="1:19" ht="15">
      <c r="A421" s="105" t="s">
        <v>251</v>
      </c>
      <c r="B421" s="129" t="str">
        <f t="shared" si="15"/>
        <v/>
      </c>
      <c r="C421" s="107" t="s">
        <v>251</v>
      </c>
      <c r="D421" s="107" t="s">
        <v>251</v>
      </c>
      <c r="E421" s="120" t="s">
        <v>251</v>
      </c>
      <c r="F421" s="120" t="s">
        <v>251</v>
      </c>
      <c r="G421" s="120" t="s">
        <v>251</v>
      </c>
      <c r="H421" s="120" t="s">
        <v>251</v>
      </c>
      <c r="I421" s="120" t="s">
        <v>251</v>
      </c>
      <c r="J421" s="120" t="s">
        <v>251</v>
      </c>
      <c r="K421" s="120" t="s">
        <v>251</v>
      </c>
      <c r="L421" s="120" t="s">
        <v>251</v>
      </c>
      <c r="M421" s="120" t="s">
        <v>251</v>
      </c>
      <c r="N421" s="120" t="s">
        <v>251</v>
      </c>
      <c r="O421" s="120" t="s">
        <v>251</v>
      </c>
      <c r="P421" s="120" t="s">
        <v>251</v>
      </c>
      <c r="Q421" s="120" t="s">
        <v>251</v>
      </c>
      <c r="R421" s="120"/>
      <c r="S421" s="121"/>
    </row>
    <row r="422" spans="1:19" ht="15">
      <c r="A422" s="105" t="s">
        <v>251</v>
      </c>
      <c r="B422" s="129" t="str">
        <f t="shared" si="15"/>
        <v>ERA</v>
      </c>
      <c r="C422" s="107" t="s">
        <v>582</v>
      </c>
      <c r="D422" s="107" t="s">
        <v>251</v>
      </c>
      <c r="E422" s="120" t="s">
        <v>251</v>
      </c>
      <c r="F422" s="120" t="s">
        <v>251</v>
      </c>
      <c r="G422" s="120" t="s">
        <v>251</v>
      </c>
      <c r="H422" s="120" t="s">
        <v>251</v>
      </c>
      <c r="I422" s="120" t="s">
        <v>251</v>
      </c>
      <c r="J422" s="120" t="s">
        <v>251</v>
      </c>
      <c r="K422" s="120" t="s">
        <v>251</v>
      </c>
      <c r="L422" s="120" t="s">
        <v>251</v>
      </c>
      <c r="M422" s="120" t="s">
        <v>251</v>
      </c>
      <c r="N422" s="120" t="s">
        <v>251</v>
      </c>
      <c r="O422" s="120" t="s">
        <v>251</v>
      </c>
      <c r="P422" s="120" t="s">
        <v>251</v>
      </c>
      <c r="Q422" s="120" t="s">
        <v>251</v>
      </c>
      <c r="R422" s="120"/>
      <c r="S422" s="121"/>
    </row>
    <row r="423" spans="1:19" ht="15">
      <c r="A423" s="105" t="s">
        <v>251</v>
      </c>
      <c r="B423" s="129" t="str">
        <f t="shared" si="15"/>
        <v/>
      </c>
      <c r="C423" s="107" t="s">
        <v>251</v>
      </c>
      <c r="D423" s="107" t="s">
        <v>251</v>
      </c>
      <c r="E423" s="120" t="s">
        <v>251</v>
      </c>
      <c r="F423" s="120" t="s">
        <v>251</v>
      </c>
      <c r="G423" s="120" t="s">
        <v>251</v>
      </c>
      <c r="H423" s="120" t="s">
        <v>251</v>
      </c>
      <c r="I423" s="120" t="s">
        <v>251</v>
      </c>
      <c r="J423" s="120" t="s">
        <v>251</v>
      </c>
      <c r="K423" s="120" t="s">
        <v>251</v>
      </c>
      <c r="L423" s="120" t="s">
        <v>251</v>
      </c>
      <c r="M423" s="120" t="s">
        <v>251</v>
      </c>
      <c r="N423" s="120" t="s">
        <v>251</v>
      </c>
      <c r="O423" s="120" t="s">
        <v>251</v>
      </c>
      <c r="P423" s="120" t="s">
        <v>251</v>
      </c>
      <c r="Q423" s="120" t="s">
        <v>251</v>
      </c>
      <c r="R423" s="120"/>
      <c r="S423" s="121"/>
    </row>
    <row r="424" spans="1:19" ht="15">
      <c r="A424" s="105" t="s">
        <v>251</v>
      </c>
      <c r="B424" s="129" t="str">
        <f t="shared" si="15"/>
        <v>ODU</v>
      </c>
      <c r="C424" s="107" t="s">
        <v>583</v>
      </c>
      <c r="D424" s="107" t="s">
        <v>251</v>
      </c>
      <c r="E424" s="120" t="s">
        <v>251</v>
      </c>
      <c r="F424" s="120" t="s">
        <v>251</v>
      </c>
      <c r="G424" s="120" t="s">
        <v>251</v>
      </c>
      <c r="H424" s="120" t="s">
        <v>251</v>
      </c>
      <c r="I424" s="120" t="s">
        <v>251</v>
      </c>
      <c r="J424" s="120" t="s">
        <v>251</v>
      </c>
      <c r="K424" s="120" t="s">
        <v>251</v>
      </c>
      <c r="L424" s="120" t="s">
        <v>251</v>
      </c>
      <c r="M424" s="120" t="s">
        <v>251</v>
      </c>
      <c r="N424" s="120" t="s">
        <v>251</v>
      </c>
      <c r="O424" s="120" t="s">
        <v>251</v>
      </c>
      <c r="P424" s="120" t="s">
        <v>251</v>
      </c>
      <c r="Q424" s="120" t="s">
        <v>251</v>
      </c>
      <c r="R424" s="120"/>
      <c r="S424" s="121"/>
    </row>
    <row r="425" spans="1:19" ht="15">
      <c r="A425" s="105">
        <v>1</v>
      </c>
      <c r="B425" s="129" t="str">
        <f t="shared" si="15"/>
        <v>500</v>
      </c>
      <c r="C425" s="107" t="s">
        <v>584</v>
      </c>
      <c r="D425" s="107" t="s">
        <v>585</v>
      </c>
      <c r="E425" s="120">
        <v>9342388</v>
      </c>
      <c r="F425" s="120" t="s">
        <v>251</v>
      </c>
      <c r="G425" s="120">
        <v>8739190.341770893</v>
      </c>
      <c r="H425" s="120" t="s">
        <v>251</v>
      </c>
      <c r="I425" s="120">
        <v>407342.77140298235</v>
      </c>
      <c r="J425" s="120">
        <v>195854.88682612468</v>
      </c>
      <c r="K425" s="120" t="s">
        <v>251</v>
      </c>
      <c r="L425" s="120" t="s">
        <v>251</v>
      </c>
      <c r="M425" s="120">
        <v>27.897991285816037</v>
      </c>
      <c r="N425" s="120" t="s">
        <v>251</v>
      </c>
      <c r="O425" s="120">
        <v>195826.98883483888</v>
      </c>
      <c r="P425" s="120">
        <v>99317.97590585571</v>
      </c>
      <c r="Q425" s="120">
        <v>96509.012928983168</v>
      </c>
      <c r="R425" s="120"/>
      <c r="S425" s="121"/>
    </row>
    <row r="426" spans="1:19" ht="15">
      <c r="A426" s="105">
        <v>2</v>
      </c>
      <c r="B426" s="129" t="str">
        <f t="shared" si="15"/>
        <v>501</v>
      </c>
      <c r="C426" s="107" t="s">
        <v>586</v>
      </c>
      <c r="D426" s="107" t="s">
        <v>495</v>
      </c>
      <c r="E426" s="120">
        <v>302423708.23587358</v>
      </c>
      <c r="F426" s="120" t="s">
        <v>251</v>
      </c>
      <c r="G426" s="120">
        <v>284611742.74677902</v>
      </c>
      <c r="H426" s="120" t="s">
        <v>251</v>
      </c>
      <c r="I426" s="120">
        <v>11576701.157290943</v>
      </c>
      <c r="J426" s="120">
        <v>6235264.3318035975</v>
      </c>
      <c r="K426" s="120" t="s">
        <v>251</v>
      </c>
      <c r="L426" s="120" t="s">
        <v>251</v>
      </c>
      <c r="M426" s="120">
        <v>1286.9586913488438</v>
      </c>
      <c r="N426" s="120" t="s">
        <v>251</v>
      </c>
      <c r="O426" s="120">
        <v>6233977.3731122483</v>
      </c>
      <c r="P426" s="120">
        <v>3156939.0350974482</v>
      </c>
      <c r="Q426" s="120">
        <v>3077038.3380147996</v>
      </c>
      <c r="R426" s="120"/>
      <c r="S426" s="121"/>
    </row>
    <row r="427" spans="1:19" ht="15">
      <c r="A427" s="105">
        <v>3</v>
      </c>
      <c r="B427" s="129" t="str">
        <f t="shared" si="15"/>
        <v>502</v>
      </c>
      <c r="C427" s="107" t="s">
        <v>2235</v>
      </c>
      <c r="D427" s="107" t="s">
        <v>585</v>
      </c>
      <c r="E427" s="120">
        <v>23034843.999999888</v>
      </c>
      <c r="F427" s="120" t="s">
        <v>251</v>
      </c>
      <c r="G427" s="120">
        <v>21547583.573814128</v>
      </c>
      <c r="H427" s="120" t="s">
        <v>251</v>
      </c>
      <c r="I427" s="120">
        <v>1004355.3311846302</v>
      </c>
      <c r="J427" s="120">
        <v>482905.09500112984</v>
      </c>
      <c r="K427" s="120" t="s">
        <v>251</v>
      </c>
      <c r="L427" s="120" t="s">
        <v>251</v>
      </c>
      <c r="M427" s="120">
        <v>68.786040269589392</v>
      </c>
      <c r="N427" s="120" t="s">
        <v>251</v>
      </c>
      <c r="O427" s="120">
        <v>482836.30896086025</v>
      </c>
      <c r="P427" s="120">
        <v>244881.08194469486</v>
      </c>
      <c r="Q427" s="120">
        <v>237955.22701616539</v>
      </c>
      <c r="R427" s="120"/>
      <c r="S427" s="121"/>
    </row>
    <row r="428" spans="1:19" ht="15">
      <c r="A428" s="105">
        <v>4</v>
      </c>
      <c r="B428" s="129" t="str">
        <f t="shared" si="15"/>
        <v>504</v>
      </c>
      <c r="C428" s="107" t="s">
        <v>2236</v>
      </c>
      <c r="D428" s="107" t="s">
        <v>585</v>
      </c>
      <c r="E428" s="120">
        <v>0</v>
      </c>
      <c r="F428" s="120" t="s">
        <v>251</v>
      </c>
      <c r="G428" s="120">
        <v>0</v>
      </c>
      <c r="H428" s="120" t="s">
        <v>251</v>
      </c>
      <c r="I428" s="120">
        <v>0</v>
      </c>
      <c r="J428" s="120">
        <v>0</v>
      </c>
      <c r="K428" s="120" t="s">
        <v>251</v>
      </c>
      <c r="L428" s="120" t="s">
        <v>251</v>
      </c>
      <c r="M428" s="120">
        <v>0</v>
      </c>
      <c r="N428" s="120" t="s">
        <v>251</v>
      </c>
      <c r="O428" s="120">
        <v>0</v>
      </c>
      <c r="P428" s="120">
        <v>0</v>
      </c>
      <c r="Q428" s="120">
        <v>0</v>
      </c>
      <c r="R428" s="120"/>
      <c r="S428" s="121"/>
    </row>
    <row r="429" spans="1:19" ht="15">
      <c r="A429" s="105">
        <v>5</v>
      </c>
      <c r="B429" s="129" t="str">
        <f t="shared" si="15"/>
        <v>505</v>
      </c>
      <c r="C429" s="107" t="s">
        <v>588</v>
      </c>
      <c r="D429" s="107" t="s">
        <v>585</v>
      </c>
      <c r="E429" s="120">
        <v>8766250</v>
      </c>
      <c r="F429" s="120" t="s">
        <v>251</v>
      </c>
      <c r="G429" s="120">
        <v>8200251.0850062203</v>
      </c>
      <c r="H429" s="120" t="s">
        <v>251</v>
      </c>
      <c r="I429" s="120">
        <v>382222.25086470338</v>
      </c>
      <c r="J429" s="120">
        <v>183776.66412907658</v>
      </c>
      <c r="K429" s="120" t="s">
        <v>251</v>
      </c>
      <c r="L429" s="120" t="s">
        <v>251</v>
      </c>
      <c r="M429" s="120">
        <v>26.177543269374475</v>
      </c>
      <c r="N429" s="120" t="s">
        <v>251</v>
      </c>
      <c r="O429" s="120">
        <v>183750.4865858072</v>
      </c>
      <c r="P429" s="120">
        <v>93193.111470504926</v>
      </c>
      <c r="Q429" s="120">
        <v>90557.375115302275</v>
      </c>
      <c r="R429" s="120"/>
      <c r="S429" s="121"/>
    </row>
    <row r="430" spans="1:19" ht="15">
      <c r="A430" s="105">
        <v>6</v>
      </c>
      <c r="B430" s="129" t="str">
        <f t="shared" si="15"/>
        <v>506</v>
      </c>
      <c r="C430" s="107" t="s">
        <v>589</v>
      </c>
      <c r="D430" s="107" t="s">
        <v>585</v>
      </c>
      <c r="E430" s="120">
        <v>26177885</v>
      </c>
      <c r="F430" s="120" t="s">
        <v>251</v>
      </c>
      <c r="G430" s="120">
        <v>24487691.986244749</v>
      </c>
      <c r="H430" s="120" t="s">
        <v>251</v>
      </c>
      <c r="I430" s="120">
        <v>1141396.8490035483</v>
      </c>
      <c r="J430" s="120">
        <v>548796.16475170013</v>
      </c>
      <c r="K430" s="120" t="s">
        <v>251</v>
      </c>
      <c r="L430" s="120" t="s">
        <v>251</v>
      </c>
      <c r="M430" s="120">
        <v>78.171705950458744</v>
      </c>
      <c r="N430" s="120" t="s">
        <v>251</v>
      </c>
      <c r="O430" s="120">
        <v>548717.99304574972</v>
      </c>
      <c r="P430" s="120">
        <v>278294.43089885172</v>
      </c>
      <c r="Q430" s="120">
        <v>270423.56214689801</v>
      </c>
      <c r="R430" s="120"/>
      <c r="S430" s="121"/>
    </row>
    <row r="431" spans="1:19" ht="15">
      <c r="A431" s="105">
        <v>7</v>
      </c>
      <c r="B431" s="129" t="str">
        <f t="shared" si="15"/>
        <v>507</v>
      </c>
      <c r="C431" s="107" t="s">
        <v>2237</v>
      </c>
      <c r="D431" s="107" t="s">
        <v>585</v>
      </c>
      <c r="E431" s="120">
        <v>0</v>
      </c>
      <c r="F431" s="120" t="s">
        <v>251</v>
      </c>
      <c r="G431" s="120">
        <v>0</v>
      </c>
      <c r="H431" s="120" t="s">
        <v>251</v>
      </c>
      <c r="I431" s="120">
        <v>0</v>
      </c>
      <c r="J431" s="120">
        <v>0</v>
      </c>
      <c r="K431" s="120" t="s">
        <v>251</v>
      </c>
      <c r="L431" s="120" t="s">
        <v>251</v>
      </c>
      <c r="M431" s="120">
        <v>0</v>
      </c>
      <c r="N431" s="120" t="s">
        <v>251</v>
      </c>
      <c r="O431" s="120">
        <v>0</v>
      </c>
      <c r="P431" s="120">
        <v>0</v>
      </c>
      <c r="Q431" s="120">
        <v>0</v>
      </c>
      <c r="R431" s="120"/>
      <c r="S431" s="121"/>
    </row>
    <row r="432" spans="1:19" ht="15">
      <c r="A432" s="105">
        <v>8</v>
      </c>
      <c r="B432" s="129" t="str">
        <f t="shared" si="15"/>
        <v>509</v>
      </c>
      <c r="C432" s="107" t="s">
        <v>2238</v>
      </c>
      <c r="D432" s="107" t="s">
        <v>585</v>
      </c>
      <c r="E432" s="120">
        <v>4999.9999999999991</v>
      </c>
      <c r="F432" s="120" t="s">
        <v>251</v>
      </c>
      <c r="G432" s="120">
        <v>4677.1715870561638</v>
      </c>
      <c r="H432" s="120" t="s">
        <v>251</v>
      </c>
      <c r="I432" s="120">
        <v>218.00784307126955</v>
      </c>
      <c r="J432" s="120">
        <v>104.82056987256614</v>
      </c>
      <c r="K432" s="120" t="s">
        <v>251</v>
      </c>
      <c r="L432" s="120" t="s">
        <v>251</v>
      </c>
      <c r="M432" s="120">
        <v>1.493086740018507E-2</v>
      </c>
      <c r="N432" s="120" t="s">
        <v>251</v>
      </c>
      <c r="O432" s="120">
        <v>104.80563900516596</v>
      </c>
      <c r="P432" s="120">
        <v>53.154491071156386</v>
      </c>
      <c r="Q432" s="120">
        <v>51.651147934009572</v>
      </c>
      <c r="R432" s="120"/>
      <c r="S432" s="121"/>
    </row>
    <row r="433" spans="1:19" ht="15">
      <c r="A433" s="105">
        <v>9</v>
      </c>
      <c r="B433" s="129" t="str">
        <f t="shared" si="15"/>
        <v xml:space="preserve">  T</v>
      </c>
      <c r="C433" s="107" t="s">
        <v>590</v>
      </c>
      <c r="D433" s="107" t="s">
        <v>251</v>
      </c>
      <c r="E433" s="120">
        <v>369750075.23587346</v>
      </c>
      <c r="F433" s="120" t="s">
        <v>251</v>
      </c>
      <c r="G433" s="120">
        <v>347591136.90520209</v>
      </c>
      <c r="H433" s="120" t="s">
        <v>251</v>
      </c>
      <c r="I433" s="120">
        <v>14512236.367589878</v>
      </c>
      <c r="J433" s="120">
        <v>7646701.9630815005</v>
      </c>
      <c r="K433" s="120" t="s">
        <v>251</v>
      </c>
      <c r="L433" s="120" t="s">
        <v>251</v>
      </c>
      <c r="M433" s="120">
        <v>1488.0069029914825</v>
      </c>
      <c r="N433" s="120" t="s">
        <v>251</v>
      </c>
      <c r="O433" s="120">
        <v>7645213.9561785087</v>
      </c>
      <c r="P433" s="120">
        <v>3872678.7898084265</v>
      </c>
      <c r="Q433" s="120">
        <v>3772535.1663700826</v>
      </c>
      <c r="R433" s="120"/>
      <c r="S433" s="121"/>
    </row>
    <row r="434" spans="1:19" ht="15">
      <c r="A434" s="105">
        <v>10</v>
      </c>
      <c r="B434" s="129" t="str">
        <f t="shared" si="15"/>
        <v>510</v>
      </c>
      <c r="C434" s="107" t="s">
        <v>591</v>
      </c>
      <c r="D434" s="107" t="s">
        <v>585</v>
      </c>
      <c r="E434" s="120">
        <v>10248226.999999998</v>
      </c>
      <c r="F434" s="120" t="s">
        <v>251</v>
      </c>
      <c r="G434" s="120">
        <v>9552185.9570962004</v>
      </c>
      <c r="H434" s="120" t="s">
        <v>251</v>
      </c>
      <c r="I434" s="120">
        <v>469988.19337626215</v>
      </c>
      <c r="J434" s="120">
        <v>226052.84952753631</v>
      </c>
      <c r="K434" s="120" t="s">
        <v>251</v>
      </c>
      <c r="L434" s="120" t="s">
        <v>251</v>
      </c>
      <c r="M434" s="120">
        <v>27.698517710774919</v>
      </c>
      <c r="N434" s="120" t="s">
        <v>251</v>
      </c>
      <c r="O434" s="120">
        <v>226025.15100982552</v>
      </c>
      <c r="P434" s="120">
        <v>114633.63980459439</v>
      </c>
      <c r="Q434" s="120">
        <v>111391.51120523112</v>
      </c>
      <c r="R434" s="120"/>
      <c r="S434" s="121"/>
    </row>
    <row r="435" spans="1:19" ht="15">
      <c r="A435" s="105">
        <v>11</v>
      </c>
      <c r="B435" s="129" t="str">
        <f t="shared" si="15"/>
        <v>511</v>
      </c>
      <c r="C435" s="107" t="s">
        <v>592</v>
      </c>
      <c r="D435" s="107" t="s">
        <v>585</v>
      </c>
      <c r="E435" s="120">
        <v>7254445</v>
      </c>
      <c r="F435" s="120" t="s">
        <v>251</v>
      </c>
      <c r="G435" s="120">
        <v>6796823.8746167542</v>
      </c>
      <c r="H435" s="120" t="s">
        <v>251</v>
      </c>
      <c r="I435" s="120">
        <v>309034.11994905502</v>
      </c>
      <c r="J435" s="120">
        <v>148587.00543419062</v>
      </c>
      <c r="K435" s="120" t="s">
        <v>251</v>
      </c>
      <c r="L435" s="120" t="s">
        <v>251</v>
      </c>
      <c r="M435" s="120">
        <v>21.165052605854203</v>
      </c>
      <c r="N435" s="120" t="s">
        <v>251</v>
      </c>
      <c r="O435" s="120">
        <v>148565.84038158477</v>
      </c>
      <c r="P435" s="120">
        <v>75348.442230790126</v>
      </c>
      <c r="Q435" s="120">
        <v>73217.39815079463</v>
      </c>
      <c r="R435" s="120"/>
      <c r="S435" s="121"/>
    </row>
    <row r="436" spans="1:19" ht="15">
      <c r="A436" s="105">
        <v>12</v>
      </c>
      <c r="B436" s="129" t="str">
        <f t="shared" si="15"/>
        <v>512</v>
      </c>
      <c r="C436" s="107" t="s">
        <v>593</v>
      </c>
      <c r="D436" s="107" t="s">
        <v>495</v>
      </c>
      <c r="E436" s="120">
        <v>50079708.999999993</v>
      </c>
      <c r="F436" s="120" t="s">
        <v>251</v>
      </c>
      <c r="G436" s="120">
        <v>46616865.654066198</v>
      </c>
      <c r="H436" s="120" t="s">
        <v>251</v>
      </c>
      <c r="I436" s="120">
        <v>2253545.4302766044</v>
      </c>
      <c r="J436" s="120">
        <v>1209297.9156571913</v>
      </c>
      <c r="K436" s="120" t="s">
        <v>251</v>
      </c>
      <c r="L436" s="120" t="s">
        <v>251</v>
      </c>
      <c r="M436" s="120">
        <v>146.80724969491325</v>
      </c>
      <c r="N436" s="120" t="s">
        <v>251</v>
      </c>
      <c r="O436" s="120">
        <v>1209151.1084074965</v>
      </c>
      <c r="P436" s="120">
        <v>612323.38084564626</v>
      </c>
      <c r="Q436" s="120">
        <v>596827.72756185022</v>
      </c>
      <c r="R436" s="120"/>
      <c r="S436" s="121"/>
    </row>
    <row r="437" spans="1:19" ht="15">
      <c r="A437" s="105">
        <v>13</v>
      </c>
      <c r="B437" s="129" t="str">
        <f t="shared" si="15"/>
        <v>513</v>
      </c>
      <c r="C437" s="107" t="s">
        <v>594</v>
      </c>
      <c r="D437" s="107" t="s">
        <v>495</v>
      </c>
      <c r="E437" s="120">
        <v>10224294.000000002</v>
      </c>
      <c r="F437" s="120" t="s">
        <v>251</v>
      </c>
      <c r="G437" s="120">
        <v>9170674.2072980218</v>
      </c>
      <c r="H437" s="120" t="s">
        <v>251</v>
      </c>
      <c r="I437" s="120">
        <v>685691.47975179495</v>
      </c>
      <c r="J437" s="120">
        <v>367928.31295018457</v>
      </c>
      <c r="K437" s="120" t="s">
        <v>251</v>
      </c>
      <c r="L437" s="120" t="s">
        <v>251</v>
      </c>
      <c r="M437" s="120">
        <v>17.108841158265435</v>
      </c>
      <c r="N437" s="120" t="s">
        <v>251</v>
      </c>
      <c r="O437" s="120">
        <v>367911.20410902629</v>
      </c>
      <c r="P437" s="120">
        <v>186313.05118492246</v>
      </c>
      <c r="Q437" s="120">
        <v>181598.15292410384</v>
      </c>
      <c r="R437" s="120"/>
      <c r="S437" s="121"/>
    </row>
    <row r="438" spans="1:19" ht="15">
      <c r="A438" s="105">
        <v>14</v>
      </c>
      <c r="B438" s="129" t="str">
        <f t="shared" si="15"/>
        <v>514</v>
      </c>
      <c r="C438" s="107" t="s">
        <v>595</v>
      </c>
      <c r="D438" s="107" t="s">
        <v>585</v>
      </c>
      <c r="E438" s="120">
        <v>2670339.9999999902</v>
      </c>
      <c r="F438" s="120" t="s">
        <v>251</v>
      </c>
      <c r="G438" s="120">
        <v>2538463.7061900152</v>
      </c>
      <c r="H438" s="120" t="s">
        <v>251</v>
      </c>
      <c r="I438" s="120">
        <v>89056.802973372265</v>
      </c>
      <c r="J438" s="120">
        <v>42819.490836602592</v>
      </c>
      <c r="K438" s="120" t="s">
        <v>251</v>
      </c>
      <c r="L438" s="120" t="s">
        <v>251</v>
      </c>
      <c r="M438" s="120">
        <v>6.0993003625339028</v>
      </c>
      <c r="N438" s="120" t="s">
        <v>251</v>
      </c>
      <c r="O438" s="120">
        <v>42813.391536240058</v>
      </c>
      <c r="P438" s="120">
        <v>21713.755669452312</v>
      </c>
      <c r="Q438" s="120">
        <v>21099.63586678775</v>
      </c>
      <c r="R438" s="120"/>
      <c r="S438" s="121"/>
    </row>
    <row r="439" spans="1:19" ht="15">
      <c r="A439" s="105">
        <v>15</v>
      </c>
      <c r="B439" s="129" t="str">
        <f t="shared" si="15"/>
        <v xml:space="preserve">  T</v>
      </c>
      <c r="C439" s="107" t="s">
        <v>596</v>
      </c>
      <c r="D439" s="107" t="s">
        <v>251</v>
      </c>
      <c r="E439" s="120">
        <v>80477014.999999985</v>
      </c>
      <c r="F439" s="120" t="s">
        <v>251</v>
      </c>
      <c r="G439" s="120">
        <v>74675013.399267197</v>
      </c>
      <c r="H439" s="120" t="s">
        <v>251</v>
      </c>
      <c r="I439" s="120">
        <v>3807316.0263270889</v>
      </c>
      <c r="J439" s="120">
        <v>1994685.5744057056</v>
      </c>
      <c r="K439" s="120" t="s">
        <v>251</v>
      </c>
      <c r="L439" s="120" t="s">
        <v>251</v>
      </c>
      <c r="M439" s="120">
        <v>218.87896153234172</v>
      </c>
      <c r="N439" s="120" t="s">
        <v>251</v>
      </c>
      <c r="O439" s="120">
        <v>1994466.6954441732</v>
      </c>
      <c r="P439" s="120">
        <v>1010332.2697354056</v>
      </c>
      <c r="Q439" s="120">
        <v>984134.42570876749</v>
      </c>
      <c r="R439" s="120"/>
      <c r="S439" s="121"/>
    </row>
    <row r="440" spans="1:19" ht="15">
      <c r="A440" s="105" t="s">
        <v>251</v>
      </c>
      <c r="B440" s="129" t="str">
        <f t="shared" si="15"/>
        <v/>
      </c>
      <c r="C440" s="107" t="s">
        <v>251</v>
      </c>
      <c r="D440" s="107" t="s">
        <v>251</v>
      </c>
      <c r="E440" s="120" t="s">
        <v>251</v>
      </c>
      <c r="F440" s="120" t="s">
        <v>251</v>
      </c>
      <c r="G440" s="120" t="s">
        <v>251</v>
      </c>
      <c r="H440" s="120" t="s">
        <v>251</v>
      </c>
      <c r="I440" s="120" t="s">
        <v>251</v>
      </c>
      <c r="J440" s="120" t="s">
        <v>251</v>
      </c>
      <c r="K440" s="120" t="s">
        <v>251</v>
      </c>
      <c r="L440" s="120" t="s">
        <v>251</v>
      </c>
      <c r="M440" s="120" t="s">
        <v>251</v>
      </c>
      <c r="N440" s="120" t="s">
        <v>251</v>
      </c>
      <c r="O440" s="120" t="s">
        <v>251</v>
      </c>
      <c r="P440" s="120" t="s">
        <v>251</v>
      </c>
      <c r="Q440" s="120" t="s">
        <v>251</v>
      </c>
      <c r="R440" s="120"/>
      <c r="S440" s="121"/>
    </row>
    <row r="441" spans="1:19" ht="15">
      <c r="A441" s="105">
        <v>16</v>
      </c>
      <c r="B441" s="129" t="str">
        <f t="shared" si="15"/>
        <v>TAL</v>
      </c>
      <c r="C441" s="107" t="s">
        <v>597</v>
      </c>
      <c r="D441" s="107" t="s">
        <v>251</v>
      </c>
      <c r="E441" s="120">
        <v>450227090.23587346</v>
      </c>
      <c r="F441" s="120" t="s">
        <v>251</v>
      </c>
      <c r="G441" s="120">
        <v>422266150.30446929</v>
      </c>
      <c r="H441" s="120" t="s">
        <v>251</v>
      </c>
      <c r="I441" s="120">
        <v>18319552.393916968</v>
      </c>
      <c r="J441" s="120">
        <v>9641387.537487207</v>
      </c>
      <c r="K441" s="120" t="s">
        <v>251</v>
      </c>
      <c r="L441" s="120" t="s">
        <v>251</v>
      </c>
      <c r="M441" s="120">
        <v>1706.8858645238242</v>
      </c>
      <c r="N441" s="120" t="s">
        <v>251</v>
      </c>
      <c r="O441" s="120">
        <v>9639680.6516226828</v>
      </c>
      <c r="P441" s="120">
        <v>4883011.0595438322</v>
      </c>
      <c r="Q441" s="120">
        <v>4756669.5920788497</v>
      </c>
      <c r="R441" s="120"/>
      <c r="S441" s="121"/>
    </row>
    <row r="442" spans="1:19" ht="15">
      <c r="A442" s="105" t="s">
        <v>251</v>
      </c>
      <c r="B442" s="129" t="str">
        <f t="shared" si="15"/>
        <v/>
      </c>
      <c r="C442" s="107" t="s">
        <v>251</v>
      </c>
      <c r="D442" s="107" t="s">
        <v>251</v>
      </c>
      <c r="E442" s="120" t="s">
        <v>251</v>
      </c>
      <c r="F442" s="120" t="s">
        <v>251</v>
      </c>
      <c r="G442" s="120" t="s">
        <v>251</v>
      </c>
      <c r="H442" s="120" t="s">
        <v>251</v>
      </c>
      <c r="I442" s="120" t="s">
        <v>251</v>
      </c>
      <c r="J442" s="120" t="s">
        <v>251</v>
      </c>
      <c r="K442" s="120" t="s">
        <v>251</v>
      </c>
      <c r="L442" s="120" t="s">
        <v>251</v>
      </c>
      <c r="M442" s="120" t="s">
        <v>251</v>
      </c>
      <c r="N442" s="120" t="s">
        <v>251</v>
      </c>
      <c r="O442" s="120" t="s">
        <v>251</v>
      </c>
      <c r="P442" s="120" t="s">
        <v>251</v>
      </c>
      <c r="Q442" s="120" t="s">
        <v>251</v>
      </c>
      <c r="R442" s="120"/>
      <c r="S442" s="121"/>
    </row>
    <row r="443" spans="1:19" ht="15">
      <c r="A443" s="105" t="s">
        <v>251</v>
      </c>
      <c r="B443" s="129" t="str">
        <f t="shared" si="15"/>
        <v>ODU</v>
      </c>
      <c r="C443" s="107" t="s">
        <v>598</v>
      </c>
      <c r="D443" s="107" t="s">
        <v>251</v>
      </c>
      <c r="E443" s="120" t="s">
        <v>251</v>
      </c>
      <c r="F443" s="120" t="s">
        <v>251</v>
      </c>
      <c r="G443" s="120" t="s">
        <v>251</v>
      </c>
      <c r="H443" s="120" t="s">
        <v>251</v>
      </c>
      <c r="I443" s="120" t="s">
        <v>251</v>
      </c>
      <c r="J443" s="120" t="s">
        <v>251</v>
      </c>
      <c r="K443" s="120" t="s">
        <v>251</v>
      </c>
      <c r="L443" s="120" t="s">
        <v>251</v>
      </c>
      <c r="M443" s="120" t="s">
        <v>251</v>
      </c>
      <c r="N443" s="120" t="s">
        <v>251</v>
      </c>
      <c r="O443" s="120" t="s">
        <v>251</v>
      </c>
      <c r="P443" s="120" t="s">
        <v>251</v>
      </c>
      <c r="Q443" s="120" t="s">
        <v>251</v>
      </c>
      <c r="R443" s="120"/>
      <c r="S443" s="121"/>
    </row>
    <row r="444" spans="1:19" ht="15">
      <c r="A444" s="105">
        <v>17</v>
      </c>
      <c r="B444" s="129" t="str">
        <f t="shared" si="15"/>
        <v>535</v>
      </c>
      <c r="C444" s="107" t="s">
        <v>599</v>
      </c>
      <c r="D444" s="107" t="s">
        <v>600</v>
      </c>
      <c r="E444" s="120">
        <v>0</v>
      </c>
      <c r="F444" s="120" t="s">
        <v>251</v>
      </c>
      <c r="G444" s="120">
        <v>0</v>
      </c>
      <c r="H444" s="120" t="s">
        <v>251</v>
      </c>
      <c r="I444" s="120">
        <v>0</v>
      </c>
      <c r="J444" s="120">
        <v>0</v>
      </c>
      <c r="K444" s="120" t="s">
        <v>251</v>
      </c>
      <c r="L444" s="120" t="s">
        <v>251</v>
      </c>
      <c r="M444" s="120">
        <v>0</v>
      </c>
      <c r="N444" s="120" t="s">
        <v>251</v>
      </c>
      <c r="O444" s="120">
        <v>0</v>
      </c>
      <c r="P444" s="120">
        <v>0</v>
      </c>
      <c r="Q444" s="120">
        <v>0</v>
      </c>
      <c r="R444" s="120"/>
      <c r="S444" s="121"/>
    </row>
    <row r="445" spans="1:19" ht="15">
      <c r="A445" s="105">
        <v>18</v>
      </c>
      <c r="B445" s="129" t="str">
        <f t="shared" si="15"/>
        <v>536</v>
      </c>
      <c r="C445" s="107" t="s">
        <v>601</v>
      </c>
      <c r="D445" s="107" t="s">
        <v>600</v>
      </c>
      <c r="E445" s="120">
        <v>0</v>
      </c>
      <c r="F445" s="120" t="s">
        <v>251</v>
      </c>
      <c r="G445" s="120">
        <v>0</v>
      </c>
      <c r="H445" s="120" t="s">
        <v>251</v>
      </c>
      <c r="I445" s="120">
        <v>0</v>
      </c>
      <c r="J445" s="120">
        <v>0</v>
      </c>
      <c r="K445" s="120" t="s">
        <v>251</v>
      </c>
      <c r="L445" s="120" t="s">
        <v>251</v>
      </c>
      <c r="M445" s="120">
        <v>0</v>
      </c>
      <c r="N445" s="120" t="s">
        <v>251</v>
      </c>
      <c r="O445" s="120">
        <v>0</v>
      </c>
      <c r="P445" s="120">
        <v>0</v>
      </c>
      <c r="Q445" s="120">
        <v>0</v>
      </c>
      <c r="R445" s="120"/>
      <c r="S445" s="121"/>
    </row>
    <row r="446" spans="1:19" ht="15">
      <c r="A446" s="105">
        <v>19</v>
      </c>
      <c r="B446" s="129" t="str">
        <f t="shared" si="15"/>
        <v>537</v>
      </c>
      <c r="C446" s="107" t="s">
        <v>602</v>
      </c>
      <c r="D446" s="107" t="s">
        <v>600</v>
      </c>
      <c r="E446" s="120">
        <v>0</v>
      </c>
      <c r="F446" s="120" t="s">
        <v>251</v>
      </c>
      <c r="G446" s="120">
        <v>0</v>
      </c>
      <c r="H446" s="120" t="s">
        <v>251</v>
      </c>
      <c r="I446" s="120">
        <v>0</v>
      </c>
      <c r="J446" s="120">
        <v>0</v>
      </c>
      <c r="K446" s="120" t="s">
        <v>251</v>
      </c>
      <c r="L446" s="120" t="s">
        <v>251</v>
      </c>
      <c r="M446" s="120">
        <v>0</v>
      </c>
      <c r="N446" s="120" t="s">
        <v>251</v>
      </c>
      <c r="O446" s="120">
        <v>0</v>
      </c>
      <c r="P446" s="120">
        <v>0</v>
      </c>
      <c r="Q446" s="120">
        <v>0</v>
      </c>
      <c r="R446" s="120"/>
      <c r="S446" s="121"/>
    </row>
    <row r="447" spans="1:19" ht="15">
      <c r="A447" s="105">
        <v>20</v>
      </c>
      <c r="B447" s="129" t="str">
        <f t="shared" si="15"/>
        <v>538</v>
      </c>
      <c r="C447" s="107" t="s">
        <v>603</v>
      </c>
      <c r="D447" s="107" t="s">
        <v>600</v>
      </c>
      <c r="E447" s="120">
        <v>0</v>
      </c>
      <c r="F447" s="120" t="s">
        <v>251</v>
      </c>
      <c r="G447" s="120">
        <v>0</v>
      </c>
      <c r="H447" s="120" t="s">
        <v>251</v>
      </c>
      <c r="I447" s="120">
        <v>0</v>
      </c>
      <c r="J447" s="120">
        <v>0</v>
      </c>
      <c r="K447" s="120" t="s">
        <v>251</v>
      </c>
      <c r="L447" s="120" t="s">
        <v>251</v>
      </c>
      <c r="M447" s="120">
        <v>0</v>
      </c>
      <c r="N447" s="120" t="s">
        <v>251</v>
      </c>
      <c r="O447" s="120">
        <v>0</v>
      </c>
      <c r="P447" s="120">
        <v>0</v>
      </c>
      <c r="Q447" s="120">
        <v>0</v>
      </c>
      <c r="R447" s="120"/>
      <c r="S447" s="121"/>
    </row>
    <row r="448" spans="1:19" ht="15">
      <c r="A448" s="105">
        <v>21</v>
      </c>
      <c r="B448" s="129" t="str">
        <f t="shared" si="15"/>
        <v>539</v>
      </c>
      <c r="C448" s="107" t="s">
        <v>2239</v>
      </c>
      <c r="D448" s="107" t="s">
        <v>600</v>
      </c>
      <c r="E448" s="120">
        <v>10111.999999999898</v>
      </c>
      <c r="F448" s="120" t="s">
        <v>251</v>
      </c>
      <c r="G448" s="120">
        <v>9475.220702457942</v>
      </c>
      <c r="H448" s="120" t="s">
        <v>251</v>
      </c>
      <c r="I448" s="120">
        <v>433.07279328876206</v>
      </c>
      <c r="J448" s="120">
        <v>203.70650425319445</v>
      </c>
      <c r="K448" s="120" t="s">
        <v>251</v>
      </c>
      <c r="L448" s="120" t="s">
        <v>251</v>
      </c>
      <c r="M448" s="120">
        <v>3.0353096699799194E-2</v>
      </c>
      <c r="N448" s="120" t="s">
        <v>251</v>
      </c>
      <c r="O448" s="120">
        <v>203.67615115649465</v>
      </c>
      <c r="P448" s="120">
        <v>103.29885167268294</v>
      </c>
      <c r="Q448" s="120">
        <v>100.37729948381173</v>
      </c>
      <c r="R448" s="120"/>
      <c r="S448" s="121"/>
    </row>
    <row r="449" spans="1:19" ht="15">
      <c r="A449" s="105">
        <v>22</v>
      </c>
      <c r="B449" s="129" t="str">
        <f t="shared" ref="B449:B512" si="16">MID(C449,3,3)</f>
        <v>540</v>
      </c>
      <c r="C449" s="107" t="s">
        <v>604</v>
      </c>
      <c r="D449" s="107" t="s">
        <v>600</v>
      </c>
      <c r="E449" s="120">
        <v>0</v>
      </c>
      <c r="F449" s="120" t="s">
        <v>251</v>
      </c>
      <c r="G449" s="120">
        <v>0</v>
      </c>
      <c r="H449" s="120" t="s">
        <v>251</v>
      </c>
      <c r="I449" s="120">
        <v>0</v>
      </c>
      <c r="J449" s="120">
        <v>0</v>
      </c>
      <c r="K449" s="120" t="s">
        <v>251</v>
      </c>
      <c r="L449" s="120" t="s">
        <v>251</v>
      </c>
      <c r="M449" s="120">
        <v>0</v>
      </c>
      <c r="N449" s="120" t="s">
        <v>251</v>
      </c>
      <c r="O449" s="120">
        <v>0</v>
      </c>
      <c r="P449" s="120">
        <v>0</v>
      </c>
      <c r="Q449" s="120">
        <v>0</v>
      </c>
      <c r="R449" s="120"/>
      <c r="S449" s="121"/>
    </row>
    <row r="450" spans="1:19" ht="15">
      <c r="A450" s="105">
        <v>23</v>
      </c>
      <c r="B450" s="129" t="str">
        <f t="shared" si="16"/>
        <v xml:space="preserve">  T</v>
      </c>
      <c r="C450" s="107" t="s">
        <v>605</v>
      </c>
      <c r="D450" s="107" t="s">
        <v>251</v>
      </c>
      <c r="E450" s="120">
        <v>10111.999999999898</v>
      </c>
      <c r="F450" s="120" t="s">
        <v>251</v>
      </c>
      <c r="G450" s="120">
        <v>9475.220702457942</v>
      </c>
      <c r="H450" s="120" t="s">
        <v>251</v>
      </c>
      <c r="I450" s="120">
        <v>433.07279328876206</v>
      </c>
      <c r="J450" s="120">
        <v>203.70650425319445</v>
      </c>
      <c r="K450" s="120" t="s">
        <v>251</v>
      </c>
      <c r="L450" s="120" t="s">
        <v>251</v>
      </c>
      <c r="M450" s="120">
        <v>3.0353096699799194E-2</v>
      </c>
      <c r="N450" s="120" t="s">
        <v>251</v>
      </c>
      <c r="O450" s="120">
        <v>203.67615115649465</v>
      </c>
      <c r="P450" s="120">
        <v>103.29885167268294</v>
      </c>
      <c r="Q450" s="120">
        <v>100.37729948381173</v>
      </c>
      <c r="R450" s="120"/>
      <c r="S450" s="121"/>
    </row>
    <row r="451" spans="1:19" ht="15">
      <c r="A451" s="105">
        <v>24</v>
      </c>
      <c r="B451" s="129" t="str">
        <f t="shared" si="16"/>
        <v>541</v>
      </c>
      <c r="C451" s="107" t="s">
        <v>606</v>
      </c>
      <c r="D451" s="107" t="s">
        <v>600</v>
      </c>
      <c r="E451" s="120">
        <v>226739.99999999898</v>
      </c>
      <c r="F451" s="120" t="s">
        <v>251</v>
      </c>
      <c r="G451" s="120">
        <v>212461.58446156306</v>
      </c>
      <c r="H451" s="120" t="s">
        <v>251</v>
      </c>
      <c r="I451" s="120">
        <v>9710.732313122473</v>
      </c>
      <c r="J451" s="120">
        <v>4567.6832253134462</v>
      </c>
      <c r="K451" s="120" t="s">
        <v>251</v>
      </c>
      <c r="L451" s="120" t="s">
        <v>251</v>
      </c>
      <c r="M451" s="120">
        <v>0.68060335697315144</v>
      </c>
      <c r="N451" s="120" t="s">
        <v>251</v>
      </c>
      <c r="O451" s="120">
        <v>4567.0026219564734</v>
      </c>
      <c r="P451" s="120">
        <v>2316.2560945672726</v>
      </c>
      <c r="Q451" s="120">
        <v>2250.7465273892003</v>
      </c>
      <c r="R451" s="120"/>
      <c r="S451" s="121"/>
    </row>
    <row r="452" spans="1:19" ht="15">
      <c r="A452" s="105">
        <v>25</v>
      </c>
      <c r="B452" s="129" t="str">
        <f t="shared" si="16"/>
        <v>542</v>
      </c>
      <c r="C452" s="107" t="s">
        <v>607</v>
      </c>
      <c r="D452" s="107" t="s">
        <v>600</v>
      </c>
      <c r="E452" s="120">
        <v>225182.99999999898</v>
      </c>
      <c r="F452" s="120" t="s">
        <v>251</v>
      </c>
      <c r="G452" s="120">
        <v>211002.63285617073</v>
      </c>
      <c r="H452" s="120" t="s">
        <v>251</v>
      </c>
      <c r="I452" s="120">
        <v>9644.0497242033071</v>
      </c>
      <c r="J452" s="120">
        <v>4536.3174196249347</v>
      </c>
      <c r="K452" s="120" t="s">
        <v>251</v>
      </c>
      <c r="L452" s="120" t="s">
        <v>251</v>
      </c>
      <c r="M452" s="120">
        <v>0.67592972450068423</v>
      </c>
      <c r="N452" s="120" t="s">
        <v>251</v>
      </c>
      <c r="O452" s="120">
        <v>4535.641489900434</v>
      </c>
      <c r="P452" s="120">
        <v>2300.3506048467061</v>
      </c>
      <c r="Q452" s="120">
        <v>2235.2908850537283</v>
      </c>
      <c r="R452" s="120"/>
      <c r="S452" s="121"/>
    </row>
    <row r="453" spans="1:19" ht="15">
      <c r="A453" s="105">
        <v>26</v>
      </c>
      <c r="B453" s="129" t="str">
        <f t="shared" si="16"/>
        <v>543</v>
      </c>
      <c r="C453" s="107" t="s">
        <v>608</v>
      </c>
      <c r="D453" s="107" t="s">
        <v>600</v>
      </c>
      <c r="E453" s="120">
        <v>33915.999999999993</v>
      </c>
      <c r="F453" s="120" t="s">
        <v>251</v>
      </c>
      <c r="G453" s="120">
        <v>31780.220069676299</v>
      </c>
      <c r="H453" s="120" t="s">
        <v>251</v>
      </c>
      <c r="I453" s="120">
        <v>1452.541224009276</v>
      </c>
      <c r="J453" s="120">
        <v>683.23870631441957</v>
      </c>
      <c r="K453" s="120" t="s">
        <v>251</v>
      </c>
      <c r="L453" s="120" t="s">
        <v>251</v>
      </c>
      <c r="M453" s="120">
        <v>0.10180534292626578</v>
      </c>
      <c r="N453" s="120" t="s">
        <v>251</v>
      </c>
      <c r="O453" s="120">
        <v>683.13690097149333</v>
      </c>
      <c r="P453" s="120">
        <v>346.46794435628453</v>
      </c>
      <c r="Q453" s="120">
        <v>336.66895661520886</v>
      </c>
      <c r="R453" s="120"/>
      <c r="S453" s="121"/>
    </row>
    <row r="454" spans="1:19" ht="15">
      <c r="A454" s="105">
        <v>27</v>
      </c>
      <c r="B454" s="129" t="str">
        <f t="shared" si="16"/>
        <v>544</v>
      </c>
      <c r="C454" s="107" t="s">
        <v>609</v>
      </c>
      <c r="D454" s="107" t="s">
        <v>495</v>
      </c>
      <c r="E454" s="120">
        <v>44124.000000000007</v>
      </c>
      <c r="F454" s="120" t="s">
        <v>251</v>
      </c>
      <c r="G454" s="120">
        <v>41521.088156924736</v>
      </c>
      <c r="H454" s="120" t="s">
        <v>251</v>
      </c>
      <c r="I454" s="120">
        <v>1693.8710213823108</v>
      </c>
      <c r="J454" s="120">
        <v>909.04082169295805</v>
      </c>
      <c r="K454" s="120" t="s">
        <v>251</v>
      </c>
      <c r="L454" s="120" t="s">
        <v>251</v>
      </c>
      <c r="M454" s="120">
        <v>0.18582570010350019</v>
      </c>
      <c r="N454" s="120" t="s">
        <v>251</v>
      </c>
      <c r="O454" s="120">
        <v>908.85499599285458</v>
      </c>
      <c r="P454" s="120">
        <v>460.25112988380135</v>
      </c>
      <c r="Q454" s="120">
        <v>448.60386610905329</v>
      </c>
      <c r="R454" s="120"/>
      <c r="S454" s="121"/>
    </row>
    <row r="455" spans="1:19" ht="15">
      <c r="A455" s="105">
        <v>28</v>
      </c>
      <c r="B455" s="129" t="str">
        <f t="shared" si="16"/>
        <v>545</v>
      </c>
      <c r="C455" s="107" t="s">
        <v>610</v>
      </c>
      <c r="D455" s="107" t="s">
        <v>600</v>
      </c>
      <c r="E455" s="120">
        <v>11143.999999999898</v>
      </c>
      <c r="F455" s="120" t="s">
        <v>251</v>
      </c>
      <c r="G455" s="120">
        <v>10442.232941870194</v>
      </c>
      <c r="H455" s="120" t="s">
        <v>251</v>
      </c>
      <c r="I455" s="120">
        <v>477.27088690763139</v>
      </c>
      <c r="J455" s="120">
        <v>224.49617122207292</v>
      </c>
      <c r="K455" s="120" t="s">
        <v>251</v>
      </c>
      <c r="L455" s="120" t="s">
        <v>251</v>
      </c>
      <c r="M455" s="120">
        <v>3.3450841537041386E-2</v>
      </c>
      <c r="N455" s="120" t="s">
        <v>251</v>
      </c>
      <c r="O455" s="120">
        <v>224.46272038053587</v>
      </c>
      <c r="P455" s="120">
        <v>113.84121865510085</v>
      </c>
      <c r="Q455" s="120">
        <v>110.62150172543501</v>
      </c>
      <c r="R455" s="120"/>
      <c r="S455" s="121"/>
    </row>
    <row r="456" spans="1:19" ht="15">
      <c r="A456" s="105">
        <v>29</v>
      </c>
      <c r="B456" s="129" t="str">
        <f t="shared" si="16"/>
        <v xml:space="preserve">  T</v>
      </c>
      <c r="C456" s="107" t="s">
        <v>611</v>
      </c>
      <c r="D456" s="107" t="s">
        <v>251</v>
      </c>
      <c r="E456" s="120">
        <v>541106.9999999979</v>
      </c>
      <c r="F456" s="120" t="s">
        <v>251</v>
      </c>
      <c r="G456" s="120">
        <v>507207.75848620501</v>
      </c>
      <c r="H456" s="120" t="s">
        <v>251</v>
      </c>
      <c r="I456" s="120">
        <v>22978.465169624997</v>
      </c>
      <c r="J456" s="120">
        <v>10920.776344167833</v>
      </c>
      <c r="K456" s="120" t="s">
        <v>251</v>
      </c>
      <c r="L456" s="120" t="s">
        <v>251</v>
      </c>
      <c r="M456" s="120">
        <v>1.677614966040643</v>
      </c>
      <c r="N456" s="120" t="s">
        <v>251</v>
      </c>
      <c r="O456" s="120">
        <v>10919.098729201793</v>
      </c>
      <c r="P456" s="120">
        <v>5537.1669923091649</v>
      </c>
      <c r="Q456" s="120">
        <v>5381.9317368926268</v>
      </c>
      <c r="R456" s="120"/>
      <c r="S456" s="121"/>
    </row>
    <row r="457" spans="1:19" ht="15">
      <c r="A457" s="105" t="s">
        <v>251</v>
      </c>
      <c r="B457" s="129" t="str">
        <f t="shared" si="16"/>
        <v/>
      </c>
      <c r="C457" s="107" t="s">
        <v>251</v>
      </c>
      <c r="D457" s="107" t="s">
        <v>251</v>
      </c>
      <c r="E457" s="120" t="s">
        <v>251</v>
      </c>
      <c r="F457" s="120" t="s">
        <v>251</v>
      </c>
      <c r="G457" s="120" t="s">
        <v>251</v>
      </c>
      <c r="H457" s="120" t="s">
        <v>251</v>
      </c>
      <c r="I457" s="120" t="s">
        <v>251</v>
      </c>
      <c r="J457" s="120" t="s">
        <v>251</v>
      </c>
      <c r="K457" s="120" t="s">
        <v>251</v>
      </c>
      <c r="L457" s="120" t="s">
        <v>251</v>
      </c>
      <c r="M457" s="120" t="s">
        <v>251</v>
      </c>
      <c r="N457" s="120" t="s">
        <v>251</v>
      </c>
      <c r="O457" s="120" t="s">
        <v>251</v>
      </c>
      <c r="P457" s="120" t="s">
        <v>251</v>
      </c>
      <c r="Q457" s="120" t="s">
        <v>251</v>
      </c>
      <c r="R457" s="120"/>
      <c r="S457" s="121"/>
    </row>
    <row r="458" spans="1:19" ht="15">
      <c r="A458" s="105">
        <v>30</v>
      </c>
      <c r="B458" s="129" t="str">
        <f t="shared" si="16"/>
        <v>TAL</v>
      </c>
      <c r="C458" s="107" t="s">
        <v>612</v>
      </c>
      <c r="D458" s="107" t="s">
        <v>251</v>
      </c>
      <c r="E458" s="120">
        <v>551218.99999999767</v>
      </c>
      <c r="F458" s="120" t="s">
        <v>251</v>
      </c>
      <c r="G458" s="120">
        <v>516682.97918866295</v>
      </c>
      <c r="H458" s="120" t="s">
        <v>251</v>
      </c>
      <c r="I458" s="120">
        <v>23411.537962913757</v>
      </c>
      <c r="J458" s="120">
        <v>11124.482848421028</v>
      </c>
      <c r="K458" s="120" t="s">
        <v>251</v>
      </c>
      <c r="L458" s="120" t="s">
        <v>251</v>
      </c>
      <c r="M458" s="120">
        <v>1.7079680627404421</v>
      </c>
      <c r="N458" s="120" t="s">
        <v>251</v>
      </c>
      <c r="O458" s="120">
        <v>11122.774880358287</v>
      </c>
      <c r="P458" s="120">
        <v>5640.4658439818477</v>
      </c>
      <c r="Q458" s="120">
        <v>5482.3090363764386</v>
      </c>
      <c r="R458" s="120"/>
      <c r="S458" s="121"/>
    </row>
    <row r="459" spans="1:19" ht="15">
      <c r="A459" s="105" t="s">
        <v>251</v>
      </c>
      <c r="B459" s="129" t="str">
        <f t="shared" si="16"/>
        <v/>
      </c>
      <c r="C459" s="107" t="s">
        <v>251</v>
      </c>
      <c r="D459" s="107" t="s">
        <v>251</v>
      </c>
      <c r="E459" s="120" t="s">
        <v>251</v>
      </c>
      <c r="F459" s="120" t="s">
        <v>251</v>
      </c>
      <c r="G459" s="120" t="s">
        <v>251</v>
      </c>
      <c r="H459" s="120" t="s">
        <v>251</v>
      </c>
      <c r="I459" s="120" t="s">
        <v>251</v>
      </c>
      <c r="J459" s="120" t="s">
        <v>251</v>
      </c>
      <c r="K459" s="120" t="s">
        <v>251</v>
      </c>
      <c r="L459" s="120" t="s">
        <v>251</v>
      </c>
      <c r="M459" s="120" t="s">
        <v>251</v>
      </c>
      <c r="N459" s="120" t="s">
        <v>251</v>
      </c>
      <c r="O459" s="120" t="s">
        <v>251</v>
      </c>
      <c r="P459" s="120" t="s">
        <v>251</v>
      </c>
      <c r="Q459" s="120" t="s">
        <v>251</v>
      </c>
      <c r="R459" s="120"/>
      <c r="S459" s="121"/>
    </row>
    <row r="460" spans="1:19" ht="15">
      <c r="A460" s="105" t="s">
        <v>251</v>
      </c>
      <c r="B460" s="129" t="str">
        <f t="shared" si="16"/>
        <v>ODU</v>
      </c>
      <c r="C460" s="107" t="s">
        <v>613</v>
      </c>
      <c r="D460" s="107" t="s">
        <v>251</v>
      </c>
      <c r="E460" s="120" t="s">
        <v>251</v>
      </c>
      <c r="F460" s="120" t="s">
        <v>251</v>
      </c>
      <c r="G460" s="120" t="s">
        <v>251</v>
      </c>
      <c r="H460" s="120" t="s">
        <v>251</v>
      </c>
      <c r="I460" s="120" t="s">
        <v>251</v>
      </c>
      <c r="J460" s="120" t="s">
        <v>251</v>
      </c>
      <c r="K460" s="120" t="s">
        <v>251</v>
      </c>
      <c r="L460" s="120" t="s">
        <v>251</v>
      </c>
      <c r="M460" s="120" t="s">
        <v>251</v>
      </c>
      <c r="N460" s="120" t="s">
        <v>251</v>
      </c>
      <c r="O460" s="120" t="s">
        <v>251</v>
      </c>
      <c r="P460" s="120" t="s">
        <v>251</v>
      </c>
      <c r="Q460" s="120" t="s">
        <v>251</v>
      </c>
      <c r="R460" s="120"/>
      <c r="S460" s="121"/>
    </row>
    <row r="461" spans="1:19" ht="15">
      <c r="A461" s="105">
        <v>31</v>
      </c>
      <c r="B461" s="129" t="str">
        <f t="shared" si="16"/>
        <v>546</v>
      </c>
      <c r="C461" s="107" t="s">
        <v>614</v>
      </c>
      <c r="D461" s="107" t="s">
        <v>615</v>
      </c>
      <c r="E461" s="120">
        <v>1306825</v>
      </c>
      <c r="F461" s="120" t="s">
        <v>251</v>
      </c>
      <c r="G461" s="120">
        <v>1224070.5677148101</v>
      </c>
      <c r="H461" s="120" t="s">
        <v>251</v>
      </c>
      <c r="I461" s="120">
        <v>55834.924534332618</v>
      </c>
      <c r="J461" s="120">
        <v>26919.507750857119</v>
      </c>
      <c r="K461" s="120" t="s">
        <v>251</v>
      </c>
      <c r="L461" s="120" t="s">
        <v>251</v>
      </c>
      <c r="M461" s="120">
        <v>3.9138466411531145</v>
      </c>
      <c r="N461" s="120" t="s">
        <v>251</v>
      </c>
      <c r="O461" s="120">
        <v>26915.593904215966</v>
      </c>
      <c r="P461" s="120">
        <v>13650.83701064977</v>
      </c>
      <c r="Q461" s="120">
        <v>13264.756893566197</v>
      </c>
      <c r="R461" s="120"/>
      <c r="S461" s="121"/>
    </row>
    <row r="462" spans="1:19" ht="15">
      <c r="A462" s="105">
        <v>32</v>
      </c>
      <c r="B462" s="129" t="str">
        <f t="shared" si="16"/>
        <v>547</v>
      </c>
      <c r="C462" s="107" t="s">
        <v>616</v>
      </c>
      <c r="D462" s="107" t="s">
        <v>495</v>
      </c>
      <c r="E462" s="120">
        <v>125544025.15006199</v>
      </c>
      <c r="F462" s="120" t="s">
        <v>251</v>
      </c>
      <c r="G462" s="120">
        <v>118138077.59565996</v>
      </c>
      <c r="H462" s="120" t="s">
        <v>251</v>
      </c>
      <c r="I462" s="120">
        <v>4819494.7445694413</v>
      </c>
      <c r="J462" s="120">
        <v>2586452.8098326023</v>
      </c>
      <c r="K462" s="120" t="s">
        <v>251</v>
      </c>
      <c r="L462" s="120" t="s">
        <v>251</v>
      </c>
      <c r="M462" s="120">
        <v>528.72147510021091</v>
      </c>
      <c r="N462" s="120" t="s">
        <v>251</v>
      </c>
      <c r="O462" s="120">
        <v>2585924.0883575021</v>
      </c>
      <c r="P462" s="120">
        <v>1309531.7610705376</v>
      </c>
      <c r="Q462" s="120">
        <v>1276392.3272869645</v>
      </c>
      <c r="R462" s="120"/>
      <c r="S462" s="121"/>
    </row>
    <row r="463" spans="1:19" ht="15">
      <c r="A463" s="105">
        <v>33</v>
      </c>
      <c r="B463" s="129" t="str">
        <f t="shared" si="16"/>
        <v>548</v>
      </c>
      <c r="C463" s="107" t="s">
        <v>617</v>
      </c>
      <c r="D463" s="107" t="s">
        <v>615</v>
      </c>
      <c r="E463" s="120">
        <v>631118</v>
      </c>
      <c r="F463" s="120" t="s">
        <v>251</v>
      </c>
      <c r="G463" s="120">
        <v>591152.57861996489</v>
      </c>
      <c r="H463" s="120" t="s">
        <v>251</v>
      </c>
      <c r="I463" s="120">
        <v>26964.915656081674</v>
      </c>
      <c r="J463" s="120">
        <v>13000.505723953431</v>
      </c>
      <c r="K463" s="120" t="s">
        <v>251</v>
      </c>
      <c r="L463" s="120" t="s">
        <v>251</v>
      </c>
      <c r="M463" s="120">
        <v>1.8901529007107083</v>
      </c>
      <c r="N463" s="120" t="s">
        <v>251</v>
      </c>
      <c r="O463" s="120">
        <v>12998.61557105272</v>
      </c>
      <c r="P463" s="120">
        <v>6592.5345417230783</v>
      </c>
      <c r="Q463" s="120">
        <v>6406.0810293296427</v>
      </c>
      <c r="R463" s="120"/>
      <c r="S463" s="121"/>
    </row>
    <row r="464" spans="1:19" ht="15">
      <c r="A464" s="105">
        <v>34</v>
      </c>
      <c r="B464" s="129" t="str">
        <f t="shared" si="16"/>
        <v>549</v>
      </c>
      <c r="C464" s="107" t="s">
        <v>2240</v>
      </c>
      <c r="D464" s="107" t="s">
        <v>615</v>
      </c>
      <c r="E464" s="120">
        <v>4610326</v>
      </c>
      <c r="F464" s="120" t="s">
        <v>251</v>
      </c>
      <c r="G464" s="120">
        <v>4321192.5429301094</v>
      </c>
      <c r="H464" s="120" t="s">
        <v>251</v>
      </c>
      <c r="I464" s="120">
        <v>195080.12211615653</v>
      </c>
      <c r="J464" s="120">
        <v>94053.334953733705</v>
      </c>
      <c r="K464" s="120" t="s">
        <v>251</v>
      </c>
      <c r="L464" s="120" t="s">
        <v>251</v>
      </c>
      <c r="M464" s="120">
        <v>13.674482182394245</v>
      </c>
      <c r="N464" s="120" t="s">
        <v>251</v>
      </c>
      <c r="O464" s="120">
        <v>94039.660471551309</v>
      </c>
      <c r="P464" s="120">
        <v>47694.287638695328</v>
      </c>
      <c r="Q464" s="120">
        <v>46345.372832855981</v>
      </c>
      <c r="R464" s="120"/>
      <c r="S464" s="121"/>
    </row>
    <row r="465" spans="1:19" ht="15">
      <c r="A465" s="105">
        <v>35</v>
      </c>
      <c r="B465" s="129" t="str">
        <f t="shared" si="16"/>
        <v>550</v>
      </c>
      <c r="C465" s="107" t="s">
        <v>2241</v>
      </c>
      <c r="D465" s="107" t="s">
        <v>615</v>
      </c>
      <c r="E465" s="120">
        <v>10000</v>
      </c>
      <c r="F465" s="120" t="s">
        <v>251</v>
      </c>
      <c r="G465" s="120">
        <v>9366.751995981178</v>
      </c>
      <c r="H465" s="120" t="s">
        <v>251</v>
      </c>
      <c r="I465" s="120">
        <v>427.25632379494283</v>
      </c>
      <c r="J465" s="120">
        <v>205.9916802238794</v>
      </c>
      <c r="K465" s="120" t="s">
        <v>251</v>
      </c>
      <c r="L465" s="120" t="s">
        <v>251</v>
      </c>
      <c r="M465" s="120">
        <v>2.9949278909977346E-2</v>
      </c>
      <c r="N465" s="120" t="s">
        <v>251</v>
      </c>
      <c r="O465" s="120">
        <v>205.96173094496942</v>
      </c>
      <c r="P465" s="120">
        <v>104.45803386566503</v>
      </c>
      <c r="Q465" s="120">
        <v>101.50369707930439</v>
      </c>
      <c r="R465" s="120"/>
      <c r="S465" s="121"/>
    </row>
    <row r="466" spans="1:19" ht="15">
      <c r="A466" s="105">
        <v>36</v>
      </c>
      <c r="B466" s="129" t="str">
        <f t="shared" si="16"/>
        <v xml:space="preserve">  T</v>
      </c>
      <c r="C466" s="107" t="s">
        <v>618</v>
      </c>
      <c r="D466" s="107" t="s">
        <v>251</v>
      </c>
      <c r="E466" s="120">
        <v>132102294.15006201</v>
      </c>
      <c r="F466" s="120" t="s">
        <v>251</v>
      </c>
      <c r="G466" s="120">
        <v>124283860.03692083</v>
      </c>
      <c r="H466" s="120" t="s">
        <v>251</v>
      </c>
      <c r="I466" s="120">
        <v>5097801.9631998073</v>
      </c>
      <c r="J466" s="120">
        <v>2720632.1499413704</v>
      </c>
      <c r="K466" s="120" t="s">
        <v>251</v>
      </c>
      <c r="L466" s="120" t="s">
        <v>251</v>
      </c>
      <c r="M466" s="120">
        <v>548.22990610337899</v>
      </c>
      <c r="N466" s="120" t="s">
        <v>251</v>
      </c>
      <c r="O466" s="120">
        <v>2720083.9200352668</v>
      </c>
      <c r="P466" s="120">
        <v>1377573.8782954712</v>
      </c>
      <c r="Q466" s="120">
        <v>1342510.0417397956</v>
      </c>
      <c r="R466" s="120"/>
      <c r="S466" s="121"/>
    </row>
    <row r="467" spans="1:19" ht="15">
      <c r="A467" s="105">
        <v>37</v>
      </c>
      <c r="B467" s="129" t="str">
        <f t="shared" si="16"/>
        <v>551</v>
      </c>
      <c r="C467" s="107" t="s">
        <v>619</v>
      </c>
      <c r="D467" s="107" t="s">
        <v>615</v>
      </c>
      <c r="E467" s="120">
        <v>451273</v>
      </c>
      <c r="F467" s="120" t="s">
        <v>251</v>
      </c>
      <c r="G467" s="120">
        <v>397057.9814570403</v>
      </c>
      <c r="H467" s="120" t="s">
        <v>251</v>
      </c>
      <c r="I467" s="120">
        <v>36566.665563520102</v>
      </c>
      <c r="J467" s="120">
        <v>17648.352979439576</v>
      </c>
      <c r="K467" s="120" t="s">
        <v>251</v>
      </c>
      <c r="L467" s="120" t="s">
        <v>251</v>
      </c>
      <c r="M467" s="120">
        <v>1.1034477489238534</v>
      </c>
      <c r="N467" s="120" t="s">
        <v>251</v>
      </c>
      <c r="O467" s="120">
        <v>17647.249531690653</v>
      </c>
      <c r="P467" s="120">
        <v>8950.1917698959223</v>
      </c>
      <c r="Q467" s="120">
        <v>8697.0577617947311</v>
      </c>
      <c r="R467" s="120"/>
      <c r="S467" s="121"/>
    </row>
    <row r="468" spans="1:19" ht="15">
      <c r="A468" s="105">
        <v>38</v>
      </c>
      <c r="B468" s="129" t="str">
        <f t="shared" si="16"/>
        <v>552</v>
      </c>
      <c r="C468" s="107" t="s">
        <v>620</v>
      </c>
      <c r="D468" s="107" t="s">
        <v>615</v>
      </c>
      <c r="E468" s="120">
        <v>756751.99999999988</v>
      </c>
      <c r="F468" s="120" t="s">
        <v>251</v>
      </c>
      <c r="G468" s="120">
        <v>703350.8209367129</v>
      </c>
      <c r="H468" s="120" t="s">
        <v>251</v>
      </c>
      <c r="I468" s="120">
        <v>36030.104016273086</v>
      </c>
      <c r="J468" s="120">
        <v>17371.075047013936</v>
      </c>
      <c r="K468" s="120" t="s">
        <v>251</v>
      </c>
      <c r="L468" s="120" t="s">
        <v>251</v>
      </c>
      <c r="M468" s="120">
        <v>2.5255931258181885</v>
      </c>
      <c r="N468" s="120" t="s">
        <v>251</v>
      </c>
      <c r="O468" s="120">
        <v>17368.549453888118</v>
      </c>
      <c r="P468" s="120">
        <v>8808.8428793428557</v>
      </c>
      <c r="Q468" s="120">
        <v>8559.7065745452637</v>
      </c>
      <c r="R468" s="120"/>
      <c r="S468" s="121"/>
    </row>
    <row r="469" spans="1:19" ht="15">
      <c r="A469" s="105">
        <v>39</v>
      </c>
      <c r="B469" s="129" t="str">
        <f t="shared" si="16"/>
        <v>553</v>
      </c>
      <c r="C469" s="107" t="s">
        <v>621</v>
      </c>
      <c r="D469" s="107" t="s">
        <v>615</v>
      </c>
      <c r="E469" s="120">
        <v>5849513.9999999991</v>
      </c>
      <c r="F469" s="120" t="s">
        <v>251</v>
      </c>
      <c r="G469" s="120">
        <v>5367859.6583237732</v>
      </c>
      <c r="H469" s="120" t="s">
        <v>251</v>
      </c>
      <c r="I469" s="120">
        <v>324881.55363874912</v>
      </c>
      <c r="J469" s="120">
        <v>156772.78803747715</v>
      </c>
      <c r="K469" s="120" t="s">
        <v>251</v>
      </c>
      <c r="L469" s="120" t="s">
        <v>251</v>
      </c>
      <c r="M469" s="120">
        <v>11.878921557193022</v>
      </c>
      <c r="N469" s="120" t="s">
        <v>251</v>
      </c>
      <c r="O469" s="120">
        <v>156760.90911591996</v>
      </c>
      <c r="P469" s="120">
        <v>79504.752062985906</v>
      </c>
      <c r="Q469" s="120">
        <v>77256.157052934053</v>
      </c>
      <c r="R469" s="120"/>
      <c r="S469" s="121"/>
    </row>
    <row r="470" spans="1:19" ht="15">
      <c r="A470" s="105">
        <v>40</v>
      </c>
      <c r="B470" s="129" t="str">
        <f t="shared" si="16"/>
        <v>554</v>
      </c>
      <c r="C470" s="107" t="s">
        <v>622</v>
      </c>
      <c r="D470" s="107" t="s">
        <v>615</v>
      </c>
      <c r="E470" s="120">
        <v>6111967</v>
      </c>
      <c r="F470" s="120" t="s">
        <v>251</v>
      </c>
      <c r="G470" s="120">
        <v>5523369.211737087</v>
      </c>
      <c r="H470" s="120" t="s">
        <v>251</v>
      </c>
      <c r="I470" s="120">
        <v>397015.26784144237</v>
      </c>
      <c r="J470" s="120">
        <v>191582.52042147005</v>
      </c>
      <c r="K470" s="120" t="s">
        <v>251</v>
      </c>
      <c r="L470" s="120" t="s">
        <v>251</v>
      </c>
      <c r="M470" s="120">
        <v>14.410902521367335</v>
      </c>
      <c r="N470" s="120" t="s">
        <v>251</v>
      </c>
      <c r="O470" s="120">
        <v>191568.10951894868</v>
      </c>
      <c r="P470" s="120">
        <v>97157.991340917739</v>
      </c>
      <c r="Q470" s="120">
        <v>94410.118178030942</v>
      </c>
      <c r="R470" s="120"/>
      <c r="S470" s="121"/>
    </row>
    <row r="471" spans="1:19" ht="15">
      <c r="A471" s="105">
        <v>41</v>
      </c>
      <c r="B471" s="129" t="str">
        <f t="shared" si="16"/>
        <v xml:space="preserve">  T</v>
      </c>
      <c r="C471" s="107" t="s">
        <v>623</v>
      </c>
      <c r="D471" s="107" t="s">
        <v>251</v>
      </c>
      <c r="E471" s="120">
        <v>13169506</v>
      </c>
      <c r="F471" s="120" t="s">
        <v>251</v>
      </c>
      <c r="G471" s="120">
        <v>11991637.672454614</v>
      </c>
      <c r="H471" s="120" t="s">
        <v>251</v>
      </c>
      <c r="I471" s="120">
        <v>794493.59105998464</v>
      </c>
      <c r="J471" s="120">
        <v>383374.7364854007</v>
      </c>
      <c r="K471" s="120" t="s">
        <v>251</v>
      </c>
      <c r="L471" s="120" t="s">
        <v>251</v>
      </c>
      <c r="M471" s="120">
        <v>29.9188649533024</v>
      </c>
      <c r="N471" s="120" t="s">
        <v>251</v>
      </c>
      <c r="O471" s="120">
        <v>383344.81762044743</v>
      </c>
      <c r="P471" s="120">
        <v>194421.77805314242</v>
      </c>
      <c r="Q471" s="120">
        <v>188923.03956730501</v>
      </c>
      <c r="R471" s="120"/>
      <c r="S471" s="121"/>
    </row>
    <row r="472" spans="1:19" ht="15">
      <c r="A472" s="105" t="s">
        <v>251</v>
      </c>
      <c r="B472" s="129" t="str">
        <f t="shared" si="16"/>
        <v/>
      </c>
      <c r="C472" s="107" t="s">
        <v>251</v>
      </c>
      <c r="D472" s="107" t="s">
        <v>251</v>
      </c>
      <c r="E472" s="120" t="s">
        <v>251</v>
      </c>
      <c r="F472" s="120" t="s">
        <v>251</v>
      </c>
      <c r="G472" s="120" t="s">
        <v>251</v>
      </c>
      <c r="H472" s="120" t="s">
        <v>251</v>
      </c>
      <c r="I472" s="120" t="s">
        <v>251</v>
      </c>
      <c r="J472" s="120" t="s">
        <v>251</v>
      </c>
      <c r="K472" s="120" t="s">
        <v>251</v>
      </c>
      <c r="L472" s="120" t="s">
        <v>251</v>
      </c>
      <c r="M472" s="120" t="s">
        <v>251</v>
      </c>
      <c r="N472" s="120" t="s">
        <v>251</v>
      </c>
      <c r="O472" s="120" t="s">
        <v>251</v>
      </c>
      <c r="P472" s="120" t="s">
        <v>251</v>
      </c>
      <c r="Q472" s="120" t="s">
        <v>251</v>
      </c>
      <c r="R472" s="120"/>
      <c r="S472" s="121"/>
    </row>
    <row r="473" spans="1:19" ht="15">
      <c r="A473" s="105">
        <v>42</v>
      </c>
      <c r="B473" s="129" t="str">
        <f t="shared" si="16"/>
        <v>TAL</v>
      </c>
      <c r="C473" s="107" t="s">
        <v>624</v>
      </c>
      <c r="D473" s="107" t="s">
        <v>251</v>
      </c>
      <c r="E473" s="120">
        <v>145271800.15006199</v>
      </c>
      <c r="F473" s="120" t="s">
        <v>251</v>
      </c>
      <c r="G473" s="120">
        <v>136275497.70937544</v>
      </c>
      <c r="H473" s="120" t="s">
        <v>251</v>
      </c>
      <c r="I473" s="120">
        <v>5892295.554259792</v>
      </c>
      <c r="J473" s="120">
        <v>3104006.8864267711</v>
      </c>
      <c r="K473" s="120" t="s">
        <v>251</v>
      </c>
      <c r="L473" s="120" t="s">
        <v>251</v>
      </c>
      <c r="M473" s="120">
        <v>578.14877105668143</v>
      </c>
      <c r="N473" s="120" t="s">
        <v>251</v>
      </c>
      <c r="O473" s="120">
        <v>3103428.7376557142</v>
      </c>
      <c r="P473" s="120">
        <v>1571995.6563486136</v>
      </c>
      <c r="Q473" s="120">
        <v>1531433.0813071006</v>
      </c>
      <c r="R473" s="120"/>
      <c r="S473" s="121"/>
    </row>
    <row r="474" spans="1:19" ht="15">
      <c r="A474" s="105" t="s">
        <v>251</v>
      </c>
      <c r="B474" s="129" t="str">
        <f t="shared" si="16"/>
        <v/>
      </c>
      <c r="C474" s="107" t="s">
        <v>251</v>
      </c>
      <c r="D474" s="107" t="s">
        <v>251</v>
      </c>
      <c r="E474" s="120" t="s">
        <v>251</v>
      </c>
      <c r="F474" s="120" t="s">
        <v>251</v>
      </c>
      <c r="G474" s="120" t="s">
        <v>251</v>
      </c>
      <c r="H474" s="120" t="s">
        <v>251</v>
      </c>
      <c r="I474" s="120" t="s">
        <v>251</v>
      </c>
      <c r="J474" s="120" t="s">
        <v>251</v>
      </c>
      <c r="K474" s="120" t="s">
        <v>251</v>
      </c>
      <c r="L474" s="120" t="s">
        <v>251</v>
      </c>
      <c r="M474" s="120" t="s">
        <v>251</v>
      </c>
      <c r="N474" s="120" t="s">
        <v>251</v>
      </c>
      <c r="O474" s="120" t="s">
        <v>251</v>
      </c>
      <c r="P474" s="120" t="s">
        <v>251</v>
      </c>
      <c r="Q474" s="120" t="s">
        <v>251</v>
      </c>
      <c r="R474" s="120"/>
      <c r="S474" s="121"/>
    </row>
    <row r="475" spans="1:19" ht="15">
      <c r="A475" s="105" t="s">
        <v>251</v>
      </c>
      <c r="B475" s="129" t="str">
        <f t="shared" si="16"/>
        <v>ERA</v>
      </c>
      <c r="C475" s="107" t="s">
        <v>632</v>
      </c>
      <c r="D475" s="107" t="s">
        <v>251</v>
      </c>
      <c r="E475" s="120" t="s">
        <v>251</v>
      </c>
      <c r="F475" s="120" t="s">
        <v>251</v>
      </c>
      <c r="G475" s="120" t="s">
        <v>251</v>
      </c>
      <c r="H475" s="120" t="s">
        <v>251</v>
      </c>
      <c r="I475" s="120" t="s">
        <v>251</v>
      </c>
      <c r="J475" s="120" t="s">
        <v>251</v>
      </c>
      <c r="K475" s="120" t="s">
        <v>251</v>
      </c>
      <c r="L475" s="120" t="s">
        <v>251</v>
      </c>
      <c r="M475" s="120" t="s">
        <v>251</v>
      </c>
      <c r="N475" s="120" t="s">
        <v>251</v>
      </c>
      <c r="O475" s="120" t="s">
        <v>251</v>
      </c>
      <c r="P475" s="120" t="s">
        <v>251</v>
      </c>
      <c r="Q475" s="120" t="s">
        <v>251</v>
      </c>
      <c r="R475" s="120"/>
      <c r="S475" s="121"/>
    </row>
    <row r="476" spans="1:19" ht="15">
      <c r="A476" s="105" t="s">
        <v>251</v>
      </c>
      <c r="B476" s="129" t="str">
        <f t="shared" si="16"/>
        <v/>
      </c>
      <c r="C476" s="107" t="s">
        <v>251</v>
      </c>
      <c r="D476" s="107" t="s">
        <v>251</v>
      </c>
      <c r="E476" s="120" t="s">
        <v>251</v>
      </c>
      <c r="F476" s="120" t="s">
        <v>251</v>
      </c>
      <c r="G476" s="120" t="s">
        <v>251</v>
      </c>
      <c r="H476" s="120" t="s">
        <v>251</v>
      </c>
      <c r="I476" s="120" t="s">
        <v>251</v>
      </c>
      <c r="J476" s="120" t="s">
        <v>251</v>
      </c>
      <c r="K476" s="120" t="s">
        <v>251</v>
      </c>
      <c r="L476" s="120" t="s">
        <v>251</v>
      </c>
      <c r="M476" s="120" t="s">
        <v>251</v>
      </c>
      <c r="N476" s="120" t="s">
        <v>251</v>
      </c>
      <c r="O476" s="120" t="s">
        <v>251</v>
      </c>
      <c r="P476" s="120" t="s">
        <v>251</v>
      </c>
      <c r="Q476" s="120" t="s">
        <v>251</v>
      </c>
      <c r="R476" s="120"/>
      <c r="S476" s="121"/>
    </row>
    <row r="477" spans="1:19" ht="15">
      <c r="A477" s="105" t="s">
        <v>251</v>
      </c>
      <c r="B477" s="129" t="str">
        <f t="shared" si="16"/>
        <v>5-P</v>
      </c>
      <c r="C477" s="107" t="s">
        <v>625</v>
      </c>
      <c r="D477" s="107" t="s">
        <v>251</v>
      </c>
      <c r="E477" s="120" t="s">
        <v>251</v>
      </c>
      <c r="F477" s="120" t="s">
        <v>251</v>
      </c>
      <c r="G477" s="120" t="s">
        <v>251</v>
      </c>
      <c r="H477" s="120" t="s">
        <v>251</v>
      </c>
      <c r="I477" s="120" t="s">
        <v>251</v>
      </c>
      <c r="J477" s="120" t="s">
        <v>251</v>
      </c>
      <c r="K477" s="120" t="s">
        <v>251</v>
      </c>
      <c r="L477" s="120" t="s">
        <v>251</v>
      </c>
      <c r="M477" s="120" t="s">
        <v>251</v>
      </c>
      <c r="N477" s="120" t="s">
        <v>251</v>
      </c>
      <c r="O477" s="120" t="s">
        <v>251</v>
      </c>
      <c r="P477" s="120" t="s">
        <v>251</v>
      </c>
      <c r="Q477" s="120" t="s">
        <v>251</v>
      </c>
      <c r="R477" s="120"/>
      <c r="S477" s="121"/>
    </row>
    <row r="478" spans="1:19" ht="15">
      <c r="A478" s="105">
        <v>43</v>
      </c>
      <c r="B478" s="129" t="str">
        <f t="shared" si="16"/>
        <v>CAP</v>
      </c>
      <c r="C478" s="107" t="s">
        <v>626</v>
      </c>
      <c r="D478" s="107" t="s">
        <v>304</v>
      </c>
      <c r="E478" s="120">
        <v>12110282.927543651</v>
      </c>
      <c r="F478" s="120" t="s">
        <v>251</v>
      </c>
      <c r="G478" s="120">
        <v>11352373.353743056</v>
      </c>
      <c r="H478" s="120" t="s">
        <v>251</v>
      </c>
      <c r="I478" s="120">
        <v>519839.14678637625</v>
      </c>
      <c r="J478" s="120">
        <v>238070.42701421806</v>
      </c>
      <c r="K478" s="120" t="s">
        <v>251</v>
      </c>
      <c r="L478" s="120" t="s">
        <v>251</v>
      </c>
      <c r="M478" s="120">
        <v>36.439536989609856</v>
      </c>
      <c r="N478" s="120" t="s">
        <v>251</v>
      </c>
      <c r="O478" s="120">
        <v>238033.98747722845</v>
      </c>
      <c r="P478" s="120">
        <v>120724.18604657747</v>
      </c>
      <c r="Q478" s="120">
        <v>117309.801430651</v>
      </c>
      <c r="R478" s="120"/>
      <c r="S478" s="121"/>
    </row>
    <row r="479" spans="1:19" ht="15">
      <c r="A479" s="105">
        <v>44</v>
      </c>
      <c r="B479" s="129" t="str">
        <f t="shared" si="16"/>
        <v>ENE</v>
      </c>
      <c r="C479" s="107" t="s">
        <v>627</v>
      </c>
      <c r="D479" s="107" t="s">
        <v>495</v>
      </c>
      <c r="E479" s="120">
        <v>45925913.256247364</v>
      </c>
      <c r="F479" s="120" t="s">
        <v>251</v>
      </c>
      <c r="G479" s="120">
        <v>43216705.035806477</v>
      </c>
      <c r="H479" s="120" t="s">
        <v>251</v>
      </c>
      <c r="I479" s="120">
        <v>1763044.456424511</v>
      </c>
      <c r="J479" s="120">
        <v>946163.76401637716</v>
      </c>
      <c r="K479" s="120" t="s">
        <v>251</v>
      </c>
      <c r="L479" s="120" t="s">
        <v>251</v>
      </c>
      <c r="M479" s="120">
        <v>193.41435463092165</v>
      </c>
      <c r="N479" s="120" t="s">
        <v>251</v>
      </c>
      <c r="O479" s="120">
        <v>945970.34966174618</v>
      </c>
      <c r="P479" s="120">
        <v>479046.62920708233</v>
      </c>
      <c r="Q479" s="120">
        <v>466923.72045466385</v>
      </c>
      <c r="R479" s="120"/>
      <c r="S479" s="121"/>
    </row>
    <row r="480" spans="1:19" ht="15">
      <c r="A480" s="105">
        <v>45</v>
      </c>
      <c r="B480" s="129" t="str">
        <f t="shared" si="16"/>
        <v xml:space="preserve">  T</v>
      </c>
      <c r="C480" s="107" t="s">
        <v>628</v>
      </c>
      <c r="D480" s="107" t="s">
        <v>251</v>
      </c>
      <c r="E480" s="120">
        <v>58036196.183791012</v>
      </c>
      <c r="F480" s="120" t="s">
        <v>251</v>
      </c>
      <c r="G480" s="120">
        <v>54569078.389549531</v>
      </c>
      <c r="H480" s="120" t="s">
        <v>251</v>
      </c>
      <c r="I480" s="120">
        <v>2282883.6032108874</v>
      </c>
      <c r="J480" s="120">
        <v>1184234.1910305952</v>
      </c>
      <c r="K480" s="120" t="s">
        <v>251</v>
      </c>
      <c r="L480" s="120" t="s">
        <v>251</v>
      </c>
      <c r="M480" s="120">
        <v>229.8538916205315</v>
      </c>
      <c r="N480" s="120" t="s">
        <v>251</v>
      </c>
      <c r="O480" s="120">
        <v>1184004.3371389746</v>
      </c>
      <c r="P480" s="120">
        <v>599770.81525365985</v>
      </c>
      <c r="Q480" s="120">
        <v>584233.52188531484</v>
      </c>
      <c r="R480" s="120"/>
      <c r="S480" s="121"/>
    </row>
    <row r="481" spans="1:19" ht="15">
      <c r="A481" s="105" t="s">
        <v>251</v>
      </c>
      <c r="B481" s="129">
        <v>555</v>
      </c>
      <c r="C481" s="107" t="s">
        <v>251</v>
      </c>
      <c r="D481" s="107" t="s">
        <v>251</v>
      </c>
      <c r="E481" s="120" t="s">
        <v>251</v>
      </c>
      <c r="F481" s="120" t="s">
        <v>251</v>
      </c>
      <c r="G481" s="120" t="s">
        <v>251</v>
      </c>
      <c r="H481" s="120" t="s">
        <v>251</v>
      </c>
      <c r="I481" s="120" t="s">
        <v>251</v>
      </c>
      <c r="J481" s="120" t="s">
        <v>251</v>
      </c>
      <c r="K481" s="120" t="s">
        <v>251</v>
      </c>
      <c r="L481" s="120" t="s">
        <v>251</v>
      </c>
      <c r="M481" s="120" t="s">
        <v>251</v>
      </c>
      <c r="N481" s="120" t="s">
        <v>251</v>
      </c>
      <c r="O481" s="120" t="s">
        <v>251</v>
      </c>
      <c r="P481" s="120" t="s">
        <v>251</v>
      </c>
      <c r="Q481" s="120" t="s">
        <v>251</v>
      </c>
      <c r="R481" s="120"/>
      <c r="S481" s="121"/>
    </row>
    <row r="482" spans="1:19" ht="15">
      <c r="A482" s="105">
        <v>46</v>
      </c>
      <c r="B482" s="129" t="str">
        <f t="shared" si="16"/>
        <v>6-S</v>
      </c>
      <c r="C482" s="107" t="s">
        <v>629</v>
      </c>
      <c r="D482" s="107" t="s">
        <v>304</v>
      </c>
      <c r="E482" s="120">
        <v>1832258</v>
      </c>
      <c r="F482" s="120" t="s">
        <v>251</v>
      </c>
      <c r="G482" s="120">
        <v>1717588.0217524811</v>
      </c>
      <c r="H482" s="120" t="s">
        <v>251</v>
      </c>
      <c r="I482" s="120">
        <v>78650.469283933184</v>
      </c>
      <c r="J482" s="120">
        <v>36019.508963585686</v>
      </c>
      <c r="K482" s="120" t="s">
        <v>251</v>
      </c>
      <c r="L482" s="120" t="s">
        <v>251</v>
      </c>
      <c r="M482" s="120">
        <v>5.5132182761522799</v>
      </c>
      <c r="N482" s="120" t="s">
        <v>251</v>
      </c>
      <c r="O482" s="120">
        <v>36013.995745309534</v>
      </c>
      <c r="P482" s="120">
        <v>18265.292148892502</v>
      </c>
      <c r="Q482" s="120">
        <v>17748.703596417032</v>
      </c>
      <c r="R482" s="120"/>
      <c r="S482" s="121"/>
    </row>
    <row r="483" spans="1:19" ht="15">
      <c r="A483" s="105">
        <v>47</v>
      </c>
      <c r="B483" s="129" t="str">
        <f t="shared" si="16"/>
        <v>7-O</v>
      </c>
      <c r="C483" s="107" t="s">
        <v>630</v>
      </c>
      <c r="D483" s="107" t="s">
        <v>498</v>
      </c>
      <c r="E483" s="120">
        <v>179236.99999999991</v>
      </c>
      <c r="F483" s="120" t="s">
        <v>251</v>
      </c>
      <c r="G483" s="120">
        <v>167702.50479395638</v>
      </c>
      <c r="H483" s="120" t="s">
        <v>251</v>
      </c>
      <c r="I483" s="120">
        <v>7788.5705044683955</v>
      </c>
      <c r="J483" s="120">
        <v>3745.9247015751394</v>
      </c>
      <c r="K483" s="120" t="s">
        <v>251</v>
      </c>
      <c r="L483" s="120" t="s">
        <v>251</v>
      </c>
      <c r="M483" s="120">
        <v>0.53550651004019212</v>
      </c>
      <c r="N483" s="120" t="s">
        <v>251</v>
      </c>
      <c r="O483" s="120">
        <v>3745.3891950650991</v>
      </c>
      <c r="P483" s="120">
        <v>1899.5567263063047</v>
      </c>
      <c r="Q483" s="120">
        <v>1845.8324687587944</v>
      </c>
      <c r="R483" s="120"/>
      <c r="S483" s="121"/>
    </row>
    <row r="484" spans="1:19" ht="15">
      <c r="A484" s="105" t="s">
        <v>251</v>
      </c>
      <c r="B484" s="129" t="str">
        <f t="shared" si="16"/>
        <v/>
      </c>
      <c r="C484" s="107" t="s">
        <v>251</v>
      </c>
      <c r="D484" s="107" t="s">
        <v>251</v>
      </c>
      <c r="E484" s="120" t="s">
        <v>251</v>
      </c>
      <c r="F484" s="120" t="s">
        <v>251</v>
      </c>
      <c r="G484" s="120" t="s">
        <v>251</v>
      </c>
      <c r="H484" s="120" t="s">
        <v>251</v>
      </c>
      <c r="I484" s="120" t="s">
        <v>251</v>
      </c>
      <c r="J484" s="120" t="s">
        <v>251</v>
      </c>
      <c r="K484" s="120" t="s">
        <v>251</v>
      </c>
      <c r="L484" s="120" t="s">
        <v>251</v>
      </c>
      <c r="M484" s="120" t="s">
        <v>251</v>
      </c>
      <c r="N484" s="120" t="s">
        <v>251</v>
      </c>
      <c r="O484" s="120" t="s">
        <v>251</v>
      </c>
      <c r="P484" s="120" t="s">
        <v>251</v>
      </c>
      <c r="Q484" s="120" t="s">
        <v>251</v>
      </c>
      <c r="R484" s="120"/>
      <c r="S484" s="121"/>
    </row>
    <row r="485" spans="1:19" ht="15">
      <c r="A485" s="105">
        <v>48</v>
      </c>
      <c r="B485" s="129" t="str">
        <f t="shared" si="16"/>
        <v>TAL</v>
      </c>
      <c r="C485" s="107" t="s">
        <v>631</v>
      </c>
      <c r="D485" s="107" t="s">
        <v>251</v>
      </c>
      <c r="E485" s="120">
        <v>656097800.56972647</v>
      </c>
      <c r="F485" s="120" t="s">
        <v>251</v>
      </c>
      <c r="G485" s="120">
        <v>615512699.90912938</v>
      </c>
      <c r="H485" s="120" t="s">
        <v>251</v>
      </c>
      <c r="I485" s="120">
        <v>26604582.129138965</v>
      </c>
      <c r="J485" s="120">
        <v>13980518.531458156</v>
      </c>
      <c r="K485" s="120" t="s">
        <v>251</v>
      </c>
      <c r="L485" s="120" t="s">
        <v>251</v>
      </c>
      <c r="M485" s="120">
        <v>2522.6452200499702</v>
      </c>
      <c r="N485" s="120" t="s">
        <v>251</v>
      </c>
      <c r="O485" s="120">
        <v>13977995.886238106</v>
      </c>
      <c r="P485" s="120">
        <v>7080582.8458652878</v>
      </c>
      <c r="Q485" s="120">
        <v>6897413.0403728178</v>
      </c>
      <c r="R485" s="120"/>
      <c r="S485" s="121"/>
    </row>
    <row r="486" spans="1:19" ht="15">
      <c r="A486" s="105" t="s">
        <v>251</v>
      </c>
      <c r="B486" s="129" t="str">
        <f t="shared" si="16"/>
        <v/>
      </c>
      <c r="C486" s="107" t="s">
        <v>251</v>
      </c>
      <c r="D486" s="107" t="s">
        <v>251</v>
      </c>
      <c r="E486" s="120" t="s">
        <v>251</v>
      </c>
      <c r="F486" s="120" t="s">
        <v>251</v>
      </c>
      <c r="G486" s="120" t="s">
        <v>251</v>
      </c>
      <c r="H486" s="120" t="s">
        <v>251</v>
      </c>
      <c r="I486" s="120" t="s">
        <v>251</v>
      </c>
      <c r="J486" s="120" t="s">
        <v>251</v>
      </c>
      <c r="K486" s="120" t="s">
        <v>251</v>
      </c>
      <c r="L486" s="120" t="s">
        <v>251</v>
      </c>
      <c r="M486" s="120" t="s">
        <v>251</v>
      </c>
      <c r="N486" s="120" t="s">
        <v>251</v>
      </c>
      <c r="O486" s="120" t="s">
        <v>251</v>
      </c>
      <c r="P486" s="120" t="s">
        <v>251</v>
      </c>
      <c r="Q486" s="120" t="s">
        <v>251</v>
      </c>
      <c r="R486" s="120"/>
      <c r="S486" s="121"/>
    </row>
    <row r="487" spans="1:19" ht="15">
      <c r="A487" s="105" t="s">
        <v>251</v>
      </c>
      <c r="B487" s="129" t="str">
        <f t="shared" si="16"/>
        <v>ERA</v>
      </c>
      <c r="C487" s="107" t="s">
        <v>632</v>
      </c>
      <c r="D487" s="107" t="s">
        <v>251</v>
      </c>
      <c r="E487" s="120" t="s">
        <v>251</v>
      </c>
      <c r="F487" s="120" t="s">
        <v>251</v>
      </c>
      <c r="G487" s="120" t="s">
        <v>251</v>
      </c>
      <c r="H487" s="120" t="s">
        <v>251</v>
      </c>
      <c r="I487" s="120" t="s">
        <v>251</v>
      </c>
      <c r="J487" s="120" t="s">
        <v>251</v>
      </c>
      <c r="K487" s="120" t="s">
        <v>251</v>
      </c>
      <c r="L487" s="120" t="s">
        <v>251</v>
      </c>
      <c r="M487" s="120" t="s">
        <v>251</v>
      </c>
      <c r="N487" s="120" t="s">
        <v>251</v>
      </c>
      <c r="O487" s="120" t="s">
        <v>251</v>
      </c>
      <c r="P487" s="120" t="s">
        <v>251</v>
      </c>
      <c r="Q487" s="120" t="s">
        <v>251</v>
      </c>
      <c r="R487" s="120"/>
      <c r="S487" s="121"/>
    </row>
    <row r="488" spans="1:19" ht="15">
      <c r="A488" s="105" t="s">
        <v>251</v>
      </c>
      <c r="B488" s="129" t="str">
        <f t="shared" si="16"/>
        <v/>
      </c>
      <c r="C488" s="107" t="s">
        <v>251</v>
      </c>
      <c r="D488" s="107" t="s">
        <v>251</v>
      </c>
      <c r="E488" s="120" t="s">
        <v>251</v>
      </c>
      <c r="F488" s="120" t="s">
        <v>251</v>
      </c>
      <c r="G488" s="120" t="s">
        <v>251</v>
      </c>
      <c r="H488" s="120" t="s">
        <v>251</v>
      </c>
      <c r="I488" s="120" t="s">
        <v>251</v>
      </c>
      <c r="J488" s="120" t="s">
        <v>251</v>
      </c>
      <c r="K488" s="120" t="s">
        <v>251</v>
      </c>
      <c r="L488" s="120" t="s">
        <v>251</v>
      </c>
      <c r="M488" s="120" t="s">
        <v>251</v>
      </c>
      <c r="N488" s="120" t="s">
        <v>251</v>
      </c>
      <c r="O488" s="120" t="s">
        <v>251</v>
      </c>
      <c r="P488" s="120" t="s">
        <v>251</v>
      </c>
      <c r="Q488" s="120" t="s">
        <v>251</v>
      </c>
      <c r="R488" s="120"/>
      <c r="S488" s="121"/>
    </row>
    <row r="489" spans="1:19" ht="15">
      <c r="A489" s="105" t="s">
        <v>251</v>
      </c>
      <c r="B489" s="129" t="str">
        <f t="shared" si="16"/>
        <v>ANS</v>
      </c>
      <c r="C489" s="107" t="s">
        <v>633</v>
      </c>
      <c r="D489" s="107" t="s">
        <v>251</v>
      </c>
      <c r="E489" s="120" t="s">
        <v>251</v>
      </c>
      <c r="F489" s="120" t="s">
        <v>251</v>
      </c>
      <c r="G489" s="120" t="s">
        <v>251</v>
      </c>
      <c r="H489" s="120" t="s">
        <v>251</v>
      </c>
      <c r="I489" s="120" t="s">
        <v>251</v>
      </c>
      <c r="J489" s="120" t="s">
        <v>251</v>
      </c>
      <c r="K489" s="120" t="s">
        <v>251</v>
      </c>
      <c r="L489" s="120" t="s">
        <v>251</v>
      </c>
      <c r="M489" s="120" t="s">
        <v>251</v>
      </c>
      <c r="N489" s="120" t="s">
        <v>251</v>
      </c>
      <c r="O489" s="120" t="s">
        <v>251</v>
      </c>
      <c r="P489" s="120" t="s">
        <v>251</v>
      </c>
      <c r="Q489" s="120" t="s">
        <v>251</v>
      </c>
      <c r="R489" s="120"/>
      <c r="S489" s="121"/>
    </row>
    <row r="490" spans="1:19" ht="15">
      <c r="A490" s="105">
        <v>1</v>
      </c>
      <c r="B490" s="129" t="str">
        <f t="shared" si="16"/>
        <v>560</v>
      </c>
      <c r="C490" s="107" t="s">
        <v>634</v>
      </c>
      <c r="D490" s="107" t="s">
        <v>635</v>
      </c>
      <c r="E490" s="120">
        <v>1937097</v>
      </c>
      <c r="F490" s="120" t="s">
        <v>251</v>
      </c>
      <c r="G490" s="120">
        <v>1754366.1630532846</v>
      </c>
      <c r="H490" s="120" t="s">
        <v>251</v>
      </c>
      <c r="I490" s="120">
        <v>182725.21979485766</v>
      </c>
      <c r="J490" s="120">
        <v>5.6171518578330941</v>
      </c>
      <c r="K490" s="120" t="s">
        <v>251</v>
      </c>
      <c r="L490" s="120" t="s">
        <v>251</v>
      </c>
      <c r="M490" s="120">
        <v>5.6171518578330941</v>
      </c>
      <c r="N490" s="120" t="s">
        <v>251</v>
      </c>
      <c r="O490" s="120">
        <v>0</v>
      </c>
      <c r="P490" s="120">
        <v>0</v>
      </c>
      <c r="Q490" s="120">
        <v>0</v>
      </c>
      <c r="R490" s="120"/>
      <c r="S490" s="121"/>
    </row>
    <row r="491" spans="1:19" ht="15">
      <c r="A491" s="105">
        <v>2</v>
      </c>
      <c r="B491" s="129" t="str">
        <f t="shared" si="16"/>
        <v>561</v>
      </c>
      <c r="C491" s="107" t="s">
        <v>636</v>
      </c>
      <c r="D491" s="107" t="s">
        <v>500</v>
      </c>
      <c r="E491" s="120">
        <v>3722480.0000000005</v>
      </c>
      <c r="F491" s="120" t="s">
        <v>251</v>
      </c>
      <c r="G491" s="120">
        <v>3371329.8583615543</v>
      </c>
      <c r="H491" s="120" t="s">
        <v>251</v>
      </c>
      <c r="I491" s="120">
        <v>351139.34727169666</v>
      </c>
      <c r="J491" s="120">
        <v>10.794366749701505</v>
      </c>
      <c r="K491" s="120" t="s">
        <v>251</v>
      </c>
      <c r="L491" s="120" t="s">
        <v>251</v>
      </c>
      <c r="M491" s="120">
        <v>10.794366749701505</v>
      </c>
      <c r="N491" s="120" t="s">
        <v>251</v>
      </c>
      <c r="O491" s="120">
        <v>0</v>
      </c>
      <c r="P491" s="120">
        <v>0</v>
      </c>
      <c r="Q491" s="120">
        <v>0</v>
      </c>
      <c r="R491" s="120"/>
      <c r="S491" s="121"/>
    </row>
    <row r="492" spans="1:19" ht="15">
      <c r="A492" s="105">
        <v>3</v>
      </c>
      <c r="B492" s="129" t="str">
        <f t="shared" si="16"/>
        <v>562</v>
      </c>
      <c r="C492" s="107" t="s">
        <v>637</v>
      </c>
      <c r="D492" s="107" t="s">
        <v>500</v>
      </c>
      <c r="E492" s="120">
        <v>1324865</v>
      </c>
      <c r="F492" s="120" t="s">
        <v>251</v>
      </c>
      <c r="G492" s="120">
        <v>1199887.4225780072</v>
      </c>
      <c r="H492" s="120" t="s">
        <v>251</v>
      </c>
      <c r="I492" s="120">
        <v>124973.73560720713</v>
      </c>
      <c r="J492" s="120">
        <v>3.8418147857995968</v>
      </c>
      <c r="K492" s="120" t="s">
        <v>251</v>
      </c>
      <c r="L492" s="120" t="s">
        <v>251</v>
      </c>
      <c r="M492" s="120">
        <v>3.8418147857995968</v>
      </c>
      <c r="N492" s="120" t="s">
        <v>251</v>
      </c>
      <c r="O492" s="120">
        <v>0</v>
      </c>
      <c r="P492" s="120">
        <v>0</v>
      </c>
      <c r="Q492" s="120">
        <v>0</v>
      </c>
      <c r="R492" s="120"/>
      <c r="S492" s="121"/>
    </row>
    <row r="493" spans="1:19" ht="15">
      <c r="A493" s="105">
        <v>4</v>
      </c>
      <c r="B493" s="129" t="str">
        <f t="shared" si="16"/>
        <v>563</v>
      </c>
      <c r="C493" s="107" t="s">
        <v>638</v>
      </c>
      <c r="D493" s="107" t="s">
        <v>500</v>
      </c>
      <c r="E493" s="120">
        <v>975028.00000000012</v>
      </c>
      <c r="F493" s="120" t="s">
        <v>251</v>
      </c>
      <c r="G493" s="120">
        <v>883051.35531649587</v>
      </c>
      <c r="H493" s="120" t="s">
        <v>251</v>
      </c>
      <c r="I493" s="120">
        <v>91973.81731846185</v>
      </c>
      <c r="J493" s="120">
        <v>2.8273650424523322</v>
      </c>
      <c r="K493" s="120" t="s">
        <v>251</v>
      </c>
      <c r="L493" s="120" t="s">
        <v>251</v>
      </c>
      <c r="M493" s="120">
        <v>2.8273650424523322</v>
      </c>
      <c r="N493" s="120" t="s">
        <v>251</v>
      </c>
      <c r="O493" s="120">
        <v>0</v>
      </c>
      <c r="P493" s="120">
        <v>0</v>
      </c>
      <c r="Q493" s="120">
        <v>0</v>
      </c>
      <c r="R493" s="120"/>
      <c r="S493" s="121"/>
    </row>
    <row r="494" spans="1:19" ht="15">
      <c r="A494" s="105">
        <v>5</v>
      </c>
      <c r="B494" s="129" t="str">
        <f t="shared" si="16"/>
        <v>564</v>
      </c>
      <c r="C494" s="107" t="s">
        <v>639</v>
      </c>
      <c r="D494" s="107" t="s">
        <v>500</v>
      </c>
      <c r="E494" s="120">
        <v>0</v>
      </c>
      <c r="F494" s="120" t="s">
        <v>251</v>
      </c>
      <c r="G494" s="120">
        <v>0</v>
      </c>
      <c r="H494" s="120" t="s">
        <v>251</v>
      </c>
      <c r="I494" s="120">
        <v>0</v>
      </c>
      <c r="J494" s="120">
        <v>0</v>
      </c>
      <c r="K494" s="120" t="s">
        <v>251</v>
      </c>
      <c r="L494" s="120" t="s">
        <v>251</v>
      </c>
      <c r="M494" s="120">
        <v>0</v>
      </c>
      <c r="N494" s="120" t="s">
        <v>251</v>
      </c>
      <c r="O494" s="120">
        <v>0</v>
      </c>
      <c r="P494" s="120">
        <v>0</v>
      </c>
      <c r="Q494" s="120">
        <v>0</v>
      </c>
      <c r="R494" s="120"/>
      <c r="S494" s="121"/>
    </row>
    <row r="495" spans="1:19" ht="15">
      <c r="A495" s="105">
        <v>6</v>
      </c>
      <c r="B495" s="129" t="str">
        <f t="shared" si="16"/>
        <v>565</v>
      </c>
      <c r="C495" s="107" t="s">
        <v>640</v>
      </c>
      <c r="D495" s="107" t="s">
        <v>500</v>
      </c>
      <c r="E495" s="120">
        <v>4099659.0000000005</v>
      </c>
      <c r="F495" s="120" t="s">
        <v>251</v>
      </c>
      <c r="G495" s="120">
        <v>3712928.6915713907</v>
      </c>
      <c r="H495" s="120" t="s">
        <v>251</v>
      </c>
      <c r="I495" s="120">
        <v>386718.42032637831</v>
      </c>
      <c r="J495" s="120">
        <v>11.888102231500108</v>
      </c>
      <c r="K495" s="120" t="s">
        <v>251</v>
      </c>
      <c r="L495" s="120" t="s">
        <v>251</v>
      </c>
      <c r="M495" s="120">
        <v>11.888102231500108</v>
      </c>
      <c r="N495" s="120" t="s">
        <v>251</v>
      </c>
      <c r="O495" s="120">
        <v>0</v>
      </c>
      <c r="P495" s="120">
        <v>0</v>
      </c>
      <c r="Q495" s="120">
        <v>0</v>
      </c>
      <c r="R495" s="120"/>
      <c r="S495" s="121"/>
    </row>
    <row r="496" spans="1:19" ht="15">
      <c r="A496" s="105">
        <v>7</v>
      </c>
      <c r="B496" s="129" t="str">
        <f t="shared" si="16"/>
        <v>566</v>
      </c>
      <c r="C496" s="107" t="s">
        <v>641</v>
      </c>
      <c r="D496" s="107" t="s">
        <v>500</v>
      </c>
      <c r="E496" s="120">
        <v>23279803.999999892</v>
      </c>
      <c r="F496" s="120" t="s">
        <v>251</v>
      </c>
      <c r="G496" s="120">
        <v>21083766.285380814</v>
      </c>
      <c r="H496" s="120" t="s">
        <v>251</v>
      </c>
      <c r="I496" s="120">
        <v>2195970.2083484652</v>
      </c>
      <c r="J496" s="120">
        <v>67.506270614527651</v>
      </c>
      <c r="K496" s="120" t="s">
        <v>251</v>
      </c>
      <c r="L496" s="120" t="s">
        <v>251</v>
      </c>
      <c r="M496" s="120">
        <v>67.506270614527651</v>
      </c>
      <c r="N496" s="120" t="s">
        <v>251</v>
      </c>
      <c r="O496" s="120">
        <v>0</v>
      </c>
      <c r="P496" s="120">
        <v>0</v>
      </c>
      <c r="Q496" s="120">
        <v>0</v>
      </c>
      <c r="R496" s="120"/>
      <c r="S496" s="121"/>
    </row>
    <row r="497" spans="1:19" ht="15">
      <c r="A497" s="105">
        <v>8</v>
      </c>
      <c r="B497" s="129" t="str">
        <f t="shared" si="16"/>
        <v>567</v>
      </c>
      <c r="C497" s="107" t="s">
        <v>642</v>
      </c>
      <c r="D497" s="107" t="s">
        <v>500</v>
      </c>
      <c r="E497" s="120">
        <v>124236.00000000001</v>
      </c>
      <c r="F497" s="120" t="s">
        <v>251</v>
      </c>
      <c r="G497" s="120">
        <v>112516.53099100762</v>
      </c>
      <c r="H497" s="120" t="s">
        <v>251</v>
      </c>
      <c r="I497" s="120">
        <v>11719.108752134734</v>
      </c>
      <c r="J497" s="120">
        <v>0.36025685766368554</v>
      </c>
      <c r="K497" s="120" t="s">
        <v>251</v>
      </c>
      <c r="L497" s="120" t="s">
        <v>251</v>
      </c>
      <c r="M497" s="120">
        <v>0.36025685766368554</v>
      </c>
      <c r="N497" s="120" t="s">
        <v>251</v>
      </c>
      <c r="O497" s="120">
        <v>0</v>
      </c>
      <c r="P497" s="120">
        <v>0</v>
      </c>
      <c r="Q497" s="120">
        <v>0</v>
      </c>
      <c r="R497" s="120"/>
      <c r="S497" s="121"/>
    </row>
    <row r="498" spans="1:19" ht="15">
      <c r="A498" s="105">
        <v>9</v>
      </c>
      <c r="B498" s="129" t="str">
        <f t="shared" si="16"/>
        <v>575</v>
      </c>
      <c r="C498" s="107" t="s">
        <v>643</v>
      </c>
      <c r="D498" s="107" t="s">
        <v>500</v>
      </c>
      <c r="E498" s="120">
        <v>0</v>
      </c>
      <c r="F498" s="120" t="s">
        <v>251</v>
      </c>
      <c r="G498" s="120">
        <v>0</v>
      </c>
      <c r="H498" s="120" t="s">
        <v>251</v>
      </c>
      <c r="I498" s="120">
        <v>0</v>
      </c>
      <c r="J498" s="120">
        <v>0</v>
      </c>
      <c r="K498" s="120" t="s">
        <v>251</v>
      </c>
      <c r="L498" s="120" t="s">
        <v>251</v>
      </c>
      <c r="M498" s="120">
        <v>0</v>
      </c>
      <c r="N498" s="120" t="s">
        <v>251</v>
      </c>
      <c r="O498" s="120">
        <v>0</v>
      </c>
      <c r="P498" s="120">
        <v>0</v>
      </c>
      <c r="Q498" s="120">
        <v>0</v>
      </c>
      <c r="R498" s="120"/>
      <c r="S498" s="121"/>
    </row>
    <row r="499" spans="1:19" ht="15">
      <c r="A499" s="105">
        <v>10</v>
      </c>
      <c r="B499" s="129" t="str">
        <f t="shared" si="16"/>
        <v xml:space="preserve">  T</v>
      </c>
      <c r="C499" s="107" t="s">
        <v>644</v>
      </c>
      <c r="D499" s="107" t="s">
        <v>251</v>
      </c>
      <c r="E499" s="120">
        <v>35463168.999999896</v>
      </c>
      <c r="F499" s="120" t="s">
        <v>251</v>
      </c>
      <c r="G499" s="120">
        <v>32117846.307252552</v>
      </c>
      <c r="H499" s="120" t="s">
        <v>251</v>
      </c>
      <c r="I499" s="120">
        <v>3345219.8574192016</v>
      </c>
      <c r="J499" s="120">
        <v>102.83532813947797</v>
      </c>
      <c r="K499" s="120" t="s">
        <v>251</v>
      </c>
      <c r="L499" s="120" t="s">
        <v>251</v>
      </c>
      <c r="M499" s="120">
        <v>102.83532813947797</v>
      </c>
      <c r="N499" s="120" t="s">
        <v>251</v>
      </c>
      <c r="O499" s="120">
        <v>0</v>
      </c>
      <c r="P499" s="120">
        <v>0</v>
      </c>
      <c r="Q499" s="120">
        <v>0</v>
      </c>
      <c r="R499" s="120"/>
      <c r="S499" s="121"/>
    </row>
    <row r="500" spans="1:19" ht="15">
      <c r="A500" s="105">
        <v>11</v>
      </c>
      <c r="B500" s="129" t="str">
        <f t="shared" si="16"/>
        <v>568</v>
      </c>
      <c r="C500" s="107" t="s">
        <v>645</v>
      </c>
      <c r="D500" s="107" t="s">
        <v>500</v>
      </c>
      <c r="E500" s="120">
        <v>0</v>
      </c>
      <c r="F500" s="120" t="s">
        <v>251</v>
      </c>
      <c r="G500" s="120">
        <v>0</v>
      </c>
      <c r="H500" s="120" t="s">
        <v>251</v>
      </c>
      <c r="I500" s="120">
        <v>0</v>
      </c>
      <c r="J500" s="120">
        <v>0</v>
      </c>
      <c r="K500" s="120" t="s">
        <v>251</v>
      </c>
      <c r="L500" s="120" t="s">
        <v>251</v>
      </c>
      <c r="M500" s="120">
        <v>0</v>
      </c>
      <c r="N500" s="120" t="s">
        <v>251</v>
      </c>
      <c r="O500" s="120">
        <v>0</v>
      </c>
      <c r="P500" s="120">
        <v>0</v>
      </c>
      <c r="Q500" s="120">
        <v>0</v>
      </c>
      <c r="R500" s="120"/>
      <c r="S500" s="121"/>
    </row>
    <row r="501" spans="1:19" ht="15">
      <c r="A501" s="105">
        <v>12</v>
      </c>
      <c r="B501" s="129" t="str">
        <f t="shared" si="16"/>
        <v>569</v>
      </c>
      <c r="C501" s="107" t="s">
        <v>646</v>
      </c>
      <c r="D501" s="107" t="s">
        <v>500</v>
      </c>
      <c r="E501" s="120">
        <v>0</v>
      </c>
      <c r="F501" s="120" t="s">
        <v>251</v>
      </c>
      <c r="G501" s="120">
        <v>0</v>
      </c>
      <c r="H501" s="120" t="s">
        <v>251</v>
      </c>
      <c r="I501" s="120">
        <v>0</v>
      </c>
      <c r="J501" s="120">
        <v>0</v>
      </c>
      <c r="K501" s="120" t="s">
        <v>251</v>
      </c>
      <c r="L501" s="120" t="s">
        <v>251</v>
      </c>
      <c r="M501" s="120">
        <v>0</v>
      </c>
      <c r="N501" s="120" t="s">
        <v>251</v>
      </c>
      <c r="O501" s="120">
        <v>0</v>
      </c>
      <c r="P501" s="120">
        <v>0</v>
      </c>
      <c r="Q501" s="120">
        <v>0</v>
      </c>
      <c r="R501" s="120"/>
      <c r="S501" s="121"/>
    </row>
    <row r="502" spans="1:19" ht="15">
      <c r="A502" s="105">
        <v>13</v>
      </c>
      <c r="B502" s="129" t="str">
        <f t="shared" si="16"/>
        <v>570</v>
      </c>
      <c r="C502" s="107" t="s">
        <v>647</v>
      </c>
      <c r="D502" s="107" t="s">
        <v>500</v>
      </c>
      <c r="E502" s="120">
        <v>1958193</v>
      </c>
      <c r="F502" s="120" t="s">
        <v>251</v>
      </c>
      <c r="G502" s="120">
        <v>1773472.1286171011</v>
      </c>
      <c r="H502" s="120" t="s">
        <v>251</v>
      </c>
      <c r="I502" s="120">
        <v>184715.1930573181</v>
      </c>
      <c r="J502" s="120">
        <v>5.6783255809831719</v>
      </c>
      <c r="K502" s="120" t="s">
        <v>251</v>
      </c>
      <c r="L502" s="120" t="s">
        <v>251</v>
      </c>
      <c r="M502" s="120">
        <v>5.6783255809831719</v>
      </c>
      <c r="N502" s="120" t="s">
        <v>251</v>
      </c>
      <c r="O502" s="120">
        <v>0</v>
      </c>
      <c r="P502" s="120">
        <v>0</v>
      </c>
      <c r="Q502" s="120">
        <v>0</v>
      </c>
      <c r="R502" s="120"/>
      <c r="S502" s="121"/>
    </row>
    <row r="503" spans="1:19" ht="15">
      <c r="A503" s="105">
        <v>14</v>
      </c>
      <c r="B503" s="129" t="str">
        <f t="shared" si="16"/>
        <v>571</v>
      </c>
      <c r="C503" s="107" t="s">
        <v>648</v>
      </c>
      <c r="D503" s="107" t="s">
        <v>500</v>
      </c>
      <c r="E503" s="120">
        <v>13624020.000000002</v>
      </c>
      <c r="F503" s="120" t="s">
        <v>251</v>
      </c>
      <c r="G503" s="120">
        <v>12343781.628376434</v>
      </c>
      <c r="H503" s="120" t="s">
        <v>251</v>
      </c>
      <c r="I503" s="120">
        <v>1280199.0170544779</v>
      </c>
      <c r="J503" s="120">
        <v>39.354569090774383</v>
      </c>
      <c r="K503" s="120" t="s">
        <v>251</v>
      </c>
      <c r="L503" s="120" t="s">
        <v>251</v>
      </c>
      <c r="M503" s="120">
        <v>39.354569090774383</v>
      </c>
      <c r="N503" s="120" t="s">
        <v>251</v>
      </c>
      <c r="O503" s="120">
        <v>0</v>
      </c>
      <c r="P503" s="120">
        <v>0</v>
      </c>
      <c r="Q503" s="120">
        <v>0</v>
      </c>
      <c r="R503" s="120"/>
      <c r="S503" s="121"/>
    </row>
    <row r="504" spans="1:19" ht="15">
      <c r="A504" s="105">
        <v>15</v>
      </c>
      <c r="B504" s="129" t="str">
        <f t="shared" si="16"/>
        <v>572</v>
      </c>
      <c r="C504" s="107" t="s">
        <v>649</v>
      </c>
      <c r="D504" s="107" t="s">
        <v>500</v>
      </c>
      <c r="E504" s="120">
        <v>0</v>
      </c>
      <c r="F504" s="120" t="s">
        <v>251</v>
      </c>
      <c r="G504" s="120">
        <v>0</v>
      </c>
      <c r="H504" s="120" t="s">
        <v>251</v>
      </c>
      <c r="I504" s="120">
        <v>0</v>
      </c>
      <c r="J504" s="120">
        <v>0</v>
      </c>
      <c r="K504" s="120" t="s">
        <v>251</v>
      </c>
      <c r="L504" s="120" t="s">
        <v>251</v>
      </c>
      <c r="M504" s="120">
        <v>0</v>
      </c>
      <c r="N504" s="120" t="s">
        <v>251</v>
      </c>
      <c r="O504" s="120">
        <v>0</v>
      </c>
      <c r="P504" s="120">
        <v>0</v>
      </c>
      <c r="Q504" s="120">
        <v>0</v>
      </c>
      <c r="R504" s="120"/>
      <c r="S504" s="121"/>
    </row>
    <row r="505" spans="1:19" ht="15">
      <c r="A505" s="105">
        <v>16</v>
      </c>
      <c r="B505" s="129" t="str">
        <f t="shared" si="16"/>
        <v>573</v>
      </c>
      <c r="C505" s="107" t="s">
        <v>650</v>
      </c>
      <c r="D505" s="107" t="s">
        <v>500</v>
      </c>
      <c r="E505" s="120">
        <v>325694</v>
      </c>
      <c r="F505" s="120" t="s">
        <v>251</v>
      </c>
      <c r="G505" s="120">
        <v>294970.5322497926</v>
      </c>
      <c r="H505" s="120" t="s">
        <v>251</v>
      </c>
      <c r="I505" s="120">
        <v>30722.523309811731</v>
      </c>
      <c r="J505" s="120">
        <v>0.94444039569783633</v>
      </c>
      <c r="K505" s="120" t="s">
        <v>251</v>
      </c>
      <c r="L505" s="120" t="s">
        <v>251</v>
      </c>
      <c r="M505" s="120">
        <v>0.94444039569783633</v>
      </c>
      <c r="N505" s="120" t="s">
        <v>251</v>
      </c>
      <c r="O505" s="120">
        <v>0</v>
      </c>
      <c r="P505" s="120">
        <v>0</v>
      </c>
      <c r="Q505" s="120">
        <v>0</v>
      </c>
      <c r="R505" s="120"/>
      <c r="S505" s="121"/>
    </row>
    <row r="506" spans="1:19" ht="15">
      <c r="A506" s="105">
        <v>17</v>
      </c>
      <c r="B506" s="129" t="str">
        <f t="shared" si="16"/>
        <v xml:space="preserve">  T</v>
      </c>
      <c r="C506" s="107" t="s">
        <v>651</v>
      </c>
      <c r="D506" s="107" t="s">
        <v>251</v>
      </c>
      <c r="E506" s="120">
        <v>15907907.000000002</v>
      </c>
      <c r="F506" s="120" t="s">
        <v>251</v>
      </c>
      <c r="G506" s="120">
        <v>14412224.289243327</v>
      </c>
      <c r="H506" s="120" t="s">
        <v>251</v>
      </c>
      <c r="I506" s="120">
        <v>1495636.7334216076</v>
      </c>
      <c r="J506" s="120">
        <v>45.977335067455392</v>
      </c>
      <c r="K506" s="120" t="s">
        <v>251</v>
      </c>
      <c r="L506" s="120" t="s">
        <v>251</v>
      </c>
      <c r="M506" s="120">
        <v>45.977335067455392</v>
      </c>
      <c r="N506" s="120" t="s">
        <v>251</v>
      </c>
      <c r="O506" s="120">
        <v>0</v>
      </c>
      <c r="P506" s="120">
        <v>0</v>
      </c>
      <c r="Q506" s="120">
        <v>0</v>
      </c>
      <c r="R506" s="120"/>
      <c r="S506" s="121"/>
    </row>
    <row r="507" spans="1:19" ht="15">
      <c r="A507" s="105" t="s">
        <v>251</v>
      </c>
      <c r="B507" s="129" t="str">
        <f t="shared" si="16"/>
        <v/>
      </c>
      <c r="C507" s="107" t="s">
        <v>251</v>
      </c>
      <c r="D507" s="107" t="s">
        <v>251</v>
      </c>
      <c r="E507" s="120" t="s">
        <v>251</v>
      </c>
      <c r="F507" s="120" t="s">
        <v>251</v>
      </c>
      <c r="G507" s="120" t="s">
        <v>251</v>
      </c>
      <c r="H507" s="120" t="s">
        <v>251</v>
      </c>
      <c r="I507" s="120" t="s">
        <v>251</v>
      </c>
      <c r="J507" s="120" t="s">
        <v>251</v>
      </c>
      <c r="K507" s="120" t="s">
        <v>251</v>
      </c>
      <c r="L507" s="120" t="s">
        <v>251</v>
      </c>
      <c r="M507" s="120" t="s">
        <v>251</v>
      </c>
      <c r="N507" s="120" t="s">
        <v>251</v>
      </c>
      <c r="O507" s="120" t="s">
        <v>251</v>
      </c>
      <c r="P507" s="120" t="s">
        <v>251</v>
      </c>
      <c r="Q507" s="120" t="s">
        <v>251</v>
      </c>
      <c r="R507" s="120"/>
      <c r="S507" s="121"/>
    </row>
    <row r="508" spans="1:19" ht="15">
      <c r="A508" s="105">
        <v>18</v>
      </c>
      <c r="B508" s="129" t="str">
        <f t="shared" si="16"/>
        <v>TAL</v>
      </c>
      <c r="C508" s="107" t="s">
        <v>652</v>
      </c>
      <c r="D508" s="107" t="s">
        <v>251</v>
      </c>
      <c r="E508" s="120">
        <v>51371075.999999896</v>
      </c>
      <c r="F508" s="120" t="s">
        <v>251</v>
      </c>
      <c r="G508" s="120">
        <v>46530070.596495882</v>
      </c>
      <c r="H508" s="120" t="s">
        <v>251</v>
      </c>
      <c r="I508" s="120">
        <v>4840856.590840809</v>
      </c>
      <c r="J508" s="120">
        <v>148.81266320693337</v>
      </c>
      <c r="K508" s="120" t="s">
        <v>251</v>
      </c>
      <c r="L508" s="120" t="s">
        <v>251</v>
      </c>
      <c r="M508" s="120">
        <v>148.81266320693337</v>
      </c>
      <c r="N508" s="120" t="s">
        <v>251</v>
      </c>
      <c r="O508" s="120">
        <v>0</v>
      </c>
      <c r="P508" s="120">
        <v>0</v>
      </c>
      <c r="Q508" s="120">
        <v>0</v>
      </c>
      <c r="R508" s="120"/>
      <c r="S508" s="121"/>
    </row>
    <row r="509" spans="1:19" ht="15">
      <c r="A509" s="105" t="s">
        <v>251</v>
      </c>
      <c r="B509" s="129" t="str">
        <f t="shared" si="16"/>
        <v/>
      </c>
      <c r="C509" s="107" t="s">
        <v>251</v>
      </c>
      <c r="D509" s="107" t="s">
        <v>251</v>
      </c>
      <c r="E509" s="120" t="s">
        <v>251</v>
      </c>
      <c r="F509" s="120" t="s">
        <v>251</v>
      </c>
      <c r="G509" s="120" t="s">
        <v>251</v>
      </c>
      <c r="H509" s="120" t="s">
        <v>251</v>
      </c>
      <c r="I509" s="120" t="s">
        <v>251</v>
      </c>
      <c r="J509" s="120" t="s">
        <v>251</v>
      </c>
      <c r="K509" s="120" t="s">
        <v>251</v>
      </c>
      <c r="L509" s="120" t="s">
        <v>251</v>
      </c>
      <c r="M509" s="120" t="s">
        <v>251</v>
      </c>
      <c r="N509" s="120" t="s">
        <v>251</v>
      </c>
      <c r="O509" s="120" t="s">
        <v>251</v>
      </c>
      <c r="P509" s="120" t="s">
        <v>251</v>
      </c>
      <c r="Q509" s="120" t="s">
        <v>251</v>
      </c>
      <c r="R509" s="120"/>
      <c r="S509" s="121"/>
    </row>
    <row r="510" spans="1:19" ht="15">
      <c r="A510" s="105" t="s">
        <v>251</v>
      </c>
      <c r="B510" s="129" t="str">
        <f t="shared" si="16"/>
        <v>STR</v>
      </c>
      <c r="C510" s="107" t="s">
        <v>653</v>
      </c>
      <c r="D510" s="107" t="s">
        <v>251</v>
      </c>
      <c r="E510" s="120" t="s">
        <v>251</v>
      </c>
      <c r="F510" s="120" t="s">
        <v>251</v>
      </c>
      <c r="G510" s="120" t="s">
        <v>251</v>
      </c>
      <c r="H510" s="120" t="s">
        <v>251</v>
      </c>
      <c r="I510" s="120" t="s">
        <v>251</v>
      </c>
      <c r="J510" s="120" t="s">
        <v>251</v>
      </c>
      <c r="K510" s="120" t="s">
        <v>251</v>
      </c>
      <c r="L510" s="120" t="s">
        <v>251</v>
      </c>
      <c r="M510" s="120" t="s">
        <v>251</v>
      </c>
      <c r="N510" s="120" t="s">
        <v>251</v>
      </c>
      <c r="O510" s="120" t="s">
        <v>251</v>
      </c>
      <c r="P510" s="120" t="s">
        <v>251</v>
      </c>
      <c r="Q510" s="120" t="s">
        <v>251</v>
      </c>
      <c r="R510" s="120"/>
      <c r="S510" s="121"/>
    </row>
    <row r="511" spans="1:19" ht="15">
      <c r="A511" s="105">
        <v>19</v>
      </c>
      <c r="B511" s="129" t="str">
        <f t="shared" si="16"/>
        <v>580</v>
      </c>
      <c r="C511" s="107" t="s">
        <v>654</v>
      </c>
      <c r="D511" s="107" t="s">
        <v>502</v>
      </c>
      <c r="E511" s="120">
        <v>1982553.0000000002</v>
      </c>
      <c r="F511" s="120" t="s">
        <v>251</v>
      </c>
      <c r="G511" s="120">
        <v>1881057.4622564199</v>
      </c>
      <c r="H511" s="120" t="s">
        <v>251</v>
      </c>
      <c r="I511" s="120">
        <v>97280.099037998982</v>
      </c>
      <c r="J511" s="120">
        <v>4215.4387055811521</v>
      </c>
      <c r="K511" s="120" t="s">
        <v>251</v>
      </c>
      <c r="L511" s="120" t="s">
        <v>251</v>
      </c>
      <c r="M511" s="120">
        <v>632.61582287108035</v>
      </c>
      <c r="N511" s="120" t="s">
        <v>251</v>
      </c>
      <c r="O511" s="120">
        <v>3582.822882710072</v>
      </c>
      <c r="P511" s="120">
        <v>3556.5726753281278</v>
      </c>
      <c r="Q511" s="120">
        <v>26.250207381944374</v>
      </c>
      <c r="R511" s="120"/>
      <c r="S511" s="121"/>
    </row>
    <row r="512" spans="1:19" ht="15">
      <c r="A512" s="105">
        <v>20</v>
      </c>
      <c r="B512" s="129" t="str">
        <f t="shared" si="16"/>
        <v>581</v>
      </c>
      <c r="C512" s="107" t="s">
        <v>655</v>
      </c>
      <c r="D512" s="107" t="s">
        <v>656</v>
      </c>
      <c r="E512" s="120">
        <v>373694</v>
      </c>
      <c r="F512" s="120" t="s">
        <v>251</v>
      </c>
      <c r="G512" s="120">
        <v>356108.08934639511</v>
      </c>
      <c r="H512" s="120" t="s">
        <v>251</v>
      </c>
      <c r="I512" s="120">
        <v>12264.600411214798</v>
      </c>
      <c r="J512" s="120">
        <v>5321.3102423900946</v>
      </c>
      <c r="K512" s="120" t="s">
        <v>251</v>
      </c>
      <c r="L512" s="120" t="s">
        <v>251</v>
      </c>
      <c r="M512" s="120">
        <v>696.69622975879656</v>
      </c>
      <c r="N512" s="120" t="s">
        <v>251</v>
      </c>
      <c r="O512" s="120">
        <v>4624.6140126312976</v>
      </c>
      <c r="P512" s="120">
        <v>4624.6140126312976</v>
      </c>
      <c r="Q512" s="120">
        <v>0</v>
      </c>
      <c r="R512" s="120"/>
      <c r="S512" s="121"/>
    </row>
    <row r="513" spans="1:19" ht="15">
      <c r="A513" s="105">
        <v>21</v>
      </c>
      <c r="B513" s="129" t="str">
        <f t="shared" ref="B513:B576" si="17">MID(C513,3,3)</f>
        <v>582</v>
      </c>
      <c r="C513" s="107" t="s">
        <v>657</v>
      </c>
      <c r="D513" s="107" t="s">
        <v>656</v>
      </c>
      <c r="E513" s="120">
        <v>2160724.9999999995</v>
      </c>
      <c r="F513" s="120" t="s">
        <v>251</v>
      </c>
      <c r="G513" s="120">
        <v>2059042.0273084114</v>
      </c>
      <c r="H513" s="120" t="s">
        <v>251</v>
      </c>
      <c r="I513" s="120">
        <v>70914.782478504058</v>
      </c>
      <c r="J513" s="120">
        <v>30768.19021308433</v>
      </c>
      <c r="K513" s="120" t="s">
        <v>251</v>
      </c>
      <c r="L513" s="120" t="s">
        <v>251</v>
      </c>
      <c r="M513" s="120">
        <v>4028.3466179429579</v>
      </c>
      <c r="N513" s="120" t="s">
        <v>251</v>
      </c>
      <c r="O513" s="120">
        <v>26739.843595141374</v>
      </c>
      <c r="P513" s="120">
        <v>26739.843595141374</v>
      </c>
      <c r="Q513" s="120">
        <v>0</v>
      </c>
      <c r="R513" s="120"/>
      <c r="S513" s="121"/>
    </row>
    <row r="514" spans="1:19" ht="15">
      <c r="A514" s="105">
        <v>22</v>
      </c>
      <c r="B514" s="129" t="str">
        <f t="shared" si="17"/>
        <v>583</v>
      </c>
      <c r="C514" s="107" t="s">
        <v>658</v>
      </c>
      <c r="D514" s="107" t="s">
        <v>659</v>
      </c>
      <c r="E514" s="120">
        <v>5940957</v>
      </c>
      <c r="F514" s="120" t="s">
        <v>251</v>
      </c>
      <c r="G514" s="120">
        <v>5524061.9158208342</v>
      </c>
      <c r="H514" s="120" t="s">
        <v>251</v>
      </c>
      <c r="I514" s="120">
        <v>416239.08529161947</v>
      </c>
      <c r="J514" s="120">
        <v>655.99888754671088</v>
      </c>
      <c r="K514" s="120" t="s">
        <v>251</v>
      </c>
      <c r="L514" s="120" t="s">
        <v>251</v>
      </c>
      <c r="M514" s="120">
        <v>655.99888754671088</v>
      </c>
      <c r="N514" s="120" t="s">
        <v>251</v>
      </c>
      <c r="O514" s="120">
        <v>0</v>
      </c>
      <c r="P514" s="120">
        <v>0</v>
      </c>
      <c r="Q514" s="120">
        <v>0</v>
      </c>
      <c r="R514" s="120"/>
      <c r="S514" s="121"/>
    </row>
    <row r="515" spans="1:19" ht="15">
      <c r="A515" s="105">
        <v>23</v>
      </c>
      <c r="B515" s="129" t="str">
        <f t="shared" si="17"/>
        <v>584</v>
      </c>
      <c r="C515" s="107" t="s">
        <v>660</v>
      </c>
      <c r="D515" s="107" t="s">
        <v>661</v>
      </c>
      <c r="E515" s="120">
        <v>319.00000000000006</v>
      </c>
      <c r="F515" s="120" t="s">
        <v>251</v>
      </c>
      <c r="G515" s="120">
        <v>311.70848072176364</v>
      </c>
      <c r="H515" s="120" t="s">
        <v>251</v>
      </c>
      <c r="I515" s="120">
        <v>7.2915192782363967</v>
      </c>
      <c r="J515" s="120">
        <v>0</v>
      </c>
      <c r="K515" s="120" t="s">
        <v>251</v>
      </c>
      <c r="L515" s="120" t="s">
        <v>251</v>
      </c>
      <c r="M515" s="120">
        <v>0</v>
      </c>
      <c r="N515" s="120" t="s">
        <v>251</v>
      </c>
      <c r="O515" s="120">
        <v>0</v>
      </c>
      <c r="P515" s="120">
        <v>0</v>
      </c>
      <c r="Q515" s="120">
        <v>0</v>
      </c>
      <c r="R515" s="120"/>
      <c r="S515" s="121"/>
    </row>
    <row r="516" spans="1:19" ht="15">
      <c r="A516" s="105">
        <v>24</v>
      </c>
      <c r="B516" s="129" t="str">
        <f t="shared" si="17"/>
        <v>585</v>
      </c>
      <c r="C516" s="107" t="s">
        <v>662</v>
      </c>
      <c r="D516" s="107" t="s">
        <v>663</v>
      </c>
      <c r="E516" s="120">
        <v>0</v>
      </c>
      <c r="F516" s="120" t="s">
        <v>251</v>
      </c>
      <c r="G516" s="120">
        <v>0</v>
      </c>
      <c r="H516" s="120" t="s">
        <v>251</v>
      </c>
      <c r="I516" s="120">
        <v>0</v>
      </c>
      <c r="J516" s="120">
        <v>0</v>
      </c>
      <c r="K516" s="120" t="s">
        <v>251</v>
      </c>
      <c r="L516" s="120" t="s">
        <v>251</v>
      </c>
      <c r="M516" s="120">
        <v>0</v>
      </c>
      <c r="N516" s="120" t="s">
        <v>251</v>
      </c>
      <c r="O516" s="120">
        <v>0</v>
      </c>
      <c r="P516" s="120">
        <v>0</v>
      </c>
      <c r="Q516" s="120">
        <v>0</v>
      </c>
      <c r="R516" s="120"/>
      <c r="S516" s="121"/>
    </row>
    <row r="517" spans="1:19" ht="15">
      <c r="A517" s="105">
        <v>25</v>
      </c>
      <c r="B517" s="129" t="str">
        <f t="shared" si="17"/>
        <v>586</v>
      </c>
      <c r="C517" s="107" t="s">
        <v>664</v>
      </c>
      <c r="D517" s="107" t="s">
        <v>665</v>
      </c>
      <c r="E517" s="120">
        <v>9043626</v>
      </c>
      <c r="F517" s="120" t="s">
        <v>251</v>
      </c>
      <c r="G517" s="120">
        <v>8623628.8066009805</v>
      </c>
      <c r="H517" s="120" t="s">
        <v>251</v>
      </c>
      <c r="I517" s="120">
        <v>414356.36210727354</v>
      </c>
      <c r="J517" s="120">
        <v>5640.8312917460007</v>
      </c>
      <c r="K517" s="120" t="s">
        <v>251</v>
      </c>
      <c r="L517" s="120" t="s">
        <v>251</v>
      </c>
      <c r="M517" s="120">
        <v>459.87804753184503</v>
      </c>
      <c r="N517" s="120" t="s">
        <v>251</v>
      </c>
      <c r="O517" s="120">
        <v>5180.9532442141553</v>
      </c>
      <c r="P517" s="120">
        <v>2240.2464607179495</v>
      </c>
      <c r="Q517" s="120">
        <v>2940.7067834962058</v>
      </c>
      <c r="R517" s="120"/>
      <c r="S517" s="121"/>
    </row>
    <row r="518" spans="1:19" ht="15">
      <c r="A518" s="105">
        <v>26</v>
      </c>
      <c r="B518" s="129" t="str">
        <f t="shared" si="17"/>
        <v>587</v>
      </c>
      <c r="C518" s="107" t="s">
        <v>666</v>
      </c>
      <c r="D518" s="107" t="s">
        <v>663</v>
      </c>
      <c r="E518" s="120">
        <v>0</v>
      </c>
      <c r="F518" s="120" t="s">
        <v>251</v>
      </c>
      <c r="G518" s="120">
        <v>0</v>
      </c>
      <c r="H518" s="120" t="s">
        <v>251</v>
      </c>
      <c r="I518" s="120">
        <v>0</v>
      </c>
      <c r="J518" s="120">
        <v>0</v>
      </c>
      <c r="K518" s="120" t="s">
        <v>251</v>
      </c>
      <c r="L518" s="120" t="s">
        <v>251</v>
      </c>
      <c r="M518" s="120">
        <v>0</v>
      </c>
      <c r="N518" s="120" t="s">
        <v>251</v>
      </c>
      <c r="O518" s="120">
        <v>0</v>
      </c>
      <c r="P518" s="120">
        <v>0</v>
      </c>
      <c r="Q518" s="120">
        <v>0</v>
      </c>
      <c r="R518" s="120"/>
      <c r="S518" s="121"/>
    </row>
    <row r="519" spans="1:19" ht="15">
      <c r="A519" s="105">
        <v>27</v>
      </c>
      <c r="B519" s="129" t="str">
        <f t="shared" si="17"/>
        <v>588</v>
      </c>
      <c r="C519" s="107" t="s">
        <v>668</v>
      </c>
      <c r="D519" s="107" t="s">
        <v>502</v>
      </c>
      <c r="E519" s="120">
        <v>7980329</v>
      </c>
      <c r="F519" s="120" t="s">
        <v>251</v>
      </c>
      <c r="G519" s="120">
        <v>7571781.1411403948</v>
      </c>
      <c r="H519" s="120" t="s">
        <v>251</v>
      </c>
      <c r="I519" s="120">
        <v>391579.54187142302</v>
      </c>
      <c r="J519" s="120">
        <v>16968.316988182276</v>
      </c>
      <c r="K519" s="120" t="s">
        <v>251</v>
      </c>
      <c r="L519" s="120" t="s">
        <v>251</v>
      </c>
      <c r="M519" s="120">
        <v>2546.4552005000351</v>
      </c>
      <c r="N519" s="120" t="s">
        <v>251</v>
      </c>
      <c r="O519" s="120">
        <v>14421.861787682241</v>
      </c>
      <c r="P519" s="120">
        <v>14316.197378596509</v>
      </c>
      <c r="Q519" s="120">
        <v>105.66440908573176</v>
      </c>
      <c r="R519" s="120"/>
      <c r="S519" s="121"/>
    </row>
    <row r="520" spans="1:19" ht="15">
      <c r="A520" s="105">
        <v>28</v>
      </c>
      <c r="B520" s="129" t="str">
        <f t="shared" si="17"/>
        <v>589</v>
      </c>
      <c r="C520" s="107" t="s">
        <v>669</v>
      </c>
      <c r="D520" s="107" t="s">
        <v>502</v>
      </c>
      <c r="E520" s="120">
        <v>0</v>
      </c>
      <c r="F520" s="120" t="s">
        <v>251</v>
      </c>
      <c r="G520" s="120">
        <v>0</v>
      </c>
      <c r="H520" s="120" t="s">
        <v>251</v>
      </c>
      <c r="I520" s="120">
        <v>0</v>
      </c>
      <c r="J520" s="120">
        <v>0</v>
      </c>
      <c r="K520" s="120" t="s">
        <v>251</v>
      </c>
      <c r="L520" s="120" t="s">
        <v>251</v>
      </c>
      <c r="M520" s="120">
        <v>0</v>
      </c>
      <c r="N520" s="120" t="s">
        <v>251</v>
      </c>
      <c r="O520" s="120">
        <v>0</v>
      </c>
      <c r="P520" s="120">
        <v>0</v>
      </c>
      <c r="Q520" s="120">
        <v>0</v>
      </c>
      <c r="R520" s="120"/>
      <c r="S520" s="121"/>
    </row>
    <row r="521" spans="1:19" ht="15">
      <c r="A521" s="105">
        <v>29</v>
      </c>
      <c r="B521" s="129" t="str">
        <f t="shared" si="17"/>
        <v xml:space="preserve">  T</v>
      </c>
      <c r="C521" s="107" t="s">
        <v>670</v>
      </c>
      <c r="D521" s="107" t="s">
        <v>251</v>
      </c>
      <c r="E521" s="120">
        <v>27482203</v>
      </c>
      <c r="F521" s="120" t="s">
        <v>251</v>
      </c>
      <c r="G521" s="120">
        <v>26015991.150954157</v>
      </c>
      <c r="H521" s="120" t="s">
        <v>251</v>
      </c>
      <c r="I521" s="120">
        <v>1402641.7627173122</v>
      </c>
      <c r="J521" s="120">
        <v>63570.086328530568</v>
      </c>
      <c r="K521" s="120" t="s">
        <v>251</v>
      </c>
      <c r="L521" s="120" t="s">
        <v>251</v>
      </c>
      <c r="M521" s="120">
        <v>9019.9908061514252</v>
      </c>
      <c r="N521" s="120" t="s">
        <v>251</v>
      </c>
      <c r="O521" s="120">
        <v>54550.095522379139</v>
      </c>
      <c r="P521" s="120">
        <v>51477.47412241526</v>
      </c>
      <c r="Q521" s="120">
        <v>3072.6213999638817</v>
      </c>
      <c r="R521" s="120"/>
      <c r="S521" s="121"/>
    </row>
    <row r="522" spans="1:19" ht="15">
      <c r="A522" s="105">
        <v>30</v>
      </c>
      <c r="B522" s="129" t="str">
        <f t="shared" si="17"/>
        <v>590</v>
      </c>
      <c r="C522" s="107" t="s">
        <v>671</v>
      </c>
      <c r="D522" s="107" t="s">
        <v>502</v>
      </c>
      <c r="E522" s="120">
        <v>77820</v>
      </c>
      <c r="F522" s="120" t="s">
        <v>251</v>
      </c>
      <c r="G522" s="120">
        <v>73836.054679392983</v>
      </c>
      <c r="H522" s="120" t="s">
        <v>251</v>
      </c>
      <c r="I522" s="120">
        <v>3818.4791564901825</v>
      </c>
      <c r="J522" s="120">
        <v>165.46616411683587</v>
      </c>
      <c r="K522" s="120" t="s">
        <v>251</v>
      </c>
      <c r="L522" s="120" t="s">
        <v>251</v>
      </c>
      <c r="M522" s="120">
        <v>24.831701011689209</v>
      </c>
      <c r="N522" s="120" t="s">
        <v>251</v>
      </c>
      <c r="O522" s="120">
        <v>140.63446310514666</v>
      </c>
      <c r="P522" s="120">
        <v>139.60407897999949</v>
      </c>
      <c r="Q522" s="120">
        <v>1.030384125147177</v>
      </c>
      <c r="R522" s="120"/>
      <c r="S522" s="121"/>
    </row>
    <row r="523" spans="1:19" ht="15">
      <c r="A523" s="105">
        <v>31</v>
      </c>
      <c r="B523" s="129" t="str">
        <f t="shared" si="17"/>
        <v>591</v>
      </c>
      <c r="C523" s="107" t="s">
        <v>672</v>
      </c>
      <c r="D523" s="107" t="s">
        <v>656</v>
      </c>
      <c r="E523" s="120">
        <v>0</v>
      </c>
      <c r="F523" s="120" t="s">
        <v>251</v>
      </c>
      <c r="G523" s="120">
        <v>0</v>
      </c>
      <c r="H523" s="120" t="s">
        <v>251</v>
      </c>
      <c r="I523" s="120">
        <v>0</v>
      </c>
      <c r="J523" s="120">
        <v>0</v>
      </c>
      <c r="K523" s="120" t="s">
        <v>251</v>
      </c>
      <c r="L523" s="120" t="s">
        <v>251</v>
      </c>
      <c r="M523" s="120">
        <v>0</v>
      </c>
      <c r="N523" s="120" t="s">
        <v>251</v>
      </c>
      <c r="O523" s="120">
        <v>0</v>
      </c>
      <c r="P523" s="120">
        <v>0</v>
      </c>
      <c r="Q523" s="120">
        <v>0</v>
      </c>
      <c r="R523" s="120"/>
      <c r="S523" s="121"/>
    </row>
    <row r="524" spans="1:19" ht="15">
      <c r="A524" s="105">
        <v>32</v>
      </c>
      <c r="B524" s="129" t="str">
        <f t="shared" si="17"/>
        <v>592</v>
      </c>
      <c r="C524" s="107" t="s">
        <v>673</v>
      </c>
      <c r="D524" s="107" t="s">
        <v>656</v>
      </c>
      <c r="E524" s="120">
        <v>1261918</v>
      </c>
      <c r="F524" s="120" t="s">
        <v>251</v>
      </c>
      <c r="G524" s="120">
        <v>1202532.5744909584</v>
      </c>
      <c r="H524" s="120" t="s">
        <v>251</v>
      </c>
      <c r="I524" s="120">
        <v>41416.024934088739</v>
      </c>
      <c r="J524" s="120">
        <v>17969.40057495283</v>
      </c>
      <c r="K524" s="120" t="s">
        <v>251</v>
      </c>
      <c r="L524" s="120" t="s">
        <v>251</v>
      </c>
      <c r="M524" s="120">
        <v>2352.6562183625133</v>
      </c>
      <c r="N524" s="120" t="s">
        <v>251</v>
      </c>
      <c r="O524" s="120">
        <v>15616.744356590318</v>
      </c>
      <c r="P524" s="120">
        <v>15616.744356590318</v>
      </c>
      <c r="Q524" s="120">
        <v>0</v>
      </c>
      <c r="R524" s="120"/>
      <c r="S524" s="121"/>
    </row>
    <row r="525" spans="1:19" ht="15">
      <c r="A525" s="105">
        <v>33</v>
      </c>
      <c r="B525" s="129" t="str">
        <f t="shared" si="17"/>
        <v>593</v>
      </c>
      <c r="C525" s="107" t="s">
        <v>674</v>
      </c>
      <c r="D525" s="107" t="s">
        <v>659</v>
      </c>
      <c r="E525" s="120">
        <v>32497874</v>
      </c>
      <c r="F525" s="120" t="s">
        <v>251</v>
      </c>
      <c r="G525" s="120">
        <v>30520616.678484585</v>
      </c>
      <c r="H525" s="120" t="s">
        <v>251</v>
      </c>
      <c r="I525" s="120">
        <v>1974146.0384791524</v>
      </c>
      <c r="J525" s="120">
        <v>3111.283036262103</v>
      </c>
      <c r="K525" s="120" t="s">
        <v>251</v>
      </c>
      <c r="L525" s="120" t="s">
        <v>251</v>
      </c>
      <c r="M525" s="120">
        <v>3111.283036262103</v>
      </c>
      <c r="N525" s="120" t="s">
        <v>251</v>
      </c>
      <c r="O525" s="120">
        <v>0</v>
      </c>
      <c r="P525" s="120">
        <v>0</v>
      </c>
      <c r="Q525" s="120">
        <v>0</v>
      </c>
      <c r="R525" s="120"/>
      <c r="S525" s="121"/>
    </row>
    <row r="526" spans="1:19" ht="15">
      <c r="A526" s="105">
        <v>34</v>
      </c>
      <c r="B526" s="129" t="str">
        <f t="shared" si="17"/>
        <v>594</v>
      </c>
      <c r="C526" s="107" t="s">
        <v>675</v>
      </c>
      <c r="D526" s="107" t="s">
        <v>661</v>
      </c>
      <c r="E526" s="120">
        <v>676994</v>
      </c>
      <c r="F526" s="120" t="s">
        <v>251</v>
      </c>
      <c r="G526" s="120">
        <v>661519.6589271148</v>
      </c>
      <c r="H526" s="120" t="s">
        <v>251</v>
      </c>
      <c r="I526" s="120">
        <v>15474.341072885176</v>
      </c>
      <c r="J526" s="120">
        <v>0</v>
      </c>
      <c r="K526" s="120" t="s">
        <v>251</v>
      </c>
      <c r="L526" s="120" t="s">
        <v>251</v>
      </c>
      <c r="M526" s="120">
        <v>0</v>
      </c>
      <c r="N526" s="120" t="s">
        <v>251</v>
      </c>
      <c r="O526" s="120">
        <v>0</v>
      </c>
      <c r="P526" s="120">
        <v>0</v>
      </c>
      <c r="Q526" s="120">
        <v>0</v>
      </c>
      <c r="R526" s="120"/>
      <c r="S526" s="121"/>
    </row>
    <row r="527" spans="1:19" ht="15">
      <c r="A527" s="105">
        <v>35</v>
      </c>
      <c r="B527" s="129" t="str">
        <f t="shared" si="17"/>
        <v>595</v>
      </c>
      <c r="C527" s="107" t="s">
        <v>676</v>
      </c>
      <c r="D527" s="107" t="s">
        <v>677</v>
      </c>
      <c r="E527" s="120">
        <v>112703</v>
      </c>
      <c r="F527" s="120" t="s">
        <v>251</v>
      </c>
      <c r="G527" s="120">
        <v>108845.99816997589</v>
      </c>
      <c r="H527" s="120" t="s">
        <v>251</v>
      </c>
      <c r="I527" s="120">
        <v>3855.9258238944685</v>
      </c>
      <c r="J527" s="120">
        <v>1.0760061296358758</v>
      </c>
      <c r="K527" s="120" t="s">
        <v>251</v>
      </c>
      <c r="L527" s="120" t="s">
        <v>251</v>
      </c>
      <c r="M527" s="120">
        <v>1.0760061296358758</v>
      </c>
      <c r="N527" s="120" t="s">
        <v>251</v>
      </c>
      <c r="O527" s="120">
        <v>0</v>
      </c>
      <c r="P527" s="120">
        <v>0</v>
      </c>
      <c r="Q527" s="120">
        <v>0</v>
      </c>
      <c r="R527" s="120"/>
      <c r="S527" s="121"/>
    </row>
    <row r="528" spans="1:19" ht="15">
      <c r="A528" s="105">
        <v>36</v>
      </c>
      <c r="B528" s="129" t="str">
        <f t="shared" si="17"/>
        <v>596</v>
      </c>
      <c r="C528" s="107" t="s">
        <v>678</v>
      </c>
      <c r="D528" s="107" t="s">
        <v>663</v>
      </c>
      <c r="E528" s="120">
        <v>0</v>
      </c>
      <c r="F528" s="120" t="s">
        <v>251</v>
      </c>
      <c r="G528" s="120">
        <v>0</v>
      </c>
      <c r="H528" s="120" t="s">
        <v>251</v>
      </c>
      <c r="I528" s="120">
        <v>0</v>
      </c>
      <c r="J528" s="120">
        <v>0</v>
      </c>
      <c r="K528" s="120" t="s">
        <v>251</v>
      </c>
      <c r="L528" s="120" t="s">
        <v>251</v>
      </c>
      <c r="M528" s="120">
        <v>0</v>
      </c>
      <c r="N528" s="120" t="s">
        <v>251</v>
      </c>
      <c r="O528" s="120">
        <v>0</v>
      </c>
      <c r="P528" s="120">
        <v>0</v>
      </c>
      <c r="Q528" s="120">
        <v>0</v>
      </c>
      <c r="R528" s="120"/>
      <c r="S528" s="121"/>
    </row>
    <row r="529" spans="1:19" ht="15">
      <c r="A529" s="105">
        <v>37</v>
      </c>
      <c r="B529" s="129" t="str">
        <f t="shared" si="17"/>
        <v>597</v>
      </c>
      <c r="C529" s="107" t="s">
        <v>679</v>
      </c>
      <c r="D529" s="107" t="s">
        <v>665</v>
      </c>
      <c r="E529" s="120">
        <v>0</v>
      </c>
      <c r="F529" s="120" t="s">
        <v>251</v>
      </c>
      <c r="G529" s="120">
        <v>0</v>
      </c>
      <c r="H529" s="120" t="s">
        <v>251</v>
      </c>
      <c r="I529" s="120">
        <v>0</v>
      </c>
      <c r="J529" s="120">
        <v>0</v>
      </c>
      <c r="K529" s="120" t="s">
        <v>251</v>
      </c>
      <c r="L529" s="120" t="s">
        <v>251</v>
      </c>
      <c r="M529" s="120">
        <v>0</v>
      </c>
      <c r="N529" s="120" t="s">
        <v>251</v>
      </c>
      <c r="O529" s="120">
        <v>0</v>
      </c>
      <c r="P529" s="120">
        <v>0</v>
      </c>
      <c r="Q529" s="120">
        <v>0</v>
      </c>
      <c r="R529" s="120"/>
      <c r="S529" s="121"/>
    </row>
    <row r="530" spans="1:19" ht="15">
      <c r="A530" s="105">
        <v>38</v>
      </c>
      <c r="B530" s="129" t="str">
        <f t="shared" si="17"/>
        <v>598</v>
      </c>
      <c r="C530" s="107" t="s">
        <v>680</v>
      </c>
      <c r="D530" s="107" t="s">
        <v>502</v>
      </c>
      <c r="E530" s="120">
        <v>352608.00000000006</v>
      </c>
      <c r="F530" s="120" t="s">
        <v>251</v>
      </c>
      <c r="G530" s="120">
        <v>334556.45808778465</v>
      </c>
      <c r="H530" s="120" t="s">
        <v>251</v>
      </c>
      <c r="I530" s="120">
        <v>17301.802858027375</v>
      </c>
      <c r="J530" s="120">
        <v>749.73905418798847</v>
      </c>
      <c r="K530" s="120" t="s">
        <v>251</v>
      </c>
      <c r="L530" s="120" t="s">
        <v>251</v>
      </c>
      <c r="M530" s="120">
        <v>112.51421781456834</v>
      </c>
      <c r="N530" s="120" t="s">
        <v>251</v>
      </c>
      <c r="O530" s="120">
        <v>637.22483637342009</v>
      </c>
      <c r="P530" s="120">
        <v>632.55609201978484</v>
      </c>
      <c r="Q530" s="120">
        <v>4.6687443536352582</v>
      </c>
      <c r="R530" s="120"/>
      <c r="S530" s="121"/>
    </row>
    <row r="531" spans="1:19" ht="15">
      <c r="A531" s="105">
        <v>39</v>
      </c>
      <c r="B531" s="129" t="str">
        <f t="shared" si="17"/>
        <v xml:space="preserve">  T</v>
      </c>
      <c r="C531" s="107" t="s">
        <v>681</v>
      </c>
      <c r="D531" s="107" t="s">
        <v>251</v>
      </c>
      <c r="E531" s="120">
        <v>34979917</v>
      </c>
      <c r="F531" s="120" t="s">
        <v>251</v>
      </c>
      <c r="G531" s="120">
        <v>32901907.422839813</v>
      </c>
      <c r="H531" s="120" t="s">
        <v>251</v>
      </c>
      <c r="I531" s="120">
        <v>2056012.6123245384</v>
      </c>
      <c r="J531" s="120">
        <v>21996.964835649393</v>
      </c>
      <c r="K531" s="120" t="s">
        <v>251</v>
      </c>
      <c r="L531" s="120" t="s">
        <v>251</v>
      </c>
      <c r="M531" s="120">
        <v>5602.36117958051</v>
      </c>
      <c r="N531" s="120" t="s">
        <v>251</v>
      </c>
      <c r="O531" s="120">
        <v>16394.603656068884</v>
      </c>
      <c r="P531" s="120">
        <v>16388.904527590101</v>
      </c>
      <c r="Q531" s="120">
        <v>5.699128478782435</v>
      </c>
      <c r="R531" s="120"/>
      <c r="S531" s="121"/>
    </row>
    <row r="532" spans="1:19" ht="15">
      <c r="A532" s="105" t="s">
        <v>251</v>
      </c>
      <c r="B532" s="129" t="str">
        <f t="shared" si="17"/>
        <v/>
      </c>
      <c r="C532" s="107" t="s">
        <v>251</v>
      </c>
      <c r="D532" s="107" t="s">
        <v>251</v>
      </c>
      <c r="E532" s="120" t="s">
        <v>251</v>
      </c>
      <c r="F532" s="120" t="s">
        <v>251</v>
      </c>
      <c r="G532" s="120" t="s">
        <v>251</v>
      </c>
      <c r="H532" s="120" t="s">
        <v>251</v>
      </c>
      <c r="I532" s="120" t="s">
        <v>251</v>
      </c>
      <c r="J532" s="120" t="s">
        <v>251</v>
      </c>
      <c r="K532" s="120" t="s">
        <v>251</v>
      </c>
      <c r="L532" s="120" t="s">
        <v>251</v>
      </c>
      <c r="M532" s="120" t="s">
        <v>251</v>
      </c>
      <c r="N532" s="120" t="s">
        <v>251</v>
      </c>
      <c r="O532" s="120" t="s">
        <v>251</v>
      </c>
      <c r="P532" s="120" t="s">
        <v>251</v>
      </c>
      <c r="Q532" s="120" t="s">
        <v>251</v>
      </c>
      <c r="R532" s="120"/>
      <c r="S532" s="121"/>
    </row>
    <row r="533" spans="1:19" ht="15">
      <c r="A533" s="105">
        <v>40</v>
      </c>
      <c r="B533" s="129" t="str">
        <f t="shared" si="17"/>
        <v>TAL</v>
      </c>
      <c r="C533" s="107" t="s">
        <v>682</v>
      </c>
      <c r="D533" s="107" t="s">
        <v>251</v>
      </c>
      <c r="E533" s="120">
        <v>62462120</v>
      </c>
      <c r="F533" s="120" t="s">
        <v>251</v>
      </c>
      <c r="G533" s="120">
        <v>58917898.57379397</v>
      </c>
      <c r="H533" s="120" t="s">
        <v>251</v>
      </c>
      <c r="I533" s="120">
        <v>3458654.3750418508</v>
      </c>
      <c r="J533" s="120">
        <v>85567.051164179953</v>
      </c>
      <c r="K533" s="120" t="s">
        <v>251</v>
      </c>
      <c r="L533" s="120" t="s">
        <v>251</v>
      </c>
      <c r="M533" s="120">
        <v>14622.351985731935</v>
      </c>
      <c r="N533" s="120" t="s">
        <v>251</v>
      </c>
      <c r="O533" s="120">
        <v>70944.69917844802</v>
      </c>
      <c r="P533" s="120">
        <v>67866.378650005354</v>
      </c>
      <c r="Q533" s="120">
        <v>3078.320528442664</v>
      </c>
      <c r="R533" s="120"/>
      <c r="S533" s="121"/>
    </row>
    <row r="534" spans="1:19" ht="15">
      <c r="A534" s="105" t="s">
        <v>251</v>
      </c>
      <c r="B534" s="129" t="str">
        <f t="shared" si="17"/>
        <v/>
      </c>
      <c r="C534" s="107" t="s">
        <v>251</v>
      </c>
      <c r="D534" s="107" t="s">
        <v>251</v>
      </c>
      <c r="E534" s="120" t="s">
        <v>251</v>
      </c>
      <c r="F534" s="120" t="s">
        <v>251</v>
      </c>
      <c r="G534" s="120" t="s">
        <v>251</v>
      </c>
      <c r="H534" s="120" t="s">
        <v>251</v>
      </c>
      <c r="I534" s="120" t="s">
        <v>251</v>
      </c>
      <c r="J534" s="120" t="s">
        <v>251</v>
      </c>
      <c r="K534" s="120" t="s">
        <v>251</v>
      </c>
      <c r="L534" s="120" t="s">
        <v>251</v>
      </c>
      <c r="M534" s="120" t="s">
        <v>251</v>
      </c>
      <c r="N534" s="120" t="s">
        <v>251</v>
      </c>
      <c r="O534" s="120" t="s">
        <v>251</v>
      </c>
      <c r="P534" s="120" t="s">
        <v>251</v>
      </c>
      <c r="Q534" s="120" t="s">
        <v>251</v>
      </c>
      <c r="R534" s="120"/>
      <c r="S534" s="121"/>
    </row>
    <row r="535" spans="1:19" ht="15">
      <c r="A535" s="105" t="s">
        <v>251</v>
      </c>
      <c r="B535" s="129" t="str">
        <f t="shared" si="17"/>
        <v/>
      </c>
      <c r="C535" s="107" t="s">
        <v>251</v>
      </c>
      <c r="D535" s="107" t="s">
        <v>251</v>
      </c>
      <c r="E535" s="120" t="s">
        <v>251</v>
      </c>
      <c r="F535" s="120" t="s">
        <v>251</v>
      </c>
      <c r="G535" s="120" t="s">
        <v>251</v>
      </c>
      <c r="H535" s="120" t="s">
        <v>251</v>
      </c>
      <c r="I535" s="120" t="s">
        <v>251</v>
      </c>
      <c r="J535" s="120" t="s">
        <v>251</v>
      </c>
      <c r="K535" s="120" t="s">
        <v>251</v>
      </c>
      <c r="L535" s="120" t="s">
        <v>251</v>
      </c>
      <c r="M535" s="120" t="s">
        <v>251</v>
      </c>
      <c r="N535" s="120" t="s">
        <v>251</v>
      </c>
      <c r="O535" s="120" t="s">
        <v>251</v>
      </c>
      <c r="P535" s="120" t="s">
        <v>251</v>
      </c>
      <c r="Q535" s="120" t="s">
        <v>251</v>
      </c>
      <c r="R535" s="120"/>
      <c r="S535" s="121"/>
    </row>
    <row r="536" spans="1:19" ht="15">
      <c r="A536" s="105" t="s">
        <v>251</v>
      </c>
      <c r="B536" s="129" t="str">
        <f t="shared" si="17"/>
        <v>ERA</v>
      </c>
      <c r="C536" s="107" t="s">
        <v>632</v>
      </c>
      <c r="D536" s="107" t="s">
        <v>251</v>
      </c>
      <c r="E536" s="120" t="s">
        <v>251</v>
      </c>
      <c r="F536" s="120" t="s">
        <v>251</v>
      </c>
      <c r="G536" s="120" t="s">
        <v>251</v>
      </c>
      <c r="H536" s="120" t="s">
        <v>251</v>
      </c>
      <c r="I536" s="120" t="s">
        <v>251</v>
      </c>
      <c r="J536" s="120" t="s">
        <v>251</v>
      </c>
      <c r="K536" s="120" t="s">
        <v>251</v>
      </c>
      <c r="L536" s="120" t="s">
        <v>251</v>
      </c>
      <c r="M536" s="120" t="s">
        <v>251</v>
      </c>
      <c r="N536" s="120" t="s">
        <v>251</v>
      </c>
      <c r="O536" s="120" t="s">
        <v>251</v>
      </c>
      <c r="P536" s="120" t="s">
        <v>251</v>
      </c>
      <c r="Q536" s="120" t="s">
        <v>251</v>
      </c>
      <c r="R536" s="120"/>
      <c r="S536" s="121"/>
    </row>
    <row r="537" spans="1:19" ht="15">
      <c r="A537" s="105" t="s">
        <v>251</v>
      </c>
      <c r="B537" s="129" t="str">
        <f t="shared" si="17"/>
        <v/>
      </c>
      <c r="C537" s="107" t="s">
        <v>251</v>
      </c>
      <c r="D537" s="107" t="s">
        <v>251</v>
      </c>
      <c r="E537" s="120" t="s">
        <v>251</v>
      </c>
      <c r="F537" s="120" t="s">
        <v>251</v>
      </c>
      <c r="G537" s="120" t="s">
        <v>251</v>
      </c>
      <c r="H537" s="120" t="s">
        <v>251</v>
      </c>
      <c r="I537" s="120" t="s">
        <v>251</v>
      </c>
      <c r="J537" s="120" t="s">
        <v>251</v>
      </c>
      <c r="K537" s="120" t="s">
        <v>251</v>
      </c>
      <c r="L537" s="120" t="s">
        <v>251</v>
      </c>
      <c r="M537" s="120" t="s">
        <v>251</v>
      </c>
      <c r="N537" s="120" t="s">
        <v>251</v>
      </c>
      <c r="O537" s="120" t="s">
        <v>251</v>
      </c>
      <c r="P537" s="120" t="s">
        <v>251</v>
      </c>
      <c r="Q537" s="120" t="s">
        <v>251</v>
      </c>
      <c r="R537" s="120"/>
      <c r="S537" s="121"/>
    </row>
    <row r="538" spans="1:19" ht="15">
      <c r="A538" s="105" t="s">
        <v>251</v>
      </c>
      <c r="B538" s="129" t="str">
        <f t="shared" si="17"/>
        <v>STO</v>
      </c>
      <c r="C538" s="107" t="s">
        <v>683</v>
      </c>
      <c r="D538" s="107" t="s">
        <v>251</v>
      </c>
      <c r="E538" s="120" t="s">
        <v>251</v>
      </c>
      <c r="F538" s="120" t="s">
        <v>251</v>
      </c>
      <c r="G538" s="120" t="s">
        <v>251</v>
      </c>
      <c r="H538" s="120" t="s">
        <v>251</v>
      </c>
      <c r="I538" s="120" t="s">
        <v>251</v>
      </c>
      <c r="J538" s="120" t="s">
        <v>251</v>
      </c>
      <c r="K538" s="120" t="s">
        <v>251</v>
      </c>
      <c r="L538" s="120" t="s">
        <v>251</v>
      </c>
      <c r="M538" s="120" t="s">
        <v>251</v>
      </c>
      <c r="N538" s="120" t="s">
        <v>251</v>
      </c>
      <c r="O538" s="120" t="s">
        <v>251</v>
      </c>
      <c r="P538" s="120" t="s">
        <v>251</v>
      </c>
      <c r="Q538" s="120" t="s">
        <v>251</v>
      </c>
      <c r="R538" s="120"/>
      <c r="S538" s="121"/>
    </row>
    <row r="539" spans="1:19" ht="15">
      <c r="A539" s="105">
        <v>1</v>
      </c>
      <c r="B539" s="129" t="str">
        <f t="shared" si="17"/>
        <v>901</v>
      </c>
      <c r="C539" s="107" t="s">
        <v>684</v>
      </c>
      <c r="D539" s="107" t="s">
        <v>685</v>
      </c>
      <c r="E539" s="120">
        <v>4201987.9999999898</v>
      </c>
      <c r="F539" s="120" t="s">
        <v>251</v>
      </c>
      <c r="G539" s="120">
        <v>3992022.870045648</v>
      </c>
      <c r="H539" s="120" t="s">
        <v>251</v>
      </c>
      <c r="I539" s="120">
        <v>208763.62067979472</v>
      </c>
      <c r="J539" s="120">
        <v>1201.5092745468774</v>
      </c>
      <c r="K539" s="120" t="s">
        <v>251</v>
      </c>
      <c r="L539" s="120" t="s">
        <v>251</v>
      </c>
      <c r="M539" s="120">
        <v>27.684545496471824</v>
      </c>
      <c r="N539" s="120" t="s">
        <v>251</v>
      </c>
      <c r="O539" s="120">
        <v>1173.8247290504055</v>
      </c>
      <c r="P539" s="120">
        <v>470.63727344002098</v>
      </c>
      <c r="Q539" s="120">
        <v>703.1874556103844</v>
      </c>
      <c r="R539" s="120"/>
      <c r="S539" s="121"/>
    </row>
    <row r="540" spans="1:19" ht="15">
      <c r="A540" s="105">
        <v>2</v>
      </c>
      <c r="B540" s="129" t="str">
        <f t="shared" si="17"/>
        <v>902</v>
      </c>
      <c r="C540" s="107" t="s">
        <v>686</v>
      </c>
      <c r="D540" s="107" t="s">
        <v>687</v>
      </c>
      <c r="E540" s="120">
        <v>9154025</v>
      </c>
      <c r="F540" s="120" t="s">
        <v>251</v>
      </c>
      <c r="G540" s="120">
        <v>8696616.2571072802</v>
      </c>
      <c r="H540" s="120" t="s">
        <v>251</v>
      </c>
      <c r="I540" s="120">
        <v>454791.25661314657</v>
      </c>
      <c r="J540" s="120">
        <v>2617.4862795738595</v>
      </c>
      <c r="K540" s="120" t="s">
        <v>251</v>
      </c>
      <c r="L540" s="120" t="s">
        <v>251</v>
      </c>
      <c r="M540" s="120">
        <v>60.310743768982938</v>
      </c>
      <c r="N540" s="120" t="s">
        <v>251</v>
      </c>
      <c r="O540" s="120">
        <v>2557.1755358048767</v>
      </c>
      <c r="P540" s="120">
        <v>1025.2826440727099</v>
      </c>
      <c r="Q540" s="120">
        <v>1531.8928917321668</v>
      </c>
      <c r="R540" s="120"/>
      <c r="S540" s="121"/>
    </row>
    <row r="541" spans="1:19" ht="15">
      <c r="A541" s="105">
        <v>3</v>
      </c>
      <c r="B541" s="129" t="str">
        <f t="shared" si="17"/>
        <v>903</v>
      </c>
      <c r="C541" s="107" t="s">
        <v>688</v>
      </c>
      <c r="D541" s="107" t="s">
        <v>689</v>
      </c>
      <c r="E541" s="120">
        <v>21135404</v>
      </c>
      <c r="F541" s="120" t="s">
        <v>251</v>
      </c>
      <c r="G541" s="120">
        <v>20079309.159296617</v>
      </c>
      <c r="H541" s="120" t="s">
        <v>251</v>
      </c>
      <c r="I541" s="120">
        <v>1050051.4193686957</v>
      </c>
      <c r="J541" s="120">
        <v>6043.4213346861598</v>
      </c>
      <c r="K541" s="120" t="s">
        <v>251</v>
      </c>
      <c r="L541" s="120" t="s">
        <v>251</v>
      </c>
      <c r="M541" s="120">
        <v>139.24933950889769</v>
      </c>
      <c r="N541" s="120" t="s">
        <v>251</v>
      </c>
      <c r="O541" s="120">
        <v>5904.171995177262</v>
      </c>
      <c r="P541" s="120">
        <v>2367.2387716512608</v>
      </c>
      <c r="Q541" s="120">
        <v>3536.9332235260013</v>
      </c>
      <c r="R541" s="120"/>
      <c r="S541" s="121"/>
    </row>
    <row r="542" spans="1:19" ht="15">
      <c r="A542" s="105">
        <v>4</v>
      </c>
      <c r="B542" s="129" t="str">
        <f t="shared" si="17"/>
        <v>904</v>
      </c>
      <c r="C542" s="107" t="s">
        <v>690</v>
      </c>
      <c r="D542" s="107" t="s">
        <v>691</v>
      </c>
      <c r="E542" s="120">
        <v>5155113.129999999</v>
      </c>
      <c r="F542" s="120" t="s">
        <v>251</v>
      </c>
      <c r="G542" s="120">
        <v>4897522.1996428007</v>
      </c>
      <c r="H542" s="120" t="s">
        <v>251</v>
      </c>
      <c r="I542" s="120">
        <v>256116.88611027732</v>
      </c>
      <c r="J542" s="120">
        <v>1474.0442469215513</v>
      </c>
      <c r="K542" s="120" t="s">
        <v>251</v>
      </c>
      <c r="L542" s="120" t="s">
        <v>251</v>
      </c>
      <c r="M542" s="120">
        <v>33.964153154874452</v>
      </c>
      <c r="N542" s="120" t="s">
        <v>251</v>
      </c>
      <c r="O542" s="120">
        <v>1440.080093766677</v>
      </c>
      <c r="P542" s="120">
        <v>577.3906036328658</v>
      </c>
      <c r="Q542" s="120">
        <v>862.6894901338112</v>
      </c>
      <c r="R542" s="120"/>
      <c r="S542" s="121"/>
    </row>
    <row r="543" spans="1:19" ht="15">
      <c r="A543" s="105">
        <v>5</v>
      </c>
      <c r="B543" s="129" t="str">
        <f t="shared" si="17"/>
        <v>905</v>
      </c>
      <c r="C543" s="107" t="s">
        <v>692</v>
      </c>
      <c r="D543" s="107" t="s">
        <v>693</v>
      </c>
      <c r="E543" s="120">
        <v>0</v>
      </c>
      <c r="F543" s="120" t="s">
        <v>251</v>
      </c>
      <c r="G543" s="120">
        <v>0</v>
      </c>
      <c r="H543" s="120" t="s">
        <v>251</v>
      </c>
      <c r="I543" s="120">
        <v>0</v>
      </c>
      <c r="J543" s="120">
        <v>0</v>
      </c>
      <c r="K543" s="120" t="s">
        <v>251</v>
      </c>
      <c r="L543" s="120" t="s">
        <v>251</v>
      </c>
      <c r="M543" s="120">
        <v>0</v>
      </c>
      <c r="N543" s="120" t="s">
        <v>251</v>
      </c>
      <c r="O543" s="120">
        <v>0</v>
      </c>
      <c r="P543" s="120">
        <v>0</v>
      </c>
      <c r="Q543" s="120">
        <v>0</v>
      </c>
      <c r="R543" s="120"/>
      <c r="S543" s="121"/>
    </row>
    <row r="544" spans="1:19" ht="15">
      <c r="A544" s="105">
        <v>6</v>
      </c>
      <c r="B544" s="129" t="str">
        <f t="shared" si="17"/>
        <v>TAL</v>
      </c>
      <c r="C544" s="107" t="s">
        <v>694</v>
      </c>
      <c r="D544" s="107" t="s">
        <v>251</v>
      </c>
      <c r="E544" s="120">
        <v>39646530.129999988</v>
      </c>
      <c r="F544" s="120" t="s">
        <v>251</v>
      </c>
      <c r="G544" s="120">
        <v>37665470.486092344</v>
      </c>
      <c r="H544" s="120" t="s">
        <v>251</v>
      </c>
      <c r="I544" s="120">
        <v>1969723.1827719144</v>
      </c>
      <c r="J544" s="120">
        <v>11336.461135728447</v>
      </c>
      <c r="K544" s="120" t="s">
        <v>251</v>
      </c>
      <c r="L544" s="120" t="s">
        <v>251</v>
      </c>
      <c r="M544" s="120">
        <v>261.20878192922692</v>
      </c>
      <c r="N544" s="120" t="s">
        <v>251</v>
      </c>
      <c r="O544" s="120">
        <v>11075.25235379922</v>
      </c>
      <c r="P544" s="120">
        <v>4440.5492927968571</v>
      </c>
      <c r="Q544" s="120">
        <v>6634.703061002363</v>
      </c>
      <c r="R544" s="120"/>
      <c r="S544" s="121"/>
    </row>
    <row r="545" spans="1:19" ht="15">
      <c r="A545" s="105" t="s">
        <v>251</v>
      </c>
      <c r="B545" s="129" t="str">
        <f t="shared" si="17"/>
        <v/>
      </c>
      <c r="C545" s="107" t="s">
        <v>251</v>
      </c>
      <c r="D545" s="107" t="s">
        <v>251</v>
      </c>
      <c r="E545" s="120" t="s">
        <v>251</v>
      </c>
      <c r="F545" s="120" t="s">
        <v>251</v>
      </c>
      <c r="G545" s="120" t="s">
        <v>251</v>
      </c>
      <c r="H545" s="120" t="s">
        <v>251</v>
      </c>
      <c r="I545" s="120" t="s">
        <v>251</v>
      </c>
      <c r="J545" s="120" t="s">
        <v>251</v>
      </c>
      <c r="K545" s="120" t="s">
        <v>251</v>
      </c>
      <c r="L545" s="120" t="s">
        <v>251</v>
      </c>
      <c r="M545" s="120" t="s">
        <v>251</v>
      </c>
      <c r="N545" s="120" t="s">
        <v>251</v>
      </c>
      <c r="O545" s="120" t="s">
        <v>251</v>
      </c>
      <c r="P545" s="120" t="s">
        <v>251</v>
      </c>
      <c r="Q545" s="120" t="s">
        <v>251</v>
      </c>
      <c r="R545" s="120"/>
      <c r="S545" s="121"/>
    </row>
    <row r="546" spans="1:19" ht="15">
      <c r="A546" s="105" t="s">
        <v>251</v>
      </c>
      <c r="B546" s="129" t="str">
        <f t="shared" si="17"/>
        <v>STO</v>
      </c>
      <c r="C546" s="107" t="s">
        <v>695</v>
      </c>
      <c r="D546" s="107" t="s">
        <v>251</v>
      </c>
      <c r="E546" s="120" t="s">
        <v>251</v>
      </c>
      <c r="F546" s="120" t="s">
        <v>251</v>
      </c>
      <c r="G546" s="120" t="s">
        <v>251</v>
      </c>
      <c r="H546" s="120" t="s">
        <v>251</v>
      </c>
      <c r="I546" s="120" t="s">
        <v>251</v>
      </c>
      <c r="J546" s="120" t="s">
        <v>251</v>
      </c>
      <c r="K546" s="120" t="s">
        <v>251</v>
      </c>
      <c r="L546" s="120" t="s">
        <v>251</v>
      </c>
      <c r="M546" s="120" t="s">
        <v>251</v>
      </c>
      <c r="N546" s="120" t="s">
        <v>251</v>
      </c>
      <c r="O546" s="120" t="s">
        <v>251</v>
      </c>
      <c r="P546" s="120" t="s">
        <v>251</v>
      </c>
      <c r="Q546" s="120" t="s">
        <v>251</v>
      </c>
      <c r="R546" s="120"/>
      <c r="S546" s="121"/>
    </row>
    <row r="547" spans="1:19" ht="15">
      <c r="A547" s="105">
        <v>7</v>
      </c>
      <c r="B547" s="129" t="str">
        <f t="shared" si="17"/>
        <v>907</v>
      </c>
      <c r="C547" s="107" t="s">
        <v>696</v>
      </c>
      <c r="D547" s="107" t="s">
        <v>697</v>
      </c>
      <c r="E547" s="120">
        <v>656372.99999999988</v>
      </c>
      <c r="F547" s="120" t="s">
        <v>251</v>
      </c>
      <c r="G547" s="120">
        <v>648022.61544354004</v>
      </c>
      <c r="H547" s="120" t="s">
        <v>251</v>
      </c>
      <c r="I547" s="120">
        <v>8349.4938804423928</v>
      </c>
      <c r="J547" s="120">
        <v>0.89067601754176917</v>
      </c>
      <c r="K547" s="120" t="s">
        <v>251</v>
      </c>
      <c r="L547" s="120" t="s">
        <v>251</v>
      </c>
      <c r="M547" s="120">
        <v>0.89067601754176917</v>
      </c>
      <c r="N547" s="120" t="s">
        <v>251</v>
      </c>
      <c r="O547" s="120">
        <v>0</v>
      </c>
      <c r="P547" s="120">
        <v>0</v>
      </c>
      <c r="Q547" s="120">
        <v>0</v>
      </c>
      <c r="R547" s="120"/>
      <c r="S547" s="121"/>
    </row>
    <row r="548" spans="1:19" ht="15">
      <c r="A548" s="105">
        <v>8</v>
      </c>
      <c r="B548" s="129" t="str">
        <f t="shared" si="17"/>
        <v>908</v>
      </c>
      <c r="C548" s="107" t="s">
        <v>698</v>
      </c>
      <c r="D548" s="107" t="s">
        <v>699</v>
      </c>
      <c r="E548" s="120">
        <v>8346211.9999999991</v>
      </c>
      <c r="F548" s="120" t="s">
        <v>251</v>
      </c>
      <c r="G548" s="120">
        <v>8346211.9999999991</v>
      </c>
      <c r="H548" s="120" t="s">
        <v>251</v>
      </c>
      <c r="I548" s="120">
        <v>0</v>
      </c>
      <c r="J548" s="120">
        <v>0</v>
      </c>
      <c r="K548" s="120" t="s">
        <v>251</v>
      </c>
      <c r="L548" s="120" t="s">
        <v>251</v>
      </c>
      <c r="M548" s="120">
        <v>0</v>
      </c>
      <c r="N548" s="120" t="s">
        <v>251</v>
      </c>
      <c r="O548" s="120">
        <v>0</v>
      </c>
      <c r="P548" s="120">
        <v>0</v>
      </c>
      <c r="Q548" s="120">
        <v>0</v>
      </c>
      <c r="R548" s="120"/>
      <c r="S548" s="121"/>
    </row>
    <row r="549" spans="1:19" ht="15">
      <c r="A549" s="105">
        <v>9</v>
      </c>
      <c r="B549" s="129" t="str">
        <f t="shared" si="17"/>
        <v>909</v>
      </c>
      <c r="C549" s="107" t="s">
        <v>700</v>
      </c>
      <c r="D549" s="107" t="s">
        <v>701</v>
      </c>
      <c r="E549" s="120">
        <v>1859152</v>
      </c>
      <c r="F549" s="120" t="s">
        <v>251</v>
      </c>
      <c r="G549" s="120">
        <v>1764188.3321898093</v>
      </c>
      <c r="H549" s="120" t="s">
        <v>251</v>
      </c>
      <c r="I549" s="120">
        <v>94953.538712436683</v>
      </c>
      <c r="J549" s="120">
        <v>10.129097754055758</v>
      </c>
      <c r="K549" s="120" t="s">
        <v>251</v>
      </c>
      <c r="L549" s="120" t="s">
        <v>251</v>
      </c>
      <c r="M549" s="120">
        <v>10.129097754055758</v>
      </c>
      <c r="N549" s="120" t="s">
        <v>251</v>
      </c>
      <c r="O549" s="120">
        <v>0</v>
      </c>
      <c r="P549" s="120">
        <v>0</v>
      </c>
      <c r="Q549" s="120">
        <v>0</v>
      </c>
      <c r="R549" s="120"/>
      <c r="S549" s="121"/>
    </row>
    <row r="550" spans="1:19" ht="15">
      <c r="A550" s="105">
        <v>10</v>
      </c>
      <c r="B550" s="129" t="str">
        <f t="shared" si="17"/>
        <v>910</v>
      </c>
      <c r="C550" s="107" t="s">
        <v>702</v>
      </c>
      <c r="D550" s="107" t="s">
        <v>703</v>
      </c>
      <c r="E550" s="120">
        <v>1520197.99999999</v>
      </c>
      <c r="F550" s="120" t="s">
        <v>251</v>
      </c>
      <c r="G550" s="120">
        <v>1506052.1471055988</v>
      </c>
      <c r="H550" s="120" t="s">
        <v>251</v>
      </c>
      <c r="I550" s="120">
        <v>14144.344057063316</v>
      </c>
      <c r="J550" s="120">
        <v>1.50883732785229</v>
      </c>
      <c r="K550" s="120" t="s">
        <v>251</v>
      </c>
      <c r="L550" s="120" t="s">
        <v>251</v>
      </c>
      <c r="M550" s="120">
        <v>1.50883732785229</v>
      </c>
      <c r="N550" s="120" t="s">
        <v>251</v>
      </c>
      <c r="O550" s="120">
        <v>0</v>
      </c>
      <c r="P550" s="120">
        <v>0</v>
      </c>
      <c r="Q550" s="120">
        <v>0</v>
      </c>
      <c r="R550" s="120"/>
      <c r="S550" s="121"/>
    </row>
    <row r="551" spans="1:19" ht="15">
      <c r="A551" s="105">
        <v>11</v>
      </c>
      <c r="B551" s="129" t="str">
        <f t="shared" si="17"/>
        <v>TAL</v>
      </c>
      <c r="C551" s="107" t="s">
        <v>704</v>
      </c>
      <c r="D551" s="107" t="s">
        <v>251</v>
      </c>
      <c r="E551" s="120">
        <v>12381934.999999989</v>
      </c>
      <c r="F551" s="120" t="s">
        <v>251</v>
      </c>
      <c r="G551" s="120">
        <v>12264475.094738947</v>
      </c>
      <c r="H551" s="120" t="s">
        <v>251</v>
      </c>
      <c r="I551" s="120">
        <v>117447.37664994238</v>
      </c>
      <c r="J551" s="120">
        <v>12.528611099449819</v>
      </c>
      <c r="K551" s="120" t="s">
        <v>251</v>
      </c>
      <c r="L551" s="120" t="s">
        <v>251</v>
      </c>
      <c r="M551" s="120">
        <v>12.528611099449819</v>
      </c>
      <c r="N551" s="120" t="s">
        <v>251</v>
      </c>
      <c r="O551" s="120">
        <v>0</v>
      </c>
      <c r="P551" s="120">
        <v>0</v>
      </c>
      <c r="Q551" s="120">
        <v>0</v>
      </c>
      <c r="R551" s="120"/>
      <c r="S551" s="121"/>
    </row>
    <row r="552" spans="1:19" ht="15">
      <c r="A552" s="105" t="s">
        <v>251</v>
      </c>
      <c r="B552" s="129" t="str">
        <f t="shared" si="17"/>
        <v/>
      </c>
      <c r="C552" s="107" t="s">
        <v>251</v>
      </c>
      <c r="D552" s="107" t="s">
        <v>251</v>
      </c>
      <c r="E552" s="120" t="s">
        <v>251</v>
      </c>
      <c r="F552" s="120" t="s">
        <v>251</v>
      </c>
      <c r="G552" s="120" t="s">
        <v>251</v>
      </c>
      <c r="H552" s="120" t="s">
        <v>251</v>
      </c>
      <c r="I552" s="120" t="s">
        <v>251</v>
      </c>
      <c r="J552" s="120" t="s">
        <v>251</v>
      </c>
      <c r="K552" s="120" t="s">
        <v>251</v>
      </c>
      <c r="L552" s="120" t="s">
        <v>251</v>
      </c>
      <c r="M552" s="120" t="s">
        <v>251</v>
      </c>
      <c r="N552" s="120" t="s">
        <v>251</v>
      </c>
      <c r="O552" s="120" t="s">
        <v>251</v>
      </c>
      <c r="P552" s="120" t="s">
        <v>251</v>
      </c>
      <c r="Q552" s="120" t="s">
        <v>251</v>
      </c>
      <c r="R552" s="120"/>
      <c r="S552" s="121"/>
    </row>
    <row r="553" spans="1:19" ht="15">
      <c r="A553" s="105" t="s">
        <v>251</v>
      </c>
      <c r="B553" s="129" t="str">
        <f t="shared" si="17"/>
        <v>LES</v>
      </c>
      <c r="C553" s="107" t="s">
        <v>705</v>
      </c>
      <c r="D553" s="107" t="s">
        <v>251</v>
      </c>
      <c r="E553" s="120" t="s">
        <v>251</v>
      </c>
      <c r="F553" s="120" t="s">
        <v>251</v>
      </c>
      <c r="G553" s="120" t="s">
        <v>251</v>
      </c>
      <c r="H553" s="120" t="s">
        <v>251</v>
      </c>
      <c r="I553" s="120" t="s">
        <v>251</v>
      </c>
      <c r="J553" s="120" t="s">
        <v>251</v>
      </c>
      <c r="K553" s="120" t="s">
        <v>251</v>
      </c>
      <c r="L553" s="120" t="s">
        <v>251</v>
      </c>
      <c r="M553" s="120" t="s">
        <v>251</v>
      </c>
      <c r="N553" s="120" t="s">
        <v>251</v>
      </c>
      <c r="O553" s="120" t="s">
        <v>251</v>
      </c>
      <c r="P553" s="120" t="s">
        <v>251</v>
      </c>
      <c r="Q553" s="120" t="s">
        <v>251</v>
      </c>
      <c r="R553" s="120"/>
      <c r="S553" s="121"/>
    </row>
    <row r="554" spans="1:19" ht="15">
      <c r="A554" s="105">
        <v>12</v>
      </c>
      <c r="B554" s="129" t="str">
        <f t="shared" si="17"/>
        <v>911</v>
      </c>
      <c r="C554" s="107" t="s">
        <v>706</v>
      </c>
      <c r="D554" s="107" t="s">
        <v>697</v>
      </c>
      <c r="E554" s="120">
        <v>0</v>
      </c>
      <c r="F554" s="120" t="s">
        <v>251</v>
      </c>
      <c r="G554" s="120">
        <v>0</v>
      </c>
      <c r="H554" s="120" t="s">
        <v>251</v>
      </c>
      <c r="I554" s="120">
        <v>0</v>
      </c>
      <c r="J554" s="120">
        <v>0</v>
      </c>
      <c r="K554" s="120" t="s">
        <v>251</v>
      </c>
      <c r="L554" s="120" t="s">
        <v>251</v>
      </c>
      <c r="M554" s="120">
        <v>0</v>
      </c>
      <c r="N554" s="120" t="s">
        <v>251</v>
      </c>
      <c r="O554" s="120">
        <v>0</v>
      </c>
      <c r="P554" s="120">
        <v>0</v>
      </c>
      <c r="Q554" s="120">
        <v>0</v>
      </c>
      <c r="R554" s="120"/>
      <c r="S554" s="121"/>
    </row>
    <row r="555" spans="1:19" ht="15">
      <c r="A555" s="105">
        <v>13</v>
      </c>
      <c r="B555" s="129" t="str">
        <f t="shared" si="17"/>
        <v>912</v>
      </c>
      <c r="C555" s="107" t="s">
        <v>707</v>
      </c>
      <c r="D555" s="107" t="s">
        <v>708</v>
      </c>
      <c r="E555" s="120">
        <v>0</v>
      </c>
      <c r="F555" s="120" t="s">
        <v>251</v>
      </c>
      <c r="G555" s="120">
        <v>0</v>
      </c>
      <c r="H555" s="120" t="s">
        <v>251</v>
      </c>
      <c r="I555" s="120">
        <v>0</v>
      </c>
      <c r="J555" s="120">
        <v>0</v>
      </c>
      <c r="K555" s="120" t="s">
        <v>251</v>
      </c>
      <c r="L555" s="120" t="s">
        <v>251</v>
      </c>
      <c r="M555" s="120">
        <v>0</v>
      </c>
      <c r="N555" s="120" t="s">
        <v>251</v>
      </c>
      <c r="O555" s="120">
        <v>0</v>
      </c>
      <c r="P555" s="120">
        <v>0</v>
      </c>
      <c r="Q555" s="120">
        <v>0</v>
      </c>
      <c r="R555" s="120"/>
      <c r="S555" s="121"/>
    </row>
    <row r="556" spans="1:19" ht="15">
      <c r="A556" s="105">
        <v>14</v>
      </c>
      <c r="B556" s="129" t="str">
        <f t="shared" si="17"/>
        <v>913</v>
      </c>
      <c r="C556" s="107" t="s">
        <v>709</v>
      </c>
      <c r="D556" s="107" t="s">
        <v>710</v>
      </c>
      <c r="E556" s="120">
        <v>1044482.0000000001</v>
      </c>
      <c r="F556" s="120" t="s">
        <v>251</v>
      </c>
      <c r="G556" s="120">
        <v>991130.87987548974</v>
      </c>
      <c r="H556" s="120" t="s">
        <v>251</v>
      </c>
      <c r="I556" s="120">
        <v>53345.429540695593</v>
      </c>
      <c r="J556" s="120">
        <v>5.6905838147454677</v>
      </c>
      <c r="K556" s="120" t="s">
        <v>251</v>
      </c>
      <c r="L556" s="120" t="s">
        <v>251</v>
      </c>
      <c r="M556" s="120">
        <v>5.6905838147454677</v>
      </c>
      <c r="N556" s="120" t="s">
        <v>251</v>
      </c>
      <c r="O556" s="120">
        <v>0</v>
      </c>
      <c r="P556" s="120">
        <v>0</v>
      </c>
      <c r="Q556" s="120">
        <v>0</v>
      </c>
      <c r="R556" s="120"/>
      <c r="S556" s="121"/>
    </row>
    <row r="557" spans="1:19" ht="15">
      <c r="A557" s="105">
        <v>15</v>
      </c>
      <c r="B557" s="129" t="str">
        <f t="shared" si="17"/>
        <v>916</v>
      </c>
      <c r="C557" s="107" t="s">
        <v>711</v>
      </c>
      <c r="D557" s="107" t="s">
        <v>712</v>
      </c>
      <c r="E557" s="120">
        <v>0</v>
      </c>
      <c r="F557" s="120" t="s">
        <v>251</v>
      </c>
      <c r="G557" s="120">
        <v>0</v>
      </c>
      <c r="H557" s="120" t="s">
        <v>251</v>
      </c>
      <c r="I557" s="120">
        <v>0</v>
      </c>
      <c r="J557" s="120">
        <v>0</v>
      </c>
      <c r="K557" s="120" t="s">
        <v>251</v>
      </c>
      <c r="L557" s="120" t="s">
        <v>251</v>
      </c>
      <c r="M557" s="120">
        <v>0</v>
      </c>
      <c r="N557" s="120" t="s">
        <v>251</v>
      </c>
      <c r="O557" s="120">
        <v>0</v>
      </c>
      <c r="P557" s="120">
        <v>0</v>
      </c>
      <c r="Q557" s="120">
        <v>0</v>
      </c>
      <c r="R557" s="120"/>
      <c r="S557" s="121"/>
    </row>
    <row r="558" spans="1:19" ht="15">
      <c r="A558" s="105">
        <v>16</v>
      </c>
      <c r="B558" s="129" t="str">
        <f t="shared" si="17"/>
        <v>TAL</v>
      </c>
      <c r="C558" s="107" t="s">
        <v>713</v>
      </c>
      <c r="D558" s="107" t="s">
        <v>251</v>
      </c>
      <c r="E558" s="120">
        <v>1044482.0000000001</v>
      </c>
      <c r="F558" s="120" t="s">
        <v>251</v>
      </c>
      <c r="G558" s="120">
        <v>991130.87987548974</v>
      </c>
      <c r="H558" s="120" t="s">
        <v>251</v>
      </c>
      <c r="I558" s="120">
        <v>53345.429540695593</v>
      </c>
      <c r="J558" s="120">
        <v>5.6905838147454677</v>
      </c>
      <c r="K558" s="120" t="s">
        <v>251</v>
      </c>
      <c r="L558" s="120" t="s">
        <v>251</v>
      </c>
      <c r="M558" s="120">
        <v>5.6905838147454677</v>
      </c>
      <c r="N558" s="120" t="s">
        <v>251</v>
      </c>
      <c r="O558" s="120">
        <v>0</v>
      </c>
      <c r="P558" s="120">
        <v>0</v>
      </c>
      <c r="Q558" s="120">
        <v>0</v>
      </c>
      <c r="R558" s="120"/>
      <c r="S558" s="121"/>
    </row>
    <row r="559" spans="1:19" ht="15">
      <c r="A559" s="105" t="s">
        <v>251</v>
      </c>
      <c r="B559" s="129" t="str">
        <f t="shared" si="17"/>
        <v/>
      </c>
      <c r="C559" s="107" t="s">
        <v>251</v>
      </c>
      <c r="D559" s="107" t="s">
        <v>251</v>
      </c>
      <c r="E559" s="120" t="s">
        <v>251</v>
      </c>
      <c r="F559" s="120" t="s">
        <v>251</v>
      </c>
      <c r="G559" s="120" t="s">
        <v>251</v>
      </c>
      <c r="H559" s="120" t="s">
        <v>251</v>
      </c>
      <c r="I559" s="120" t="s">
        <v>251</v>
      </c>
      <c r="J559" s="120" t="s">
        <v>251</v>
      </c>
      <c r="K559" s="120" t="s">
        <v>251</v>
      </c>
      <c r="L559" s="120" t="s">
        <v>251</v>
      </c>
      <c r="M559" s="120" t="s">
        <v>251</v>
      </c>
      <c r="N559" s="120" t="s">
        <v>251</v>
      </c>
      <c r="O559" s="120" t="s">
        <v>251</v>
      </c>
      <c r="P559" s="120" t="s">
        <v>251</v>
      </c>
      <c r="Q559" s="120" t="s">
        <v>251</v>
      </c>
      <c r="R559" s="120"/>
      <c r="S559" s="121"/>
    </row>
    <row r="560" spans="1:19" ht="15">
      <c r="A560" s="105" t="s">
        <v>251</v>
      </c>
      <c r="B560" s="129" t="str">
        <f t="shared" si="17"/>
        <v>MIN</v>
      </c>
      <c r="C560" s="107" t="s">
        <v>714</v>
      </c>
      <c r="D560" s="107" t="s">
        <v>251</v>
      </c>
      <c r="E560" s="120" t="s">
        <v>251</v>
      </c>
      <c r="F560" s="120" t="s">
        <v>251</v>
      </c>
      <c r="G560" s="120" t="s">
        <v>251</v>
      </c>
      <c r="H560" s="120" t="s">
        <v>251</v>
      </c>
      <c r="I560" s="120" t="s">
        <v>251</v>
      </c>
      <c r="J560" s="120" t="s">
        <v>251</v>
      </c>
      <c r="K560" s="120" t="s">
        <v>251</v>
      </c>
      <c r="L560" s="120" t="s">
        <v>251</v>
      </c>
      <c r="M560" s="120" t="s">
        <v>251</v>
      </c>
      <c r="N560" s="120" t="s">
        <v>251</v>
      </c>
      <c r="O560" s="120" t="s">
        <v>251</v>
      </c>
      <c r="P560" s="120" t="s">
        <v>251</v>
      </c>
      <c r="Q560" s="120" t="s">
        <v>251</v>
      </c>
      <c r="R560" s="120"/>
      <c r="S560" s="121"/>
    </row>
    <row r="561" spans="1:19" ht="15">
      <c r="A561" s="105" t="s">
        <v>251</v>
      </c>
      <c r="B561" s="129" t="str">
        <f t="shared" si="17"/>
        <v/>
      </c>
      <c r="C561" s="107" t="s">
        <v>251</v>
      </c>
      <c r="D561" s="107" t="s">
        <v>251</v>
      </c>
      <c r="E561" s="120" t="s">
        <v>251</v>
      </c>
      <c r="F561" s="120" t="s">
        <v>251</v>
      </c>
      <c r="G561" s="120" t="s">
        <v>251</v>
      </c>
      <c r="H561" s="120" t="s">
        <v>251</v>
      </c>
      <c r="I561" s="120" t="s">
        <v>251</v>
      </c>
      <c r="J561" s="120" t="s">
        <v>251</v>
      </c>
      <c r="K561" s="120" t="s">
        <v>251</v>
      </c>
      <c r="L561" s="120" t="s">
        <v>251</v>
      </c>
      <c r="M561" s="120" t="s">
        <v>251</v>
      </c>
      <c r="N561" s="120" t="s">
        <v>251</v>
      </c>
      <c r="O561" s="120" t="s">
        <v>251</v>
      </c>
      <c r="P561" s="120" t="s">
        <v>251</v>
      </c>
      <c r="Q561" s="120" t="s">
        <v>251</v>
      </c>
      <c r="R561" s="120"/>
      <c r="S561" s="121"/>
    </row>
    <row r="562" spans="1:19" ht="15">
      <c r="A562" s="105" t="s">
        <v>251</v>
      </c>
      <c r="B562" s="129" t="str">
        <f t="shared" si="17"/>
        <v>LAN</v>
      </c>
      <c r="C562" s="107" t="s">
        <v>715</v>
      </c>
      <c r="D562" s="107" t="s">
        <v>251</v>
      </c>
      <c r="E562" s="120" t="s">
        <v>251</v>
      </c>
      <c r="F562" s="120" t="s">
        <v>251</v>
      </c>
      <c r="G562" s="120" t="s">
        <v>251</v>
      </c>
      <c r="H562" s="120" t="s">
        <v>251</v>
      </c>
      <c r="I562" s="120" t="s">
        <v>251</v>
      </c>
      <c r="J562" s="120" t="s">
        <v>251</v>
      </c>
      <c r="K562" s="120" t="s">
        <v>251</v>
      </c>
      <c r="L562" s="120" t="s">
        <v>251</v>
      </c>
      <c r="M562" s="120" t="s">
        <v>251</v>
      </c>
      <c r="N562" s="120" t="s">
        <v>251</v>
      </c>
      <c r="O562" s="120" t="s">
        <v>251</v>
      </c>
      <c r="P562" s="120" t="s">
        <v>251</v>
      </c>
      <c r="Q562" s="120" t="s">
        <v>251</v>
      </c>
      <c r="R562" s="120"/>
      <c r="S562" s="121"/>
    </row>
    <row r="563" spans="1:19" ht="15">
      <c r="A563" s="105">
        <v>17</v>
      </c>
      <c r="B563" s="129" t="str">
        <f t="shared" si="17"/>
        <v>924</v>
      </c>
      <c r="C563" s="107" t="s">
        <v>716</v>
      </c>
      <c r="D563" s="107" t="s">
        <v>717</v>
      </c>
      <c r="E563" s="120">
        <v>6197669.9999999991</v>
      </c>
      <c r="F563" s="120" t="s">
        <v>251</v>
      </c>
      <c r="G563" s="120">
        <v>5794662.094299159</v>
      </c>
      <c r="H563" s="120" t="s">
        <v>251</v>
      </c>
      <c r="I563" s="120">
        <v>312832.84878231667</v>
      </c>
      <c r="J563" s="120">
        <v>90175.056918522896</v>
      </c>
      <c r="K563" s="120" t="s">
        <v>251</v>
      </c>
      <c r="L563" s="120" t="s">
        <v>251</v>
      </c>
      <c r="M563" s="120">
        <v>425.92249207772204</v>
      </c>
      <c r="N563" s="120" t="s">
        <v>251</v>
      </c>
      <c r="O563" s="120">
        <v>89749.134426445176</v>
      </c>
      <c r="P563" s="120">
        <v>46647.82121051076</v>
      </c>
      <c r="Q563" s="120">
        <v>43101.313215934417</v>
      </c>
      <c r="R563" s="120"/>
      <c r="S563" s="121"/>
    </row>
    <row r="564" spans="1:19" ht="15">
      <c r="A564" s="105">
        <v>18</v>
      </c>
      <c r="B564" s="129" t="str">
        <f t="shared" si="17"/>
        <v xml:space="preserve">   </v>
      </c>
      <c r="C564" s="107" t="s">
        <v>718</v>
      </c>
      <c r="D564" s="107" t="s">
        <v>251</v>
      </c>
      <c r="E564" s="120">
        <v>6197669.9999999991</v>
      </c>
      <c r="F564" s="120" t="s">
        <v>251</v>
      </c>
      <c r="G564" s="120">
        <v>5794662.094299159</v>
      </c>
      <c r="H564" s="120" t="s">
        <v>251</v>
      </c>
      <c r="I564" s="120">
        <v>312832.84878231667</v>
      </c>
      <c r="J564" s="120">
        <v>90175.056918522896</v>
      </c>
      <c r="K564" s="120" t="s">
        <v>251</v>
      </c>
      <c r="L564" s="120" t="s">
        <v>251</v>
      </c>
      <c r="M564" s="120">
        <v>425.92249207772204</v>
      </c>
      <c r="N564" s="120" t="s">
        <v>251</v>
      </c>
      <c r="O564" s="120">
        <v>89749.134426445176</v>
      </c>
      <c r="P564" s="120">
        <v>46647.82121051076</v>
      </c>
      <c r="Q564" s="120">
        <v>43101.313215934417</v>
      </c>
      <c r="R564" s="120"/>
      <c r="S564" s="121"/>
    </row>
    <row r="565" spans="1:19" ht="15">
      <c r="A565" s="105" t="s">
        <v>251</v>
      </c>
      <c r="B565" s="129" t="str">
        <f t="shared" si="17"/>
        <v/>
      </c>
      <c r="C565" s="107" t="s">
        <v>251</v>
      </c>
      <c r="D565" s="107" t="s">
        <v>251</v>
      </c>
      <c r="E565" s="120" t="s">
        <v>251</v>
      </c>
      <c r="F565" s="120" t="s">
        <v>251</v>
      </c>
      <c r="G565" s="120" t="s">
        <v>251</v>
      </c>
      <c r="H565" s="120" t="s">
        <v>251</v>
      </c>
      <c r="I565" s="120" t="s">
        <v>251</v>
      </c>
      <c r="J565" s="120" t="s">
        <v>251</v>
      </c>
      <c r="K565" s="120" t="s">
        <v>251</v>
      </c>
      <c r="L565" s="120" t="s">
        <v>251</v>
      </c>
      <c r="M565" s="120" t="s">
        <v>251</v>
      </c>
      <c r="N565" s="120" t="s">
        <v>251</v>
      </c>
      <c r="O565" s="120" t="s">
        <v>251</v>
      </c>
      <c r="P565" s="120" t="s">
        <v>251</v>
      </c>
      <c r="Q565" s="120" t="s">
        <v>251</v>
      </c>
      <c r="R565" s="120"/>
      <c r="S565" s="121"/>
    </row>
    <row r="566" spans="1:19" ht="15">
      <c r="A566" s="105" t="s">
        <v>251</v>
      </c>
      <c r="B566" s="129" t="str">
        <f t="shared" si="17"/>
        <v>ABO</v>
      </c>
      <c r="C566" s="107" t="s">
        <v>719</v>
      </c>
      <c r="D566" s="107" t="s">
        <v>251</v>
      </c>
      <c r="E566" s="120" t="s">
        <v>251</v>
      </c>
      <c r="F566" s="120" t="s">
        <v>251</v>
      </c>
      <c r="G566" s="120" t="s">
        <v>251</v>
      </c>
      <c r="H566" s="120" t="s">
        <v>251</v>
      </c>
      <c r="I566" s="120" t="s">
        <v>251</v>
      </c>
      <c r="J566" s="120" t="s">
        <v>251</v>
      </c>
      <c r="K566" s="120" t="s">
        <v>251</v>
      </c>
      <c r="L566" s="120" t="s">
        <v>251</v>
      </c>
      <c r="M566" s="120" t="s">
        <v>251</v>
      </c>
      <c r="N566" s="120" t="s">
        <v>251</v>
      </c>
      <c r="O566" s="120" t="s">
        <v>251</v>
      </c>
      <c r="P566" s="120" t="s">
        <v>251</v>
      </c>
      <c r="Q566" s="120" t="s">
        <v>251</v>
      </c>
      <c r="R566" s="120"/>
      <c r="S566" s="121"/>
    </row>
    <row r="567" spans="1:19" ht="15">
      <c r="A567" s="105">
        <v>19</v>
      </c>
      <c r="B567" s="129" t="str">
        <f t="shared" si="17"/>
        <v>920</v>
      </c>
      <c r="C567" s="107" t="s">
        <v>720</v>
      </c>
      <c r="D567" s="107" t="s">
        <v>419</v>
      </c>
      <c r="E567" s="120">
        <v>37810561</v>
      </c>
      <c r="F567" s="120" t="s">
        <v>251</v>
      </c>
      <c r="G567" s="120">
        <v>35567474.142570183</v>
      </c>
      <c r="H567" s="120" t="s">
        <v>251</v>
      </c>
      <c r="I567" s="120">
        <v>1790246.7092076084</v>
      </c>
      <c r="J567" s="120">
        <v>452840.14822220895</v>
      </c>
      <c r="K567" s="120" t="s">
        <v>251</v>
      </c>
      <c r="L567" s="120" t="s">
        <v>251</v>
      </c>
      <c r="M567" s="120">
        <v>2547.745620752481</v>
      </c>
      <c r="N567" s="120" t="s">
        <v>251</v>
      </c>
      <c r="O567" s="120">
        <v>450292.4026014565</v>
      </c>
      <c r="P567" s="120">
        <v>234728.29387158706</v>
      </c>
      <c r="Q567" s="120">
        <v>215564.10872986948</v>
      </c>
      <c r="R567" s="120"/>
      <c r="S567" s="121"/>
    </row>
    <row r="568" spans="1:19" ht="15">
      <c r="A568" s="105">
        <v>20</v>
      </c>
      <c r="B568" s="129" t="str">
        <f t="shared" si="17"/>
        <v>921</v>
      </c>
      <c r="C568" s="107" t="s">
        <v>721</v>
      </c>
      <c r="D568" s="107" t="s">
        <v>419</v>
      </c>
      <c r="E568" s="120">
        <v>10355241</v>
      </c>
      <c r="F568" s="120" t="s">
        <v>251</v>
      </c>
      <c r="G568" s="120">
        <v>9740923.0851555634</v>
      </c>
      <c r="H568" s="120" t="s">
        <v>251</v>
      </c>
      <c r="I568" s="120">
        <v>490297.83301289036</v>
      </c>
      <c r="J568" s="120">
        <v>124020.08183154691</v>
      </c>
      <c r="K568" s="120" t="s">
        <v>251</v>
      </c>
      <c r="L568" s="120" t="s">
        <v>251</v>
      </c>
      <c r="M568" s="120">
        <v>697.75531523022221</v>
      </c>
      <c r="N568" s="120" t="s">
        <v>251</v>
      </c>
      <c r="O568" s="120">
        <v>123322.32651631668</v>
      </c>
      <c r="P568" s="120">
        <v>64285.42682979782</v>
      </c>
      <c r="Q568" s="120">
        <v>59036.899686518867</v>
      </c>
      <c r="R568" s="120"/>
      <c r="S568" s="121"/>
    </row>
    <row r="569" spans="1:19" ht="15">
      <c r="A569" s="105">
        <v>21</v>
      </c>
      <c r="B569" s="129" t="str">
        <f t="shared" si="17"/>
        <v>922</v>
      </c>
      <c r="C569" s="107" t="s">
        <v>722</v>
      </c>
      <c r="D569" s="107" t="s">
        <v>419</v>
      </c>
      <c r="E569" s="120">
        <v>-6153657</v>
      </c>
      <c r="F569" s="120" t="s">
        <v>251</v>
      </c>
      <c r="G569" s="120">
        <v>-5788595.3141437387</v>
      </c>
      <c r="H569" s="120" t="s">
        <v>251</v>
      </c>
      <c r="I569" s="120">
        <v>-291362.09308934514</v>
      </c>
      <c r="J569" s="120">
        <v>-73699.592766915957</v>
      </c>
      <c r="K569" s="120" t="s">
        <v>251</v>
      </c>
      <c r="L569" s="120" t="s">
        <v>251</v>
      </c>
      <c r="M569" s="120">
        <v>-414.64480448631406</v>
      </c>
      <c r="N569" s="120" t="s">
        <v>251</v>
      </c>
      <c r="O569" s="120">
        <v>-73284.947962429636</v>
      </c>
      <c r="P569" s="120">
        <v>-38201.956556025412</v>
      </c>
      <c r="Q569" s="120">
        <v>-35082.991406404217</v>
      </c>
      <c r="R569" s="120"/>
      <c r="S569" s="121"/>
    </row>
    <row r="570" spans="1:19" ht="15">
      <c r="A570" s="105">
        <v>22</v>
      </c>
      <c r="B570" s="129" t="str">
        <f t="shared" si="17"/>
        <v>923</v>
      </c>
      <c r="C570" s="107" t="s">
        <v>723</v>
      </c>
      <c r="D570" s="107" t="s">
        <v>419</v>
      </c>
      <c r="E570" s="120">
        <v>22071003</v>
      </c>
      <c r="F570" s="120" t="s">
        <v>251</v>
      </c>
      <c r="G570" s="120">
        <v>20761655.149816182</v>
      </c>
      <c r="H570" s="120" t="s">
        <v>251</v>
      </c>
      <c r="I570" s="120">
        <v>1045013.3360798655</v>
      </c>
      <c r="J570" s="120">
        <v>264334.51410395151</v>
      </c>
      <c r="K570" s="120" t="s">
        <v>251</v>
      </c>
      <c r="L570" s="120" t="s">
        <v>251</v>
      </c>
      <c r="M570" s="120">
        <v>1487.1850549603025</v>
      </c>
      <c r="N570" s="120" t="s">
        <v>251</v>
      </c>
      <c r="O570" s="120">
        <v>262847.3290489912</v>
      </c>
      <c r="P570" s="120">
        <v>137016.97994443084</v>
      </c>
      <c r="Q570" s="120">
        <v>125830.34910456037</v>
      </c>
      <c r="R570" s="120"/>
      <c r="S570" s="121"/>
    </row>
    <row r="571" spans="1:19" ht="15">
      <c r="A571" s="105">
        <v>23</v>
      </c>
      <c r="B571" s="129" t="str">
        <f t="shared" si="17"/>
        <v>925</v>
      </c>
      <c r="C571" s="107" t="s">
        <v>724</v>
      </c>
      <c r="D571" s="107" t="s">
        <v>419</v>
      </c>
      <c r="E571" s="120">
        <v>5008425</v>
      </c>
      <c r="F571" s="120" t="s">
        <v>251</v>
      </c>
      <c r="G571" s="120">
        <v>4711303.4552040119</v>
      </c>
      <c r="H571" s="120" t="s">
        <v>251</v>
      </c>
      <c r="I571" s="120">
        <v>237137.88257632876</v>
      </c>
      <c r="J571" s="120">
        <v>59983.662219659134</v>
      </c>
      <c r="K571" s="120" t="s">
        <v>251</v>
      </c>
      <c r="L571" s="120" t="s">
        <v>251</v>
      </c>
      <c r="M571" s="120">
        <v>337.47695149556881</v>
      </c>
      <c r="N571" s="120" t="s">
        <v>251</v>
      </c>
      <c r="O571" s="120">
        <v>59646.185268163565</v>
      </c>
      <c r="P571" s="120">
        <v>31092.346268911569</v>
      </c>
      <c r="Q571" s="120">
        <v>28553.838999251995</v>
      </c>
      <c r="R571" s="120"/>
      <c r="S571" s="121"/>
    </row>
    <row r="572" spans="1:19" ht="15">
      <c r="A572" s="105">
        <v>24</v>
      </c>
      <c r="B572" s="129" t="str">
        <f t="shared" si="17"/>
        <v>926</v>
      </c>
      <c r="C572" s="107" t="s">
        <v>725</v>
      </c>
      <c r="D572" s="107" t="s">
        <v>419</v>
      </c>
      <c r="E572" s="120">
        <v>30445135</v>
      </c>
      <c r="F572" s="120" t="s">
        <v>251</v>
      </c>
      <c r="G572" s="120">
        <v>28638997.233591918</v>
      </c>
      <c r="H572" s="120" t="s">
        <v>251</v>
      </c>
      <c r="I572" s="120">
        <v>1441510.025337402</v>
      </c>
      <c r="J572" s="120">
        <v>364627.74107068032</v>
      </c>
      <c r="K572" s="120" t="s">
        <v>251</v>
      </c>
      <c r="L572" s="120" t="s">
        <v>251</v>
      </c>
      <c r="M572" s="120">
        <v>2051.449576996969</v>
      </c>
      <c r="N572" s="120" t="s">
        <v>251</v>
      </c>
      <c r="O572" s="120">
        <v>362576.29149368335</v>
      </c>
      <c r="P572" s="120">
        <v>189003.66474964865</v>
      </c>
      <c r="Q572" s="120">
        <v>173572.6267440347</v>
      </c>
      <c r="R572" s="120"/>
      <c r="S572" s="121"/>
    </row>
    <row r="573" spans="1:19" ht="15">
      <c r="A573" s="105">
        <v>25</v>
      </c>
      <c r="B573" s="129" t="str">
        <f t="shared" si="17"/>
        <v>926</v>
      </c>
      <c r="C573" s="107" t="s">
        <v>2242</v>
      </c>
      <c r="D573" s="107" t="s">
        <v>733</v>
      </c>
      <c r="E573" s="120">
        <v>0</v>
      </c>
      <c r="F573" s="120" t="s">
        <v>251</v>
      </c>
      <c r="G573" s="120">
        <v>0</v>
      </c>
      <c r="H573" s="120" t="s">
        <v>251</v>
      </c>
      <c r="I573" s="120">
        <v>0</v>
      </c>
      <c r="J573" s="120">
        <v>0</v>
      </c>
      <c r="K573" s="120" t="s">
        <v>251</v>
      </c>
      <c r="L573" s="120" t="s">
        <v>251</v>
      </c>
      <c r="M573" s="120">
        <v>0</v>
      </c>
      <c r="N573" s="120" t="s">
        <v>251</v>
      </c>
      <c r="O573" s="120">
        <v>0</v>
      </c>
      <c r="P573" s="120">
        <v>0</v>
      </c>
      <c r="Q573" s="120">
        <v>0</v>
      </c>
      <c r="R573" s="120"/>
      <c r="S573" s="121"/>
    </row>
    <row r="574" spans="1:19" ht="15">
      <c r="A574" s="105">
        <v>26</v>
      </c>
      <c r="B574" s="129" t="str">
        <f t="shared" si="17"/>
        <v>926</v>
      </c>
      <c r="C574" s="107" t="s">
        <v>2243</v>
      </c>
      <c r="D574" s="107" t="s">
        <v>733</v>
      </c>
      <c r="E574" s="120">
        <v>61680.519244159201</v>
      </c>
      <c r="F574" s="120" t="s">
        <v>251</v>
      </c>
      <c r="G574" s="120">
        <v>0</v>
      </c>
      <c r="H574" s="120" t="s">
        <v>251</v>
      </c>
      <c r="I574" s="120">
        <v>61680.519244159201</v>
      </c>
      <c r="J574" s="120">
        <v>0</v>
      </c>
      <c r="K574" s="120" t="s">
        <v>251</v>
      </c>
      <c r="L574" s="120" t="s">
        <v>251</v>
      </c>
      <c r="M574" s="120">
        <v>0</v>
      </c>
      <c r="N574" s="120" t="s">
        <v>251</v>
      </c>
      <c r="O574" s="120">
        <v>0</v>
      </c>
      <c r="P574" s="120">
        <v>0</v>
      </c>
      <c r="Q574" s="120">
        <v>0</v>
      </c>
      <c r="R574" s="120"/>
      <c r="S574" s="121"/>
    </row>
    <row r="575" spans="1:19" ht="15">
      <c r="A575" s="105">
        <v>27</v>
      </c>
      <c r="B575" s="129" t="str">
        <f t="shared" si="17"/>
        <v>926</v>
      </c>
      <c r="C575" s="107" t="s">
        <v>2244</v>
      </c>
      <c r="D575" s="107" t="s">
        <v>733</v>
      </c>
      <c r="E575" s="120">
        <v>30328.480755840726</v>
      </c>
      <c r="F575" s="120" t="s">
        <v>251</v>
      </c>
      <c r="G575" s="120">
        <v>0</v>
      </c>
      <c r="H575" s="120" t="s">
        <v>251</v>
      </c>
      <c r="I575" s="120">
        <v>0</v>
      </c>
      <c r="J575" s="120">
        <v>30328.480755840726</v>
      </c>
      <c r="K575" s="120" t="s">
        <v>251</v>
      </c>
      <c r="L575" s="120" t="s">
        <v>251</v>
      </c>
      <c r="M575" s="120">
        <v>44.864616502723003</v>
      </c>
      <c r="N575" s="120" t="s">
        <v>251</v>
      </c>
      <c r="O575" s="120">
        <v>30283.616139338003</v>
      </c>
      <c r="P575" s="120">
        <v>15786.234694571049</v>
      </c>
      <c r="Q575" s="120">
        <v>14497.381444766954</v>
      </c>
      <c r="R575" s="120"/>
      <c r="S575" s="121"/>
    </row>
    <row r="576" spans="1:19" ht="15">
      <c r="A576" s="105">
        <v>28</v>
      </c>
      <c r="B576" s="129" t="str">
        <f t="shared" si="17"/>
        <v>930</v>
      </c>
      <c r="C576" s="107" t="s">
        <v>2245</v>
      </c>
      <c r="D576" s="107" t="s">
        <v>728</v>
      </c>
      <c r="E576" s="120">
        <v>3316.9999999999995</v>
      </c>
      <c r="F576" s="120" t="s">
        <v>251</v>
      </c>
      <c r="G576" s="120">
        <v>3157.8282533846727</v>
      </c>
      <c r="H576" s="120" t="s">
        <v>251</v>
      </c>
      <c r="I576" s="120">
        <v>158.94554716491322</v>
      </c>
      <c r="J576" s="120">
        <v>0.22619945041359865</v>
      </c>
      <c r="K576" s="120" t="s">
        <v>251</v>
      </c>
      <c r="L576" s="120" t="s">
        <v>251</v>
      </c>
      <c r="M576" s="120">
        <v>0.22619945041359865</v>
      </c>
      <c r="N576" s="120" t="s">
        <v>251</v>
      </c>
      <c r="O576" s="120">
        <v>0</v>
      </c>
      <c r="P576" s="120">
        <v>0</v>
      </c>
      <c r="Q576" s="120">
        <v>0</v>
      </c>
      <c r="R576" s="120"/>
      <c r="S576" s="121"/>
    </row>
    <row r="577" spans="1:19" ht="15">
      <c r="A577" s="105">
        <v>29</v>
      </c>
      <c r="B577" s="129" t="str">
        <f t="shared" ref="B577:B591" si="18">MID(C577,3,3)</f>
        <v>930</v>
      </c>
      <c r="C577" s="107" t="s">
        <v>2246</v>
      </c>
      <c r="D577" s="107" t="s">
        <v>419</v>
      </c>
      <c r="E577" s="120">
        <v>3706329.9999999902</v>
      </c>
      <c r="F577" s="120" t="s">
        <v>251</v>
      </c>
      <c r="G577" s="120">
        <v>3492531.5798998694</v>
      </c>
      <c r="H577" s="120" t="s">
        <v>251</v>
      </c>
      <c r="I577" s="120">
        <v>170636.2447580802</v>
      </c>
      <c r="J577" s="120">
        <v>43162.175342040711</v>
      </c>
      <c r="K577" s="120" t="s">
        <v>251</v>
      </c>
      <c r="L577" s="120" t="s">
        <v>251</v>
      </c>
      <c r="M577" s="120">
        <v>242.83677947184677</v>
      </c>
      <c r="N577" s="120" t="s">
        <v>251</v>
      </c>
      <c r="O577" s="120">
        <v>42919.338562568868</v>
      </c>
      <c r="P577" s="120">
        <v>22372.980438236285</v>
      </c>
      <c r="Q577" s="120">
        <v>20546.358124332586</v>
      </c>
      <c r="R577" s="120"/>
      <c r="S577" s="121"/>
    </row>
    <row r="578" spans="1:19" ht="15">
      <c r="A578" s="105">
        <v>30</v>
      </c>
      <c r="B578" s="129" t="str">
        <f t="shared" si="18"/>
        <v>931</v>
      </c>
      <c r="C578" s="107" t="s">
        <v>729</v>
      </c>
      <c r="D578" s="107" t="s">
        <v>419</v>
      </c>
      <c r="E578" s="120">
        <v>2989607</v>
      </c>
      <c r="F578" s="120" t="s">
        <v>251</v>
      </c>
      <c r="G578" s="120">
        <v>2812250.515641564</v>
      </c>
      <c r="H578" s="120" t="s">
        <v>251</v>
      </c>
      <c r="I578" s="120">
        <v>141551.30080122405</v>
      </c>
      <c r="J578" s="120">
        <v>35805.183557211793</v>
      </c>
      <c r="K578" s="120" t="s">
        <v>251</v>
      </c>
      <c r="L578" s="120" t="s">
        <v>251</v>
      </c>
      <c r="M578" s="120">
        <v>201.44525604951914</v>
      </c>
      <c r="N578" s="120" t="s">
        <v>251</v>
      </c>
      <c r="O578" s="120">
        <v>35603.738301162273</v>
      </c>
      <c r="P578" s="120">
        <v>18559.506442037549</v>
      </c>
      <c r="Q578" s="120">
        <v>17044.231859124728</v>
      </c>
      <c r="R578" s="120"/>
      <c r="S578" s="121"/>
    </row>
    <row r="579" spans="1:19" ht="15">
      <c r="A579" s="105">
        <v>31</v>
      </c>
      <c r="B579" s="129" t="str">
        <f t="shared" si="18"/>
        <v>935</v>
      </c>
      <c r="C579" s="107" t="s">
        <v>730</v>
      </c>
      <c r="D579" s="107" t="s">
        <v>419</v>
      </c>
      <c r="E579" s="120">
        <v>1398785.99999999</v>
      </c>
      <c r="F579" s="120" t="s">
        <v>251</v>
      </c>
      <c r="G579" s="120">
        <v>1315803.9333504948</v>
      </c>
      <c r="H579" s="120" t="s">
        <v>251</v>
      </c>
      <c r="I579" s="120">
        <v>66229.43344812197</v>
      </c>
      <c r="J579" s="120">
        <v>16752.633201373192</v>
      </c>
      <c r="K579" s="120" t="s">
        <v>251</v>
      </c>
      <c r="L579" s="120" t="s">
        <v>251</v>
      </c>
      <c r="M579" s="120">
        <v>94.252791061996007</v>
      </c>
      <c r="N579" s="120" t="s">
        <v>251</v>
      </c>
      <c r="O579" s="120">
        <v>16658.380410311194</v>
      </c>
      <c r="P579" s="120">
        <v>8683.6757399991875</v>
      </c>
      <c r="Q579" s="120">
        <v>7974.7046703120077</v>
      </c>
      <c r="R579" s="120"/>
      <c r="S579" s="121"/>
    </row>
    <row r="580" spans="1:19" ht="15">
      <c r="A580" s="105">
        <v>32</v>
      </c>
      <c r="B580" s="129" t="str">
        <f t="shared" si="18"/>
        <v xml:space="preserve">   </v>
      </c>
      <c r="C580" s="107" t="s">
        <v>731</v>
      </c>
      <c r="D580" s="107" t="s">
        <v>251</v>
      </c>
      <c r="E580" s="120">
        <v>107726756.99999997</v>
      </c>
      <c r="F580" s="120" t="s">
        <v>251</v>
      </c>
      <c r="G580" s="120">
        <v>101255501.60933942</v>
      </c>
      <c r="H580" s="120" t="s">
        <v>251</v>
      </c>
      <c r="I580" s="120">
        <v>5153100.1369235003</v>
      </c>
      <c r="J580" s="120">
        <v>1318155.2537370478</v>
      </c>
      <c r="K580" s="120" t="s">
        <v>251</v>
      </c>
      <c r="L580" s="120" t="s">
        <v>251</v>
      </c>
      <c r="M580" s="120">
        <v>7290.5933574857272</v>
      </c>
      <c r="N580" s="120" t="s">
        <v>251</v>
      </c>
      <c r="O580" s="120">
        <v>1310864.6603795621</v>
      </c>
      <c r="P580" s="120">
        <v>683327.15242319461</v>
      </c>
      <c r="Q580" s="120">
        <v>627537.50795636745</v>
      </c>
      <c r="R580" s="120"/>
      <c r="S580" s="121"/>
    </row>
    <row r="581" spans="1:19" ht="15">
      <c r="A581" s="105" t="s">
        <v>251</v>
      </c>
      <c r="B581" s="129" t="str">
        <f t="shared" si="18"/>
        <v/>
      </c>
      <c r="C581" s="107" t="s">
        <v>251</v>
      </c>
      <c r="D581" s="107" t="s">
        <v>251</v>
      </c>
      <c r="E581" s="120" t="s">
        <v>251</v>
      </c>
      <c r="F581" s="120" t="s">
        <v>251</v>
      </c>
      <c r="G581" s="120" t="s">
        <v>251</v>
      </c>
      <c r="H581" s="120" t="s">
        <v>251</v>
      </c>
      <c r="I581" s="120" t="s">
        <v>251</v>
      </c>
      <c r="J581" s="120" t="s">
        <v>251</v>
      </c>
      <c r="K581" s="120" t="s">
        <v>251</v>
      </c>
      <c r="L581" s="120" t="s">
        <v>251</v>
      </c>
      <c r="M581" s="120" t="s">
        <v>251</v>
      </c>
      <c r="N581" s="120" t="s">
        <v>251</v>
      </c>
      <c r="O581" s="120" t="s">
        <v>251</v>
      </c>
      <c r="P581" s="120" t="s">
        <v>251</v>
      </c>
      <c r="Q581" s="120" t="s">
        <v>251</v>
      </c>
      <c r="R581" s="120"/>
      <c r="S581" s="121"/>
    </row>
    <row r="582" spans="1:19" ht="15">
      <c r="A582" s="105" t="s">
        <v>251</v>
      </c>
      <c r="B582" s="129" t="str">
        <f t="shared" si="18"/>
        <v>928</v>
      </c>
      <c r="C582" s="107" t="s">
        <v>732</v>
      </c>
      <c r="D582" s="107" t="s">
        <v>251</v>
      </c>
      <c r="E582" s="120" t="s">
        <v>251</v>
      </c>
      <c r="F582" s="120" t="s">
        <v>251</v>
      </c>
      <c r="G582" s="120" t="s">
        <v>251</v>
      </c>
      <c r="H582" s="120" t="s">
        <v>251</v>
      </c>
      <c r="I582" s="120" t="s">
        <v>251</v>
      </c>
      <c r="J582" s="120" t="s">
        <v>251</v>
      </c>
      <c r="K582" s="120" t="s">
        <v>251</v>
      </c>
      <c r="L582" s="120" t="s">
        <v>251</v>
      </c>
      <c r="M582" s="120" t="s">
        <v>251</v>
      </c>
      <c r="N582" s="120" t="s">
        <v>251</v>
      </c>
      <c r="O582" s="120" t="s">
        <v>251</v>
      </c>
      <c r="P582" s="120" t="s">
        <v>251</v>
      </c>
      <c r="Q582" s="120" t="s">
        <v>251</v>
      </c>
      <c r="R582" s="120"/>
      <c r="S582" s="121"/>
    </row>
    <row r="583" spans="1:19" ht="15">
      <c r="A583" s="105">
        <v>33</v>
      </c>
      <c r="B583" s="129"/>
      <c r="C583" s="107" t="s">
        <v>2247</v>
      </c>
      <c r="D583" s="107" t="s">
        <v>733</v>
      </c>
      <c r="E583" s="120">
        <v>1572907</v>
      </c>
      <c r="F583" s="120" t="s">
        <v>251</v>
      </c>
      <c r="G583" s="120">
        <v>1572907</v>
      </c>
      <c r="H583" s="120" t="s">
        <v>251</v>
      </c>
      <c r="I583" s="120">
        <v>0</v>
      </c>
      <c r="J583" s="120">
        <v>0</v>
      </c>
      <c r="K583" s="120" t="s">
        <v>251</v>
      </c>
      <c r="L583" s="120" t="s">
        <v>251</v>
      </c>
      <c r="M583" s="120">
        <v>0</v>
      </c>
      <c r="N583" s="120" t="s">
        <v>251</v>
      </c>
      <c r="O583" s="120">
        <v>0</v>
      </c>
      <c r="P583" s="120">
        <v>0</v>
      </c>
      <c r="Q583" s="120">
        <v>0</v>
      </c>
      <c r="R583" s="120"/>
      <c r="S583" s="121"/>
    </row>
    <row r="584" spans="1:19" ht="15">
      <c r="A584" s="105">
        <v>34</v>
      </c>
      <c r="B584" s="129" t="str">
        <f t="shared" si="18"/>
        <v xml:space="preserve">  V</v>
      </c>
      <c r="C584" s="107" t="s">
        <v>735</v>
      </c>
      <c r="D584" s="107" t="s">
        <v>733</v>
      </c>
      <c r="E584" s="120">
        <v>43336</v>
      </c>
      <c r="F584" s="120" t="s">
        <v>251</v>
      </c>
      <c r="G584" s="120">
        <v>0</v>
      </c>
      <c r="H584" s="120" t="s">
        <v>251</v>
      </c>
      <c r="I584" s="120">
        <v>43336</v>
      </c>
      <c r="J584" s="120">
        <v>0</v>
      </c>
      <c r="K584" s="120" t="s">
        <v>251</v>
      </c>
      <c r="L584" s="120" t="s">
        <v>251</v>
      </c>
      <c r="M584" s="120">
        <v>0</v>
      </c>
      <c r="N584" s="120" t="s">
        <v>251</v>
      </c>
      <c r="O584" s="120">
        <v>0</v>
      </c>
      <c r="P584" s="120">
        <v>0</v>
      </c>
      <c r="Q584" s="120">
        <v>0</v>
      </c>
      <c r="R584" s="120"/>
      <c r="S584" s="121"/>
    </row>
    <row r="585" spans="1:19" ht="15">
      <c r="A585" s="105">
        <v>35</v>
      </c>
      <c r="B585" s="129" t="str">
        <f t="shared" si="18"/>
        <v xml:space="preserve">  F</v>
      </c>
      <c r="C585" s="107" t="s">
        <v>734</v>
      </c>
      <c r="D585" s="107" t="s">
        <v>1122</v>
      </c>
      <c r="E585" s="120">
        <v>0</v>
      </c>
      <c r="F585" s="120" t="s">
        <v>251</v>
      </c>
      <c r="G585" s="120">
        <v>0</v>
      </c>
      <c r="H585" s="120" t="s">
        <v>251</v>
      </c>
      <c r="I585" s="120">
        <v>0</v>
      </c>
      <c r="J585" s="120">
        <v>0</v>
      </c>
      <c r="K585" s="120" t="s">
        <v>251</v>
      </c>
      <c r="L585" s="120" t="s">
        <v>251</v>
      </c>
      <c r="M585" s="120">
        <v>0</v>
      </c>
      <c r="N585" s="120" t="s">
        <v>251</v>
      </c>
      <c r="O585" s="120">
        <v>0</v>
      </c>
      <c r="P585" s="120">
        <v>0</v>
      </c>
      <c r="Q585" s="120">
        <v>0</v>
      </c>
      <c r="R585" s="120"/>
      <c r="S585" s="121"/>
    </row>
    <row r="586" spans="1:19" ht="15">
      <c r="A586" s="105">
        <v>36</v>
      </c>
      <c r="B586" s="129" t="str">
        <f t="shared" si="18"/>
        <v xml:space="preserve">  9</v>
      </c>
      <c r="C586" s="107" t="s">
        <v>737</v>
      </c>
      <c r="D586" s="107" t="s">
        <v>495</v>
      </c>
      <c r="E586" s="120">
        <v>441708</v>
      </c>
      <c r="F586" s="120" t="s">
        <v>251</v>
      </c>
      <c r="G586" s="120">
        <v>415651.2738559267</v>
      </c>
      <c r="H586" s="120" t="s">
        <v>251</v>
      </c>
      <c r="I586" s="120">
        <v>16956.676210514408</v>
      </c>
      <c r="J586" s="120">
        <v>9100.0499335589047</v>
      </c>
      <c r="K586" s="120" t="s">
        <v>251</v>
      </c>
      <c r="L586" s="120" t="s">
        <v>251</v>
      </c>
      <c r="M586" s="120">
        <v>1.8602279562441497</v>
      </c>
      <c r="N586" s="120" t="s">
        <v>251</v>
      </c>
      <c r="O586" s="120">
        <v>9098.189705602661</v>
      </c>
      <c r="P586" s="120">
        <v>4607.3929398675127</v>
      </c>
      <c r="Q586" s="120">
        <v>4490.7967657351483</v>
      </c>
      <c r="R586" s="120"/>
      <c r="S586" s="121"/>
    </row>
    <row r="587" spans="1:19" ht="15">
      <c r="A587" s="105">
        <v>37</v>
      </c>
      <c r="B587" s="129" t="str">
        <f t="shared" si="18"/>
        <v xml:space="preserve">   </v>
      </c>
      <c r="C587" s="107" t="s">
        <v>738</v>
      </c>
      <c r="D587" s="107" t="s">
        <v>251</v>
      </c>
      <c r="E587" s="120">
        <v>2057951</v>
      </c>
      <c r="F587" s="120" t="s">
        <v>251</v>
      </c>
      <c r="G587" s="120">
        <v>1988558.2738559267</v>
      </c>
      <c r="H587" s="120" t="s">
        <v>251</v>
      </c>
      <c r="I587" s="120">
        <v>60292.676210514408</v>
      </c>
      <c r="J587" s="120">
        <v>9100.0499335589047</v>
      </c>
      <c r="K587" s="120" t="s">
        <v>251</v>
      </c>
      <c r="L587" s="120" t="s">
        <v>251</v>
      </c>
      <c r="M587" s="120">
        <v>1.8602279562441497</v>
      </c>
      <c r="N587" s="120" t="s">
        <v>251</v>
      </c>
      <c r="O587" s="120">
        <v>9098.189705602661</v>
      </c>
      <c r="P587" s="120">
        <v>4607.3929398675127</v>
      </c>
      <c r="Q587" s="120">
        <v>4490.7967657351483</v>
      </c>
      <c r="R587" s="120"/>
      <c r="S587" s="121"/>
    </row>
    <row r="588" spans="1:19" ht="15">
      <c r="A588" s="105" t="s">
        <v>251</v>
      </c>
      <c r="B588" s="129">
        <v>928</v>
      </c>
      <c r="C588" s="107" t="s">
        <v>251</v>
      </c>
      <c r="D588" s="107" t="s">
        <v>251</v>
      </c>
      <c r="E588" s="120" t="s">
        <v>251</v>
      </c>
      <c r="F588" s="120" t="s">
        <v>251</v>
      </c>
      <c r="G588" s="120" t="s">
        <v>251</v>
      </c>
      <c r="H588" s="120" t="s">
        <v>251</v>
      </c>
      <c r="I588" s="120" t="s">
        <v>251</v>
      </c>
      <c r="J588" s="120" t="s">
        <v>251</v>
      </c>
      <c r="K588" s="120" t="s">
        <v>251</v>
      </c>
      <c r="L588" s="120" t="s">
        <v>251</v>
      </c>
      <c r="M588" s="120" t="s">
        <v>251</v>
      </c>
      <c r="N588" s="120" t="s">
        <v>251</v>
      </c>
      <c r="O588" s="120" t="s">
        <v>251</v>
      </c>
      <c r="P588" s="120" t="s">
        <v>251</v>
      </c>
      <c r="Q588" s="120" t="s">
        <v>251</v>
      </c>
      <c r="R588" s="120"/>
      <c r="S588" s="121"/>
    </row>
    <row r="589" spans="1:19" ht="15">
      <c r="A589" s="105">
        <v>38</v>
      </c>
      <c r="B589" s="129" t="str">
        <f t="shared" si="18"/>
        <v>927</v>
      </c>
      <c r="C589" s="107" t="s">
        <v>739</v>
      </c>
      <c r="D589" s="107" t="s">
        <v>727</v>
      </c>
      <c r="E589" s="120">
        <v>0</v>
      </c>
      <c r="F589" s="120" t="s">
        <v>251</v>
      </c>
      <c r="G589" s="120">
        <v>0</v>
      </c>
      <c r="H589" s="120" t="s">
        <v>251</v>
      </c>
      <c r="I589" s="120">
        <v>0</v>
      </c>
      <c r="J589" s="120">
        <v>0</v>
      </c>
      <c r="K589" s="120" t="s">
        <v>251</v>
      </c>
      <c r="L589" s="120" t="s">
        <v>251</v>
      </c>
      <c r="M589" s="120">
        <v>0</v>
      </c>
      <c r="N589" s="120" t="s">
        <v>251</v>
      </c>
      <c r="O589" s="120">
        <v>0</v>
      </c>
      <c r="P589" s="120">
        <v>0</v>
      </c>
      <c r="Q589" s="120">
        <v>0</v>
      </c>
      <c r="R589" s="120"/>
      <c r="S589" s="121"/>
    </row>
    <row r="590" spans="1:19" ht="15">
      <c r="A590" s="105">
        <v>39</v>
      </c>
      <c r="B590" s="129" t="str">
        <f t="shared" si="18"/>
        <v>929</v>
      </c>
      <c r="C590" s="107" t="s">
        <v>726</v>
      </c>
      <c r="D590" s="107" t="s">
        <v>727</v>
      </c>
      <c r="E590" s="120">
        <v>0</v>
      </c>
      <c r="F590" s="120" t="s">
        <v>251</v>
      </c>
      <c r="G590" s="120">
        <v>0</v>
      </c>
      <c r="H590" s="120" t="s">
        <v>251</v>
      </c>
      <c r="I590" s="120">
        <v>0</v>
      </c>
      <c r="J590" s="120">
        <v>0</v>
      </c>
      <c r="K590" s="120" t="s">
        <v>251</v>
      </c>
      <c r="L590" s="120" t="s">
        <v>251</v>
      </c>
      <c r="M590" s="120">
        <v>0</v>
      </c>
      <c r="N590" s="120" t="s">
        <v>251</v>
      </c>
      <c r="O590" s="120">
        <v>0</v>
      </c>
      <c r="P590" s="120">
        <v>0</v>
      </c>
      <c r="Q590" s="120">
        <v>0</v>
      </c>
      <c r="R590" s="120"/>
      <c r="S590" s="121"/>
    </row>
    <row r="591" spans="1:19" ht="15">
      <c r="A591" s="105" t="s">
        <v>251</v>
      </c>
      <c r="B591" s="129" t="str">
        <f t="shared" si="18"/>
        <v/>
      </c>
      <c r="C591" s="107" t="s">
        <v>251</v>
      </c>
      <c r="D591" s="107" t="s">
        <v>251</v>
      </c>
      <c r="E591" s="120" t="s">
        <v>251</v>
      </c>
      <c r="F591" s="120" t="s">
        <v>251</v>
      </c>
      <c r="G591" s="120" t="s">
        <v>251</v>
      </c>
      <c r="H591" s="120" t="s">
        <v>251</v>
      </c>
      <c r="I591" s="120" t="s">
        <v>251</v>
      </c>
      <c r="J591" s="120" t="s">
        <v>251</v>
      </c>
      <c r="K591" s="120" t="s">
        <v>251</v>
      </c>
      <c r="L591" s="120" t="s">
        <v>251</v>
      </c>
      <c r="M591" s="120" t="s">
        <v>251</v>
      </c>
      <c r="N591" s="120" t="s">
        <v>251</v>
      </c>
      <c r="O591" s="120" t="s">
        <v>251</v>
      </c>
      <c r="P591" s="120" t="s">
        <v>251</v>
      </c>
      <c r="Q591" s="120" t="s">
        <v>251</v>
      </c>
      <c r="R591" s="120"/>
      <c r="S591" s="121"/>
    </row>
    <row r="592" spans="1:19" ht="15">
      <c r="A592" s="105">
        <v>40</v>
      </c>
      <c r="B592" s="105"/>
      <c r="C592" s="107" t="s">
        <v>741</v>
      </c>
      <c r="D592" s="107" t="s">
        <v>251</v>
      </c>
      <c r="E592" s="120">
        <v>115982377.99999996</v>
      </c>
      <c r="F592" s="120" t="s">
        <v>251</v>
      </c>
      <c r="G592" s="120">
        <v>109038721.97749449</v>
      </c>
      <c r="H592" s="120" t="s">
        <v>251</v>
      </c>
      <c r="I592" s="120">
        <v>5526225.6619163314</v>
      </c>
      <c r="J592" s="120">
        <v>1417430.3605891299</v>
      </c>
      <c r="K592" s="120" t="s">
        <v>251</v>
      </c>
      <c r="L592" s="120" t="s">
        <v>251</v>
      </c>
      <c r="M592" s="120">
        <v>7718.3760775196934</v>
      </c>
      <c r="N592" s="120" t="s">
        <v>251</v>
      </c>
      <c r="O592" s="120">
        <v>1409711.9845116101</v>
      </c>
      <c r="P592" s="120">
        <v>734582.36657357297</v>
      </c>
      <c r="Q592" s="120">
        <v>675129.61793803703</v>
      </c>
      <c r="R592" s="120"/>
      <c r="S592" s="121"/>
    </row>
    <row r="593" spans="1:19" ht="15">
      <c r="A593" s="105" t="s">
        <v>251</v>
      </c>
      <c r="B593" s="105"/>
      <c r="C593" s="107" t="s">
        <v>251</v>
      </c>
      <c r="D593" s="107" t="s">
        <v>251</v>
      </c>
      <c r="E593" s="120" t="s">
        <v>251</v>
      </c>
      <c r="F593" s="120" t="s">
        <v>251</v>
      </c>
      <c r="G593" s="120" t="s">
        <v>251</v>
      </c>
      <c r="H593" s="120" t="s">
        <v>251</v>
      </c>
      <c r="I593" s="120" t="s">
        <v>251</v>
      </c>
      <c r="J593" s="120" t="s">
        <v>251</v>
      </c>
      <c r="K593" s="120" t="s">
        <v>251</v>
      </c>
      <c r="L593" s="120" t="s">
        <v>251</v>
      </c>
      <c r="M593" s="120" t="s">
        <v>251</v>
      </c>
      <c r="N593" s="120" t="s">
        <v>251</v>
      </c>
      <c r="O593" s="120" t="s">
        <v>251</v>
      </c>
      <c r="P593" s="120" t="s">
        <v>251</v>
      </c>
      <c r="Q593" s="120" t="s">
        <v>251</v>
      </c>
      <c r="R593" s="120"/>
      <c r="S593" s="121"/>
    </row>
    <row r="594" spans="1:19" ht="15">
      <c r="A594" s="105">
        <v>41</v>
      </c>
      <c r="B594" s="105"/>
      <c r="C594" s="107" t="s">
        <v>742</v>
      </c>
      <c r="D594" s="107" t="s">
        <v>251</v>
      </c>
      <c r="E594" s="120">
        <v>938986321.69972634</v>
      </c>
      <c r="F594" s="120" t="s">
        <v>251</v>
      </c>
      <c r="G594" s="120">
        <v>880920467.51762056</v>
      </c>
      <c r="H594" s="120" t="s">
        <v>251</v>
      </c>
      <c r="I594" s="120">
        <v>42570834.745900512</v>
      </c>
      <c r="J594" s="120">
        <v>15495019.436205316</v>
      </c>
      <c r="K594" s="120" t="s">
        <v>251</v>
      </c>
      <c r="L594" s="120" t="s">
        <v>251</v>
      </c>
      <c r="M594" s="120">
        <v>25291.613923351957</v>
      </c>
      <c r="N594" s="120" t="s">
        <v>251</v>
      </c>
      <c r="O594" s="120">
        <v>15469727.822281964</v>
      </c>
      <c r="P594" s="120">
        <v>7887472.1403816631</v>
      </c>
      <c r="Q594" s="120">
        <v>7582255.6819003001</v>
      </c>
      <c r="R594" s="120"/>
      <c r="S594" s="121"/>
    </row>
    <row r="595" spans="1:19" ht="15">
      <c r="A595" s="105"/>
      <c r="B595" s="105"/>
      <c r="C595" s="107"/>
      <c r="D595" s="107"/>
      <c r="E595" s="120"/>
      <c r="F595" s="120"/>
      <c r="G595" s="120"/>
      <c r="H595" s="120"/>
      <c r="I595" s="120"/>
      <c r="J595" s="120"/>
      <c r="K595" s="120"/>
      <c r="L595" s="120"/>
      <c r="M595" s="120"/>
      <c r="N595" s="120"/>
      <c r="O595" s="120"/>
      <c r="P595" s="120"/>
      <c r="Q595" s="120"/>
      <c r="R595" s="120"/>
      <c r="S595" s="121"/>
    </row>
    <row r="596" spans="1:19" ht="15">
      <c r="A596" s="105"/>
      <c r="B596" s="105"/>
      <c r="C596" s="107"/>
      <c r="D596" s="107"/>
      <c r="E596" s="120"/>
      <c r="F596" s="120"/>
      <c r="G596" s="120"/>
      <c r="H596" s="120"/>
      <c r="I596" s="120"/>
      <c r="J596" s="120"/>
      <c r="K596" s="120"/>
      <c r="L596" s="120"/>
      <c r="M596" s="120"/>
      <c r="N596" s="120"/>
      <c r="O596" s="120"/>
      <c r="P596" s="120"/>
      <c r="Q596" s="120"/>
      <c r="R596" s="120"/>
      <c r="S596" s="121"/>
    </row>
    <row r="597" spans="1:19" ht="15">
      <c r="A597" s="105" t="s">
        <v>251</v>
      </c>
      <c r="B597" s="105"/>
      <c r="C597" s="107" t="s">
        <v>743</v>
      </c>
      <c r="D597" s="107" t="s">
        <v>251</v>
      </c>
      <c r="E597" s="120" t="s">
        <v>251</v>
      </c>
      <c r="F597" s="120" t="s">
        <v>251</v>
      </c>
      <c r="G597" s="120" t="s">
        <v>251</v>
      </c>
      <c r="H597" s="120" t="s">
        <v>251</v>
      </c>
      <c r="I597" s="120" t="s">
        <v>251</v>
      </c>
      <c r="J597" s="120" t="s">
        <v>251</v>
      </c>
      <c r="K597" s="120" t="s">
        <v>251</v>
      </c>
      <c r="L597" s="120" t="s">
        <v>251</v>
      </c>
      <c r="M597" s="120" t="s">
        <v>251</v>
      </c>
      <c r="N597" s="120" t="s">
        <v>251</v>
      </c>
      <c r="O597" s="120" t="s">
        <v>251</v>
      </c>
      <c r="P597" s="120" t="s">
        <v>251</v>
      </c>
      <c r="Q597" s="120" t="s">
        <v>251</v>
      </c>
      <c r="R597" s="120"/>
      <c r="S597" s="121"/>
    </row>
    <row r="598" spans="1:19" ht="15">
      <c r="A598" s="105" t="s">
        <v>251</v>
      </c>
      <c r="B598" s="105"/>
      <c r="C598" s="107" t="s">
        <v>251</v>
      </c>
      <c r="D598" s="107" t="s">
        <v>251</v>
      </c>
      <c r="E598" s="120" t="s">
        <v>251</v>
      </c>
      <c r="F598" s="120" t="s">
        <v>251</v>
      </c>
      <c r="G598" s="120" t="s">
        <v>251</v>
      </c>
      <c r="H598" s="120" t="s">
        <v>251</v>
      </c>
      <c r="I598" s="120" t="s">
        <v>251</v>
      </c>
      <c r="J598" s="120" t="s">
        <v>251</v>
      </c>
      <c r="K598" s="120" t="s">
        <v>251</v>
      </c>
      <c r="L598" s="120" t="s">
        <v>251</v>
      </c>
      <c r="M598" s="120" t="s">
        <v>251</v>
      </c>
      <c r="N598" s="120" t="s">
        <v>251</v>
      </c>
      <c r="O598" s="120" t="s">
        <v>251</v>
      </c>
      <c r="P598" s="120" t="s">
        <v>251</v>
      </c>
      <c r="Q598" s="120" t="s">
        <v>251</v>
      </c>
      <c r="R598" s="120"/>
      <c r="S598" s="121"/>
    </row>
    <row r="599" spans="1:19" ht="15">
      <c r="A599" s="105" t="s">
        <v>251</v>
      </c>
      <c r="B599" s="105"/>
      <c r="C599" s="107" t="s">
        <v>744</v>
      </c>
      <c r="D599" s="107" t="s">
        <v>251</v>
      </c>
      <c r="E599" s="120" t="s">
        <v>251</v>
      </c>
      <c r="F599" s="120" t="s">
        <v>251</v>
      </c>
      <c r="G599" s="120" t="s">
        <v>251</v>
      </c>
      <c r="H599" s="120" t="s">
        <v>251</v>
      </c>
      <c r="I599" s="120" t="s">
        <v>251</v>
      </c>
      <c r="J599" s="120" t="s">
        <v>251</v>
      </c>
      <c r="K599" s="120" t="s">
        <v>251</v>
      </c>
      <c r="L599" s="120" t="s">
        <v>251</v>
      </c>
      <c r="M599" s="120" t="s">
        <v>251</v>
      </c>
      <c r="N599" s="120" t="s">
        <v>251</v>
      </c>
      <c r="O599" s="120" t="s">
        <v>251</v>
      </c>
      <c r="P599" s="120" t="s">
        <v>251</v>
      </c>
      <c r="Q599" s="120" t="s">
        <v>251</v>
      </c>
      <c r="R599" s="120"/>
      <c r="S599" s="121"/>
    </row>
    <row r="600" spans="1:19" ht="15">
      <c r="A600" s="105" t="s">
        <v>251</v>
      </c>
      <c r="B600" s="105"/>
      <c r="C600" s="107" t="s">
        <v>251</v>
      </c>
      <c r="D600" s="107" t="s">
        <v>251</v>
      </c>
      <c r="E600" s="120" t="s">
        <v>251</v>
      </c>
      <c r="F600" s="120" t="s">
        <v>251</v>
      </c>
      <c r="G600" s="120" t="s">
        <v>251</v>
      </c>
      <c r="H600" s="120" t="s">
        <v>251</v>
      </c>
      <c r="I600" s="120" t="s">
        <v>251</v>
      </c>
      <c r="J600" s="120" t="s">
        <v>251</v>
      </c>
      <c r="K600" s="120" t="s">
        <v>251</v>
      </c>
      <c r="L600" s="120" t="s">
        <v>251</v>
      </c>
      <c r="M600" s="120" t="s">
        <v>251</v>
      </c>
      <c r="N600" s="120" t="s">
        <v>251</v>
      </c>
      <c r="O600" s="120" t="s">
        <v>251</v>
      </c>
      <c r="P600" s="120" t="s">
        <v>251</v>
      </c>
      <c r="Q600" s="120" t="s">
        <v>251</v>
      </c>
      <c r="R600" s="120"/>
      <c r="S600" s="121"/>
    </row>
    <row r="601" spans="1:19" ht="15">
      <c r="A601" s="105" t="s">
        <v>251</v>
      </c>
      <c r="B601" s="105"/>
      <c r="C601" s="107" t="s">
        <v>441</v>
      </c>
      <c r="D601" s="107" t="s">
        <v>251</v>
      </c>
      <c r="E601" s="120" t="s">
        <v>251</v>
      </c>
      <c r="F601" s="120" t="s">
        <v>251</v>
      </c>
      <c r="G601" s="120" t="s">
        <v>251</v>
      </c>
      <c r="H601" s="120" t="s">
        <v>251</v>
      </c>
      <c r="I601" s="120" t="s">
        <v>251</v>
      </c>
      <c r="J601" s="120" t="s">
        <v>251</v>
      </c>
      <c r="K601" s="120" t="s">
        <v>251</v>
      </c>
      <c r="L601" s="120" t="s">
        <v>251</v>
      </c>
      <c r="M601" s="120" t="s">
        <v>251</v>
      </c>
      <c r="N601" s="120" t="s">
        <v>251</v>
      </c>
      <c r="O601" s="120" t="s">
        <v>251</v>
      </c>
      <c r="P601" s="120" t="s">
        <v>251</v>
      </c>
      <c r="Q601" s="120" t="s">
        <v>251</v>
      </c>
      <c r="R601" s="120"/>
      <c r="S601" s="121"/>
    </row>
    <row r="602" spans="1:19" ht="15">
      <c r="A602" s="105" t="s">
        <v>251</v>
      </c>
      <c r="B602" s="105"/>
      <c r="C602" s="107" t="s">
        <v>442</v>
      </c>
      <c r="D602" s="107" t="s">
        <v>251</v>
      </c>
      <c r="E602" s="120" t="s">
        <v>251</v>
      </c>
      <c r="F602" s="120" t="s">
        <v>251</v>
      </c>
      <c r="G602" s="120" t="s">
        <v>251</v>
      </c>
      <c r="H602" s="120" t="s">
        <v>251</v>
      </c>
      <c r="I602" s="120" t="s">
        <v>251</v>
      </c>
      <c r="J602" s="120" t="s">
        <v>251</v>
      </c>
      <c r="K602" s="120" t="s">
        <v>251</v>
      </c>
      <c r="L602" s="120" t="s">
        <v>251</v>
      </c>
      <c r="M602" s="120" t="s">
        <v>251</v>
      </c>
      <c r="N602" s="120" t="s">
        <v>251</v>
      </c>
      <c r="O602" s="120" t="s">
        <v>251</v>
      </c>
      <c r="P602" s="120" t="s">
        <v>251</v>
      </c>
      <c r="Q602" s="120" t="s">
        <v>251</v>
      </c>
      <c r="R602" s="120"/>
      <c r="S602" s="121"/>
    </row>
    <row r="603" spans="1:19" ht="15">
      <c r="A603" s="105">
        <v>1</v>
      </c>
      <c r="B603" s="105"/>
      <c r="C603" s="107" t="s">
        <v>443</v>
      </c>
      <c r="D603" s="107" t="s">
        <v>444</v>
      </c>
      <c r="E603" s="120">
        <v>205814155.71741748</v>
      </c>
      <c r="F603" s="120" t="s">
        <v>251</v>
      </c>
      <c r="G603" s="120">
        <v>192933488.93405634</v>
      </c>
      <c r="H603" s="120" t="s">
        <v>251</v>
      </c>
      <c r="I603" s="120">
        <v>8834661.893931631</v>
      </c>
      <c r="J603" s="120">
        <v>4046004.889429512</v>
      </c>
      <c r="K603" s="120" t="s">
        <v>251</v>
      </c>
      <c r="L603" s="120" t="s">
        <v>251</v>
      </c>
      <c r="M603" s="120">
        <v>619.28962230871252</v>
      </c>
      <c r="N603" s="120" t="s">
        <v>251</v>
      </c>
      <c r="O603" s="120">
        <v>4045385.5998072033</v>
      </c>
      <c r="P603" s="120">
        <v>2051706.5187087648</v>
      </c>
      <c r="Q603" s="120">
        <v>1993679.0810984385</v>
      </c>
      <c r="R603" s="120"/>
      <c r="S603" s="121"/>
    </row>
    <row r="604" spans="1:19" ht="15">
      <c r="A604" s="105">
        <v>2</v>
      </c>
      <c r="B604" s="105"/>
      <c r="C604" s="107" t="s">
        <v>445</v>
      </c>
      <c r="D604" s="107" t="s">
        <v>312</v>
      </c>
      <c r="E604" s="120">
        <v>386720.99999999988</v>
      </c>
      <c r="F604" s="120" t="s">
        <v>251</v>
      </c>
      <c r="G604" s="120">
        <v>203089.44680136981</v>
      </c>
      <c r="H604" s="120" t="s">
        <v>251</v>
      </c>
      <c r="I604" s="120">
        <v>125956.26579452054</v>
      </c>
      <c r="J604" s="120">
        <v>57675.287404109578</v>
      </c>
      <c r="K604" s="120" t="s">
        <v>251</v>
      </c>
      <c r="L604" s="120" t="s">
        <v>251</v>
      </c>
      <c r="M604" s="120">
        <v>0</v>
      </c>
      <c r="N604" s="120" t="s">
        <v>251</v>
      </c>
      <c r="O604" s="120">
        <v>57675.287404109578</v>
      </c>
      <c r="P604" s="120">
        <v>29251.293904109585</v>
      </c>
      <c r="Q604" s="120">
        <v>28423.993499999993</v>
      </c>
      <c r="R604" s="120"/>
      <c r="S604" s="121"/>
    </row>
    <row r="605" spans="1:19" ht="15">
      <c r="A605" s="105">
        <v>3</v>
      </c>
      <c r="B605" s="105"/>
      <c r="C605" s="107" t="s">
        <v>446</v>
      </c>
      <c r="D605" s="107" t="s">
        <v>314</v>
      </c>
      <c r="E605" s="120">
        <v>690251.00000000047</v>
      </c>
      <c r="F605" s="120" t="s">
        <v>251</v>
      </c>
      <c r="G605" s="120">
        <v>537583.0216122329</v>
      </c>
      <c r="H605" s="120" t="s">
        <v>251</v>
      </c>
      <c r="I605" s="120">
        <v>0</v>
      </c>
      <c r="J605" s="120">
        <v>152667.97838776751</v>
      </c>
      <c r="K605" s="120" t="s">
        <v>251</v>
      </c>
      <c r="L605" s="120" t="s">
        <v>251</v>
      </c>
      <c r="M605" s="120">
        <v>0</v>
      </c>
      <c r="N605" s="120" t="s">
        <v>251</v>
      </c>
      <c r="O605" s="120">
        <v>152667.97838776751</v>
      </c>
      <c r="P605" s="120">
        <v>77428.93198393732</v>
      </c>
      <c r="Q605" s="120">
        <v>75239.046403830187</v>
      </c>
      <c r="R605" s="120"/>
      <c r="S605" s="121"/>
    </row>
    <row r="606" spans="1:19" ht="15">
      <c r="A606" s="105">
        <v>4</v>
      </c>
      <c r="B606" s="105"/>
      <c r="C606" s="107" t="s">
        <v>447</v>
      </c>
      <c r="D606" s="107" t="s">
        <v>251</v>
      </c>
      <c r="E606" s="120">
        <v>206891127.71741748</v>
      </c>
      <c r="F606" s="120" t="s">
        <v>251</v>
      </c>
      <c r="G606" s="120">
        <v>193674161.40246993</v>
      </c>
      <c r="H606" s="120" t="s">
        <v>251</v>
      </c>
      <c r="I606" s="120">
        <v>8960618.1597261522</v>
      </c>
      <c r="J606" s="120">
        <v>4256348.1552213896</v>
      </c>
      <c r="K606" s="120" t="s">
        <v>251</v>
      </c>
      <c r="L606" s="120" t="s">
        <v>251</v>
      </c>
      <c r="M606" s="120">
        <v>619.28962230871252</v>
      </c>
      <c r="N606" s="120" t="s">
        <v>251</v>
      </c>
      <c r="O606" s="120">
        <v>4255728.8655990809</v>
      </c>
      <c r="P606" s="120">
        <v>2158386.7445968119</v>
      </c>
      <c r="Q606" s="120">
        <v>2097342.121002269</v>
      </c>
      <c r="R606" s="120"/>
      <c r="S606" s="121"/>
    </row>
    <row r="607" spans="1:19" ht="15">
      <c r="A607" s="105" t="s">
        <v>251</v>
      </c>
      <c r="B607" s="105"/>
      <c r="C607" s="107" t="s">
        <v>251</v>
      </c>
      <c r="D607" s="107" t="s">
        <v>251</v>
      </c>
      <c r="E607" s="120" t="s">
        <v>251</v>
      </c>
      <c r="F607" s="120" t="s">
        <v>251</v>
      </c>
      <c r="G607" s="120" t="s">
        <v>251</v>
      </c>
      <c r="H607" s="120" t="s">
        <v>251</v>
      </c>
      <c r="I607" s="120" t="s">
        <v>251</v>
      </c>
      <c r="J607" s="120" t="s">
        <v>251</v>
      </c>
      <c r="K607" s="120" t="s">
        <v>251</v>
      </c>
      <c r="L607" s="120" t="s">
        <v>251</v>
      </c>
      <c r="M607" s="120" t="s">
        <v>251</v>
      </c>
      <c r="N607" s="120" t="s">
        <v>251</v>
      </c>
      <c r="O607" s="120" t="s">
        <v>251</v>
      </c>
      <c r="P607" s="120" t="s">
        <v>251</v>
      </c>
      <c r="Q607" s="120" t="s">
        <v>251</v>
      </c>
      <c r="R607" s="120"/>
      <c r="S607" s="121"/>
    </row>
    <row r="608" spans="1:19" ht="15">
      <c r="A608" s="105" t="s">
        <v>251</v>
      </c>
      <c r="B608" s="105"/>
      <c r="C608" s="107" t="s">
        <v>448</v>
      </c>
      <c r="D608" s="107" t="s">
        <v>251</v>
      </c>
      <c r="E608" s="120" t="s">
        <v>251</v>
      </c>
      <c r="F608" s="120" t="s">
        <v>251</v>
      </c>
      <c r="G608" s="120" t="s">
        <v>251</v>
      </c>
      <c r="H608" s="120" t="s">
        <v>251</v>
      </c>
      <c r="I608" s="120" t="s">
        <v>251</v>
      </c>
      <c r="J608" s="120" t="s">
        <v>251</v>
      </c>
      <c r="K608" s="120" t="s">
        <v>251</v>
      </c>
      <c r="L608" s="120" t="s">
        <v>251</v>
      </c>
      <c r="M608" s="120" t="s">
        <v>251</v>
      </c>
      <c r="N608" s="120" t="s">
        <v>251</v>
      </c>
      <c r="O608" s="120" t="s">
        <v>251</v>
      </c>
      <c r="P608" s="120" t="s">
        <v>251</v>
      </c>
      <c r="Q608" s="120" t="s">
        <v>251</v>
      </c>
      <c r="R608" s="120"/>
      <c r="S608" s="121"/>
    </row>
    <row r="609" spans="1:19" ht="15">
      <c r="A609" s="105">
        <v>5</v>
      </c>
      <c r="B609" s="105"/>
      <c r="C609" s="107" t="s">
        <v>443</v>
      </c>
      <c r="D609" s="107" t="s">
        <v>449</v>
      </c>
      <c r="E609" s="120">
        <v>1294004.67</v>
      </c>
      <c r="F609" s="120" t="s">
        <v>251</v>
      </c>
      <c r="G609" s="120">
        <v>1213020.7215816616</v>
      </c>
      <c r="H609" s="120" t="s">
        <v>251</v>
      </c>
      <c r="I609" s="120">
        <v>55545.711658020373</v>
      </c>
      <c r="J609" s="120">
        <v>25438.236760317999</v>
      </c>
      <c r="K609" s="120" t="s">
        <v>251</v>
      </c>
      <c r="L609" s="120" t="s">
        <v>251</v>
      </c>
      <c r="M609" s="120">
        <v>3.8936275328422085</v>
      </c>
      <c r="N609" s="120" t="s">
        <v>251</v>
      </c>
      <c r="O609" s="120">
        <v>25434.343132785158</v>
      </c>
      <c r="P609" s="120">
        <v>12899.588016306236</v>
      </c>
      <c r="Q609" s="120">
        <v>12534.755116478922</v>
      </c>
      <c r="R609" s="120"/>
      <c r="S609" s="121"/>
    </row>
    <row r="610" spans="1:19" ht="15">
      <c r="A610" s="105">
        <v>6</v>
      </c>
      <c r="B610" s="105"/>
      <c r="C610" s="107" t="s">
        <v>445</v>
      </c>
      <c r="D610" s="107" t="s">
        <v>312</v>
      </c>
      <c r="E610" s="120">
        <v>24.999999999999957</v>
      </c>
      <c r="F610" s="120" t="s">
        <v>251</v>
      </c>
      <c r="G610" s="120">
        <v>13.12893835616436</v>
      </c>
      <c r="H610" s="120" t="s">
        <v>251</v>
      </c>
      <c r="I610" s="120">
        <v>8.1425799086757866</v>
      </c>
      <c r="J610" s="120">
        <v>3.7284817351598107</v>
      </c>
      <c r="K610" s="120" t="s">
        <v>251</v>
      </c>
      <c r="L610" s="120" t="s">
        <v>251</v>
      </c>
      <c r="M610" s="120">
        <v>0</v>
      </c>
      <c r="N610" s="120" t="s">
        <v>251</v>
      </c>
      <c r="O610" s="120">
        <v>3.7284817351598107</v>
      </c>
      <c r="P610" s="120">
        <v>1.8909817351598142</v>
      </c>
      <c r="Q610" s="120">
        <v>1.8374999999999968</v>
      </c>
      <c r="R610" s="120"/>
      <c r="S610" s="121"/>
    </row>
    <row r="611" spans="1:19" ht="15">
      <c r="A611" s="105">
        <v>7</v>
      </c>
      <c r="B611" s="105"/>
      <c r="C611" s="107" t="s">
        <v>446</v>
      </c>
      <c r="D611" s="107" t="s">
        <v>314</v>
      </c>
      <c r="E611" s="120">
        <v>3212.9999999999995</v>
      </c>
      <c r="F611" s="120" t="s">
        <v>251</v>
      </c>
      <c r="G611" s="120">
        <v>2502.3567491247431</v>
      </c>
      <c r="H611" s="120" t="s">
        <v>251</v>
      </c>
      <c r="I611" s="120">
        <v>0</v>
      </c>
      <c r="J611" s="120">
        <v>710.6432508752564</v>
      </c>
      <c r="K611" s="120" t="s">
        <v>251</v>
      </c>
      <c r="L611" s="120" t="s">
        <v>251</v>
      </c>
      <c r="M611" s="120">
        <v>0</v>
      </c>
      <c r="N611" s="120" t="s">
        <v>251</v>
      </c>
      <c r="O611" s="120">
        <v>710.6432508752564</v>
      </c>
      <c r="P611" s="120">
        <v>360.41839629988283</v>
      </c>
      <c r="Q611" s="120">
        <v>350.22485457537363</v>
      </c>
      <c r="R611" s="120"/>
      <c r="S611" s="121"/>
    </row>
    <row r="612" spans="1:19" ht="15">
      <c r="A612" s="105">
        <v>8</v>
      </c>
      <c r="B612" s="105"/>
      <c r="C612" s="107" t="s">
        <v>450</v>
      </c>
      <c r="D612" s="107" t="s">
        <v>251</v>
      </c>
      <c r="E612" s="120">
        <v>1297242.67</v>
      </c>
      <c r="F612" s="120" t="s">
        <v>251</v>
      </c>
      <c r="G612" s="120">
        <v>1215536.2072691426</v>
      </c>
      <c r="H612" s="120" t="s">
        <v>251</v>
      </c>
      <c r="I612" s="120">
        <v>55553.854237929052</v>
      </c>
      <c r="J612" s="120">
        <v>26152.608492928415</v>
      </c>
      <c r="K612" s="120" t="s">
        <v>251</v>
      </c>
      <c r="L612" s="120" t="s">
        <v>251</v>
      </c>
      <c r="M612" s="120">
        <v>3.8936275328422085</v>
      </c>
      <c r="N612" s="120" t="s">
        <v>251</v>
      </c>
      <c r="O612" s="120">
        <v>26148.714865395574</v>
      </c>
      <c r="P612" s="120">
        <v>13261.897394341278</v>
      </c>
      <c r="Q612" s="120">
        <v>12886.817471054295</v>
      </c>
      <c r="R612" s="120"/>
      <c r="S612" s="121"/>
    </row>
    <row r="613" spans="1:19" ht="15">
      <c r="A613" s="105" t="s">
        <v>251</v>
      </c>
      <c r="B613" s="105"/>
      <c r="C613" s="107" t="s">
        <v>251</v>
      </c>
      <c r="D613" s="107" t="s">
        <v>251</v>
      </c>
      <c r="E613" s="120" t="s">
        <v>251</v>
      </c>
      <c r="F613" s="120" t="s">
        <v>251</v>
      </c>
      <c r="G613" s="120" t="s">
        <v>251</v>
      </c>
      <c r="H613" s="120" t="s">
        <v>251</v>
      </c>
      <c r="I613" s="120" t="s">
        <v>251</v>
      </c>
      <c r="J613" s="120" t="s">
        <v>251</v>
      </c>
      <c r="K613" s="120" t="s">
        <v>251</v>
      </c>
      <c r="L613" s="120" t="s">
        <v>251</v>
      </c>
      <c r="M613" s="120" t="s">
        <v>251</v>
      </c>
      <c r="N613" s="120" t="s">
        <v>251</v>
      </c>
      <c r="O613" s="120" t="s">
        <v>251</v>
      </c>
      <c r="P613" s="120" t="s">
        <v>251</v>
      </c>
      <c r="Q613" s="120" t="s">
        <v>251</v>
      </c>
      <c r="R613" s="120"/>
      <c r="S613" s="121"/>
    </row>
    <row r="614" spans="1:19" ht="15">
      <c r="A614" s="105" t="s">
        <v>251</v>
      </c>
      <c r="B614" s="105"/>
      <c r="C614" s="107" t="s">
        <v>451</v>
      </c>
      <c r="D614" s="107" t="s">
        <v>251</v>
      </c>
      <c r="E614" s="120" t="s">
        <v>251</v>
      </c>
      <c r="F614" s="120" t="s">
        <v>251</v>
      </c>
      <c r="G614" s="120" t="s">
        <v>251</v>
      </c>
      <c r="H614" s="120" t="s">
        <v>251</v>
      </c>
      <c r="I614" s="120" t="s">
        <v>251</v>
      </c>
      <c r="J614" s="120" t="s">
        <v>251</v>
      </c>
      <c r="K614" s="120" t="s">
        <v>251</v>
      </c>
      <c r="L614" s="120" t="s">
        <v>251</v>
      </c>
      <c r="M614" s="120" t="s">
        <v>251</v>
      </c>
      <c r="N614" s="120" t="s">
        <v>251</v>
      </c>
      <c r="O614" s="120" t="s">
        <v>251</v>
      </c>
      <c r="P614" s="120" t="s">
        <v>251</v>
      </c>
      <c r="Q614" s="120" t="s">
        <v>251</v>
      </c>
      <c r="R614" s="120"/>
      <c r="S614" s="121"/>
    </row>
    <row r="615" spans="1:19" ht="15">
      <c r="A615" s="105">
        <v>9</v>
      </c>
      <c r="B615" s="105"/>
      <c r="C615" s="107" t="s">
        <v>443</v>
      </c>
      <c r="D615" s="107" t="s">
        <v>452</v>
      </c>
      <c r="E615" s="120">
        <v>41706874.129999958</v>
      </c>
      <c r="F615" s="120" t="s">
        <v>251</v>
      </c>
      <c r="G615" s="120">
        <v>39096692.403813414</v>
      </c>
      <c r="H615" s="120" t="s">
        <v>251</v>
      </c>
      <c r="I615" s="120">
        <v>1790285.6599291305</v>
      </c>
      <c r="J615" s="120">
        <v>819896.06625741208</v>
      </c>
      <c r="K615" s="120" t="s">
        <v>251</v>
      </c>
      <c r="L615" s="120" t="s">
        <v>251</v>
      </c>
      <c r="M615" s="120">
        <v>125.49493613601274</v>
      </c>
      <c r="N615" s="120" t="s">
        <v>251</v>
      </c>
      <c r="O615" s="120">
        <v>819770.57132127602</v>
      </c>
      <c r="P615" s="120">
        <v>415764.72341861023</v>
      </c>
      <c r="Q615" s="120">
        <v>404005.84790266585</v>
      </c>
      <c r="R615" s="120"/>
      <c r="S615" s="121"/>
    </row>
    <row r="616" spans="1:19" ht="15">
      <c r="A616" s="105">
        <v>10</v>
      </c>
      <c r="B616" s="105"/>
      <c r="C616" s="107" t="s">
        <v>445</v>
      </c>
      <c r="D616" s="107" t="s">
        <v>312</v>
      </c>
      <c r="E616" s="120">
        <v>93.999999999999943</v>
      </c>
      <c r="F616" s="120" t="s">
        <v>251</v>
      </c>
      <c r="G616" s="120">
        <v>49.364808219178059</v>
      </c>
      <c r="H616" s="120" t="s">
        <v>251</v>
      </c>
      <c r="I616" s="120">
        <v>30.616100456620991</v>
      </c>
      <c r="J616" s="120">
        <v>14.019091324200907</v>
      </c>
      <c r="K616" s="120" t="s">
        <v>251</v>
      </c>
      <c r="L616" s="120" t="s">
        <v>251</v>
      </c>
      <c r="M616" s="120">
        <v>0</v>
      </c>
      <c r="N616" s="120" t="s">
        <v>251</v>
      </c>
      <c r="O616" s="120">
        <v>14.019091324200907</v>
      </c>
      <c r="P616" s="120">
        <v>7.1100913242009103</v>
      </c>
      <c r="Q616" s="120">
        <v>6.9089999999999963</v>
      </c>
      <c r="R616" s="120"/>
      <c r="S616" s="121"/>
    </row>
    <row r="617" spans="1:19" ht="15">
      <c r="A617" s="105">
        <v>11</v>
      </c>
      <c r="B617" s="105"/>
      <c r="C617" s="107" t="s">
        <v>446</v>
      </c>
      <c r="D617" s="107" t="s">
        <v>314</v>
      </c>
      <c r="E617" s="120">
        <v>184266.00000000006</v>
      </c>
      <c r="F617" s="120" t="s">
        <v>251</v>
      </c>
      <c r="G617" s="120">
        <v>143510.51003243701</v>
      </c>
      <c r="H617" s="120" t="s">
        <v>251</v>
      </c>
      <c r="I617" s="120">
        <v>0</v>
      </c>
      <c r="J617" s="120">
        <v>40755.489967563044</v>
      </c>
      <c r="K617" s="120" t="s">
        <v>251</v>
      </c>
      <c r="L617" s="120" t="s">
        <v>251</v>
      </c>
      <c r="M617" s="120">
        <v>0</v>
      </c>
      <c r="N617" s="120" t="s">
        <v>251</v>
      </c>
      <c r="O617" s="120">
        <v>40755.489967563044</v>
      </c>
      <c r="P617" s="120">
        <v>20670.045506565279</v>
      </c>
      <c r="Q617" s="120">
        <v>20085.444460997765</v>
      </c>
      <c r="R617" s="120"/>
      <c r="S617" s="121"/>
    </row>
    <row r="618" spans="1:19" ht="15">
      <c r="A618" s="105">
        <v>12</v>
      </c>
      <c r="B618" s="105"/>
      <c r="C618" s="107" t="s">
        <v>453</v>
      </c>
      <c r="D618" s="107" t="s">
        <v>251</v>
      </c>
      <c r="E618" s="120">
        <v>41891234.129999958</v>
      </c>
      <c r="F618" s="120" t="s">
        <v>251</v>
      </c>
      <c r="G618" s="120">
        <v>39240252.278654069</v>
      </c>
      <c r="H618" s="120" t="s">
        <v>251</v>
      </c>
      <c r="I618" s="120">
        <v>1790316.276029587</v>
      </c>
      <c r="J618" s="120">
        <v>860665.57531629945</v>
      </c>
      <c r="K618" s="120" t="s">
        <v>251</v>
      </c>
      <c r="L618" s="120" t="s">
        <v>251</v>
      </c>
      <c r="M618" s="120">
        <v>125.49493613601274</v>
      </c>
      <c r="N618" s="120" t="s">
        <v>251</v>
      </c>
      <c r="O618" s="120">
        <v>860540.08038016339</v>
      </c>
      <c r="P618" s="120">
        <v>436441.87901649973</v>
      </c>
      <c r="Q618" s="120">
        <v>424098.2013636636</v>
      </c>
      <c r="R618" s="120"/>
      <c r="S618" s="121"/>
    </row>
    <row r="619" spans="1:19" ht="15">
      <c r="A619" s="105" t="s">
        <v>251</v>
      </c>
      <c r="B619" s="105"/>
      <c r="C619" s="107" t="s">
        <v>251</v>
      </c>
      <c r="D619" s="107" t="s">
        <v>251</v>
      </c>
      <c r="E619" s="120" t="s">
        <v>251</v>
      </c>
      <c r="F619" s="120" t="s">
        <v>251</v>
      </c>
      <c r="G619" s="120" t="s">
        <v>251</v>
      </c>
      <c r="H619" s="120" t="s">
        <v>251</v>
      </c>
      <c r="I619" s="120" t="s">
        <v>251</v>
      </c>
      <c r="J619" s="120" t="s">
        <v>251</v>
      </c>
      <c r="K619" s="120" t="s">
        <v>251</v>
      </c>
      <c r="L619" s="120" t="s">
        <v>251</v>
      </c>
      <c r="M619" s="120" t="s">
        <v>251</v>
      </c>
      <c r="N619" s="120" t="s">
        <v>251</v>
      </c>
      <c r="O619" s="120" t="s">
        <v>251</v>
      </c>
      <c r="P619" s="120" t="s">
        <v>251</v>
      </c>
      <c r="Q619" s="120" t="s">
        <v>251</v>
      </c>
      <c r="R619" s="120"/>
      <c r="S619" s="121"/>
    </row>
    <row r="620" spans="1:19" ht="15">
      <c r="A620" s="105">
        <v>13</v>
      </c>
      <c r="B620" s="105"/>
      <c r="C620" s="107" t="s">
        <v>454</v>
      </c>
      <c r="D620" s="107" t="s">
        <v>251</v>
      </c>
      <c r="E620" s="120">
        <v>250079604.51741743</v>
      </c>
      <c r="F620" s="120" t="s">
        <v>251</v>
      </c>
      <c r="G620" s="120">
        <v>234129949.88839313</v>
      </c>
      <c r="H620" s="120" t="s">
        <v>251</v>
      </c>
      <c r="I620" s="120">
        <v>10806488.289993668</v>
      </c>
      <c r="J620" s="120">
        <v>5143166.3390306188</v>
      </c>
      <c r="K620" s="120" t="s">
        <v>251</v>
      </c>
      <c r="L620" s="120" t="s">
        <v>251</v>
      </c>
      <c r="M620" s="120">
        <v>748.67818597756741</v>
      </c>
      <c r="N620" s="120" t="s">
        <v>251</v>
      </c>
      <c r="O620" s="120">
        <v>5142417.6608446408</v>
      </c>
      <c r="P620" s="120">
        <v>2608090.5210076533</v>
      </c>
      <c r="Q620" s="120">
        <v>2534327.139836987</v>
      </c>
      <c r="R620" s="120"/>
      <c r="S620" s="121"/>
    </row>
    <row r="621" spans="1:19" ht="15">
      <c r="A621" s="105" t="s">
        <v>251</v>
      </c>
      <c r="B621" s="105"/>
      <c r="C621" s="107" t="s">
        <v>251</v>
      </c>
      <c r="D621" s="107" t="s">
        <v>251</v>
      </c>
      <c r="E621" s="120" t="s">
        <v>251</v>
      </c>
      <c r="F621" s="120" t="s">
        <v>251</v>
      </c>
      <c r="G621" s="120" t="s">
        <v>251</v>
      </c>
      <c r="H621" s="120" t="s">
        <v>251</v>
      </c>
      <c r="I621" s="120" t="s">
        <v>251</v>
      </c>
      <c r="J621" s="120" t="s">
        <v>251</v>
      </c>
      <c r="K621" s="120" t="s">
        <v>251</v>
      </c>
      <c r="L621" s="120" t="s">
        <v>251</v>
      </c>
      <c r="M621" s="120" t="s">
        <v>251</v>
      </c>
      <c r="N621" s="120" t="s">
        <v>251</v>
      </c>
      <c r="O621" s="120" t="s">
        <v>251</v>
      </c>
      <c r="P621" s="120" t="s">
        <v>251</v>
      </c>
      <c r="Q621" s="120" t="s">
        <v>251</v>
      </c>
      <c r="R621" s="120"/>
      <c r="S621" s="121"/>
    </row>
    <row r="622" spans="1:19" ht="15">
      <c r="A622" s="105" t="s">
        <v>251</v>
      </c>
      <c r="B622" s="105"/>
      <c r="C622" s="107" t="s">
        <v>455</v>
      </c>
      <c r="D622" s="107" t="s">
        <v>251</v>
      </c>
      <c r="E622" s="120" t="s">
        <v>251</v>
      </c>
      <c r="F622" s="120" t="s">
        <v>251</v>
      </c>
      <c r="G622" s="120" t="s">
        <v>251</v>
      </c>
      <c r="H622" s="120" t="s">
        <v>251</v>
      </c>
      <c r="I622" s="120" t="s">
        <v>251</v>
      </c>
      <c r="J622" s="120" t="s">
        <v>251</v>
      </c>
      <c r="K622" s="120" t="s">
        <v>251</v>
      </c>
      <c r="L622" s="120" t="s">
        <v>251</v>
      </c>
      <c r="M622" s="120" t="s">
        <v>251</v>
      </c>
      <c r="N622" s="120" t="s">
        <v>251</v>
      </c>
      <c r="O622" s="120" t="s">
        <v>251</v>
      </c>
      <c r="P622" s="120" t="s">
        <v>251</v>
      </c>
      <c r="Q622" s="120" t="s">
        <v>251</v>
      </c>
      <c r="R622" s="120"/>
      <c r="S622" s="121"/>
    </row>
    <row r="623" spans="1:19" ht="15">
      <c r="A623" s="105">
        <v>14</v>
      </c>
      <c r="B623" s="105"/>
      <c r="C623" s="107" t="s">
        <v>456</v>
      </c>
      <c r="D623" s="107" t="s">
        <v>457</v>
      </c>
      <c r="E623" s="120">
        <v>24956309.519999988</v>
      </c>
      <c r="F623" s="120" t="s">
        <v>251</v>
      </c>
      <c r="G623" s="120">
        <v>23845701.27016706</v>
      </c>
      <c r="H623" s="120" t="s">
        <v>251</v>
      </c>
      <c r="I623" s="120">
        <v>1110531.9019098014</v>
      </c>
      <c r="J623" s="120">
        <v>76.347923126418308</v>
      </c>
      <c r="K623" s="120" t="s">
        <v>251</v>
      </c>
      <c r="L623" s="120" t="s">
        <v>251</v>
      </c>
      <c r="M623" s="120">
        <v>76.347923126418308</v>
      </c>
      <c r="N623" s="120" t="s">
        <v>251</v>
      </c>
      <c r="O623" s="120">
        <v>0</v>
      </c>
      <c r="P623" s="120">
        <v>0</v>
      </c>
      <c r="Q623" s="120">
        <v>0</v>
      </c>
      <c r="R623" s="120"/>
      <c r="S623" s="121"/>
    </row>
    <row r="624" spans="1:19" ht="15">
      <c r="A624" s="105">
        <v>15</v>
      </c>
      <c r="B624" s="105"/>
      <c r="C624" s="107" t="s">
        <v>458</v>
      </c>
      <c r="D624" s="107" t="s">
        <v>459</v>
      </c>
      <c r="E624" s="120">
        <v>1519202.0499999998</v>
      </c>
      <c r="F624" s="120" t="s">
        <v>251</v>
      </c>
      <c r="G624" s="120">
        <v>184097.68760481753</v>
      </c>
      <c r="H624" s="120" t="s">
        <v>251</v>
      </c>
      <c r="I624" s="120">
        <v>1335103.7714672512</v>
      </c>
      <c r="J624" s="120">
        <v>0.59092793093926155</v>
      </c>
      <c r="K624" s="120" t="s">
        <v>251</v>
      </c>
      <c r="L624" s="120" t="s">
        <v>251</v>
      </c>
      <c r="M624" s="120">
        <v>0.59092793093926155</v>
      </c>
      <c r="N624" s="120" t="s">
        <v>251</v>
      </c>
      <c r="O624" s="120">
        <v>0</v>
      </c>
      <c r="P624" s="120">
        <v>0</v>
      </c>
      <c r="Q624" s="120">
        <v>0</v>
      </c>
      <c r="R624" s="120"/>
      <c r="S624" s="121"/>
    </row>
    <row r="625" spans="1:19" ht="15">
      <c r="A625" s="105">
        <v>17</v>
      </c>
      <c r="B625" s="105"/>
      <c r="C625" s="107" t="s">
        <v>460</v>
      </c>
      <c r="D625" s="107" t="s">
        <v>312</v>
      </c>
      <c r="E625" s="120">
        <v>63243.999999999942</v>
      </c>
      <c r="F625" s="120" t="s">
        <v>251</v>
      </c>
      <c r="G625" s="120">
        <v>33213.063095890378</v>
      </c>
      <c r="H625" s="120" t="s">
        <v>251</v>
      </c>
      <c r="I625" s="120">
        <v>20598.772949771672</v>
      </c>
      <c r="J625" s="120">
        <v>9432.1639543378915</v>
      </c>
      <c r="K625" s="120" t="s">
        <v>251</v>
      </c>
      <c r="L625" s="120" t="s">
        <v>251</v>
      </c>
      <c r="M625" s="120">
        <v>0</v>
      </c>
      <c r="N625" s="120" t="s">
        <v>251</v>
      </c>
      <c r="O625" s="120">
        <v>9432.1639543378915</v>
      </c>
      <c r="P625" s="120">
        <v>4783.7299543378949</v>
      </c>
      <c r="Q625" s="120">
        <v>4648.4339999999956</v>
      </c>
      <c r="R625" s="120"/>
      <c r="S625" s="121"/>
    </row>
    <row r="626" spans="1:19" ht="15">
      <c r="A626" s="105">
        <v>18</v>
      </c>
      <c r="B626" s="105"/>
      <c r="C626" s="107" t="s">
        <v>461</v>
      </c>
      <c r="D626" s="107" t="s">
        <v>314</v>
      </c>
      <c r="E626" s="120">
        <v>32052</v>
      </c>
      <c r="F626" s="120" t="s">
        <v>251</v>
      </c>
      <c r="G626" s="120">
        <v>24962.819334872791</v>
      </c>
      <c r="H626" s="120" t="s">
        <v>251</v>
      </c>
      <c r="I626" s="120">
        <v>0</v>
      </c>
      <c r="J626" s="120">
        <v>7089.1806651272091</v>
      </c>
      <c r="K626" s="120" t="s">
        <v>251</v>
      </c>
      <c r="L626" s="120" t="s">
        <v>251</v>
      </c>
      <c r="M626" s="120">
        <v>0</v>
      </c>
      <c r="N626" s="120" t="s">
        <v>251</v>
      </c>
      <c r="O626" s="120">
        <v>7089.1806651272091</v>
      </c>
      <c r="P626" s="120">
        <v>3595.4343100541068</v>
      </c>
      <c r="Q626" s="120">
        <v>3493.7463550731018</v>
      </c>
      <c r="R626" s="120"/>
      <c r="S626" s="121"/>
    </row>
    <row r="627" spans="1:19" ht="15">
      <c r="A627" s="105">
        <v>19</v>
      </c>
      <c r="B627" s="105"/>
      <c r="C627" s="107" t="s">
        <v>462</v>
      </c>
      <c r="D627" s="107" t="s">
        <v>251</v>
      </c>
      <c r="E627" s="120">
        <v>26570807.569999989</v>
      </c>
      <c r="F627" s="120" t="s">
        <v>251</v>
      </c>
      <c r="G627" s="120">
        <v>24087974.840202641</v>
      </c>
      <c r="H627" s="120" t="s">
        <v>251</v>
      </c>
      <c r="I627" s="120">
        <v>2466234.4463268244</v>
      </c>
      <c r="J627" s="120">
        <v>16598.28347052246</v>
      </c>
      <c r="K627" s="120" t="s">
        <v>251</v>
      </c>
      <c r="L627" s="120" t="s">
        <v>251</v>
      </c>
      <c r="M627" s="120">
        <v>76.938851057357567</v>
      </c>
      <c r="N627" s="120" t="s">
        <v>251</v>
      </c>
      <c r="O627" s="120">
        <v>16521.344619465101</v>
      </c>
      <c r="P627" s="120">
        <v>8379.1642643920022</v>
      </c>
      <c r="Q627" s="120">
        <v>8142.1803550730974</v>
      </c>
      <c r="R627" s="120"/>
      <c r="S627" s="121"/>
    </row>
    <row r="628" spans="1:19" ht="15">
      <c r="A628" s="105" t="s">
        <v>251</v>
      </c>
      <c r="B628" s="105"/>
      <c r="C628" s="107" t="s">
        <v>251</v>
      </c>
      <c r="D628" s="107" t="s">
        <v>251</v>
      </c>
      <c r="E628" s="120" t="s">
        <v>251</v>
      </c>
      <c r="F628" s="120" t="s">
        <v>251</v>
      </c>
      <c r="G628" s="120" t="s">
        <v>251</v>
      </c>
      <c r="H628" s="120" t="s">
        <v>251</v>
      </c>
      <c r="I628" s="120" t="s">
        <v>251</v>
      </c>
      <c r="J628" s="120" t="s">
        <v>251</v>
      </c>
      <c r="K628" s="120" t="s">
        <v>251</v>
      </c>
      <c r="L628" s="120" t="s">
        <v>251</v>
      </c>
      <c r="M628" s="120" t="s">
        <v>251</v>
      </c>
      <c r="N628" s="120" t="s">
        <v>251</v>
      </c>
      <c r="O628" s="120" t="s">
        <v>251</v>
      </c>
      <c r="P628" s="120" t="s">
        <v>251</v>
      </c>
      <c r="Q628" s="120" t="s">
        <v>251</v>
      </c>
      <c r="R628" s="120"/>
      <c r="S628" s="121"/>
    </row>
    <row r="629" spans="1:19" ht="15">
      <c r="A629" s="105" t="s">
        <v>251</v>
      </c>
      <c r="B629" s="105"/>
      <c r="C629" s="107" t="s">
        <v>745</v>
      </c>
      <c r="D629" s="107" t="s">
        <v>251</v>
      </c>
      <c r="E629" s="120" t="s">
        <v>251</v>
      </c>
      <c r="F629" s="120" t="s">
        <v>251</v>
      </c>
      <c r="G629" s="120" t="s">
        <v>251</v>
      </c>
      <c r="H629" s="120" t="s">
        <v>251</v>
      </c>
      <c r="I629" s="120" t="s">
        <v>251</v>
      </c>
      <c r="J629" s="120" t="s">
        <v>251</v>
      </c>
      <c r="K629" s="120" t="s">
        <v>251</v>
      </c>
      <c r="L629" s="120" t="s">
        <v>251</v>
      </c>
      <c r="M629" s="120" t="s">
        <v>251</v>
      </c>
      <c r="N629" s="120" t="s">
        <v>251</v>
      </c>
      <c r="O629" s="120" t="s">
        <v>251</v>
      </c>
      <c r="P629" s="120" t="s">
        <v>251</v>
      </c>
      <c r="Q629" s="120" t="s">
        <v>251</v>
      </c>
      <c r="R629" s="120"/>
      <c r="S629" s="121"/>
    </row>
    <row r="630" spans="1:19" ht="15">
      <c r="A630" s="105">
        <v>20</v>
      </c>
      <c r="B630" s="105"/>
      <c r="C630" s="107" t="s">
        <v>746</v>
      </c>
      <c r="D630" s="107" t="s">
        <v>747</v>
      </c>
      <c r="E630" s="120">
        <v>47427099.882024184</v>
      </c>
      <c r="F630" s="120" t="s">
        <v>251</v>
      </c>
      <c r="G630" s="120">
        <v>47336937.902543128</v>
      </c>
      <c r="H630" s="120" t="s">
        <v>251</v>
      </c>
      <c r="I630" s="120">
        <v>0</v>
      </c>
      <c r="J630" s="120">
        <v>90161.979481059519</v>
      </c>
      <c r="K630" s="120" t="s">
        <v>251</v>
      </c>
      <c r="L630" s="120" t="s">
        <v>251</v>
      </c>
      <c r="M630" s="120">
        <v>0</v>
      </c>
      <c r="N630" s="120" t="s">
        <v>251</v>
      </c>
      <c r="O630" s="120">
        <v>90161.979481059519</v>
      </c>
      <c r="P630" s="120">
        <v>89501.391241890364</v>
      </c>
      <c r="Q630" s="120">
        <v>660.58823916916151</v>
      </c>
      <c r="R630" s="120"/>
      <c r="S630" s="121"/>
    </row>
    <row r="631" spans="1:19" ht="15">
      <c r="A631" s="105">
        <v>21</v>
      </c>
      <c r="B631" s="105"/>
      <c r="C631" s="107" t="s">
        <v>748</v>
      </c>
      <c r="D631" s="107" t="s">
        <v>749</v>
      </c>
      <c r="E631" s="120">
        <v>2474359.5399999996</v>
      </c>
      <c r="F631" s="120" t="s">
        <v>251</v>
      </c>
      <c r="G631" s="120">
        <v>0</v>
      </c>
      <c r="H631" s="120" t="s">
        <v>251</v>
      </c>
      <c r="I631" s="120">
        <v>2474359.5399999996</v>
      </c>
      <c r="J631" s="120">
        <v>0</v>
      </c>
      <c r="K631" s="120" t="s">
        <v>251</v>
      </c>
      <c r="L631" s="120" t="s">
        <v>251</v>
      </c>
      <c r="M631" s="120">
        <v>0</v>
      </c>
      <c r="N631" s="120" t="s">
        <v>251</v>
      </c>
      <c r="O631" s="120">
        <v>0</v>
      </c>
      <c r="P631" s="120">
        <v>0</v>
      </c>
      <c r="Q631" s="120">
        <v>0</v>
      </c>
      <c r="R631" s="120"/>
      <c r="S631" s="121"/>
    </row>
    <row r="632" spans="1:19" ht="15">
      <c r="A632" s="105">
        <v>22</v>
      </c>
      <c r="B632" s="105"/>
      <c r="C632" s="107" t="s">
        <v>750</v>
      </c>
      <c r="D632" s="107" t="s">
        <v>751</v>
      </c>
      <c r="E632" s="120">
        <v>4271.7599999999984</v>
      </c>
      <c r="F632" s="120" t="s">
        <v>251</v>
      </c>
      <c r="G632" s="120">
        <v>0</v>
      </c>
      <c r="H632" s="120" t="s">
        <v>251</v>
      </c>
      <c r="I632" s="120">
        <v>0</v>
      </c>
      <c r="J632" s="120">
        <v>4271.7599999999984</v>
      </c>
      <c r="K632" s="120" t="s">
        <v>251</v>
      </c>
      <c r="L632" s="120" t="s">
        <v>251</v>
      </c>
      <c r="M632" s="120">
        <v>4271.7599999999984</v>
      </c>
      <c r="N632" s="120" t="s">
        <v>251</v>
      </c>
      <c r="O632" s="120">
        <v>0</v>
      </c>
      <c r="P632" s="120">
        <v>0</v>
      </c>
      <c r="Q632" s="120">
        <v>0</v>
      </c>
      <c r="R632" s="120"/>
      <c r="S632" s="121"/>
    </row>
    <row r="633" spans="1:19" ht="15">
      <c r="A633" s="105">
        <v>23</v>
      </c>
      <c r="B633" s="105"/>
      <c r="C633" s="107" t="s">
        <v>467</v>
      </c>
      <c r="D633" s="107" t="s">
        <v>251</v>
      </c>
      <c r="E633" s="120">
        <v>49905731.182024188</v>
      </c>
      <c r="F633" s="120" t="s">
        <v>251</v>
      </c>
      <c r="G633" s="120">
        <v>47336937.902543128</v>
      </c>
      <c r="H633" s="120" t="s">
        <v>251</v>
      </c>
      <c r="I633" s="120">
        <v>2474359.5399999996</v>
      </c>
      <c r="J633" s="120">
        <v>94433.739481059514</v>
      </c>
      <c r="K633" s="120" t="s">
        <v>251</v>
      </c>
      <c r="L633" s="120" t="s">
        <v>251</v>
      </c>
      <c r="M633" s="120">
        <v>4271.7599999999984</v>
      </c>
      <c r="N633" s="120" t="s">
        <v>251</v>
      </c>
      <c r="O633" s="120">
        <v>90161.979481059519</v>
      </c>
      <c r="P633" s="120">
        <v>89501.391241890364</v>
      </c>
      <c r="Q633" s="120">
        <v>660.58823916916151</v>
      </c>
      <c r="R633" s="120"/>
      <c r="S633" s="121"/>
    </row>
    <row r="634" spans="1:19" ht="15">
      <c r="A634" s="105" t="s">
        <v>251</v>
      </c>
      <c r="B634" s="105"/>
      <c r="C634" s="107" t="s">
        <v>251</v>
      </c>
      <c r="D634" s="107" t="s">
        <v>251</v>
      </c>
      <c r="E634" s="120" t="s">
        <v>251</v>
      </c>
      <c r="F634" s="120" t="s">
        <v>251</v>
      </c>
      <c r="G634" s="120" t="s">
        <v>251</v>
      </c>
      <c r="H634" s="120" t="s">
        <v>251</v>
      </c>
      <c r="I634" s="120" t="s">
        <v>251</v>
      </c>
      <c r="J634" s="120" t="s">
        <v>251</v>
      </c>
      <c r="K634" s="120" t="s">
        <v>251</v>
      </c>
      <c r="L634" s="120" t="s">
        <v>251</v>
      </c>
      <c r="M634" s="120" t="s">
        <v>251</v>
      </c>
      <c r="N634" s="120" t="s">
        <v>251</v>
      </c>
      <c r="O634" s="120" t="s">
        <v>251</v>
      </c>
      <c r="P634" s="120" t="s">
        <v>251</v>
      </c>
      <c r="Q634" s="120" t="s">
        <v>251</v>
      </c>
      <c r="R634" s="120"/>
      <c r="S634" s="121"/>
    </row>
    <row r="635" spans="1:19" ht="15">
      <c r="A635" s="105">
        <v>24</v>
      </c>
      <c r="B635" s="105"/>
      <c r="C635" s="107" t="s">
        <v>417</v>
      </c>
      <c r="D635" s="107" t="s">
        <v>468</v>
      </c>
      <c r="E635" s="120">
        <v>13181731.269023994</v>
      </c>
      <c r="F635" s="120" t="s">
        <v>251</v>
      </c>
      <c r="G635" s="120">
        <v>12427164.217844279</v>
      </c>
      <c r="H635" s="120" t="s">
        <v>251</v>
      </c>
      <c r="I635" s="120">
        <v>602233.11271986098</v>
      </c>
      <c r="J635" s="120">
        <v>152333.93845985187</v>
      </c>
      <c r="K635" s="120" t="s">
        <v>251</v>
      </c>
      <c r="L635" s="120" t="s">
        <v>251</v>
      </c>
      <c r="M635" s="120">
        <v>857.05325847703023</v>
      </c>
      <c r="N635" s="120" t="s">
        <v>251</v>
      </c>
      <c r="O635" s="120">
        <v>151476.88520137483</v>
      </c>
      <c r="P635" s="120">
        <v>78961.827068112209</v>
      </c>
      <c r="Q635" s="120">
        <v>72515.058133262617</v>
      </c>
      <c r="R635" s="120"/>
      <c r="S635" s="121"/>
    </row>
    <row r="636" spans="1:19" ht="15">
      <c r="A636" s="105" t="s">
        <v>251</v>
      </c>
      <c r="B636" s="105"/>
      <c r="C636" s="107" t="s">
        <v>251</v>
      </c>
      <c r="D636" s="107" t="s">
        <v>251</v>
      </c>
      <c r="E636" s="120" t="s">
        <v>251</v>
      </c>
      <c r="F636" s="120" t="s">
        <v>251</v>
      </c>
      <c r="G636" s="120" t="s">
        <v>251</v>
      </c>
      <c r="H636" s="120" t="s">
        <v>251</v>
      </c>
      <c r="I636" s="120" t="s">
        <v>251</v>
      </c>
      <c r="J636" s="120" t="s">
        <v>251</v>
      </c>
      <c r="K636" s="120" t="s">
        <v>251</v>
      </c>
      <c r="L636" s="120" t="s">
        <v>251</v>
      </c>
      <c r="M636" s="120" t="s">
        <v>251</v>
      </c>
      <c r="N636" s="120" t="s">
        <v>251</v>
      </c>
      <c r="O636" s="120" t="s">
        <v>251</v>
      </c>
      <c r="P636" s="120" t="s">
        <v>251</v>
      </c>
      <c r="Q636" s="120" t="s">
        <v>251</v>
      </c>
      <c r="R636" s="120"/>
      <c r="S636" s="121"/>
    </row>
    <row r="637" spans="1:19" ht="15">
      <c r="A637" s="105">
        <v>25</v>
      </c>
      <c r="B637" s="105"/>
      <c r="C637" s="107" t="s">
        <v>471</v>
      </c>
      <c r="D637" s="107" t="s">
        <v>472</v>
      </c>
      <c r="E637" s="120">
        <v>18282927.02999999</v>
      </c>
      <c r="F637" s="120" t="s">
        <v>251</v>
      </c>
      <c r="G637" s="120">
        <v>17094060.072079208</v>
      </c>
      <c r="H637" s="120" t="s">
        <v>251</v>
      </c>
      <c r="I637" s="120">
        <v>922851.96396520641</v>
      </c>
      <c r="J637" s="120">
        <v>266014.99395557446</v>
      </c>
      <c r="K637" s="120" t="s">
        <v>251</v>
      </c>
      <c r="L637" s="120" t="s">
        <v>251</v>
      </c>
      <c r="M637" s="120">
        <v>1256.4646258884156</v>
      </c>
      <c r="N637" s="120" t="s">
        <v>251</v>
      </c>
      <c r="O637" s="120">
        <v>264758.52932968608</v>
      </c>
      <c r="P637" s="120">
        <v>137610.33595539429</v>
      </c>
      <c r="Q637" s="120">
        <v>127148.19337429178</v>
      </c>
      <c r="R637" s="120"/>
      <c r="S637" s="121"/>
    </row>
    <row r="638" spans="1:19" ht="15">
      <c r="A638" s="105" t="s">
        <v>251</v>
      </c>
      <c r="B638" s="105"/>
      <c r="C638" s="107" t="s">
        <v>251</v>
      </c>
      <c r="D638" s="107" t="s">
        <v>251</v>
      </c>
      <c r="E638" s="120" t="s">
        <v>251</v>
      </c>
      <c r="F638" s="120" t="s">
        <v>251</v>
      </c>
      <c r="G638" s="120" t="s">
        <v>251</v>
      </c>
      <c r="H638" s="120" t="s">
        <v>251</v>
      </c>
      <c r="I638" s="120" t="s">
        <v>251</v>
      </c>
      <c r="J638" s="120" t="s">
        <v>251</v>
      </c>
      <c r="K638" s="120" t="s">
        <v>251</v>
      </c>
      <c r="L638" s="120" t="s">
        <v>251</v>
      </c>
      <c r="M638" s="120" t="s">
        <v>251</v>
      </c>
      <c r="N638" s="120" t="s">
        <v>251</v>
      </c>
      <c r="O638" s="120" t="s">
        <v>251</v>
      </c>
      <c r="P638" s="120" t="s">
        <v>251</v>
      </c>
      <c r="Q638" s="120" t="s">
        <v>251</v>
      </c>
      <c r="R638" s="120"/>
      <c r="S638" s="121"/>
    </row>
    <row r="639" spans="1:19" ht="15">
      <c r="A639" s="105">
        <v>26</v>
      </c>
      <c r="B639" s="105"/>
      <c r="C639" s="107" t="s">
        <v>469</v>
      </c>
      <c r="D639" s="107" t="s">
        <v>470</v>
      </c>
      <c r="E639" s="120">
        <v>2029.7999999999993</v>
      </c>
      <c r="F639" s="120" t="s">
        <v>251</v>
      </c>
      <c r="G639" s="120">
        <v>2029.7999999999993</v>
      </c>
      <c r="H639" s="120" t="s">
        <v>251</v>
      </c>
      <c r="I639" s="120">
        <v>0</v>
      </c>
      <c r="J639" s="120">
        <v>0</v>
      </c>
      <c r="K639" s="120" t="s">
        <v>251</v>
      </c>
      <c r="L639" s="120" t="s">
        <v>251</v>
      </c>
      <c r="M639" s="120">
        <v>0</v>
      </c>
      <c r="N639" s="120" t="s">
        <v>251</v>
      </c>
      <c r="O639" s="120">
        <v>0</v>
      </c>
      <c r="P639" s="120">
        <v>0</v>
      </c>
      <c r="Q639" s="120">
        <v>0</v>
      </c>
      <c r="R639" s="120"/>
      <c r="S639" s="121"/>
    </row>
    <row r="640" spans="1:19" ht="15">
      <c r="A640" s="105" t="s">
        <v>251</v>
      </c>
      <c r="B640" s="105"/>
      <c r="C640" s="107" t="s">
        <v>251</v>
      </c>
      <c r="D640" s="107" t="s">
        <v>251</v>
      </c>
      <c r="E640" s="120" t="s">
        <v>251</v>
      </c>
      <c r="F640" s="120" t="s">
        <v>251</v>
      </c>
      <c r="G640" s="120" t="s">
        <v>251</v>
      </c>
      <c r="H640" s="120" t="s">
        <v>251</v>
      </c>
      <c r="I640" s="120" t="s">
        <v>251</v>
      </c>
      <c r="J640" s="120" t="s">
        <v>251</v>
      </c>
      <c r="K640" s="120" t="s">
        <v>251</v>
      </c>
      <c r="L640" s="120" t="s">
        <v>251</v>
      </c>
      <c r="M640" s="120" t="s">
        <v>251</v>
      </c>
      <c r="N640" s="120" t="s">
        <v>251</v>
      </c>
      <c r="O640" s="120" t="s">
        <v>251</v>
      </c>
      <c r="P640" s="120" t="s">
        <v>251</v>
      </c>
      <c r="Q640" s="120" t="s">
        <v>251</v>
      </c>
      <c r="R640" s="120"/>
      <c r="S640" s="121"/>
    </row>
    <row r="641" spans="1:19" ht="15">
      <c r="A641" s="105">
        <v>27</v>
      </c>
      <c r="B641" s="105"/>
      <c r="C641" s="107" t="s">
        <v>752</v>
      </c>
      <c r="D641" s="107" t="s">
        <v>251</v>
      </c>
      <c r="E641" s="120">
        <v>358022831.3684656</v>
      </c>
      <c r="F641" s="120" t="s">
        <v>251</v>
      </c>
      <c r="G641" s="120">
        <v>335078116.72106242</v>
      </c>
      <c r="H641" s="120" t="s">
        <v>251</v>
      </c>
      <c r="I641" s="120">
        <v>17272167.353005558</v>
      </c>
      <c r="J641" s="120">
        <v>5672547.294397627</v>
      </c>
      <c r="K641" s="120" t="s">
        <v>251</v>
      </c>
      <c r="L641" s="120" t="s">
        <v>251</v>
      </c>
      <c r="M641" s="120">
        <v>7210.8949214003687</v>
      </c>
      <c r="N641" s="120" t="s">
        <v>251</v>
      </c>
      <c r="O641" s="120">
        <v>5665336.3994762264</v>
      </c>
      <c r="P641" s="120">
        <v>2922543.2395374426</v>
      </c>
      <c r="Q641" s="120">
        <v>2742793.1599387839</v>
      </c>
      <c r="R641" s="120"/>
      <c r="S641" s="121"/>
    </row>
    <row r="642" spans="1:19" ht="15">
      <c r="A642" s="105" t="s">
        <v>251</v>
      </c>
      <c r="B642" s="105"/>
      <c r="C642" s="107" t="s">
        <v>251</v>
      </c>
      <c r="D642" s="107" t="s">
        <v>251</v>
      </c>
      <c r="E642" s="120" t="s">
        <v>251</v>
      </c>
      <c r="F642" s="120" t="s">
        <v>251</v>
      </c>
      <c r="G642" s="120" t="s">
        <v>251</v>
      </c>
      <c r="H642" s="120" t="s">
        <v>251</v>
      </c>
      <c r="I642" s="120" t="s">
        <v>251</v>
      </c>
      <c r="J642" s="120" t="s">
        <v>251</v>
      </c>
      <c r="K642" s="120" t="s">
        <v>251</v>
      </c>
      <c r="L642" s="120" t="s">
        <v>251</v>
      </c>
      <c r="M642" s="120" t="s">
        <v>251</v>
      </c>
      <c r="N642" s="120" t="s">
        <v>251</v>
      </c>
      <c r="O642" s="120" t="s">
        <v>251</v>
      </c>
      <c r="P642" s="120" t="s">
        <v>251</v>
      </c>
      <c r="Q642" s="120" t="s">
        <v>251</v>
      </c>
      <c r="R642" s="120"/>
      <c r="S642" s="121"/>
    </row>
    <row r="643" spans="1:19" ht="15">
      <c r="A643" s="105" t="s">
        <v>251</v>
      </c>
      <c r="B643" s="105"/>
      <c r="C643" s="107" t="s">
        <v>251</v>
      </c>
      <c r="D643" s="107" t="s">
        <v>251</v>
      </c>
      <c r="E643" s="120" t="s">
        <v>251</v>
      </c>
      <c r="F643" s="120" t="s">
        <v>251</v>
      </c>
      <c r="G643" s="120" t="s">
        <v>251</v>
      </c>
      <c r="H643" s="120" t="s">
        <v>251</v>
      </c>
      <c r="I643" s="120" t="s">
        <v>251</v>
      </c>
      <c r="J643" s="120" t="s">
        <v>251</v>
      </c>
      <c r="K643" s="120" t="s">
        <v>251</v>
      </c>
      <c r="L643" s="120" t="s">
        <v>251</v>
      </c>
      <c r="M643" s="120" t="s">
        <v>251</v>
      </c>
      <c r="N643" s="120" t="s">
        <v>251</v>
      </c>
      <c r="O643" s="120" t="s">
        <v>251</v>
      </c>
      <c r="P643" s="120" t="s">
        <v>251</v>
      </c>
      <c r="Q643" s="120" t="s">
        <v>251</v>
      </c>
      <c r="R643" s="120"/>
      <c r="S643" s="121"/>
    </row>
    <row r="644" spans="1:19" ht="15">
      <c r="A644" s="105" t="s">
        <v>251</v>
      </c>
      <c r="B644" s="105"/>
      <c r="C644" s="107" t="s">
        <v>2248</v>
      </c>
      <c r="D644" s="107" t="s">
        <v>251</v>
      </c>
      <c r="E644" s="120" t="s">
        <v>251</v>
      </c>
      <c r="F644" s="120" t="s">
        <v>251</v>
      </c>
      <c r="G644" s="120" t="s">
        <v>251</v>
      </c>
      <c r="H644" s="120" t="s">
        <v>251</v>
      </c>
      <c r="I644" s="120" t="s">
        <v>251</v>
      </c>
      <c r="J644" s="120" t="s">
        <v>251</v>
      </c>
      <c r="K644" s="120" t="s">
        <v>251</v>
      </c>
      <c r="L644" s="120" t="s">
        <v>251</v>
      </c>
      <c r="M644" s="120" t="s">
        <v>251</v>
      </c>
      <c r="N644" s="120" t="s">
        <v>251</v>
      </c>
      <c r="O644" s="120" t="s">
        <v>251</v>
      </c>
      <c r="P644" s="120" t="s">
        <v>251</v>
      </c>
      <c r="Q644" s="120" t="s">
        <v>251</v>
      </c>
      <c r="R644" s="120"/>
      <c r="S644" s="121"/>
    </row>
    <row r="645" spans="1:19" ht="15">
      <c r="A645" s="105" t="s">
        <v>251</v>
      </c>
      <c r="B645" s="105"/>
      <c r="C645" s="107" t="s">
        <v>251</v>
      </c>
      <c r="D645" s="107" t="s">
        <v>251</v>
      </c>
      <c r="E645" s="120" t="s">
        <v>251</v>
      </c>
      <c r="F645" s="120" t="s">
        <v>251</v>
      </c>
      <c r="G645" s="120" t="s">
        <v>251</v>
      </c>
      <c r="H645" s="120" t="s">
        <v>251</v>
      </c>
      <c r="I645" s="120" t="s">
        <v>251</v>
      </c>
      <c r="J645" s="120" t="s">
        <v>251</v>
      </c>
      <c r="K645" s="120" t="s">
        <v>251</v>
      </c>
      <c r="L645" s="120" t="s">
        <v>251</v>
      </c>
      <c r="M645" s="120" t="s">
        <v>251</v>
      </c>
      <c r="N645" s="120" t="s">
        <v>251</v>
      </c>
      <c r="O645" s="120" t="s">
        <v>251</v>
      </c>
      <c r="P645" s="120" t="s">
        <v>251</v>
      </c>
      <c r="Q645" s="120" t="s">
        <v>251</v>
      </c>
      <c r="R645" s="120"/>
      <c r="S645" s="121"/>
    </row>
    <row r="646" spans="1:19" ht="15">
      <c r="A646" s="105" t="s">
        <v>251</v>
      </c>
      <c r="B646" s="105"/>
      <c r="C646" s="107" t="s">
        <v>2249</v>
      </c>
      <c r="D646" s="107" t="s">
        <v>251</v>
      </c>
      <c r="E646" s="120" t="s">
        <v>251</v>
      </c>
      <c r="F646" s="120" t="s">
        <v>251</v>
      </c>
      <c r="G646" s="120" t="s">
        <v>251</v>
      </c>
      <c r="H646" s="120" t="s">
        <v>251</v>
      </c>
      <c r="I646" s="120" t="s">
        <v>251</v>
      </c>
      <c r="J646" s="120" t="s">
        <v>251</v>
      </c>
      <c r="K646" s="120" t="s">
        <v>251</v>
      </c>
      <c r="L646" s="120" t="s">
        <v>251</v>
      </c>
      <c r="M646" s="120" t="s">
        <v>251</v>
      </c>
      <c r="N646" s="120" t="s">
        <v>251</v>
      </c>
      <c r="O646" s="120" t="s">
        <v>251</v>
      </c>
      <c r="P646" s="120" t="s">
        <v>251</v>
      </c>
      <c r="Q646" s="120" t="s">
        <v>251</v>
      </c>
      <c r="R646" s="120"/>
      <c r="S646" s="121"/>
    </row>
    <row r="647" spans="1:19" ht="15">
      <c r="A647" s="105" t="s">
        <v>251</v>
      </c>
      <c r="B647" s="105"/>
      <c r="C647" s="107" t="s">
        <v>251</v>
      </c>
      <c r="D647" s="107" t="s">
        <v>251</v>
      </c>
      <c r="E647" s="120" t="s">
        <v>251</v>
      </c>
      <c r="F647" s="120" t="s">
        <v>251</v>
      </c>
      <c r="G647" s="120" t="s">
        <v>251</v>
      </c>
      <c r="H647" s="120" t="s">
        <v>251</v>
      </c>
      <c r="I647" s="120" t="s">
        <v>251</v>
      </c>
      <c r="J647" s="120" t="s">
        <v>251</v>
      </c>
      <c r="K647" s="120" t="s">
        <v>251</v>
      </c>
      <c r="L647" s="120" t="s">
        <v>251</v>
      </c>
      <c r="M647" s="120" t="s">
        <v>251</v>
      </c>
      <c r="N647" s="120" t="s">
        <v>251</v>
      </c>
      <c r="O647" s="120" t="s">
        <v>251</v>
      </c>
      <c r="P647" s="120" t="s">
        <v>251</v>
      </c>
      <c r="Q647" s="120" t="s">
        <v>251</v>
      </c>
      <c r="R647" s="120"/>
      <c r="S647" s="121"/>
    </row>
    <row r="648" spans="1:19" ht="15">
      <c r="A648" s="105" t="s">
        <v>251</v>
      </c>
      <c r="B648" s="105"/>
      <c r="C648" s="107" t="s">
        <v>441</v>
      </c>
      <c r="D648" s="107" t="s">
        <v>251</v>
      </c>
      <c r="E648" s="120" t="s">
        <v>251</v>
      </c>
      <c r="F648" s="120" t="s">
        <v>251</v>
      </c>
      <c r="G648" s="120" t="s">
        <v>251</v>
      </c>
      <c r="H648" s="120" t="s">
        <v>251</v>
      </c>
      <c r="I648" s="120" t="s">
        <v>251</v>
      </c>
      <c r="J648" s="120" t="s">
        <v>251</v>
      </c>
      <c r="K648" s="120" t="s">
        <v>251</v>
      </c>
      <c r="L648" s="120" t="s">
        <v>251</v>
      </c>
      <c r="M648" s="120" t="s">
        <v>251</v>
      </c>
      <c r="N648" s="120" t="s">
        <v>251</v>
      </c>
      <c r="O648" s="120" t="s">
        <v>251</v>
      </c>
      <c r="P648" s="120" t="s">
        <v>251</v>
      </c>
      <c r="Q648" s="120" t="s">
        <v>251</v>
      </c>
      <c r="R648" s="120"/>
      <c r="S648" s="121"/>
    </row>
    <row r="649" spans="1:19" ht="15">
      <c r="A649" s="105">
        <v>1</v>
      </c>
      <c r="B649" s="105"/>
      <c r="C649" s="107" t="s">
        <v>442</v>
      </c>
      <c r="D649" s="107" t="s">
        <v>733</v>
      </c>
      <c r="E649" s="120">
        <v>9627422.6450364999</v>
      </c>
      <c r="F649" s="120" t="s">
        <v>251</v>
      </c>
      <c r="G649" s="120">
        <v>8494110.8450364992</v>
      </c>
      <c r="H649" s="120" t="s">
        <v>251</v>
      </c>
      <c r="I649" s="120">
        <v>1133311.8</v>
      </c>
      <c r="J649" s="120">
        <v>0</v>
      </c>
      <c r="K649" s="120" t="s">
        <v>251</v>
      </c>
      <c r="L649" s="120" t="s">
        <v>251</v>
      </c>
      <c r="M649" s="120">
        <v>0</v>
      </c>
      <c r="N649" s="120" t="s">
        <v>251</v>
      </c>
      <c r="O649" s="120">
        <v>0</v>
      </c>
      <c r="P649" s="120">
        <v>0</v>
      </c>
      <c r="Q649" s="120">
        <v>0</v>
      </c>
      <c r="R649" s="120"/>
      <c r="S649" s="121"/>
    </row>
    <row r="650" spans="1:19" ht="15">
      <c r="A650" s="105">
        <v>2</v>
      </c>
      <c r="B650" s="105"/>
      <c r="C650" s="107" t="s">
        <v>448</v>
      </c>
      <c r="D650" s="107" t="s">
        <v>449</v>
      </c>
      <c r="E650" s="120">
        <v>0</v>
      </c>
      <c r="F650" s="120" t="s">
        <v>251</v>
      </c>
      <c r="G650" s="120">
        <v>0</v>
      </c>
      <c r="H650" s="120" t="s">
        <v>251</v>
      </c>
      <c r="I650" s="120">
        <v>0</v>
      </c>
      <c r="J650" s="120">
        <v>0</v>
      </c>
      <c r="K650" s="120" t="s">
        <v>251</v>
      </c>
      <c r="L650" s="120" t="s">
        <v>251</v>
      </c>
      <c r="M650" s="120">
        <v>0</v>
      </c>
      <c r="N650" s="120" t="s">
        <v>251</v>
      </c>
      <c r="O650" s="120">
        <v>0</v>
      </c>
      <c r="P650" s="120">
        <v>0</v>
      </c>
      <c r="Q650" s="120">
        <v>0</v>
      </c>
      <c r="R650" s="120"/>
      <c r="S650" s="121"/>
    </row>
    <row r="651" spans="1:19" ht="15">
      <c r="A651" s="105">
        <v>3</v>
      </c>
      <c r="B651" s="105"/>
      <c r="C651" s="107" t="s">
        <v>451</v>
      </c>
      <c r="D651" s="107" t="s">
        <v>452</v>
      </c>
      <c r="E651" s="120">
        <v>0</v>
      </c>
      <c r="F651" s="120" t="s">
        <v>251</v>
      </c>
      <c r="G651" s="120">
        <v>0</v>
      </c>
      <c r="H651" s="120" t="s">
        <v>251</v>
      </c>
      <c r="I651" s="120">
        <v>0</v>
      </c>
      <c r="J651" s="120">
        <v>0</v>
      </c>
      <c r="K651" s="120" t="s">
        <v>251</v>
      </c>
      <c r="L651" s="120" t="s">
        <v>251</v>
      </c>
      <c r="M651" s="120">
        <v>0</v>
      </c>
      <c r="N651" s="120" t="s">
        <v>251</v>
      </c>
      <c r="O651" s="120">
        <v>0</v>
      </c>
      <c r="P651" s="120">
        <v>0</v>
      </c>
      <c r="Q651" s="120">
        <v>0</v>
      </c>
      <c r="R651" s="120"/>
      <c r="S651" s="121"/>
    </row>
    <row r="652" spans="1:19" ht="15">
      <c r="A652" s="105" t="s">
        <v>251</v>
      </c>
      <c r="B652" s="105"/>
      <c r="C652" s="107" t="s">
        <v>251</v>
      </c>
      <c r="D652" s="107" t="s">
        <v>251</v>
      </c>
      <c r="E652" s="120" t="s">
        <v>251</v>
      </c>
      <c r="F652" s="120" t="s">
        <v>251</v>
      </c>
      <c r="G652" s="120" t="s">
        <v>251</v>
      </c>
      <c r="H652" s="120" t="s">
        <v>251</v>
      </c>
      <c r="I652" s="120" t="s">
        <v>251</v>
      </c>
      <c r="J652" s="120" t="s">
        <v>251</v>
      </c>
      <c r="K652" s="120" t="s">
        <v>251</v>
      </c>
      <c r="L652" s="120" t="s">
        <v>251</v>
      </c>
      <c r="M652" s="120" t="s">
        <v>251</v>
      </c>
      <c r="N652" s="120" t="s">
        <v>251</v>
      </c>
      <c r="O652" s="120" t="s">
        <v>251</v>
      </c>
      <c r="P652" s="120" t="s">
        <v>251</v>
      </c>
      <c r="Q652" s="120" t="s">
        <v>251</v>
      </c>
      <c r="R652" s="120"/>
      <c r="S652" s="121"/>
    </row>
    <row r="653" spans="1:19" ht="15">
      <c r="A653" s="105">
        <v>4</v>
      </c>
      <c r="B653" s="105"/>
      <c r="C653" s="107" t="s">
        <v>454</v>
      </c>
      <c r="D653" s="107" t="s">
        <v>251</v>
      </c>
      <c r="E653" s="120">
        <v>9627422.6450364999</v>
      </c>
      <c r="F653" s="120" t="s">
        <v>251</v>
      </c>
      <c r="G653" s="120">
        <v>8494110.8450364992</v>
      </c>
      <c r="H653" s="120" t="s">
        <v>251</v>
      </c>
      <c r="I653" s="120">
        <v>1133311.8</v>
      </c>
      <c r="J653" s="120">
        <v>0</v>
      </c>
      <c r="K653" s="120" t="s">
        <v>251</v>
      </c>
      <c r="L653" s="120" t="s">
        <v>251</v>
      </c>
      <c r="M653" s="120">
        <v>0</v>
      </c>
      <c r="N653" s="120" t="s">
        <v>251</v>
      </c>
      <c r="O653" s="120">
        <v>0</v>
      </c>
      <c r="P653" s="120">
        <v>0</v>
      </c>
      <c r="Q653" s="120">
        <v>0</v>
      </c>
      <c r="R653" s="120"/>
      <c r="S653" s="121"/>
    </row>
    <row r="654" spans="1:19" ht="15">
      <c r="A654" s="105" t="s">
        <v>251</v>
      </c>
      <c r="B654" s="105"/>
      <c r="C654" s="107" t="s">
        <v>251</v>
      </c>
      <c r="D654" s="107" t="s">
        <v>251</v>
      </c>
      <c r="E654" s="120" t="s">
        <v>251</v>
      </c>
      <c r="F654" s="120" t="s">
        <v>251</v>
      </c>
      <c r="G654" s="120" t="s">
        <v>251</v>
      </c>
      <c r="H654" s="120" t="s">
        <v>251</v>
      </c>
      <c r="I654" s="120" t="s">
        <v>251</v>
      </c>
      <c r="J654" s="120" t="s">
        <v>251</v>
      </c>
      <c r="K654" s="120" t="s">
        <v>251</v>
      </c>
      <c r="L654" s="120" t="s">
        <v>251</v>
      </c>
      <c r="M654" s="120" t="s">
        <v>251</v>
      </c>
      <c r="N654" s="120" t="s">
        <v>251</v>
      </c>
      <c r="O654" s="120" t="s">
        <v>251</v>
      </c>
      <c r="P654" s="120" t="s">
        <v>251</v>
      </c>
      <c r="Q654" s="120" t="s">
        <v>251</v>
      </c>
      <c r="R654" s="120"/>
      <c r="S654" s="121"/>
    </row>
    <row r="655" spans="1:19" ht="15">
      <c r="A655" s="105" t="s">
        <v>251</v>
      </c>
      <c r="B655" s="105"/>
      <c r="C655" s="107" t="s">
        <v>455</v>
      </c>
      <c r="D655" s="107" t="s">
        <v>251</v>
      </c>
      <c r="E655" s="120" t="s">
        <v>251</v>
      </c>
      <c r="F655" s="120" t="s">
        <v>251</v>
      </c>
      <c r="G655" s="120" t="s">
        <v>251</v>
      </c>
      <c r="H655" s="120" t="s">
        <v>251</v>
      </c>
      <c r="I655" s="120" t="s">
        <v>251</v>
      </c>
      <c r="J655" s="120" t="s">
        <v>251</v>
      </c>
      <c r="K655" s="120" t="s">
        <v>251</v>
      </c>
      <c r="L655" s="120" t="s">
        <v>251</v>
      </c>
      <c r="M655" s="120" t="s">
        <v>251</v>
      </c>
      <c r="N655" s="120" t="s">
        <v>251</v>
      </c>
      <c r="O655" s="120" t="s">
        <v>251</v>
      </c>
      <c r="P655" s="120" t="s">
        <v>251</v>
      </c>
      <c r="Q655" s="120" t="s">
        <v>251</v>
      </c>
      <c r="R655" s="120"/>
      <c r="S655" s="121"/>
    </row>
    <row r="656" spans="1:19" ht="15">
      <c r="A656" s="105">
        <v>5</v>
      </c>
      <c r="B656" s="105"/>
      <c r="C656" s="107" t="s">
        <v>456</v>
      </c>
      <c r="D656" s="107" t="s">
        <v>457</v>
      </c>
      <c r="E656" s="120">
        <v>0</v>
      </c>
      <c r="F656" s="120" t="s">
        <v>251</v>
      </c>
      <c r="G656" s="120">
        <v>0</v>
      </c>
      <c r="H656" s="120" t="s">
        <v>251</v>
      </c>
      <c r="I656" s="120">
        <v>0</v>
      </c>
      <c r="J656" s="120">
        <v>0</v>
      </c>
      <c r="K656" s="120" t="s">
        <v>251</v>
      </c>
      <c r="L656" s="120" t="s">
        <v>251</v>
      </c>
      <c r="M656" s="120">
        <v>0</v>
      </c>
      <c r="N656" s="120" t="s">
        <v>251</v>
      </c>
      <c r="O656" s="120">
        <v>0</v>
      </c>
      <c r="P656" s="120">
        <v>0</v>
      </c>
      <c r="Q656" s="120">
        <v>0</v>
      </c>
      <c r="R656" s="120"/>
      <c r="S656" s="121"/>
    </row>
    <row r="657" spans="1:19" ht="15">
      <c r="A657" s="105">
        <v>6</v>
      </c>
      <c r="B657" s="105"/>
      <c r="C657" s="107" t="s">
        <v>458</v>
      </c>
      <c r="D657" s="107" t="s">
        <v>459</v>
      </c>
      <c r="E657" s="120">
        <v>0</v>
      </c>
      <c r="F657" s="120" t="s">
        <v>251</v>
      </c>
      <c r="G657" s="120">
        <v>0</v>
      </c>
      <c r="H657" s="120" t="s">
        <v>251</v>
      </c>
      <c r="I657" s="120">
        <v>0</v>
      </c>
      <c r="J657" s="120">
        <v>0</v>
      </c>
      <c r="K657" s="120" t="s">
        <v>251</v>
      </c>
      <c r="L657" s="120" t="s">
        <v>251</v>
      </c>
      <c r="M657" s="120">
        <v>0</v>
      </c>
      <c r="N657" s="120" t="s">
        <v>251</v>
      </c>
      <c r="O657" s="120">
        <v>0</v>
      </c>
      <c r="P657" s="120">
        <v>0</v>
      </c>
      <c r="Q657" s="120">
        <v>0</v>
      </c>
      <c r="R657" s="120"/>
      <c r="S657" s="121"/>
    </row>
    <row r="658" spans="1:19" ht="15">
      <c r="A658" s="105" t="s">
        <v>251</v>
      </c>
      <c r="B658" s="105"/>
      <c r="C658" s="107" t="s">
        <v>251</v>
      </c>
      <c r="D658" s="107" t="s">
        <v>251</v>
      </c>
      <c r="E658" s="120" t="s">
        <v>251</v>
      </c>
      <c r="F658" s="120" t="s">
        <v>251</v>
      </c>
      <c r="G658" s="120" t="s">
        <v>251</v>
      </c>
      <c r="H658" s="120" t="s">
        <v>251</v>
      </c>
      <c r="I658" s="120" t="s">
        <v>251</v>
      </c>
      <c r="J658" s="120" t="s">
        <v>251</v>
      </c>
      <c r="K658" s="120" t="s">
        <v>251</v>
      </c>
      <c r="L658" s="120" t="s">
        <v>251</v>
      </c>
      <c r="M658" s="120" t="s">
        <v>251</v>
      </c>
      <c r="N658" s="120" t="s">
        <v>251</v>
      </c>
      <c r="O658" s="120" t="s">
        <v>251</v>
      </c>
      <c r="P658" s="120" t="s">
        <v>251</v>
      </c>
      <c r="Q658" s="120" t="s">
        <v>251</v>
      </c>
      <c r="R658" s="120"/>
      <c r="S658" s="121"/>
    </row>
    <row r="659" spans="1:19" ht="15">
      <c r="A659" s="105">
        <v>7</v>
      </c>
      <c r="B659" s="105"/>
      <c r="C659" s="107" t="s">
        <v>462</v>
      </c>
      <c r="D659" s="107" t="s">
        <v>251</v>
      </c>
      <c r="E659" s="120">
        <v>0</v>
      </c>
      <c r="F659" s="120" t="s">
        <v>251</v>
      </c>
      <c r="G659" s="120">
        <v>0</v>
      </c>
      <c r="H659" s="120" t="s">
        <v>251</v>
      </c>
      <c r="I659" s="120">
        <v>0</v>
      </c>
      <c r="J659" s="120">
        <v>0</v>
      </c>
      <c r="K659" s="120" t="s">
        <v>251</v>
      </c>
      <c r="L659" s="120" t="s">
        <v>251</v>
      </c>
      <c r="M659" s="120">
        <v>0</v>
      </c>
      <c r="N659" s="120" t="s">
        <v>251</v>
      </c>
      <c r="O659" s="120">
        <v>0</v>
      </c>
      <c r="P659" s="120">
        <v>0</v>
      </c>
      <c r="Q659" s="120">
        <v>0</v>
      </c>
      <c r="R659" s="120"/>
      <c r="S659" s="121"/>
    </row>
    <row r="660" spans="1:19" ht="15">
      <c r="A660" s="105" t="s">
        <v>251</v>
      </c>
      <c r="B660" s="105"/>
      <c r="C660" s="107" t="s">
        <v>251</v>
      </c>
      <c r="D660" s="107" t="s">
        <v>251</v>
      </c>
      <c r="E660" s="120" t="s">
        <v>251</v>
      </c>
      <c r="F660" s="120" t="s">
        <v>251</v>
      </c>
      <c r="G660" s="120" t="s">
        <v>251</v>
      </c>
      <c r="H660" s="120" t="s">
        <v>251</v>
      </c>
      <c r="I660" s="120" t="s">
        <v>251</v>
      </c>
      <c r="J660" s="120" t="s">
        <v>251</v>
      </c>
      <c r="K660" s="120" t="s">
        <v>251</v>
      </c>
      <c r="L660" s="120" t="s">
        <v>251</v>
      </c>
      <c r="M660" s="120" t="s">
        <v>251</v>
      </c>
      <c r="N660" s="120" t="s">
        <v>251</v>
      </c>
      <c r="O660" s="120" t="s">
        <v>251</v>
      </c>
      <c r="P660" s="120" t="s">
        <v>251</v>
      </c>
      <c r="Q660" s="120" t="s">
        <v>251</v>
      </c>
      <c r="R660" s="120"/>
      <c r="S660" s="121"/>
    </row>
    <row r="661" spans="1:19" ht="15">
      <c r="A661" s="105" t="s">
        <v>251</v>
      </c>
      <c r="B661" s="105"/>
      <c r="C661" s="107" t="s">
        <v>745</v>
      </c>
      <c r="D661" s="107" t="s">
        <v>251</v>
      </c>
      <c r="E661" s="120" t="s">
        <v>251</v>
      </c>
      <c r="F661" s="120" t="s">
        <v>251</v>
      </c>
      <c r="G661" s="120" t="s">
        <v>251</v>
      </c>
      <c r="H661" s="120" t="s">
        <v>251</v>
      </c>
      <c r="I661" s="120" t="s">
        <v>251</v>
      </c>
      <c r="J661" s="120" t="s">
        <v>251</v>
      </c>
      <c r="K661" s="120" t="s">
        <v>251</v>
      </c>
      <c r="L661" s="120" t="s">
        <v>251</v>
      </c>
      <c r="M661" s="120" t="s">
        <v>251</v>
      </c>
      <c r="N661" s="120" t="s">
        <v>251</v>
      </c>
      <c r="O661" s="120" t="s">
        <v>251</v>
      </c>
      <c r="P661" s="120" t="s">
        <v>251</v>
      </c>
      <c r="Q661" s="120" t="s">
        <v>251</v>
      </c>
      <c r="R661" s="120"/>
      <c r="S661" s="121"/>
    </row>
    <row r="662" spans="1:19" ht="15">
      <c r="A662" s="105">
        <v>8</v>
      </c>
      <c r="B662" s="105"/>
      <c r="C662" s="107" t="s">
        <v>753</v>
      </c>
      <c r="D662" s="107" t="s">
        <v>747</v>
      </c>
      <c r="E662" s="120">
        <v>0</v>
      </c>
      <c r="F662" s="120" t="s">
        <v>251</v>
      </c>
      <c r="G662" s="120">
        <v>0</v>
      </c>
      <c r="H662" s="120" t="s">
        <v>251</v>
      </c>
      <c r="I662" s="120">
        <v>0</v>
      </c>
      <c r="J662" s="120">
        <v>0</v>
      </c>
      <c r="K662" s="120" t="s">
        <v>251</v>
      </c>
      <c r="L662" s="120" t="s">
        <v>251</v>
      </c>
      <c r="M662" s="120">
        <v>0</v>
      </c>
      <c r="N662" s="120" t="s">
        <v>251</v>
      </c>
      <c r="O662" s="120">
        <v>0</v>
      </c>
      <c r="P662" s="120">
        <v>0</v>
      </c>
      <c r="Q662" s="120">
        <v>0</v>
      </c>
      <c r="R662" s="120"/>
      <c r="S662" s="121"/>
    </row>
    <row r="663" spans="1:19" ht="15">
      <c r="A663" s="105">
        <v>9</v>
      </c>
      <c r="B663" s="105"/>
      <c r="C663" s="107" t="s">
        <v>754</v>
      </c>
      <c r="D663" s="107" t="s">
        <v>749</v>
      </c>
      <c r="E663" s="120">
        <v>0</v>
      </c>
      <c r="F663" s="120" t="s">
        <v>251</v>
      </c>
      <c r="G663" s="120">
        <v>0</v>
      </c>
      <c r="H663" s="120" t="s">
        <v>251</v>
      </c>
      <c r="I663" s="120">
        <v>0</v>
      </c>
      <c r="J663" s="120">
        <v>0</v>
      </c>
      <c r="K663" s="120" t="s">
        <v>251</v>
      </c>
      <c r="L663" s="120" t="s">
        <v>251</v>
      </c>
      <c r="M663" s="120">
        <v>0</v>
      </c>
      <c r="N663" s="120" t="s">
        <v>251</v>
      </c>
      <c r="O663" s="120">
        <v>0</v>
      </c>
      <c r="P663" s="120">
        <v>0</v>
      </c>
      <c r="Q663" s="120">
        <v>0</v>
      </c>
      <c r="R663" s="120"/>
      <c r="S663" s="121"/>
    </row>
    <row r="664" spans="1:19" ht="15">
      <c r="A664" s="105" t="s">
        <v>251</v>
      </c>
      <c r="B664" s="105"/>
      <c r="C664" s="107" t="s">
        <v>251</v>
      </c>
      <c r="D664" s="107" t="s">
        <v>251</v>
      </c>
      <c r="E664" s="120" t="s">
        <v>251</v>
      </c>
      <c r="F664" s="120" t="s">
        <v>251</v>
      </c>
      <c r="G664" s="120" t="s">
        <v>251</v>
      </c>
      <c r="H664" s="120" t="s">
        <v>251</v>
      </c>
      <c r="I664" s="120" t="s">
        <v>251</v>
      </c>
      <c r="J664" s="120" t="s">
        <v>251</v>
      </c>
      <c r="K664" s="120" t="s">
        <v>251</v>
      </c>
      <c r="L664" s="120" t="s">
        <v>251</v>
      </c>
      <c r="M664" s="120" t="s">
        <v>251</v>
      </c>
      <c r="N664" s="120" t="s">
        <v>251</v>
      </c>
      <c r="O664" s="120" t="s">
        <v>251</v>
      </c>
      <c r="P664" s="120" t="s">
        <v>251</v>
      </c>
      <c r="Q664" s="120" t="s">
        <v>251</v>
      </c>
      <c r="R664" s="120"/>
      <c r="S664" s="121"/>
    </row>
    <row r="665" spans="1:19" ht="15">
      <c r="A665" s="105">
        <v>10</v>
      </c>
      <c r="B665" s="105"/>
      <c r="C665" s="107" t="s">
        <v>467</v>
      </c>
      <c r="D665" s="107" t="s">
        <v>251</v>
      </c>
      <c r="E665" s="120">
        <v>0</v>
      </c>
      <c r="F665" s="120" t="s">
        <v>251</v>
      </c>
      <c r="G665" s="120">
        <v>0</v>
      </c>
      <c r="H665" s="120" t="s">
        <v>251</v>
      </c>
      <c r="I665" s="120">
        <v>0</v>
      </c>
      <c r="J665" s="120">
        <v>0</v>
      </c>
      <c r="K665" s="120" t="s">
        <v>251</v>
      </c>
      <c r="L665" s="120" t="s">
        <v>251</v>
      </c>
      <c r="M665" s="120">
        <v>0</v>
      </c>
      <c r="N665" s="120" t="s">
        <v>251</v>
      </c>
      <c r="O665" s="120">
        <v>0</v>
      </c>
      <c r="P665" s="120">
        <v>0</v>
      </c>
      <c r="Q665" s="120">
        <v>0</v>
      </c>
      <c r="R665" s="120"/>
      <c r="S665" s="121"/>
    </row>
    <row r="666" spans="1:19" ht="15">
      <c r="A666" s="105" t="s">
        <v>251</v>
      </c>
      <c r="B666" s="105"/>
      <c r="C666" s="107" t="s">
        <v>251</v>
      </c>
      <c r="D666" s="107" t="s">
        <v>251</v>
      </c>
      <c r="E666" s="120" t="s">
        <v>251</v>
      </c>
      <c r="F666" s="120" t="s">
        <v>251</v>
      </c>
      <c r="G666" s="120" t="s">
        <v>251</v>
      </c>
      <c r="H666" s="120" t="s">
        <v>251</v>
      </c>
      <c r="I666" s="120" t="s">
        <v>251</v>
      </c>
      <c r="J666" s="120" t="s">
        <v>251</v>
      </c>
      <c r="K666" s="120" t="s">
        <v>251</v>
      </c>
      <c r="L666" s="120" t="s">
        <v>251</v>
      </c>
      <c r="M666" s="120" t="s">
        <v>251</v>
      </c>
      <c r="N666" s="120" t="s">
        <v>251</v>
      </c>
      <c r="O666" s="120" t="s">
        <v>251</v>
      </c>
      <c r="P666" s="120" t="s">
        <v>251</v>
      </c>
      <c r="Q666" s="120" t="s">
        <v>251</v>
      </c>
      <c r="R666" s="120"/>
      <c r="S666" s="121"/>
    </row>
    <row r="667" spans="1:19" ht="15">
      <c r="A667" s="105">
        <v>11</v>
      </c>
      <c r="B667" s="105"/>
      <c r="C667" s="107" t="s">
        <v>2250</v>
      </c>
      <c r="D667" s="107" t="s">
        <v>251</v>
      </c>
      <c r="E667" s="120">
        <v>9627422.6450364999</v>
      </c>
      <c r="F667" s="120" t="s">
        <v>251</v>
      </c>
      <c r="G667" s="120">
        <v>8494110.8450364992</v>
      </c>
      <c r="H667" s="120" t="s">
        <v>251</v>
      </c>
      <c r="I667" s="120">
        <v>1133311.8</v>
      </c>
      <c r="J667" s="120">
        <v>0</v>
      </c>
      <c r="K667" s="120" t="s">
        <v>251</v>
      </c>
      <c r="L667" s="120" t="s">
        <v>251</v>
      </c>
      <c r="M667" s="120">
        <v>0</v>
      </c>
      <c r="N667" s="120" t="s">
        <v>251</v>
      </c>
      <c r="O667" s="120">
        <v>0</v>
      </c>
      <c r="P667" s="120">
        <v>0</v>
      </c>
      <c r="Q667" s="120">
        <v>0</v>
      </c>
      <c r="R667" s="120"/>
      <c r="S667" s="121"/>
    </row>
    <row r="668" spans="1:19" ht="15">
      <c r="A668" s="105" t="s">
        <v>251</v>
      </c>
      <c r="B668" s="105"/>
      <c r="C668" s="107" t="s">
        <v>251</v>
      </c>
      <c r="D668" s="107" t="s">
        <v>251</v>
      </c>
      <c r="E668" s="120" t="s">
        <v>251</v>
      </c>
      <c r="F668" s="120" t="s">
        <v>251</v>
      </c>
      <c r="G668" s="120" t="s">
        <v>251</v>
      </c>
      <c r="H668" s="120" t="s">
        <v>251</v>
      </c>
      <c r="I668" s="120" t="s">
        <v>251</v>
      </c>
      <c r="J668" s="120" t="s">
        <v>251</v>
      </c>
      <c r="K668" s="120" t="s">
        <v>251</v>
      </c>
      <c r="L668" s="120" t="s">
        <v>251</v>
      </c>
      <c r="M668" s="120" t="s">
        <v>251</v>
      </c>
      <c r="N668" s="120" t="s">
        <v>251</v>
      </c>
      <c r="O668" s="120" t="s">
        <v>251</v>
      </c>
      <c r="P668" s="120" t="s">
        <v>251</v>
      </c>
      <c r="Q668" s="120" t="s">
        <v>251</v>
      </c>
      <c r="R668" s="120"/>
      <c r="S668" s="121"/>
    </row>
    <row r="669" spans="1:19" ht="15">
      <c r="A669" s="105" t="s">
        <v>251</v>
      </c>
      <c r="B669" s="105"/>
      <c r="C669" s="107" t="s">
        <v>755</v>
      </c>
      <c r="D669" s="107" t="s">
        <v>251</v>
      </c>
      <c r="E669" s="120" t="s">
        <v>251</v>
      </c>
      <c r="F669" s="120" t="s">
        <v>251</v>
      </c>
      <c r="G669" s="120" t="s">
        <v>251</v>
      </c>
      <c r="H669" s="120" t="s">
        <v>251</v>
      </c>
      <c r="I669" s="120" t="s">
        <v>251</v>
      </c>
      <c r="J669" s="120" t="s">
        <v>251</v>
      </c>
      <c r="K669" s="120" t="s">
        <v>251</v>
      </c>
      <c r="L669" s="120" t="s">
        <v>251</v>
      </c>
      <c r="M669" s="120" t="s">
        <v>251</v>
      </c>
      <c r="N669" s="120" t="s">
        <v>251</v>
      </c>
      <c r="O669" s="120" t="s">
        <v>251</v>
      </c>
      <c r="P669" s="120" t="s">
        <v>251</v>
      </c>
      <c r="Q669" s="120" t="s">
        <v>251</v>
      </c>
      <c r="R669" s="120"/>
      <c r="S669" s="121"/>
    </row>
    <row r="670" spans="1:19" ht="15">
      <c r="A670" s="105" t="s">
        <v>251</v>
      </c>
      <c r="B670" s="105"/>
      <c r="C670" s="107" t="s">
        <v>251</v>
      </c>
      <c r="D670" s="107" t="s">
        <v>251</v>
      </c>
      <c r="E670" s="120" t="s">
        <v>251</v>
      </c>
      <c r="F670" s="120" t="s">
        <v>251</v>
      </c>
      <c r="G670" s="120" t="s">
        <v>251</v>
      </c>
      <c r="H670" s="120" t="s">
        <v>251</v>
      </c>
      <c r="I670" s="120" t="s">
        <v>251</v>
      </c>
      <c r="J670" s="120" t="s">
        <v>251</v>
      </c>
      <c r="K670" s="120" t="s">
        <v>251</v>
      </c>
      <c r="L670" s="120" t="s">
        <v>251</v>
      </c>
      <c r="M670" s="120" t="s">
        <v>251</v>
      </c>
      <c r="N670" s="120" t="s">
        <v>251</v>
      </c>
      <c r="O670" s="120" t="s">
        <v>251</v>
      </c>
      <c r="P670" s="120" t="s">
        <v>251</v>
      </c>
      <c r="Q670" s="120" t="s">
        <v>251</v>
      </c>
      <c r="R670" s="120"/>
      <c r="S670" s="121"/>
    </row>
    <row r="671" spans="1:19" ht="15">
      <c r="A671" s="105" t="s">
        <v>251</v>
      </c>
      <c r="B671" s="105"/>
      <c r="C671" s="107" t="s">
        <v>441</v>
      </c>
      <c r="D671" s="107" t="s">
        <v>251</v>
      </c>
      <c r="E671" s="120" t="s">
        <v>251</v>
      </c>
      <c r="F671" s="120" t="s">
        <v>251</v>
      </c>
      <c r="G671" s="120" t="s">
        <v>251</v>
      </c>
      <c r="H671" s="120" t="s">
        <v>251</v>
      </c>
      <c r="I671" s="120" t="s">
        <v>251</v>
      </c>
      <c r="J671" s="120" t="s">
        <v>251</v>
      </c>
      <c r="K671" s="120" t="s">
        <v>251</v>
      </c>
      <c r="L671" s="120" t="s">
        <v>251</v>
      </c>
      <c r="M671" s="120" t="s">
        <v>251</v>
      </c>
      <c r="N671" s="120" t="s">
        <v>251</v>
      </c>
      <c r="O671" s="120" t="s">
        <v>251</v>
      </c>
      <c r="P671" s="120" t="s">
        <v>251</v>
      </c>
      <c r="Q671" s="120" t="s">
        <v>251</v>
      </c>
      <c r="R671" s="120"/>
      <c r="S671" s="121"/>
    </row>
    <row r="672" spans="1:19" ht="15">
      <c r="A672" s="105">
        <v>12</v>
      </c>
      <c r="B672" s="105"/>
      <c r="C672" s="107" t="s">
        <v>442</v>
      </c>
      <c r="D672" s="107" t="s">
        <v>444</v>
      </c>
      <c r="E672" s="120">
        <v>0</v>
      </c>
      <c r="F672" s="120" t="s">
        <v>251</v>
      </c>
      <c r="G672" s="120">
        <v>0</v>
      </c>
      <c r="H672" s="120" t="s">
        <v>251</v>
      </c>
      <c r="I672" s="120">
        <v>0</v>
      </c>
      <c r="J672" s="120">
        <v>0</v>
      </c>
      <c r="K672" s="120" t="s">
        <v>251</v>
      </c>
      <c r="L672" s="120" t="s">
        <v>251</v>
      </c>
      <c r="M672" s="120">
        <v>0</v>
      </c>
      <c r="N672" s="120" t="s">
        <v>251</v>
      </c>
      <c r="O672" s="120">
        <v>0</v>
      </c>
      <c r="P672" s="120">
        <v>0</v>
      </c>
      <c r="Q672" s="120">
        <v>0</v>
      </c>
      <c r="R672" s="120"/>
      <c r="S672" s="121"/>
    </row>
    <row r="673" spans="1:19" ht="15">
      <c r="A673" s="105">
        <v>13</v>
      </c>
      <c r="B673" s="105"/>
      <c r="C673" s="107" t="s">
        <v>448</v>
      </c>
      <c r="D673" s="107" t="s">
        <v>449</v>
      </c>
      <c r="E673" s="120">
        <v>0</v>
      </c>
      <c r="F673" s="120" t="s">
        <v>251</v>
      </c>
      <c r="G673" s="120">
        <v>0</v>
      </c>
      <c r="H673" s="120" t="s">
        <v>251</v>
      </c>
      <c r="I673" s="120">
        <v>0</v>
      </c>
      <c r="J673" s="120">
        <v>0</v>
      </c>
      <c r="K673" s="120" t="s">
        <v>251</v>
      </c>
      <c r="L673" s="120" t="s">
        <v>251</v>
      </c>
      <c r="M673" s="120">
        <v>0</v>
      </c>
      <c r="N673" s="120" t="s">
        <v>251</v>
      </c>
      <c r="O673" s="120">
        <v>0</v>
      </c>
      <c r="P673" s="120">
        <v>0</v>
      </c>
      <c r="Q673" s="120">
        <v>0</v>
      </c>
      <c r="R673" s="120"/>
      <c r="S673" s="121"/>
    </row>
    <row r="674" spans="1:19" ht="15">
      <c r="A674" s="105">
        <v>14</v>
      </c>
      <c r="B674" s="105"/>
      <c r="C674" s="107" t="s">
        <v>451</v>
      </c>
      <c r="D674" s="107" t="s">
        <v>452</v>
      </c>
      <c r="E674" s="120">
        <v>0</v>
      </c>
      <c r="F674" s="120" t="s">
        <v>251</v>
      </c>
      <c r="G674" s="120">
        <v>0</v>
      </c>
      <c r="H674" s="120" t="s">
        <v>251</v>
      </c>
      <c r="I674" s="120">
        <v>0</v>
      </c>
      <c r="J674" s="120">
        <v>0</v>
      </c>
      <c r="K674" s="120" t="s">
        <v>251</v>
      </c>
      <c r="L674" s="120" t="s">
        <v>251</v>
      </c>
      <c r="M674" s="120">
        <v>0</v>
      </c>
      <c r="N674" s="120" t="s">
        <v>251</v>
      </c>
      <c r="O674" s="120">
        <v>0</v>
      </c>
      <c r="P674" s="120">
        <v>0</v>
      </c>
      <c r="Q674" s="120">
        <v>0</v>
      </c>
      <c r="R674" s="120"/>
      <c r="S674" s="121"/>
    </row>
    <row r="675" spans="1:19" ht="15">
      <c r="A675" s="105" t="s">
        <v>251</v>
      </c>
      <c r="B675" s="105"/>
      <c r="C675" s="107" t="s">
        <v>251</v>
      </c>
      <c r="D675" s="107" t="s">
        <v>251</v>
      </c>
      <c r="E675" s="120" t="s">
        <v>251</v>
      </c>
      <c r="F675" s="120" t="s">
        <v>251</v>
      </c>
      <c r="G675" s="120" t="s">
        <v>251</v>
      </c>
      <c r="H675" s="120" t="s">
        <v>251</v>
      </c>
      <c r="I675" s="120" t="s">
        <v>251</v>
      </c>
      <c r="J675" s="120" t="s">
        <v>251</v>
      </c>
      <c r="K675" s="120" t="s">
        <v>251</v>
      </c>
      <c r="L675" s="120" t="s">
        <v>251</v>
      </c>
      <c r="M675" s="120" t="s">
        <v>251</v>
      </c>
      <c r="N675" s="120" t="s">
        <v>251</v>
      </c>
      <c r="O675" s="120" t="s">
        <v>251</v>
      </c>
      <c r="P675" s="120" t="s">
        <v>251</v>
      </c>
      <c r="Q675" s="120" t="s">
        <v>251</v>
      </c>
      <c r="R675" s="120"/>
      <c r="S675" s="121"/>
    </row>
    <row r="676" spans="1:19" ht="15">
      <c r="A676" s="105">
        <v>15</v>
      </c>
      <c r="B676" s="105"/>
      <c r="C676" s="107" t="s">
        <v>454</v>
      </c>
      <c r="D676" s="107" t="s">
        <v>251</v>
      </c>
      <c r="E676" s="120">
        <v>0</v>
      </c>
      <c r="F676" s="120" t="s">
        <v>251</v>
      </c>
      <c r="G676" s="120">
        <v>0</v>
      </c>
      <c r="H676" s="120" t="s">
        <v>251</v>
      </c>
      <c r="I676" s="120">
        <v>0</v>
      </c>
      <c r="J676" s="120">
        <v>0</v>
      </c>
      <c r="K676" s="120" t="s">
        <v>251</v>
      </c>
      <c r="L676" s="120" t="s">
        <v>251</v>
      </c>
      <c r="M676" s="120">
        <v>0</v>
      </c>
      <c r="N676" s="120" t="s">
        <v>251</v>
      </c>
      <c r="O676" s="120">
        <v>0</v>
      </c>
      <c r="P676" s="120">
        <v>0</v>
      </c>
      <c r="Q676" s="120">
        <v>0</v>
      </c>
      <c r="R676" s="120"/>
      <c r="S676" s="121"/>
    </row>
    <row r="677" spans="1:19" ht="15">
      <c r="A677" s="105" t="s">
        <v>251</v>
      </c>
      <c r="B677" s="105"/>
      <c r="C677" s="107" t="s">
        <v>251</v>
      </c>
      <c r="D677" s="107" t="s">
        <v>251</v>
      </c>
      <c r="E677" s="120" t="s">
        <v>251</v>
      </c>
      <c r="F677" s="120" t="s">
        <v>251</v>
      </c>
      <c r="G677" s="120" t="s">
        <v>251</v>
      </c>
      <c r="H677" s="120" t="s">
        <v>251</v>
      </c>
      <c r="I677" s="120" t="s">
        <v>251</v>
      </c>
      <c r="J677" s="120" t="s">
        <v>251</v>
      </c>
      <c r="K677" s="120" t="s">
        <v>251</v>
      </c>
      <c r="L677" s="120" t="s">
        <v>251</v>
      </c>
      <c r="M677" s="120" t="s">
        <v>251</v>
      </c>
      <c r="N677" s="120" t="s">
        <v>251</v>
      </c>
      <c r="O677" s="120" t="s">
        <v>251</v>
      </c>
      <c r="P677" s="120" t="s">
        <v>251</v>
      </c>
      <c r="Q677" s="120" t="s">
        <v>251</v>
      </c>
      <c r="R677" s="120"/>
      <c r="S677" s="121"/>
    </row>
    <row r="678" spans="1:19" ht="15">
      <c r="A678" s="105" t="s">
        <v>251</v>
      </c>
      <c r="B678" s="105"/>
      <c r="C678" s="107" t="s">
        <v>455</v>
      </c>
      <c r="D678" s="107" t="s">
        <v>251</v>
      </c>
      <c r="E678" s="120" t="s">
        <v>251</v>
      </c>
      <c r="F678" s="120" t="s">
        <v>251</v>
      </c>
      <c r="G678" s="120" t="s">
        <v>251</v>
      </c>
      <c r="H678" s="120" t="s">
        <v>251</v>
      </c>
      <c r="I678" s="120" t="s">
        <v>251</v>
      </c>
      <c r="J678" s="120" t="s">
        <v>251</v>
      </c>
      <c r="K678" s="120" t="s">
        <v>251</v>
      </c>
      <c r="L678" s="120" t="s">
        <v>251</v>
      </c>
      <c r="M678" s="120" t="s">
        <v>251</v>
      </c>
      <c r="N678" s="120" t="s">
        <v>251</v>
      </c>
      <c r="O678" s="120" t="s">
        <v>251</v>
      </c>
      <c r="P678" s="120" t="s">
        <v>251</v>
      </c>
      <c r="Q678" s="120" t="s">
        <v>251</v>
      </c>
      <c r="R678" s="120"/>
      <c r="S678" s="121"/>
    </row>
    <row r="679" spans="1:19" ht="15">
      <c r="A679" s="105">
        <v>16</v>
      </c>
      <c r="B679" s="105"/>
      <c r="C679" s="107" t="s">
        <v>456</v>
      </c>
      <c r="D679" s="107" t="s">
        <v>457</v>
      </c>
      <c r="E679" s="120">
        <v>0</v>
      </c>
      <c r="F679" s="120" t="s">
        <v>251</v>
      </c>
      <c r="G679" s="120">
        <v>0</v>
      </c>
      <c r="H679" s="120" t="s">
        <v>251</v>
      </c>
      <c r="I679" s="120">
        <v>0</v>
      </c>
      <c r="J679" s="120">
        <v>0</v>
      </c>
      <c r="K679" s="120" t="s">
        <v>251</v>
      </c>
      <c r="L679" s="120" t="s">
        <v>251</v>
      </c>
      <c r="M679" s="120">
        <v>0</v>
      </c>
      <c r="N679" s="120" t="s">
        <v>251</v>
      </c>
      <c r="O679" s="120">
        <v>0</v>
      </c>
      <c r="P679" s="120">
        <v>0</v>
      </c>
      <c r="Q679" s="120">
        <v>0</v>
      </c>
      <c r="R679" s="120"/>
      <c r="S679" s="121"/>
    </row>
    <row r="680" spans="1:19" ht="15">
      <c r="A680" s="105">
        <v>17</v>
      </c>
      <c r="B680" s="105"/>
      <c r="C680" s="107" t="s">
        <v>458</v>
      </c>
      <c r="D680" s="107" t="s">
        <v>459</v>
      </c>
      <c r="E680" s="120">
        <v>0</v>
      </c>
      <c r="F680" s="120" t="s">
        <v>251</v>
      </c>
      <c r="G680" s="120">
        <v>0</v>
      </c>
      <c r="H680" s="120" t="s">
        <v>251</v>
      </c>
      <c r="I680" s="120">
        <v>0</v>
      </c>
      <c r="J680" s="120">
        <v>0</v>
      </c>
      <c r="K680" s="120" t="s">
        <v>251</v>
      </c>
      <c r="L680" s="120" t="s">
        <v>251</v>
      </c>
      <c r="M680" s="120">
        <v>0</v>
      </c>
      <c r="N680" s="120" t="s">
        <v>251</v>
      </c>
      <c r="O680" s="120">
        <v>0</v>
      </c>
      <c r="P680" s="120">
        <v>0</v>
      </c>
      <c r="Q680" s="120">
        <v>0</v>
      </c>
      <c r="R680" s="120"/>
      <c r="S680" s="121"/>
    </row>
    <row r="681" spans="1:19" ht="15">
      <c r="A681" s="105" t="s">
        <v>251</v>
      </c>
      <c r="B681" s="105"/>
      <c r="C681" s="107" t="s">
        <v>251</v>
      </c>
      <c r="D681" s="107" t="s">
        <v>251</v>
      </c>
      <c r="E681" s="120" t="s">
        <v>251</v>
      </c>
      <c r="F681" s="120" t="s">
        <v>251</v>
      </c>
      <c r="G681" s="120" t="s">
        <v>251</v>
      </c>
      <c r="H681" s="120" t="s">
        <v>251</v>
      </c>
      <c r="I681" s="120" t="s">
        <v>251</v>
      </c>
      <c r="J681" s="120" t="s">
        <v>251</v>
      </c>
      <c r="K681" s="120" t="s">
        <v>251</v>
      </c>
      <c r="L681" s="120" t="s">
        <v>251</v>
      </c>
      <c r="M681" s="120" t="s">
        <v>251</v>
      </c>
      <c r="N681" s="120" t="s">
        <v>251</v>
      </c>
      <c r="O681" s="120" t="s">
        <v>251</v>
      </c>
      <c r="P681" s="120" t="s">
        <v>251</v>
      </c>
      <c r="Q681" s="120" t="s">
        <v>251</v>
      </c>
      <c r="R681" s="120"/>
      <c r="S681" s="121"/>
    </row>
    <row r="682" spans="1:19" ht="15">
      <c r="A682" s="105">
        <v>18</v>
      </c>
      <c r="B682" s="105"/>
      <c r="C682" s="107" t="s">
        <v>462</v>
      </c>
      <c r="D682" s="107" t="s">
        <v>251</v>
      </c>
      <c r="E682" s="120">
        <v>0</v>
      </c>
      <c r="F682" s="120" t="s">
        <v>251</v>
      </c>
      <c r="G682" s="120">
        <v>0</v>
      </c>
      <c r="H682" s="120" t="s">
        <v>251</v>
      </c>
      <c r="I682" s="120">
        <v>0</v>
      </c>
      <c r="J682" s="120">
        <v>0</v>
      </c>
      <c r="K682" s="120" t="s">
        <v>251</v>
      </c>
      <c r="L682" s="120" t="s">
        <v>251</v>
      </c>
      <c r="M682" s="120">
        <v>0</v>
      </c>
      <c r="N682" s="120" t="s">
        <v>251</v>
      </c>
      <c r="O682" s="120">
        <v>0</v>
      </c>
      <c r="P682" s="120">
        <v>0</v>
      </c>
      <c r="Q682" s="120">
        <v>0</v>
      </c>
      <c r="R682" s="120"/>
      <c r="S682" s="121"/>
    </row>
    <row r="683" spans="1:19" ht="15">
      <c r="A683" s="105" t="s">
        <v>251</v>
      </c>
      <c r="B683" s="105"/>
      <c r="C683" s="107" t="s">
        <v>251</v>
      </c>
      <c r="D683" s="107" t="s">
        <v>251</v>
      </c>
      <c r="E683" s="120" t="s">
        <v>251</v>
      </c>
      <c r="F683" s="120" t="s">
        <v>251</v>
      </c>
      <c r="G683" s="120" t="s">
        <v>251</v>
      </c>
      <c r="H683" s="120" t="s">
        <v>251</v>
      </c>
      <c r="I683" s="120" t="s">
        <v>251</v>
      </c>
      <c r="J683" s="120" t="s">
        <v>251</v>
      </c>
      <c r="K683" s="120" t="s">
        <v>251</v>
      </c>
      <c r="L683" s="120" t="s">
        <v>251</v>
      </c>
      <c r="M683" s="120" t="s">
        <v>251</v>
      </c>
      <c r="N683" s="120" t="s">
        <v>251</v>
      </c>
      <c r="O683" s="120" t="s">
        <v>251</v>
      </c>
      <c r="P683" s="120" t="s">
        <v>251</v>
      </c>
      <c r="Q683" s="120" t="s">
        <v>251</v>
      </c>
      <c r="R683" s="120"/>
      <c r="S683" s="121"/>
    </row>
    <row r="684" spans="1:19" ht="15">
      <c r="A684" s="105" t="s">
        <v>251</v>
      </c>
      <c r="B684" s="105"/>
      <c r="C684" s="107" t="s">
        <v>358</v>
      </c>
      <c r="D684" s="107" t="s">
        <v>251</v>
      </c>
      <c r="E684" s="120" t="s">
        <v>251</v>
      </c>
      <c r="F684" s="120" t="s">
        <v>251</v>
      </c>
      <c r="G684" s="120" t="s">
        <v>251</v>
      </c>
      <c r="H684" s="120" t="s">
        <v>251</v>
      </c>
      <c r="I684" s="120" t="s">
        <v>251</v>
      </c>
      <c r="J684" s="120" t="s">
        <v>251</v>
      </c>
      <c r="K684" s="120" t="s">
        <v>251</v>
      </c>
      <c r="L684" s="120" t="s">
        <v>251</v>
      </c>
      <c r="M684" s="120" t="s">
        <v>251</v>
      </c>
      <c r="N684" s="120" t="s">
        <v>251</v>
      </c>
      <c r="O684" s="120" t="s">
        <v>251</v>
      </c>
      <c r="P684" s="120" t="s">
        <v>251</v>
      </c>
      <c r="Q684" s="120" t="s">
        <v>251</v>
      </c>
      <c r="R684" s="120"/>
      <c r="S684" s="121"/>
    </row>
    <row r="685" spans="1:19" ht="15">
      <c r="A685" s="105">
        <v>19</v>
      </c>
      <c r="B685" s="105"/>
      <c r="C685" s="107" t="s">
        <v>456</v>
      </c>
      <c r="D685" s="107" t="s">
        <v>747</v>
      </c>
      <c r="E685" s="120">
        <v>0</v>
      </c>
      <c r="F685" s="120" t="s">
        <v>251</v>
      </c>
      <c r="G685" s="120">
        <v>0</v>
      </c>
      <c r="H685" s="120" t="s">
        <v>251</v>
      </c>
      <c r="I685" s="120">
        <v>0</v>
      </c>
      <c r="J685" s="120">
        <v>0</v>
      </c>
      <c r="K685" s="120" t="s">
        <v>251</v>
      </c>
      <c r="L685" s="120" t="s">
        <v>251</v>
      </c>
      <c r="M685" s="120">
        <v>0</v>
      </c>
      <c r="N685" s="120" t="s">
        <v>251</v>
      </c>
      <c r="O685" s="120">
        <v>0</v>
      </c>
      <c r="P685" s="120">
        <v>0</v>
      </c>
      <c r="Q685" s="120">
        <v>0</v>
      </c>
      <c r="R685" s="120"/>
      <c r="S685" s="121"/>
    </row>
    <row r="686" spans="1:19" ht="15">
      <c r="A686" s="105">
        <v>20</v>
      </c>
      <c r="B686" s="105"/>
      <c r="C686" s="107" t="s">
        <v>458</v>
      </c>
      <c r="D686" s="107" t="s">
        <v>525</v>
      </c>
      <c r="E686" s="120">
        <v>0</v>
      </c>
      <c r="F686" s="120" t="s">
        <v>251</v>
      </c>
      <c r="G686" s="120">
        <v>0</v>
      </c>
      <c r="H686" s="120" t="s">
        <v>251</v>
      </c>
      <c r="I686" s="120">
        <v>0</v>
      </c>
      <c r="J686" s="120">
        <v>0</v>
      </c>
      <c r="K686" s="120" t="s">
        <v>251</v>
      </c>
      <c r="L686" s="120" t="s">
        <v>251</v>
      </c>
      <c r="M686" s="120">
        <v>0</v>
      </c>
      <c r="N686" s="120" t="s">
        <v>251</v>
      </c>
      <c r="O686" s="120">
        <v>0</v>
      </c>
      <c r="P686" s="120">
        <v>0</v>
      </c>
      <c r="Q686" s="120">
        <v>0</v>
      </c>
      <c r="R686" s="120"/>
      <c r="S686" s="121"/>
    </row>
    <row r="687" spans="1:19" ht="15">
      <c r="A687" s="105" t="s">
        <v>251</v>
      </c>
      <c r="B687" s="105"/>
      <c r="C687" s="107" t="s">
        <v>251</v>
      </c>
      <c r="D687" s="107" t="s">
        <v>251</v>
      </c>
      <c r="E687" s="120" t="s">
        <v>251</v>
      </c>
      <c r="F687" s="120" t="s">
        <v>251</v>
      </c>
      <c r="G687" s="120" t="s">
        <v>251</v>
      </c>
      <c r="H687" s="120" t="s">
        <v>251</v>
      </c>
      <c r="I687" s="120" t="s">
        <v>251</v>
      </c>
      <c r="J687" s="120" t="s">
        <v>251</v>
      </c>
      <c r="K687" s="120" t="s">
        <v>251</v>
      </c>
      <c r="L687" s="120" t="s">
        <v>251</v>
      </c>
      <c r="M687" s="120" t="s">
        <v>251</v>
      </c>
      <c r="N687" s="120" t="s">
        <v>251</v>
      </c>
      <c r="O687" s="120" t="s">
        <v>251</v>
      </c>
      <c r="P687" s="120" t="s">
        <v>251</v>
      </c>
      <c r="Q687" s="120" t="s">
        <v>251</v>
      </c>
      <c r="R687" s="120"/>
      <c r="S687" s="121"/>
    </row>
    <row r="688" spans="1:19" ht="15">
      <c r="A688" s="105">
        <v>21</v>
      </c>
      <c r="B688" s="105"/>
      <c r="C688" s="107" t="s">
        <v>467</v>
      </c>
      <c r="D688" s="107" t="s">
        <v>251</v>
      </c>
      <c r="E688" s="120">
        <v>0</v>
      </c>
      <c r="F688" s="120" t="s">
        <v>251</v>
      </c>
      <c r="G688" s="120">
        <v>0</v>
      </c>
      <c r="H688" s="120" t="s">
        <v>251</v>
      </c>
      <c r="I688" s="120">
        <v>0</v>
      </c>
      <c r="J688" s="120">
        <v>0</v>
      </c>
      <c r="K688" s="120" t="s">
        <v>251</v>
      </c>
      <c r="L688" s="120" t="s">
        <v>251</v>
      </c>
      <c r="M688" s="120">
        <v>0</v>
      </c>
      <c r="N688" s="120" t="s">
        <v>251</v>
      </c>
      <c r="O688" s="120">
        <v>0</v>
      </c>
      <c r="P688" s="120">
        <v>0</v>
      </c>
      <c r="Q688" s="120">
        <v>0</v>
      </c>
      <c r="R688" s="120"/>
      <c r="S688" s="121"/>
    </row>
    <row r="689" spans="1:19" ht="15">
      <c r="A689" s="105" t="s">
        <v>251</v>
      </c>
      <c r="B689" s="105"/>
      <c r="C689" s="107" t="s">
        <v>251</v>
      </c>
      <c r="D689" s="107" t="s">
        <v>251</v>
      </c>
      <c r="E689" s="120" t="s">
        <v>251</v>
      </c>
      <c r="F689" s="120" t="s">
        <v>251</v>
      </c>
      <c r="G689" s="120" t="s">
        <v>251</v>
      </c>
      <c r="H689" s="120" t="s">
        <v>251</v>
      </c>
      <c r="I689" s="120" t="s">
        <v>251</v>
      </c>
      <c r="J689" s="120" t="s">
        <v>251</v>
      </c>
      <c r="K689" s="120" t="s">
        <v>251</v>
      </c>
      <c r="L689" s="120" t="s">
        <v>251</v>
      </c>
      <c r="M689" s="120" t="s">
        <v>251</v>
      </c>
      <c r="N689" s="120" t="s">
        <v>251</v>
      </c>
      <c r="O689" s="120" t="s">
        <v>251</v>
      </c>
      <c r="P689" s="120" t="s">
        <v>251</v>
      </c>
      <c r="Q689" s="120" t="s">
        <v>251</v>
      </c>
      <c r="R689" s="120"/>
      <c r="S689" s="121"/>
    </row>
    <row r="690" spans="1:19" ht="15">
      <c r="A690" s="105">
        <v>22</v>
      </c>
      <c r="B690" s="105"/>
      <c r="C690" s="107" t="s">
        <v>756</v>
      </c>
      <c r="D690" s="107" t="s">
        <v>251</v>
      </c>
      <c r="E690" s="120">
        <v>0</v>
      </c>
      <c r="F690" s="120" t="s">
        <v>251</v>
      </c>
      <c r="G690" s="120">
        <v>0</v>
      </c>
      <c r="H690" s="120" t="s">
        <v>251</v>
      </c>
      <c r="I690" s="120">
        <v>0</v>
      </c>
      <c r="J690" s="120">
        <v>0</v>
      </c>
      <c r="K690" s="120" t="s">
        <v>251</v>
      </c>
      <c r="L690" s="120" t="s">
        <v>251</v>
      </c>
      <c r="M690" s="120">
        <v>0</v>
      </c>
      <c r="N690" s="120" t="s">
        <v>251</v>
      </c>
      <c r="O690" s="120">
        <v>0</v>
      </c>
      <c r="P690" s="120">
        <v>0</v>
      </c>
      <c r="Q690" s="120">
        <v>0</v>
      </c>
      <c r="R690" s="120"/>
      <c r="S690" s="121"/>
    </row>
    <row r="691" spans="1:19" ht="15">
      <c r="A691" s="105" t="s">
        <v>251</v>
      </c>
      <c r="B691" s="105"/>
      <c r="C691" s="107" t="s">
        <v>251</v>
      </c>
      <c r="D691" s="107" t="s">
        <v>251</v>
      </c>
      <c r="E691" s="120" t="s">
        <v>251</v>
      </c>
      <c r="F691" s="120" t="s">
        <v>251</v>
      </c>
      <c r="G691" s="120" t="s">
        <v>251</v>
      </c>
      <c r="H691" s="120" t="s">
        <v>251</v>
      </c>
      <c r="I691" s="120" t="s">
        <v>251</v>
      </c>
      <c r="J691" s="120" t="s">
        <v>251</v>
      </c>
      <c r="K691" s="120" t="s">
        <v>251</v>
      </c>
      <c r="L691" s="120" t="s">
        <v>251</v>
      </c>
      <c r="M691" s="120" t="s">
        <v>251</v>
      </c>
      <c r="N691" s="120" t="s">
        <v>251</v>
      </c>
      <c r="O691" s="120" t="s">
        <v>251</v>
      </c>
      <c r="P691" s="120" t="s">
        <v>251</v>
      </c>
      <c r="Q691" s="120" t="s">
        <v>251</v>
      </c>
      <c r="R691" s="120"/>
      <c r="S691" s="121"/>
    </row>
    <row r="692" spans="1:19" ht="15">
      <c r="A692" s="105" t="s">
        <v>251</v>
      </c>
      <c r="B692" s="105"/>
      <c r="C692" s="107" t="s">
        <v>757</v>
      </c>
      <c r="D692" s="107" t="s">
        <v>251</v>
      </c>
      <c r="E692" s="120" t="s">
        <v>251</v>
      </c>
      <c r="F692" s="120" t="s">
        <v>251</v>
      </c>
      <c r="G692" s="120" t="s">
        <v>251</v>
      </c>
      <c r="H692" s="120" t="s">
        <v>251</v>
      </c>
      <c r="I692" s="120" t="s">
        <v>251</v>
      </c>
      <c r="J692" s="120" t="s">
        <v>251</v>
      </c>
      <c r="K692" s="120" t="s">
        <v>251</v>
      </c>
      <c r="L692" s="120" t="s">
        <v>251</v>
      </c>
      <c r="M692" s="120" t="s">
        <v>251</v>
      </c>
      <c r="N692" s="120" t="s">
        <v>251</v>
      </c>
      <c r="O692" s="120" t="s">
        <v>251</v>
      </c>
      <c r="P692" s="120" t="s">
        <v>251</v>
      </c>
      <c r="Q692" s="120" t="s">
        <v>251</v>
      </c>
      <c r="R692" s="120"/>
      <c r="S692" s="121"/>
    </row>
    <row r="693" spans="1:19" ht="15">
      <c r="A693" s="105" t="s">
        <v>251</v>
      </c>
      <c r="B693" s="105"/>
      <c r="C693" s="107" t="s">
        <v>251</v>
      </c>
      <c r="D693" s="107" t="s">
        <v>251</v>
      </c>
      <c r="E693" s="120" t="s">
        <v>251</v>
      </c>
      <c r="F693" s="120" t="s">
        <v>251</v>
      </c>
      <c r="G693" s="120" t="s">
        <v>251</v>
      </c>
      <c r="H693" s="120" t="s">
        <v>251</v>
      </c>
      <c r="I693" s="120" t="s">
        <v>251</v>
      </c>
      <c r="J693" s="120" t="s">
        <v>251</v>
      </c>
      <c r="K693" s="120" t="s">
        <v>251</v>
      </c>
      <c r="L693" s="120" t="s">
        <v>251</v>
      </c>
      <c r="M693" s="120" t="s">
        <v>251</v>
      </c>
      <c r="N693" s="120" t="s">
        <v>251</v>
      </c>
      <c r="O693" s="120" t="s">
        <v>251</v>
      </c>
      <c r="P693" s="120" t="s">
        <v>251</v>
      </c>
      <c r="Q693" s="120" t="s">
        <v>251</v>
      </c>
      <c r="R693" s="120"/>
      <c r="S693" s="121"/>
    </row>
    <row r="694" spans="1:19" ht="15">
      <c r="A694" s="105" t="s">
        <v>251</v>
      </c>
      <c r="B694" s="105"/>
      <c r="C694" s="107" t="s">
        <v>758</v>
      </c>
      <c r="D694" s="107" t="s">
        <v>251</v>
      </c>
      <c r="E694" s="120" t="s">
        <v>251</v>
      </c>
      <c r="F694" s="120" t="s">
        <v>251</v>
      </c>
      <c r="G694" s="120" t="s">
        <v>251</v>
      </c>
      <c r="H694" s="120" t="s">
        <v>251</v>
      </c>
      <c r="I694" s="120" t="s">
        <v>251</v>
      </c>
      <c r="J694" s="120" t="s">
        <v>251</v>
      </c>
      <c r="K694" s="120" t="s">
        <v>251</v>
      </c>
      <c r="L694" s="120" t="s">
        <v>251</v>
      </c>
      <c r="M694" s="120" t="s">
        <v>251</v>
      </c>
      <c r="N694" s="120" t="s">
        <v>251</v>
      </c>
      <c r="O694" s="120" t="s">
        <v>251</v>
      </c>
      <c r="P694" s="120" t="s">
        <v>251</v>
      </c>
      <c r="Q694" s="120" t="s">
        <v>251</v>
      </c>
      <c r="R694" s="120"/>
      <c r="S694" s="121"/>
    </row>
    <row r="695" spans="1:19" ht="15">
      <c r="A695" s="105">
        <v>1</v>
      </c>
      <c r="B695" s="105"/>
      <c r="C695" s="107" t="s">
        <v>759</v>
      </c>
      <c r="D695" s="107" t="s">
        <v>760</v>
      </c>
      <c r="E695" s="120">
        <v>34192619.348729037</v>
      </c>
      <c r="F695" s="120" t="s">
        <v>251</v>
      </c>
      <c r="G695" s="120">
        <v>32075521.45303547</v>
      </c>
      <c r="H695" s="120" t="s">
        <v>251</v>
      </c>
      <c r="I695" s="120">
        <v>1628853.4943934281</v>
      </c>
      <c r="J695" s="120">
        <v>488244.40130014258</v>
      </c>
      <c r="K695" s="120" t="s">
        <v>251</v>
      </c>
      <c r="L695" s="120" t="s">
        <v>251</v>
      </c>
      <c r="M695" s="120">
        <v>2716.7089114066198</v>
      </c>
      <c r="N695" s="120" t="s">
        <v>251</v>
      </c>
      <c r="O695" s="120">
        <v>485527.69238873594</v>
      </c>
      <c r="P695" s="120">
        <v>252422.97098300915</v>
      </c>
      <c r="Q695" s="120">
        <v>233104.72140572677</v>
      </c>
      <c r="R695" s="120"/>
      <c r="S695" s="121"/>
    </row>
    <row r="696" spans="1:19" ht="15">
      <c r="A696" s="105">
        <v>2</v>
      </c>
      <c r="B696" s="105"/>
      <c r="C696" s="107" t="s">
        <v>761</v>
      </c>
      <c r="D696" s="107" t="s">
        <v>512</v>
      </c>
      <c r="E696" s="120">
        <v>3406958</v>
      </c>
      <c r="F696" s="120" t="s">
        <v>251</v>
      </c>
      <c r="G696" s="120">
        <v>3406958</v>
      </c>
      <c r="H696" s="120" t="s">
        <v>251</v>
      </c>
      <c r="I696" s="120">
        <v>0</v>
      </c>
      <c r="J696" s="120">
        <v>0</v>
      </c>
      <c r="K696" s="120" t="s">
        <v>251</v>
      </c>
      <c r="L696" s="120" t="s">
        <v>251</v>
      </c>
      <c r="M696" s="120">
        <v>0</v>
      </c>
      <c r="N696" s="120" t="s">
        <v>251</v>
      </c>
      <c r="O696" s="120">
        <v>0</v>
      </c>
      <c r="P696" s="120">
        <v>0</v>
      </c>
      <c r="Q696" s="120">
        <v>0</v>
      </c>
      <c r="R696" s="120"/>
      <c r="S696" s="121"/>
    </row>
    <row r="697" spans="1:19" ht="15">
      <c r="A697" s="105">
        <v>3</v>
      </c>
      <c r="B697" s="105"/>
      <c r="C697" s="107" t="s">
        <v>762</v>
      </c>
      <c r="D697" s="107" t="s">
        <v>736</v>
      </c>
      <c r="E697" s="120">
        <v>0</v>
      </c>
      <c r="F697" s="120" t="s">
        <v>251</v>
      </c>
      <c r="G697" s="120">
        <v>0</v>
      </c>
      <c r="H697" s="120" t="s">
        <v>251</v>
      </c>
      <c r="I697" s="120">
        <v>0</v>
      </c>
      <c r="J697" s="120">
        <v>0</v>
      </c>
      <c r="K697" s="120" t="s">
        <v>251</v>
      </c>
      <c r="L697" s="120" t="s">
        <v>251</v>
      </c>
      <c r="M697" s="120">
        <v>0</v>
      </c>
      <c r="N697" s="120" t="s">
        <v>251</v>
      </c>
      <c r="O697" s="120">
        <v>0</v>
      </c>
      <c r="P697" s="120">
        <v>0</v>
      </c>
      <c r="Q697" s="120">
        <v>0</v>
      </c>
      <c r="R697" s="120"/>
      <c r="S697" s="121"/>
    </row>
    <row r="698" spans="1:19" ht="15">
      <c r="A698" s="105">
        <v>4</v>
      </c>
      <c r="B698" s="105"/>
      <c r="C698" s="107" t="s">
        <v>2499</v>
      </c>
      <c r="D698" s="107" t="s">
        <v>419</v>
      </c>
      <c r="E698" s="120">
        <v>0</v>
      </c>
      <c r="F698" s="120" t="s">
        <v>251</v>
      </c>
      <c r="G698" s="120">
        <v>0</v>
      </c>
      <c r="H698" s="120" t="s">
        <v>251</v>
      </c>
      <c r="I698" s="120">
        <v>0</v>
      </c>
      <c r="J698" s="120">
        <v>0</v>
      </c>
      <c r="K698" s="120" t="s">
        <v>251</v>
      </c>
      <c r="L698" s="120" t="s">
        <v>251</v>
      </c>
      <c r="M698" s="120">
        <v>0</v>
      </c>
      <c r="N698" s="120" t="s">
        <v>251</v>
      </c>
      <c r="O698" s="120">
        <v>0</v>
      </c>
      <c r="P698" s="120">
        <v>0</v>
      </c>
      <c r="Q698" s="120">
        <v>0</v>
      </c>
      <c r="R698" s="120"/>
      <c r="S698" s="121"/>
    </row>
    <row r="699" spans="1:19" ht="15">
      <c r="A699" s="105">
        <v>5</v>
      </c>
      <c r="B699" s="105"/>
      <c r="C699" s="107" t="s">
        <v>2500</v>
      </c>
      <c r="D699" s="107" t="s">
        <v>419</v>
      </c>
      <c r="E699" s="120">
        <v>10653786</v>
      </c>
      <c r="F699" s="120" t="s">
        <v>251</v>
      </c>
      <c r="G699" s="120">
        <v>10021757.097850947</v>
      </c>
      <c r="H699" s="120" t="s">
        <v>251</v>
      </c>
      <c r="I699" s="120">
        <v>504433.28061443177</v>
      </c>
      <c r="J699" s="120">
        <v>127595.62153462086</v>
      </c>
      <c r="K699" s="120" t="s">
        <v>251</v>
      </c>
      <c r="L699" s="120" t="s">
        <v>251</v>
      </c>
      <c r="M699" s="120">
        <v>717.8718301993481</v>
      </c>
      <c r="N699" s="120" t="s">
        <v>251</v>
      </c>
      <c r="O699" s="120">
        <v>126877.74970442151</v>
      </c>
      <c r="P699" s="120">
        <v>66138.796804760452</v>
      </c>
      <c r="Q699" s="120">
        <v>60738.952899661061</v>
      </c>
      <c r="R699" s="120"/>
      <c r="S699" s="121"/>
    </row>
    <row r="700" spans="1:19" ht="15">
      <c r="A700" s="105">
        <v>6</v>
      </c>
      <c r="B700" s="105"/>
      <c r="C700" s="107" t="s">
        <v>763</v>
      </c>
      <c r="D700" s="107" t="s">
        <v>717</v>
      </c>
      <c r="E700" s="120">
        <v>0</v>
      </c>
      <c r="F700" s="120" t="s">
        <v>251</v>
      </c>
      <c r="G700" s="120">
        <v>0</v>
      </c>
      <c r="H700" s="120" t="s">
        <v>251</v>
      </c>
      <c r="I700" s="120">
        <v>0</v>
      </c>
      <c r="J700" s="120">
        <v>0</v>
      </c>
      <c r="K700" s="120" t="s">
        <v>251</v>
      </c>
      <c r="L700" s="120" t="s">
        <v>251</v>
      </c>
      <c r="M700" s="120">
        <v>0</v>
      </c>
      <c r="N700" s="120" t="s">
        <v>251</v>
      </c>
      <c r="O700" s="120">
        <v>0</v>
      </c>
      <c r="P700" s="120">
        <v>0</v>
      </c>
      <c r="Q700" s="120">
        <v>0</v>
      </c>
      <c r="R700" s="120"/>
      <c r="S700" s="121"/>
    </row>
    <row r="701" spans="1:19" ht="15">
      <c r="A701" s="105">
        <v>7</v>
      </c>
      <c r="B701" s="105"/>
      <c r="C701" s="107" t="s">
        <v>764</v>
      </c>
      <c r="D701" s="107" t="s">
        <v>251</v>
      </c>
      <c r="E701" s="120">
        <v>48253363.348729044</v>
      </c>
      <c r="F701" s="120" t="s">
        <v>251</v>
      </c>
      <c r="G701" s="120">
        <v>45504236.550886422</v>
      </c>
      <c r="H701" s="120" t="s">
        <v>251</v>
      </c>
      <c r="I701" s="120">
        <v>2133286.7750078598</v>
      </c>
      <c r="J701" s="120">
        <v>615840.0228347634</v>
      </c>
      <c r="K701" s="120" t="s">
        <v>251</v>
      </c>
      <c r="L701" s="120" t="s">
        <v>251</v>
      </c>
      <c r="M701" s="120">
        <v>3434.5807416059679</v>
      </c>
      <c r="N701" s="120" t="s">
        <v>251</v>
      </c>
      <c r="O701" s="120">
        <v>612405.44209315744</v>
      </c>
      <c r="P701" s="120">
        <v>318561.76778776961</v>
      </c>
      <c r="Q701" s="120">
        <v>293843.67430538783</v>
      </c>
      <c r="R701" s="120"/>
      <c r="S701" s="121"/>
    </row>
    <row r="702" spans="1:19" ht="15">
      <c r="A702" s="105" t="s">
        <v>251</v>
      </c>
      <c r="B702" s="105"/>
      <c r="C702" s="107" t="s">
        <v>251</v>
      </c>
      <c r="D702" s="107" t="s">
        <v>251</v>
      </c>
      <c r="E702" s="120" t="s">
        <v>251</v>
      </c>
      <c r="F702" s="120" t="s">
        <v>251</v>
      </c>
      <c r="G702" s="120" t="s">
        <v>251</v>
      </c>
      <c r="H702" s="120" t="s">
        <v>251</v>
      </c>
      <c r="I702" s="120" t="s">
        <v>251</v>
      </c>
      <c r="J702" s="120" t="s">
        <v>251</v>
      </c>
      <c r="K702" s="120" t="s">
        <v>251</v>
      </c>
      <c r="L702" s="120" t="s">
        <v>251</v>
      </c>
      <c r="M702" s="120" t="s">
        <v>251</v>
      </c>
      <c r="N702" s="120" t="s">
        <v>251</v>
      </c>
      <c r="O702" s="120" t="s">
        <v>251</v>
      </c>
      <c r="P702" s="120" t="s">
        <v>251</v>
      </c>
      <c r="Q702" s="120" t="s">
        <v>251</v>
      </c>
      <c r="R702" s="120"/>
      <c r="S702" s="121"/>
    </row>
    <row r="703" spans="1:19" ht="15">
      <c r="A703" s="105">
        <v>8</v>
      </c>
      <c r="B703" s="105"/>
      <c r="C703" s="107" t="s">
        <v>765</v>
      </c>
      <c r="D703" s="107" t="s">
        <v>304</v>
      </c>
      <c r="E703" s="120">
        <v>0</v>
      </c>
      <c r="F703" s="120" t="s">
        <v>251</v>
      </c>
      <c r="G703" s="120">
        <v>0</v>
      </c>
      <c r="H703" s="120" t="s">
        <v>251</v>
      </c>
      <c r="I703" s="120">
        <v>0</v>
      </c>
      <c r="J703" s="120">
        <v>0</v>
      </c>
      <c r="K703" s="120" t="s">
        <v>251</v>
      </c>
      <c r="L703" s="120" t="s">
        <v>251</v>
      </c>
      <c r="M703" s="120">
        <v>0</v>
      </c>
      <c r="N703" s="120" t="s">
        <v>251</v>
      </c>
      <c r="O703" s="120">
        <v>0</v>
      </c>
      <c r="P703" s="120">
        <v>0</v>
      </c>
      <c r="Q703" s="120">
        <v>0</v>
      </c>
      <c r="R703" s="120"/>
      <c r="S703" s="121"/>
    </row>
    <row r="704" spans="1:19" ht="15">
      <c r="A704" s="105">
        <v>9</v>
      </c>
      <c r="B704" s="105"/>
      <c r="C704" s="107" t="s">
        <v>766</v>
      </c>
      <c r="D704" s="107" t="s">
        <v>717</v>
      </c>
      <c r="E704" s="120">
        <v>0</v>
      </c>
      <c r="F704" s="120" t="s">
        <v>251</v>
      </c>
      <c r="G704" s="120">
        <v>0</v>
      </c>
      <c r="H704" s="120" t="s">
        <v>251</v>
      </c>
      <c r="I704" s="120">
        <v>0</v>
      </c>
      <c r="J704" s="120">
        <v>0</v>
      </c>
      <c r="K704" s="120" t="s">
        <v>251</v>
      </c>
      <c r="L704" s="120" t="s">
        <v>251</v>
      </c>
      <c r="M704" s="120">
        <v>0</v>
      </c>
      <c r="N704" s="120" t="s">
        <v>251</v>
      </c>
      <c r="O704" s="120">
        <v>0</v>
      </c>
      <c r="P704" s="120">
        <v>0</v>
      </c>
      <c r="Q704" s="120">
        <v>0</v>
      </c>
      <c r="R704" s="120"/>
      <c r="S704" s="121"/>
    </row>
    <row r="705" spans="1:19" ht="15">
      <c r="A705" s="105">
        <v>10</v>
      </c>
      <c r="B705" s="105"/>
      <c r="C705" s="107" t="s">
        <v>767</v>
      </c>
      <c r="D705" s="107" t="s">
        <v>419</v>
      </c>
      <c r="E705" s="120">
        <v>1123628.06</v>
      </c>
      <c r="F705" s="120" t="s">
        <v>251</v>
      </c>
      <c r="G705" s="120">
        <v>0</v>
      </c>
      <c r="H705" s="120" t="s">
        <v>251</v>
      </c>
      <c r="I705" s="120">
        <v>26600.655790168377</v>
      </c>
      <c r="J705" s="120">
        <v>0</v>
      </c>
      <c r="K705" s="120" t="s">
        <v>251</v>
      </c>
      <c r="L705" s="120" t="s">
        <v>251</v>
      </c>
      <c r="M705" s="120">
        <v>0</v>
      </c>
      <c r="N705" s="120" t="s">
        <v>251</v>
      </c>
      <c r="O705" s="120">
        <v>0</v>
      </c>
      <c r="P705" s="120">
        <v>0</v>
      </c>
      <c r="Q705" s="120">
        <v>0</v>
      </c>
      <c r="R705" s="120"/>
      <c r="S705" s="121"/>
    </row>
    <row r="706" spans="1:19" ht="15">
      <c r="A706" s="105" t="s">
        <v>251</v>
      </c>
      <c r="B706" s="105"/>
      <c r="C706" s="107" t="s">
        <v>251</v>
      </c>
      <c r="D706" s="107" t="s">
        <v>251</v>
      </c>
      <c r="E706" s="120" t="s">
        <v>251</v>
      </c>
      <c r="F706" s="120" t="s">
        <v>251</v>
      </c>
      <c r="G706" s="120" t="s">
        <v>251</v>
      </c>
      <c r="H706" s="120" t="s">
        <v>251</v>
      </c>
      <c r="I706" s="120" t="s">
        <v>251</v>
      </c>
      <c r="J706" s="120" t="s">
        <v>251</v>
      </c>
      <c r="K706" s="120" t="s">
        <v>251</v>
      </c>
      <c r="L706" s="120" t="s">
        <v>251</v>
      </c>
      <c r="M706" s="120" t="s">
        <v>251</v>
      </c>
      <c r="N706" s="120" t="s">
        <v>251</v>
      </c>
      <c r="O706" s="120" t="s">
        <v>251</v>
      </c>
      <c r="P706" s="120" t="s">
        <v>251</v>
      </c>
      <c r="Q706" s="120" t="s">
        <v>251</v>
      </c>
      <c r="R706" s="120"/>
      <c r="S706" s="121"/>
    </row>
    <row r="707" spans="1:19" ht="15">
      <c r="A707" s="105" t="s">
        <v>251</v>
      </c>
      <c r="B707" s="105"/>
      <c r="C707" s="107" t="s">
        <v>768</v>
      </c>
      <c r="D707" s="107" t="s">
        <v>251</v>
      </c>
      <c r="E707" s="120" t="s">
        <v>251</v>
      </c>
      <c r="F707" s="120" t="s">
        <v>251</v>
      </c>
      <c r="G707" s="120" t="s">
        <v>251</v>
      </c>
      <c r="H707" s="120" t="s">
        <v>251</v>
      </c>
      <c r="I707" s="120" t="s">
        <v>251</v>
      </c>
      <c r="J707" s="120" t="s">
        <v>251</v>
      </c>
      <c r="K707" s="120" t="s">
        <v>251</v>
      </c>
      <c r="L707" s="120" t="s">
        <v>251</v>
      </c>
      <c r="M707" s="120" t="s">
        <v>251</v>
      </c>
      <c r="N707" s="120" t="s">
        <v>251</v>
      </c>
      <c r="O707" s="120" t="s">
        <v>251</v>
      </c>
      <c r="P707" s="120" t="s">
        <v>251</v>
      </c>
      <c r="Q707" s="120" t="s">
        <v>251</v>
      </c>
      <c r="R707" s="120"/>
      <c r="S707" s="121"/>
    </row>
    <row r="708" spans="1:19" ht="15">
      <c r="A708" s="105">
        <v>11</v>
      </c>
      <c r="B708" s="105"/>
      <c r="C708" s="107" t="s">
        <v>528</v>
      </c>
      <c r="D708" s="107" t="s">
        <v>498</v>
      </c>
      <c r="E708" s="120">
        <v>0</v>
      </c>
      <c r="F708" s="120" t="s">
        <v>251</v>
      </c>
      <c r="G708" s="120">
        <v>0</v>
      </c>
      <c r="H708" s="120" t="s">
        <v>251</v>
      </c>
      <c r="I708" s="120">
        <v>0</v>
      </c>
      <c r="J708" s="120">
        <v>0</v>
      </c>
      <c r="K708" s="120" t="s">
        <v>251</v>
      </c>
      <c r="L708" s="120" t="s">
        <v>251</v>
      </c>
      <c r="M708" s="120">
        <v>0</v>
      </c>
      <c r="N708" s="120" t="s">
        <v>251</v>
      </c>
      <c r="O708" s="120">
        <v>0</v>
      </c>
      <c r="P708" s="120">
        <v>0</v>
      </c>
      <c r="Q708" s="120">
        <v>0</v>
      </c>
      <c r="R708" s="120"/>
      <c r="S708" s="121"/>
    </row>
    <row r="709" spans="1:19" ht="15">
      <c r="A709" s="105">
        <v>12</v>
      </c>
      <c r="B709" s="105"/>
      <c r="C709" s="107" t="s">
        <v>529</v>
      </c>
      <c r="D709" s="107" t="s">
        <v>500</v>
      </c>
      <c r="E709" s="120">
        <v>0</v>
      </c>
      <c r="F709" s="120" t="s">
        <v>251</v>
      </c>
      <c r="G709" s="120">
        <v>0</v>
      </c>
      <c r="H709" s="120" t="s">
        <v>251</v>
      </c>
      <c r="I709" s="120">
        <v>0</v>
      </c>
      <c r="J709" s="120">
        <v>0</v>
      </c>
      <c r="K709" s="120" t="s">
        <v>251</v>
      </c>
      <c r="L709" s="120" t="s">
        <v>251</v>
      </c>
      <c r="M709" s="120">
        <v>0</v>
      </c>
      <c r="N709" s="120" t="s">
        <v>251</v>
      </c>
      <c r="O709" s="120">
        <v>0</v>
      </c>
      <c r="P709" s="120">
        <v>0</v>
      </c>
      <c r="Q709" s="120">
        <v>0</v>
      </c>
      <c r="R709" s="120"/>
      <c r="S709" s="121"/>
    </row>
    <row r="710" spans="1:19" ht="15">
      <c r="A710" s="105">
        <v>13</v>
      </c>
      <c r="B710" s="105"/>
      <c r="C710" s="107" t="s">
        <v>769</v>
      </c>
      <c r="D710" s="107" t="s">
        <v>459</v>
      </c>
      <c r="E710" s="120">
        <v>0</v>
      </c>
      <c r="F710" s="120" t="s">
        <v>251</v>
      </c>
      <c r="G710" s="120">
        <v>0</v>
      </c>
      <c r="H710" s="120" t="s">
        <v>251</v>
      </c>
      <c r="I710" s="120">
        <v>0</v>
      </c>
      <c r="J710" s="120">
        <v>0</v>
      </c>
      <c r="K710" s="120" t="s">
        <v>251</v>
      </c>
      <c r="L710" s="120" t="s">
        <v>251</v>
      </c>
      <c r="M710" s="120">
        <v>0</v>
      </c>
      <c r="N710" s="120" t="s">
        <v>251</v>
      </c>
      <c r="O710" s="120">
        <v>0</v>
      </c>
      <c r="P710" s="120">
        <v>0</v>
      </c>
      <c r="Q710" s="120">
        <v>0</v>
      </c>
      <c r="R710" s="120"/>
      <c r="S710" s="121"/>
    </row>
    <row r="711" spans="1:19" ht="15">
      <c r="A711" s="105">
        <v>14</v>
      </c>
      <c r="B711" s="105"/>
      <c r="C711" s="107" t="s">
        <v>770</v>
      </c>
      <c r="D711" s="107" t="s">
        <v>771</v>
      </c>
      <c r="E711" s="120">
        <v>0</v>
      </c>
      <c r="F711" s="120" t="s">
        <v>251</v>
      </c>
      <c r="G711" s="120">
        <v>0</v>
      </c>
      <c r="H711" s="120" t="s">
        <v>251</v>
      </c>
      <c r="I711" s="120">
        <v>0</v>
      </c>
      <c r="J711" s="120">
        <v>0</v>
      </c>
      <c r="K711" s="120" t="s">
        <v>251</v>
      </c>
      <c r="L711" s="120" t="s">
        <v>251</v>
      </c>
      <c r="M711" s="120">
        <v>0</v>
      </c>
      <c r="N711" s="120" t="s">
        <v>251</v>
      </c>
      <c r="O711" s="120">
        <v>0</v>
      </c>
      <c r="P711" s="120">
        <v>0</v>
      </c>
      <c r="Q711" s="120">
        <v>0</v>
      </c>
      <c r="R711" s="120"/>
      <c r="S711" s="121"/>
    </row>
    <row r="712" spans="1:19" ht="15">
      <c r="A712" s="105">
        <v>15</v>
      </c>
      <c r="B712" s="105"/>
      <c r="C712" s="107" t="s">
        <v>533</v>
      </c>
      <c r="D712" s="107" t="s">
        <v>525</v>
      </c>
      <c r="E712" s="120">
        <v>0</v>
      </c>
      <c r="F712" s="120" t="s">
        <v>251</v>
      </c>
      <c r="G712" s="120">
        <v>0</v>
      </c>
      <c r="H712" s="120" t="s">
        <v>251</v>
      </c>
      <c r="I712" s="120">
        <v>0</v>
      </c>
      <c r="J712" s="120">
        <v>0</v>
      </c>
      <c r="K712" s="120" t="s">
        <v>251</v>
      </c>
      <c r="L712" s="120" t="s">
        <v>251</v>
      </c>
      <c r="M712" s="120">
        <v>0</v>
      </c>
      <c r="N712" s="120" t="s">
        <v>251</v>
      </c>
      <c r="O712" s="120">
        <v>0</v>
      </c>
      <c r="P712" s="120">
        <v>0</v>
      </c>
      <c r="Q712" s="120">
        <v>0</v>
      </c>
      <c r="R712" s="120"/>
      <c r="S712" s="121"/>
    </row>
    <row r="713" spans="1:19" ht="15">
      <c r="A713" s="105">
        <v>16</v>
      </c>
      <c r="B713" s="105"/>
      <c r="C713" s="107" t="s">
        <v>534</v>
      </c>
      <c r="D713" s="107" t="s">
        <v>468</v>
      </c>
      <c r="E713" s="120">
        <v>0</v>
      </c>
      <c r="F713" s="120" t="s">
        <v>251</v>
      </c>
      <c r="G713" s="120">
        <v>0</v>
      </c>
      <c r="H713" s="120" t="s">
        <v>251</v>
      </c>
      <c r="I713" s="120">
        <v>0</v>
      </c>
      <c r="J713" s="120">
        <v>0</v>
      </c>
      <c r="K713" s="120" t="s">
        <v>251</v>
      </c>
      <c r="L713" s="120" t="s">
        <v>251</v>
      </c>
      <c r="M713" s="120">
        <v>0</v>
      </c>
      <c r="N713" s="120" t="s">
        <v>251</v>
      </c>
      <c r="O713" s="120">
        <v>0</v>
      </c>
      <c r="P713" s="120">
        <v>0</v>
      </c>
      <c r="Q713" s="120">
        <v>0</v>
      </c>
      <c r="R713" s="120"/>
      <c r="S713" s="121"/>
    </row>
    <row r="714" spans="1:19" ht="15">
      <c r="A714" s="105">
        <v>17</v>
      </c>
      <c r="B714" s="105"/>
      <c r="C714" s="107" t="s">
        <v>772</v>
      </c>
      <c r="D714" s="107" t="s">
        <v>251</v>
      </c>
      <c r="E714" s="120">
        <v>0</v>
      </c>
      <c r="F714" s="120" t="s">
        <v>251</v>
      </c>
      <c r="G714" s="120">
        <v>0</v>
      </c>
      <c r="H714" s="120" t="s">
        <v>251</v>
      </c>
      <c r="I714" s="120">
        <v>0</v>
      </c>
      <c r="J714" s="120">
        <v>0</v>
      </c>
      <c r="K714" s="120" t="s">
        <v>251</v>
      </c>
      <c r="L714" s="120" t="s">
        <v>251</v>
      </c>
      <c r="M714" s="120">
        <v>0</v>
      </c>
      <c r="N714" s="120" t="s">
        <v>251</v>
      </c>
      <c r="O714" s="120">
        <v>0</v>
      </c>
      <c r="P714" s="120">
        <v>0</v>
      </c>
      <c r="Q714" s="120">
        <v>0</v>
      </c>
      <c r="R714" s="120"/>
      <c r="S714" s="121"/>
    </row>
    <row r="715" spans="1:19" ht="15">
      <c r="A715" s="105" t="s">
        <v>251</v>
      </c>
      <c r="B715" s="105"/>
      <c r="C715" s="107" t="s">
        <v>251</v>
      </c>
      <c r="D715" s="107" t="s">
        <v>251</v>
      </c>
      <c r="E715" s="120" t="s">
        <v>251</v>
      </c>
      <c r="F715" s="120" t="s">
        <v>251</v>
      </c>
      <c r="G715" s="120" t="s">
        <v>251</v>
      </c>
      <c r="H715" s="120" t="s">
        <v>251</v>
      </c>
      <c r="I715" s="120" t="s">
        <v>251</v>
      </c>
      <c r="J715" s="120" t="s">
        <v>251</v>
      </c>
      <c r="K715" s="120" t="s">
        <v>251</v>
      </c>
      <c r="L715" s="120" t="s">
        <v>251</v>
      </c>
      <c r="M715" s="120" t="s">
        <v>251</v>
      </c>
      <c r="N715" s="120" t="s">
        <v>251</v>
      </c>
      <c r="O715" s="120" t="s">
        <v>251</v>
      </c>
      <c r="P715" s="120" t="s">
        <v>251</v>
      </c>
      <c r="Q715" s="120" t="s">
        <v>251</v>
      </c>
      <c r="R715" s="120"/>
      <c r="S715" s="121"/>
    </row>
    <row r="716" spans="1:19" ht="15">
      <c r="A716" s="105">
        <v>18</v>
      </c>
      <c r="B716" s="105"/>
      <c r="C716" s="107" t="s">
        <v>773</v>
      </c>
      <c r="D716" s="107" t="s">
        <v>251</v>
      </c>
      <c r="E716" s="120">
        <v>1354889939.0619576</v>
      </c>
      <c r="F716" s="120" t="s">
        <v>251</v>
      </c>
      <c r="G716" s="120">
        <v>1269996931.6346059</v>
      </c>
      <c r="H716" s="120" t="s">
        <v>251</v>
      </c>
      <c r="I716" s="120">
        <v>63109600.673913926</v>
      </c>
      <c r="J716" s="120">
        <v>21783406.753437709</v>
      </c>
      <c r="K716" s="120" t="s">
        <v>251</v>
      </c>
      <c r="L716" s="120" t="s">
        <v>251</v>
      </c>
      <c r="M716" s="120">
        <v>35937.089586358292</v>
      </c>
      <c r="N716" s="120" t="s">
        <v>251</v>
      </c>
      <c r="O716" s="120">
        <v>21747469.663851351</v>
      </c>
      <c r="P716" s="120">
        <v>11128577.147706876</v>
      </c>
      <c r="Q716" s="120">
        <v>10618892.516144473</v>
      </c>
      <c r="R716" s="120"/>
      <c r="S716" s="121"/>
    </row>
    <row r="717" spans="1:19" ht="15">
      <c r="A717" s="105" t="s">
        <v>251</v>
      </c>
      <c r="B717" s="105"/>
      <c r="C717" s="107" t="s">
        <v>251</v>
      </c>
      <c r="D717" s="107" t="s">
        <v>251</v>
      </c>
      <c r="E717" s="120" t="s">
        <v>251</v>
      </c>
      <c r="F717" s="120" t="s">
        <v>251</v>
      </c>
      <c r="G717" s="120" t="s">
        <v>251</v>
      </c>
      <c r="H717" s="120" t="s">
        <v>251</v>
      </c>
      <c r="I717" s="120" t="s">
        <v>251</v>
      </c>
      <c r="J717" s="120" t="s">
        <v>251</v>
      </c>
      <c r="K717" s="120" t="s">
        <v>251</v>
      </c>
      <c r="L717" s="120" t="s">
        <v>251</v>
      </c>
      <c r="M717" s="120" t="s">
        <v>251</v>
      </c>
      <c r="N717" s="120" t="s">
        <v>251</v>
      </c>
      <c r="O717" s="120" t="s">
        <v>251</v>
      </c>
      <c r="P717" s="120" t="s">
        <v>251</v>
      </c>
      <c r="Q717" s="120" t="s">
        <v>251</v>
      </c>
      <c r="R717" s="120"/>
      <c r="S717" s="121"/>
    </row>
    <row r="718" spans="1:19" ht="15">
      <c r="A718" s="105" t="s">
        <v>251</v>
      </c>
      <c r="B718" s="105"/>
      <c r="C718" s="107" t="s">
        <v>251</v>
      </c>
      <c r="D718" s="107" t="s">
        <v>251</v>
      </c>
      <c r="E718" s="120" t="s">
        <v>251</v>
      </c>
      <c r="F718" s="120" t="s">
        <v>251</v>
      </c>
      <c r="G718" s="120" t="s">
        <v>251</v>
      </c>
      <c r="H718" s="120" t="s">
        <v>251</v>
      </c>
      <c r="I718" s="120" t="s">
        <v>251</v>
      </c>
      <c r="J718" s="120" t="s">
        <v>251</v>
      </c>
      <c r="K718" s="120" t="s">
        <v>251</v>
      </c>
      <c r="L718" s="120" t="s">
        <v>251</v>
      </c>
      <c r="M718" s="120" t="s">
        <v>251</v>
      </c>
      <c r="N718" s="120" t="s">
        <v>251</v>
      </c>
      <c r="O718" s="120" t="s">
        <v>251</v>
      </c>
      <c r="P718" s="120" t="s">
        <v>251</v>
      </c>
      <c r="Q718" s="120" t="s">
        <v>251</v>
      </c>
      <c r="R718" s="120"/>
      <c r="S718" s="121"/>
    </row>
    <row r="719" spans="1:19" ht="15">
      <c r="A719" s="105" t="s">
        <v>251</v>
      </c>
      <c r="B719" s="105"/>
      <c r="C719" s="107" t="s">
        <v>251</v>
      </c>
      <c r="D719" s="107" t="s">
        <v>251</v>
      </c>
      <c r="E719" s="120" t="s">
        <v>251</v>
      </c>
      <c r="F719" s="120" t="s">
        <v>251</v>
      </c>
      <c r="G719" s="120" t="s">
        <v>251</v>
      </c>
      <c r="H719" s="120" t="s">
        <v>251</v>
      </c>
      <c r="I719" s="120" t="s">
        <v>251</v>
      </c>
      <c r="J719" s="120" t="s">
        <v>251</v>
      </c>
      <c r="K719" s="120" t="s">
        <v>251</v>
      </c>
      <c r="L719" s="120" t="s">
        <v>251</v>
      </c>
      <c r="M719" s="120" t="s">
        <v>251</v>
      </c>
      <c r="N719" s="120" t="s">
        <v>251</v>
      </c>
      <c r="O719" s="120" t="s">
        <v>251</v>
      </c>
      <c r="P719" s="120" t="s">
        <v>251</v>
      </c>
      <c r="Q719" s="120" t="s">
        <v>251</v>
      </c>
      <c r="R719" s="120"/>
      <c r="S719" s="121"/>
    </row>
    <row r="720" spans="1:19" ht="15">
      <c r="A720" s="105" t="s">
        <v>251</v>
      </c>
      <c r="B720" s="105"/>
      <c r="C720" s="107" t="s">
        <v>251</v>
      </c>
      <c r="D720" s="107" t="s">
        <v>251</v>
      </c>
      <c r="E720" s="120" t="s">
        <v>251</v>
      </c>
      <c r="F720" s="120" t="s">
        <v>251</v>
      </c>
      <c r="G720" s="120" t="s">
        <v>251</v>
      </c>
      <c r="H720" s="120" t="s">
        <v>251</v>
      </c>
      <c r="I720" s="120" t="s">
        <v>251</v>
      </c>
      <c r="J720" s="120" t="s">
        <v>251</v>
      </c>
      <c r="K720" s="120" t="s">
        <v>251</v>
      </c>
      <c r="L720" s="120" t="s">
        <v>251</v>
      </c>
      <c r="M720" s="120" t="s">
        <v>251</v>
      </c>
      <c r="N720" s="120" t="s">
        <v>251</v>
      </c>
      <c r="O720" s="120" t="s">
        <v>251</v>
      </c>
      <c r="P720" s="120" t="s">
        <v>251</v>
      </c>
      <c r="Q720" s="120" t="s">
        <v>251</v>
      </c>
      <c r="R720" s="120"/>
      <c r="S720" s="121"/>
    </row>
    <row r="721" spans="1:19" ht="15">
      <c r="A721" s="105" t="s">
        <v>251</v>
      </c>
      <c r="B721" s="105"/>
      <c r="C721" s="107" t="s">
        <v>251</v>
      </c>
      <c r="D721" s="107" t="s">
        <v>251</v>
      </c>
      <c r="E721" s="120" t="s">
        <v>251</v>
      </c>
      <c r="F721" s="120" t="s">
        <v>251</v>
      </c>
      <c r="G721" s="120" t="s">
        <v>251</v>
      </c>
      <c r="H721" s="120" t="s">
        <v>251</v>
      </c>
      <c r="I721" s="120" t="s">
        <v>251</v>
      </c>
      <c r="J721" s="120" t="s">
        <v>251</v>
      </c>
      <c r="K721" s="120" t="s">
        <v>251</v>
      </c>
      <c r="L721" s="120" t="s">
        <v>251</v>
      </c>
      <c r="M721" s="120" t="s">
        <v>251</v>
      </c>
      <c r="N721" s="120" t="s">
        <v>251</v>
      </c>
      <c r="O721" s="120" t="s">
        <v>251</v>
      </c>
      <c r="P721" s="120" t="s">
        <v>251</v>
      </c>
      <c r="Q721" s="120" t="s">
        <v>251</v>
      </c>
      <c r="R721" s="120"/>
      <c r="S721" s="121"/>
    </row>
    <row r="722" spans="1:19" ht="15">
      <c r="A722" s="105" t="s">
        <v>251</v>
      </c>
      <c r="B722" s="105"/>
      <c r="C722" s="107" t="s">
        <v>251</v>
      </c>
      <c r="D722" s="107" t="s">
        <v>251</v>
      </c>
      <c r="E722" s="120" t="s">
        <v>251</v>
      </c>
      <c r="F722" s="120" t="s">
        <v>251</v>
      </c>
      <c r="G722" s="120" t="s">
        <v>251</v>
      </c>
      <c r="H722" s="120" t="s">
        <v>251</v>
      </c>
      <c r="I722" s="120" t="s">
        <v>251</v>
      </c>
      <c r="J722" s="120" t="s">
        <v>251</v>
      </c>
      <c r="K722" s="120" t="s">
        <v>251</v>
      </c>
      <c r="L722" s="120" t="s">
        <v>251</v>
      </c>
      <c r="M722" s="120" t="s">
        <v>251</v>
      </c>
      <c r="N722" s="120" t="s">
        <v>251</v>
      </c>
      <c r="O722" s="120" t="s">
        <v>251</v>
      </c>
      <c r="P722" s="120" t="s">
        <v>251</v>
      </c>
      <c r="Q722" s="120" t="s">
        <v>251</v>
      </c>
      <c r="R722" s="120"/>
      <c r="S722" s="121"/>
    </row>
    <row r="723" spans="1:19" ht="15">
      <c r="A723" s="105" t="s">
        <v>251</v>
      </c>
      <c r="B723" s="105"/>
      <c r="C723" s="107" t="s">
        <v>251</v>
      </c>
      <c r="D723" s="107" t="s">
        <v>251</v>
      </c>
      <c r="E723" s="120" t="s">
        <v>251</v>
      </c>
      <c r="F723" s="120" t="s">
        <v>251</v>
      </c>
      <c r="G723" s="120" t="s">
        <v>251</v>
      </c>
      <c r="H723" s="120" t="s">
        <v>251</v>
      </c>
      <c r="I723" s="120" t="s">
        <v>251</v>
      </c>
      <c r="J723" s="120" t="s">
        <v>251</v>
      </c>
      <c r="K723" s="120" t="s">
        <v>251</v>
      </c>
      <c r="L723" s="120" t="s">
        <v>251</v>
      </c>
      <c r="M723" s="120" t="s">
        <v>251</v>
      </c>
      <c r="N723" s="120" t="s">
        <v>251</v>
      </c>
      <c r="O723" s="120" t="s">
        <v>251</v>
      </c>
      <c r="P723" s="120" t="s">
        <v>251</v>
      </c>
      <c r="Q723" s="120" t="s">
        <v>251</v>
      </c>
      <c r="R723" s="120"/>
      <c r="S723" s="121"/>
    </row>
    <row r="724" spans="1:19" ht="15">
      <c r="A724" s="105" t="s">
        <v>251</v>
      </c>
      <c r="B724" s="105"/>
      <c r="C724" s="107" t="s">
        <v>251</v>
      </c>
      <c r="D724" s="107" t="s">
        <v>251</v>
      </c>
      <c r="E724" s="120" t="s">
        <v>251</v>
      </c>
      <c r="F724" s="120" t="s">
        <v>251</v>
      </c>
      <c r="G724" s="120" t="s">
        <v>251</v>
      </c>
      <c r="H724" s="120" t="s">
        <v>251</v>
      </c>
      <c r="I724" s="120" t="s">
        <v>251</v>
      </c>
      <c r="J724" s="120" t="s">
        <v>251</v>
      </c>
      <c r="K724" s="120" t="s">
        <v>251</v>
      </c>
      <c r="L724" s="120" t="s">
        <v>251</v>
      </c>
      <c r="M724" s="120" t="s">
        <v>251</v>
      </c>
      <c r="N724" s="120" t="s">
        <v>251</v>
      </c>
      <c r="O724" s="120" t="s">
        <v>251</v>
      </c>
      <c r="P724" s="120" t="s">
        <v>251</v>
      </c>
      <c r="Q724" s="120" t="s">
        <v>251</v>
      </c>
      <c r="R724" s="120"/>
      <c r="S724" s="121"/>
    </row>
    <row r="725" spans="1:19" ht="15">
      <c r="A725" s="105" t="s">
        <v>251</v>
      </c>
      <c r="B725" s="105"/>
      <c r="C725" s="107" t="s">
        <v>774</v>
      </c>
      <c r="D725" s="107" t="s">
        <v>251</v>
      </c>
      <c r="E725" s="120" t="s">
        <v>251</v>
      </c>
      <c r="F725" s="120" t="s">
        <v>251</v>
      </c>
      <c r="G725" s="120" t="s">
        <v>251</v>
      </c>
      <c r="H725" s="120" t="s">
        <v>251</v>
      </c>
      <c r="I725" s="120" t="s">
        <v>251</v>
      </c>
      <c r="J725" s="120" t="s">
        <v>251</v>
      </c>
      <c r="K725" s="120" t="s">
        <v>251</v>
      </c>
      <c r="L725" s="120" t="s">
        <v>251</v>
      </c>
      <c r="M725" s="120" t="s">
        <v>251</v>
      </c>
      <c r="N725" s="120" t="s">
        <v>251</v>
      </c>
      <c r="O725" s="120" t="s">
        <v>251</v>
      </c>
      <c r="P725" s="120" t="s">
        <v>251</v>
      </c>
      <c r="Q725" s="120" t="s">
        <v>251</v>
      </c>
      <c r="R725" s="120"/>
      <c r="S725" s="121"/>
    </row>
    <row r="726" spans="1:19" ht="15">
      <c r="A726" s="105" t="s">
        <v>251</v>
      </c>
      <c r="B726" s="105"/>
      <c r="C726" s="107" t="s">
        <v>251</v>
      </c>
      <c r="D726" s="107" t="s">
        <v>251</v>
      </c>
      <c r="E726" s="120" t="s">
        <v>251</v>
      </c>
      <c r="F726" s="120" t="s">
        <v>251</v>
      </c>
      <c r="G726" s="120" t="s">
        <v>251</v>
      </c>
      <c r="H726" s="120" t="s">
        <v>251</v>
      </c>
      <c r="I726" s="120" t="s">
        <v>251</v>
      </c>
      <c r="J726" s="120" t="s">
        <v>251</v>
      </c>
      <c r="K726" s="120" t="s">
        <v>251</v>
      </c>
      <c r="L726" s="120" t="s">
        <v>251</v>
      </c>
      <c r="M726" s="120" t="s">
        <v>251</v>
      </c>
      <c r="N726" s="120" t="s">
        <v>251</v>
      </c>
      <c r="O726" s="120" t="s">
        <v>251</v>
      </c>
      <c r="P726" s="120" t="s">
        <v>251</v>
      </c>
      <c r="Q726" s="120" t="s">
        <v>251</v>
      </c>
      <c r="R726" s="120"/>
      <c r="S726" s="121"/>
    </row>
    <row r="727" spans="1:19" ht="15">
      <c r="A727" s="105">
        <v>1</v>
      </c>
      <c r="B727" s="105"/>
      <c r="C727" s="107" t="s">
        <v>775</v>
      </c>
      <c r="D727" s="107" t="s">
        <v>251</v>
      </c>
      <c r="E727" s="120">
        <v>381232511</v>
      </c>
      <c r="F727" s="120" t="s">
        <v>251</v>
      </c>
      <c r="G727" s="120">
        <v>367074323.93609715</v>
      </c>
      <c r="H727" s="120" t="s">
        <v>251</v>
      </c>
      <c r="I727" s="120">
        <v>10536667.501083136</v>
      </c>
      <c r="J727" s="120">
        <v>3621520.026366327</v>
      </c>
      <c r="K727" s="120" t="s">
        <v>251</v>
      </c>
      <c r="L727" s="120" t="s">
        <v>251</v>
      </c>
      <c r="M727" s="120">
        <v>-35764.956867454755</v>
      </c>
      <c r="N727" s="120" t="s">
        <v>251</v>
      </c>
      <c r="O727" s="120">
        <v>3657284.9832337815</v>
      </c>
      <c r="P727" s="120">
        <v>1817465.5591054354</v>
      </c>
      <c r="Q727" s="120">
        <v>1839819.4241283461</v>
      </c>
      <c r="R727" s="120"/>
      <c r="S727" s="121"/>
    </row>
    <row r="728" spans="1:19" ht="15">
      <c r="A728" s="105" t="s">
        <v>251</v>
      </c>
      <c r="B728" s="105"/>
      <c r="C728" s="107" t="s">
        <v>251</v>
      </c>
      <c r="D728" s="107" t="s">
        <v>251</v>
      </c>
      <c r="E728" s="120" t="s">
        <v>251</v>
      </c>
      <c r="F728" s="120" t="s">
        <v>251</v>
      </c>
      <c r="G728" s="120" t="s">
        <v>251</v>
      </c>
      <c r="H728" s="120" t="s">
        <v>251</v>
      </c>
      <c r="I728" s="120" t="s">
        <v>251</v>
      </c>
      <c r="J728" s="120" t="s">
        <v>251</v>
      </c>
      <c r="K728" s="120" t="s">
        <v>251</v>
      </c>
      <c r="L728" s="120" t="s">
        <v>251</v>
      </c>
      <c r="M728" s="120" t="s">
        <v>251</v>
      </c>
      <c r="N728" s="120" t="s">
        <v>251</v>
      </c>
      <c r="O728" s="120" t="s">
        <v>251</v>
      </c>
      <c r="P728" s="120" t="s">
        <v>251</v>
      </c>
      <c r="Q728" s="120" t="s">
        <v>251</v>
      </c>
      <c r="R728" s="120"/>
      <c r="S728" s="121"/>
    </row>
    <row r="729" spans="1:19" ht="15">
      <c r="A729" s="105" t="s">
        <v>251</v>
      </c>
      <c r="B729" s="105"/>
      <c r="C729" s="107" t="s">
        <v>776</v>
      </c>
      <c r="D729" s="107" t="s">
        <v>251</v>
      </c>
      <c r="E729" s="120" t="s">
        <v>251</v>
      </c>
      <c r="F729" s="120" t="s">
        <v>251</v>
      </c>
      <c r="G729" s="120" t="s">
        <v>251</v>
      </c>
      <c r="H729" s="120" t="s">
        <v>251</v>
      </c>
      <c r="I729" s="120" t="s">
        <v>251</v>
      </c>
      <c r="J729" s="120" t="s">
        <v>251</v>
      </c>
      <c r="K729" s="120" t="s">
        <v>251</v>
      </c>
      <c r="L729" s="120" t="s">
        <v>251</v>
      </c>
      <c r="M729" s="120" t="s">
        <v>251</v>
      </c>
      <c r="N729" s="120" t="s">
        <v>251</v>
      </c>
      <c r="O729" s="120" t="s">
        <v>251</v>
      </c>
      <c r="P729" s="120" t="s">
        <v>251</v>
      </c>
      <c r="Q729" s="120" t="s">
        <v>251</v>
      </c>
      <c r="R729" s="120"/>
      <c r="S729" s="121"/>
    </row>
    <row r="730" spans="1:19" ht="15">
      <c r="A730" s="105" t="s">
        <v>251</v>
      </c>
      <c r="B730" s="105"/>
      <c r="C730" s="107" t="s">
        <v>777</v>
      </c>
      <c r="D730" s="107" t="s">
        <v>251</v>
      </c>
      <c r="E730" s="120" t="s">
        <v>251</v>
      </c>
      <c r="F730" s="120" t="s">
        <v>251</v>
      </c>
      <c r="G730" s="120" t="s">
        <v>251</v>
      </c>
      <c r="H730" s="120" t="s">
        <v>251</v>
      </c>
      <c r="I730" s="120" t="s">
        <v>251</v>
      </c>
      <c r="J730" s="120" t="s">
        <v>251</v>
      </c>
      <c r="K730" s="120" t="s">
        <v>251</v>
      </c>
      <c r="L730" s="120" t="s">
        <v>251</v>
      </c>
      <c r="M730" s="120" t="s">
        <v>251</v>
      </c>
      <c r="N730" s="120" t="s">
        <v>251</v>
      </c>
      <c r="O730" s="120" t="s">
        <v>251</v>
      </c>
      <c r="P730" s="120" t="s">
        <v>251</v>
      </c>
      <c r="Q730" s="120" t="s">
        <v>251</v>
      </c>
      <c r="R730" s="120"/>
      <c r="S730" s="121"/>
    </row>
    <row r="731" spans="1:19" ht="15">
      <c r="A731" s="105">
        <v>2</v>
      </c>
      <c r="B731" s="105"/>
      <c r="C731" s="107" t="s">
        <v>251</v>
      </c>
      <c r="D731" s="107" t="s">
        <v>251</v>
      </c>
      <c r="E731" s="120" t="s">
        <v>251</v>
      </c>
      <c r="F731" s="120" t="s">
        <v>251</v>
      </c>
      <c r="G731" s="120" t="s">
        <v>251</v>
      </c>
      <c r="H731" s="120" t="s">
        <v>251</v>
      </c>
      <c r="I731" s="120" t="s">
        <v>251</v>
      </c>
      <c r="J731" s="120" t="s">
        <v>251</v>
      </c>
      <c r="K731" s="120" t="s">
        <v>251</v>
      </c>
      <c r="L731" s="120" t="s">
        <v>251</v>
      </c>
      <c r="M731" s="120" t="s">
        <v>251</v>
      </c>
      <c r="N731" s="120" t="s">
        <v>251</v>
      </c>
      <c r="O731" s="120" t="s">
        <v>251</v>
      </c>
      <c r="P731" s="120" t="s">
        <v>251</v>
      </c>
      <c r="Q731" s="120" t="s">
        <v>251</v>
      </c>
      <c r="R731" s="120"/>
      <c r="S731" s="121"/>
    </row>
    <row r="732" spans="1:19" ht="15">
      <c r="A732" s="105">
        <v>3</v>
      </c>
      <c r="B732" s="105"/>
      <c r="C732" s="107" t="s">
        <v>251</v>
      </c>
      <c r="D732" s="107" t="s">
        <v>251</v>
      </c>
      <c r="E732" s="120" t="s">
        <v>251</v>
      </c>
      <c r="F732" s="120" t="s">
        <v>251</v>
      </c>
      <c r="G732" s="120" t="s">
        <v>251</v>
      </c>
      <c r="H732" s="120" t="s">
        <v>251</v>
      </c>
      <c r="I732" s="120" t="s">
        <v>251</v>
      </c>
      <c r="J732" s="120" t="s">
        <v>251</v>
      </c>
      <c r="K732" s="120" t="s">
        <v>251</v>
      </c>
      <c r="L732" s="120" t="s">
        <v>251</v>
      </c>
      <c r="M732" s="120" t="s">
        <v>251</v>
      </c>
      <c r="N732" s="120" t="s">
        <v>251</v>
      </c>
      <c r="O732" s="120" t="s">
        <v>251</v>
      </c>
      <c r="P732" s="120" t="s">
        <v>251</v>
      </c>
      <c r="Q732" s="120" t="s">
        <v>251</v>
      </c>
      <c r="R732" s="120"/>
      <c r="S732" s="121"/>
    </row>
    <row r="733" spans="1:19" ht="15">
      <c r="A733" s="105">
        <v>4</v>
      </c>
      <c r="B733" s="105"/>
      <c r="C733" s="107" t="s">
        <v>778</v>
      </c>
      <c r="D733" s="107" t="s">
        <v>251</v>
      </c>
      <c r="E733" s="120">
        <v>0</v>
      </c>
      <c r="F733" s="120" t="s">
        <v>251</v>
      </c>
      <c r="G733" s="120">
        <v>0</v>
      </c>
      <c r="H733" s="120" t="s">
        <v>251</v>
      </c>
      <c r="I733" s="120">
        <v>0</v>
      </c>
      <c r="J733" s="120">
        <v>0</v>
      </c>
      <c r="K733" s="120" t="s">
        <v>251</v>
      </c>
      <c r="L733" s="120" t="s">
        <v>251</v>
      </c>
      <c r="M733" s="120">
        <v>0</v>
      </c>
      <c r="N733" s="120" t="s">
        <v>251</v>
      </c>
      <c r="O733" s="120">
        <v>0</v>
      </c>
      <c r="P733" s="120">
        <v>0</v>
      </c>
      <c r="Q733" s="120">
        <v>0</v>
      </c>
      <c r="R733" s="120"/>
      <c r="S733" s="121"/>
    </row>
    <row r="734" spans="1:19" ht="15">
      <c r="A734" s="105" t="s">
        <v>251</v>
      </c>
      <c r="B734" s="105"/>
      <c r="C734" s="107" t="s">
        <v>251</v>
      </c>
      <c r="D734" s="107" t="s">
        <v>251</v>
      </c>
      <c r="E734" s="120" t="s">
        <v>251</v>
      </c>
      <c r="F734" s="120" t="s">
        <v>251</v>
      </c>
      <c r="G734" s="120" t="s">
        <v>251</v>
      </c>
      <c r="H734" s="120" t="s">
        <v>251</v>
      </c>
      <c r="I734" s="120" t="s">
        <v>251</v>
      </c>
      <c r="J734" s="120" t="s">
        <v>251</v>
      </c>
      <c r="K734" s="120" t="s">
        <v>251</v>
      </c>
      <c r="L734" s="120" t="s">
        <v>251</v>
      </c>
      <c r="M734" s="120" t="s">
        <v>251</v>
      </c>
      <c r="N734" s="120" t="s">
        <v>251</v>
      </c>
      <c r="O734" s="120" t="s">
        <v>251</v>
      </c>
      <c r="P734" s="120" t="s">
        <v>251</v>
      </c>
      <c r="Q734" s="120" t="s">
        <v>251</v>
      </c>
      <c r="R734" s="120"/>
      <c r="S734" s="121"/>
    </row>
    <row r="735" spans="1:19" ht="15">
      <c r="A735" s="105" t="s">
        <v>251</v>
      </c>
      <c r="B735" s="105"/>
      <c r="C735" s="107" t="s">
        <v>779</v>
      </c>
      <c r="D735" s="107" t="s">
        <v>251</v>
      </c>
      <c r="E735" s="120" t="s">
        <v>251</v>
      </c>
      <c r="F735" s="120" t="s">
        <v>251</v>
      </c>
      <c r="G735" s="120" t="s">
        <v>251</v>
      </c>
      <c r="H735" s="120" t="s">
        <v>251</v>
      </c>
      <c r="I735" s="120" t="s">
        <v>251</v>
      </c>
      <c r="J735" s="120" t="s">
        <v>251</v>
      </c>
      <c r="K735" s="120" t="s">
        <v>251</v>
      </c>
      <c r="L735" s="120" t="s">
        <v>251</v>
      </c>
      <c r="M735" s="120" t="s">
        <v>251</v>
      </c>
      <c r="N735" s="120" t="s">
        <v>251</v>
      </c>
      <c r="O735" s="120" t="s">
        <v>251</v>
      </c>
      <c r="P735" s="120" t="s">
        <v>251</v>
      </c>
      <c r="Q735" s="120" t="s">
        <v>251</v>
      </c>
      <c r="R735" s="120"/>
      <c r="S735" s="121"/>
    </row>
    <row r="736" spans="1:19" ht="15">
      <c r="A736" s="105" t="s">
        <v>251</v>
      </c>
      <c r="B736" s="105"/>
      <c r="C736" s="107" t="s">
        <v>780</v>
      </c>
      <c r="D736" s="107" t="s">
        <v>251</v>
      </c>
      <c r="E736" s="120" t="s">
        <v>251</v>
      </c>
      <c r="F736" s="120" t="s">
        <v>251</v>
      </c>
      <c r="G736" s="120" t="s">
        <v>251</v>
      </c>
      <c r="H736" s="120" t="s">
        <v>251</v>
      </c>
      <c r="I736" s="120" t="s">
        <v>251</v>
      </c>
      <c r="J736" s="120" t="s">
        <v>251</v>
      </c>
      <c r="K736" s="120" t="s">
        <v>251</v>
      </c>
      <c r="L736" s="120" t="s">
        <v>251</v>
      </c>
      <c r="M736" s="120" t="s">
        <v>251</v>
      </c>
      <c r="N736" s="120" t="s">
        <v>251</v>
      </c>
      <c r="O736" s="120" t="s">
        <v>251</v>
      </c>
      <c r="P736" s="120" t="s">
        <v>251</v>
      </c>
      <c r="Q736" s="120" t="s">
        <v>251</v>
      </c>
      <c r="R736" s="120"/>
      <c r="S736" s="121"/>
    </row>
    <row r="737" spans="1:19" ht="15">
      <c r="A737" s="105">
        <v>5</v>
      </c>
      <c r="B737" s="105"/>
      <c r="C737" s="107" t="s">
        <v>781</v>
      </c>
      <c r="D737" s="107" t="s">
        <v>782</v>
      </c>
      <c r="E737" s="120">
        <v>116019757.27503386</v>
      </c>
      <c r="F737" s="120" t="s">
        <v>251</v>
      </c>
      <c r="G737" s="120">
        <v>108846864.06526229</v>
      </c>
      <c r="H737" s="120" t="s">
        <v>251</v>
      </c>
      <c r="I737" s="120">
        <v>5494450.8577202996</v>
      </c>
      <c r="J737" s="120">
        <v>1678442.3520528008</v>
      </c>
      <c r="K737" s="120" t="s">
        <v>251</v>
      </c>
      <c r="L737" s="120" t="s">
        <v>251</v>
      </c>
      <c r="M737" s="120">
        <v>8905.2859255271815</v>
      </c>
      <c r="N737" s="120" t="s">
        <v>251</v>
      </c>
      <c r="O737" s="120">
        <v>1669537.0661272677</v>
      </c>
      <c r="P737" s="120">
        <v>866110.63575931091</v>
      </c>
      <c r="Q737" s="120">
        <v>803426.43036796653</v>
      </c>
      <c r="R737" s="120"/>
      <c r="S737" s="121"/>
    </row>
    <row r="738" spans="1:19" ht="15">
      <c r="A738" s="105">
        <v>6</v>
      </c>
      <c r="B738" s="105"/>
      <c r="C738" s="107" t="s">
        <v>783</v>
      </c>
      <c r="D738" s="107" t="s">
        <v>784</v>
      </c>
      <c r="E738" s="120">
        <v>0</v>
      </c>
      <c r="F738" s="120" t="s">
        <v>251</v>
      </c>
      <c r="G738" s="120">
        <v>0</v>
      </c>
      <c r="H738" s="120" t="s">
        <v>251</v>
      </c>
      <c r="I738" s="120">
        <v>21902.279497089981</v>
      </c>
      <c r="J738" s="120">
        <v>0</v>
      </c>
      <c r="K738" s="120" t="s">
        <v>251</v>
      </c>
      <c r="L738" s="120" t="s">
        <v>251</v>
      </c>
      <c r="M738" s="120">
        <v>0</v>
      </c>
      <c r="N738" s="120" t="s">
        <v>251</v>
      </c>
      <c r="O738" s="120">
        <v>0</v>
      </c>
      <c r="P738" s="120">
        <v>0</v>
      </c>
      <c r="Q738" s="120">
        <v>0</v>
      </c>
      <c r="R738" s="120"/>
      <c r="S738" s="121"/>
    </row>
    <row r="739" spans="1:19" ht="15">
      <c r="A739" s="105">
        <v>7</v>
      </c>
      <c r="B739" s="105"/>
      <c r="C739" s="107" t="s">
        <v>785</v>
      </c>
      <c r="D739" s="107" t="s">
        <v>2672</v>
      </c>
      <c r="E739" s="120">
        <v>-2364.2750347616302</v>
      </c>
      <c r="F739" s="120" t="s">
        <v>251</v>
      </c>
      <c r="G739" s="120">
        <v>0</v>
      </c>
      <c r="H739" s="120" t="s">
        <v>251</v>
      </c>
      <c r="I739" s="120">
        <v>0</v>
      </c>
      <c r="J739" s="120">
        <v>-2364.2750347616302</v>
      </c>
      <c r="K739" s="120" t="s">
        <v>251</v>
      </c>
      <c r="L739" s="120" t="s">
        <v>251</v>
      </c>
      <c r="M739" s="120">
        <v>0</v>
      </c>
      <c r="N739" s="120" t="s">
        <v>251</v>
      </c>
      <c r="O739" s="120">
        <v>-2364.2750347616302</v>
      </c>
      <c r="P739" s="120">
        <v>-1199.0942225809106</v>
      </c>
      <c r="Q739" s="120">
        <v>-1165.1808121807198</v>
      </c>
      <c r="R739" s="120"/>
      <c r="S739" s="121"/>
    </row>
    <row r="740" spans="1:19" ht="15">
      <c r="A740" s="105">
        <v>8</v>
      </c>
      <c r="B740" s="105"/>
      <c r="C740" s="107" t="s">
        <v>787</v>
      </c>
      <c r="D740" s="107" t="s">
        <v>251</v>
      </c>
      <c r="E740" s="120">
        <v>116017392.99999911</v>
      </c>
      <c r="F740" s="120" t="s">
        <v>251</v>
      </c>
      <c r="G740" s="120">
        <v>108846864.06526229</v>
      </c>
      <c r="H740" s="120" t="s">
        <v>251</v>
      </c>
      <c r="I740" s="120">
        <v>5516353.1372173894</v>
      </c>
      <c r="J740" s="120">
        <v>1676078.0770180393</v>
      </c>
      <c r="K740" s="120" t="s">
        <v>251</v>
      </c>
      <c r="L740" s="120" t="s">
        <v>251</v>
      </c>
      <c r="M740" s="120">
        <v>8905.2859255271815</v>
      </c>
      <c r="N740" s="120" t="s">
        <v>251</v>
      </c>
      <c r="O740" s="120">
        <v>1667172.7910925059</v>
      </c>
      <c r="P740" s="120">
        <v>864911.54153673002</v>
      </c>
      <c r="Q740" s="120">
        <v>802261.24955578579</v>
      </c>
      <c r="R740" s="120"/>
      <c r="S740" s="121"/>
    </row>
    <row r="741" spans="1:19" ht="15">
      <c r="A741" s="105" t="s">
        <v>251</v>
      </c>
      <c r="B741" s="105"/>
      <c r="C741" s="107" t="s">
        <v>251</v>
      </c>
      <c r="D741" s="107" t="s">
        <v>251</v>
      </c>
      <c r="E741" s="120" t="s">
        <v>251</v>
      </c>
      <c r="F741" s="120" t="s">
        <v>251</v>
      </c>
      <c r="G741" s="120" t="s">
        <v>251</v>
      </c>
      <c r="H741" s="120" t="s">
        <v>251</v>
      </c>
      <c r="I741" s="120" t="s">
        <v>251</v>
      </c>
      <c r="J741" s="120" t="s">
        <v>251</v>
      </c>
      <c r="K741" s="120" t="s">
        <v>251</v>
      </c>
      <c r="L741" s="120" t="s">
        <v>251</v>
      </c>
      <c r="M741" s="120" t="s">
        <v>251</v>
      </c>
      <c r="N741" s="120" t="s">
        <v>251</v>
      </c>
      <c r="O741" s="120" t="s">
        <v>251</v>
      </c>
      <c r="P741" s="120" t="s">
        <v>251</v>
      </c>
      <c r="Q741" s="120" t="s">
        <v>251</v>
      </c>
      <c r="R741" s="120"/>
      <c r="S741" s="121"/>
    </row>
    <row r="742" spans="1:19" ht="15">
      <c r="A742" s="105" t="s">
        <v>251</v>
      </c>
      <c r="B742" s="105"/>
      <c r="C742" s="107" t="s">
        <v>788</v>
      </c>
      <c r="D742" s="107" t="s">
        <v>251</v>
      </c>
      <c r="E742" s="120" t="s">
        <v>251</v>
      </c>
      <c r="F742" s="120" t="s">
        <v>251</v>
      </c>
      <c r="G742" s="120" t="s">
        <v>251</v>
      </c>
      <c r="H742" s="120" t="s">
        <v>251</v>
      </c>
      <c r="I742" s="120" t="s">
        <v>251</v>
      </c>
      <c r="J742" s="120" t="s">
        <v>251</v>
      </c>
      <c r="K742" s="120" t="s">
        <v>251</v>
      </c>
      <c r="L742" s="120" t="s">
        <v>251</v>
      </c>
      <c r="M742" s="120" t="s">
        <v>251</v>
      </c>
      <c r="N742" s="120" t="s">
        <v>251</v>
      </c>
      <c r="O742" s="120" t="s">
        <v>251</v>
      </c>
      <c r="P742" s="120" t="s">
        <v>251</v>
      </c>
      <c r="Q742" s="120" t="s">
        <v>251</v>
      </c>
      <c r="R742" s="120"/>
      <c r="S742" s="121"/>
    </row>
    <row r="743" spans="1:19" ht="15">
      <c r="A743" s="105">
        <v>9</v>
      </c>
      <c r="B743" s="105"/>
      <c r="C743" s="107" t="s">
        <v>789</v>
      </c>
      <c r="D743" s="107" t="s">
        <v>928</v>
      </c>
      <c r="E743" s="120">
        <v>0</v>
      </c>
      <c r="F743" s="120" t="s">
        <v>251</v>
      </c>
      <c r="G743" s="120">
        <v>0</v>
      </c>
      <c r="H743" s="120" t="s">
        <v>251</v>
      </c>
      <c r="I743" s="120">
        <v>0</v>
      </c>
      <c r="J743" s="120">
        <v>0</v>
      </c>
      <c r="K743" s="120" t="s">
        <v>251</v>
      </c>
      <c r="L743" s="120" t="s">
        <v>251</v>
      </c>
      <c r="M743" s="120">
        <v>0</v>
      </c>
      <c r="N743" s="120" t="s">
        <v>251</v>
      </c>
      <c r="O743" s="120">
        <v>0</v>
      </c>
      <c r="P743" s="120">
        <v>0</v>
      </c>
      <c r="Q743" s="120">
        <v>0</v>
      </c>
      <c r="R743" s="120"/>
      <c r="S743" s="121"/>
    </row>
    <row r="744" spans="1:19" ht="15">
      <c r="A744" s="105">
        <v>10</v>
      </c>
      <c r="B744" s="105"/>
      <c r="C744" s="107" t="s">
        <v>2251</v>
      </c>
      <c r="D744" s="107" t="s">
        <v>444</v>
      </c>
      <c r="E744" s="120">
        <v>0</v>
      </c>
      <c r="F744" s="120" t="s">
        <v>251</v>
      </c>
      <c r="G744" s="120">
        <v>0</v>
      </c>
      <c r="H744" s="120" t="s">
        <v>251</v>
      </c>
      <c r="I744" s="120">
        <v>0</v>
      </c>
      <c r="J744" s="120">
        <v>0</v>
      </c>
      <c r="K744" s="120" t="s">
        <v>251</v>
      </c>
      <c r="L744" s="120" t="s">
        <v>251</v>
      </c>
      <c r="M744" s="120">
        <v>0</v>
      </c>
      <c r="N744" s="120" t="s">
        <v>251</v>
      </c>
      <c r="O744" s="120">
        <v>0</v>
      </c>
      <c r="P744" s="120">
        <v>0</v>
      </c>
      <c r="Q744" s="120">
        <v>0</v>
      </c>
      <c r="R744" s="120"/>
      <c r="S744" s="121"/>
    </row>
    <row r="745" spans="1:19" ht="15">
      <c r="A745" s="105">
        <v>11</v>
      </c>
      <c r="B745" s="105"/>
      <c r="C745" s="107" t="s">
        <v>790</v>
      </c>
      <c r="D745" s="107" t="s">
        <v>312</v>
      </c>
      <c r="E745" s="120">
        <v>204867.33164714897</v>
      </c>
      <c r="F745" s="120" t="s">
        <v>251</v>
      </c>
      <c r="G745" s="120">
        <v>107587.62273549214</v>
      </c>
      <c r="H745" s="120" t="s">
        <v>251</v>
      </c>
      <c r="I745" s="120">
        <v>66725.944744563894</v>
      </c>
      <c r="J745" s="120">
        <v>30553.764167092952</v>
      </c>
      <c r="K745" s="120" t="s">
        <v>251</v>
      </c>
      <c r="L745" s="120" t="s">
        <v>251</v>
      </c>
      <c r="M745" s="120">
        <v>0</v>
      </c>
      <c r="N745" s="120" t="s">
        <v>251</v>
      </c>
      <c r="O745" s="120">
        <v>30553.764167092952</v>
      </c>
      <c r="P745" s="120">
        <v>15496.015291027503</v>
      </c>
      <c r="Q745" s="120">
        <v>15057.748876065451</v>
      </c>
      <c r="R745" s="120"/>
      <c r="S745" s="121"/>
    </row>
    <row r="746" spans="1:19" ht="15">
      <c r="A746" s="105">
        <v>12</v>
      </c>
      <c r="B746" s="105"/>
      <c r="C746" s="107" t="s">
        <v>791</v>
      </c>
      <c r="D746" s="107" t="s">
        <v>314</v>
      </c>
      <c r="E746" s="120">
        <v>595132.66835285106</v>
      </c>
      <c r="F746" s="120" t="s">
        <v>251</v>
      </c>
      <c r="G746" s="120">
        <v>463502.72308664006</v>
      </c>
      <c r="H746" s="120" t="s">
        <v>251</v>
      </c>
      <c r="I746" s="120">
        <v>0</v>
      </c>
      <c r="J746" s="120">
        <v>131629.945266211</v>
      </c>
      <c r="K746" s="120" t="s">
        <v>251</v>
      </c>
      <c r="L746" s="120" t="s">
        <v>251</v>
      </c>
      <c r="M746" s="120">
        <v>0</v>
      </c>
      <c r="N746" s="120" t="s">
        <v>251</v>
      </c>
      <c r="O746" s="120">
        <v>131629.945266211</v>
      </c>
      <c r="P746" s="120">
        <v>66759.029540430944</v>
      </c>
      <c r="Q746" s="120">
        <v>64870.915725780062</v>
      </c>
      <c r="R746" s="120"/>
      <c r="S746" s="121"/>
    </row>
    <row r="747" spans="1:19" ht="15">
      <c r="A747" s="105">
        <v>13</v>
      </c>
      <c r="B747" s="105"/>
      <c r="C747" s="107" t="s">
        <v>792</v>
      </c>
      <c r="D747" s="107" t="s">
        <v>782</v>
      </c>
      <c r="E747" s="120">
        <v>338999.99999999738</v>
      </c>
      <c r="F747" s="120" t="s">
        <v>251</v>
      </c>
      <c r="G747" s="120">
        <v>318041.40764276445</v>
      </c>
      <c r="H747" s="120" t="s">
        <v>251</v>
      </c>
      <c r="I747" s="120">
        <v>-397554.295924798</v>
      </c>
      <c r="J747" s="120">
        <v>4904.2677791253727</v>
      </c>
      <c r="K747" s="120" t="s">
        <v>251</v>
      </c>
      <c r="L747" s="120" t="s">
        <v>251</v>
      </c>
      <c r="M747" s="120">
        <v>26.020498574196917</v>
      </c>
      <c r="N747" s="120" t="s">
        <v>251</v>
      </c>
      <c r="O747" s="120">
        <v>4878.2472805511579</v>
      </c>
      <c r="P747" s="120">
        <v>2530.702635641404</v>
      </c>
      <c r="Q747" s="120">
        <v>2347.5446449097826</v>
      </c>
      <c r="R747" s="120"/>
      <c r="S747" s="121"/>
    </row>
    <row r="748" spans="1:19" ht="15">
      <c r="A748" s="105" t="s">
        <v>251</v>
      </c>
      <c r="B748" s="105"/>
      <c r="C748" s="107" t="s">
        <v>251</v>
      </c>
      <c r="D748" s="107" t="s">
        <v>251</v>
      </c>
      <c r="E748" s="120" t="s">
        <v>251</v>
      </c>
      <c r="F748" s="120" t="s">
        <v>251</v>
      </c>
      <c r="G748" s="120" t="s">
        <v>251</v>
      </c>
      <c r="H748" s="120" t="s">
        <v>251</v>
      </c>
      <c r="I748" s="120" t="s">
        <v>251</v>
      </c>
      <c r="J748" s="120" t="s">
        <v>251</v>
      </c>
      <c r="K748" s="120" t="s">
        <v>251</v>
      </c>
      <c r="L748" s="120" t="s">
        <v>251</v>
      </c>
      <c r="M748" s="120" t="s">
        <v>251</v>
      </c>
      <c r="N748" s="120" t="s">
        <v>251</v>
      </c>
      <c r="O748" s="120" t="s">
        <v>251</v>
      </c>
      <c r="P748" s="120" t="s">
        <v>251</v>
      </c>
      <c r="Q748" s="120" t="s">
        <v>251</v>
      </c>
      <c r="R748" s="120"/>
      <c r="S748" s="121"/>
    </row>
    <row r="749" spans="1:19" ht="15">
      <c r="A749" s="105">
        <v>14</v>
      </c>
      <c r="B749" s="105"/>
      <c r="C749" s="107" t="s">
        <v>793</v>
      </c>
      <c r="D749" s="107" t="s">
        <v>251</v>
      </c>
      <c r="E749" s="120">
        <v>266354118</v>
      </c>
      <c r="F749" s="120" t="s">
        <v>251</v>
      </c>
      <c r="G749" s="120">
        <v>259116592</v>
      </c>
      <c r="H749" s="120" t="s">
        <v>251</v>
      </c>
      <c r="I749" s="120">
        <v>4689486</v>
      </c>
      <c r="J749" s="120">
        <v>2112530</v>
      </c>
      <c r="K749" s="120" t="s">
        <v>251</v>
      </c>
      <c r="L749" s="120" t="s">
        <v>251</v>
      </c>
      <c r="M749" s="120">
        <v>-44644</v>
      </c>
      <c r="N749" s="120" t="s">
        <v>251</v>
      </c>
      <c r="O749" s="120">
        <v>2157174</v>
      </c>
      <c r="P749" s="120">
        <v>1037340</v>
      </c>
      <c r="Q749" s="120">
        <v>1119834</v>
      </c>
      <c r="R749" s="120"/>
      <c r="S749" s="121"/>
    </row>
    <row r="750" spans="1:19" ht="15">
      <c r="A750" s="105">
        <v>15</v>
      </c>
      <c r="B750" s="105"/>
      <c r="C750" s="107" t="s">
        <v>2252</v>
      </c>
      <c r="D750" s="107" t="s">
        <v>251</v>
      </c>
      <c r="E750" s="120">
        <v>266354118</v>
      </c>
      <c r="F750" s="120" t="s">
        <v>251</v>
      </c>
      <c r="G750" s="120">
        <v>259116592</v>
      </c>
      <c r="H750" s="120" t="s">
        <v>251</v>
      </c>
      <c r="I750" s="120">
        <v>8888106.7230472751</v>
      </c>
      <c r="J750" s="120">
        <v>2112530</v>
      </c>
      <c r="K750" s="120" t="s">
        <v>251</v>
      </c>
      <c r="L750" s="120" t="s">
        <v>251</v>
      </c>
      <c r="M750" s="120">
        <v>-44644</v>
      </c>
      <c r="N750" s="120" t="s">
        <v>251</v>
      </c>
      <c r="O750" s="120">
        <v>2157174</v>
      </c>
      <c r="P750" s="120">
        <v>1037340</v>
      </c>
      <c r="Q750" s="120">
        <v>1119834</v>
      </c>
      <c r="R750" s="120"/>
      <c r="S750" s="121"/>
    </row>
    <row r="751" spans="1:19" ht="15">
      <c r="A751" s="105" t="s">
        <v>251</v>
      </c>
      <c r="B751" s="105"/>
      <c r="C751" s="107" t="s">
        <v>251</v>
      </c>
      <c r="D751" s="107" t="s">
        <v>251</v>
      </c>
      <c r="E751" s="120" t="s">
        <v>251</v>
      </c>
      <c r="F751" s="120" t="s">
        <v>251</v>
      </c>
      <c r="G751" s="120" t="s">
        <v>251</v>
      </c>
      <c r="H751" s="120" t="s">
        <v>251</v>
      </c>
      <c r="I751" s="120" t="s">
        <v>251</v>
      </c>
      <c r="J751" s="120" t="s">
        <v>251</v>
      </c>
      <c r="K751" s="120" t="s">
        <v>251</v>
      </c>
      <c r="L751" s="120" t="s">
        <v>251</v>
      </c>
      <c r="M751" s="120" t="s">
        <v>251</v>
      </c>
      <c r="N751" s="120" t="s">
        <v>251</v>
      </c>
      <c r="O751" s="120" t="s">
        <v>251</v>
      </c>
      <c r="P751" s="120" t="s">
        <v>251</v>
      </c>
      <c r="Q751" s="120" t="s">
        <v>251</v>
      </c>
      <c r="R751" s="120"/>
      <c r="S751" s="121"/>
    </row>
    <row r="752" spans="1:19" ht="15">
      <c r="A752" s="105">
        <v>16</v>
      </c>
      <c r="B752" s="105"/>
      <c r="C752" s="107" t="s">
        <v>794</v>
      </c>
      <c r="D752" s="107" t="s">
        <v>251</v>
      </c>
      <c r="E752" s="120">
        <v>13317705.9</v>
      </c>
      <c r="F752" s="120" t="s">
        <v>251</v>
      </c>
      <c r="G752" s="120">
        <v>12955829.600000001</v>
      </c>
      <c r="H752" s="120" t="s">
        <v>251</v>
      </c>
      <c r="I752" s="120">
        <v>533286.40338283649</v>
      </c>
      <c r="J752" s="120">
        <v>105626.50000000001</v>
      </c>
      <c r="K752" s="120" t="s">
        <v>251</v>
      </c>
      <c r="L752" s="120" t="s">
        <v>251</v>
      </c>
      <c r="M752" s="120">
        <v>-2232.2000000000003</v>
      </c>
      <c r="N752" s="120" t="s">
        <v>251</v>
      </c>
      <c r="O752" s="120">
        <v>107858.70000000001</v>
      </c>
      <c r="P752" s="120">
        <v>51867</v>
      </c>
      <c r="Q752" s="120">
        <v>55991.700000000004</v>
      </c>
      <c r="R752" s="120"/>
      <c r="S752" s="121"/>
    </row>
    <row r="753" spans="1:19" ht="15">
      <c r="A753" s="105">
        <v>17</v>
      </c>
      <c r="B753" s="105"/>
      <c r="C753" s="107" t="s">
        <v>795</v>
      </c>
      <c r="D753" s="107" t="s">
        <v>782</v>
      </c>
      <c r="E753" s="120">
        <v>80824</v>
      </c>
      <c r="F753" s="120" t="s">
        <v>251</v>
      </c>
      <c r="G753" s="120">
        <v>75827</v>
      </c>
      <c r="H753" s="120" t="s">
        <v>251</v>
      </c>
      <c r="I753" s="120">
        <v>3828</v>
      </c>
      <c r="J753" s="120">
        <v>1169</v>
      </c>
      <c r="K753" s="120" t="s">
        <v>251</v>
      </c>
      <c r="L753" s="120" t="s">
        <v>251</v>
      </c>
      <c r="M753" s="120">
        <v>6</v>
      </c>
      <c r="N753" s="120" t="s">
        <v>251</v>
      </c>
      <c r="O753" s="120">
        <v>1163</v>
      </c>
      <c r="P753" s="120">
        <v>603</v>
      </c>
      <c r="Q753" s="120">
        <v>560</v>
      </c>
      <c r="R753" s="120"/>
      <c r="S753" s="121"/>
    </row>
    <row r="754" spans="1:19" ht="15">
      <c r="A754" s="105">
        <v>18</v>
      </c>
      <c r="B754" s="105"/>
      <c r="C754" s="107" t="s">
        <v>796</v>
      </c>
      <c r="D754" s="107" t="s">
        <v>376</v>
      </c>
      <c r="E754" s="120">
        <v>-1620000</v>
      </c>
      <c r="F754" s="120" t="s">
        <v>251</v>
      </c>
      <c r="G754" s="120">
        <v>-1586730</v>
      </c>
      <c r="H754" s="120" t="s">
        <v>251</v>
      </c>
      <c r="I754" s="120">
        <v>0</v>
      </c>
      <c r="J754" s="120">
        <v>-33270</v>
      </c>
      <c r="K754" s="120" t="s">
        <v>251</v>
      </c>
      <c r="L754" s="120" t="s">
        <v>251</v>
      </c>
      <c r="M754" s="120">
        <v>0</v>
      </c>
      <c r="N754" s="120" t="s">
        <v>251</v>
      </c>
      <c r="O754" s="120">
        <v>-33270</v>
      </c>
      <c r="P754" s="120">
        <v>-16874</v>
      </c>
      <c r="Q754" s="120">
        <v>-16396</v>
      </c>
      <c r="R754" s="120"/>
      <c r="S754" s="121"/>
    </row>
    <row r="755" spans="1:19" ht="15">
      <c r="A755" s="105">
        <v>19</v>
      </c>
      <c r="B755" s="105"/>
      <c r="C755" s="107" t="s">
        <v>797</v>
      </c>
      <c r="D755" s="107" t="s">
        <v>798</v>
      </c>
      <c r="E755" s="120">
        <v>-1535639</v>
      </c>
      <c r="F755" s="120" t="s">
        <v>251</v>
      </c>
      <c r="G755" s="120">
        <v>-1512108</v>
      </c>
      <c r="H755" s="120" t="s">
        <v>251</v>
      </c>
      <c r="I755" s="120">
        <v>0</v>
      </c>
      <c r="J755" s="120">
        <v>-23531</v>
      </c>
      <c r="K755" s="120" t="s">
        <v>251</v>
      </c>
      <c r="L755" s="120" t="s">
        <v>251</v>
      </c>
      <c r="M755" s="120">
        <v>-111</v>
      </c>
      <c r="N755" s="120" t="s">
        <v>251</v>
      </c>
      <c r="O755" s="120">
        <v>-23420</v>
      </c>
      <c r="P755" s="120">
        <v>-12173</v>
      </c>
      <c r="Q755" s="120">
        <v>-11247</v>
      </c>
      <c r="R755" s="120"/>
      <c r="S755" s="121"/>
    </row>
    <row r="756" spans="1:19" ht="15">
      <c r="A756" s="105">
        <v>20</v>
      </c>
      <c r="B756" s="105"/>
      <c r="C756" s="107" t="s">
        <v>799</v>
      </c>
      <c r="D756" s="107" t="s">
        <v>251</v>
      </c>
      <c r="E756" s="120">
        <v>10242890.9</v>
      </c>
      <c r="F756" s="120" t="s">
        <v>251</v>
      </c>
      <c r="G756" s="120">
        <v>9932818.6000000015</v>
      </c>
      <c r="H756" s="120" t="s">
        <v>251</v>
      </c>
      <c r="I756" s="120">
        <v>537114.40338283649</v>
      </c>
      <c r="J756" s="120">
        <v>49994.500000000007</v>
      </c>
      <c r="K756" s="120" t="s">
        <v>251</v>
      </c>
      <c r="L756" s="120" t="s">
        <v>251</v>
      </c>
      <c r="M756" s="120">
        <v>-2337.2000000000003</v>
      </c>
      <c r="N756" s="120" t="s">
        <v>251</v>
      </c>
      <c r="O756" s="120">
        <v>52331.700000000004</v>
      </c>
      <c r="P756" s="120">
        <v>23423</v>
      </c>
      <c r="Q756" s="120">
        <v>28908.700000000004</v>
      </c>
      <c r="R756" s="120"/>
      <c r="S756" s="121"/>
    </row>
    <row r="757" spans="1:19" ht="15">
      <c r="A757" s="105">
        <v>21</v>
      </c>
      <c r="B757" s="105"/>
      <c r="C757" s="107" t="s">
        <v>800</v>
      </c>
      <c r="D757" s="107" t="s">
        <v>928</v>
      </c>
      <c r="E757" s="120">
        <v>0</v>
      </c>
      <c r="F757" s="120" t="s">
        <v>251</v>
      </c>
      <c r="G757" s="120">
        <v>0</v>
      </c>
      <c r="H757" s="120" t="s">
        <v>251</v>
      </c>
      <c r="I757" s="120">
        <v>0</v>
      </c>
      <c r="J757" s="120">
        <v>0</v>
      </c>
      <c r="K757" s="120" t="s">
        <v>251</v>
      </c>
      <c r="L757" s="120" t="s">
        <v>251</v>
      </c>
      <c r="M757" s="120">
        <v>0</v>
      </c>
      <c r="N757" s="120" t="s">
        <v>251</v>
      </c>
      <c r="O757" s="120">
        <v>0</v>
      </c>
      <c r="P757" s="120">
        <v>0</v>
      </c>
      <c r="Q757" s="120">
        <v>0</v>
      </c>
      <c r="R757" s="120"/>
      <c r="S757" s="121"/>
    </row>
    <row r="758" spans="1:19" ht="15">
      <c r="A758" s="105">
        <v>22</v>
      </c>
      <c r="B758" s="105"/>
      <c r="C758" s="107" t="s">
        <v>801</v>
      </c>
      <c r="D758" s="107" t="s">
        <v>782</v>
      </c>
      <c r="E758" s="120">
        <v>0</v>
      </c>
      <c r="F758" s="120" t="s">
        <v>251</v>
      </c>
      <c r="G758" s="120">
        <v>0</v>
      </c>
      <c r="H758" s="120" t="s">
        <v>251</v>
      </c>
      <c r="I758" s="120">
        <v>413608.62050291005</v>
      </c>
      <c r="J758" s="120">
        <v>0</v>
      </c>
      <c r="K758" s="120" t="s">
        <v>251</v>
      </c>
      <c r="L758" s="120" t="s">
        <v>251</v>
      </c>
      <c r="M758" s="120">
        <v>0</v>
      </c>
      <c r="N758" s="120" t="s">
        <v>251</v>
      </c>
      <c r="O758" s="120">
        <v>0</v>
      </c>
      <c r="P758" s="120">
        <v>0</v>
      </c>
      <c r="Q758" s="120">
        <v>0</v>
      </c>
      <c r="R758" s="120"/>
      <c r="S758" s="121"/>
    </row>
    <row r="759" spans="1:19" ht="15">
      <c r="A759" s="105">
        <v>23</v>
      </c>
      <c r="B759" s="105"/>
      <c r="C759" s="107" t="s">
        <v>2253</v>
      </c>
      <c r="D759" s="107" t="s">
        <v>251</v>
      </c>
      <c r="E759" s="120">
        <v>256111227.09999999</v>
      </c>
      <c r="F759" s="120" t="s">
        <v>251</v>
      </c>
      <c r="G759" s="120">
        <v>249183773.40000001</v>
      </c>
      <c r="H759" s="120" t="s">
        <v>251</v>
      </c>
      <c r="I759" s="120">
        <v>4565980.2171200737</v>
      </c>
      <c r="J759" s="120">
        <v>2062535.4999999998</v>
      </c>
      <c r="K759" s="120" t="s">
        <v>251</v>
      </c>
      <c r="L759" s="120" t="s">
        <v>251</v>
      </c>
      <c r="M759" s="120">
        <v>-42306.8</v>
      </c>
      <c r="N759" s="120" t="s">
        <v>251</v>
      </c>
      <c r="O759" s="120">
        <v>2104842.2999999998</v>
      </c>
      <c r="P759" s="120">
        <v>1013917</v>
      </c>
      <c r="Q759" s="120">
        <v>1090925.3</v>
      </c>
      <c r="R759" s="123"/>
      <c r="S759" s="121"/>
    </row>
    <row r="760" spans="1:19" ht="15">
      <c r="A760" s="105" t="s">
        <v>251</v>
      </c>
      <c r="B760" s="105"/>
      <c r="C760" s="107" t="s">
        <v>251</v>
      </c>
      <c r="D760" s="107" t="s">
        <v>251</v>
      </c>
      <c r="E760" s="120" t="s">
        <v>251</v>
      </c>
      <c r="F760" s="120" t="s">
        <v>251</v>
      </c>
      <c r="G760" s="120" t="s">
        <v>251</v>
      </c>
      <c r="H760" s="120" t="s">
        <v>251</v>
      </c>
      <c r="I760" s="120" t="s">
        <v>251</v>
      </c>
      <c r="J760" s="120" t="s">
        <v>251</v>
      </c>
      <c r="K760" s="120" t="s">
        <v>251</v>
      </c>
      <c r="L760" s="120" t="s">
        <v>251</v>
      </c>
      <c r="M760" s="120" t="s">
        <v>251</v>
      </c>
      <c r="N760" s="120" t="s">
        <v>251</v>
      </c>
      <c r="O760" s="120" t="s">
        <v>251</v>
      </c>
      <c r="P760" s="120" t="s">
        <v>251</v>
      </c>
      <c r="Q760" s="120" t="s">
        <v>251</v>
      </c>
      <c r="R760" s="120"/>
      <c r="S760" s="121"/>
    </row>
    <row r="761" spans="1:19" ht="15">
      <c r="A761" s="105">
        <v>24</v>
      </c>
      <c r="B761" s="105"/>
      <c r="C761" s="107" t="s">
        <v>2671</v>
      </c>
      <c r="D761" s="107" t="s">
        <v>251</v>
      </c>
      <c r="E761" s="120">
        <v>53783358</v>
      </c>
      <c r="F761" s="120" t="s">
        <v>251</v>
      </c>
      <c r="G761" s="120">
        <v>52328592</v>
      </c>
      <c r="H761" s="120" t="s">
        <v>251</v>
      </c>
      <c r="I761" s="120">
        <v>958856</v>
      </c>
      <c r="J761" s="120">
        <v>433133</v>
      </c>
      <c r="K761" s="120" t="s">
        <v>251</v>
      </c>
      <c r="L761" s="120" t="s">
        <v>251</v>
      </c>
      <c r="M761" s="120">
        <v>-8884</v>
      </c>
      <c r="N761" s="120" t="s">
        <v>251</v>
      </c>
      <c r="O761" s="120">
        <v>442017</v>
      </c>
      <c r="P761" s="120">
        <v>212923</v>
      </c>
      <c r="Q761" s="120">
        <v>229094</v>
      </c>
      <c r="R761" s="120"/>
      <c r="S761" s="121"/>
    </row>
    <row r="762" spans="1:19" ht="15">
      <c r="A762" s="105">
        <v>25</v>
      </c>
      <c r="B762" s="105"/>
      <c r="C762" s="107" t="s">
        <v>802</v>
      </c>
      <c r="D762" s="107" t="s">
        <v>782</v>
      </c>
      <c r="E762" s="120">
        <v>-781543.99999999406</v>
      </c>
      <c r="F762" s="120" t="s">
        <v>251</v>
      </c>
      <c r="G762" s="120">
        <v>-733225.23272789584</v>
      </c>
      <c r="H762" s="120" t="s">
        <v>251</v>
      </c>
      <c r="I762" s="120">
        <v>-37012.27447810024</v>
      </c>
      <c r="J762" s="120">
        <v>-11306.492794008143</v>
      </c>
      <c r="K762" s="120" t="s">
        <v>251</v>
      </c>
      <c r="L762" s="120" t="s">
        <v>251</v>
      </c>
      <c r="M762" s="120">
        <v>-59.988685951835265</v>
      </c>
      <c r="N762" s="120" t="s">
        <v>251</v>
      </c>
      <c r="O762" s="120">
        <v>-11246.504108056266</v>
      </c>
      <c r="P762" s="120">
        <v>-5834.381889881196</v>
      </c>
      <c r="Q762" s="120">
        <v>-5412.1222181751364</v>
      </c>
      <c r="R762" s="124"/>
      <c r="S762" s="121"/>
    </row>
    <row r="763" spans="1:19" ht="15">
      <c r="A763" s="105">
        <v>26</v>
      </c>
      <c r="B763" s="105"/>
      <c r="C763" s="107" t="s">
        <v>797</v>
      </c>
      <c r="D763" s="107" t="s">
        <v>717</v>
      </c>
      <c r="E763" s="120">
        <v>-15603815</v>
      </c>
      <c r="F763" s="120" t="s">
        <v>251</v>
      </c>
      <c r="G763" s="120">
        <v>-14589166</v>
      </c>
      <c r="H763" s="120" t="s">
        <v>251</v>
      </c>
      <c r="I763" s="120">
        <v>-787616</v>
      </c>
      <c r="J763" s="120">
        <v>-227033</v>
      </c>
      <c r="K763" s="120" t="s">
        <v>251</v>
      </c>
      <c r="L763" s="120" t="s">
        <v>251</v>
      </c>
      <c r="M763" s="120">
        <v>-1072</v>
      </c>
      <c r="N763" s="120" t="s">
        <v>251</v>
      </c>
      <c r="O763" s="120">
        <v>-225961</v>
      </c>
      <c r="P763" s="120">
        <v>-117445</v>
      </c>
      <c r="Q763" s="120">
        <v>-108516</v>
      </c>
      <c r="R763" s="124"/>
      <c r="S763" s="121"/>
    </row>
    <row r="764" spans="1:19" ht="15">
      <c r="A764" s="105">
        <v>27</v>
      </c>
      <c r="B764" s="105"/>
      <c r="C764" s="107" t="s">
        <v>768</v>
      </c>
      <c r="D764" s="107" t="s">
        <v>251</v>
      </c>
      <c r="E764" s="120">
        <v>0</v>
      </c>
      <c r="F764" s="120" t="s">
        <v>251</v>
      </c>
      <c r="G764" s="120">
        <v>0</v>
      </c>
      <c r="H764" s="120" t="s">
        <v>251</v>
      </c>
      <c r="I764" s="120">
        <v>0</v>
      </c>
      <c r="J764" s="120">
        <v>0</v>
      </c>
      <c r="K764" s="120" t="s">
        <v>251</v>
      </c>
      <c r="L764" s="120" t="s">
        <v>251</v>
      </c>
      <c r="M764" s="120">
        <v>0</v>
      </c>
      <c r="N764" s="120" t="s">
        <v>251</v>
      </c>
      <c r="O764" s="120">
        <v>0</v>
      </c>
      <c r="P764" s="120">
        <v>0</v>
      </c>
      <c r="Q764" s="120">
        <v>0</v>
      </c>
      <c r="R764" s="124"/>
      <c r="S764" s="121"/>
    </row>
    <row r="765" spans="1:19" ht="15">
      <c r="A765" s="105">
        <v>28</v>
      </c>
      <c r="B765" s="105"/>
      <c r="C765" s="107" t="s">
        <v>803</v>
      </c>
      <c r="D765" s="107" t="s">
        <v>782</v>
      </c>
      <c r="E765" s="120">
        <v>99862</v>
      </c>
      <c r="F765" s="120" t="s">
        <v>251</v>
      </c>
      <c r="G765" s="120">
        <v>93688</v>
      </c>
      <c r="H765" s="120" t="s">
        <v>251</v>
      </c>
      <c r="I765" s="120">
        <v>4729</v>
      </c>
      <c r="J765" s="120">
        <v>1445</v>
      </c>
      <c r="K765" s="120" t="s">
        <v>251</v>
      </c>
      <c r="L765" s="120" t="s">
        <v>251</v>
      </c>
      <c r="M765" s="120">
        <v>8</v>
      </c>
      <c r="N765" s="120" t="s">
        <v>251</v>
      </c>
      <c r="O765" s="120">
        <v>1437</v>
      </c>
      <c r="P765" s="120">
        <v>745</v>
      </c>
      <c r="Q765" s="120">
        <v>692</v>
      </c>
      <c r="R765" s="124"/>
      <c r="S765" s="121"/>
    </row>
    <row r="766" spans="1:19" ht="15">
      <c r="A766" s="105">
        <v>29</v>
      </c>
      <c r="B766" s="105"/>
      <c r="C766" s="107" t="s">
        <v>804</v>
      </c>
      <c r="D766" s="107" t="s">
        <v>251</v>
      </c>
      <c r="E766" s="120">
        <v>37497861.000000007</v>
      </c>
      <c r="F766" s="120" t="s">
        <v>251</v>
      </c>
      <c r="G766" s="120">
        <v>37099888.767272107</v>
      </c>
      <c r="H766" s="120" t="s">
        <v>251</v>
      </c>
      <c r="I766" s="120">
        <v>138956.72552189976</v>
      </c>
      <c r="J766" s="120">
        <v>196238.50720599186</v>
      </c>
      <c r="K766" s="120" t="s">
        <v>251</v>
      </c>
      <c r="L766" s="120" t="s">
        <v>251</v>
      </c>
      <c r="M766" s="120">
        <v>-10007.988685951836</v>
      </c>
      <c r="N766" s="120" t="s">
        <v>251</v>
      </c>
      <c r="O766" s="120">
        <v>206246.49589194375</v>
      </c>
      <c r="P766" s="120">
        <v>90388.618110118812</v>
      </c>
      <c r="Q766" s="120">
        <v>115857.87778182485</v>
      </c>
      <c r="R766" s="124"/>
      <c r="S766" s="121"/>
    </row>
    <row r="767" spans="1:19" ht="15">
      <c r="A767" s="105" t="s">
        <v>251</v>
      </c>
      <c r="B767" s="105"/>
      <c r="C767" s="107" t="s">
        <v>251</v>
      </c>
      <c r="D767" s="107" t="s">
        <v>251</v>
      </c>
      <c r="E767" s="120" t="s">
        <v>251</v>
      </c>
      <c r="F767" s="120" t="s">
        <v>251</v>
      </c>
      <c r="G767" s="120" t="s">
        <v>251</v>
      </c>
      <c r="H767" s="120" t="s">
        <v>251</v>
      </c>
      <c r="I767" s="120" t="s">
        <v>251</v>
      </c>
      <c r="J767" s="120" t="s">
        <v>251</v>
      </c>
      <c r="K767" s="120" t="s">
        <v>251</v>
      </c>
      <c r="L767" s="120" t="s">
        <v>251</v>
      </c>
      <c r="M767" s="120" t="s">
        <v>251</v>
      </c>
      <c r="N767" s="120" t="s">
        <v>251</v>
      </c>
      <c r="O767" s="120" t="s">
        <v>251</v>
      </c>
      <c r="P767" s="120" t="s">
        <v>251</v>
      </c>
      <c r="Q767" s="120" t="s">
        <v>251</v>
      </c>
      <c r="R767" s="120"/>
      <c r="S767" s="121"/>
    </row>
    <row r="768" spans="1:19" ht="15">
      <c r="A768" s="105">
        <v>30</v>
      </c>
      <c r="B768" s="105"/>
      <c r="C768" s="107" t="s">
        <v>291</v>
      </c>
      <c r="D768" s="107" t="s">
        <v>251</v>
      </c>
      <c r="E768" s="120">
        <v>333491759.56354654</v>
      </c>
      <c r="F768" s="120" t="s">
        <v>251</v>
      </c>
      <c r="G768" s="120">
        <v>320041616.56882501</v>
      </c>
      <c r="H768" s="120" t="s">
        <v>251</v>
      </c>
      <c r="I768" s="120">
        <v>9860596.3721783999</v>
      </c>
      <c r="J768" s="120">
        <v>3375287.019160335</v>
      </c>
      <c r="K768" s="120" t="s">
        <v>251</v>
      </c>
      <c r="L768" s="120" t="s">
        <v>251</v>
      </c>
      <c r="M768" s="120">
        <v>-23419.768181502921</v>
      </c>
      <c r="N768" s="120" t="s">
        <v>251</v>
      </c>
      <c r="O768" s="120">
        <v>3398706.7873418378</v>
      </c>
      <c r="P768" s="120">
        <v>1703653.9409953165</v>
      </c>
      <c r="Q768" s="120">
        <v>1695052.8463465213</v>
      </c>
      <c r="R768" s="120"/>
      <c r="S768" s="121"/>
    </row>
    <row r="769" spans="1:19" ht="15">
      <c r="A769" s="105">
        <v>31</v>
      </c>
      <c r="B769" s="105"/>
      <c r="C769" s="107" t="s">
        <v>292</v>
      </c>
      <c r="D769" s="107" t="s">
        <v>251</v>
      </c>
      <c r="E769" s="120">
        <v>5.9714578462921469E-2</v>
      </c>
      <c r="F769" s="120" t="s">
        <v>251</v>
      </c>
      <c r="G769" s="120">
        <v>6.0410030441597568E-2</v>
      </c>
      <c r="H769" s="120" t="s">
        <v>251</v>
      </c>
      <c r="I769" s="120">
        <v>3.6872060614942186E-2</v>
      </c>
      <c r="J769" s="120">
        <v>4.1316431088311636E-2</v>
      </c>
      <c r="K769" s="120" t="s">
        <v>251</v>
      </c>
      <c r="L769" s="120" t="s">
        <v>251</v>
      </c>
      <c r="M769" s="120">
        <v>-5.4032273837034635E-2</v>
      </c>
      <c r="N769" s="120" t="s">
        <v>251</v>
      </c>
      <c r="O769" s="120">
        <v>4.1825019664879483E-2</v>
      </c>
      <c r="P769" s="120">
        <v>4.0413506229184631E-2</v>
      </c>
      <c r="Q769" s="120">
        <v>4.3346660916602511E-2</v>
      </c>
      <c r="R769" s="120"/>
      <c r="S769" s="121"/>
    </row>
    <row r="770" spans="1:19" ht="15">
      <c r="A770" s="105" t="s">
        <v>251</v>
      </c>
      <c r="B770" s="105"/>
      <c r="C770" s="107" t="s">
        <v>251</v>
      </c>
      <c r="D770" s="107" t="s">
        <v>251</v>
      </c>
      <c r="E770" s="523" t="s">
        <v>251</v>
      </c>
      <c r="F770" s="523" t="s">
        <v>251</v>
      </c>
      <c r="G770" s="523" t="s">
        <v>251</v>
      </c>
      <c r="H770" s="523" t="s">
        <v>251</v>
      </c>
      <c r="I770" s="523" t="s">
        <v>251</v>
      </c>
      <c r="J770" s="523" t="s">
        <v>251</v>
      </c>
      <c r="K770" s="523" t="s">
        <v>251</v>
      </c>
      <c r="L770" s="523" t="s">
        <v>251</v>
      </c>
      <c r="M770" s="523" t="s">
        <v>251</v>
      </c>
      <c r="N770" s="523" t="s">
        <v>251</v>
      </c>
      <c r="O770" s="523" t="s">
        <v>251</v>
      </c>
      <c r="P770" s="523" t="s">
        <v>251</v>
      </c>
      <c r="Q770" s="523" t="s">
        <v>251</v>
      </c>
      <c r="R770" s="120"/>
      <c r="S770" s="121"/>
    </row>
    <row r="771" spans="1:19" ht="15">
      <c r="A771" s="105" t="s">
        <v>251</v>
      </c>
      <c r="B771" s="105"/>
      <c r="C771" s="107" t="s">
        <v>251</v>
      </c>
      <c r="D771" s="107" t="s">
        <v>251</v>
      </c>
      <c r="E771" s="120" t="s">
        <v>251</v>
      </c>
      <c r="F771" s="120" t="s">
        <v>251</v>
      </c>
      <c r="G771" s="120" t="s">
        <v>251</v>
      </c>
      <c r="H771" s="120" t="s">
        <v>251</v>
      </c>
      <c r="I771" s="120" t="s">
        <v>251</v>
      </c>
      <c r="J771" s="120" t="s">
        <v>251</v>
      </c>
      <c r="K771" s="120" t="s">
        <v>251</v>
      </c>
      <c r="L771" s="120" t="s">
        <v>251</v>
      </c>
      <c r="M771" s="120" t="s">
        <v>251</v>
      </c>
      <c r="N771" s="120" t="s">
        <v>251</v>
      </c>
      <c r="O771" s="120" t="s">
        <v>251</v>
      </c>
      <c r="P771" s="120" t="s">
        <v>251</v>
      </c>
      <c r="Q771" s="120" t="s">
        <v>251</v>
      </c>
      <c r="R771" s="120"/>
      <c r="S771" s="121"/>
    </row>
    <row r="772" spans="1:19" ht="15">
      <c r="A772" s="105" t="s">
        <v>251</v>
      </c>
      <c r="B772" s="105"/>
      <c r="C772" s="107" t="s">
        <v>805</v>
      </c>
      <c r="D772" s="107" t="s">
        <v>251</v>
      </c>
      <c r="E772" s="124">
        <v>0.05</v>
      </c>
      <c r="F772" s="124" t="s">
        <v>251</v>
      </c>
      <c r="G772" s="124">
        <v>0.05</v>
      </c>
      <c r="H772" s="124" t="s">
        <v>251</v>
      </c>
      <c r="I772" s="124">
        <v>0.06</v>
      </c>
      <c r="J772" s="124">
        <v>0.05</v>
      </c>
      <c r="K772" s="124" t="s">
        <v>251</v>
      </c>
      <c r="L772" s="124" t="s">
        <v>251</v>
      </c>
      <c r="M772" s="124">
        <v>0.05</v>
      </c>
      <c r="N772" s="124" t="s">
        <v>251</v>
      </c>
      <c r="O772" s="124">
        <v>0.05</v>
      </c>
      <c r="P772" s="124">
        <v>0.05</v>
      </c>
      <c r="Q772" s="124">
        <v>0.05</v>
      </c>
      <c r="R772" s="120"/>
      <c r="S772" s="121"/>
    </row>
    <row r="773" spans="1:19" ht="15">
      <c r="A773" s="105" t="s">
        <v>251</v>
      </c>
      <c r="B773" s="105"/>
      <c r="C773" s="107" t="s">
        <v>806</v>
      </c>
      <c r="D773" s="107" t="s">
        <v>251</v>
      </c>
      <c r="E773" s="124">
        <v>0.21</v>
      </c>
      <c r="F773" s="124" t="s">
        <v>251</v>
      </c>
      <c r="G773" s="124">
        <v>0.21</v>
      </c>
      <c r="H773" s="124" t="s">
        <v>251</v>
      </c>
      <c r="I773" s="124">
        <v>0.21</v>
      </c>
      <c r="J773" s="124">
        <v>0.21</v>
      </c>
      <c r="K773" s="124" t="s">
        <v>251</v>
      </c>
      <c r="L773" s="124" t="s">
        <v>251</v>
      </c>
      <c r="M773" s="124">
        <v>0.21</v>
      </c>
      <c r="N773" s="124" t="s">
        <v>251</v>
      </c>
      <c r="O773" s="124">
        <v>0.21</v>
      </c>
      <c r="P773" s="124">
        <v>0.21</v>
      </c>
      <c r="Q773" s="124">
        <v>0.21</v>
      </c>
      <c r="R773" s="120"/>
      <c r="S773" s="121"/>
    </row>
    <row r="774" spans="1:19" ht="15">
      <c r="A774" s="105" t="s">
        <v>251</v>
      </c>
      <c r="B774" s="105"/>
      <c r="C774" s="107" t="s">
        <v>807</v>
      </c>
      <c r="D774" s="107" t="s">
        <v>251</v>
      </c>
      <c r="E774" s="124">
        <v>0.75049999999999994</v>
      </c>
      <c r="F774" s="124" t="s">
        <v>251</v>
      </c>
      <c r="G774" s="124">
        <v>0.75049999999999994</v>
      </c>
      <c r="H774" s="124" t="s">
        <v>251</v>
      </c>
      <c r="I774" s="124">
        <v>0.74259999999999993</v>
      </c>
      <c r="J774" s="124">
        <v>0.75049999999999994</v>
      </c>
      <c r="K774" s="124" t="s">
        <v>251</v>
      </c>
      <c r="L774" s="124" t="s">
        <v>251</v>
      </c>
      <c r="M774" s="124">
        <v>0.75049999999999994</v>
      </c>
      <c r="N774" s="124" t="s">
        <v>251</v>
      </c>
      <c r="O774" s="124">
        <v>0.75049999999999994</v>
      </c>
      <c r="P774" s="124">
        <v>0.75049999999999994</v>
      </c>
      <c r="Q774" s="124">
        <v>0.75049999999999994</v>
      </c>
      <c r="R774" s="120"/>
      <c r="S774" s="121"/>
    </row>
    <row r="775" spans="1:19" ht="15">
      <c r="A775" s="105" t="s">
        <v>251</v>
      </c>
      <c r="B775" s="105"/>
      <c r="C775" s="107" t="s">
        <v>808</v>
      </c>
      <c r="D775" s="107" t="s">
        <v>251</v>
      </c>
      <c r="E775" s="124">
        <v>0.2495</v>
      </c>
      <c r="F775" s="124" t="s">
        <v>251</v>
      </c>
      <c r="G775" s="124">
        <v>0.2495</v>
      </c>
      <c r="H775" s="124" t="s">
        <v>251</v>
      </c>
      <c r="I775" s="124">
        <v>0.25740000000000002</v>
      </c>
      <c r="J775" s="124">
        <v>0.2495</v>
      </c>
      <c r="K775" s="124" t="s">
        <v>251</v>
      </c>
      <c r="L775" s="124" t="s">
        <v>251</v>
      </c>
      <c r="M775" s="124">
        <v>0.2495</v>
      </c>
      <c r="N775" s="124" t="s">
        <v>251</v>
      </c>
      <c r="O775" s="124">
        <v>0.2495</v>
      </c>
      <c r="P775" s="124">
        <v>0.2495</v>
      </c>
      <c r="Q775" s="124">
        <v>0.2495</v>
      </c>
      <c r="R775" s="120"/>
      <c r="S775" s="121"/>
    </row>
    <row r="776" spans="1:19" ht="15">
      <c r="A776" s="105" t="s">
        <v>251</v>
      </c>
      <c r="B776" s="105"/>
      <c r="C776" s="107" t="s">
        <v>809</v>
      </c>
      <c r="D776" s="107" t="s">
        <v>251</v>
      </c>
      <c r="E776" s="124">
        <v>1.3324450366422385</v>
      </c>
      <c r="F776" s="124" t="s">
        <v>251</v>
      </c>
      <c r="G776" s="124">
        <v>1.3324450366422385</v>
      </c>
      <c r="H776" s="124" t="s">
        <v>251</v>
      </c>
      <c r="I776" s="124">
        <v>1.3466199838405601</v>
      </c>
      <c r="J776" s="124">
        <v>1.3324450366422385</v>
      </c>
      <c r="K776" s="124" t="s">
        <v>251</v>
      </c>
      <c r="L776" s="124" t="s">
        <v>251</v>
      </c>
      <c r="M776" s="124">
        <v>1.3324450366422385</v>
      </c>
      <c r="N776" s="124" t="s">
        <v>251</v>
      </c>
      <c r="O776" s="124">
        <v>1.3324450366422385</v>
      </c>
      <c r="P776" s="124">
        <v>1.3324450366422385</v>
      </c>
      <c r="Q776" s="124">
        <v>1.3324450366422385</v>
      </c>
      <c r="R776" s="120"/>
      <c r="S776" s="121"/>
    </row>
    <row r="777" spans="1:19" ht="15">
      <c r="A777" s="105" t="s">
        <v>251</v>
      </c>
      <c r="B777" s="105"/>
      <c r="C777" s="107" t="s">
        <v>251</v>
      </c>
      <c r="D777" s="107" t="s">
        <v>251</v>
      </c>
      <c r="E777" s="124" t="s">
        <v>251</v>
      </c>
      <c r="F777" s="124" t="s">
        <v>251</v>
      </c>
      <c r="G777" s="124" t="s">
        <v>251</v>
      </c>
      <c r="H777" s="124" t="s">
        <v>251</v>
      </c>
      <c r="I777" s="124" t="s">
        <v>251</v>
      </c>
      <c r="J777" s="124" t="s">
        <v>251</v>
      </c>
      <c r="K777" s="124" t="s">
        <v>251</v>
      </c>
      <c r="L777" s="124" t="s">
        <v>251</v>
      </c>
      <c r="M777" s="124" t="s">
        <v>251</v>
      </c>
      <c r="N777" s="124" t="s">
        <v>251</v>
      </c>
      <c r="O777" s="124" t="s">
        <v>251</v>
      </c>
      <c r="P777" s="124" t="s">
        <v>251</v>
      </c>
      <c r="Q777" s="124" t="s">
        <v>251</v>
      </c>
      <c r="R777" s="120"/>
      <c r="S777" s="121"/>
    </row>
    <row r="778" spans="1:19" ht="15">
      <c r="A778" s="105" t="s">
        <v>251</v>
      </c>
      <c r="B778" s="105"/>
      <c r="C778" s="107" t="s">
        <v>810</v>
      </c>
      <c r="D778" s="107" t="s">
        <v>251</v>
      </c>
      <c r="E778" s="120" t="s">
        <v>251</v>
      </c>
      <c r="F778" s="120" t="s">
        <v>251</v>
      </c>
      <c r="G778" s="120" t="s">
        <v>251</v>
      </c>
      <c r="H778" s="120" t="s">
        <v>251</v>
      </c>
      <c r="I778" s="120" t="s">
        <v>251</v>
      </c>
      <c r="J778" s="120" t="s">
        <v>251</v>
      </c>
      <c r="K778" s="120" t="s">
        <v>251</v>
      </c>
      <c r="L778" s="120" t="s">
        <v>251</v>
      </c>
      <c r="M778" s="120" t="s">
        <v>251</v>
      </c>
      <c r="N778" s="120" t="s">
        <v>251</v>
      </c>
      <c r="O778" s="120" t="s">
        <v>251</v>
      </c>
      <c r="P778" s="120" t="s">
        <v>251</v>
      </c>
      <c r="Q778" s="120" t="s">
        <v>251</v>
      </c>
      <c r="R778" s="120"/>
      <c r="S778" s="121"/>
    </row>
    <row r="779" spans="1:19" ht="15">
      <c r="A779" s="105" t="s">
        <v>251</v>
      </c>
      <c r="B779" s="105"/>
      <c r="C779" s="107" t="s">
        <v>251</v>
      </c>
      <c r="D779" s="107" t="s">
        <v>251</v>
      </c>
      <c r="E779" s="120" t="s">
        <v>251</v>
      </c>
      <c r="F779" s="120" t="s">
        <v>251</v>
      </c>
      <c r="G779" s="120" t="s">
        <v>251</v>
      </c>
      <c r="H779" s="120" t="s">
        <v>251</v>
      </c>
      <c r="I779" s="120" t="s">
        <v>251</v>
      </c>
      <c r="J779" s="120" t="s">
        <v>251</v>
      </c>
      <c r="K779" s="120" t="s">
        <v>251</v>
      </c>
      <c r="L779" s="120" t="s">
        <v>251</v>
      </c>
      <c r="M779" s="120" t="s">
        <v>251</v>
      </c>
      <c r="N779" s="120" t="s">
        <v>251</v>
      </c>
      <c r="O779" s="120" t="s">
        <v>251</v>
      </c>
      <c r="P779" s="120" t="s">
        <v>251</v>
      </c>
      <c r="Q779" s="120" t="s">
        <v>251</v>
      </c>
      <c r="R779" s="120"/>
      <c r="S779" s="121"/>
    </row>
    <row r="780" spans="1:19" ht="15">
      <c r="A780" s="105" t="s">
        <v>251</v>
      </c>
      <c r="B780" s="105"/>
      <c r="C780" s="107" t="s">
        <v>811</v>
      </c>
      <c r="D780" s="107" t="s">
        <v>251</v>
      </c>
      <c r="E780" s="120" t="s">
        <v>251</v>
      </c>
      <c r="F780" s="120" t="s">
        <v>251</v>
      </c>
      <c r="G780" s="120" t="s">
        <v>251</v>
      </c>
      <c r="H780" s="120" t="s">
        <v>251</v>
      </c>
      <c r="I780" s="120" t="s">
        <v>251</v>
      </c>
      <c r="J780" s="120" t="s">
        <v>251</v>
      </c>
      <c r="K780" s="120" t="s">
        <v>251</v>
      </c>
      <c r="L780" s="120" t="s">
        <v>251</v>
      </c>
      <c r="M780" s="120" t="s">
        <v>251</v>
      </c>
      <c r="N780" s="120" t="s">
        <v>251</v>
      </c>
      <c r="O780" s="120" t="s">
        <v>251</v>
      </c>
      <c r="P780" s="120" t="s">
        <v>251</v>
      </c>
      <c r="Q780" s="120" t="s">
        <v>251</v>
      </c>
      <c r="R780" s="120"/>
      <c r="S780" s="121"/>
    </row>
    <row r="781" spans="1:19" ht="15">
      <c r="A781" s="105" t="s">
        <v>251</v>
      </c>
      <c r="B781" s="105"/>
      <c r="C781" s="107" t="s">
        <v>812</v>
      </c>
      <c r="D781" s="107" t="s">
        <v>251</v>
      </c>
      <c r="E781" s="120" t="s">
        <v>251</v>
      </c>
      <c r="F781" s="120" t="s">
        <v>251</v>
      </c>
      <c r="G781" s="120" t="s">
        <v>251</v>
      </c>
      <c r="H781" s="120" t="s">
        <v>251</v>
      </c>
      <c r="I781" s="120" t="s">
        <v>251</v>
      </c>
      <c r="J781" s="120" t="s">
        <v>251</v>
      </c>
      <c r="K781" s="120" t="s">
        <v>251</v>
      </c>
      <c r="L781" s="120" t="s">
        <v>251</v>
      </c>
      <c r="M781" s="120" t="s">
        <v>251</v>
      </c>
      <c r="N781" s="120" t="s">
        <v>251</v>
      </c>
      <c r="O781" s="120" t="s">
        <v>251</v>
      </c>
      <c r="P781" s="120" t="s">
        <v>251</v>
      </c>
      <c r="Q781" s="120" t="s">
        <v>251</v>
      </c>
      <c r="R781" s="120"/>
      <c r="S781" s="121"/>
    </row>
    <row r="782" spans="1:19" ht="15">
      <c r="A782" s="105" t="s">
        <v>251</v>
      </c>
      <c r="B782" s="105"/>
      <c r="C782" s="107" t="s">
        <v>813</v>
      </c>
      <c r="D782" s="107" t="s">
        <v>251</v>
      </c>
      <c r="E782" s="120" t="s">
        <v>251</v>
      </c>
      <c r="F782" s="120" t="s">
        <v>251</v>
      </c>
      <c r="G782" s="120" t="s">
        <v>251</v>
      </c>
      <c r="H782" s="120" t="s">
        <v>251</v>
      </c>
      <c r="I782" s="120" t="s">
        <v>251</v>
      </c>
      <c r="J782" s="120" t="s">
        <v>251</v>
      </c>
      <c r="K782" s="120" t="s">
        <v>251</v>
      </c>
      <c r="L782" s="120" t="s">
        <v>251</v>
      </c>
      <c r="M782" s="120" t="s">
        <v>251</v>
      </c>
      <c r="N782" s="120" t="s">
        <v>251</v>
      </c>
      <c r="O782" s="120" t="s">
        <v>251</v>
      </c>
      <c r="P782" s="120" t="s">
        <v>251</v>
      </c>
      <c r="Q782" s="120" t="s">
        <v>251</v>
      </c>
      <c r="R782" s="120"/>
      <c r="S782" s="121"/>
    </row>
    <row r="783" spans="1:19" ht="15">
      <c r="A783" s="105">
        <v>1</v>
      </c>
      <c r="B783" s="105"/>
      <c r="C783" s="107" t="s">
        <v>814</v>
      </c>
      <c r="D783" s="107" t="s">
        <v>495</v>
      </c>
      <c r="E783" s="120">
        <v>2381202.0000000005</v>
      </c>
      <c r="F783" s="120" t="s">
        <v>251</v>
      </c>
      <c r="G783" s="120">
        <v>2240732.8927895362</v>
      </c>
      <c r="H783" s="120" t="s">
        <v>251</v>
      </c>
      <c r="I783" s="120">
        <v>91411.682165207167</v>
      </c>
      <c r="J783" s="120">
        <v>49057.425045256896</v>
      </c>
      <c r="K783" s="120" t="s">
        <v>251</v>
      </c>
      <c r="L783" s="120" t="s">
        <v>251</v>
      </c>
      <c r="M783" s="120">
        <v>10.028295910113654</v>
      </c>
      <c r="N783" s="120" t="s">
        <v>251</v>
      </c>
      <c r="O783" s="120">
        <v>49047.396749346779</v>
      </c>
      <c r="P783" s="120">
        <v>24837.977313515719</v>
      </c>
      <c r="Q783" s="120">
        <v>24209.419435831063</v>
      </c>
      <c r="R783" s="120"/>
      <c r="S783" s="121"/>
    </row>
    <row r="784" spans="1:19" ht="15">
      <c r="A784" s="105">
        <v>2</v>
      </c>
      <c r="B784" s="105"/>
      <c r="C784" s="107" t="s">
        <v>815</v>
      </c>
      <c r="D784" s="107" t="s">
        <v>495</v>
      </c>
      <c r="E784" s="120">
        <v>8712114</v>
      </c>
      <c r="F784" s="120" t="s">
        <v>251</v>
      </c>
      <c r="G784" s="120">
        <v>8198179.0732294936</v>
      </c>
      <c r="H784" s="120" t="s">
        <v>251</v>
      </c>
      <c r="I784" s="120">
        <v>334448.31473980437</v>
      </c>
      <c r="J784" s="120">
        <v>179486.61203070264</v>
      </c>
      <c r="K784" s="120" t="s">
        <v>251</v>
      </c>
      <c r="L784" s="120" t="s">
        <v>251</v>
      </c>
      <c r="M784" s="120">
        <v>36.690569382456381</v>
      </c>
      <c r="N784" s="120" t="s">
        <v>251</v>
      </c>
      <c r="O784" s="120">
        <v>179449.92146132019</v>
      </c>
      <c r="P784" s="120">
        <v>90874.814436054847</v>
      </c>
      <c r="Q784" s="120">
        <v>88575.107025265359</v>
      </c>
      <c r="R784" s="120"/>
      <c r="S784" s="121"/>
    </row>
    <row r="785" spans="1:19" ht="15">
      <c r="A785" s="105">
        <v>3</v>
      </c>
      <c r="B785" s="105"/>
      <c r="C785" s="107" t="s">
        <v>816</v>
      </c>
      <c r="D785" s="107" t="s">
        <v>495</v>
      </c>
      <c r="E785" s="120">
        <v>11890682</v>
      </c>
      <c r="F785" s="120" t="s">
        <v>251</v>
      </c>
      <c r="G785" s="120">
        <v>11189240.675549772</v>
      </c>
      <c r="H785" s="120" t="s">
        <v>251</v>
      </c>
      <c r="I785" s="120">
        <v>456469.98604551394</v>
      </c>
      <c r="J785" s="120">
        <v>244971.3384047155</v>
      </c>
      <c r="K785" s="120" t="s">
        <v>251</v>
      </c>
      <c r="L785" s="120" t="s">
        <v>251</v>
      </c>
      <c r="M785" s="120">
        <v>50.076926556025924</v>
      </c>
      <c r="N785" s="120" t="s">
        <v>251</v>
      </c>
      <c r="O785" s="120">
        <v>244921.26147815946</v>
      </c>
      <c r="P785" s="120">
        <v>124030.00239300559</v>
      </c>
      <c r="Q785" s="120">
        <v>120891.25908515388</v>
      </c>
      <c r="R785" s="120"/>
      <c r="S785" s="121"/>
    </row>
    <row r="786" spans="1:19" ht="15">
      <c r="A786" s="105">
        <v>4</v>
      </c>
      <c r="B786" s="105"/>
      <c r="C786" s="107" t="s">
        <v>817</v>
      </c>
      <c r="D786" s="107" t="s">
        <v>495</v>
      </c>
      <c r="E786" s="120">
        <v>2243338</v>
      </c>
      <c r="F786" s="120" t="s">
        <v>251</v>
      </c>
      <c r="G786" s="120">
        <v>2111001.6060143961</v>
      </c>
      <c r="H786" s="120" t="s">
        <v>251</v>
      </c>
      <c r="I786" s="120">
        <v>86119.237362110187</v>
      </c>
      <c r="J786" s="120">
        <v>46217.156623493727</v>
      </c>
      <c r="K786" s="120" t="s">
        <v>251</v>
      </c>
      <c r="L786" s="120" t="s">
        <v>251</v>
      </c>
      <c r="M786" s="120">
        <v>9.4476895661949492</v>
      </c>
      <c r="N786" s="120" t="s">
        <v>251</v>
      </c>
      <c r="O786" s="120">
        <v>46207.708933927534</v>
      </c>
      <c r="P786" s="120">
        <v>23399.937657766004</v>
      </c>
      <c r="Q786" s="120">
        <v>22807.771276161529</v>
      </c>
      <c r="R786" s="120"/>
      <c r="S786" s="121"/>
    </row>
    <row r="787" spans="1:19" ht="15">
      <c r="A787" s="105">
        <v>5</v>
      </c>
      <c r="B787" s="105"/>
      <c r="C787" s="107" t="s">
        <v>818</v>
      </c>
      <c r="D787" s="107" t="s">
        <v>495</v>
      </c>
      <c r="E787" s="120">
        <v>0</v>
      </c>
      <c r="F787" s="120" t="s">
        <v>251</v>
      </c>
      <c r="G787" s="120">
        <v>0</v>
      </c>
      <c r="H787" s="120" t="s">
        <v>251</v>
      </c>
      <c r="I787" s="120">
        <v>0</v>
      </c>
      <c r="J787" s="120">
        <v>0</v>
      </c>
      <c r="K787" s="120" t="s">
        <v>251</v>
      </c>
      <c r="L787" s="120" t="s">
        <v>251</v>
      </c>
      <c r="M787" s="120">
        <v>0</v>
      </c>
      <c r="N787" s="120" t="s">
        <v>251</v>
      </c>
      <c r="O787" s="120">
        <v>0</v>
      </c>
      <c r="P787" s="120">
        <v>0</v>
      </c>
      <c r="Q787" s="120">
        <v>0</v>
      </c>
      <c r="R787" s="120"/>
      <c r="S787" s="121"/>
    </row>
    <row r="788" spans="1:19" ht="15">
      <c r="A788" s="105" t="s">
        <v>251</v>
      </c>
      <c r="B788" s="105"/>
      <c r="C788" s="107" t="s">
        <v>251</v>
      </c>
      <c r="D788" s="107" t="s">
        <v>251</v>
      </c>
      <c r="E788" s="120" t="s">
        <v>251</v>
      </c>
      <c r="F788" s="120" t="s">
        <v>251</v>
      </c>
      <c r="G788" s="120" t="s">
        <v>251</v>
      </c>
      <c r="H788" s="120" t="s">
        <v>251</v>
      </c>
      <c r="I788" s="120" t="s">
        <v>251</v>
      </c>
      <c r="J788" s="120" t="s">
        <v>251</v>
      </c>
      <c r="K788" s="120" t="s">
        <v>251</v>
      </c>
      <c r="L788" s="120" t="s">
        <v>251</v>
      </c>
      <c r="M788" s="120" t="s">
        <v>251</v>
      </c>
      <c r="N788" s="120" t="s">
        <v>251</v>
      </c>
      <c r="O788" s="120" t="s">
        <v>251</v>
      </c>
      <c r="P788" s="120" t="s">
        <v>251</v>
      </c>
      <c r="Q788" s="120" t="s">
        <v>251</v>
      </c>
      <c r="R788" s="120"/>
      <c r="S788" s="121"/>
    </row>
    <row r="789" spans="1:19" ht="15">
      <c r="A789" s="105">
        <v>6</v>
      </c>
      <c r="B789" s="105"/>
      <c r="C789" s="107" t="s">
        <v>819</v>
      </c>
      <c r="D789" s="107" t="s">
        <v>251</v>
      </c>
      <c r="E789" s="120">
        <v>25227336.000000004</v>
      </c>
      <c r="F789" s="120" t="s">
        <v>251</v>
      </c>
      <c r="G789" s="120">
        <v>23739154.247583199</v>
      </c>
      <c r="H789" s="120" t="s">
        <v>251</v>
      </c>
      <c r="I789" s="120">
        <v>968449.22031263565</v>
      </c>
      <c r="J789" s="120">
        <v>519732.53210416873</v>
      </c>
      <c r="K789" s="120" t="s">
        <v>251</v>
      </c>
      <c r="L789" s="120" t="s">
        <v>251</v>
      </c>
      <c r="M789" s="120">
        <v>106.24348141479092</v>
      </c>
      <c r="N789" s="120" t="s">
        <v>251</v>
      </c>
      <c r="O789" s="120">
        <v>519626.28862275399</v>
      </c>
      <c r="P789" s="120">
        <v>263142.73180034215</v>
      </c>
      <c r="Q789" s="120">
        <v>256483.55682241183</v>
      </c>
      <c r="R789" s="120"/>
      <c r="S789" s="121"/>
    </row>
    <row r="790" spans="1:19" ht="15">
      <c r="A790" s="105" t="s">
        <v>251</v>
      </c>
      <c r="B790" s="105"/>
      <c r="C790" s="107" t="s">
        <v>251</v>
      </c>
      <c r="D790" s="107" t="s">
        <v>251</v>
      </c>
      <c r="E790" s="120" t="s">
        <v>251</v>
      </c>
      <c r="F790" s="120" t="s">
        <v>251</v>
      </c>
      <c r="G790" s="120" t="s">
        <v>251</v>
      </c>
      <c r="H790" s="120" t="s">
        <v>251</v>
      </c>
      <c r="I790" s="120" t="s">
        <v>251</v>
      </c>
      <c r="J790" s="120" t="s">
        <v>251</v>
      </c>
      <c r="K790" s="120" t="s">
        <v>251</v>
      </c>
      <c r="L790" s="120" t="s">
        <v>251</v>
      </c>
      <c r="M790" s="120" t="s">
        <v>251</v>
      </c>
      <c r="N790" s="120" t="s">
        <v>251</v>
      </c>
      <c r="O790" s="120" t="s">
        <v>251</v>
      </c>
      <c r="P790" s="120" t="s">
        <v>251</v>
      </c>
      <c r="Q790" s="120" t="s">
        <v>251</v>
      </c>
      <c r="R790" s="120"/>
      <c r="S790" s="121"/>
    </row>
    <row r="791" spans="1:19" ht="15">
      <c r="A791" s="105" t="s">
        <v>251</v>
      </c>
      <c r="B791" s="105"/>
      <c r="C791" s="107" t="s">
        <v>820</v>
      </c>
      <c r="D791" s="107" t="s">
        <v>251</v>
      </c>
      <c r="E791" s="120" t="s">
        <v>251</v>
      </c>
      <c r="F791" s="120" t="s">
        <v>251</v>
      </c>
      <c r="G791" s="120" t="s">
        <v>251</v>
      </c>
      <c r="H791" s="120" t="s">
        <v>251</v>
      </c>
      <c r="I791" s="120" t="s">
        <v>251</v>
      </c>
      <c r="J791" s="120" t="s">
        <v>251</v>
      </c>
      <c r="K791" s="120" t="s">
        <v>251</v>
      </c>
      <c r="L791" s="120" t="s">
        <v>251</v>
      </c>
      <c r="M791" s="120" t="s">
        <v>251</v>
      </c>
      <c r="N791" s="120" t="s">
        <v>251</v>
      </c>
      <c r="O791" s="120" t="s">
        <v>251</v>
      </c>
      <c r="P791" s="120" t="s">
        <v>251</v>
      </c>
      <c r="Q791" s="120" t="s">
        <v>251</v>
      </c>
      <c r="R791" s="120"/>
      <c r="S791" s="121"/>
    </row>
    <row r="792" spans="1:19" ht="15">
      <c r="A792" s="105">
        <v>7</v>
      </c>
      <c r="B792" s="105"/>
      <c r="C792" s="107" t="s">
        <v>821</v>
      </c>
      <c r="D792" s="107" t="s">
        <v>498</v>
      </c>
      <c r="E792" s="120">
        <v>7794907</v>
      </c>
      <c r="F792" s="120" t="s">
        <v>251</v>
      </c>
      <c r="G792" s="120">
        <v>7293278.8907197993</v>
      </c>
      <c r="H792" s="120" t="s">
        <v>251</v>
      </c>
      <c r="I792" s="120">
        <v>338720.14564668154</v>
      </c>
      <c r="J792" s="120">
        <v>162907.96363351864</v>
      </c>
      <c r="K792" s="120" t="s">
        <v>251</v>
      </c>
      <c r="L792" s="120" t="s">
        <v>251</v>
      </c>
      <c r="M792" s="120">
        <v>23.288849086170078</v>
      </c>
      <c r="N792" s="120" t="s">
        <v>251</v>
      </c>
      <c r="O792" s="120">
        <v>162884.67478443246</v>
      </c>
      <c r="P792" s="120">
        <v>82610.554867477724</v>
      </c>
      <c r="Q792" s="120">
        <v>80274.119916954733</v>
      </c>
      <c r="R792" s="120"/>
      <c r="S792" s="121"/>
    </row>
    <row r="793" spans="1:19" ht="15">
      <c r="A793" s="105">
        <v>8</v>
      </c>
      <c r="B793" s="105"/>
      <c r="C793" s="107" t="s">
        <v>822</v>
      </c>
      <c r="D793" s="107" t="s">
        <v>498</v>
      </c>
      <c r="E793" s="120">
        <v>9236153.9999999981</v>
      </c>
      <c r="F793" s="120" t="s">
        <v>251</v>
      </c>
      <c r="G793" s="120">
        <v>8641776.8678493835</v>
      </c>
      <c r="H793" s="120" t="s">
        <v>251</v>
      </c>
      <c r="I793" s="120">
        <v>401348.14027866913</v>
      </c>
      <c r="J793" s="120">
        <v>193028.99187194635</v>
      </c>
      <c r="K793" s="120" t="s">
        <v>251</v>
      </c>
      <c r="L793" s="120" t="s">
        <v>251</v>
      </c>
      <c r="M793" s="120">
        <v>27.594863754323956</v>
      </c>
      <c r="N793" s="120" t="s">
        <v>251</v>
      </c>
      <c r="O793" s="120">
        <v>193001.39700819203</v>
      </c>
      <c r="P793" s="120">
        <v>97884.914698978944</v>
      </c>
      <c r="Q793" s="120">
        <v>95116.482309213068</v>
      </c>
      <c r="R793" s="120"/>
      <c r="S793" s="121"/>
    </row>
    <row r="794" spans="1:19" ht="15">
      <c r="A794" s="105">
        <v>9</v>
      </c>
      <c r="B794" s="105"/>
      <c r="C794" s="107" t="s">
        <v>823</v>
      </c>
      <c r="D794" s="107" t="s">
        <v>498</v>
      </c>
      <c r="E794" s="120">
        <v>6700236</v>
      </c>
      <c r="F794" s="120" t="s">
        <v>251</v>
      </c>
      <c r="G794" s="120">
        <v>6269053.598925666</v>
      </c>
      <c r="H794" s="120" t="s">
        <v>251</v>
      </c>
      <c r="I794" s="120">
        <v>291152.27593955118</v>
      </c>
      <c r="J794" s="120">
        <v>140030.12513478252</v>
      </c>
      <c r="K794" s="120" t="s">
        <v>251</v>
      </c>
      <c r="L794" s="120" t="s">
        <v>251</v>
      </c>
      <c r="M794" s="120">
        <v>20.0182997751896</v>
      </c>
      <c r="N794" s="120" t="s">
        <v>251</v>
      </c>
      <c r="O794" s="120">
        <v>140010.10683500732</v>
      </c>
      <c r="P794" s="120">
        <v>71009.21328542463</v>
      </c>
      <c r="Q794" s="120">
        <v>69000.893549582703</v>
      </c>
      <c r="R794" s="120"/>
      <c r="S794" s="121"/>
    </row>
    <row r="795" spans="1:19" ht="15">
      <c r="A795" s="105">
        <v>10</v>
      </c>
      <c r="B795" s="105"/>
      <c r="C795" s="107" t="s">
        <v>824</v>
      </c>
      <c r="D795" s="107" t="s">
        <v>498</v>
      </c>
      <c r="E795" s="120">
        <v>2779706</v>
      </c>
      <c r="F795" s="120" t="s">
        <v>251</v>
      </c>
      <c r="G795" s="120">
        <v>2600822.7028503576</v>
      </c>
      <c r="H795" s="120" t="s">
        <v>251</v>
      </c>
      <c r="I795" s="120">
        <v>120789.43612476127</v>
      </c>
      <c r="J795" s="120">
        <v>58093.861024881182</v>
      </c>
      <c r="K795" s="120" t="s">
        <v>251</v>
      </c>
      <c r="L795" s="120" t="s">
        <v>251</v>
      </c>
      <c r="M795" s="120">
        <v>8.3049295569429464</v>
      </c>
      <c r="N795" s="120" t="s">
        <v>251</v>
      </c>
      <c r="O795" s="120">
        <v>58085.556095324238</v>
      </c>
      <c r="P795" s="120">
        <v>29459.370718400751</v>
      </c>
      <c r="Q795" s="120">
        <v>28626.185376923491</v>
      </c>
      <c r="R795" s="120"/>
      <c r="S795" s="121"/>
    </row>
    <row r="796" spans="1:19" ht="15">
      <c r="A796" s="105">
        <v>11</v>
      </c>
      <c r="B796" s="105"/>
      <c r="C796" s="107" t="s">
        <v>825</v>
      </c>
      <c r="D796" s="107" t="s">
        <v>498</v>
      </c>
      <c r="E796" s="120">
        <v>0</v>
      </c>
      <c r="F796" s="120" t="s">
        <v>251</v>
      </c>
      <c r="G796" s="120">
        <v>0</v>
      </c>
      <c r="H796" s="120" t="s">
        <v>251</v>
      </c>
      <c r="I796" s="120">
        <v>0</v>
      </c>
      <c r="J796" s="120">
        <v>0</v>
      </c>
      <c r="K796" s="120" t="s">
        <v>251</v>
      </c>
      <c r="L796" s="120" t="s">
        <v>251</v>
      </c>
      <c r="M796" s="120">
        <v>0</v>
      </c>
      <c r="N796" s="120" t="s">
        <v>251</v>
      </c>
      <c r="O796" s="120">
        <v>0</v>
      </c>
      <c r="P796" s="120">
        <v>0</v>
      </c>
      <c r="Q796" s="120">
        <v>0</v>
      </c>
      <c r="R796" s="120"/>
      <c r="S796" s="121"/>
    </row>
    <row r="797" spans="1:19" ht="15">
      <c r="A797" s="105">
        <v>12</v>
      </c>
      <c r="B797" s="105"/>
      <c r="C797" s="107" t="s">
        <v>826</v>
      </c>
      <c r="D797" s="107" t="s">
        <v>498</v>
      </c>
      <c r="E797" s="120">
        <v>1275448.9999999998</v>
      </c>
      <c r="F797" s="120" t="s">
        <v>251</v>
      </c>
      <c r="G797" s="120">
        <v>1193369.6281289407</v>
      </c>
      <c r="H797" s="120" t="s">
        <v>251</v>
      </c>
      <c r="I797" s="120">
        <v>55423.402876379965</v>
      </c>
      <c r="J797" s="120">
        <v>26655.968994679177</v>
      </c>
      <c r="K797" s="120" t="s">
        <v>251</v>
      </c>
      <c r="L797" s="120" t="s">
        <v>251</v>
      </c>
      <c r="M797" s="120">
        <v>3.8106598677965673</v>
      </c>
      <c r="N797" s="120" t="s">
        <v>251</v>
      </c>
      <c r="O797" s="120">
        <v>26652.158334811382</v>
      </c>
      <c r="P797" s="120">
        <v>13517.229852154695</v>
      </c>
      <c r="Q797" s="120">
        <v>13134.928482656687</v>
      </c>
      <c r="R797" s="120"/>
      <c r="S797" s="121"/>
    </row>
    <row r="798" spans="1:19" ht="15">
      <c r="A798" s="105">
        <v>13</v>
      </c>
      <c r="B798" s="105"/>
      <c r="C798" s="107" t="s">
        <v>827</v>
      </c>
      <c r="D798" s="107" t="s">
        <v>498</v>
      </c>
      <c r="E798" s="120">
        <v>275227</v>
      </c>
      <c r="F798" s="120" t="s">
        <v>251</v>
      </c>
      <c r="G798" s="120">
        <v>257515.23004137681</v>
      </c>
      <c r="H798" s="120" t="s">
        <v>251</v>
      </c>
      <c r="I798" s="120">
        <v>11959.723127665182</v>
      </c>
      <c r="J798" s="120">
        <v>5752.0468309580128</v>
      </c>
      <c r="K798" s="120" t="s">
        <v>251</v>
      </c>
      <c r="L798" s="120" t="s">
        <v>251</v>
      </c>
      <c r="M798" s="120">
        <v>0.82229590005876041</v>
      </c>
      <c r="N798" s="120" t="s">
        <v>251</v>
      </c>
      <c r="O798" s="120">
        <v>5751.2245350579542</v>
      </c>
      <c r="P798" s="120">
        <v>2916.8603531140643</v>
      </c>
      <c r="Q798" s="120">
        <v>2834.3641819438899</v>
      </c>
      <c r="R798" s="120"/>
      <c r="S798" s="121"/>
    </row>
    <row r="799" spans="1:19" ht="15">
      <c r="A799" s="105">
        <v>14</v>
      </c>
      <c r="B799" s="105"/>
      <c r="C799" s="107" t="s">
        <v>828</v>
      </c>
      <c r="D799" s="107" t="s">
        <v>498</v>
      </c>
      <c r="E799" s="120">
        <v>0</v>
      </c>
      <c r="F799" s="120" t="s">
        <v>251</v>
      </c>
      <c r="G799" s="120">
        <v>0</v>
      </c>
      <c r="H799" s="120" t="s">
        <v>251</v>
      </c>
      <c r="I799" s="120">
        <v>0</v>
      </c>
      <c r="J799" s="120">
        <v>0</v>
      </c>
      <c r="K799" s="120" t="s">
        <v>251</v>
      </c>
      <c r="L799" s="120" t="s">
        <v>251</v>
      </c>
      <c r="M799" s="120">
        <v>0</v>
      </c>
      <c r="N799" s="120" t="s">
        <v>251</v>
      </c>
      <c r="O799" s="120">
        <v>0</v>
      </c>
      <c r="P799" s="120">
        <v>0</v>
      </c>
      <c r="Q799" s="120">
        <v>0</v>
      </c>
      <c r="R799" s="120"/>
      <c r="S799" s="121"/>
    </row>
    <row r="800" spans="1:19" ht="15">
      <c r="A800" s="105">
        <v>15</v>
      </c>
      <c r="B800" s="105"/>
      <c r="C800" s="107" t="s">
        <v>829</v>
      </c>
      <c r="D800" s="107" t="s">
        <v>498</v>
      </c>
      <c r="E800" s="120">
        <v>0</v>
      </c>
      <c r="F800" s="120" t="s">
        <v>251</v>
      </c>
      <c r="G800" s="120">
        <v>0</v>
      </c>
      <c r="H800" s="120" t="s">
        <v>251</v>
      </c>
      <c r="I800" s="120">
        <v>0</v>
      </c>
      <c r="J800" s="120">
        <v>0</v>
      </c>
      <c r="K800" s="120" t="s">
        <v>251</v>
      </c>
      <c r="L800" s="120" t="s">
        <v>251</v>
      </c>
      <c r="M800" s="120">
        <v>0</v>
      </c>
      <c r="N800" s="120" t="s">
        <v>251</v>
      </c>
      <c r="O800" s="120">
        <v>0</v>
      </c>
      <c r="P800" s="120">
        <v>0</v>
      </c>
      <c r="Q800" s="120">
        <v>0</v>
      </c>
      <c r="R800" s="120"/>
      <c r="S800" s="121"/>
    </row>
    <row r="801" spans="1:19" ht="15">
      <c r="A801" s="105">
        <v>16</v>
      </c>
      <c r="B801" s="105"/>
      <c r="C801" s="107" t="s">
        <v>830</v>
      </c>
      <c r="D801" s="107" t="s">
        <v>498</v>
      </c>
      <c r="E801" s="120">
        <v>0</v>
      </c>
      <c r="F801" s="120" t="s">
        <v>251</v>
      </c>
      <c r="G801" s="120">
        <v>0</v>
      </c>
      <c r="H801" s="120" t="s">
        <v>251</v>
      </c>
      <c r="I801" s="120">
        <v>0</v>
      </c>
      <c r="J801" s="120">
        <v>0</v>
      </c>
      <c r="K801" s="120" t="s">
        <v>251</v>
      </c>
      <c r="L801" s="120" t="s">
        <v>251</v>
      </c>
      <c r="M801" s="120">
        <v>0</v>
      </c>
      <c r="N801" s="120" t="s">
        <v>251</v>
      </c>
      <c r="O801" s="120">
        <v>0</v>
      </c>
      <c r="P801" s="120">
        <v>0</v>
      </c>
      <c r="Q801" s="120">
        <v>0</v>
      </c>
      <c r="R801" s="120"/>
      <c r="S801" s="121"/>
    </row>
    <row r="802" spans="1:19" ht="15">
      <c r="A802" s="105">
        <v>17</v>
      </c>
      <c r="B802" s="105"/>
      <c r="C802" s="107" t="s">
        <v>831</v>
      </c>
      <c r="D802" s="107" t="s">
        <v>498</v>
      </c>
      <c r="E802" s="120">
        <v>204027</v>
      </c>
      <c r="F802" s="120" t="s">
        <v>251</v>
      </c>
      <c r="G802" s="120">
        <v>190897.1861032965</v>
      </c>
      <c r="H802" s="120" t="s">
        <v>251</v>
      </c>
      <c r="I802" s="120">
        <v>8865.795981383164</v>
      </c>
      <c r="J802" s="120">
        <v>4264.0179153203371</v>
      </c>
      <c r="K802" s="120" t="s">
        <v>251</v>
      </c>
      <c r="L802" s="120" t="s">
        <v>251</v>
      </c>
      <c r="M802" s="120">
        <v>0.60957161034814422</v>
      </c>
      <c r="N802" s="120" t="s">
        <v>251</v>
      </c>
      <c r="O802" s="120">
        <v>4263.4083437099889</v>
      </c>
      <c r="P802" s="120">
        <v>2162.2815612741601</v>
      </c>
      <c r="Q802" s="120">
        <v>2101.1267824358292</v>
      </c>
      <c r="R802" s="120"/>
      <c r="S802" s="121"/>
    </row>
    <row r="803" spans="1:19" ht="15">
      <c r="A803" s="105">
        <v>18</v>
      </c>
      <c r="B803" s="105"/>
      <c r="C803" s="107" t="s">
        <v>832</v>
      </c>
      <c r="D803" s="107" t="s">
        <v>498</v>
      </c>
      <c r="E803" s="120">
        <v>59484.999999999993</v>
      </c>
      <c r="F803" s="120" t="s">
        <v>251</v>
      </c>
      <c r="G803" s="120">
        <v>55656.94302888633</v>
      </c>
      <c r="H803" s="120" t="s">
        <v>251</v>
      </c>
      <c r="I803" s="120">
        <v>2584.8631502329472</v>
      </c>
      <c r="J803" s="120">
        <v>1243.193820880718</v>
      </c>
      <c r="K803" s="120" t="s">
        <v>251</v>
      </c>
      <c r="L803" s="120" t="s">
        <v>251</v>
      </c>
      <c r="M803" s="120">
        <v>0.17772337603140448</v>
      </c>
      <c r="N803" s="120" t="s">
        <v>251</v>
      </c>
      <c r="O803" s="120">
        <v>1243.0160975046865</v>
      </c>
      <c r="P803" s="120">
        <v>630.42302573871791</v>
      </c>
      <c r="Q803" s="120">
        <v>612.59307176596872</v>
      </c>
      <c r="R803" s="120"/>
      <c r="S803" s="121"/>
    </row>
    <row r="804" spans="1:19" ht="15">
      <c r="A804" s="105">
        <v>19</v>
      </c>
      <c r="B804" s="105"/>
      <c r="C804" s="107" t="s">
        <v>2254</v>
      </c>
      <c r="D804" s="107" t="s">
        <v>498</v>
      </c>
      <c r="E804" s="120">
        <v>1308</v>
      </c>
      <c r="F804" s="120" t="s">
        <v>251</v>
      </c>
      <c r="G804" s="120">
        <v>1223.8258633568685</v>
      </c>
      <c r="H804" s="120" t="s">
        <v>251</v>
      </c>
      <c r="I804" s="120">
        <v>56.837875103046059</v>
      </c>
      <c r="J804" s="120">
        <v>27.336261540085388</v>
      </c>
      <c r="K804" s="120" t="s">
        <v>251</v>
      </c>
      <c r="L804" s="120" t="s">
        <v>251</v>
      </c>
      <c r="M804" s="120">
        <v>3.9079125132231163E-3</v>
      </c>
      <c r="N804" s="120" t="s">
        <v>251</v>
      </c>
      <c r="O804" s="120">
        <v>27.332353627572164</v>
      </c>
      <c r="P804" s="120">
        <v>13.862205895036448</v>
      </c>
      <c r="Q804" s="120">
        <v>13.470147732535716</v>
      </c>
      <c r="R804" s="120"/>
      <c r="S804" s="121"/>
    </row>
    <row r="805" spans="1:19" ht="15">
      <c r="A805" s="105">
        <v>20</v>
      </c>
      <c r="B805" s="105"/>
      <c r="C805" s="107" t="s">
        <v>833</v>
      </c>
      <c r="D805" s="107" t="s">
        <v>498</v>
      </c>
      <c r="E805" s="120">
        <v>1463.9999999999998</v>
      </c>
      <c r="F805" s="120" t="s">
        <v>251</v>
      </c>
      <c r="G805" s="120">
        <v>1369.7867461425501</v>
      </c>
      <c r="H805" s="120" t="s">
        <v>251</v>
      </c>
      <c r="I805" s="120">
        <v>63.616704243776319</v>
      </c>
      <c r="J805" s="120">
        <v>30.596549613673552</v>
      </c>
      <c r="K805" s="120" t="s">
        <v>251</v>
      </c>
      <c r="L805" s="120" t="s">
        <v>251</v>
      </c>
      <c r="M805" s="120">
        <v>4.3739938221396346E-3</v>
      </c>
      <c r="N805" s="120" t="s">
        <v>251</v>
      </c>
      <c r="O805" s="120">
        <v>30.592175619851414</v>
      </c>
      <c r="P805" s="120">
        <v>15.51549650637107</v>
      </c>
      <c r="Q805" s="120">
        <v>15.076679113480344</v>
      </c>
      <c r="R805" s="120"/>
      <c r="S805" s="121"/>
    </row>
    <row r="806" spans="1:19" ht="15">
      <c r="A806" s="105">
        <v>21</v>
      </c>
      <c r="B806" s="105"/>
      <c r="C806" s="107" t="s">
        <v>834</v>
      </c>
      <c r="D806" s="107" t="s">
        <v>498</v>
      </c>
      <c r="E806" s="120">
        <v>767.99999999999989</v>
      </c>
      <c r="F806" s="120" t="s">
        <v>251</v>
      </c>
      <c r="G806" s="120">
        <v>718.57665371412463</v>
      </c>
      <c r="H806" s="120" t="s">
        <v>251</v>
      </c>
      <c r="I806" s="120">
        <v>33.372697308210533</v>
      </c>
      <c r="J806" s="120">
        <v>16.050648977664814</v>
      </c>
      <c r="K806" s="120" t="s">
        <v>251</v>
      </c>
      <c r="L806" s="120" t="s">
        <v>251</v>
      </c>
      <c r="M806" s="120">
        <v>2.2945541362043983E-3</v>
      </c>
      <c r="N806" s="120" t="s">
        <v>251</v>
      </c>
      <c r="O806" s="120">
        <v>16.048354423528611</v>
      </c>
      <c r="P806" s="120">
        <v>8.1392768558012172</v>
      </c>
      <c r="Q806" s="120">
        <v>7.9090775677273939</v>
      </c>
      <c r="R806" s="120"/>
      <c r="S806" s="121"/>
    </row>
    <row r="807" spans="1:19" ht="15">
      <c r="A807" s="105">
        <v>22</v>
      </c>
      <c r="B807" s="105"/>
      <c r="C807" s="107" t="s">
        <v>835</v>
      </c>
      <c r="D807" s="107" t="s">
        <v>498</v>
      </c>
      <c r="E807" s="120">
        <v>1089860.9999999998</v>
      </c>
      <c r="F807" s="120" t="s">
        <v>251</v>
      </c>
      <c r="G807" s="120">
        <v>1019724.831241575</v>
      </c>
      <c r="H807" s="120" t="s">
        <v>251</v>
      </c>
      <c r="I807" s="120">
        <v>47358.855808624525</v>
      </c>
      <c r="J807" s="120">
        <v>22777.31294980046</v>
      </c>
      <c r="K807" s="120" t="s">
        <v>251</v>
      </c>
      <c r="L807" s="120" t="s">
        <v>251</v>
      </c>
      <c r="M807" s="120">
        <v>3.2561784706222161</v>
      </c>
      <c r="N807" s="120" t="s">
        <v>251</v>
      </c>
      <c r="O807" s="120">
        <v>22774.056771329837</v>
      </c>
      <c r="P807" s="120">
        <v>11550.365121536939</v>
      </c>
      <c r="Q807" s="120">
        <v>11223.691649792896</v>
      </c>
      <c r="R807" s="120"/>
      <c r="S807" s="121"/>
    </row>
    <row r="808" spans="1:19" ht="15">
      <c r="A808" s="105">
        <v>23</v>
      </c>
      <c r="B808" s="105"/>
      <c r="C808" s="107" t="s">
        <v>836</v>
      </c>
      <c r="D808" s="107" t="s">
        <v>498</v>
      </c>
      <c r="E808" s="120">
        <v>339571</v>
      </c>
      <c r="F808" s="120" t="s">
        <v>251</v>
      </c>
      <c r="G808" s="120">
        <v>317718.48031036329</v>
      </c>
      <c r="H808" s="120" t="s">
        <v>251</v>
      </c>
      <c r="I808" s="120">
        <v>14755.729424018695</v>
      </c>
      <c r="J808" s="120">
        <v>7096.7902656179931</v>
      </c>
      <c r="K808" s="120" t="s">
        <v>251</v>
      </c>
      <c r="L808" s="120" t="s">
        <v>251</v>
      </c>
      <c r="M808" s="120">
        <v>1.0145365137826352</v>
      </c>
      <c r="N808" s="120" t="s">
        <v>251</v>
      </c>
      <c r="O808" s="120">
        <v>7095.7757291042108</v>
      </c>
      <c r="P808" s="120">
        <v>3598.7791421891602</v>
      </c>
      <c r="Q808" s="120">
        <v>3496.9965869150506</v>
      </c>
      <c r="R808" s="120"/>
      <c r="S808" s="121"/>
    </row>
    <row r="809" spans="1:19" ht="15">
      <c r="A809" s="105">
        <v>24</v>
      </c>
      <c r="B809" s="105"/>
      <c r="C809" s="107" t="s">
        <v>837</v>
      </c>
      <c r="D809" s="107" t="s">
        <v>498</v>
      </c>
      <c r="E809" s="120">
        <v>2160322</v>
      </c>
      <c r="F809" s="120" t="s">
        <v>251</v>
      </c>
      <c r="G809" s="120">
        <v>2021298.1168033921</v>
      </c>
      <c r="H809" s="120" t="s">
        <v>251</v>
      </c>
      <c r="I809" s="120">
        <v>93874.703377953105</v>
      </c>
      <c r="J809" s="120">
        <v>45149.179818654695</v>
      </c>
      <c r="K809" s="120" t="s">
        <v>251</v>
      </c>
      <c r="L809" s="120" t="s">
        <v>251</v>
      </c>
      <c r="M809" s="120">
        <v>6.4543955476996855</v>
      </c>
      <c r="N809" s="120" t="s">
        <v>251</v>
      </c>
      <c r="O809" s="120">
        <v>45142.725423106996</v>
      </c>
      <c r="P809" s="120">
        <v>22895.128718330983</v>
      </c>
      <c r="Q809" s="120">
        <v>22247.596704776013</v>
      </c>
      <c r="R809" s="120"/>
      <c r="S809" s="121"/>
    </row>
    <row r="810" spans="1:19" ht="15">
      <c r="A810" s="105">
        <v>25</v>
      </c>
      <c r="B810" s="105"/>
      <c r="C810" s="107" t="s">
        <v>838</v>
      </c>
      <c r="D810" s="107" t="s">
        <v>498</v>
      </c>
      <c r="E810" s="120">
        <v>0</v>
      </c>
      <c r="F810" s="120" t="s">
        <v>251</v>
      </c>
      <c r="G810" s="120">
        <v>0</v>
      </c>
      <c r="H810" s="120" t="s">
        <v>251</v>
      </c>
      <c r="I810" s="120">
        <v>0</v>
      </c>
      <c r="J810" s="120">
        <v>0</v>
      </c>
      <c r="K810" s="120" t="s">
        <v>251</v>
      </c>
      <c r="L810" s="120" t="s">
        <v>251</v>
      </c>
      <c r="M810" s="120">
        <v>0</v>
      </c>
      <c r="N810" s="120" t="s">
        <v>251</v>
      </c>
      <c r="O810" s="120">
        <v>0</v>
      </c>
      <c r="P810" s="120">
        <v>0</v>
      </c>
      <c r="Q810" s="120">
        <v>0</v>
      </c>
      <c r="R810" s="120"/>
      <c r="S810" s="121"/>
    </row>
    <row r="811" spans="1:19" ht="15">
      <c r="A811" s="105">
        <v>26</v>
      </c>
      <c r="B811" s="105"/>
      <c r="C811" s="107" t="s">
        <v>839</v>
      </c>
      <c r="D811" s="107" t="s">
        <v>498</v>
      </c>
      <c r="E811" s="120">
        <v>300804.99999999994</v>
      </c>
      <c r="F811" s="120" t="s">
        <v>251</v>
      </c>
      <c r="G811" s="120">
        <v>281447.20093812142</v>
      </c>
      <c r="H811" s="120" t="s">
        <v>251</v>
      </c>
      <c r="I811" s="120">
        <v>13071.190382547224</v>
      </c>
      <c r="J811" s="120">
        <v>6286.6086793313343</v>
      </c>
      <c r="K811" s="120" t="s">
        <v>251</v>
      </c>
      <c r="L811" s="120" t="s">
        <v>251</v>
      </c>
      <c r="M811" s="120">
        <v>0.89871530851688031</v>
      </c>
      <c r="N811" s="120" t="s">
        <v>251</v>
      </c>
      <c r="O811" s="120">
        <v>6285.7099640228171</v>
      </c>
      <c r="P811" s="120">
        <v>3187.9364252725063</v>
      </c>
      <c r="Q811" s="120">
        <v>3097.7735387503108</v>
      </c>
      <c r="R811" s="120"/>
      <c r="S811" s="121"/>
    </row>
    <row r="812" spans="1:19" ht="15">
      <c r="A812" s="105">
        <v>27</v>
      </c>
      <c r="B812" s="105"/>
      <c r="C812" s="107" t="s">
        <v>840</v>
      </c>
      <c r="D812" s="107" t="s">
        <v>498</v>
      </c>
      <c r="E812" s="120">
        <v>249049</v>
      </c>
      <c r="F812" s="120" t="s">
        <v>251</v>
      </c>
      <c r="G812" s="120">
        <v>233021.871133918</v>
      </c>
      <c r="H812" s="120" t="s">
        <v>251</v>
      </c>
      <c r="I812" s="120">
        <v>10822.183453011099</v>
      </c>
      <c r="J812" s="120">
        <v>5204.9454130708918</v>
      </c>
      <c r="K812" s="120" t="s">
        <v>251</v>
      </c>
      <c r="L812" s="120" t="s">
        <v>251</v>
      </c>
      <c r="M812" s="120">
        <v>0.7440838711817308</v>
      </c>
      <c r="N812" s="120" t="s">
        <v>251</v>
      </c>
      <c r="O812" s="120">
        <v>5204.20132919971</v>
      </c>
      <c r="P812" s="120">
        <v>2639.4254709120278</v>
      </c>
      <c r="Q812" s="120">
        <v>2564.7758582876818</v>
      </c>
      <c r="R812" s="120"/>
      <c r="S812" s="121"/>
    </row>
    <row r="813" spans="1:19" ht="15">
      <c r="A813" s="105">
        <v>28</v>
      </c>
      <c r="B813" s="105"/>
      <c r="C813" s="107" t="s">
        <v>841</v>
      </c>
      <c r="D813" s="107" t="s">
        <v>498</v>
      </c>
      <c r="E813" s="120">
        <v>1712789</v>
      </c>
      <c r="F813" s="120" t="s">
        <v>251</v>
      </c>
      <c r="G813" s="120">
        <v>1602565.349138492</v>
      </c>
      <c r="H813" s="120" t="s">
        <v>251</v>
      </c>
      <c r="I813" s="120">
        <v>74427.589648219539</v>
      </c>
      <c r="J813" s="120">
        <v>35796.061213288471</v>
      </c>
      <c r="K813" s="120" t="s">
        <v>251</v>
      </c>
      <c r="L813" s="120" t="s">
        <v>251</v>
      </c>
      <c r="M813" s="120">
        <v>5.1173008911398377</v>
      </c>
      <c r="N813" s="120" t="s">
        <v>251</v>
      </c>
      <c r="O813" s="120">
        <v>35790.943912397328</v>
      </c>
      <c r="P813" s="120">
        <v>18152.166492930872</v>
      </c>
      <c r="Q813" s="120">
        <v>17638.777419466453</v>
      </c>
      <c r="R813" s="120"/>
      <c r="S813" s="121"/>
    </row>
    <row r="814" spans="1:19" ht="15">
      <c r="A814" s="105">
        <v>29</v>
      </c>
      <c r="B814" s="105"/>
      <c r="C814" s="107" t="s">
        <v>842</v>
      </c>
      <c r="D814" s="107" t="s">
        <v>498</v>
      </c>
      <c r="E814" s="120">
        <v>1532183</v>
      </c>
      <c r="F814" s="120" t="s">
        <v>251</v>
      </c>
      <c r="G814" s="120">
        <v>1433581.9440334227</v>
      </c>
      <c r="H814" s="120" t="s">
        <v>251</v>
      </c>
      <c r="I814" s="120">
        <v>66579.53057263793</v>
      </c>
      <c r="J814" s="120">
        <v>32021.525393939333</v>
      </c>
      <c r="K814" s="120" t="s">
        <v>251</v>
      </c>
      <c r="L814" s="120" t="s">
        <v>251</v>
      </c>
      <c r="M814" s="120">
        <v>4.5777042188438335</v>
      </c>
      <c r="N814" s="120" t="s">
        <v>251</v>
      </c>
      <c r="O814" s="120">
        <v>32016.947689720488</v>
      </c>
      <c r="P814" s="120">
        <v>16238.101081708432</v>
      </c>
      <c r="Q814" s="120">
        <v>15778.846608012058</v>
      </c>
      <c r="R814" s="120"/>
      <c r="S814" s="121"/>
    </row>
    <row r="815" spans="1:19" ht="15">
      <c r="A815" s="105">
        <v>30</v>
      </c>
      <c r="B815" s="105"/>
      <c r="C815" s="107" t="s">
        <v>843</v>
      </c>
      <c r="D815" s="107" t="s">
        <v>498</v>
      </c>
      <c r="E815" s="120">
        <v>0</v>
      </c>
      <c r="F815" s="120" t="s">
        <v>251</v>
      </c>
      <c r="G815" s="120">
        <v>0</v>
      </c>
      <c r="H815" s="120" t="s">
        <v>251</v>
      </c>
      <c r="I815" s="120">
        <v>0</v>
      </c>
      <c r="J815" s="120">
        <v>0</v>
      </c>
      <c r="K815" s="120" t="s">
        <v>251</v>
      </c>
      <c r="L815" s="120" t="s">
        <v>251</v>
      </c>
      <c r="M815" s="120">
        <v>0</v>
      </c>
      <c r="N815" s="120" t="s">
        <v>251</v>
      </c>
      <c r="O815" s="120">
        <v>0</v>
      </c>
      <c r="P815" s="120">
        <v>0</v>
      </c>
      <c r="Q815" s="120">
        <v>0</v>
      </c>
      <c r="R815" s="120"/>
      <c r="S815" s="121"/>
    </row>
    <row r="816" spans="1:19" ht="15">
      <c r="A816" s="105">
        <v>31</v>
      </c>
      <c r="B816" s="105"/>
      <c r="C816" s="107" t="s">
        <v>844</v>
      </c>
      <c r="D816" s="107" t="s">
        <v>498</v>
      </c>
      <c r="E816" s="120">
        <v>1807958</v>
      </c>
      <c r="F816" s="120" t="s">
        <v>251</v>
      </c>
      <c r="G816" s="120">
        <v>1691609.9084579183</v>
      </c>
      <c r="H816" s="120" t="s">
        <v>251</v>
      </c>
      <c r="I816" s="120">
        <v>78563.066510361576</v>
      </c>
      <c r="J816" s="120">
        <v>37785.025031719946</v>
      </c>
      <c r="K816" s="120" t="s">
        <v>251</v>
      </c>
      <c r="L816" s="120" t="s">
        <v>251</v>
      </c>
      <c r="M816" s="120">
        <v>5.4016373788851979</v>
      </c>
      <c r="N816" s="120" t="s">
        <v>251</v>
      </c>
      <c r="O816" s="120">
        <v>37779.623394341063</v>
      </c>
      <c r="P816" s="120">
        <v>19160.769147995645</v>
      </c>
      <c r="Q816" s="120">
        <v>18618.854246345421</v>
      </c>
      <c r="R816" s="120"/>
      <c r="S816" s="121"/>
    </row>
    <row r="817" spans="1:19" ht="15">
      <c r="A817" s="105">
        <v>32</v>
      </c>
      <c r="B817" s="105"/>
      <c r="C817" s="107" t="s">
        <v>845</v>
      </c>
      <c r="D817" s="107" t="s">
        <v>498</v>
      </c>
      <c r="E817" s="120">
        <v>0</v>
      </c>
      <c r="F817" s="120" t="s">
        <v>251</v>
      </c>
      <c r="G817" s="120">
        <v>0</v>
      </c>
      <c r="H817" s="120" t="s">
        <v>251</v>
      </c>
      <c r="I817" s="120">
        <v>0</v>
      </c>
      <c r="J817" s="120">
        <v>0</v>
      </c>
      <c r="K817" s="120" t="s">
        <v>251</v>
      </c>
      <c r="L817" s="120" t="s">
        <v>251</v>
      </c>
      <c r="M817" s="120">
        <v>0</v>
      </c>
      <c r="N817" s="120" t="s">
        <v>251</v>
      </c>
      <c r="O817" s="120">
        <v>0</v>
      </c>
      <c r="P817" s="120">
        <v>0</v>
      </c>
      <c r="Q817" s="120">
        <v>0</v>
      </c>
      <c r="R817" s="120"/>
      <c r="S817" s="121"/>
    </row>
    <row r="818" spans="1:19" ht="15">
      <c r="A818" s="105" t="s">
        <v>251</v>
      </c>
      <c r="B818" s="105"/>
      <c r="C818" s="107" t="s">
        <v>251</v>
      </c>
      <c r="D818" s="107" t="s">
        <v>251</v>
      </c>
      <c r="E818" s="120" t="s">
        <v>251</v>
      </c>
      <c r="F818" s="120" t="s">
        <v>251</v>
      </c>
      <c r="G818" s="120" t="s">
        <v>251</v>
      </c>
      <c r="H818" s="120" t="s">
        <v>251</v>
      </c>
      <c r="I818" s="120" t="s">
        <v>251</v>
      </c>
      <c r="J818" s="120" t="s">
        <v>251</v>
      </c>
      <c r="K818" s="120" t="s">
        <v>251</v>
      </c>
      <c r="L818" s="120" t="s">
        <v>251</v>
      </c>
      <c r="M818" s="120" t="s">
        <v>251</v>
      </c>
      <c r="N818" s="120" t="s">
        <v>251</v>
      </c>
      <c r="O818" s="120" t="s">
        <v>251</v>
      </c>
      <c r="P818" s="120" t="s">
        <v>251</v>
      </c>
      <c r="Q818" s="120" t="s">
        <v>251</v>
      </c>
      <c r="R818" s="120"/>
      <c r="S818" s="121"/>
    </row>
    <row r="819" spans="1:19" ht="15">
      <c r="A819" s="105">
        <v>33</v>
      </c>
      <c r="B819" s="105"/>
      <c r="C819" s="107" t="s">
        <v>846</v>
      </c>
      <c r="D819" s="107" t="s">
        <v>251</v>
      </c>
      <c r="E819" s="120">
        <v>37521269</v>
      </c>
      <c r="F819" s="120" t="s">
        <v>251</v>
      </c>
      <c r="G819" s="120">
        <v>35106650.938968122</v>
      </c>
      <c r="H819" s="120" t="s">
        <v>251</v>
      </c>
      <c r="I819" s="120">
        <v>1630450.459579353</v>
      </c>
      <c r="J819" s="120">
        <v>784167.6014525214</v>
      </c>
      <c r="K819" s="120" t="s">
        <v>251</v>
      </c>
      <c r="L819" s="120" t="s">
        <v>251</v>
      </c>
      <c r="M819" s="120">
        <v>112.10232158800505</v>
      </c>
      <c r="N819" s="120" t="s">
        <v>251</v>
      </c>
      <c r="O819" s="120">
        <v>784055.49913093331</v>
      </c>
      <c r="P819" s="120">
        <v>397651.03694269742</v>
      </c>
      <c r="Q819" s="120">
        <v>386404.46218823589</v>
      </c>
      <c r="R819" s="120"/>
      <c r="S819" s="121"/>
    </row>
    <row r="820" spans="1:19" ht="15">
      <c r="A820" s="105" t="s">
        <v>251</v>
      </c>
      <c r="B820" s="105"/>
      <c r="C820" s="107" t="s">
        <v>251</v>
      </c>
      <c r="D820" s="107" t="s">
        <v>251</v>
      </c>
      <c r="E820" s="120" t="s">
        <v>251</v>
      </c>
      <c r="F820" s="120" t="s">
        <v>251</v>
      </c>
      <c r="G820" s="120" t="s">
        <v>251</v>
      </c>
      <c r="H820" s="120" t="s">
        <v>251</v>
      </c>
      <c r="I820" s="120" t="s">
        <v>251</v>
      </c>
      <c r="J820" s="120" t="s">
        <v>251</v>
      </c>
      <c r="K820" s="120" t="s">
        <v>251</v>
      </c>
      <c r="L820" s="120" t="s">
        <v>251</v>
      </c>
      <c r="M820" s="120" t="s">
        <v>251</v>
      </c>
      <c r="N820" s="120" t="s">
        <v>251</v>
      </c>
      <c r="O820" s="120" t="s">
        <v>251</v>
      </c>
      <c r="P820" s="120" t="s">
        <v>251</v>
      </c>
      <c r="Q820" s="120" t="s">
        <v>251</v>
      </c>
      <c r="R820" s="120"/>
      <c r="S820" s="121"/>
    </row>
    <row r="821" spans="1:19" ht="15">
      <c r="A821" s="105">
        <v>34</v>
      </c>
      <c r="B821" s="105"/>
      <c r="C821" s="107" t="s">
        <v>847</v>
      </c>
      <c r="D821" s="107" t="s">
        <v>251</v>
      </c>
      <c r="E821" s="120">
        <v>62748605</v>
      </c>
      <c r="F821" s="120" t="s">
        <v>251</v>
      </c>
      <c r="G821" s="120">
        <v>58845805.186551318</v>
      </c>
      <c r="H821" s="120" t="s">
        <v>251</v>
      </c>
      <c r="I821" s="120">
        <v>2598899.6798919886</v>
      </c>
      <c r="J821" s="120">
        <v>1303900.1335566901</v>
      </c>
      <c r="K821" s="120" t="s">
        <v>251</v>
      </c>
      <c r="L821" s="120" t="s">
        <v>251</v>
      </c>
      <c r="M821" s="120">
        <v>218.34580300279598</v>
      </c>
      <c r="N821" s="120" t="s">
        <v>251</v>
      </c>
      <c r="O821" s="120">
        <v>1303681.7877536872</v>
      </c>
      <c r="P821" s="120">
        <v>660793.76874303957</v>
      </c>
      <c r="Q821" s="120">
        <v>642888.01901064767</v>
      </c>
      <c r="R821" s="120"/>
      <c r="S821" s="121"/>
    </row>
    <row r="822" spans="1:19" ht="15">
      <c r="A822" s="105" t="s">
        <v>251</v>
      </c>
      <c r="B822" s="105"/>
      <c r="C822" s="107" t="s">
        <v>251</v>
      </c>
      <c r="D822" s="107" t="s">
        <v>251</v>
      </c>
      <c r="E822" s="120" t="s">
        <v>251</v>
      </c>
      <c r="F822" s="120" t="s">
        <v>251</v>
      </c>
      <c r="G822" s="120" t="s">
        <v>251</v>
      </c>
      <c r="H822" s="120" t="s">
        <v>251</v>
      </c>
      <c r="I822" s="120" t="s">
        <v>251</v>
      </c>
      <c r="J822" s="120" t="s">
        <v>251</v>
      </c>
      <c r="K822" s="120" t="s">
        <v>251</v>
      </c>
      <c r="L822" s="120" t="s">
        <v>251</v>
      </c>
      <c r="M822" s="120" t="s">
        <v>251</v>
      </c>
      <c r="N822" s="120" t="s">
        <v>251</v>
      </c>
      <c r="O822" s="120" t="s">
        <v>251</v>
      </c>
      <c r="P822" s="120" t="s">
        <v>251</v>
      </c>
      <c r="Q822" s="120" t="s">
        <v>251</v>
      </c>
      <c r="R822" s="120"/>
      <c r="S822" s="121"/>
    </row>
    <row r="823" spans="1:19" ht="15">
      <c r="A823" s="105" t="s">
        <v>251</v>
      </c>
      <c r="B823" s="105"/>
      <c r="C823" s="107" t="s">
        <v>251</v>
      </c>
      <c r="D823" s="107" t="s">
        <v>251</v>
      </c>
      <c r="E823" s="120" t="s">
        <v>251</v>
      </c>
      <c r="F823" s="120" t="s">
        <v>251</v>
      </c>
      <c r="G823" s="120" t="s">
        <v>251</v>
      </c>
      <c r="H823" s="120" t="s">
        <v>251</v>
      </c>
      <c r="I823" s="120" t="s">
        <v>251</v>
      </c>
      <c r="J823" s="120" t="s">
        <v>251</v>
      </c>
      <c r="K823" s="120" t="s">
        <v>251</v>
      </c>
      <c r="L823" s="120" t="s">
        <v>251</v>
      </c>
      <c r="M823" s="120" t="s">
        <v>251</v>
      </c>
      <c r="N823" s="120" t="s">
        <v>251</v>
      </c>
      <c r="O823" s="120" t="s">
        <v>251</v>
      </c>
      <c r="P823" s="120" t="s">
        <v>251</v>
      </c>
      <c r="Q823" s="120" t="s">
        <v>251</v>
      </c>
      <c r="R823" s="120"/>
      <c r="S823" s="121"/>
    </row>
    <row r="824" spans="1:19" ht="15">
      <c r="A824" s="105" t="s">
        <v>251</v>
      </c>
      <c r="B824" s="105"/>
      <c r="C824" s="107" t="s">
        <v>251</v>
      </c>
      <c r="D824" s="107" t="s">
        <v>251</v>
      </c>
      <c r="E824" s="120" t="s">
        <v>251</v>
      </c>
      <c r="F824" s="120" t="s">
        <v>251</v>
      </c>
      <c r="G824" s="120" t="s">
        <v>251</v>
      </c>
      <c r="H824" s="120" t="s">
        <v>251</v>
      </c>
      <c r="I824" s="120" t="s">
        <v>251</v>
      </c>
      <c r="J824" s="120" t="s">
        <v>251</v>
      </c>
      <c r="K824" s="120" t="s">
        <v>251</v>
      </c>
      <c r="L824" s="120" t="s">
        <v>251</v>
      </c>
      <c r="M824" s="120" t="s">
        <v>251</v>
      </c>
      <c r="N824" s="120" t="s">
        <v>251</v>
      </c>
      <c r="O824" s="120" t="s">
        <v>251</v>
      </c>
      <c r="P824" s="120" t="s">
        <v>251</v>
      </c>
      <c r="Q824" s="120" t="s">
        <v>251</v>
      </c>
      <c r="R824" s="120"/>
      <c r="S824" s="121"/>
    </row>
    <row r="825" spans="1:19" ht="15">
      <c r="A825" s="105" t="s">
        <v>251</v>
      </c>
      <c r="B825" s="105"/>
      <c r="C825" s="107" t="s">
        <v>251</v>
      </c>
      <c r="D825" s="107" t="s">
        <v>251</v>
      </c>
      <c r="E825" s="120" t="s">
        <v>251</v>
      </c>
      <c r="F825" s="120" t="s">
        <v>251</v>
      </c>
      <c r="G825" s="120" t="s">
        <v>251</v>
      </c>
      <c r="H825" s="120" t="s">
        <v>251</v>
      </c>
      <c r="I825" s="120" t="s">
        <v>251</v>
      </c>
      <c r="J825" s="120" t="s">
        <v>251</v>
      </c>
      <c r="K825" s="120" t="s">
        <v>251</v>
      </c>
      <c r="L825" s="120" t="s">
        <v>251</v>
      </c>
      <c r="M825" s="120" t="s">
        <v>251</v>
      </c>
      <c r="N825" s="120" t="s">
        <v>251</v>
      </c>
      <c r="O825" s="120" t="s">
        <v>251</v>
      </c>
      <c r="P825" s="120" t="s">
        <v>251</v>
      </c>
      <c r="Q825" s="120" t="s">
        <v>251</v>
      </c>
      <c r="R825" s="120"/>
      <c r="S825" s="121"/>
    </row>
    <row r="826" spans="1:19" ht="15">
      <c r="A826" s="105" t="s">
        <v>251</v>
      </c>
      <c r="B826" s="105"/>
      <c r="C826" s="107" t="s">
        <v>848</v>
      </c>
      <c r="D826" s="107" t="s">
        <v>251</v>
      </c>
      <c r="E826" s="120" t="s">
        <v>251</v>
      </c>
      <c r="F826" s="120" t="s">
        <v>251</v>
      </c>
      <c r="G826" s="120" t="s">
        <v>251</v>
      </c>
      <c r="H826" s="120" t="s">
        <v>251</v>
      </c>
      <c r="I826" s="120" t="s">
        <v>251</v>
      </c>
      <c r="J826" s="120" t="s">
        <v>251</v>
      </c>
      <c r="K826" s="120" t="s">
        <v>251</v>
      </c>
      <c r="L826" s="120" t="s">
        <v>251</v>
      </c>
      <c r="M826" s="120" t="s">
        <v>251</v>
      </c>
      <c r="N826" s="120" t="s">
        <v>251</v>
      </c>
      <c r="O826" s="120" t="s">
        <v>251</v>
      </c>
      <c r="P826" s="120" t="s">
        <v>251</v>
      </c>
      <c r="Q826" s="120" t="s">
        <v>251</v>
      </c>
      <c r="R826" s="120"/>
      <c r="S826" s="121"/>
    </row>
    <row r="827" spans="1:19" ht="15">
      <c r="A827" s="105">
        <v>1</v>
      </c>
      <c r="B827" s="105"/>
      <c r="C827" s="107" t="s">
        <v>849</v>
      </c>
      <c r="D827" s="107" t="s">
        <v>500</v>
      </c>
      <c r="E827" s="120">
        <v>1672042.0000000002</v>
      </c>
      <c r="F827" s="120" t="s">
        <v>251</v>
      </c>
      <c r="G827" s="120">
        <v>1514314.4137871983</v>
      </c>
      <c r="H827" s="120" t="s">
        <v>251</v>
      </c>
      <c r="I827" s="120">
        <v>157722.73766168315</v>
      </c>
      <c r="J827" s="120">
        <v>4.8485511188520567</v>
      </c>
      <c r="K827" s="120" t="s">
        <v>251</v>
      </c>
      <c r="L827" s="120" t="s">
        <v>251</v>
      </c>
      <c r="M827" s="120">
        <v>4.8485511188520567</v>
      </c>
      <c r="N827" s="120" t="s">
        <v>251</v>
      </c>
      <c r="O827" s="120">
        <v>0</v>
      </c>
      <c r="P827" s="120">
        <v>0</v>
      </c>
      <c r="Q827" s="120">
        <v>0</v>
      </c>
      <c r="R827" s="120"/>
      <c r="S827" s="121"/>
    </row>
    <row r="828" spans="1:19" ht="15">
      <c r="A828" s="105">
        <v>2</v>
      </c>
      <c r="B828" s="105"/>
      <c r="C828" s="107" t="s">
        <v>850</v>
      </c>
      <c r="D828" s="107" t="s">
        <v>500</v>
      </c>
      <c r="E828" s="120">
        <v>3437436.0000000005</v>
      </c>
      <c r="F828" s="120" t="s">
        <v>251</v>
      </c>
      <c r="G828" s="120">
        <v>3113174.7176631996</v>
      </c>
      <c r="H828" s="120" t="s">
        <v>251</v>
      </c>
      <c r="I828" s="120">
        <v>324251.31453445874</v>
      </c>
      <c r="J828" s="120">
        <v>9.9678023421554816</v>
      </c>
      <c r="K828" s="120" t="s">
        <v>251</v>
      </c>
      <c r="L828" s="120" t="s">
        <v>251</v>
      </c>
      <c r="M828" s="120">
        <v>9.9678023421554816</v>
      </c>
      <c r="N828" s="120" t="s">
        <v>251</v>
      </c>
      <c r="O828" s="120">
        <v>0</v>
      </c>
      <c r="P828" s="120">
        <v>0</v>
      </c>
      <c r="Q828" s="120">
        <v>0</v>
      </c>
      <c r="R828" s="120"/>
      <c r="S828" s="121"/>
    </row>
    <row r="829" spans="1:19" ht="15">
      <c r="A829" s="105">
        <v>3</v>
      </c>
      <c r="B829" s="105"/>
      <c r="C829" s="107" t="s">
        <v>851</v>
      </c>
      <c r="D829" s="107" t="s">
        <v>500</v>
      </c>
      <c r="E829" s="120">
        <v>527592.00000000012</v>
      </c>
      <c r="F829" s="120" t="s">
        <v>251</v>
      </c>
      <c r="G829" s="120">
        <v>477823.02729166823</v>
      </c>
      <c r="H829" s="120" t="s">
        <v>251</v>
      </c>
      <c r="I829" s="120">
        <v>49767.442808495674</v>
      </c>
      <c r="J829" s="120">
        <v>1.5298998361867668</v>
      </c>
      <c r="K829" s="120" t="s">
        <v>251</v>
      </c>
      <c r="L829" s="120" t="s">
        <v>251</v>
      </c>
      <c r="M829" s="120">
        <v>1.5298998361867668</v>
      </c>
      <c r="N829" s="120" t="s">
        <v>251</v>
      </c>
      <c r="O829" s="120">
        <v>0</v>
      </c>
      <c r="P829" s="120">
        <v>0</v>
      </c>
      <c r="Q829" s="120">
        <v>0</v>
      </c>
      <c r="R829" s="120"/>
      <c r="S829" s="121"/>
    </row>
    <row r="830" spans="1:19" ht="15">
      <c r="A830" s="105">
        <v>4</v>
      </c>
      <c r="B830" s="105"/>
      <c r="C830" s="107" t="s">
        <v>852</v>
      </c>
      <c r="D830" s="107" t="s">
        <v>500</v>
      </c>
      <c r="E830" s="120">
        <v>45680.000000000007</v>
      </c>
      <c r="F830" s="120" t="s">
        <v>251</v>
      </c>
      <c r="G830" s="120">
        <v>41370.900026314659</v>
      </c>
      <c r="H830" s="120" t="s">
        <v>251</v>
      </c>
      <c r="I830" s="120">
        <v>4308.9675118123141</v>
      </c>
      <c r="J830" s="120">
        <v>0.13246187303259244</v>
      </c>
      <c r="K830" s="120" t="s">
        <v>251</v>
      </c>
      <c r="L830" s="120" t="s">
        <v>251</v>
      </c>
      <c r="M830" s="120">
        <v>0.13246187303259244</v>
      </c>
      <c r="N830" s="120" t="s">
        <v>251</v>
      </c>
      <c r="O830" s="120">
        <v>0</v>
      </c>
      <c r="P830" s="120">
        <v>0</v>
      </c>
      <c r="Q830" s="120">
        <v>0</v>
      </c>
      <c r="R830" s="120"/>
      <c r="S830" s="121"/>
    </row>
    <row r="831" spans="1:19" ht="15">
      <c r="A831" s="105">
        <v>5</v>
      </c>
      <c r="B831" s="105"/>
      <c r="C831" s="107" t="s">
        <v>853</v>
      </c>
      <c r="D831" s="107" t="s">
        <v>500</v>
      </c>
      <c r="E831" s="120">
        <v>0</v>
      </c>
      <c r="F831" s="120" t="s">
        <v>251</v>
      </c>
      <c r="G831" s="120">
        <v>0</v>
      </c>
      <c r="H831" s="120" t="s">
        <v>251</v>
      </c>
      <c r="I831" s="120">
        <v>0</v>
      </c>
      <c r="J831" s="120">
        <v>0</v>
      </c>
      <c r="K831" s="120" t="s">
        <v>251</v>
      </c>
      <c r="L831" s="120" t="s">
        <v>251</v>
      </c>
      <c r="M831" s="120">
        <v>0</v>
      </c>
      <c r="N831" s="120" t="s">
        <v>251</v>
      </c>
      <c r="O831" s="120">
        <v>0</v>
      </c>
      <c r="P831" s="120">
        <v>0</v>
      </c>
      <c r="Q831" s="120">
        <v>0</v>
      </c>
      <c r="R831" s="120"/>
      <c r="S831" s="121"/>
    </row>
    <row r="832" spans="1:19" ht="15">
      <c r="A832" s="105">
        <v>6</v>
      </c>
      <c r="B832" s="105"/>
      <c r="C832" s="107" t="s">
        <v>854</v>
      </c>
      <c r="D832" s="107" t="s">
        <v>500</v>
      </c>
      <c r="E832" s="120">
        <v>256224.00000000006</v>
      </c>
      <c r="F832" s="120" t="s">
        <v>251</v>
      </c>
      <c r="G832" s="120">
        <v>232053.79790592048</v>
      </c>
      <c r="H832" s="120" t="s">
        <v>251</v>
      </c>
      <c r="I832" s="120">
        <v>24169.459101282802</v>
      </c>
      <c r="J832" s="120">
        <v>0.74299279675794583</v>
      </c>
      <c r="K832" s="120" t="s">
        <v>251</v>
      </c>
      <c r="L832" s="120" t="s">
        <v>251</v>
      </c>
      <c r="M832" s="120">
        <v>0.74299279675794583</v>
      </c>
      <c r="N832" s="120" t="s">
        <v>251</v>
      </c>
      <c r="O832" s="120">
        <v>0</v>
      </c>
      <c r="P832" s="120">
        <v>0</v>
      </c>
      <c r="Q832" s="120">
        <v>0</v>
      </c>
      <c r="R832" s="120"/>
      <c r="S832" s="121"/>
    </row>
    <row r="833" spans="1:19" ht="15">
      <c r="A833" s="105">
        <v>7</v>
      </c>
      <c r="B833" s="105"/>
      <c r="C833" s="107" t="s">
        <v>855</v>
      </c>
      <c r="D833" s="107" t="s">
        <v>500</v>
      </c>
      <c r="E833" s="120">
        <v>0</v>
      </c>
      <c r="F833" s="120" t="s">
        <v>251</v>
      </c>
      <c r="G833" s="120">
        <v>0</v>
      </c>
      <c r="H833" s="120" t="s">
        <v>251</v>
      </c>
      <c r="I833" s="120">
        <v>0</v>
      </c>
      <c r="J833" s="120">
        <v>0</v>
      </c>
      <c r="K833" s="120" t="s">
        <v>251</v>
      </c>
      <c r="L833" s="120" t="s">
        <v>251</v>
      </c>
      <c r="M833" s="120">
        <v>0</v>
      </c>
      <c r="N833" s="120" t="s">
        <v>251</v>
      </c>
      <c r="O833" s="120">
        <v>0</v>
      </c>
      <c r="P833" s="120">
        <v>0</v>
      </c>
      <c r="Q833" s="120">
        <v>0</v>
      </c>
      <c r="R833" s="120"/>
      <c r="S833" s="121"/>
    </row>
    <row r="834" spans="1:19" ht="15">
      <c r="A834" s="105">
        <v>8</v>
      </c>
      <c r="B834" s="105"/>
      <c r="C834" s="107" t="s">
        <v>856</v>
      </c>
      <c r="D834" s="107" t="s">
        <v>500</v>
      </c>
      <c r="E834" s="120">
        <v>0</v>
      </c>
      <c r="F834" s="120" t="s">
        <v>251</v>
      </c>
      <c r="G834" s="120">
        <v>0</v>
      </c>
      <c r="H834" s="120" t="s">
        <v>251</v>
      </c>
      <c r="I834" s="120">
        <v>0</v>
      </c>
      <c r="J834" s="120">
        <v>0</v>
      </c>
      <c r="K834" s="120" t="s">
        <v>251</v>
      </c>
      <c r="L834" s="120" t="s">
        <v>251</v>
      </c>
      <c r="M834" s="120">
        <v>0</v>
      </c>
      <c r="N834" s="120" t="s">
        <v>251</v>
      </c>
      <c r="O834" s="120">
        <v>0</v>
      </c>
      <c r="P834" s="120">
        <v>0</v>
      </c>
      <c r="Q834" s="120">
        <v>0</v>
      </c>
      <c r="R834" s="120"/>
      <c r="S834" s="121"/>
    </row>
    <row r="835" spans="1:19" ht="15">
      <c r="A835" s="105">
        <v>9</v>
      </c>
      <c r="B835" s="105"/>
      <c r="C835" s="107" t="s">
        <v>857</v>
      </c>
      <c r="D835" s="107" t="s">
        <v>500</v>
      </c>
      <c r="E835" s="120">
        <v>1149232.0000000002</v>
      </c>
      <c r="F835" s="120" t="s">
        <v>251</v>
      </c>
      <c r="G835" s="120">
        <v>1040822.2893835738</v>
      </c>
      <c r="H835" s="120" t="s">
        <v>251</v>
      </c>
      <c r="I835" s="120">
        <v>108406.37809840389</v>
      </c>
      <c r="J835" s="120">
        <v>3.3325180225261009</v>
      </c>
      <c r="K835" s="120" t="s">
        <v>251</v>
      </c>
      <c r="L835" s="120" t="s">
        <v>251</v>
      </c>
      <c r="M835" s="120">
        <v>3.3325180225261009</v>
      </c>
      <c r="N835" s="120" t="s">
        <v>251</v>
      </c>
      <c r="O835" s="120">
        <v>0</v>
      </c>
      <c r="P835" s="120">
        <v>0</v>
      </c>
      <c r="Q835" s="120">
        <v>0</v>
      </c>
      <c r="R835" s="120"/>
      <c r="S835" s="121"/>
    </row>
    <row r="836" spans="1:19" ht="15">
      <c r="A836" s="105">
        <v>10</v>
      </c>
      <c r="B836" s="105"/>
      <c r="C836" s="107" t="s">
        <v>858</v>
      </c>
      <c r="D836" s="107" t="s">
        <v>500</v>
      </c>
      <c r="E836" s="120">
        <v>321555</v>
      </c>
      <c r="F836" s="120" t="s">
        <v>251</v>
      </c>
      <c r="G836" s="120">
        <v>291221.97368567449</v>
      </c>
      <c r="H836" s="120" t="s">
        <v>251</v>
      </c>
      <c r="I836" s="120">
        <v>30332.093876112274</v>
      </c>
      <c r="J836" s="120">
        <v>0.93243821328798737</v>
      </c>
      <c r="K836" s="120" t="s">
        <v>251</v>
      </c>
      <c r="L836" s="120" t="s">
        <v>251</v>
      </c>
      <c r="M836" s="120">
        <v>0.93243821328798737</v>
      </c>
      <c r="N836" s="120" t="s">
        <v>251</v>
      </c>
      <c r="O836" s="120">
        <v>0</v>
      </c>
      <c r="P836" s="120">
        <v>0</v>
      </c>
      <c r="Q836" s="120">
        <v>0</v>
      </c>
      <c r="R836" s="120"/>
      <c r="S836" s="121"/>
    </row>
    <row r="837" spans="1:19" ht="15">
      <c r="A837" s="105">
        <v>11</v>
      </c>
      <c r="B837" s="105"/>
      <c r="C837" s="107" t="s">
        <v>859</v>
      </c>
      <c r="D837" s="107" t="s">
        <v>500</v>
      </c>
      <c r="E837" s="120">
        <v>0</v>
      </c>
      <c r="F837" s="120" t="s">
        <v>251</v>
      </c>
      <c r="G837" s="120">
        <v>0</v>
      </c>
      <c r="H837" s="120" t="s">
        <v>251</v>
      </c>
      <c r="I837" s="120">
        <v>0</v>
      </c>
      <c r="J837" s="120">
        <v>0</v>
      </c>
      <c r="K837" s="120" t="s">
        <v>251</v>
      </c>
      <c r="L837" s="120" t="s">
        <v>251</v>
      </c>
      <c r="M837" s="120">
        <v>0</v>
      </c>
      <c r="N837" s="120" t="s">
        <v>251</v>
      </c>
      <c r="O837" s="120">
        <v>0</v>
      </c>
      <c r="P837" s="120">
        <v>0</v>
      </c>
      <c r="Q837" s="120">
        <v>0</v>
      </c>
      <c r="R837" s="120"/>
      <c r="S837" s="121"/>
    </row>
    <row r="838" spans="1:19" ht="15">
      <c r="A838" s="105">
        <v>12</v>
      </c>
      <c r="B838" s="105"/>
      <c r="C838" s="107" t="s">
        <v>860</v>
      </c>
      <c r="D838" s="107" t="s">
        <v>500</v>
      </c>
      <c r="E838" s="120">
        <v>0</v>
      </c>
      <c r="F838" s="120" t="s">
        <v>251</v>
      </c>
      <c r="G838" s="120">
        <v>0</v>
      </c>
      <c r="H838" s="120" t="s">
        <v>251</v>
      </c>
      <c r="I838" s="120">
        <v>0</v>
      </c>
      <c r="J838" s="120">
        <v>0</v>
      </c>
      <c r="K838" s="120" t="s">
        <v>251</v>
      </c>
      <c r="L838" s="120" t="s">
        <v>251</v>
      </c>
      <c r="M838" s="120">
        <v>0</v>
      </c>
      <c r="N838" s="120" t="s">
        <v>251</v>
      </c>
      <c r="O838" s="120">
        <v>0</v>
      </c>
      <c r="P838" s="120">
        <v>0</v>
      </c>
      <c r="Q838" s="120">
        <v>0</v>
      </c>
      <c r="R838" s="120"/>
      <c r="S838" s="121"/>
    </row>
    <row r="839" spans="1:19" ht="15">
      <c r="A839" s="105" t="s">
        <v>251</v>
      </c>
      <c r="B839" s="105"/>
      <c r="C839" s="107" t="s">
        <v>251</v>
      </c>
      <c r="D839" s="107" t="s">
        <v>251</v>
      </c>
      <c r="E839" s="120" t="s">
        <v>251</v>
      </c>
      <c r="F839" s="120" t="s">
        <v>251</v>
      </c>
      <c r="G839" s="120" t="s">
        <v>251</v>
      </c>
      <c r="H839" s="120" t="s">
        <v>251</v>
      </c>
      <c r="I839" s="120" t="s">
        <v>251</v>
      </c>
      <c r="J839" s="120" t="s">
        <v>251</v>
      </c>
      <c r="K839" s="120" t="s">
        <v>251</v>
      </c>
      <c r="L839" s="120" t="s">
        <v>251</v>
      </c>
      <c r="M839" s="120" t="s">
        <v>251</v>
      </c>
      <c r="N839" s="120" t="s">
        <v>251</v>
      </c>
      <c r="O839" s="120" t="s">
        <v>251</v>
      </c>
      <c r="P839" s="120" t="s">
        <v>251</v>
      </c>
      <c r="Q839" s="120" t="s">
        <v>251</v>
      </c>
      <c r="R839" s="120"/>
      <c r="S839" s="121"/>
    </row>
    <row r="840" spans="1:19" ht="15">
      <c r="A840" s="105">
        <v>13</v>
      </c>
      <c r="B840" s="105"/>
      <c r="C840" s="107" t="s">
        <v>861</v>
      </c>
      <c r="D840" s="107" t="s">
        <v>500</v>
      </c>
      <c r="E840" s="120">
        <v>7409761.0000000009</v>
      </c>
      <c r="F840" s="120" t="s">
        <v>251</v>
      </c>
      <c r="G840" s="120">
        <v>6710781.1197435493</v>
      </c>
      <c r="H840" s="120" t="s">
        <v>251</v>
      </c>
      <c r="I840" s="120">
        <v>698958.3935922489</v>
      </c>
      <c r="J840" s="120">
        <v>21.486664202798934</v>
      </c>
      <c r="K840" s="120" t="s">
        <v>251</v>
      </c>
      <c r="L840" s="120" t="s">
        <v>251</v>
      </c>
      <c r="M840" s="120">
        <v>21.486664202798934</v>
      </c>
      <c r="N840" s="120" t="s">
        <v>251</v>
      </c>
      <c r="O840" s="120">
        <v>0</v>
      </c>
      <c r="P840" s="120">
        <v>0</v>
      </c>
      <c r="Q840" s="120">
        <v>0</v>
      </c>
      <c r="R840" s="120"/>
      <c r="S840" s="121"/>
    </row>
    <row r="841" spans="1:19" ht="15">
      <c r="A841" s="105" t="s">
        <v>251</v>
      </c>
      <c r="B841" s="105"/>
      <c r="C841" s="107" t="s">
        <v>251</v>
      </c>
      <c r="D841" s="107" t="s">
        <v>251</v>
      </c>
      <c r="E841" s="120" t="s">
        <v>251</v>
      </c>
      <c r="F841" s="120" t="s">
        <v>251</v>
      </c>
      <c r="G841" s="120" t="s">
        <v>251</v>
      </c>
      <c r="H841" s="120" t="s">
        <v>251</v>
      </c>
      <c r="I841" s="120" t="s">
        <v>251</v>
      </c>
      <c r="J841" s="120" t="s">
        <v>251</v>
      </c>
      <c r="K841" s="120" t="s">
        <v>251</v>
      </c>
      <c r="L841" s="120" t="s">
        <v>251</v>
      </c>
      <c r="M841" s="120" t="s">
        <v>251</v>
      </c>
      <c r="N841" s="120" t="s">
        <v>251</v>
      </c>
      <c r="O841" s="120" t="s">
        <v>251</v>
      </c>
      <c r="P841" s="120" t="s">
        <v>251</v>
      </c>
      <c r="Q841" s="120" t="s">
        <v>251</v>
      </c>
      <c r="R841" s="120"/>
      <c r="S841" s="121"/>
    </row>
    <row r="842" spans="1:19" ht="15">
      <c r="A842" s="105" t="s">
        <v>251</v>
      </c>
      <c r="B842" s="105"/>
      <c r="C842" s="107" t="s">
        <v>862</v>
      </c>
      <c r="D842" s="107" t="s">
        <v>251</v>
      </c>
      <c r="E842" s="120" t="s">
        <v>251</v>
      </c>
      <c r="F842" s="120" t="s">
        <v>251</v>
      </c>
      <c r="G842" s="120" t="s">
        <v>251</v>
      </c>
      <c r="H842" s="120" t="s">
        <v>251</v>
      </c>
      <c r="I842" s="120" t="s">
        <v>251</v>
      </c>
      <c r="J842" s="120" t="s">
        <v>251</v>
      </c>
      <c r="K842" s="120" t="s">
        <v>251</v>
      </c>
      <c r="L842" s="120" t="s">
        <v>251</v>
      </c>
      <c r="M842" s="120" t="s">
        <v>251</v>
      </c>
      <c r="N842" s="120" t="s">
        <v>251</v>
      </c>
      <c r="O842" s="120" t="s">
        <v>251</v>
      </c>
      <c r="P842" s="120" t="s">
        <v>251</v>
      </c>
      <c r="Q842" s="120" t="s">
        <v>251</v>
      </c>
      <c r="R842" s="120"/>
      <c r="S842" s="121"/>
    </row>
    <row r="843" spans="1:19" ht="15">
      <c r="A843" s="105">
        <v>1</v>
      </c>
      <c r="B843" s="105"/>
      <c r="C843" s="107" t="s">
        <v>863</v>
      </c>
      <c r="D843" s="107" t="s">
        <v>502</v>
      </c>
      <c r="E843" s="120">
        <v>1432223</v>
      </c>
      <c r="F843" s="120" t="s">
        <v>251</v>
      </c>
      <c r="G843" s="120">
        <v>1358901.2559892605</v>
      </c>
      <c r="H843" s="120" t="s">
        <v>251</v>
      </c>
      <c r="I843" s="120">
        <v>70276.454291259812</v>
      </c>
      <c r="J843" s="120">
        <v>3045.2897194796583</v>
      </c>
      <c r="K843" s="120" t="s">
        <v>251</v>
      </c>
      <c r="L843" s="120" t="s">
        <v>251</v>
      </c>
      <c r="M843" s="120">
        <v>457.01019426965502</v>
      </c>
      <c r="N843" s="120" t="s">
        <v>251</v>
      </c>
      <c r="O843" s="120">
        <v>2588.2795252100032</v>
      </c>
      <c r="P843" s="120">
        <v>2569.3160217035697</v>
      </c>
      <c r="Q843" s="120">
        <v>18.963503506433632</v>
      </c>
      <c r="R843" s="120"/>
      <c r="S843" s="121"/>
    </row>
    <row r="844" spans="1:19" ht="15">
      <c r="A844" s="105">
        <v>2</v>
      </c>
      <c r="B844" s="105"/>
      <c r="C844" s="107" t="s">
        <v>864</v>
      </c>
      <c r="D844" s="107" t="s">
        <v>502</v>
      </c>
      <c r="E844" s="120">
        <v>352345.99999999994</v>
      </c>
      <c r="F844" s="120" t="s">
        <v>251</v>
      </c>
      <c r="G844" s="120">
        <v>334307.87101086351</v>
      </c>
      <c r="H844" s="120" t="s">
        <v>251</v>
      </c>
      <c r="I844" s="120">
        <v>17288.947017125287</v>
      </c>
      <c r="J844" s="120">
        <v>749.18197201118801</v>
      </c>
      <c r="K844" s="120" t="s">
        <v>251</v>
      </c>
      <c r="L844" s="120" t="s">
        <v>251</v>
      </c>
      <c r="M844" s="120">
        <v>112.43061583994661</v>
      </c>
      <c r="N844" s="120" t="s">
        <v>251</v>
      </c>
      <c r="O844" s="120">
        <v>636.75135617124135</v>
      </c>
      <c r="P844" s="120">
        <v>632.08608085693777</v>
      </c>
      <c r="Q844" s="120">
        <v>4.6652753143036136</v>
      </c>
      <c r="R844" s="120"/>
      <c r="S844" s="121"/>
    </row>
    <row r="845" spans="1:19" ht="15">
      <c r="A845" s="105">
        <v>3</v>
      </c>
      <c r="B845" s="105"/>
      <c r="C845" s="107" t="s">
        <v>865</v>
      </c>
      <c r="D845" s="107" t="s">
        <v>502</v>
      </c>
      <c r="E845" s="120">
        <v>1156140</v>
      </c>
      <c r="F845" s="120" t="s">
        <v>251</v>
      </c>
      <c r="G845" s="120">
        <v>1096952.1492808198</v>
      </c>
      <c r="H845" s="120" t="s">
        <v>251</v>
      </c>
      <c r="I845" s="120">
        <v>56729.587406637875</v>
      </c>
      <c r="J845" s="120">
        <v>2458.2633125422594</v>
      </c>
      <c r="K845" s="120" t="s">
        <v>251</v>
      </c>
      <c r="L845" s="120" t="s">
        <v>251</v>
      </c>
      <c r="M845" s="120">
        <v>368.91445396626011</v>
      </c>
      <c r="N845" s="120" t="s">
        <v>251</v>
      </c>
      <c r="O845" s="120">
        <v>2089.3488585759992</v>
      </c>
      <c r="P845" s="120">
        <v>2074.0408618855899</v>
      </c>
      <c r="Q845" s="120">
        <v>15.30799669040937</v>
      </c>
      <c r="R845" s="120"/>
      <c r="S845" s="121"/>
    </row>
    <row r="846" spans="1:19" ht="15">
      <c r="A846" s="105">
        <v>4</v>
      </c>
      <c r="B846" s="105"/>
      <c r="C846" s="107" t="s">
        <v>866</v>
      </c>
      <c r="D846" s="107" t="s">
        <v>502</v>
      </c>
      <c r="E846" s="120">
        <v>2662525</v>
      </c>
      <c r="F846" s="120" t="s">
        <v>251</v>
      </c>
      <c r="G846" s="120">
        <v>2526218.7289289488</v>
      </c>
      <c r="H846" s="120" t="s">
        <v>251</v>
      </c>
      <c r="I846" s="120">
        <v>130645.02976270911</v>
      </c>
      <c r="J846" s="120">
        <v>5661.2413083420515</v>
      </c>
      <c r="K846" s="120" t="s">
        <v>251</v>
      </c>
      <c r="L846" s="120" t="s">
        <v>251</v>
      </c>
      <c r="M846" s="120">
        <v>849.58911251796201</v>
      </c>
      <c r="N846" s="120" t="s">
        <v>251</v>
      </c>
      <c r="O846" s="120">
        <v>4811.6521958240892</v>
      </c>
      <c r="P846" s="120">
        <v>4776.3987456466602</v>
      </c>
      <c r="Q846" s="120">
        <v>35.253450177428519</v>
      </c>
      <c r="R846" s="120"/>
      <c r="S846" s="121"/>
    </row>
    <row r="847" spans="1:19" ht="15">
      <c r="A847" s="105">
        <v>5</v>
      </c>
      <c r="B847" s="105"/>
      <c r="C847" s="107" t="s">
        <v>867</v>
      </c>
      <c r="D847" s="107" t="s">
        <v>502</v>
      </c>
      <c r="E847" s="120">
        <v>0</v>
      </c>
      <c r="F847" s="120" t="s">
        <v>251</v>
      </c>
      <c r="G847" s="120">
        <v>0</v>
      </c>
      <c r="H847" s="120" t="s">
        <v>251</v>
      </c>
      <c r="I847" s="120">
        <v>0</v>
      </c>
      <c r="J847" s="120">
        <v>0</v>
      </c>
      <c r="K847" s="120" t="s">
        <v>251</v>
      </c>
      <c r="L847" s="120" t="s">
        <v>251</v>
      </c>
      <c r="M847" s="120">
        <v>0</v>
      </c>
      <c r="N847" s="120" t="s">
        <v>251</v>
      </c>
      <c r="O847" s="120">
        <v>0</v>
      </c>
      <c r="P847" s="120">
        <v>0</v>
      </c>
      <c r="Q847" s="120">
        <v>0</v>
      </c>
      <c r="R847" s="120"/>
      <c r="S847" s="121"/>
    </row>
    <row r="848" spans="1:19" ht="15">
      <c r="A848" s="105">
        <v>6</v>
      </c>
      <c r="B848" s="105"/>
      <c r="C848" s="107" t="s">
        <v>868</v>
      </c>
      <c r="D848" s="107" t="s">
        <v>502</v>
      </c>
      <c r="E848" s="120">
        <v>0</v>
      </c>
      <c r="F848" s="120" t="s">
        <v>251</v>
      </c>
      <c r="G848" s="120">
        <v>0</v>
      </c>
      <c r="H848" s="120" t="s">
        <v>251</v>
      </c>
      <c r="I848" s="120">
        <v>0</v>
      </c>
      <c r="J848" s="120">
        <v>0</v>
      </c>
      <c r="K848" s="120" t="s">
        <v>251</v>
      </c>
      <c r="L848" s="120" t="s">
        <v>251</v>
      </c>
      <c r="M848" s="120">
        <v>0</v>
      </c>
      <c r="N848" s="120" t="s">
        <v>251</v>
      </c>
      <c r="O848" s="120">
        <v>0</v>
      </c>
      <c r="P848" s="120">
        <v>0</v>
      </c>
      <c r="Q848" s="120">
        <v>0</v>
      </c>
      <c r="R848" s="120"/>
      <c r="S848" s="121"/>
    </row>
    <row r="849" spans="1:19" ht="15">
      <c r="A849" s="105">
        <v>7</v>
      </c>
      <c r="B849" s="105"/>
      <c r="C849" s="107" t="s">
        <v>869</v>
      </c>
      <c r="D849" s="107" t="s">
        <v>502</v>
      </c>
      <c r="E849" s="120">
        <v>5283131</v>
      </c>
      <c r="F849" s="120" t="s">
        <v>251</v>
      </c>
      <c r="G849" s="120">
        <v>5012664.4743561568</v>
      </c>
      <c r="H849" s="120" t="s">
        <v>251</v>
      </c>
      <c r="I849" s="120">
        <v>259233.1740491793</v>
      </c>
      <c r="J849" s="120">
        <v>11233.35159466388</v>
      </c>
      <c r="K849" s="120" t="s">
        <v>251</v>
      </c>
      <c r="L849" s="120" t="s">
        <v>251</v>
      </c>
      <c r="M849" s="120">
        <v>1685.8022281879544</v>
      </c>
      <c r="N849" s="120" t="s">
        <v>251</v>
      </c>
      <c r="O849" s="120">
        <v>9547.5493664759251</v>
      </c>
      <c r="P849" s="120">
        <v>9477.5974991735238</v>
      </c>
      <c r="Q849" s="120">
        <v>69.951867302402093</v>
      </c>
      <c r="R849" s="120"/>
      <c r="S849" s="121"/>
    </row>
    <row r="850" spans="1:19" ht="15">
      <c r="A850" s="105">
        <v>8</v>
      </c>
      <c r="B850" s="105"/>
      <c r="C850" s="107" t="s">
        <v>870</v>
      </c>
      <c r="D850" s="107" t="s">
        <v>502</v>
      </c>
      <c r="E850" s="120">
        <v>0</v>
      </c>
      <c r="F850" s="120" t="s">
        <v>251</v>
      </c>
      <c r="G850" s="120">
        <v>0</v>
      </c>
      <c r="H850" s="120" t="s">
        <v>251</v>
      </c>
      <c r="I850" s="120">
        <v>0</v>
      </c>
      <c r="J850" s="120">
        <v>0</v>
      </c>
      <c r="K850" s="120" t="s">
        <v>251</v>
      </c>
      <c r="L850" s="120" t="s">
        <v>251</v>
      </c>
      <c r="M850" s="120">
        <v>0</v>
      </c>
      <c r="N850" s="120" t="s">
        <v>251</v>
      </c>
      <c r="O850" s="120">
        <v>0</v>
      </c>
      <c r="P850" s="120">
        <v>0</v>
      </c>
      <c r="Q850" s="120">
        <v>0</v>
      </c>
      <c r="R850" s="120"/>
      <c r="S850" s="121"/>
    </row>
    <row r="851" spans="1:19" ht="15">
      <c r="A851" s="105">
        <v>9</v>
      </c>
      <c r="B851" s="105"/>
      <c r="C851" s="107" t="s">
        <v>871</v>
      </c>
      <c r="D851" s="107" t="s">
        <v>502</v>
      </c>
      <c r="E851" s="120">
        <v>3424186.0000000005</v>
      </c>
      <c r="F851" s="120" t="s">
        <v>251</v>
      </c>
      <c r="G851" s="120">
        <v>3248886.9792908244</v>
      </c>
      <c r="H851" s="120" t="s">
        <v>251</v>
      </c>
      <c r="I851" s="120">
        <v>168018.28410364292</v>
      </c>
      <c r="J851" s="120">
        <v>7280.7366055329185</v>
      </c>
      <c r="K851" s="120" t="s">
        <v>251</v>
      </c>
      <c r="L851" s="120" t="s">
        <v>251</v>
      </c>
      <c r="M851" s="120">
        <v>1092.6286682139812</v>
      </c>
      <c r="N851" s="120" t="s">
        <v>251</v>
      </c>
      <c r="O851" s="120">
        <v>6188.1079373189368</v>
      </c>
      <c r="P851" s="120">
        <v>6142.769632307999</v>
      </c>
      <c r="Q851" s="120">
        <v>45.338305010938207</v>
      </c>
      <c r="R851" s="120"/>
      <c r="S851" s="121"/>
    </row>
    <row r="852" spans="1:19" ht="15">
      <c r="A852" s="105">
        <v>10</v>
      </c>
      <c r="B852" s="105"/>
      <c r="C852" s="107" t="s">
        <v>872</v>
      </c>
      <c r="D852" s="107" t="s">
        <v>502</v>
      </c>
      <c r="E852" s="120">
        <v>0</v>
      </c>
      <c r="F852" s="120" t="s">
        <v>251</v>
      </c>
      <c r="G852" s="120">
        <v>0</v>
      </c>
      <c r="H852" s="120" t="s">
        <v>251</v>
      </c>
      <c r="I852" s="120">
        <v>0</v>
      </c>
      <c r="J852" s="120">
        <v>0</v>
      </c>
      <c r="K852" s="120" t="s">
        <v>251</v>
      </c>
      <c r="L852" s="120" t="s">
        <v>251</v>
      </c>
      <c r="M852" s="120">
        <v>0</v>
      </c>
      <c r="N852" s="120" t="s">
        <v>251</v>
      </c>
      <c r="O852" s="120">
        <v>0</v>
      </c>
      <c r="P852" s="120">
        <v>0</v>
      </c>
      <c r="Q852" s="120">
        <v>0</v>
      </c>
      <c r="R852" s="120"/>
      <c r="S852" s="121"/>
    </row>
    <row r="853" spans="1:19" ht="15">
      <c r="A853" s="105">
        <v>11</v>
      </c>
      <c r="B853" s="105"/>
      <c r="C853" s="107" t="s">
        <v>873</v>
      </c>
      <c r="D853" s="107" t="s">
        <v>502</v>
      </c>
      <c r="E853" s="120">
        <v>0</v>
      </c>
      <c r="F853" s="120" t="s">
        <v>251</v>
      </c>
      <c r="G853" s="120">
        <v>0</v>
      </c>
      <c r="H853" s="120" t="s">
        <v>251</v>
      </c>
      <c r="I853" s="120">
        <v>0</v>
      </c>
      <c r="J853" s="120">
        <v>0</v>
      </c>
      <c r="K853" s="120" t="s">
        <v>251</v>
      </c>
      <c r="L853" s="120" t="s">
        <v>251</v>
      </c>
      <c r="M853" s="120">
        <v>0</v>
      </c>
      <c r="N853" s="120" t="s">
        <v>251</v>
      </c>
      <c r="O853" s="120">
        <v>0</v>
      </c>
      <c r="P853" s="120">
        <v>0</v>
      </c>
      <c r="Q853" s="120">
        <v>0</v>
      </c>
      <c r="R853" s="120"/>
      <c r="S853" s="121"/>
    </row>
    <row r="854" spans="1:19" ht="15">
      <c r="A854" s="105">
        <v>13</v>
      </c>
      <c r="B854" s="105"/>
      <c r="C854" s="107" t="s">
        <v>874</v>
      </c>
      <c r="D854" s="107" t="s">
        <v>502</v>
      </c>
      <c r="E854" s="120">
        <v>634557</v>
      </c>
      <c r="F854" s="120" t="s">
        <v>251</v>
      </c>
      <c r="G854" s="120">
        <v>602071.25866347435</v>
      </c>
      <c r="H854" s="120" t="s">
        <v>251</v>
      </c>
      <c r="I854" s="120">
        <v>31136.503188189934</v>
      </c>
      <c r="J854" s="120">
        <v>1349.2381483357367</v>
      </c>
      <c r="K854" s="120" t="s">
        <v>251</v>
      </c>
      <c r="L854" s="120" t="s">
        <v>251</v>
      </c>
      <c r="M854" s="120">
        <v>202.48174889327254</v>
      </c>
      <c r="N854" s="120" t="s">
        <v>251</v>
      </c>
      <c r="O854" s="120">
        <v>1146.756399442464</v>
      </c>
      <c r="P854" s="120">
        <v>1138.3544788654785</v>
      </c>
      <c r="Q854" s="120">
        <v>8.4019205769855727</v>
      </c>
      <c r="R854" s="120"/>
      <c r="S854" s="121"/>
    </row>
    <row r="855" spans="1:19" ht="15">
      <c r="A855" s="105">
        <v>14</v>
      </c>
      <c r="B855" s="105"/>
      <c r="C855" s="107" t="s">
        <v>875</v>
      </c>
      <c r="D855" s="107" t="s">
        <v>502</v>
      </c>
      <c r="E855" s="120">
        <v>7440116</v>
      </c>
      <c r="F855" s="120" t="s">
        <v>251</v>
      </c>
      <c r="G855" s="120">
        <v>7059224.0015038112</v>
      </c>
      <c r="H855" s="120" t="s">
        <v>251</v>
      </c>
      <c r="I855" s="120">
        <v>365072.31904226559</v>
      </c>
      <c r="J855" s="120">
        <v>15819.679453923109</v>
      </c>
      <c r="K855" s="120" t="s">
        <v>251</v>
      </c>
      <c r="L855" s="120" t="s">
        <v>251</v>
      </c>
      <c r="M855" s="120">
        <v>2374.0778206667314</v>
      </c>
      <c r="N855" s="120" t="s">
        <v>251</v>
      </c>
      <c r="O855" s="120">
        <v>13445.601633256378</v>
      </c>
      <c r="P855" s="120">
        <v>13347.089972813645</v>
      </c>
      <c r="Q855" s="120">
        <v>98.511660442733415</v>
      </c>
      <c r="R855" s="120"/>
      <c r="S855" s="121"/>
    </row>
    <row r="856" spans="1:19" ht="15">
      <c r="A856" s="105">
        <v>15</v>
      </c>
      <c r="B856" s="105"/>
      <c r="C856" s="107" t="s">
        <v>876</v>
      </c>
      <c r="D856" s="107" t="s">
        <v>502</v>
      </c>
      <c r="E856" s="120">
        <v>341755</v>
      </c>
      <c r="F856" s="120" t="s">
        <v>251</v>
      </c>
      <c r="G856" s="120">
        <v>324259.07050830056</v>
      </c>
      <c r="H856" s="120" t="s">
        <v>251</v>
      </c>
      <c r="I856" s="120">
        <v>16769.266822491678</v>
      </c>
      <c r="J856" s="120">
        <v>726.66266920777753</v>
      </c>
      <c r="K856" s="120" t="s">
        <v>251</v>
      </c>
      <c r="L856" s="120" t="s">
        <v>251</v>
      </c>
      <c r="M856" s="120">
        <v>109.05111769789058</v>
      </c>
      <c r="N856" s="120" t="s">
        <v>251</v>
      </c>
      <c r="O856" s="120">
        <v>617.61155150988691</v>
      </c>
      <c r="P856" s="120">
        <v>613.08650747635215</v>
      </c>
      <c r="Q856" s="120">
        <v>4.5250440335347397</v>
      </c>
      <c r="R856" s="120"/>
      <c r="S856" s="121"/>
    </row>
    <row r="857" spans="1:19" ht="15">
      <c r="A857" s="105">
        <v>16</v>
      </c>
      <c r="B857" s="105"/>
      <c r="C857" s="107" t="s">
        <v>877</v>
      </c>
      <c r="D857" s="107" t="s">
        <v>502</v>
      </c>
      <c r="E857" s="120">
        <v>57972</v>
      </c>
      <c r="F857" s="120" t="s">
        <v>251</v>
      </c>
      <c r="G857" s="120">
        <v>55004.160394163067</v>
      </c>
      <c r="H857" s="120" t="s">
        <v>251</v>
      </c>
      <c r="I857" s="120">
        <v>2844.5756060145059</v>
      </c>
      <c r="J857" s="120">
        <v>123.26399982242623</v>
      </c>
      <c r="K857" s="120" t="s">
        <v>251</v>
      </c>
      <c r="L857" s="120" t="s">
        <v>251</v>
      </c>
      <c r="M857" s="120">
        <v>18.498372796834321</v>
      </c>
      <c r="N857" s="120" t="s">
        <v>251</v>
      </c>
      <c r="O857" s="120">
        <v>104.76562702559191</v>
      </c>
      <c r="P857" s="120">
        <v>103.99804249072899</v>
      </c>
      <c r="Q857" s="120">
        <v>0.76758453486291633</v>
      </c>
      <c r="R857" s="120"/>
      <c r="S857" s="121"/>
    </row>
    <row r="858" spans="1:19" ht="15">
      <c r="A858" s="105">
        <v>17</v>
      </c>
      <c r="B858" s="105"/>
      <c r="C858" s="107" t="s">
        <v>878</v>
      </c>
      <c r="D858" s="107" t="s">
        <v>502</v>
      </c>
      <c r="E858" s="120">
        <v>0</v>
      </c>
      <c r="F858" s="120" t="s">
        <v>251</v>
      </c>
      <c r="G858" s="120">
        <v>0</v>
      </c>
      <c r="H858" s="120" t="s">
        <v>251</v>
      </c>
      <c r="I858" s="120">
        <v>0</v>
      </c>
      <c r="J858" s="120">
        <v>0</v>
      </c>
      <c r="K858" s="120" t="s">
        <v>251</v>
      </c>
      <c r="L858" s="120" t="s">
        <v>251</v>
      </c>
      <c r="M858" s="120">
        <v>0</v>
      </c>
      <c r="N858" s="120" t="s">
        <v>251</v>
      </c>
      <c r="O858" s="120">
        <v>0</v>
      </c>
      <c r="P858" s="120">
        <v>0</v>
      </c>
      <c r="Q858" s="120">
        <v>0</v>
      </c>
      <c r="R858" s="120"/>
      <c r="S858" s="121"/>
    </row>
    <row r="859" spans="1:19" ht="15">
      <c r="A859" s="105">
        <v>18</v>
      </c>
      <c r="B859" s="105"/>
      <c r="C859" s="107" t="s">
        <v>879</v>
      </c>
      <c r="D859" s="107" t="s">
        <v>502</v>
      </c>
      <c r="E859" s="120">
        <v>0</v>
      </c>
      <c r="F859" s="120" t="s">
        <v>251</v>
      </c>
      <c r="G859" s="120">
        <v>0</v>
      </c>
      <c r="H859" s="120" t="s">
        <v>251</v>
      </c>
      <c r="I859" s="120">
        <v>0</v>
      </c>
      <c r="J859" s="120">
        <v>0</v>
      </c>
      <c r="K859" s="120" t="s">
        <v>251</v>
      </c>
      <c r="L859" s="120" t="s">
        <v>251</v>
      </c>
      <c r="M859" s="120">
        <v>0</v>
      </c>
      <c r="N859" s="120" t="s">
        <v>251</v>
      </c>
      <c r="O859" s="120">
        <v>0</v>
      </c>
      <c r="P859" s="120">
        <v>0</v>
      </c>
      <c r="Q859" s="120">
        <v>0</v>
      </c>
      <c r="R859" s="120"/>
      <c r="S859" s="121"/>
    </row>
    <row r="860" spans="1:19" ht="15">
      <c r="A860" s="105">
        <v>19</v>
      </c>
      <c r="B860" s="105"/>
      <c r="C860" s="107" t="s">
        <v>880</v>
      </c>
      <c r="D860" s="107" t="s">
        <v>502</v>
      </c>
      <c r="E860" s="120">
        <v>9209.0000000000018</v>
      </c>
      <c r="F860" s="120" t="s">
        <v>251</v>
      </c>
      <c r="G860" s="120">
        <v>8737.5511120859683</v>
      </c>
      <c r="H860" s="120" t="s">
        <v>251</v>
      </c>
      <c r="I860" s="120">
        <v>451.86808727985209</v>
      </c>
      <c r="J860" s="120">
        <v>19.58080063418069</v>
      </c>
      <c r="K860" s="120" t="s">
        <v>251</v>
      </c>
      <c r="L860" s="120" t="s">
        <v>251</v>
      </c>
      <c r="M860" s="120">
        <v>2.9385136805017464</v>
      </c>
      <c r="N860" s="120" t="s">
        <v>251</v>
      </c>
      <c r="O860" s="120">
        <v>16.642286953678944</v>
      </c>
      <c r="P860" s="120">
        <v>16.520354193354088</v>
      </c>
      <c r="Q860" s="120">
        <v>0.12193276032485675</v>
      </c>
      <c r="R860" s="120"/>
      <c r="S860" s="121"/>
    </row>
    <row r="861" spans="1:19" ht="15">
      <c r="A861" s="105" t="s">
        <v>251</v>
      </c>
      <c r="B861" s="105"/>
      <c r="C861" s="107" t="s">
        <v>251</v>
      </c>
      <c r="D861" s="107" t="s">
        <v>251</v>
      </c>
      <c r="E861" s="120" t="s">
        <v>251</v>
      </c>
      <c r="F861" s="120" t="s">
        <v>251</v>
      </c>
      <c r="G861" s="120" t="s">
        <v>251</v>
      </c>
      <c r="H861" s="120" t="s">
        <v>251</v>
      </c>
      <c r="I861" s="120" t="s">
        <v>251</v>
      </c>
      <c r="J861" s="120" t="s">
        <v>251</v>
      </c>
      <c r="K861" s="120" t="s">
        <v>251</v>
      </c>
      <c r="L861" s="120" t="s">
        <v>251</v>
      </c>
      <c r="M861" s="120" t="s">
        <v>251</v>
      </c>
      <c r="N861" s="120" t="s">
        <v>251</v>
      </c>
      <c r="O861" s="120" t="s">
        <v>251</v>
      </c>
      <c r="P861" s="120" t="s">
        <v>251</v>
      </c>
      <c r="Q861" s="120" t="s">
        <v>251</v>
      </c>
      <c r="R861" s="120"/>
      <c r="S861" s="121"/>
    </row>
    <row r="862" spans="1:19" ht="15">
      <c r="A862" s="105">
        <v>20</v>
      </c>
      <c r="B862" s="105"/>
      <c r="C862" s="107" t="s">
        <v>881</v>
      </c>
      <c r="D862" s="107" t="s">
        <v>502</v>
      </c>
      <c r="E862" s="120">
        <v>22794159.999999996</v>
      </c>
      <c r="F862" s="120" t="s">
        <v>251</v>
      </c>
      <c r="G862" s="120">
        <v>21627227.501038708</v>
      </c>
      <c r="H862" s="120" t="s">
        <v>251</v>
      </c>
      <c r="I862" s="120">
        <v>1118466.009376796</v>
      </c>
      <c r="J862" s="120">
        <v>48466.489584495182</v>
      </c>
      <c r="K862" s="120" t="s">
        <v>251</v>
      </c>
      <c r="L862" s="120" t="s">
        <v>251</v>
      </c>
      <c r="M862" s="120">
        <v>7273.4228467309913</v>
      </c>
      <c r="N862" s="120" t="s">
        <v>251</v>
      </c>
      <c r="O862" s="120">
        <v>41193.066737764188</v>
      </c>
      <c r="P862" s="120">
        <v>40891.25819741383</v>
      </c>
      <c r="Q862" s="120">
        <v>301.80854035035696</v>
      </c>
      <c r="R862" s="120"/>
      <c r="S862" s="121"/>
    </row>
    <row r="863" spans="1:19" ht="15">
      <c r="A863" s="105" t="s">
        <v>251</v>
      </c>
      <c r="B863" s="105"/>
      <c r="C863" s="107" t="s">
        <v>251</v>
      </c>
      <c r="D863" s="107" t="s">
        <v>251</v>
      </c>
      <c r="E863" s="120" t="s">
        <v>251</v>
      </c>
      <c r="F863" s="120" t="s">
        <v>251</v>
      </c>
      <c r="G863" s="120" t="s">
        <v>251</v>
      </c>
      <c r="H863" s="120" t="s">
        <v>251</v>
      </c>
      <c r="I863" s="120" t="s">
        <v>251</v>
      </c>
      <c r="J863" s="120" t="s">
        <v>251</v>
      </c>
      <c r="K863" s="120" t="s">
        <v>251</v>
      </c>
      <c r="L863" s="120" t="s">
        <v>251</v>
      </c>
      <c r="M863" s="120" t="s">
        <v>251</v>
      </c>
      <c r="N863" s="120" t="s">
        <v>251</v>
      </c>
      <c r="O863" s="120" t="s">
        <v>251</v>
      </c>
      <c r="P863" s="120" t="s">
        <v>251</v>
      </c>
      <c r="Q863" s="120" t="s">
        <v>251</v>
      </c>
      <c r="R863" s="120"/>
      <c r="S863" s="121"/>
    </row>
    <row r="864" spans="1:19" ht="15">
      <c r="A864" s="105">
        <v>21</v>
      </c>
      <c r="B864" s="105"/>
      <c r="C864" s="107" t="s">
        <v>882</v>
      </c>
      <c r="D864" s="107" t="s">
        <v>251</v>
      </c>
      <c r="E864" s="120">
        <v>92952526</v>
      </c>
      <c r="F864" s="120" t="s">
        <v>251</v>
      </c>
      <c r="G864" s="120">
        <v>87183813.807333574</v>
      </c>
      <c r="H864" s="120" t="s">
        <v>251</v>
      </c>
      <c r="I864" s="120">
        <v>4416324.0828610333</v>
      </c>
      <c r="J864" s="120">
        <v>1352388.1098053881</v>
      </c>
      <c r="K864" s="120" t="s">
        <v>251</v>
      </c>
      <c r="L864" s="120" t="s">
        <v>251</v>
      </c>
      <c r="M864" s="120">
        <v>7513.2553139365864</v>
      </c>
      <c r="N864" s="120" t="s">
        <v>251</v>
      </c>
      <c r="O864" s="120">
        <v>1344874.8544914515</v>
      </c>
      <c r="P864" s="120">
        <v>701685.02694045345</v>
      </c>
      <c r="Q864" s="120">
        <v>643189.82755099807</v>
      </c>
      <c r="R864" s="120"/>
      <c r="S864" s="121"/>
    </row>
    <row r="865" spans="1:19" ht="15">
      <c r="A865" s="105" t="s">
        <v>251</v>
      </c>
      <c r="B865" s="105"/>
      <c r="C865" s="107" t="s">
        <v>251</v>
      </c>
      <c r="D865" s="107" t="s">
        <v>251</v>
      </c>
      <c r="E865" s="120" t="s">
        <v>251</v>
      </c>
      <c r="F865" s="120" t="s">
        <v>251</v>
      </c>
      <c r="G865" s="120" t="s">
        <v>251</v>
      </c>
      <c r="H865" s="120" t="s">
        <v>251</v>
      </c>
      <c r="I865" s="120" t="s">
        <v>251</v>
      </c>
      <c r="J865" s="120" t="s">
        <v>251</v>
      </c>
      <c r="K865" s="120" t="s">
        <v>251</v>
      </c>
      <c r="L865" s="120" t="s">
        <v>251</v>
      </c>
      <c r="M865" s="120" t="s">
        <v>251</v>
      </c>
      <c r="N865" s="120" t="s">
        <v>251</v>
      </c>
      <c r="O865" s="120" t="s">
        <v>251</v>
      </c>
      <c r="P865" s="120" t="s">
        <v>251</v>
      </c>
      <c r="Q865" s="120" t="s">
        <v>251</v>
      </c>
      <c r="R865" s="120"/>
      <c r="S865" s="121"/>
    </row>
    <row r="866" spans="1:19" ht="15">
      <c r="A866" s="105" t="s">
        <v>251</v>
      </c>
      <c r="B866" s="105"/>
      <c r="C866" s="107" t="s">
        <v>251</v>
      </c>
      <c r="D866" s="107" t="s">
        <v>251</v>
      </c>
      <c r="E866" s="120" t="s">
        <v>251</v>
      </c>
      <c r="F866" s="120" t="s">
        <v>251</v>
      </c>
      <c r="G866" s="120" t="s">
        <v>251</v>
      </c>
      <c r="H866" s="120" t="s">
        <v>251</v>
      </c>
      <c r="I866" s="120" t="s">
        <v>251</v>
      </c>
      <c r="J866" s="120" t="s">
        <v>251</v>
      </c>
      <c r="K866" s="120" t="s">
        <v>251</v>
      </c>
      <c r="L866" s="120" t="s">
        <v>251</v>
      </c>
      <c r="M866" s="120" t="s">
        <v>251</v>
      </c>
      <c r="N866" s="120" t="s">
        <v>251</v>
      </c>
      <c r="O866" s="120" t="s">
        <v>251</v>
      </c>
      <c r="P866" s="120" t="s">
        <v>251</v>
      </c>
      <c r="Q866" s="120" t="s">
        <v>251</v>
      </c>
      <c r="R866" s="120"/>
      <c r="S866" s="121"/>
    </row>
    <row r="867" spans="1:19" ht="15">
      <c r="A867" s="105" t="s">
        <v>251</v>
      </c>
      <c r="B867" s="105"/>
      <c r="C867" s="107" t="s">
        <v>251</v>
      </c>
      <c r="D867" s="107" t="s">
        <v>251</v>
      </c>
      <c r="E867" s="120" t="s">
        <v>251</v>
      </c>
      <c r="F867" s="120" t="s">
        <v>251</v>
      </c>
      <c r="G867" s="120" t="s">
        <v>251</v>
      </c>
      <c r="H867" s="120" t="s">
        <v>251</v>
      </c>
      <c r="I867" s="120" t="s">
        <v>251</v>
      </c>
      <c r="J867" s="120" t="s">
        <v>251</v>
      </c>
      <c r="K867" s="120" t="s">
        <v>251</v>
      </c>
      <c r="L867" s="120" t="s">
        <v>251</v>
      </c>
      <c r="M867" s="120" t="s">
        <v>251</v>
      </c>
      <c r="N867" s="120" t="s">
        <v>251</v>
      </c>
      <c r="O867" s="120" t="s">
        <v>251</v>
      </c>
      <c r="P867" s="120" t="s">
        <v>251</v>
      </c>
      <c r="Q867" s="120" t="s">
        <v>251</v>
      </c>
      <c r="R867" s="120"/>
      <c r="S867" s="121"/>
    </row>
    <row r="868" spans="1:19" ht="15">
      <c r="A868" s="105" t="s">
        <v>251</v>
      </c>
      <c r="B868" s="105"/>
      <c r="C868" s="107" t="s">
        <v>251</v>
      </c>
      <c r="D868" s="107" t="s">
        <v>251</v>
      </c>
      <c r="E868" s="120" t="s">
        <v>251</v>
      </c>
      <c r="F868" s="120" t="s">
        <v>251</v>
      </c>
      <c r="G868" s="120" t="s">
        <v>251</v>
      </c>
      <c r="H868" s="120" t="s">
        <v>251</v>
      </c>
      <c r="I868" s="120" t="s">
        <v>251</v>
      </c>
      <c r="J868" s="120" t="s">
        <v>251</v>
      </c>
      <c r="K868" s="120" t="s">
        <v>251</v>
      </c>
      <c r="L868" s="120" t="s">
        <v>251</v>
      </c>
      <c r="M868" s="120" t="s">
        <v>251</v>
      </c>
      <c r="N868" s="120" t="s">
        <v>251</v>
      </c>
      <c r="O868" s="120" t="s">
        <v>251</v>
      </c>
      <c r="P868" s="120" t="s">
        <v>251</v>
      </c>
      <c r="Q868" s="120" t="s">
        <v>251</v>
      </c>
      <c r="R868" s="120"/>
      <c r="S868" s="121"/>
    </row>
    <row r="869" spans="1:19" ht="15">
      <c r="A869" s="105" t="s">
        <v>251</v>
      </c>
      <c r="B869" s="105"/>
      <c r="C869" s="107" t="s">
        <v>883</v>
      </c>
      <c r="D869" s="107" t="s">
        <v>251</v>
      </c>
      <c r="E869" s="120" t="s">
        <v>251</v>
      </c>
      <c r="F869" s="120" t="s">
        <v>251</v>
      </c>
      <c r="G869" s="120" t="s">
        <v>251</v>
      </c>
      <c r="H869" s="120" t="s">
        <v>251</v>
      </c>
      <c r="I869" s="120" t="s">
        <v>251</v>
      </c>
      <c r="J869" s="120" t="s">
        <v>251</v>
      </c>
      <c r="K869" s="120" t="s">
        <v>251</v>
      </c>
      <c r="L869" s="120" t="s">
        <v>251</v>
      </c>
      <c r="M869" s="120" t="s">
        <v>251</v>
      </c>
      <c r="N869" s="120" t="s">
        <v>251</v>
      </c>
      <c r="O869" s="120" t="s">
        <v>251</v>
      </c>
      <c r="P869" s="120" t="s">
        <v>251</v>
      </c>
      <c r="Q869" s="120" t="s">
        <v>251</v>
      </c>
      <c r="R869" s="120"/>
      <c r="S869" s="121"/>
    </row>
    <row r="870" spans="1:19" ht="15">
      <c r="A870" s="105">
        <v>1</v>
      </c>
      <c r="B870" s="105"/>
      <c r="C870" s="107" t="s">
        <v>884</v>
      </c>
      <c r="D870" s="107" t="s">
        <v>885</v>
      </c>
      <c r="E870" s="120">
        <v>3641154</v>
      </c>
      <c r="F870" s="120" t="s">
        <v>251</v>
      </c>
      <c r="G870" s="120">
        <v>3459212.6491932455</v>
      </c>
      <c r="H870" s="120" t="s">
        <v>251</v>
      </c>
      <c r="I870" s="120">
        <v>180900.20544863981</v>
      </c>
      <c r="J870" s="120">
        <v>1041.145358114652</v>
      </c>
      <c r="K870" s="120" t="s">
        <v>251</v>
      </c>
      <c r="L870" s="120" t="s">
        <v>251</v>
      </c>
      <c r="M870" s="120">
        <v>23.989524380521935</v>
      </c>
      <c r="N870" s="120" t="s">
        <v>251</v>
      </c>
      <c r="O870" s="120">
        <v>1017.1558337341302</v>
      </c>
      <c r="P870" s="120">
        <v>407.82191446887293</v>
      </c>
      <c r="Q870" s="120">
        <v>609.33391926525724</v>
      </c>
      <c r="R870" s="120"/>
      <c r="S870" s="121"/>
    </row>
    <row r="871" spans="1:19" ht="15">
      <c r="A871" s="105">
        <v>2</v>
      </c>
      <c r="B871" s="105"/>
      <c r="C871" s="107" t="s">
        <v>886</v>
      </c>
      <c r="D871" s="107" t="s">
        <v>885</v>
      </c>
      <c r="E871" s="120">
        <v>724506</v>
      </c>
      <c r="F871" s="120" t="s">
        <v>251</v>
      </c>
      <c r="G871" s="120">
        <v>688303.85081663716</v>
      </c>
      <c r="H871" s="120" t="s">
        <v>251</v>
      </c>
      <c r="I871" s="120">
        <v>35994.985174692483</v>
      </c>
      <c r="J871" s="120">
        <v>207.16400867038692</v>
      </c>
      <c r="K871" s="120" t="s">
        <v>251</v>
      </c>
      <c r="L871" s="120" t="s">
        <v>251</v>
      </c>
      <c r="M871" s="120">
        <v>4.7733642550780395</v>
      </c>
      <c r="N871" s="120" t="s">
        <v>251</v>
      </c>
      <c r="O871" s="120">
        <v>202.39064441530888</v>
      </c>
      <c r="P871" s="120">
        <v>81.147192336326682</v>
      </c>
      <c r="Q871" s="120">
        <v>121.24345207898222</v>
      </c>
      <c r="R871" s="120"/>
      <c r="S871" s="121"/>
    </row>
    <row r="872" spans="1:19" ht="15">
      <c r="A872" s="105">
        <v>3</v>
      </c>
      <c r="B872" s="105"/>
      <c r="C872" s="107" t="s">
        <v>887</v>
      </c>
      <c r="D872" s="107" t="s">
        <v>885</v>
      </c>
      <c r="E872" s="120">
        <v>14347203</v>
      </c>
      <c r="F872" s="120" t="s">
        <v>251</v>
      </c>
      <c r="G872" s="120">
        <v>13630301.29957241</v>
      </c>
      <c r="H872" s="120" t="s">
        <v>251</v>
      </c>
      <c r="I872" s="120">
        <v>712799.28569715575</v>
      </c>
      <c r="J872" s="120">
        <v>4102.4147304339804</v>
      </c>
      <c r="K872" s="120" t="s">
        <v>251</v>
      </c>
      <c r="L872" s="120" t="s">
        <v>251</v>
      </c>
      <c r="M872" s="120">
        <v>94.525685033041029</v>
      </c>
      <c r="N872" s="120" t="s">
        <v>251</v>
      </c>
      <c r="O872" s="120">
        <v>4007.8890454009393</v>
      </c>
      <c r="P872" s="120">
        <v>1606.9366455616973</v>
      </c>
      <c r="Q872" s="120">
        <v>2400.9523998392419</v>
      </c>
      <c r="R872" s="120"/>
      <c r="S872" s="121"/>
    </row>
    <row r="873" spans="1:19" ht="15">
      <c r="A873" s="105">
        <v>4</v>
      </c>
      <c r="B873" s="105"/>
      <c r="C873" s="107" t="s">
        <v>888</v>
      </c>
      <c r="D873" s="107" t="s">
        <v>885</v>
      </c>
      <c r="E873" s="120">
        <v>0</v>
      </c>
      <c r="F873" s="120" t="s">
        <v>251</v>
      </c>
      <c r="G873" s="120">
        <v>0</v>
      </c>
      <c r="H873" s="120" t="s">
        <v>251</v>
      </c>
      <c r="I873" s="120">
        <v>0</v>
      </c>
      <c r="J873" s="120">
        <v>0</v>
      </c>
      <c r="K873" s="120" t="s">
        <v>251</v>
      </c>
      <c r="L873" s="120" t="s">
        <v>251</v>
      </c>
      <c r="M873" s="120">
        <v>0</v>
      </c>
      <c r="N873" s="120" t="s">
        <v>251</v>
      </c>
      <c r="O873" s="120">
        <v>0</v>
      </c>
      <c r="P873" s="120">
        <v>0</v>
      </c>
      <c r="Q873" s="120">
        <v>0</v>
      </c>
      <c r="R873" s="120"/>
      <c r="S873" s="121"/>
    </row>
    <row r="874" spans="1:19" ht="15">
      <c r="A874" s="105">
        <v>5</v>
      </c>
      <c r="B874" s="105"/>
      <c r="C874" s="107" t="s">
        <v>889</v>
      </c>
      <c r="D874" s="107" t="s">
        <v>885</v>
      </c>
      <c r="E874" s="120">
        <v>0</v>
      </c>
      <c r="F874" s="120" t="s">
        <v>251</v>
      </c>
      <c r="G874" s="120">
        <v>0</v>
      </c>
      <c r="H874" s="120" t="s">
        <v>251</v>
      </c>
      <c r="I874" s="120">
        <v>0</v>
      </c>
      <c r="J874" s="120">
        <v>0</v>
      </c>
      <c r="K874" s="120" t="s">
        <v>251</v>
      </c>
      <c r="L874" s="120" t="s">
        <v>251</v>
      </c>
      <c r="M874" s="120">
        <v>0</v>
      </c>
      <c r="N874" s="120" t="s">
        <v>251</v>
      </c>
      <c r="O874" s="120">
        <v>0</v>
      </c>
      <c r="P874" s="120">
        <v>0</v>
      </c>
      <c r="Q874" s="120">
        <v>0</v>
      </c>
      <c r="R874" s="120"/>
      <c r="S874" s="121"/>
    </row>
    <row r="875" spans="1:19" ht="15">
      <c r="A875" s="105" t="s">
        <v>251</v>
      </c>
      <c r="B875" s="105"/>
      <c r="C875" s="107" t="s">
        <v>251</v>
      </c>
      <c r="D875" s="107" t="s">
        <v>251</v>
      </c>
      <c r="E875" s="120" t="s">
        <v>251</v>
      </c>
      <c r="F875" s="120" t="s">
        <v>251</v>
      </c>
      <c r="G875" s="120" t="s">
        <v>251</v>
      </c>
      <c r="H875" s="120" t="s">
        <v>251</v>
      </c>
      <c r="I875" s="120" t="s">
        <v>251</v>
      </c>
      <c r="J875" s="120" t="s">
        <v>251</v>
      </c>
      <c r="K875" s="120" t="s">
        <v>251</v>
      </c>
      <c r="L875" s="120" t="s">
        <v>251</v>
      </c>
      <c r="M875" s="120" t="s">
        <v>251</v>
      </c>
      <c r="N875" s="120" t="s">
        <v>251</v>
      </c>
      <c r="O875" s="120" t="s">
        <v>251</v>
      </c>
      <c r="P875" s="120" t="s">
        <v>251</v>
      </c>
      <c r="Q875" s="120" t="s">
        <v>251</v>
      </c>
      <c r="R875" s="120"/>
      <c r="S875" s="121"/>
    </row>
    <row r="876" spans="1:19" ht="15">
      <c r="A876" s="105">
        <v>6</v>
      </c>
      <c r="B876" s="105"/>
      <c r="C876" s="107" t="s">
        <v>890</v>
      </c>
      <c r="D876" s="107" t="s">
        <v>251</v>
      </c>
      <c r="E876" s="120">
        <v>18712862.999999996</v>
      </c>
      <c r="F876" s="120" t="s">
        <v>251</v>
      </c>
      <c r="G876" s="120">
        <v>17777817.799582291</v>
      </c>
      <c r="H876" s="120" t="s">
        <v>251</v>
      </c>
      <c r="I876" s="120">
        <v>929694.47632048803</v>
      </c>
      <c r="J876" s="120">
        <v>5350.7240972190202</v>
      </c>
      <c r="K876" s="120" t="s">
        <v>251</v>
      </c>
      <c r="L876" s="120" t="s">
        <v>251</v>
      </c>
      <c r="M876" s="120">
        <v>123.28857366864101</v>
      </c>
      <c r="N876" s="120" t="s">
        <v>251</v>
      </c>
      <c r="O876" s="120">
        <v>5227.435523550379</v>
      </c>
      <c r="P876" s="120">
        <v>2095.9057523668971</v>
      </c>
      <c r="Q876" s="120">
        <v>3131.5297711834814</v>
      </c>
      <c r="R876" s="120"/>
      <c r="S876" s="121"/>
    </row>
    <row r="877" spans="1:19" ht="15">
      <c r="A877" s="105" t="s">
        <v>251</v>
      </c>
      <c r="B877" s="105"/>
      <c r="C877" s="107" t="s">
        <v>251</v>
      </c>
      <c r="D877" s="107" t="s">
        <v>251</v>
      </c>
      <c r="E877" s="120" t="s">
        <v>251</v>
      </c>
      <c r="F877" s="120" t="s">
        <v>251</v>
      </c>
      <c r="G877" s="120" t="s">
        <v>251</v>
      </c>
      <c r="H877" s="120" t="s">
        <v>251</v>
      </c>
      <c r="I877" s="120" t="s">
        <v>251</v>
      </c>
      <c r="J877" s="120" t="s">
        <v>251</v>
      </c>
      <c r="K877" s="120" t="s">
        <v>251</v>
      </c>
      <c r="L877" s="120" t="s">
        <v>251</v>
      </c>
      <c r="M877" s="120" t="s">
        <v>251</v>
      </c>
      <c r="N877" s="120" t="s">
        <v>251</v>
      </c>
      <c r="O877" s="120" t="s">
        <v>251</v>
      </c>
      <c r="P877" s="120" t="s">
        <v>251</v>
      </c>
      <c r="Q877" s="120" t="s">
        <v>251</v>
      </c>
      <c r="R877" s="120"/>
      <c r="S877" s="121"/>
    </row>
    <row r="878" spans="1:19" ht="15">
      <c r="A878" s="105" t="s">
        <v>251</v>
      </c>
      <c r="B878" s="105"/>
      <c r="C878" s="107" t="s">
        <v>891</v>
      </c>
      <c r="D878" s="107" t="s">
        <v>251</v>
      </c>
      <c r="E878" s="120" t="s">
        <v>251</v>
      </c>
      <c r="F878" s="120" t="s">
        <v>251</v>
      </c>
      <c r="G878" s="120" t="s">
        <v>251</v>
      </c>
      <c r="H878" s="120" t="s">
        <v>251</v>
      </c>
      <c r="I878" s="120" t="s">
        <v>251</v>
      </c>
      <c r="J878" s="120" t="s">
        <v>251</v>
      </c>
      <c r="K878" s="120" t="s">
        <v>251</v>
      </c>
      <c r="L878" s="120" t="s">
        <v>251</v>
      </c>
      <c r="M878" s="120" t="s">
        <v>251</v>
      </c>
      <c r="N878" s="120" t="s">
        <v>251</v>
      </c>
      <c r="O878" s="120" t="s">
        <v>251</v>
      </c>
      <c r="P878" s="120" t="s">
        <v>251</v>
      </c>
      <c r="Q878" s="120" t="s">
        <v>251</v>
      </c>
      <c r="R878" s="120"/>
      <c r="S878" s="121"/>
    </row>
    <row r="879" spans="1:19" ht="15">
      <c r="A879" s="105">
        <v>7</v>
      </c>
      <c r="B879" s="105"/>
      <c r="C879" s="107" t="s">
        <v>892</v>
      </c>
      <c r="D879" s="107" t="s">
        <v>893</v>
      </c>
      <c r="E879" s="120">
        <v>624043.99999999988</v>
      </c>
      <c r="F879" s="120" t="s">
        <v>251</v>
      </c>
      <c r="G879" s="120">
        <v>616104.90533865418</v>
      </c>
      <c r="H879" s="120" t="s">
        <v>251</v>
      </c>
      <c r="I879" s="120">
        <v>7938.2478546905377</v>
      </c>
      <c r="J879" s="120">
        <v>0.84680665519580456</v>
      </c>
      <c r="K879" s="120" t="s">
        <v>251</v>
      </c>
      <c r="L879" s="120" t="s">
        <v>251</v>
      </c>
      <c r="M879" s="120">
        <v>0.84680665519580456</v>
      </c>
      <c r="N879" s="120" t="s">
        <v>251</v>
      </c>
      <c r="O879" s="120">
        <v>0</v>
      </c>
      <c r="P879" s="120">
        <v>0</v>
      </c>
      <c r="Q879" s="120">
        <v>0</v>
      </c>
      <c r="R879" s="120"/>
      <c r="S879" s="121"/>
    </row>
    <row r="880" spans="1:19" ht="15">
      <c r="A880" s="105">
        <v>8</v>
      </c>
      <c r="B880" s="105"/>
      <c r="C880" s="107" t="s">
        <v>894</v>
      </c>
      <c r="D880" s="107" t="s">
        <v>893</v>
      </c>
      <c r="E880" s="120">
        <v>1077180.9999999998</v>
      </c>
      <c r="F880" s="120" t="s">
        <v>251</v>
      </c>
      <c r="G880" s="120">
        <v>1063477.0914191897</v>
      </c>
      <c r="H880" s="120" t="s">
        <v>251</v>
      </c>
      <c r="I880" s="120">
        <v>13702.446882532975</v>
      </c>
      <c r="J880" s="120">
        <v>1.4616982771254461</v>
      </c>
      <c r="K880" s="120" t="s">
        <v>251</v>
      </c>
      <c r="L880" s="120" t="s">
        <v>251</v>
      </c>
      <c r="M880" s="120">
        <v>1.4616982771254461</v>
      </c>
      <c r="N880" s="120" t="s">
        <v>251</v>
      </c>
      <c r="O880" s="120">
        <v>0</v>
      </c>
      <c r="P880" s="120">
        <v>0</v>
      </c>
      <c r="Q880" s="120">
        <v>0</v>
      </c>
      <c r="R880" s="120"/>
      <c r="S880" s="121"/>
    </row>
    <row r="881" spans="1:19" ht="15">
      <c r="A881" s="105">
        <v>9</v>
      </c>
      <c r="B881" s="105"/>
      <c r="C881" s="107" t="s">
        <v>895</v>
      </c>
      <c r="D881" s="107" t="s">
        <v>893</v>
      </c>
      <c r="E881" s="120">
        <v>0</v>
      </c>
      <c r="F881" s="120" t="s">
        <v>251</v>
      </c>
      <c r="G881" s="120">
        <v>0</v>
      </c>
      <c r="H881" s="120" t="s">
        <v>251</v>
      </c>
      <c r="I881" s="120">
        <v>0</v>
      </c>
      <c r="J881" s="120">
        <v>0</v>
      </c>
      <c r="K881" s="120" t="s">
        <v>251</v>
      </c>
      <c r="L881" s="120" t="s">
        <v>251</v>
      </c>
      <c r="M881" s="120">
        <v>0</v>
      </c>
      <c r="N881" s="120" t="s">
        <v>251</v>
      </c>
      <c r="O881" s="120">
        <v>0</v>
      </c>
      <c r="P881" s="120">
        <v>0</v>
      </c>
      <c r="Q881" s="120">
        <v>0</v>
      </c>
      <c r="R881" s="120"/>
      <c r="S881" s="121"/>
    </row>
    <row r="882" spans="1:19" ht="15">
      <c r="A882" s="105">
        <v>10</v>
      </c>
      <c r="B882" s="105"/>
      <c r="C882" s="107" t="s">
        <v>896</v>
      </c>
      <c r="D882" s="107" t="s">
        <v>893</v>
      </c>
      <c r="E882" s="120">
        <v>0</v>
      </c>
      <c r="F882" s="120" t="s">
        <v>251</v>
      </c>
      <c r="G882" s="120">
        <v>0</v>
      </c>
      <c r="H882" s="120" t="s">
        <v>251</v>
      </c>
      <c r="I882" s="120">
        <v>0</v>
      </c>
      <c r="J882" s="120">
        <v>0</v>
      </c>
      <c r="K882" s="120" t="s">
        <v>251</v>
      </c>
      <c r="L882" s="120" t="s">
        <v>251</v>
      </c>
      <c r="M882" s="120">
        <v>0</v>
      </c>
      <c r="N882" s="120" t="s">
        <v>251</v>
      </c>
      <c r="O882" s="120">
        <v>0</v>
      </c>
      <c r="P882" s="120">
        <v>0</v>
      </c>
      <c r="Q882" s="120">
        <v>0</v>
      </c>
      <c r="R882" s="120"/>
      <c r="S882" s="121"/>
    </row>
    <row r="883" spans="1:19" ht="15">
      <c r="A883" s="105">
        <v>11</v>
      </c>
      <c r="B883" s="105"/>
      <c r="C883" s="107" t="s">
        <v>897</v>
      </c>
      <c r="D883" s="107" t="s">
        <v>893</v>
      </c>
      <c r="E883" s="120">
        <v>0</v>
      </c>
      <c r="F883" s="120" t="s">
        <v>251</v>
      </c>
      <c r="G883" s="120">
        <v>0</v>
      </c>
      <c r="H883" s="120" t="s">
        <v>251</v>
      </c>
      <c r="I883" s="120">
        <v>0</v>
      </c>
      <c r="J883" s="120">
        <v>0</v>
      </c>
      <c r="K883" s="120" t="s">
        <v>251</v>
      </c>
      <c r="L883" s="120" t="s">
        <v>251</v>
      </c>
      <c r="M883" s="120">
        <v>0</v>
      </c>
      <c r="N883" s="120" t="s">
        <v>251</v>
      </c>
      <c r="O883" s="120">
        <v>0</v>
      </c>
      <c r="P883" s="120">
        <v>0</v>
      </c>
      <c r="Q883" s="120">
        <v>0</v>
      </c>
      <c r="R883" s="120"/>
      <c r="S883" s="121"/>
    </row>
    <row r="884" spans="1:19" ht="15">
      <c r="A884" s="105">
        <v>12</v>
      </c>
      <c r="B884" s="105"/>
      <c r="C884" s="107" t="s">
        <v>898</v>
      </c>
      <c r="D884" s="107" t="s">
        <v>893</v>
      </c>
      <c r="E884" s="120">
        <v>0</v>
      </c>
      <c r="F884" s="120" t="s">
        <v>251</v>
      </c>
      <c r="G884" s="120">
        <v>0</v>
      </c>
      <c r="H884" s="120" t="s">
        <v>251</v>
      </c>
      <c r="I884" s="120">
        <v>0</v>
      </c>
      <c r="J884" s="120">
        <v>0</v>
      </c>
      <c r="K884" s="120" t="s">
        <v>251</v>
      </c>
      <c r="L884" s="120" t="s">
        <v>251</v>
      </c>
      <c r="M884" s="120">
        <v>0</v>
      </c>
      <c r="N884" s="120" t="s">
        <v>251</v>
      </c>
      <c r="O884" s="120">
        <v>0</v>
      </c>
      <c r="P884" s="120">
        <v>0</v>
      </c>
      <c r="Q884" s="120">
        <v>0</v>
      </c>
      <c r="R884" s="120"/>
      <c r="S884" s="121"/>
    </row>
    <row r="885" spans="1:19" ht="15">
      <c r="A885" s="105">
        <v>13</v>
      </c>
      <c r="B885" s="105"/>
      <c r="C885" s="107" t="s">
        <v>899</v>
      </c>
      <c r="D885" s="107" t="s">
        <v>893</v>
      </c>
      <c r="E885" s="120">
        <v>0</v>
      </c>
      <c r="F885" s="120" t="s">
        <v>251</v>
      </c>
      <c r="G885" s="120">
        <v>0</v>
      </c>
      <c r="H885" s="120" t="s">
        <v>251</v>
      </c>
      <c r="I885" s="120">
        <v>0</v>
      </c>
      <c r="J885" s="120">
        <v>0</v>
      </c>
      <c r="K885" s="120" t="s">
        <v>251</v>
      </c>
      <c r="L885" s="120" t="s">
        <v>251</v>
      </c>
      <c r="M885" s="120">
        <v>0</v>
      </c>
      <c r="N885" s="120" t="s">
        <v>251</v>
      </c>
      <c r="O885" s="120">
        <v>0</v>
      </c>
      <c r="P885" s="120">
        <v>0</v>
      </c>
      <c r="Q885" s="120">
        <v>0</v>
      </c>
      <c r="R885" s="120"/>
      <c r="S885" s="121"/>
    </row>
    <row r="886" spans="1:19" ht="15">
      <c r="A886" s="105" t="s">
        <v>251</v>
      </c>
      <c r="B886" s="105"/>
      <c r="C886" s="107" t="s">
        <v>251</v>
      </c>
      <c r="D886" s="107" t="s">
        <v>251</v>
      </c>
      <c r="E886" s="120" t="s">
        <v>251</v>
      </c>
      <c r="F886" s="120" t="s">
        <v>251</v>
      </c>
      <c r="G886" s="120" t="s">
        <v>251</v>
      </c>
      <c r="H886" s="120" t="s">
        <v>251</v>
      </c>
      <c r="I886" s="120" t="s">
        <v>251</v>
      </c>
      <c r="J886" s="120" t="s">
        <v>251</v>
      </c>
      <c r="K886" s="120" t="s">
        <v>251</v>
      </c>
      <c r="L886" s="120" t="s">
        <v>251</v>
      </c>
      <c r="M886" s="120" t="s">
        <v>251</v>
      </c>
      <c r="N886" s="120" t="s">
        <v>251</v>
      </c>
      <c r="O886" s="120" t="s">
        <v>251</v>
      </c>
      <c r="P886" s="120" t="s">
        <v>251</v>
      </c>
      <c r="Q886" s="120" t="s">
        <v>251</v>
      </c>
      <c r="R886" s="120"/>
      <c r="S886" s="121"/>
    </row>
    <row r="887" spans="1:19" ht="15">
      <c r="A887" s="105">
        <v>14</v>
      </c>
      <c r="B887" s="105"/>
      <c r="C887" s="107" t="s">
        <v>900</v>
      </c>
      <c r="D887" s="107" t="s">
        <v>251</v>
      </c>
      <c r="E887" s="120">
        <v>1701224.9999999998</v>
      </c>
      <c r="F887" s="120" t="s">
        <v>251</v>
      </c>
      <c r="G887" s="120">
        <v>1679581.996757844</v>
      </c>
      <c r="H887" s="120" t="s">
        <v>251</v>
      </c>
      <c r="I887" s="120">
        <v>21640.694737223512</v>
      </c>
      <c r="J887" s="120">
        <v>2.3085049323212505</v>
      </c>
      <c r="K887" s="120" t="s">
        <v>251</v>
      </c>
      <c r="L887" s="120" t="s">
        <v>251</v>
      </c>
      <c r="M887" s="120">
        <v>2.3085049323212505</v>
      </c>
      <c r="N887" s="120" t="s">
        <v>251</v>
      </c>
      <c r="O887" s="120">
        <v>0</v>
      </c>
      <c r="P887" s="120">
        <v>0</v>
      </c>
      <c r="Q887" s="120">
        <v>0</v>
      </c>
      <c r="R887" s="120"/>
      <c r="S887" s="121"/>
    </row>
    <row r="888" spans="1:19" ht="15">
      <c r="A888" s="105" t="s">
        <v>251</v>
      </c>
      <c r="B888" s="105"/>
      <c r="C888" s="107" t="s">
        <v>251</v>
      </c>
      <c r="D888" s="107" t="s">
        <v>251</v>
      </c>
      <c r="E888" s="120" t="s">
        <v>251</v>
      </c>
      <c r="F888" s="120" t="s">
        <v>251</v>
      </c>
      <c r="G888" s="120" t="s">
        <v>251</v>
      </c>
      <c r="H888" s="120" t="s">
        <v>251</v>
      </c>
      <c r="I888" s="120" t="s">
        <v>251</v>
      </c>
      <c r="J888" s="120" t="s">
        <v>251</v>
      </c>
      <c r="K888" s="120" t="s">
        <v>251</v>
      </c>
      <c r="L888" s="120" t="s">
        <v>251</v>
      </c>
      <c r="M888" s="120" t="s">
        <v>251</v>
      </c>
      <c r="N888" s="120" t="s">
        <v>251</v>
      </c>
      <c r="O888" s="120" t="s">
        <v>251</v>
      </c>
      <c r="P888" s="120" t="s">
        <v>251</v>
      </c>
      <c r="Q888" s="120" t="s">
        <v>251</v>
      </c>
      <c r="R888" s="120"/>
      <c r="S888" s="121"/>
    </row>
    <row r="889" spans="1:19" ht="15">
      <c r="A889" s="105">
        <v>15</v>
      </c>
      <c r="B889" s="105"/>
      <c r="C889" s="107" t="s">
        <v>901</v>
      </c>
      <c r="D889" s="107" t="s">
        <v>251</v>
      </c>
      <c r="E889" s="120">
        <v>113366614</v>
      </c>
      <c r="F889" s="120" t="s">
        <v>251</v>
      </c>
      <c r="G889" s="120">
        <v>106641213.60367371</v>
      </c>
      <c r="H889" s="120" t="s">
        <v>251</v>
      </c>
      <c r="I889" s="120">
        <v>5367659.2539187446</v>
      </c>
      <c r="J889" s="120">
        <v>1357741.1424075393</v>
      </c>
      <c r="K889" s="120" t="s">
        <v>251</v>
      </c>
      <c r="L889" s="120" t="s">
        <v>251</v>
      </c>
      <c r="M889" s="120">
        <v>7638.8523925375484</v>
      </c>
      <c r="N889" s="120" t="s">
        <v>251</v>
      </c>
      <c r="O889" s="120">
        <v>1350102.2900150018</v>
      </c>
      <c r="P889" s="120">
        <v>703780.93269282032</v>
      </c>
      <c r="Q889" s="120">
        <v>646321.35732218158</v>
      </c>
      <c r="R889" s="120"/>
      <c r="S889" s="121"/>
    </row>
    <row r="890" spans="1:19" ht="15">
      <c r="A890" s="105" t="s">
        <v>251</v>
      </c>
      <c r="B890" s="105"/>
      <c r="C890" s="107" t="s">
        <v>251</v>
      </c>
      <c r="D890" s="107" t="s">
        <v>251</v>
      </c>
      <c r="E890" s="120" t="s">
        <v>251</v>
      </c>
      <c r="F890" s="120" t="s">
        <v>251</v>
      </c>
      <c r="G890" s="120" t="s">
        <v>251</v>
      </c>
      <c r="H890" s="120" t="s">
        <v>251</v>
      </c>
      <c r="I890" s="120" t="s">
        <v>251</v>
      </c>
      <c r="J890" s="120" t="s">
        <v>251</v>
      </c>
      <c r="K890" s="120" t="s">
        <v>251</v>
      </c>
      <c r="L890" s="120" t="s">
        <v>251</v>
      </c>
      <c r="M890" s="120" t="s">
        <v>251</v>
      </c>
      <c r="N890" s="120" t="s">
        <v>251</v>
      </c>
      <c r="O890" s="120" t="s">
        <v>251</v>
      </c>
      <c r="P890" s="120" t="s">
        <v>251</v>
      </c>
      <c r="Q890" s="120" t="s">
        <v>251</v>
      </c>
      <c r="R890" s="120"/>
      <c r="S890" s="121"/>
    </row>
    <row r="891" spans="1:19" ht="15">
      <c r="A891" s="105" t="s">
        <v>251</v>
      </c>
      <c r="B891" s="105"/>
      <c r="C891" s="107" t="s">
        <v>902</v>
      </c>
      <c r="D891" s="107" t="s">
        <v>251</v>
      </c>
      <c r="E891" s="120" t="s">
        <v>251</v>
      </c>
      <c r="F891" s="120" t="s">
        <v>251</v>
      </c>
      <c r="G891" s="120" t="s">
        <v>251</v>
      </c>
      <c r="H891" s="120" t="s">
        <v>251</v>
      </c>
      <c r="I891" s="120" t="s">
        <v>251</v>
      </c>
      <c r="J891" s="120" t="s">
        <v>251</v>
      </c>
      <c r="K891" s="120" t="s">
        <v>251</v>
      </c>
      <c r="L891" s="120" t="s">
        <v>251</v>
      </c>
      <c r="M891" s="120" t="s">
        <v>251</v>
      </c>
      <c r="N891" s="120" t="s">
        <v>251</v>
      </c>
      <c r="O891" s="120" t="s">
        <v>251</v>
      </c>
      <c r="P891" s="120" t="s">
        <v>251</v>
      </c>
      <c r="Q891" s="120" t="s">
        <v>251</v>
      </c>
      <c r="R891" s="120"/>
      <c r="S891" s="121"/>
    </row>
    <row r="892" spans="1:19" ht="15">
      <c r="A892" s="105">
        <v>16</v>
      </c>
      <c r="B892" s="105"/>
      <c r="C892" s="107" t="s">
        <v>903</v>
      </c>
      <c r="D892" s="107" t="s">
        <v>904</v>
      </c>
      <c r="E892" s="120">
        <v>37810562</v>
      </c>
      <c r="F892" s="120" t="s">
        <v>251</v>
      </c>
      <c r="G892" s="120">
        <v>35567475.083245836</v>
      </c>
      <c r="H892" s="120" t="s">
        <v>251</v>
      </c>
      <c r="I892" s="120">
        <v>1790246.7565554038</v>
      </c>
      <c r="J892" s="120">
        <v>452840.16019876103</v>
      </c>
      <c r="K892" s="120" t="s">
        <v>251</v>
      </c>
      <c r="L892" s="120" t="s">
        <v>251</v>
      </c>
      <c r="M892" s="120">
        <v>2547.7456881343332</v>
      </c>
      <c r="N892" s="120" t="s">
        <v>251</v>
      </c>
      <c r="O892" s="120">
        <v>450292.4145106267</v>
      </c>
      <c r="P892" s="120">
        <v>234728.30007959585</v>
      </c>
      <c r="Q892" s="120">
        <v>215564.11443103082</v>
      </c>
      <c r="R892" s="120"/>
      <c r="S892" s="121"/>
    </row>
    <row r="893" spans="1:19" ht="15">
      <c r="A893" s="105">
        <v>17</v>
      </c>
      <c r="B893" s="105"/>
      <c r="C893" s="107" t="s">
        <v>905</v>
      </c>
      <c r="D893" s="107" t="s">
        <v>904</v>
      </c>
      <c r="E893" s="120">
        <v>76625</v>
      </c>
      <c r="F893" s="120" t="s">
        <v>251</v>
      </c>
      <c r="G893" s="120">
        <v>72079.271877887251</v>
      </c>
      <c r="H893" s="120" t="s">
        <v>251</v>
      </c>
      <c r="I893" s="120">
        <v>3628.02482864597</v>
      </c>
      <c r="J893" s="120">
        <v>917.70329346678477</v>
      </c>
      <c r="K893" s="120" t="s">
        <v>251</v>
      </c>
      <c r="L893" s="120" t="s">
        <v>251</v>
      </c>
      <c r="M893" s="120">
        <v>5.1631344002052462</v>
      </c>
      <c r="N893" s="120" t="s">
        <v>251</v>
      </c>
      <c r="O893" s="120">
        <v>912.54015906657958</v>
      </c>
      <c r="P893" s="120">
        <v>475.68867116016503</v>
      </c>
      <c r="Q893" s="120">
        <v>436.85148790641455</v>
      </c>
      <c r="R893" s="120"/>
      <c r="S893" s="121"/>
    </row>
    <row r="894" spans="1:19" ht="15">
      <c r="A894" s="105">
        <v>18</v>
      </c>
      <c r="B894" s="105"/>
      <c r="C894" s="107" t="s">
        <v>906</v>
      </c>
      <c r="D894" s="107" t="s">
        <v>904</v>
      </c>
      <c r="E894" s="120">
        <v>-4521751</v>
      </c>
      <c r="F894" s="120" t="s">
        <v>251</v>
      </c>
      <c r="G894" s="120">
        <v>-4253501.0726669952</v>
      </c>
      <c r="H894" s="120" t="s">
        <v>251</v>
      </c>
      <c r="I894" s="120">
        <v>-214094.94155895262</v>
      </c>
      <c r="J894" s="120">
        <v>-54154.985774051915</v>
      </c>
      <c r="K894" s="120" t="s">
        <v>251</v>
      </c>
      <c r="L894" s="120" t="s">
        <v>251</v>
      </c>
      <c r="M894" s="120">
        <v>-304.68395611435528</v>
      </c>
      <c r="N894" s="120" t="s">
        <v>251</v>
      </c>
      <c r="O894" s="120">
        <v>-53850.301817937558</v>
      </c>
      <c r="P894" s="120">
        <v>-28071.069814122642</v>
      </c>
      <c r="Q894" s="120">
        <v>-25779.232003814916</v>
      </c>
      <c r="R894" s="120"/>
      <c r="S894" s="121"/>
    </row>
    <row r="895" spans="1:19" ht="15">
      <c r="A895" s="105">
        <v>19</v>
      </c>
      <c r="B895" s="105"/>
      <c r="C895" s="107" t="s">
        <v>907</v>
      </c>
      <c r="D895" s="107" t="s">
        <v>904</v>
      </c>
      <c r="E895" s="120">
        <v>0</v>
      </c>
      <c r="F895" s="120" t="s">
        <v>251</v>
      </c>
      <c r="G895" s="120">
        <v>0</v>
      </c>
      <c r="H895" s="120" t="s">
        <v>251</v>
      </c>
      <c r="I895" s="120">
        <v>0</v>
      </c>
      <c r="J895" s="120">
        <v>0</v>
      </c>
      <c r="K895" s="120" t="s">
        <v>251</v>
      </c>
      <c r="L895" s="120" t="s">
        <v>251</v>
      </c>
      <c r="M895" s="120">
        <v>0</v>
      </c>
      <c r="N895" s="120" t="s">
        <v>251</v>
      </c>
      <c r="O895" s="120">
        <v>0</v>
      </c>
      <c r="P895" s="120">
        <v>0</v>
      </c>
      <c r="Q895" s="120">
        <v>0</v>
      </c>
      <c r="R895" s="120"/>
      <c r="S895" s="121"/>
    </row>
    <row r="896" spans="1:19" ht="15">
      <c r="A896" s="105">
        <v>20</v>
      </c>
      <c r="B896" s="105"/>
      <c r="C896" s="107" t="s">
        <v>908</v>
      </c>
      <c r="D896" s="107" t="s">
        <v>904</v>
      </c>
      <c r="E896" s="120">
        <v>0</v>
      </c>
      <c r="F896" s="120" t="s">
        <v>251</v>
      </c>
      <c r="G896" s="120">
        <v>0</v>
      </c>
      <c r="H896" s="120" t="s">
        <v>251</v>
      </c>
      <c r="I896" s="120">
        <v>0</v>
      </c>
      <c r="J896" s="120">
        <v>0</v>
      </c>
      <c r="K896" s="120" t="s">
        <v>251</v>
      </c>
      <c r="L896" s="120" t="s">
        <v>251</v>
      </c>
      <c r="M896" s="120">
        <v>0</v>
      </c>
      <c r="N896" s="120" t="s">
        <v>251</v>
      </c>
      <c r="O896" s="120">
        <v>0</v>
      </c>
      <c r="P896" s="120">
        <v>0</v>
      </c>
      <c r="Q896" s="120">
        <v>0</v>
      </c>
      <c r="R896" s="120"/>
      <c r="S896" s="121"/>
    </row>
    <row r="897" spans="1:19" ht="15">
      <c r="A897" s="105">
        <v>21</v>
      </c>
      <c r="B897" s="105"/>
      <c r="C897" s="107" t="s">
        <v>909</v>
      </c>
      <c r="D897" s="107" t="s">
        <v>904</v>
      </c>
      <c r="E897" s="120">
        <v>757233</v>
      </c>
      <c r="F897" s="120" t="s">
        <v>251</v>
      </c>
      <c r="G897" s="120">
        <v>712310.64641968277</v>
      </c>
      <c r="H897" s="120" t="s">
        <v>251</v>
      </c>
      <c r="I897" s="120">
        <v>35853.313214617599</v>
      </c>
      <c r="J897" s="120">
        <v>9069.0403656996259</v>
      </c>
      <c r="K897" s="120" t="s">
        <v>251</v>
      </c>
      <c r="L897" s="120" t="s">
        <v>251</v>
      </c>
      <c r="M897" s="120">
        <v>51.023761843662243</v>
      </c>
      <c r="N897" s="120" t="s">
        <v>251</v>
      </c>
      <c r="O897" s="120">
        <v>9018.0166038559637</v>
      </c>
      <c r="P897" s="120">
        <v>4700.9090966215363</v>
      </c>
      <c r="Q897" s="120">
        <v>4317.1075072344274</v>
      </c>
      <c r="R897" s="120"/>
      <c r="S897" s="121"/>
    </row>
    <row r="898" spans="1:19" ht="15">
      <c r="A898" s="105">
        <v>22</v>
      </c>
      <c r="B898" s="105"/>
      <c r="C898" s="107" t="s">
        <v>910</v>
      </c>
      <c r="D898" s="107" t="s">
        <v>904</v>
      </c>
      <c r="E898" s="120">
        <v>30537150</v>
      </c>
      <c r="F898" s="120" t="s">
        <v>251</v>
      </c>
      <c r="G898" s="120">
        <v>28725553.5037628</v>
      </c>
      <c r="H898" s="120" t="s">
        <v>251</v>
      </c>
      <c r="I898" s="120">
        <v>1445866.7327384832</v>
      </c>
      <c r="J898" s="120">
        <v>365729.76349871751</v>
      </c>
      <c r="K898" s="120" t="s">
        <v>251</v>
      </c>
      <c r="L898" s="120" t="s">
        <v>251</v>
      </c>
      <c r="M898" s="120">
        <v>2057.6497180975875</v>
      </c>
      <c r="N898" s="120" t="s">
        <v>251</v>
      </c>
      <c r="O898" s="120">
        <v>363672.11378061993</v>
      </c>
      <c r="P898" s="120">
        <v>189574.89467561021</v>
      </c>
      <c r="Q898" s="120">
        <v>174097.21910500969</v>
      </c>
      <c r="R898" s="120"/>
      <c r="S898" s="121"/>
    </row>
    <row r="899" spans="1:19" ht="15">
      <c r="A899" s="105">
        <v>23</v>
      </c>
      <c r="B899" s="105"/>
      <c r="C899" s="107" t="s">
        <v>911</v>
      </c>
      <c r="D899" s="107" t="s">
        <v>904</v>
      </c>
      <c r="E899" s="120">
        <v>0</v>
      </c>
      <c r="F899" s="120" t="s">
        <v>251</v>
      </c>
      <c r="G899" s="120">
        <v>0</v>
      </c>
      <c r="H899" s="120" t="s">
        <v>251</v>
      </c>
      <c r="I899" s="120">
        <v>0</v>
      </c>
      <c r="J899" s="120">
        <v>0</v>
      </c>
      <c r="K899" s="120" t="s">
        <v>251</v>
      </c>
      <c r="L899" s="120" t="s">
        <v>251</v>
      </c>
      <c r="M899" s="120">
        <v>0</v>
      </c>
      <c r="N899" s="120" t="s">
        <v>251</v>
      </c>
      <c r="O899" s="120">
        <v>0</v>
      </c>
      <c r="P899" s="120">
        <v>0</v>
      </c>
      <c r="Q899" s="120">
        <v>0</v>
      </c>
      <c r="R899" s="120"/>
      <c r="S899" s="121"/>
    </row>
    <row r="900" spans="1:19" ht="15">
      <c r="A900" s="105">
        <v>24</v>
      </c>
      <c r="B900" s="105"/>
      <c r="C900" s="107" t="s">
        <v>912</v>
      </c>
      <c r="D900" s="107" t="s">
        <v>904</v>
      </c>
      <c r="E900" s="120">
        <v>0</v>
      </c>
      <c r="F900" s="120" t="s">
        <v>251</v>
      </c>
      <c r="G900" s="120">
        <v>0</v>
      </c>
      <c r="H900" s="120" t="s">
        <v>251</v>
      </c>
      <c r="I900" s="120">
        <v>0</v>
      </c>
      <c r="J900" s="120">
        <v>0</v>
      </c>
      <c r="K900" s="120" t="s">
        <v>251</v>
      </c>
      <c r="L900" s="120" t="s">
        <v>251</v>
      </c>
      <c r="M900" s="120">
        <v>0</v>
      </c>
      <c r="N900" s="120" t="s">
        <v>251</v>
      </c>
      <c r="O900" s="120">
        <v>0</v>
      </c>
      <c r="P900" s="120">
        <v>0</v>
      </c>
      <c r="Q900" s="120">
        <v>0</v>
      </c>
      <c r="R900" s="120"/>
      <c r="S900" s="121"/>
    </row>
    <row r="901" spans="1:19" ht="15">
      <c r="A901" s="105">
        <v>25</v>
      </c>
      <c r="B901" s="105"/>
      <c r="C901" s="107" t="s">
        <v>913</v>
      </c>
      <c r="D901" s="107" t="s">
        <v>904</v>
      </c>
      <c r="E901" s="120">
        <v>0</v>
      </c>
      <c r="F901" s="120" t="s">
        <v>251</v>
      </c>
      <c r="G901" s="120">
        <v>0</v>
      </c>
      <c r="H901" s="120" t="s">
        <v>251</v>
      </c>
      <c r="I901" s="120">
        <v>0</v>
      </c>
      <c r="J901" s="120">
        <v>0</v>
      </c>
      <c r="K901" s="120" t="s">
        <v>251</v>
      </c>
      <c r="L901" s="120" t="s">
        <v>251</v>
      </c>
      <c r="M901" s="120">
        <v>0</v>
      </c>
      <c r="N901" s="120" t="s">
        <v>251</v>
      </c>
      <c r="O901" s="120">
        <v>0</v>
      </c>
      <c r="P901" s="120">
        <v>0</v>
      </c>
      <c r="Q901" s="120">
        <v>0</v>
      </c>
      <c r="R901" s="120"/>
      <c r="S901" s="121"/>
    </row>
    <row r="902" spans="1:19" ht="15">
      <c r="A902" s="105">
        <v>26</v>
      </c>
      <c r="B902" s="105"/>
      <c r="C902" s="107" t="s">
        <v>914</v>
      </c>
      <c r="D902" s="107" t="s">
        <v>904</v>
      </c>
      <c r="E902" s="120">
        <v>0</v>
      </c>
      <c r="F902" s="120" t="s">
        <v>251</v>
      </c>
      <c r="G902" s="120">
        <v>0</v>
      </c>
      <c r="H902" s="120" t="s">
        <v>251</v>
      </c>
      <c r="I902" s="120">
        <v>0</v>
      </c>
      <c r="J902" s="120">
        <v>0</v>
      </c>
      <c r="K902" s="120" t="s">
        <v>251</v>
      </c>
      <c r="L902" s="120" t="s">
        <v>251</v>
      </c>
      <c r="M902" s="120">
        <v>0</v>
      </c>
      <c r="N902" s="120" t="s">
        <v>251</v>
      </c>
      <c r="O902" s="120">
        <v>0</v>
      </c>
      <c r="P902" s="120">
        <v>0</v>
      </c>
      <c r="Q902" s="120">
        <v>0</v>
      </c>
      <c r="R902" s="120"/>
      <c r="S902" s="121"/>
    </row>
    <row r="903" spans="1:19" ht="15">
      <c r="A903" s="105">
        <v>27</v>
      </c>
      <c r="B903" s="105"/>
      <c r="C903" s="107" t="s">
        <v>915</v>
      </c>
      <c r="D903" s="107" t="s">
        <v>904</v>
      </c>
      <c r="E903" s="120">
        <v>840741</v>
      </c>
      <c r="F903" s="120" t="s">
        <v>251</v>
      </c>
      <c r="G903" s="120">
        <v>790864.58881418337</v>
      </c>
      <c r="H903" s="120" t="s">
        <v>251</v>
      </c>
      <c r="I903" s="120">
        <v>39807.232919551599</v>
      </c>
      <c r="J903" s="120">
        <v>10069.178266265033</v>
      </c>
      <c r="K903" s="120" t="s">
        <v>251</v>
      </c>
      <c r="L903" s="120" t="s">
        <v>251</v>
      </c>
      <c r="M903" s="120">
        <v>56.650685530348568</v>
      </c>
      <c r="N903" s="120" t="s">
        <v>251</v>
      </c>
      <c r="O903" s="120">
        <v>10012.527580734684</v>
      </c>
      <c r="P903" s="120">
        <v>5219.3274920700596</v>
      </c>
      <c r="Q903" s="120">
        <v>4793.2000886646247</v>
      </c>
      <c r="R903" s="120"/>
      <c r="S903" s="121"/>
    </row>
    <row r="904" spans="1:19" ht="15">
      <c r="A904" s="105" t="s">
        <v>251</v>
      </c>
      <c r="B904" s="105"/>
      <c r="C904" s="107" t="s">
        <v>251</v>
      </c>
      <c r="D904" s="107" t="s">
        <v>251</v>
      </c>
      <c r="E904" s="120" t="s">
        <v>251</v>
      </c>
      <c r="F904" s="120" t="s">
        <v>251</v>
      </c>
      <c r="G904" s="120" t="s">
        <v>251</v>
      </c>
      <c r="H904" s="120" t="s">
        <v>251</v>
      </c>
      <c r="I904" s="120" t="s">
        <v>251</v>
      </c>
      <c r="J904" s="120" t="s">
        <v>251</v>
      </c>
      <c r="K904" s="120" t="s">
        <v>251</v>
      </c>
      <c r="L904" s="120" t="s">
        <v>251</v>
      </c>
      <c r="M904" s="120" t="s">
        <v>251</v>
      </c>
      <c r="N904" s="120" t="s">
        <v>251</v>
      </c>
      <c r="O904" s="120" t="s">
        <v>251</v>
      </c>
      <c r="P904" s="120" t="s">
        <v>251</v>
      </c>
      <c r="Q904" s="120" t="s">
        <v>251</v>
      </c>
      <c r="R904" s="120"/>
      <c r="S904" s="121"/>
    </row>
    <row r="905" spans="1:19" ht="15">
      <c r="A905" s="105">
        <v>28</v>
      </c>
      <c r="B905" s="105"/>
      <c r="C905" s="107" t="s">
        <v>916</v>
      </c>
      <c r="D905" s="107" t="s">
        <v>251</v>
      </c>
      <c r="E905" s="120">
        <v>65500560</v>
      </c>
      <c r="F905" s="120" t="s">
        <v>251</v>
      </c>
      <c r="G905" s="120">
        <v>61614782.021453395</v>
      </c>
      <c r="H905" s="120" t="s">
        <v>251</v>
      </c>
      <c r="I905" s="120">
        <v>3101307.1186977495</v>
      </c>
      <c r="J905" s="120">
        <v>784470.85984885797</v>
      </c>
      <c r="K905" s="120" t="s">
        <v>251</v>
      </c>
      <c r="L905" s="120" t="s">
        <v>251</v>
      </c>
      <c r="M905" s="120">
        <v>4413.5490318917819</v>
      </c>
      <c r="N905" s="120" t="s">
        <v>251</v>
      </c>
      <c r="O905" s="120">
        <v>780057.31081696623</v>
      </c>
      <c r="P905" s="120">
        <v>406628.05020093516</v>
      </c>
      <c r="Q905" s="120">
        <v>373429.26061603107</v>
      </c>
      <c r="R905" s="120"/>
      <c r="S905" s="121"/>
    </row>
    <row r="906" spans="1:19" ht="15">
      <c r="A906" s="105" t="s">
        <v>251</v>
      </c>
      <c r="B906" s="105"/>
      <c r="C906" s="107" t="s">
        <v>251</v>
      </c>
      <c r="D906" s="107" t="s">
        <v>251</v>
      </c>
      <c r="E906" s="120" t="s">
        <v>251</v>
      </c>
      <c r="F906" s="120" t="s">
        <v>251</v>
      </c>
      <c r="G906" s="120" t="s">
        <v>251</v>
      </c>
      <c r="H906" s="120" t="s">
        <v>251</v>
      </c>
      <c r="I906" s="120" t="s">
        <v>251</v>
      </c>
      <c r="J906" s="120" t="s">
        <v>251</v>
      </c>
      <c r="K906" s="120" t="s">
        <v>251</v>
      </c>
      <c r="L906" s="120" t="s">
        <v>251</v>
      </c>
      <c r="M906" s="120" t="s">
        <v>251</v>
      </c>
      <c r="N906" s="120" t="s">
        <v>251</v>
      </c>
      <c r="O906" s="120" t="s">
        <v>251</v>
      </c>
      <c r="P906" s="120" t="s">
        <v>251</v>
      </c>
      <c r="Q906" s="120" t="s">
        <v>251</v>
      </c>
      <c r="R906" s="120"/>
      <c r="S906" s="121"/>
    </row>
    <row r="907" spans="1:19" ht="15">
      <c r="A907" s="105">
        <v>29</v>
      </c>
      <c r="B907" s="105"/>
      <c r="C907" s="107" t="s">
        <v>917</v>
      </c>
      <c r="D907" s="107" t="s">
        <v>251</v>
      </c>
      <c r="E907" s="120">
        <v>178867174</v>
      </c>
      <c r="F907" s="120" t="s">
        <v>251</v>
      </c>
      <c r="G907" s="120">
        <v>168255995.62512711</v>
      </c>
      <c r="H907" s="120" t="s">
        <v>251</v>
      </c>
      <c r="I907" s="120">
        <v>8468966.3726164941</v>
      </c>
      <c r="J907" s="120">
        <v>2142212.0022563972</v>
      </c>
      <c r="K907" s="120" t="s">
        <v>251</v>
      </c>
      <c r="L907" s="120" t="s">
        <v>251</v>
      </c>
      <c r="M907" s="120">
        <v>12052.40142442933</v>
      </c>
      <c r="N907" s="120" t="s">
        <v>251</v>
      </c>
      <c r="O907" s="120">
        <v>2130159.6008319678</v>
      </c>
      <c r="P907" s="120">
        <v>1110408.9828937554</v>
      </c>
      <c r="Q907" s="120">
        <v>1019750.6179382126</v>
      </c>
      <c r="R907" s="120"/>
      <c r="S907" s="121"/>
    </row>
    <row r="908" spans="1:19" ht="15">
      <c r="A908" s="105" t="s">
        <v>251</v>
      </c>
      <c r="B908" s="105"/>
      <c r="C908" s="107" t="s">
        <v>251</v>
      </c>
      <c r="D908" s="107" t="s">
        <v>251</v>
      </c>
      <c r="E908" s="120" t="s">
        <v>251</v>
      </c>
      <c r="F908" s="120" t="s">
        <v>251</v>
      </c>
      <c r="G908" s="120" t="s">
        <v>251</v>
      </c>
      <c r="H908" s="120" t="s">
        <v>251</v>
      </c>
      <c r="I908" s="120" t="s">
        <v>251</v>
      </c>
      <c r="J908" s="120" t="s">
        <v>251</v>
      </c>
      <c r="K908" s="120" t="s">
        <v>251</v>
      </c>
      <c r="L908" s="120" t="s">
        <v>251</v>
      </c>
      <c r="M908" s="120" t="s">
        <v>251</v>
      </c>
      <c r="N908" s="120" t="s">
        <v>251</v>
      </c>
      <c r="O908" s="120" t="s">
        <v>251</v>
      </c>
      <c r="P908" s="120" t="s">
        <v>251</v>
      </c>
      <c r="Q908" s="120" t="s">
        <v>251</v>
      </c>
      <c r="R908" s="120"/>
      <c r="S908" s="121"/>
    </row>
    <row r="909" spans="1:19" ht="15">
      <c r="A909" s="105" t="s">
        <v>251</v>
      </c>
      <c r="B909" s="105"/>
      <c r="C909" s="107" t="s">
        <v>918</v>
      </c>
      <c r="D909" s="107" t="s">
        <v>251</v>
      </c>
      <c r="E909" s="120" t="s">
        <v>251</v>
      </c>
      <c r="F909" s="120" t="s">
        <v>251</v>
      </c>
      <c r="G909" s="120" t="s">
        <v>251</v>
      </c>
      <c r="H909" s="120" t="s">
        <v>251</v>
      </c>
      <c r="I909" s="120" t="s">
        <v>251</v>
      </c>
      <c r="J909" s="120" t="s">
        <v>251</v>
      </c>
      <c r="K909" s="120" t="s">
        <v>251</v>
      </c>
      <c r="L909" s="120" t="s">
        <v>251</v>
      </c>
      <c r="M909" s="120" t="s">
        <v>251</v>
      </c>
      <c r="N909" s="120" t="s">
        <v>251</v>
      </c>
      <c r="O909" s="120" t="s">
        <v>251</v>
      </c>
      <c r="P909" s="120" t="s">
        <v>251</v>
      </c>
      <c r="Q909" s="120" t="s">
        <v>251</v>
      </c>
      <c r="R909" s="120"/>
      <c r="S909" s="121"/>
    </row>
    <row r="910" spans="1:19" ht="15">
      <c r="A910" s="105" t="s">
        <v>251</v>
      </c>
      <c r="B910" s="105"/>
      <c r="C910" s="107" t="s">
        <v>251</v>
      </c>
      <c r="D910" s="107" t="s">
        <v>251</v>
      </c>
      <c r="E910" s="107" t="s">
        <v>251</v>
      </c>
      <c r="F910" s="107" t="s">
        <v>251</v>
      </c>
      <c r="G910" s="107" t="s">
        <v>251</v>
      </c>
      <c r="H910" s="107" t="s">
        <v>251</v>
      </c>
      <c r="I910" s="107" t="s">
        <v>251</v>
      </c>
      <c r="J910" s="107" t="s">
        <v>251</v>
      </c>
      <c r="K910" s="107" t="s">
        <v>251</v>
      </c>
      <c r="L910" s="107" t="s">
        <v>251</v>
      </c>
      <c r="M910" s="107" t="s">
        <v>251</v>
      </c>
      <c r="N910" s="107" t="s">
        <v>251</v>
      </c>
      <c r="O910" s="107" t="s">
        <v>251</v>
      </c>
      <c r="P910" s="107" t="s">
        <v>251</v>
      </c>
      <c r="Q910" s="107" t="s">
        <v>251</v>
      </c>
      <c r="R910" s="120"/>
      <c r="S910" s="121"/>
    </row>
    <row r="911" spans="1:19" ht="15">
      <c r="A911" s="105" t="s">
        <v>251</v>
      </c>
      <c r="B911" s="105"/>
      <c r="C911" s="107" t="s">
        <v>919</v>
      </c>
      <c r="D911" s="107" t="s">
        <v>251</v>
      </c>
      <c r="E911" s="107" t="s">
        <v>251</v>
      </c>
      <c r="F911" s="107" t="s">
        <v>251</v>
      </c>
      <c r="G911" s="107" t="s">
        <v>251</v>
      </c>
      <c r="H911" s="107" t="s">
        <v>251</v>
      </c>
      <c r="I911" s="107" t="s">
        <v>251</v>
      </c>
      <c r="J911" s="107" t="s">
        <v>251</v>
      </c>
      <c r="K911" s="107" t="s">
        <v>251</v>
      </c>
      <c r="L911" s="107" t="s">
        <v>251</v>
      </c>
      <c r="M911" s="107" t="s">
        <v>251</v>
      </c>
      <c r="N911" s="107" t="s">
        <v>251</v>
      </c>
      <c r="O911" s="107" t="s">
        <v>251</v>
      </c>
      <c r="P911" s="107" t="s">
        <v>251</v>
      </c>
      <c r="Q911" s="107" t="s">
        <v>251</v>
      </c>
      <c r="R911" s="120"/>
      <c r="S911" s="121"/>
    </row>
    <row r="912" spans="1:19" ht="15">
      <c r="A912" s="105" t="s">
        <v>251</v>
      </c>
      <c r="B912" s="105"/>
      <c r="C912" s="107" t="s">
        <v>920</v>
      </c>
      <c r="D912" s="107" t="s">
        <v>251</v>
      </c>
      <c r="E912" s="107" t="s">
        <v>251</v>
      </c>
      <c r="F912" s="107" t="s">
        <v>251</v>
      </c>
      <c r="G912" s="107" t="s">
        <v>251</v>
      </c>
      <c r="H912" s="107" t="s">
        <v>251</v>
      </c>
      <c r="I912" s="107" t="s">
        <v>251</v>
      </c>
      <c r="J912" s="107" t="s">
        <v>251</v>
      </c>
      <c r="K912" s="107" t="s">
        <v>251</v>
      </c>
      <c r="L912" s="107" t="s">
        <v>251</v>
      </c>
      <c r="M912" s="107" t="s">
        <v>251</v>
      </c>
      <c r="N912" s="107" t="s">
        <v>251</v>
      </c>
      <c r="O912" s="107" t="s">
        <v>251</v>
      </c>
      <c r="P912" s="107" t="s">
        <v>251</v>
      </c>
      <c r="Q912" s="107" t="s">
        <v>251</v>
      </c>
      <c r="R912" s="120"/>
      <c r="S912" s="121"/>
    </row>
    <row r="913" spans="1:19" ht="15">
      <c r="A913" s="105" t="s">
        <v>251</v>
      </c>
      <c r="B913" s="105"/>
      <c r="C913" s="107" t="s">
        <v>921</v>
      </c>
      <c r="D913" s="107" t="s">
        <v>251</v>
      </c>
      <c r="E913" s="107" t="s">
        <v>251</v>
      </c>
      <c r="F913" s="107" t="s">
        <v>251</v>
      </c>
      <c r="G913" s="107" t="s">
        <v>251</v>
      </c>
      <c r="H913" s="107" t="s">
        <v>251</v>
      </c>
      <c r="I913" s="107" t="s">
        <v>251</v>
      </c>
      <c r="J913" s="107" t="s">
        <v>251</v>
      </c>
      <c r="K913" s="107" t="s">
        <v>251</v>
      </c>
      <c r="L913" s="107" t="s">
        <v>251</v>
      </c>
      <c r="M913" s="107" t="s">
        <v>251</v>
      </c>
      <c r="N913" s="107" t="s">
        <v>251</v>
      </c>
      <c r="O913" s="107" t="s">
        <v>251</v>
      </c>
      <c r="P913" s="107" t="s">
        <v>251</v>
      </c>
      <c r="Q913" s="107" t="s">
        <v>251</v>
      </c>
      <c r="R913" s="120"/>
      <c r="S913" s="121"/>
    </row>
    <row r="914" spans="1:19" ht="15">
      <c r="A914" s="105">
        <v>1</v>
      </c>
      <c r="B914" s="105"/>
      <c r="C914" s="107" t="s">
        <v>922</v>
      </c>
      <c r="D914" s="107" t="s">
        <v>304</v>
      </c>
      <c r="E914" s="120">
        <v>3323391</v>
      </c>
      <c r="F914" s="120" t="s">
        <v>251</v>
      </c>
      <c r="G914" s="120">
        <v>3115400</v>
      </c>
      <c r="H914" s="120" t="s">
        <v>251</v>
      </c>
      <c r="I914" s="120">
        <v>142658</v>
      </c>
      <c r="J914" s="120">
        <v>65333</v>
      </c>
      <c r="K914" s="120" t="s">
        <v>251</v>
      </c>
      <c r="L914" s="120" t="s">
        <v>251</v>
      </c>
      <c r="M914" s="120">
        <v>10</v>
      </c>
      <c r="N914" s="120" t="s">
        <v>251</v>
      </c>
      <c r="O914" s="120">
        <v>65323</v>
      </c>
      <c r="P914" s="120">
        <v>33130</v>
      </c>
      <c r="Q914" s="120">
        <v>32193</v>
      </c>
      <c r="R914" s="120"/>
      <c r="S914" s="121"/>
    </row>
    <row r="915" spans="1:19" ht="15">
      <c r="A915" s="105">
        <v>2</v>
      </c>
      <c r="B915" s="105"/>
      <c r="C915" s="107" t="s">
        <v>923</v>
      </c>
      <c r="D915" s="107" t="s">
        <v>312</v>
      </c>
      <c r="E915" s="120">
        <v>438000</v>
      </c>
      <c r="F915" s="120" t="s">
        <v>251</v>
      </c>
      <c r="G915" s="120">
        <v>230019</v>
      </c>
      <c r="H915" s="120" t="s">
        <v>251</v>
      </c>
      <c r="I915" s="120">
        <v>142658</v>
      </c>
      <c r="J915" s="120">
        <v>65323</v>
      </c>
      <c r="K915" s="120" t="s">
        <v>251</v>
      </c>
      <c r="L915" s="120" t="s">
        <v>251</v>
      </c>
      <c r="M915" s="120">
        <v>0</v>
      </c>
      <c r="N915" s="120" t="s">
        <v>251</v>
      </c>
      <c r="O915" s="120">
        <v>65323</v>
      </c>
      <c r="P915" s="120">
        <v>33130</v>
      </c>
      <c r="Q915" s="120">
        <v>32193</v>
      </c>
      <c r="R915" s="120"/>
      <c r="S915" s="121"/>
    </row>
    <row r="916" spans="1:19" ht="15">
      <c r="A916" s="105">
        <v>3</v>
      </c>
      <c r="B916" s="105"/>
      <c r="C916" s="107" t="s">
        <v>924</v>
      </c>
      <c r="D916" s="107" t="s">
        <v>398</v>
      </c>
      <c r="E916" s="120">
        <v>142658</v>
      </c>
      <c r="F916" s="120" t="s">
        <v>251</v>
      </c>
      <c r="G916" s="120">
        <v>0</v>
      </c>
      <c r="H916" s="120" t="s">
        <v>251</v>
      </c>
      <c r="I916" s="120">
        <v>142658</v>
      </c>
      <c r="J916" s="120">
        <v>0</v>
      </c>
      <c r="K916" s="120" t="s">
        <v>251</v>
      </c>
      <c r="L916" s="120" t="s">
        <v>251</v>
      </c>
      <c r="M916" s="120">
        <v>0</v>
      </c>
      <c r="N916" s="120" t="s">
        <v>251</v>
      </c>
      <c r="O916" s="120">
        <v>0</v>
      </c>
      <c r="P916" s="120">
        <v>0</v>
      </c>
      <c r="Q916" s="120">
        <v>0</v>
      </c>
      <c r="R916" s="120"/>
      <c r="S916" s="121"/>
    </row>
    <row r="917" spans="1:19" ht="15">
      <c r="A917" s="105">
        <v>4</v>
      </c>
      <c r="B917" s="105"/>
      <c r="C917" s="107" t="s">
        <v>925</v>
      </c>
      <c r="D917" s="107" t="s">
        <v>376</v>
      </c>
      <c r="E917" s="120">
        <v>3180723</v>
      </c>
      <c r="F917" s="120" t="s">
        <v>251</v>
      </c>
      <c r="G917" s="120">
        <v>3115400</v>
      </c>
      <c r="H917" s="120" t="s">
        <v>251</v>
      </c>
      <c r="I917" s="120">
        <v>0</v>
      </c>
      <c r="J917" s="120">
        <v>65323</v>
      </c>
      <c r="K917" s="120" t="s">
        <v>251</v>
      </c>
      <c r="L917" s="120" t="s">
        <v>251</v>
      </c>
      <c r="M917" s="120">
        <v>0</v>
      </c>
      <c r="N917" s="120" t="s">
        <v>251</v>
      </c>
      <c r="O917" s="120">
        <v>65323</v>
      </c>
      <c r="P917" s="120">
        <v>33130</v>
      </c>
      <c r="Q917" s="120">
        <v>32193</v>
      </c>
      <c r="R917" s="120"/>
      <c r="S917" s="121"/>
    </row>
    <row r="918" spans="1:19" ht="15">
      <c r="A918" s="105">
        <v>5</v>
      </c>
      <c r="B918" s="105"/>
      <c r="C918" s="107" t="s">
        <v>926</v>
      </c>
      <c r="D918" s="107" t="s">
        <v>314</v>
      </c>
      <c r="E918" s="120">
        <v>295342</v>
      </c>
      <c r="F918" s="120" t="s">
        <v>251</v>
      </c>
      <c r="G918" s="120">
        <v>230019</v>
      </c>
      <c r="H918" s="120" t="s">
        <v>251</v>
      </c>
      <c r="I918" s="120">
        <v>0</v>
      </c>
      <c r="J918" s="120">
        <v>65323</v>
      </c>
      <c r="K918" s="120" t="s">
        <v>251</v>
      </c>
      <c r="L918" s="120" t="s">
        <v>251</v>
      </c>
      <c r="M918" s="120">
        <v>0</v>
      </c>
      <c r="N918" s="120" t="s">
        <v>251</v>
      </c>
      <c r="O918" s="120">
        <v>65323</v>
      </c>
      <c r="P918" s="120">
        <v>33130</v>
      </c>
      <c r="Q918" s="120">
        <v>32193</v>
      </c>
      <c r="R918" s="120"/>
      <c r="S918" s="121"/>
    </row>
    <row r="919" spans="1:19" ht="15">
      <c r="A919" s="105">
        <v>6</v>
      </c>
      <c r="B919" s="105"/>
      <c r="C919" s="107" t="s">
        <v>927</v>
      </c>
      <c r="D919" s="107" t="s">
        <v>928</v>
      </c>
      <c r="E919" s="120">
        <v>3180733</v>
      </c>
      <c r="F919" s="120" t="s">
        <v>251</v>
      </c>
      <c r="G919" s="120">
        <v>3115400</v>
      </c>
      <c r="H919" s="120" t="s">
        <v>251</v>
      </c>
      <c r="I919" s="120">
        <v>0</v>
      </c>
      <c r="J919" s="120">
        <v>65333</v>
      </c>
      <c r="K919" s="120" t="s">
        <v>251</v>
      </c>
      <c r="L919" s="120" t="s">
        <v>251</v>
      </c>
      <c r="M919" s="120">
        <v>10</v>
      </c>
      <c r="N919" s="120" t="s">
        <v>251</v>
      </c>
      <c r="O919" s="120">
        <v>65323</v>
      </c>
      <c r="P919" s="120">
        <v>33130</v>
      </c>
      <c r="Q919" s="120">
        <v>32193</v>
      </c>
      <c r="R919" s="120"/>
      <c r="S919" s="121"/>
    </row>
    <row r="920" spans="1:19" ht="15">
      <c r="A920" s="105" t="s">
        <v>251</v>
      </c>
      <c r="B920" s="105"/>
      <c r="C920" s="107" t="s">
        <v>929</v>
      </c>
      <c r="D920" s="107" t="s">
        <v>251</v>
      </c>
      <c r="E920" s="120" t="s">
        <v>251</v>
      </c>
      <c r="F920" s="120" t="s">
        <v>251</v>
      </c>
      <c r="G920" s="120" t="s">
        <v>251</v>
      </c>
      <c r="H920" s="120" t="s">
        <v>251</v>
      </c>
      <c r="I920" s="120" t="s">
        <v>251</v>
      </c>
      <c r="J920" s="120" t="s">
        <v>251</v>
      </c>
      <c r="K920" s="120" t="s">
        <v>251</v>
      </c>
      <c r="L920" s="120" t="s">
        <v>251</v>
      </c>
      <c r="M920" s="120" t="s">
        <v>251</v>
      </c>
      <c r="N920" s="120" t="s">
        <v>251</v>
      </c>
      <c r="O920" s="120" t="s">
        <v>251</v>
      </c>
      <c r="P920" s="120" t="s">
        <v>251</v>
      </c>
      <c r="Q920" s="120" t="s">
        <v>251</v>
      </c>
      <c r="R920" s="120"/>
      <c r="S920" s="121"/>
    </row>
    <row r="921" spans="1:19" ht="15">
      <c r="A921" s="105">
        <v>7</v>
      </c>
      <c r="B921" s="105"/>
      <c r="C921" s="107" t="s">
        <v>930</v>
      </c>
      <c r="D921" s="107" t="s">
        <v>572</v>
      </c>
      <c r="E921" s="120">
        <v>3323391</v>
      </c>
      <c r="F921" s="120" t="s">
        <v>251</v>
      </c>
      <c r="G921" s="120">
        <v>3115400</v>
      </c>
      <c r="H921" s="120" t="s">
        <v>251</v>
      </c>
      <c r="I921" s="120">
        <v>142658</v>
      </c>
      <c r="J921" s="120">
        <v>65333</v>
      </c>
      <c r="K921" s="120" t="s">
        <v>251</v>
      </c>
      <c r="L921" s="120" t="s">
        <v>251</v>
      </c>
      <c r="M921" s="120">
        <v>10</v>
      </c>
      <c r="N921" s="120" t="s">
        <v>251</v>
      </c>
      <c r="O921" s="120">
        <v>65323</v>
      </c>
      <c r="P921" s="120">
        <v>33130</v>
      </c>
      <c r="Q921" s="120">
        <v>32193</v>
      </c>
      <c r="R921" s="120"/>
      <c r="S921" s="121"/>
    </row>
    <row r="922" spans="1:19" ht="15">
      <c r="A922" s="105">
        <v>8</v>
      </c>
      <c r="B922" s="105"/>
      <c r="C922" s="107" t="s">
        <v>931</v>
      </c>
      <c r="D922" s="107" t="s">
        <v>352</v>
      </c>
      <c r="E922" s="120">
        <v>142658</v>
      </c>
      <c r="F922" s="120" t="s">
        <v>251</v>
      </c>
      <c r="G922" s="120">
        <v>0</v>
      </c>
      <c r="H922" s="120" t="s">
        <v>251</v>
      </c>
      <c r="I922" s="120">
        <v>142658</v>
      </c>
      <c r="J922" s="120">
        <v>0</v>
      </c>
      <c r="K922" s="120" t="s">
        <v>251</v>
      </c>
      <c r="L922" s="120" t="s">
        <v>251</v>
      </c>
      <c r="M922" s="120">
        <v>0</v>
      </c>
      <c r="N922" s="120" t="s">
        <v>251</v>
      </c>
      <c r="O922" s="120">
        <v>0</v>
      </c>
      <c r="P922" s="120">
        <v>0</v>
      </c>
      <c r="Q922" s="120">
        <v>0</v>
      </c>
      <c r="R922" s="120"/>
      <c r="S922" s="121"/>
    </row>
    <row r="923" spans="1:19" ht="15">
      <c r="A923" s="105">
        <v>9</v>
      </c>
      <c r="B923" s="105"/>
      <c r="C923" s="107" t="s">
        <v>932</v>
      </c>
      <c r="D923" s="107" t="s">
        <v>341</v>
      </c>
      <c r="E923" s="120">
        <v>3258068</v>
      </c>
      <c r="F923" s="120" t="s">
        <v>251</v>
      </c>
      <c r="G923" s="120">
        <v>3115400</v>
      </c>
      <c r="H923" s="120" t="s">
        <v>251</v>
      </c>
      <c r="I923" s="120">
        <v>142658</v>
      </c>
      <c r="J923" s="120">
        <v>10</v>
      </c>
      <c r="K923" s="120" t="s">
        <v>251</v>
      </c>
      <c r="L923" s="120" t="s">
        <v>251</v>
      </c>
      <c r="M923" s="120">
        <v>10</v>
      </c>
      <c r="N923" s="120" t="s">
        <v>251</v>
      </c>
      <c r="O923" s="120">
        <v>0</v>
      </c>
      <c r="P923" s="120">
        <v>0</v>
      </c>
      <c r="Q923" s="120">
        <v>0</v>
      </c>
      <c r="R923" s="120"/>
      <c r="S923" s="121"/>
    </row>
    <row r="924" spans="1:19" ht="15">
      <c r="A924" s="105">
        <v>10</v>
      </c>
      <c r="B924" s="105"/>
      <c r="C924" s="107" t="s">
        <v>933</v>
      </c>
      <c r="D924" s="107" t="s">
        <v>934</v>
      </c>
      <c r="E924" s="120">
        <v>207981</v>
      </c>
      <c r="F924" s="120" t="s">
        <v>251</v>
      </c>
      <c r="G924" s="120">
        <v>0</v>
      </c>
      <c r="H924" s="120" t="s">
        <v>251</v>
      </c>
      <c r="I924" s="120">
        <v>142658</v>
      </c>
      <c r="J924" s="120">
        <v>65323</v>
      </c>
      <c r="K924" s="120" t="s">
        <v>251</v>
      </c>
      <c r="L924" s="120" t="s">
        <v>251</v>
      </c>
      <c r="M924" s="120">
        <v>0</v>
      </c>
      <c r="N924" s="120" t="s">
        <v>251</v>
      </c>
      <c r="O924" s="120">
        <v>65323</v>
      </c>
      <c r="P924" s="120">
        <v>33130</v>
      </c>
      <c r="Q924" s="120">
        <v>32193</v>
      </c>
      <c r="R924" s="120"/>
      <c r="S924" s="121"/>
    </row>
    <row r="925" spans="1:19" ht="15">
      <c r="A925" s="105">
        <v>11</v>
      </c>
      <c r="B925" s="105"/>
      <c r="C925" s="107" t="s">
        <v>935</v>
      </c>
      <c r="D925" s="107" t="s">
        <v>355</v>
      </c>
      <c r="E925" s="120">
        <v>3115410</v>
      </c>
      <c r="F925" s="120" t="s">
        <v>251</v>
      </c>
      <c r="G925" s="120">
        <v>3115400</v>
      </c>
      <c r="H925" s="120" t="s">
        <v>251</v>
      </c>
      <c r="I925" s="120">
        <v>0</v>
      </c>
      <c r="J925" s="120">
        <v>10</v>
      </c>
      <c r="K925" s="120" t="s">
        <v>251</v>
      </c>
      <c r="L925" s="120" t="s">
        <v>251</v>
      </c>
      <c r="M925" s="120">
        <v>10</v>
      </c>
      <c r="N925" s="120" t="s">
        <v>251</v>
      </c>
      <c r="O925" s="120">
        <v>0</v>
      </c>
      <c r="P925" s="120">
        <v>0</v>
      </c>
      <c r="Q925" s="120">
        <v>0</v>
      </c>
      <c r="R925" s="120"/>
      <c r="S925" s="121"/>
    </row>
    <row r="926" spans="1:19" ht="15">
      <c r="A926" s="105" t="s">
        <v>251</v>
      </c>
      <c r="B926" s="105"/>
      <c r="C926" s="107" t="s">
        <v>251</v>
      </c>
      <c r="D926" s="107" t="s">
        <v>251</v>
      </c>
      <c r="E926" s="120" t="s">
        <v>251</v>
      </c>
      <c r="F926" s="120" t="s">
        <v>251</v>
      </c>
      <c r="G926" s="120" t="s">
        <v>251</v>
      </c>
      <c r="H926" s="120" t="s">
        <v>251</v>
      </c>
      <c r="I926" s="120" t="s">
        <v>251</v>
      </c>
      <c r="J926" s="120" t="s">
        <v>251</v>
      </c>
      <c r="K926" s="120" t="s">
        <v>251</v>
      </c>
      <c r="L926" s="120" t="s">
        <v>251</v>
      </c>
      <c r="M926" s="120" t="s">
        <v>251</v>
      </c>
      <c r="N926" s="120" t="s">
        <v>251</v>
      </c>
      <c r="O926" s="120" t="s">
        <v>251</v>
      </c>
      <c r="P926" s="120" t="s">
        <v>251</v>
      </c>
      <c r="Q926" s="120" t="s">
        <v>251</v>
      </c>
      <c r="R926" s="120"/>
      <c r="S926" s="121"/>
    </row>
    <row r="927" spans="1:19" ht="15">
      <c r="A927" s="105" t="s">
        <v>251</v>
      </c>
      <c r="B927" s="105"/>
      <c r="C927" s="107" t="s">
        <v>936</v>
      </c>
      <c r="D927" s="107" t="s">
        <v>251</v>
      </c>
      <c r="E927" s="120" t="s">
        <v>251</v>
      </c>
      <c r="F927" s="120" t="s">
        <v>251</v>
      </c>
      <c r="G927" s="120" t="s">
        <v>251</v>
      </c>
      <c r="H927" s="120" t="s">
        <v>251</v>
      </c>
      <c r="I927" s="120" t="s">
        <v>251</v>
      </c>
      <c r="J927" s="120" t="s">
        <v>251</v>
      </c>
      <c r="K927" s="120" t="s">
        <v>251</v>
      </c>
      <c r="L927" s="120" t="s">
        <v>251</v>
      </c>
      <c r="M927" s="120" t="s">
        <v>251</v>
      </c>
      <c r="N927" s="120" t="s">
        <v>251</v>
      </c>
      <c r="O927" s="120" t="s">
        <v>251</v>
      </c>
      <c r="P927" s="120" t="s">
        <v>251</v>
      </c>
      <c r="Q927" s="120" t="s">
        <v>251</v>
      </c>
      <c r="R927" s="120"/>
      <c r="S927" s="121"/>
    </row>
    <row r="928" spans="1:19" ht="15">
      <c r="A928" s="105">
        <v>12</v>
      </c>
      <c r="B928" s="105"/>
      <c r="C928" s="107" t="s">
        <v>937</v>
      </c>
      <c r="D928" s="107" t="s">
        <v>361</v>
      </c>
      <c r="E928" s="120">
        <v>9234551.6162830666</v>
      </c>
      <c r="F928" s="120" t="s">
        <v>251</v>
      </c>
      <c r="G928" s="120">
        <v>9225394.6162830666</v>
      </c>
      <c r="H928" s="120" t="s">
        <v>251</v>
      </c>
      <c r="I928" s="120">
        <v>0</v>
      </c>
      <c r="J928" s="120">
        <v>9157</v>
      </c>
      <c r="K928" s="120" t="s">
        <v>251</v>
      </c>
      <c r="L928" s="120" t="s">
        <v>251</v>
      </c>
      <c r="M928" s="120">
        <v>0</v>
      </c>
      <c r="N928" s="120" t="s">
        <v>251</v>
      </c>
      <c r="O928" s="120">
        <v>9157</v>
      </c>
      <c r="P928" s="120">
        <v>9157</v>
      </c>
      <c r="Q928" s="120">
        <v>0</v>
      </c>
      <c r="R928" s="120"/>
      <c r="S928" s="121"/>
    </row>
    <row r="929" spans="1:19" ht="15">
      <c r="A929" s="105">
        <v>13</v>
      </c>
      <c r="B929" s="105"/>
      <c r="C929" s="107" t="s">
        <v>938</v>
      </c>
      <c r="D929" s="107" t="s">
        <v>363</v>
      </c>
      <c r="E929" s="120">
        <v>27775081.824258152</v>
      </c>
      <c r="F929" s="120" t="s">
        <v>251</v>
      </c>
      <c r="G929" s="120">
        <v>27419669.824258152</v>
      </c>
      <c r="H929" s="120" t="s">
        <v>251</v>
      </c>
      <c r="I929" s="120">
        <v>0</v>
      </c>
      <c r="J929" s="120">
        <v>355412</v>
      </c>
      <c r="K929" s="120" t="s">
        <v>251</v>
      </c>
      <c r="L929" s="120" t="s">
        <v>251</v>
      </c>
      <c r="M929" s="120">
        <v>0</v>
      </c>
      <c r="N929" s="120" t="s">
        <v>251</v>
      </c>
      <c r="O929" s="120">
        <v>355412</v>
      </c>
      <c r="P929" s="120">
        <v>355412</v>
      </c>
      <c r="Q929" s="120">
        <v>0</v>
      </c>
      <c r="R929" s="120"/>
      <c r="S929" s="121"/>
    </row>
    <row r="930" spans="1:19" ht="15">
      <c r="A930" s="105">
        <v>14</v>
      </c>
      <c r="B930" s="105"/>
      <c r="C930" s="107" t="s">
        <v>939</v>
      </c>
      <c r="D930" s="107" t="s">
        <v>365</v>
      </c>
      <c r="E930" s="120">
        <v>245177243.60645169</v>
      </c>
      <c r="F930" s="120" t="s">
        <v>251</v>
      </c>
      <c r="G930" s="120">
        <v>241924160.60645169</v>
      </c>
      <c r="H930" s="120" t="s">
        <v>251</v>
      </c>
      <c r="I930" s="120">
        <v>0</v>
      </c>
      <c r="J930" s="120">
        <v>3253083</v>
      </c>
      <c r="K930" s="120" t="s">
        <v>251</v>
      </c>
      <c r="L930" s="120" t="s">
        <v>251</v>
      </c>
      <c r="M930" s="120">
        <v>0</v>
      </c>
      <c r="N930" s="120" t="s">
        <v>251</v>
      </c>
      <c r="O930" s="120">
        <v>3253083</v>
      </c>
      <c r="P930" s="120">
        <v>3253083</v>
      </c>
      <c r="Q930" s="120">
        <v>0</v>
      </c>
      <c r="R930" s="120"/>
      <c r="S930" s="121"/>
    </row>
    <row r="931" spans="1:19" ht="15">
      <c r="A931" s="105">
        <v>15</v>
      </c>
      <c r="B931" s="105"/>
      <c r="C931" s="107" t="s">
        <v>940</v>
      </c>
      <c r="D931" s="107" t="s">
        <v>367</v>
      </c>
      <c r="E931" s="120">
        <v>397421920.71178764</v>
      </c>
      <c r="F931" s="120" t="s">
        <v>251</v>
      </c>
      <c r="G931" s="120">
        <v>397421920.71178764</v>
      </c>
      <c r="H931" s="120" t="s">
        <v>251</v>
      </c>
      <c r="I931" s="120">
        <v>0</v>
      </c>
      <c r="J931" s="120">
        <v>0</v>
      </c>
      <c r="K931" s="120" t="s">
        <v>251</v>
      </c>
      <c r="L931" s="120" t="s">
        <v>251</v>
      </c>
      <c r="M931" s="120">
        <v>0</v>
      </c>
      <c r="N931" s="120" t="s">
        <v>251</v>
      </c>
      <c r="O931" s="120">
        <v>0</v>
      </c>
      <c r="P931" s="120">
        <v>0</v>
      </c>
      <c r="Q931" s="120">
        <v>0</v>
      </c>
      <c r="R931" s="120"/>
      <c r="S931" s="121"/>
    </row>
    <row r="932" spans="1:19" ht="15">
      <c r="A932" s="105">
        <v>16</v>
      </c>
      <c r="B932" s="105"/>
      <c r="C932" s="107" t="s">
        <v>941</v>
      </c>
      <c r="D932" s="107" t="s">
        <v>369</v>
      </c>
      <c r="E932" s="120">
        <v>398758262.97508228</v>
      </c>
      <c r="F932" s="120" t="s">
        <v>251</v>
      </c>
      <c r="G932" s="120">
        <v>398758262.97508228</v>
      </c>
      <c r="H932" s="120" t="s">
        <v>251</v>
      </c>
      <c r="I932" s="120">
        <v>0</v>
      </c>
      <c r="J932" s="120">
        <v>0</v>
      </c>
      <c r="K932" s="120" t="s">
        <v>251</v>
      </c>
      <c r="L932" s="120" t="s">
        <v>251</v>
      </c>
      <c r="M932" s="120">
        <v>0</v>
      </c>
      <c r="N932" s="120" t="s">
        <v>251</v>
      </c>
      <c r="O932" s="120">
        <v>0</v>
      </c>
      <c r="P932" s="120">
        <v>0</v>
      </c>
      <c r="Q932" s="120">
        <v>0</v>
      </c>
      <c r="R932" s="120"/>
      <c r="S932" s="121"/>
    </row>
    <row r="933" spans="1:19" ht="15">
      <c r="A933" s="105">
        <v>17</v>
      </c>
      <c r="B933" s="105"/>
      <c r="C933" s="107" t="s">
        <v>942</v>
      </c>
      <c r="D933" s="107" t="s">
        <v>371</v>
      </c>
      <c r="E933" s="120">
        <v>2390106.04</v>
      </c>
      <c r="F933" s="120" t="s">
        <v>251</v>
      </c>
      <c r="G933" s="120">
        <v>2390106.04</v>
      </c>
      <c r="H933" s="120" t="s">
        <v>251</v>
      </c>
      <c r="I933" s="120">
        <v>0</v>
      </c>
      <c r="J933" s="120">
        <v>0</v>
      </c>
      <c r="K933" s="120" t="s">
        <v>251</v>
      </c>
      <c r="L933" s="120" t="s">
        <v>251</v>
      </c>
      <c r="M933" s="120">
        <v>0</v>
      </c>
      <c r="N933" s="120" t="s">
        <v>251</v>
      </c>
      <c r="O933" s="120">
        <v>0</v>
      </c>
      <c r="P933" s="120">
        <v>0</v>
      </c>
      <c r="Q933" s="120">
        <v>0</v>
      </c>
      <c r="R933" s="120"/>
      <c r="S933" s="121"/>
    </row>
    <row r="934" spans="1:19" ht="15">
      <c r="A934" s="105">
        <v>18</v>
      </c>
      <c r="B934" s="105"/>
      <c r="C934" s="107" t="s">
        <v>943</v>
      </c>
      <c r="D934" s="107" t="s">
        <v>373</v>
      </c>
      <c r="E934" s="120">
        <v>216528926.38302183</v>
      </c>
      <c r="F934" s="120" t="s">
        <v>251</v>
      </c>
      <c r="G934" s="120">
        <v>216528926.38302183</v>
      </c>
      <c r="H934" s="120" t="s">
        <v>251</v>
      </c>
      <c r="I934" s="120">
        <v>0</v>
      </c>
      <c r="J934" s="120">
        <v>0</v>
      </c>
      <c r="K934" s="120" t="s">
        <v>251</v>
      </c>
      <c r="L934" s="120" t="s">
        <v>251</v>
      </c>
      <c r="M934" s="120">
        <v>0</v>
      </c>
      <c r="N934" s="120" t="s">
        <v>251</v>
      </c>
      <c r="O934" s="120">
        <v>0</v>
      </c>
      <c r="P934" s="120">
        <v>0</v>
      </c>
      <c r="Q934" s="120">
        <v>0</v>
      </c>
      <c r="R934" s="120"/>
      <c r="S934" s="121"/>
    </row>
    <row r="935" spans="1:19" ht="15">
      <c r="A935" s="105">
        <v>19</v>
      </c>
      <c r="B935" s="105"/>
      <c r="C935" s="107" t="s">
        <v>944</v>
      </c>
      <c r="D935" s="107" t="s">
        <v>378</v>
      </c>
      <c r="E935" s="120">
        <v>315437142.80543238</v>
      </c>
      <c r="F935" s="120" t="s">
        <v>251</v>
      </c>
      <c r="G935" s="120">
        <v>315437142.80543238</v>
      </c>
      <c r="H935" s="120" t="s">
        <v>251</v>
      </c>
      <c r="I935" s="120">
        <v>0</v>
      </c>
      <c r="J935" s="120">
        <v>0</v>
      </c>
      <c r="K935" s="120" t="s">
        <v>251</v>
      </c>
      <c r="L935" s="120" t="s">
        <v>251</v>
      </c>
      <c r="M935" s="120">
        <v>0</v>
      </c>
      <c r="N935" s="120" t="s">
        <v>251</v>
      </c>
      <c r="O935" s="120">
        <v>0</v>
      </c>
      <c r="P935" s="120">
        <v>0</v>
      </c>
      <c r="Q935" s="120">
        <v>0</v>
      </c>
      <c r="R935" s="120"/>
      <c r="S935" s="121"/>
    </row>
    <row r="936" spans="1:19" ht="15">
      <c r="A936" s="105">
        <v>20</v>
      </c>
      <c r="B936" s="105"/>
      <c r="C936" s="107" t="s">
        <v>945</v>
      </c>
      <c r="D936" s="107" t="s">
        <v>389</v>
      </c>
      <c r="E936" s="120">
        <v>658287.18999999994</v>
      </c>
      <c r="F936" s="120" t="s">
        <v>251</v>
      </c>
      <c r="G936" s="120">
        <v>658287.18999999994</v>
      </c>
      <c r="H936" s="120" t="s">
        <v>251</v>
      </c>
      <c r="I936" s="120">
        <v>0</v>
      </c>
      <c r="J936" s="120">
        <v>0</v>
      </c>
      <c r="K936" s="120" t="s">
        <v>251</v>
      </c>
      <c r="L936" s="120" t="s">
        <v>251</v>
      </c>
      <c r="M936" s="120">
        <v>0</v>
      </c>
      <c r="N936" s="120" t="s">
        <v>251</v>
      </c>
      <c r="O936" s="120">
        <v>0</v>
      </c>
      <c r="P936" s="120">
        <v>0</v>
      </c>
      <c r="Q936" s="120">
        <v>0</v>
      </c>
      <c r="R936" s="120"/>
      <c r="S936" s="121"/>
    </row>
    <row r="937" spans="1:19" ht="15">
      <c r="A937" s="105">
        <v>21</v>
      </c>
      <c r="B937" s="105"/>
      <c r="C937" s="107" t="s">
        <v>946</v>
      </c>
      <c r="D937" s="107" t="s">
        <v>392</v>
      </c>
      <c r="E937" s="120">
        <v>313284.18999999901</v>
      </c>
      <c r="F937" s="120" t="s">
        <v>251</v>
      </c>
      <c r="G937" s="120">
        <v>0</v>
      </c>
      <c r="H937" s="120" t="s">
        <v>251</v>
      </c>
      <c r="I937" s="120">
        <v>313284.18999999901</v>
      </c>
      <c r="J937" s="120">
        <v>0</v>
      </c>
      <c r="K937" s="120" t="s">
        <v>251</v>
      </c>
      <c r="L937" s="120" t="s">
        <v>251</v>
      </c>
      <c r="M937" s="120">
        <v>0</v>
      </c>
      <c r="N937" s="120" t="s">
        <v>251</v>
      </c>
      <c r="O937" s="120">
        <v>0</v>
      </c>
      <c r="P937" s="120">
        <v>0</v>
      </c>
      <c r="Q937" s="120">
        <v>0</v>
      </c>
      <c r="R937" s="120"/>
      <c r="S937" s="121"/>
    </row>
    <row r="938" spans="1:19" ht="15">
      <c r="A938" s="105">
        <v>22</v>
      </c>
      <c r="B938" s="105"/>
      <c r="C938" s="107" t="s">
        <v>947</v>
      </c>
      <c r="D938" s="107" t="s">
        <v>393</v>
      </c>
      <c r="E938" s="120">
        <v>767594.02317000006</v>
      </c>
      <c r="F938" s="120" t="s">
        <v>251</v>
      </c>
      <c r="G938" s="120">
        <v>0</v>
      </c>
      <c r="H938" s="120" t="s">
        <v>251</v>
      </c>
      <c r="I938" s="120">
        <v>767594.02317000006</v>
      </c>
      <c r="J938" s="120">
        <v>0</v>
      </c>
      <c r="K938" s="120" t="s">
        <v>251</v>
      </c>
      <c r="L938" s="120" t="s">
        <v>251</v>
      </c>
      <c r="M938" s="120">
        <v>0</v>
      </c>
      <c r="N938" s="120" t="s">
        <v>251</v>
      </c>
      <c r="O938" s="120">
        <v>0</v>
      </c>
      <c r="P938" s="120">
        <v>0</v>
      </c>
      <c r="Q938" s="120">
        <v>0</v>
      </c>
      <c r="R938" s="120"/>
      <c r="S938" s="121"/>
    </row>
    <row r="939" spans="1:19" ht="15">
      <c r="A939" s="105">
        <v>23</v>
      </c>
      <c r="B939" s="105"/>
      <c r="C939" s="107" t="s">
        <v>948</v>
      </c>
      <c r="D939" s="107" t="s">
        <v>394</v>
      </c>
      <c r="E939" s="120">
        <v>8513231.9299999978</v>
      </c>
      <c r="F939" s="120" t="s">
        <v>251</v>
      </c>
      <c r="G939" s="120">
        <v>0</v>
      </c>
      <c r="H939" s="120" t="s">
        <v>251</v>
      </c>
      <c r="I939" s="120">
        <v>8513231.9299999978</v>
      </c>
      <c r="J939" s="120">
        <v>0</v>
      </c>
      <c r="K939" s="120" t="s">
        <v>251</v>
      </c>
      <c r="L939" s="120" t="s">
        <v>251</v>
      </c>
      <c r="M939" s="120">
        <v>0</v>
      </c>
      <c r="N939" s="120" t="s">
        <v>251</v>
      </c>
      <c r="O939" s="120">
        <v>0</v>
      </c>
      <c r="P939" s="120">
        <v>0</v>
      </c>
      <c r="Q939" s="120">
        <v>0</v>
      </c>
      <c r="R939" s="120"/>
      <c r="S939" s="121"/>
    </row>
    <row r="940" spans="1:19" ht="15">
      <c r="A940" s="105">
        <v>24</v>
      </c>
      <c r="B940" s="105"/>
      <c r="C940" s="107" t="s">
        <v>2255</v>
      </c>
      <c r="D940" s="107" t="s">
        <v>2233</v>
      </c>
      <c r="E940" s="120">
        <v>1471422.59</v>
      </c>
      <c r="F940" s="120" t="s">
        <v>251</v>
      </c>
      <c r="G940" s="120">
        <v>1147334.75</v>
      </c>
      <c r="H940" s="120" t="s">
        <v>251</v>
      </c>
      <c r="I940" s="120">
        <v>324087.84000000003</v>
      </c>
      <c r="J940" s="120">
        <v>0</v>
      </c>
      <c r="K940" s="120" t="s">
        <v>251</v>
      </c>
      <c r="L940" s="120" t="s">
        <v>251</v>
      </c>
      <c r="M940" s="120">
        <v>0</v>
      </c>
      <c r="N940" s="120" t="s">
        <v>251</v>
      </c>
      <c r="O940" s="120">
        <v>0</v>
      </c>
      <c r="P940" s="120">
        <v>0</v>
      </c>
      <c r="Q940" s="120">
        <v>0</v>
      </c>
      <c r="R940" s="120"/>
      <c r="S940" s="121"/>
    </row>
    <row r="941" spans="1:19" ht="15">
      <c r="A941" s="105">
        <v>25</v>
      </c>
      <c r="B941" s="105"/>
      <c r="C941" s="107" t="s">
        <v>949</v>
      </c>
      <c r="D941" s="107" t="s">
        <v>395</v>
      </c>
      <c r="E941" s="120">
        <v>30706197.138817247</v>
      </c>
      <c r="F941" s="120" t="s">
        <v>251</v>
      </c>
      <c r="G941" s="120">
        <v>0</v>
      </c>
      <c r="H941" s="120" t="s">
        <v>251</v>
      </c>
      <c r="I941" s="120">
        <v>30706197.138817247</v>
      </c>
      <c r="J941" s="120">
        <v>0</v>
      </c>
      <c r="K941" s="120" t="s">
        <v>251</v>
      </c>
      <c r="L941" s="120" t="s">
        <v>251</v>
      </c>
      <c r="M941" s="120">
        <v>0</v>
      </c>
      <c r="N941" s="120" t="s">
        <v>251</v>
      </c>
      <c r="O941" s="120">
        <v>0</v>
      </c>
      <c r="P941" s="120">
        <v>0</v>
      </c>
      <c r="Q941" s="120">
        <v>0</v>
      </c>
      <c r="R941" s="120"/>
      <c r="S941" s="121"/>
    </row>
    <row r="942" spans="1:19" ht="15">
      <c r="A942" s="105">
        <v>26</v>
      </c>
      <c r="B942" s="105"/>
      <c r="C942" s="107" t="s">
        <v>950</v>
      </c>
      <c r="D942" s="107" t="s">
        <v>396</v>
      </c>
      <c r="E942" s="120">
        <v>29286126.704622615</v>
      </c>
      <c r="F942" s="120" t="s">
        <v>251</v>
      </c>
      <c r="G942" s="120">
        <v>0</v>
      </c>
      <c r="H942" s="120" t="s">
        <v>251</v>
      </c>
      <c r="I942" s="120">
        <v>29286126.704622615</v>
      </c>
      <c r="J942" s="120">
        <v>0</v>
      </c>
      <c r="K942" s="120" t="s">
        <v>251</v>
      </c>
      <c r="L942" s="120" t="s">
        <v>251</v>
      </c>
      <c r="M942" s="120">
        <v>0</v>
      </c>
      <c r="N942" s="120" t="s">
        <v>251</v>
      </c>
      <c r="O942" s="120">
        <v>0</v>
      </c>
      <c r="P942" s="120">
        <v>0</v>
      </c>
      <c r="Q942" s="120">
        <v>0</v>
      </c>
      <c r="R942" s="120"/>
      <c r="S942" s="121"/>
    </row>
    <row r="943" spans="1:19" ht="15">
      <c r="A943" s="105">
        <v>27</v>
      </c>
      <c r="B943" s="105"/>
      <c r="C943" s="107" t="s">
        <v>951</v>
      </c>
      <c r="D943" s="107" t="s">
        <v>397</v>
      </c>
      <c r="E943" s="120">
        <v>5120978.2345003467</v>
      </c>
      <c r="F943" s="120" t="s">
        <v>251</v>
      </c>
      <c r="G943" s="120">
        <v>0</v>
      </c>
      <c r="H943" s="120" t="s">
        <v>251</v>
      </c>
      <c r="I943" s="120">
        <v>5120978.2345003467</v>
      </c>
      <c r="J943" s="120">
        <v>0</v>
      </c>
      <c r="K943" s="120" t="s">
        <v>251</v>
      </c>
      <c r="L943" s="120" t="s">
        <v>251</v>
      </c>
      <c r="M943" s="120">
        <v>0</v>
      </c>
      <c r="N943" s="120" t="s">
        <v>251</v>
      </c>
      <c r="O943" s="120">
        <v>0</v>
      </c>
      <c r="P943" s="120">
        <v>0</v>
      </c>
      <c r="Q943" s="120">
        <v>0</v>
      </c>
      <c r="R943" s="120"/>
    </row>
    <row r="944" spans="1:19" ht="15">
      <c r="A944" s="105">
        <v>28</v>
      </c>
      <c r="B944" s="105"/>
      <c r="C944" s="107" t="s">
        <v>952</v>
      </c>
      <c r="D944" s="107" t="s">
        <v>399</v>
      </c>
      <c r="E944" s="120">
        <v>11174524.054247307</v>
      </c>
      <c r="F944" s="120" t="s">
        <v>251</v>
      </c>
      <c r="G944" s="120">
        <v>0</v>
      </c>
      <c r="H944" s="120" t="s">
        <v>251</v>
      </c>
      <c r="I944" s="120">
        <v>11174524.054247307</v>
      </c>
      <c r="J944" s="120">
        <v>0</v>
      </c>
      <c r="K944" s="120" t="s">
        <v>251</v>
      </c>
      <c r="L944" s="120" t="s">
        <v>251</v>
      </c>
      <c r="M944" s="120">
        <v>0</v>
      </c>
      <c r="N944" s="120" t="s">
        <v>251</v>
      </c>
      <c r="O944" s="120">
        <v>0</v>
      </c>
      <c r="P944" s="120">
        <v>0</v>
      </c>
      <c r="Q944" s="120">
        <v>0</v>
      </c>
      <c r="R944" s="120"/>
    </row>
    <row r="945" spans="1:18" ht="15">
      <c r="A945" s="105">
        <v>29</v>
      </c>
      <c r="B945" s="105"/>
      <c r="C945" s="107" t="s">
        <v>953</v>
      </c>
      <c r="D945" s="107" t="s">
        <v>406</v>
      </c>
      <c r="E945" s="120">
        <v>475572.53000000009</v>
      </c>
      <c r="F945" s="120" t="s">
        <v>251</v>
      </c>
      <c r="G945" s="120">
        <v>0</v>
      </c>
      <c r="H945" s="120" t="s">
        <v>251</v>
      </c>
      <c r="I945" s="120">
        <v>0</v>
      </c>
      <c r="J945" s="120">
        <v>475572.53000000009</v>
      </c>
      <c r="K945" s="120" t="s">
        <v>251</v>
      </c>
      <c r="L945" s="120" t="s">
        <v>251</v>
      </c>
      <c r="M945" s="120">
        <v>475572.53000000009</v>
      </c>
      <c r="N945" s="120" t="s">
        <v>251</v>
      </c>
      <c r="O945" s="120">
        <v>0</v>
      </c>
      <c r="P945" s="120">
        <v>0</v>
      </c>
      <c r="Q945" s="120">
        <v>0</v>
      </c>
      <c r="R945" s="120"/>
    </row>
    <row r="946" spans="1:18" ht="15">
      <c r="A946" s="105">
        <v>30</v>
      </c>
      <c r="B946" s="105"/>
      <c r="C946" s="107" t="s">
        <v>954</v>
      </c>
      <c r="D946" s="107" t="s">
        <v>407</v>
      </c>
      <c r="E946" s="120">
        <v>2545.13</v>
      </c>
      <c r="F946" s="120" t="s">
        <v>251</v>
      </c>
      <c r="G946" s="120">
        <v>0</v>
      </c>
      <c r="H946" s="120" t="s">
        <v>251</v>
      </c>
      <c r="I946" s="120">
        <v>0</v>
      </c>
      <c r="J946" s="120">
        <v>2545.13</v>
      </c>
      <c r="K946" s="120" t="s">
        <v>251</v>
      </c>
      <c r="L946" s="120" t="s">
        <v>251</v>
      </c>
      <c r="M946" s="120">
        <v>2545.13</v>
      </c>
      <c r="N946" s="120" t="s">
        <v>251</v>
      </c>
      <c r="O946" s="120">
        <v>0</v>
      </c>
      <c r="P946" s="120">
        <v>0</v>
      </c>
      <c r="Q946" s="120">
        <v>0</v>
      </c>
      <c r="R946" s="120"/>
    </row>
    <row r="947" spans="1:18" ht="15">
      <c r="A947" s="105">
        <v>31</v>
      </c>
      <c r="B947" s="105"/>
      <c r="C947" s="107" t="s">
        <v>955</v>
      </c>
      <c r="D947" s="107" t="s">
        <v>408</v>
      </c>
      <c r="E947" s="120">
        <v>66880.14999999998</v>
      </c>
      <c r="F947" s="120" t="s">
        <v>251</v>
      </c>
      <c r="G947" s="120">
        <v>0</v>
      </c>
      <c r="H947" s="120" t="s">
        <v>251</v>
      </c>
      <c r="I947" s="120">
        <v>0</v>
      </c>
      <c r="J947" s="120">
        <v>66880.14999999998</v>
      </c>
      <c r="K947" s="120" t="s">
        <v>251</v>
      </c>
      <c r="L947" s="120" t="s">
        <v>251</v>
      </c>
      <c r="M947" s="120">
        <v>66880.14999999998</v>
      </c>
      <c r="N947" s="120" t="s">
        <v>251</v>
      </c>
      <c r="O947" s="120">
        <v>0</v>
      </c>
      <c r="P947" s="120">
        <v>0</v>
      </c>
      <c r="Q947" s="120">
        <v>0</v>
      </c>
      <c r="R947" s="120"/>
    </row>
    <row r="948" spans="1:18" ht="15">
      <c r="A948" s="105">
        <v>32</v>
      </c>
      <c r="B948" s="105"/>
      <c r="C948" s="107" t="s">
        <v>956</v>
      </c>
      <c r="D948" s="107" t="s">
        <v>409</v>
      </c>
      <c r="E948" s="120">
        <v>47785.56</v>
      </c>
      <c r="F948" s="120" t="s">
        <v>251</v>
      </c>
      <c r="G948" s="120">
        <v>0</v>
      </c>
      <c r="H948" s="120" t="s">
        <v>251</v>
      </c>
      <c r="I948" s="120">
        <v>0</v>
      </c>
      <c r="J948" s="120">
        <v>47785.56</v>
      </c>
      <c r="K948" s="120" t="s">
        <v>251</v>
      </c>
      <c r="L948" s="120" t="s">
        <v>251</v>
      </c>
      <c r="M948" s="120">
        <v>47785.56</v>
      </c>
      <c r="N948" s="120" t="s">
        <v>251</v>
      </c>
      <c r="O948" s="120">
        <v>0</v>
      </c>
      <c r="P948" s="120">
        <v>0</v>
      </c>
      <c r="Q948" s="120">
        <v>0</v>
      </c>
      <c r="R948" s="120"/>
    </row>
    <row r="949" spans="1:18" ht="15">
      <c r="A949" s="105">
        <v>33</v>
      </c>
      <c r="B949" s="105"/>
      <c r="C949" s="107" t="s">
        <v>957</v>
      </c>
      <c r="D949" s="107" t="s">
        <v>410</v>
      </c>
      <c r="E949" s="120">
        <v>46763.22</v>
      </c>
      <c r="F949" s="120" t="s">
        <v>251</v>
      </c>
      <c r="G949" s="120">
        <v>0</v>
      </c>
      <c r="H949" s="120" t="s">
        <v>251</v>
      </c>
      <c r="I949" s="120">
        <v>0</v>
      </c>
      <c r="J949" s="120">
        <v>46763.22</v>
      </c>
      <c r="K949" s="120" t="s">
        <v>251</v>
      </c>
      <c r="L949" s="120" t="s">
        <v>251</v>
      </c>
      <c r="M949" s="120">
        <v>46763.22</v>
      </c>
      <c r="N949" s="120" t="s">
        <v>251</v>
      </c>
      <c r="O949" s="120">
        <v>0</v>
      </c>
      <c r="P949" s="120">
        <v>0</v>
      </c>
      <c r="Q949" s="120">
        <v>0</v>
      </c>
      <c r="R949" s="120"/>
    </row>
    <row r="950" spans="1:18" ht="15">
      <c r="A950" s="105">
        <v>34</v>
      </c>
      <c r="B950" s="105"/>
      <c r="C950" s="107" t="s">
        <v>958</v>
      </c>
      <c r="D950" s="107" t="s">
        <v>411</v>
      </c>
      <c r="E950" s="120">
        <v>3118.2799999999988</v>
      </c>
      <c r="F950" s="120" t="s">
        <v>251</v>
      </c>
      <c r="G950" s="120">
        <v>0</v>
      </c>
      <c r="H950" s="120" t="s">
        <v>251</v>
      </c>
      <c r="I950" s="120">
        <v>0</v>
      </c>
      <c r="J950" s="120">
        <v>3118.2799999999988</v>
      </c>
      <c r="K950" s="120" t="s">
        <v>251</v>
      </c>
      <c r="L950" s="120" t="s">
        <v>251</v>
      </c>
      <c r="M950" s="120">
        <v>3118.2799999999988</v>
      </c>
      <c r="N950" s="120" t="s">
        <v>251</v>
      </c>
      <c r="O950" s="120">
        <v>0</v>
      </c>
      <c r="P950" s="120">
        <v>0</v>
      </c>
      <c r="Q950" s="120">
        <v>0</v>
      </c>
      <c r="R950" s="120"/>
    </row>
    <row r="951" spans="1:18" ht="15">
      <c r="A951" s="105">
        <v>35</v>
      </c>
      <c r="B951" s="105"/>
      <c r="C951" s="107" t="s">
        <v>959</v>
      </c>
      <c r="D951" s="107" t="s">
        <v>412</v>
      </c>
      <c r="E951" s="120">
        <v>254.62</v>
      </c>
      <c r="F951" s="120" t="s">
        <v>251</v>
      </c>
      <c r="G951" s="120">
        <v>0</v>
      </c>
      <c r="H951" s="120" t="s">
        <v>251</v>
      </c>
      <c r="I951" s="120">
        <v>0</v>
      </c>
      <c r="J951" s="120">
        <v>254.62</v>
      </c>
      <c r="K951" s="120" t="s">
        <v>251</v>
      </c>
      <c r="L951" s="120" t="s">
        <v>251</v>
      </c>
      <c r="M951" s="120">
        <v>254.62</v>
      </c>
      <c r="N951" s="120" t="s">
        <v>251</v>
      </c>
      <c r="O951" s="120">
        <v>0</v>
      </c>
      <c r="P951" s="120">
        <v>0</v>
      </c>
      <c r="Q951" s="120">
        <v>0</v>
      </c>
      <c r="R951" s="120"/>
    </row>
    <row r="952" spans="1:18" ht="15">
      <c r="A952" s="105">
        <v>36</v>
      </c>
      <c r="B952" s="105"/>
      <c r="C952" s="107" t="s">
        <v>960</v>
      </c>
      <c r="D952" s="107" t="s">
        <v>413</v>
      </c>
      <c r="E952" s="120">
        <v>4199.21</v>
      </c>
      <c r="F952" s="120" t="s">
        <v>251</v>
      </c>
      <c r="G952" s="120">
        <v>0</v>
      </c>
      <c r="H952" s="120" t="s">
        <v>251</v>
      </c>
      <c r="I952" s="120">
        <v>0</v>
      </c>
      <c r="J952" s="120">
        <v>4199.21</v>
      </c>
      <c r="K952" s="120" t="s">
        <v>251</v>
      </c>
      <c r="L952" s="120" t="s">
        <v>251</v>
      </c>
      <c r="M952" s="120">
        <v>4199.21</v>
      </c>
      <c r="N952" s="120" t="s">
        <v>251</v>
      </c>
      <c r="O952" s="120">
        <v>0</v>
      </c>
      <c r="P952" s="120">
        <v>0</v>
      </c>
      <c r="Q952" s="120">
        <v>0</v>
      </c>
      <c r="R952" s="120"/>
    </row>
    <row r="953" spans="1:18" ht="15">
      <c r="A953" s="105">
        <v>37</v>
      </c>
      <c r="B953" s="105"/>
      <c r="C953" s="107" t="s">
        <v>961</v>
      </c>
      <c r="D953" s="107" t="s">
        <v>414</v>
      </c>
      <c r="E953" s="120">
        <v>0</v>
      </c>
      <c r="F953" s="120" t="s">
        <v>251</v>
      </c>
      <c r="G953" s="120">
        <v>0</v>
      </c>
      <c r="H953" s="120" t="s">
        <v>251</v>
      </c>
      <c r="I953" s="120">
        <v>0</v>
      </c>
      <c r="J953" s="120">
        <v>0</v>
      </c>
      <c r="K953" s="120" t="s">
        <v>251</v>
      </c>
      <c r="L953" s="120" t="s">
        <v>251</v>
      </c>
      <c r="M953" s="120">
        <v>0</v>
      </c>
      <c r="N953" s="120" t="s">
        <v>251</v>
      </c>
      <c r="O953" s="120">
        <v>0</v>
      </c>
      <c r="P953" s="120">
        <v>0</v>
      </c>
      <c r="Q953" s="120">
        <v>0</v>
      </c>
      <c r="R953" s="120"/>
    </row>
    <row r="954" spans="1:18" ht="15">
      <c r="A954" s="105">
        <v>38</v>
      </c>
      <c r="B954" s="105"/>
      <c r="C954" s="107" t="s">
        <v>962</v>
      </c>
      <c r="D954" s="107" t="s">
        <v>464</v>
      </c>
      <c r="E954" s="120">
        <v>42429984.265592985</v>
      </c>
      <c r="F954" s="120" t="s">
        <v>251</v>
      </c>
      <c r="G954" s="120">
        <v>0</v>
      </c>
      <c r="H954" s="120" t="s">
        <v>251</v>
      </c>
      <c r="I954" s="120">
        <v>42275694.515592985</v>
      </c>
      <c r="J954" s="120">
        <v>154289.74999999983</v>
      </c>
      <c r="K954" s="120" t="s">
        <v>251</v>
      </c>
      <c r="L954" s="120" t="s">
        <v>251</v>
      </c>
      <c r="M954" s="120">
        <v>154289.74999999983</v>
      </c>
      <c r="N954" s="120" t="s">
        <v>251</v>
      </c>
      <c r="O954" s="120">
        <v>0</v>
      </c>
      <c r="P954" s="120">
        <v>0</v>
      </c>
      <c r="Q954" s="120">
        <v>0</v>
      </c>
      <c r="R954" s="120"/>
    </row>
    <row r="955" spans="1:18" ht="15">
      <c r="A955" s="105">
        <v>39</v>
      </c>
      <c r="B955" s="105"/>
      <c r="C955" s="107" t="s">
        <v>963</v>
      </c>
      <c r="D955" s="107" t="s">
        <v>487</v>
      </c>
      <c r="E955" s="120">
        <v>8760.513682369372</v>
      </c>
      <c r="F955" s="120" t="s">
        <v>251</v>
      </c>
      <c r="G955" s="120">
        <v>0</v>
      </c>
      <c r="H955" s="120" t="s">
        <v>251</v>
      </c>
      <c r="I955" s="120">
        <v>8760.513682369372</v>
      </c>
      <c r="J955" s="120">
        <v>0</v>
      </c>
      <c r="K955" s="120" t="s">
        <v>251</v>
      </c>
      <c r="L955" s="120" t="s">
        <v>251</v>
      </c>
      <c r="M955" s="120">
        <v>0</v>
      </c>
      <c r="N955" s="120" t="s">
        <v>251</v>
      </c>
      <c r="O955" s="120">
        <v>0</v>
      </c>
      <c r="P955" s="120">
        <v>0</v>
      </c>
      <c r="Q955" s="120">
        <v>0</v>
      </c>
      <c r="R955" s="120"/>
    </row>
    <row r="956" spans="1:18" ht="15">
      <c r="A956" s="105">
        <v>40</v>
      </c>
      <c r="B956" s="105"/>
      <c r="C956" s="107" t="s">
        <v>2256</v>
      </c>
      <c r="D956" s="107" t="s">
        <v>523</v>
      </c>
      <c r="E956" s="120">
        <v>10084233</v>
      </c>
      <c r="F956" s="120" t="s">
        <v>251</v>
      </c>
      <c r="G956" s="120">
        <v>0</v>
      </c>
      <c r="H956" s="120" t="s">
        <v>251</v>
      </c>
      <c r="I956" s="120">
        <v>10084233</v>
      </c>
      <c r="J956" s="120">
        <v>0</v>
      </c>
      <c r="K956" s="120" t="s">
        <v>251</v>
      </c>
      <c r="L956" s="120" t="s">
        <v>251</v>
      </c>
      <c r="M956" s="120">
        <v>0</v>
      </c>
      <c r="N956" s="120" t="s">
        <v>251</v>
      </c>
      <c r="O956" s="120">
        <v>0</v>
      </c>
      <c r="P956" s="120">
        <v>0</v>
      </c>
      <c r="Q956" s="120">
        <v>0</v>
      </c>
      <c r="R956" s="120"/>
    </row>
    <row r="957" spans="1:18" ht="15">
      <c r="A957" s="105">
        <v>41</v>
      </c>
      <c r="B957" s="105"/>
      <c r="C957" s="107" t="s">
        <v>2257</v>
      </c>
      <c r="D957" s="107" t="s">
        <v>532</v>
      </c>
      <c r="E957" s="120">
        <v>0</v>
      </c>
      <c r="F957" s="120" t="s">
        <v>251</v>
      </c>
      <c r="G957" s="120">
        <v>0</v>
      </c>
      <c r="H957" s="120" t="s">
        <v>251</v>
      </c>
      <c r="I957" s="120">
        <v>0</v>
      </c>
      <c r="J957" s="120">
        <v>0</v>
      </c>
      <c r="K957" s="120" t="s">
        <v>251</v>
      </c>
      <c r="L957" s="120" t="s">
        <v>251</v>
      </c>
      <c r="M957" s="120">
        <v>0</v>
      </c>
      <c r="N957" s="120" t="s">
        <v>251</v>
      </c>
      <c r="O957" s="120">
        <v>0</v>
      </c>
      <c r="P957" s="120">
        <v>0</v>
      </c>
      <c r="Q957" s="120">
        <v>0</v>
      </c>
      <c r="R957" s="120"/>
    </row>
    <row r="958" spans="1:18" ht="15">
      <c r="A958" s="105">
        <v>42</v>
      </c>
      <c r="B958" s="105"/>
      <c r="C958" s="107" t="s">
        <v>964</v>
      </c>
      <c r="D958" s="107" t="s">
        <v>569</v>
      </c>
      <c r="E958" s="120">
        <v>3695780.1399999964</v>
      </c>
      <c r="F958" s="120" t="s">
        <v>251</v>
      </c>
      <c r="G958" s="120">
        <v>3139768.4099999964</v>
      </c>
      <c r="H958" s="120" t="s">
        <v>251</v>
      </c>
      <c r="I958" s="120">
        <v>387734.87</v>
      </c>
      <c r="J958" s="120">
        <v>168276.86000000002</v>
      </c>
      <c r="K958" s="120" t="s">
        <v>251</v>
      </c>
      <c r="L958" s="120" t="s">
        <v>251</v>
      </c>
      <c r="M958" s="120">
        <v>57.5</v>
      </c>
      <c r="N958" s="120" t="s">
        <v>251</v>
      </c>
      <c r="O958" s="120">
        <v>168219.36000000002</v>
      </c>
      <c r="P958" s="120">
        <v>168219.36000000002</v>
      </c>
      <c r="Q958" s="120">
        <v>0</v>
      </c>
      <c r="R958" s="120"/>
    </row>
    <row r="959" spans="1:18" ht="15">
      <c r="A959" s="105">
        <v>43</v>
      </c>
      <c r="B959" s="105"/>
      <c r="C959" s="107" t="s">
        <v>965</v>
      </c>
      <c r="D959" s="107" t="s">
        <v>579</v>
      </c>
      <c r="E959" s="120">
        <v>36813.089999999997</v>
      </c>
      <c r="F959" s="120" t="s">
        <v>251</v>
      </c>
      <c r="G959" s="120">
        <v>35268.839999999997</v>
      </c>
      <c r="H959" s="120" t="s">
        <v>251</v>
      </c>
      <c r="I959" s="120">
        <v>1544.25</v>
      </c>
      <c r="J959" s="120">
        <v>0</v>
      </c>
      <c r="K959" s="120" t="s">
        <v>251</v>
      </c>
      <c r="L959" s="120" t="s">
        <v>251</v>
      </c>
      <c r="M959" s="120">
        <v>0</v>
      </c>
      <c r="N959" s="120" t="s">
        <v>251</v>
      </c>
      <c r="O959" s="120">
        <v>0</v>
      </c>
      <c r="P959" s="120">
        <v>0</v>
      </c>
      <c r="Q959" s="120">
        <v>0</v>
      </c>
      <c r="R959" s="120"/>
    </row>
    <row r="960" spans="1:18" ht="15">
      <c r="A960" s="105">
        <v>44</v>
      </c>
      <c r="B960" s="105"/>
      <c r="C960" s="107" t="s">
        <v>966</v>
      </c>
      <c r="D960" s="107" t="s">
        <v>577</v>
      </c>
      <c r="E960" s="120">
        <v>72900.206666669401</v>
      </c>
      <c r="F960" s="120" t="s">
        <v>251</v>
      </c>
      <c r="G960" s="120">
        <v>72900.206666669401</v>
      </c>
      <c r="H960" s="120" t="s">
        <v>251</v>
      </c>
      <c r="I960" s="120">
        <v>0</v>
      </c>
      <c r="J960" s="120">
        <v>0</v>
      </c>
      <c r="K960" s="120" t="s">
        <v>251</v>
      </c>
      <c r="L960" s="120" t="s">
        <v>251</v>
      </c>
      <c r="M960" s="120">
        <v>0</v>
      </c>
      <c r="N960" s="120" t="s">
        <v>251</v>
      </c>
      <c r="O960" s="120">
        <v>0</v>
      </c>
      <c r="P960" s="120">
        <v>0</v>
      </c>
      <c r="Q960" s="120">
        <v>0</v>
      </c>
      <c r="R960" s="120"/>
    </row>
    <row r="961" spans="1:18" ht="15">
      <c r="A961" s="105">
        <v>45</v>
      </c>
      <c r="B961" s="105"/>
      <c r="C961" s="107" t="s">
        <v>967</v>
      </c>
      <c r="D961" s="107" t="s">
        <v>565</v>
      </c>
      <c r="E961" s="120">
        <v>2409014.85</v>
      </c>
      <c r="F961" s="120" t="s">
        <v>251</v>
      </c>
      <c r="G961" s="120">
        <v>2256048.35</v>
      </c>
      <c r="H961" s="120" t="s">
        <v>251</v>
      </c>
      <c r="I961" s="120">
        <v>152966.5</v>
      </c>
      <c r="J961" s="120">
        <v>0</v>
      </c>
      <c r="K961" s="120" t="s">
        <v>251</v>
      </c>
      <c r="L961" s="120" t="s">
        <v>251</v>
      </c>
      <c r="M961" s="120">
        <v>0</v>
      </c>
      <c r="N961" s="120" t="s">
        <v>251</v>
      </c>
      <c r="O961" s="120">
        <v>0</v>
      </c>
      <c r="P961" s="120">
        <v>0</v>
      </c>
      <c r="Q961" s="120">
        <v>0</v>
      </c>
      <c r="R961" s="120"/>
    </row>
    <row r="962" spans="1:18" ht="15">
      <c r="A962" s="105">
        <v>46</v>
      </c>
      <c r="B962" s="105"/>
      <c r="C962" s="107" t="s">
        <v>968</v>
      </c>
      <c r="D962" s="107" t="s">
        <v>567</v>
      </c>
      <c r="E962" s="120">
        <v>60477.13</v>
      </c>
      <c r="F962" s="120" t="s">
        <v>251</v>
      </c>
      <c r="G962" s="120">
        <v>60017.13</v>
      </c>
      <c r="H962" s="120" t="s">
        <v>251</v>
      </c>
      <c r="I962" s="120">
        <v>460</v>
      </c>
      <c r="J962" s="120">
        <v>0</v>
      </c>
      <c r="K962" s="120" t="s">
        <v>251</v>
      </c>
      <c r="L962" s="120" t="s">
        <v>251</v>
      </c>
      <c r="M962" s="120">
        <v>0</v>
      </c>
      <c r="N962" s="120" t="s">
        <v>251</v>
      </c>
      <c r="O962" s="120">
        <v>0</v>
      </c>
      <c r="P962" s="120">
        <v>0</v>
      </c>
      <c r="Q962" s="120">
        <v>0</v>
      </c>
      <c r="R962" s="120"/>
    </row>
    <row r="963" spans="1:18" ht="15">
      <c r="A963" s="105">
        <v>47</v>
      </c>
      <c r="B963" s="105"/>
      <c r="C963" s="107" t="s">
        <v>969</v>
      </c>
      <c r="D963" s="107" t="s">
        <v>575</v>
      </c>
      <c r="E963" s="120">
        <v>187268</v>
      </c>
      <c r="F963" s="120" t="s">
        <v>251</v>
      </c>
      <c r="G963" s="120">
        <v>187268</v>
      </c>
      <c r="H963" s="120" t="s">
        <v>251</v>
      </c>
      <c r="I963" s="120">
        <v>0</v>
      </c>
      <c r="J963" s="120">
        <v>0</v>
      </c>
      <c r="K963" s="120" t="s">
        <v>251</v>
      </c>
      <c r="L963" s="120" t="s">
        <v>251</v>
      </c>
      <c r="M963" s="120">
        <v>0</v>
      </c>
      <c r="N963" s="120" t="s">
        <v>251</v>
      </c>
      <c r="O963" s="120">
        <v>0</v>
      </c>
      <c r="P963" s="120">
        <v>0</v>
      </c>
      <c r="Q963" s="120">
        <v>0</v>
      </c>
      <c r="R963" s="120"/>
    </row>
    <row r="964" spans="1:18" ht="15">
      <c r="A964" s="105">
        <v>48</v>
      </c>
      <c r="B964" s="105"/>
      <c r="C964" s="107" t="s">
        <v>970</v>
      </c>
      <c r="D964" s="107" t="s">
        <v>971</v>
      </c>
      <c r="E964" s="120">
        <v>17920</v>
      </c>
      <c r="F964" s="120" t="s">
        <v>251</v>
      </c>
      <c r="G964" s="120">
        <v>0</v>
      </c>
      <c r="H964" s="120" t="s">
        <v>251</v>
      </c>
      <c r="I964" s="120">
        <v>17920</v>
      </c>
      <c r="J964" s="120">
        <v>0</v>
      </c>
      <c r="K964" s="120" t="s">
        <v>251</v>
      </c>
      <c r="L964" s="120" t="s">
        <v>251</v>
      </c>
      <c r="M964" s="120">
        <v>0</v>
      </c>
      <c r="N964" s="120" t="s">
        <v>251</v>
      </c>
      <c r="O964" s="120">
        <v>0</v>
      </c>
      <c r="P964" s="120">
        <v>0</v>
      </c>
      <c r="Q964" s="120">
        <v>0</v>
      </c>
      <c r="R964" s="120"/>
    </row>
    <row r="965" spans="1:18" ht="15">
      <c r="A965" s="105">
        <v>49</v>
      </c>
      <c r="B965" s="105"/>
      <c r="C965" s="107" t="s">
        <v>972</v>
      </c>
      <c r="D965" s="107" t="s">
        <v>771</v>
      </c>
      <c r="E965" s="120">
        <v>0</v>
      </c>
      <c r="F965" s="120" t="s">
        <v>251</v>
      </c>
      <c r="G965" s="120">
        <v>0</v>
      </c>
      <c r="H965" s="120" t="s">
        <v>251</v>
      </c>
      <c r="I965" s="120">
        <v>0</v>
      </c>
      <c r="J965" s="120">
        <v>0</v>
      </c>
      <c r="K965" s="120" t="s">
        <v>251</v>
      </c>
      <c r="L965" s="120" t="s">
        <v>251</v>
      </c>
      <c r="M965" s="120">
        <v>0</v>
      </c>
      <c r="N965" s="120" t="s">
        <v>251</v>
      </c>
      <c r="O965" s="120">
        <v>0</v>
      </c>
      <c r="P965" s="120">
        <v>0</v>
      </c>
      <c r="Q965" s="120">
        <v>0</v>
      </c>
      <c r="R965" s="120"/>
    </row>
    <row r="966" spans="1:18" ht="15">
      <c r="A966" s="105">
        <v>50</v>
      </c>
      <c r="B966" s="105"/>
      <c r="C966" s="107" t="s">
        <v>973</v>
      </c>
      <c r="D966" s="107" t="s">
        <v>541</v>
      </c>
      <c r="E966" s="120">
        <v>-91173</v>
      </c>
      <c r="F966" s="120" t="s">
        <v>251</v>
      </c>
      <c r="G966" s="120">
        <v>0</v>
      </c>
      <c r="H966" s="120" t="s">
        <v>251</v>
      </c>
      <c r="I966" s="120">
        <v>-91173</v>
      </c>
      <c r="J966" s="120">
        <v>0</v>
      </c>
      <c r="K966" s="120" t="s">
        <v>251</v>
      </c>
      <c r="L966" s="120" t="s">
        <v>251</v>
      </c>
      <c r="M966" s="120">
        <v>0</v>
      </c>
      <c r="N966" s="120" t="s">
        <v>251</v>
      </c>
      <c r="O966" s="120">
        <v>0</v>
      </c>
      <c r="P966" s="120">
        <v>0</v>
      </c>
      <c r="Q966" s="120">
        <v>0</v>
      </c>
      <c r="R966" s="120"/>
    </row>
    <row r="967" spans="1:18" ht="15">
      <c r="A967" s="105" t="s">
        <v>251</v>
      </c>
      <c r="B967" s="105"/>
      <c r="C967" s="107" t="s">
        <v>251</v>
      </c>
      <c r="D967" s="107" t="s">
        <v>251</v>
      </c>
      <c r="E967" s="120" t="s">
        <v>251</v>
      </c>
      <c r="F967" s="120" t="s">
        <v>251</v>
      </c>
      <c r="G967" s="120" t="s">
        <v>251</v>
      </c>
      <c r="H967" s="120" t="s">
        <v>251</v>
      </c>
      <c r="I967" s="120" t="s">
        <v>251</v>
      </c>
      <c r="J967" s="120" t="s">
        <v>251</v>
      </c>
      <c r="K967" s="120" t="s">
        <v>251</v>
      </c>
      <c r="L967" s="120" t="s">
        <v>251</v>
      </c>
      <c r="M967" s="120" t="s">
        <v>251</v>
      </c>
      <c r="N967" s="120" t="s">
        <v>251</v>
      </c>
      <c r="O967" s="120" t="s">
        <v>251</v>
      </c>
      <c r="P967" s="120" t="s">
        <v>251</v>
      </c>
      <c r="Q967" s="120" t="s">
        <v>251</v>
      </c>
      <c r="R967" s="120"/>
    </row>
    <row r="968" spans="1:18" ht="15">
      <c r="A968" s="105" t="s">
        <v>251</v>
      </c>
      <c r="B968" s="105"/>
      <c r="C968" s="107" t="s">
        <v>251</v>
      </c>
      <c r="D968" s="107" t="s">
        <v>251</v>
      </c>
      <c r="E968" s="120" t="s">
        <v>251</v>
      </c>
      <c r="F968" s="120" t="s">
        <v>251</v>
      </c>
      <c r="G968" s="120" t="s">
        <v>251</v>
      </c>
      <c r="H968" s="120" t="s">
        <v>251</v>
      </c>
      <c r="I968" s="120" t="s">
        <v>251</v>
      </c>
      <c r="J968" s="120" t="s">
        <v>251</v>
      </c>
      <c r="K968" s="120" t="s">
        <v>251</v>
      </c>
      <c r="L968" s="120" t="s">
        <v>251</v>
      </c>
      <c r="M968" s="120" t="s">
        <v>251</v>
      </c>
      <c r="N968" s="120" t="s">
        <v>251</v>
      </c>
      <c r="O968" s="120" t="s">
        <v>251</v>
      </c>
      <c r="P968" s="120" t="s">
        <v>251</v>
      </c>
      <c r="Q968" s="120" t="s">
        <v>251</v>
      </c>
      <c r="R968" s="120"/>
    </row>
    <row r="969" spans="1:18" ht="15">
      <c r="A969" s="105" t="s">
        <v>251</v>
      </c>
      <c r="B969" s="105"/>
      <c r="C969" s="107" t="s">
        <v>495</v>
      </c>
      <c r="D969" s="107" t="s">
        <v>251</v>
      </c>
      <c r="E969" s="120" t="s">
        <v>251</v>
      </c>
      <c r="F969" s="120" t="s">
        <v>251</v>
      </c>
      <c r="G969" s="120" t="s">
        <v>251</v>
      </c>
      <c r="H969" s="120" t="s">
        <v>251</v>
      </c>
      <c r="I969" s="120" t="s">
        <v>251</v>
      </c>
      <c r="J969" s="120" t="s">
        <v>251</v>
      </c>
      <c r="K969" s="120" t="s">
        <v>251</v>
      </c>
      <c r="L969" s="120" t="s">
        <v>251</v>
      </c>
      <c r="M969" s="120" t="s">
        <v>251</v>
      </c>
      <c r="N969" s="120" t="s">
        <v>251</v>
      </c>
      <c r="O969" s="120" t="s">
        <v>251</v>
      </c>
      <c r="P969" s="120" t="s">
        <v>251</v>
      </c>
      <c r="Q969" s="120" t="s">
        <v>251</v>
      </c>
      <c r="R969" s="120"/>
    </row>
    <row r="970" spans="1:18" ht="15">
      <c r="A970" s="105" t="s">
        <v>251</v>
      </c>
      <c r="B970" s="105"/>
      <c r="C970" s="107" t="s">
        <v>920</v>
      </c>
      <c r="D970" s="107" t="s">
        <v>251</v>
      </c>
      <c r="E970" s="120" t="s">
        <v>251</v>
      </c>
      <c r="F970" s="120" t="s">
        <v>251</v>
      </c>
      <c r="G970" s="120" t="s">
        <v>251</v>
      </c>
      <c r="H970" s="120" t="s">
        <v>251</v>
      </c>
      <c r="I970" s="120" t="s">
        <v>251</v>
      </c>
      <c r="J970" s="120" t="s">
        <v>251</v>
      </c>
      <c r="K970" s="120" t="s">
        <v>251</v>
      </c>
      <c r="L970" s="120" t="s">
        <v>251</v>
      </c>
      <c r="M970" s="120" t="s">
        <v>251</v>
      </c>
      <c r="N970" s="120" t="s">
        <v>251</v>
      </c>
      <c r="O970" s="120" t="s">
        <v>251</v>
      </c>
      <c r="P970" s="120" t="s">
        <v>251</v>
      </c>
      <c r="Q970" s="120" t="s">
        <v>251</v>
      </c>
      <c r="R970" s="120"/>
    </row>
    <row r="971" spans="1:18" ht="15">
      <c r="A971" s="105">
        <v>1</v>
      </c>
      <c r="B971" s="105"/>
      <c r="C971" s="107" t="s">
        <v>974</v>
      </c>
      <c r="D971" s="107" t="s">
        <v>495</v>
      </c>
      <c r="E971" s="120">
        <v>19849967.070999999</v>
      </c>
      <c r="F971" s="120" t="s">
        <v>251</v>
      </c>
      <c r="G971" s="120">
        <v>18679000.831</v>
      </c>
      <c r="H971" s="120" t="s">
        <v>251</v>
      </c>
      <c r="I971" s="120">
        <v>762018.04</v>
      </c>
      <c r="J971" s="120">
        <v>408948.2</v>
      </c>
      <c r="K971" s="120" t="s">
        <v>251</v>
      </c>
      <c r="L971" s="120" t="s">
        <v>251</v>
      </c>
      <c r="M971" s="120">
        <v>83.596999999999994</v>
      </c>
      <c r="N971" s="120" t="s">
        <v>251</v>
      </c>
      <c r="O971" s="120">
        <v>408864.603</v>
      </c>
      <c r="P971" s="120">
        <v>207052.166</v>
      </c>
      <c r="Q971" s="120">
        <v>201812.43700000001</v>
      </c>
      <c r="R971" s="120"/>
    </row>
    <row r="972" spans="1:18" ht="15">
      <c r="A972" s="105">
        <v>2</v>
      </c>
      <c r="B972" s="105"/>
      <c r="C972" s="107" t="s">
        <v>975</v>
      </c>
      <c r="D972" s="107" t="s">
        <v>740</v>
      </c>
      <c r="E972" s="120">
        <v>19441102.467999998</v>
      </c>
      <c r="F972" s="120" t="s">
        <v>251</v>
      </c>
      <c r="G972" s="120">
        <v>18679000.831</v>
      </c>
      <c r="H972" s="120" t="s">
        <v>251</v>
      </c>
      <c r="I972" s="120">
        <v>762018.04</v>
      </c>
      <c r="J972" s="120">
        <v>83.596999999999994</v>
      </c>
      <c r="K972" s="120" t="s">
        <v>251</v>
      </c>
      <c r="L972" s="120" t="s">
        <v>251</v>
      </c>
      <c r="M972" s="120">
        <v>83.596999999999994</v>
      </c>
      <c r="N972" s="120" t="s">
        <v>251</v>
      </c>
      <c r="O972" s="120">
        <v>0</v>
      </c>
      <c r="P972" s="120">
        <v>0</v>
      </c>
      <c r="Q972" s="120">
        <v>0</v>
      </c>
      <c r="R972" s="120"/>
    </row>
    <row r="973" spans="1:18" ht="15">
      <c r="A973" s="105">
        <v>3</v>
      </c>
      <c r="B973" s="105"/>
      <c r="C973" s="107" t="s">
        <v>251</v>
      </c>
      <c r="D973" s="107" t="s">
        <v>251</v>
      </c>
      <c r="E973" s="120" t="s">
        <v>251</v>
      </c>
      <c r="F973" s="120" t="s">
        <v>251</v>
      </c>
      <c r="G973" s="120" t="s">
        <v>251</v>
      </c>
      <c r="H973" s="120" t="s">
        <v>251</v>
      </c>
      <c r="I973" s="120" t="s">
        <v>251</v>
      </c>
      <c r="J973" s="120" t="s">
        <v>251</v>
      </c>
      <c r="K973" s="120" t="s">
        <v>251</v>
      </c>
      <c r="L973" s="120" t="s">
        <v>251</v>
      </c>
      <c r="M973" s="120" t="s">
        <v>251</v>
      </c>
      <c r="N973" s="120" t="s">
        <v>251</v>
      </c>
      <c r="O973" s="120" t="s">
        <v>251</v>
      </c>
      <c r="P973" s="120" t="s">
        <v>251</v>
      </c>
      <c r="Q973" s="120" t="s">
        <v>251</v>
      </c>
      <c r="R973" s="120"/>
    </row>
    <row r="974" spans="1:18" ht="15">
      <c r="A974" s="105">
        <v>4</v>
      </c>
      <c r="B974" s="105"/>
      <c r="C974" s="107" t="s">
        <v>251</v>
      </c>
      <c r="D974" s="107" t="s">
        <v>251</v>
      </c>
      <c r="E974" s="120" t="s">
        <v>251</v>
      </c>
      <c r="F974" s="120" t="s">
        <v>251</v>
      </c>
      <c r="G974" s="120" t="s">
        <v>251</v>
      </c>
      <c r="H974" s="120" t="s">
        <v>251</v>
      </c>
      <c r="I974" s="120" t="s">
        <v>251</v>
      </c>
      <c r="J974" s="120" t="s">
        <v>251</v>
      </c>
      <c r="K974" s="120" t="s">
        <v>251</v>
      </c>
      <c r="L974" s="120" t="s">
        <v>251</v>
      </c>
      <c r="M974" s="120" t="s">
        <v>251</v>
      </c>
      <c r="N974" s="120" t="s">
        <v>251</v>
      </c>
      <c r="O974" s="120" t="s">
        <v>251</v>
      </c>
      <c r="P974" s="120" t="s">
        <v>251</v>
      </c>
      <c r="Q974" s="120" t="s">
        <v>251</v>
      </c>
      <c r="R974" s="120"/>
    </row>
    <row r="975" spans="1:18" ht="15">
      <c r="A975" s="105" t="s">
        <v>251</v>
      </c>
      <c r="B975" s="105"/>
      <c r="C975" s="107" t="s">
        <v>251</v>
      </c>
      <c r="D975" s="107" t="s">
        <v>251</v>
      </c>
      <c r="E975" s="120" t="s">
        <v>251</v>
      </c>
      <c r="F975" s="120" t="s">
        <v>251</v>
      </c>
      <c r="G975" s="120" t="s">
        <v>251</v>
      </c>
      <c r="H975" s="120" t="s">
        <v>251</v>
      </c>
      <c r="I975" s="120" t="s">
        <v>251</v>
      </c>
      <c r="J975" s="120" t="s">
        <v>251</v>
      </c>
      <c r="K975" s="120" t="s">
        <v>251</v>
      </c>
      <c r="L975" s="120" t="s">
        <v>251</v>
      </c>
      <c r="M975" s="120" t="s">
        <v>251</v>
      </c>
      <c r="N975" s="120" t="s">
        <v>251</v>
      </c>
      <c r="O975" s="120" t="s">
        <v>251</v>
      </c>
      <c r="P975" s="120" t="s">
        <v>251</v>
      </c>
      <c r="Q975" s="120" t="s">
        <v>251</v>
      </c>
      <c r="R975" s="120"/>
    </row>
    <row r="976" spans="1:18" ht="15">
      <c r="A976" s="105" t="s">
        <v>251</v>
      </c>
      <c r="B976" s="105"/>
      <c r="C976" s="107" t="s">
        <v>976</v>
      </c>
      <c r="D976" s="107" t="s">
        <v>251</v>
      </c>
      <c r="E976" s="120" t="s">
        <v>251</v>
      </c>
      <c r="F976" s="120" t="s">
        <v>251</v>
      </c>
      <c r="G976" s="120" t="s">
        <v>251</v>
      </c>
      <c r="H976" s="120" t="s">
        <v>251</v>
      </c>
      <c r="I976" s="120" t="s">
        <v>251</v>
      </c>
      <c r="J976" s="120" t="s">
        <v>251</v>
      </c>
      <c r="K976" s="120" t="s">
        <v>251</v>
      </c>
      <c r="L976" s="120" t="s">
        <v>251</v>
      </c>
      <c r="M976" s="120" t="s">
        <v>251</v>
      </c>
      <c r="N976" s="120" t="s">
        <v>251</v>
      </c>
      <c r="O976" s="120" t="s">
        <v>251</v>
      </c>
      <c r="P976" s="120" t="s">
        <v>251</v>
      </c>
      <c r="Q976" s="120" t="s">
        <v>251</v>
      </c>
      <c r="R976" s="120"/>
    </row>
    <row r="977" spans="1:18" ht="15">
      <c r="A977" s="105" t="s">
        <v>251</v>
      </c>
      <c r="B977" s="105"/>
      <c r="C977" s="107" t="s">
        <v>920</v>
      </c>
      <c r="D977" s="107" t="s">
        <v>251</v>
      </c>
      <c r="E977" s="120" t="s">
        <v>251</v>
      </c>
      <c r="F977" s="120" t="s">
        <v>251</v>
      </c>
      <c r="G977" s="120" t="s">
        <v>251</v>
      </c>
      <c r="H977" s="120" t="s">
        <v>251</v>
      </c>
      <c r="I977" s="120" t="s">
        <v>251</v>
      </c>
      <c r="J977" s="120" t="s">
        <v>251</v>
      </c>
      <c r="K977" s="120" t="s">
        <v>251</v>
      </c>
      <c r="L977" s="120" t="s">
        <v>251</v>
      </c>
      <c r="M977" s="120" t="s">
        <v>251</v>
      </c>
      <c r="N977" s="120" t="s">
        <v>251</v>
      </c>
      <c r="O977" s="120" t="s">
        <v>251</v>
      </c>
      <c r="P977" s="120" t="s">
        <v>251</v>
      </c>
      <c r="Q977" s="120" t="s">
        <v>251</v>
      </c>
      <c r="R977" s="120"/>
    </row>
    <row r="978" spans="1:18" ht="15">
      <c r="A978" s="105">
        <v>1</v>
      </c>
      <c r="B978" s="105"/>
      <c r="C978" s="107" t="s">
        <v>977</v>
      </c>
      <c r="D978" s="107" t="s">
        <v>381</v>
      </c>
      <c r="E978" s="120">
        <v>108671232.43846154</v>
      </c>
      <c r="F978" s="120" t="s">
        <v>251</v>
      </c>
      <c r="G978" s="120">
        <v>108671232.43846154</v>
      </c>
      <c r="H978" s="120" t="s">
        <v>251</v>
      </c>
      <c r="I978" s="120">
        <v>0</v>
      </c>
      <c r="J978" s="120">
        <v>0</v>
      </c>
      <c r="K978" s="120" t="s">
        <v>251</v>
      </c>
      <c r="L978" s="120" t="s">
        <v>251</v>
      </c>
      <c r="M978" s="120">
        <v>0</v>
      </c>
      <c r="N978" s="120" t="s">
        <v>251</v>
      </c>
      <c r="O978" s="120">
        <v>0</v>
      </c>
      <c r="P978" s="120">
        <v>0</v>
      </c>
      <c r="Q978" s="120">
        <v>0</v>
      </c>
      <c r="R978" s="120"/>
    </row>
    <row r="979" spans="1:18" ht="15">
      <c r="A979" s="105">
        <v>2</v>
      </c>
      <c r="B979" s="105"/>
      <c r="C979" s="107" t="s">
        <v>978</v>
      </c>
      <c r="D979" s="107" t="s">
        <v>383</v>
      </c>
      <c r="E979" s="120">
        <v>78790854.284320772</v>
      </c>
      <c r="F979" s="120" t="s">
        <v>251</v>
      </c>
      <c r="G979" s="120">
        <v>78743546.284320772</v>
      </c>
      <c r="H979" s="120" t="s">
        <v>251</v>
      </c>
      <c r="I979" s="120">
        <v>0</v>
      </c>
      <c r="J979" s="120">
        <v>47308</v>
      </c>
      <c r="K979" s="120" t="s">
        <v>251</v>
      </c>
      <c r="L979" s="120" t="s">
        <v>251</v>
      </c>
      <c r="M979" s="120">
        <v>0</v>
      </c>
      <c r="N979" s="120" t="s">
        <v>251</v>
      </c>
      <c r="O979" s="120">
        <v>47308</v>
      </c>
      <c r="P979" s="120">
        <v>20456</v>
      </c>
      <c r="Q979" s="120">
        <v>26852</v>
      </c>
      <c r="R979" s="120"/>
    </row>
    <row r="980" spans="1:18" ht="15">
      <c r="A980" s="105">
        <v>3</v>
      </c>
      <c r="B980" s="105"/>
      <c r="C980" s="107" t="s">
        <v>979</v>
      </c>
      <c r="D980" s="107" t="s">
        <v>385</v>
      </c>
      <c r="E980" s="120">
        <v>145659.9681</v>
      </c>
      <c r="F980" s="120" t="s">
        <v>251</v>
      </c>
      <c r="G980" s="120">
        <v>145659.9681</v>
      </c>
      <c r="H980" s="120" t="s">
        <v>251</v>
      </c>
      <c r="I980" s="120">
        <v>0</v>
      </c>
      <c r="J980" s="120">
        <v>0</v>
      </c>
      <c r="K980" s="120" t="s">
        <v>251</v>
      </c>
      <c r="L980" s="120" t="s">
        <v>251</v>
      </c>
      <c r="M980" s="120">
        <v>0</v>
      </c>
      <c r="N980" s="120" t="s">
        <v>251</v>
      </c>
      <c r="O980" s="120">
        <v>0</v>
      </c>
      <c r="P980" s="120">
        <v>0</v>
      </c>
      <c r="Q980" s="120">
        <v>0</v>
      </c>
      <c r="R980" s="120"/>
    </row>
    <row r="981" spans="1:18" ht="15">
      <c r="A981" s="105">
        <v>4</v>
      </c>
      <c r="B981" s="105"/>
      <c r="C981" s="107" t="s">
        <v>980</v>
      </c>
      <c r="D981" s="107" t="s">
        <v>387</v>
      </c>
      <c r="E981" s="120">
        <v>126856868.67395324</v>
      </c>
      <c r="F981" s="120" t="s">
        <v>251</v>
      </c>
      <c r="G981" s="120">
        <v>126856868.67395324</v>
      </c>
      <c r="H981" s="120" t="s">
        <v>251</v>
      </c>
      <c r="I981" s="120">
        <v>0</v>
      </c>
      <c r="J981" s="120">
        <v>0</v>
      </c>
      <c r="K981" s="120" t="s">
        <v>251</v>
      </c>
      <c r="L981" s="120" t="s">
        <v>251</v>
      </c>
      <c r="M981" s="120">
        <v>0</v>
      </c>
      <c r="N981" s="120" t="s">
        <v>251</v>
      </c>
      <c r="O981" s="120">
        <v>0</v>
      </c>
      <c r="P981" s="120">
        <v>0</v>
      </c>
      <c r="Q981" s="120">
        <v>0</v>
      </c>
      <c r="R981" s="120"/>
    </row>
    <row r="982" spans="1:18" ht="15">
      <c r="A982" s="105">
        <v>5</v>
      </c>
      <c r="B982" s="105"/>
      <c r="C982" s="107" t="s">
        <v>536</v>
      </c>
      <c r="D982" s="107" t="s">
        <v>537</v>
      </c>
      <c r="E982" s="120">
        <v>842195.92</v>
      </c>
      <c r="F982" s="120" t="s">
        <v>251</v>
      </c>
      <c r="G982" s="120">
        <v>817011.28</v>
      </c>
      <c r="H982" s="120" t="s">
        <v>251</v>
      </c>
      <c r="I982" s="120">
        <v>25184.639999999999</v>
      </c>
      <c r="J982" s="120">
        <v>0</v>
      </c>
      <c r="K982" s="120" t="s">
        <v>251</v>
      </c>
      <c r="L982" s="120" t="s">
        <v>251</v>
      </c>
      <c r="M982" s="120">
        <v>0</v>
      </c>
      <c r="N982" s="120" t="s">
        <v>251</v>
      </c>
      <c r="O982" s="120">
        <v>0</v>
      </c>
      <c r="P982" s="120">
        <v>0</v>
      </c>
      <c r="Q982" s="120">
        <v>0</v>
      </c>
      <c r="R982" s="120"/>
    </row>
    <row r="983" spans="1:18" ht="15">
      <c r="A983" s="105">
        <v>6</v>
      </c>
      <c r="B983" s="105"/>
      <c r="C983" s="107" t="s">
        <v>981</v>
      </c>
      <c r="D983" s="107" t="s">
        <v>539</v>
      </c>
      <c r="E983" s="120">
        <v>30584515.170000002</v>
      </c>
      <c r="F983" s="120" t="s">
        <v>251</v>
      </c>
      <c r="G983" s="120">
        <v>28891349.09</v>
      </c>
      <c r="H983" s="120" t="s">
        <v>251</v>
      </c>
      <c r="I983" s="120">
        <v>1693166.07</v>
      </c>
      <c r="J983" s="120">
        <v>0.01</v>
      </c>
      <c r="K983" s="120" t="s">
        <v>251</v>
      </c>
      <c r="L983" s="120" t="s">
        <v>251</v>
      </c>
      <c r="M983" s="120">
        <v>0</v>
      </c>
      <c r="N983" s="120" t="s">
        <v>251</v>
      </c>
      <c r="O983" s="120">
        <v>0.01</v>
      </c>
      <c r="P983" s="120">
        <v>0.01</v>
      </c>
      <c r="Q983" s="120">
        <v>0</v>
      </c>
      <c r="R983" s="120"/>
    </row>
    <row r="984" spans="1:18" ht="15">
      <c r="A984" s="105">
        <v>7</v>
      </c>
      <c r="B984" s="105"/>
      <c r="C984" s="107" t="s">
        <v>982</v>
      </c>
      <c r="D984" s="107" t="s">
        <v>687</v>
      </c>
      <c r="E984" s="120">
        <v>758905</v>
      </c>
      <c r="F984" s="120" t="s">
        <v>251</v>
      </c>
      <c r="G984" s="120">
        <v>720984</v>
      </c>
      <c r="H984" s="120" t="s">
        <v>251</v>
      </c>
      <c r="I984" s="120">
        <v>37704</v>
      </c>
      <c r="J984" s="120">
        <v>217</v>
      </c>
      <c r="K984" s="120" t="s">
        <v>251</v>
      </c>
      <c r="L984" s="120" t="s">
        <v>251</v>
      </c>
      <c r="M984" s="120">
        <v>5</v>
      </c>
      <c r="N984" s="120" t="s">
        <v>251</v>
      </c>
      <c r="O984" s="120">
        <v>212</v>
      </c>
      <c r="P984" s="120">
        <v>85</v>
      </c>
      <c r="Q984" s="120">
        <v>127</v>
      </c>
      <c r="R984" s="120"/>
    </row>
    <row r="985" spans="1:18" ht="15">
      <c r="A985" s="105">
        <v>8</v>
      </c>
      <c r="B985" s="105"/>
      <c r="C985" s="107" t="s">
        <v>983</v>
      </c>
      <c r="D985" s="107" t="s">
        <v>689</v>
      </c>
      <c r="E985" s="120">
        <v>758905</v>
      </c>
      <c r="F985" s="120" t="s">
        <v>251</v>
      </c>
      <c r="G985" s="120">
        <v>720984</v>
      </c>
      <c r="H985" s="120" t="s">
        <v>251</v>
      </c>
      <c r="I985" s="120">
        <v>37704</v>
      </c>
      <c r="J985" s="120">
        <v>217</v>
      </c>
      <c r="K985" s="120" t="s">
        <v>251</v>
      </c>
      <c r="L985" s="120" t="s">
        <v>251</v>
      </c>
      <c r="M985" s="120">
        <v>5</v>
      </c>
      <c r="N985" s="120" t="s">
        <v>251</v>
      </c>
      <c r="O985" s="120">
        <v>212</v>
      </c>
      <c r="P985" s="120">
        <v>85</v>
      </c>
      <c r="Q985" s="120">
        <v>127</v>
      </c>
      <c r="R985" s="120"/>
    </row>
    <row r="986" spans="1:18" ht="15">
      <c r="A986" s="105">
        <v>9</v>
      </c>
      <c r="B986" s="105"/>
      <c r="C986" s="107" t="s">
        <v>984</v>
      </c>
      <c r="D986" s="107" t="s">
        <v>691</v>
      </c>
      <c r="E986" s="120">
        <v>758905</v>
      </c>
      <c r="F986" s="120" t="s">
        <v>251</v>
      </c>
      <c r="G986" s="120">
        <v>720984</v>
      </c>
      <c r="H986" s="120" t="s">
        <v>251</v>
      </c>
      <c r="I986" s="120">
        <v>37704</v>
      </c>
      <c r="J986" s="120">
        <v>217</v>
      </c>
      <c r="K986" s="120" t="s">
        <v>251</v>
      </c>
      <c r="L986" s="120" t="s">
        <v>251</v>
      </c>
      <c r="M986" s="120">
        <v>5</v>
      </c>
      <c r="N986" s="120" t="s">
        <v>251</v>
      </c>
      <c r="O986" s="120">
        <v>212</v>
      </c>
      <c r="P986" s="120">
        <v>85</v>
      </c>
      <c r="Q986" s="120">
        <v>127</v>
      </c>
      <c r="R986" s="120"/>
    </row>
    <row r="987" spans="1:18" ht="15">
      <c r="A987" s="105">
        <v>10</v>
      </c>
      <c r="B987" s="105"/>
      <c r="C987" s="107" t="s">
        <v>985</v>
      </c>
      <c r="D987" s="107" t="s">
        <v>400</v>
      </c>
      <c r="E987" s="120">
        <v>5852947.5299999993</v>
      </c>
      <c r="F987" s="120" t="s">
        <v>251</v>
      </c>
      <c r="G987" s="120">
        <v>0</v>
      </c>
      <c r="H987" s="120" t="s">
        <v>251</v>
      </c>
      <c r="I987" s="120">
        <v>5852947.5299999993</v>
      </c>
      <c r="J987" s="120">
        <v>0</v>
      </c>
      <c r="K987" s="120" t="s">
        <v>251</v>
      </c>
      <c r="L987" s="120" t="s">
        <v>251</v>
      </c>
      <c r="M987" s="120">
        <v>0</v>
      </c>
      <c r="N987" s="120" t="s">
        <v>251</v>
      </c>
      <c r="O987" s="120">
        <v>0</v>
      </c>
      <c r="P987" s="120">
        <v>0</v>
      </c>
      <c r="Q987" s="120">
        <v>0</v>
      </c>
      <c r="R987" s="120"/>
    </row>
    <row r="988" spans="1:18" ht="15">
      <c r="A988" s="105">
        <v>11</v>
      </c>
      <c r="B988" s="105"/>
      <c r="C988" s="107" t="s">
        <v>986</v>
      </c>
      <c r="D988" s="107" t="s">
        <v>401</v>
      </c>
      <c r="E988" s="120">
        <v>3783545.2</v>
      </c>
      <c r="F988" s="120" t="s">
        <v>251</v>
      </c>
      <c r="G988" s="120">
        <v>0</v>
      </c>
      <c r="H988" s="120" t="s">
        <v>251</v>
      </c>
      <c r="I988" s="120">
        <v>3783545.2</v>
      </c>
      <c r="J988" s="120">
        <v>0</v>
      </c>
      <c r="K988" s="120" t="s">
        <v>251</v>
      </c>
      <c r="L988" s="120" t="s">
        <v>251</v>
      </c>
      <c r="M988" s="120">
        <v>0</v>
      </c>
      <c r="N988" s="120" t="s">
        <v>251</v>
      </c>
      <c r="O988" s="120">
        <v>0</v>
      </c>
      <c r="P988" s="120">
        <v>0</v>
      </c>
      <c r="Q988" s="120">
        <v>0</v>
      </c>
      <c r="R988" s="120"/>
    </row>
    <row r="989" spans="1:18" ht="15">
      <c r="A989" s="105">
        <v>12</v>
      </c>
      <c r="B989" s="105"/>
      <c r="C989" s="107" t="s">
        <v>987</v>
      </c>
      <c r="D989" s="107" t="s">
        <v>402</v>
      </c>
      <c r="E989" s="120">
        <v>0</v>
      </c>
      <c r="F989" s="120" t="s">
        <v>251</v>
      </c>
      <c r="G989" s="120">
        <v>0</v>
      </c>
      <c r="H989" s="120" t="s">
        <v>251</v>
      </c>
      <c r="I989" s="120">
        <v>0</v>
      </c>
      <c r="J989" s="120">
        <v>0</v>
      </c>
      <c r="K989" s="120" t="s">
        <v>251</v>
      </c>
      <c r="L989" s="120" t="s">
        <v>251</v>
      </c>
      <c r="M989" s="120">
        <v>0</v>
      </c>
      <c r="N989" s="120" t="s">
        <v>251</v>
      </c>
      <c r="O989" s="120">
        <v>0</v>
      </c>
      <c r="P989" s="120">
        <v>0</v>
      </c>
      <c r="Q989" s="120">
        <v>0</v>
      </c>
      <c r="R989" s="120"/>
    </row>
    <row r="990" spans="1:18" ht="15">
      <c r="A990" s="105">
        <v>13</v>
      </c>
      <c r="B990" s="105"/>
      <c r="C990" s="107" t="s">
        <v>988</v>
      </c>
      <c r="D990" s="107" t="s">
        <v>403</v>
      </c>
      <c r="E990" s="120">
        <v>3991840.8131227978</v>
      </c>
      <c r="F990" s="120" t="s">
        <v>251</v>
      </c>
      <c r="G990" s="120">
        <v>0</v>
      </c>
      <c r="H990" s="120" t="s">
        <v>251</v>
      </c>
      <c r="I990" s="120">
        <v>3991840.8131227978</v>
      </c>
      <c r="J990" s="120">
        <v>0</v>
      </c>
      <c r="K990" s="120" t="s">
        <v>251</v>
      </c>
      <c r="L990" s="120" t="s">
        <v>251</v>
      </c>
      <c r="M990" s="120">
        <v>0</v>
      </c>
      <c r="N990" s="120" t="s">
        <v>251</v>
      </c>
      <c r="O990" s="120">
        <v>0</v>
      </c>
      <c r="P990" s="120">
        <v>0</v>
      </c>
      <c r="Q990" s="120">
        <v>0</v>
      </c>
      <c r="R990" s="120"/>
    </row>
    <row r="991" spans="1:18" ht="15">
      <c r="A991" s="105">
        <v>14</v>
      </c>
      <c r="B991" s="105"/>
      <c r="C991" s="107" t="s">
        <v>989</v>
      </c>
      <c r="D991" s="107" t="s">
        <v>699</v>
      </c>
      <c r="E991" s="120">
        <v>522514</v>
      </c>
      <c r="F991" s="120" t="s">
        <v>251</v>
      </c>
      <c r="G991" s="120">
        <v>522514</v>
      </c>
      <c r="H991" s="120" t="s">
        <v>251</v>
      </c>
      <c r="I991" s="120">
        <v>0</v>
      </c>
      <c r="J991" s="120">
        <v>0</v>
      </c>
      <c r="K991" s="120" t="s">
        <v>251</v>
      </c>
      <c r="L991" s="120" t="s">
        <v>251</v>
      </c>
      <c r="M991" s="120">
        <v>0</v>
      </c>
      <c r="N991" s="120" t="s">
        <v>251</v>
      </c>
      <c r="O991" s="120">
        <v>0</v>
      </c>
      <c r="P991" s="120">
        <v>0</v>
      </c>
      <c r="Q991" s="120">
        <v>0</v>
      </c>
      <c r="R991" s="120"/>
    </row>
    <row r="992" spans="1:18" ht="15">
      <c r="A992" s="105">
        <v>15</v>
      </c>
      <c r="B992" s="105"/>
      <c r="C992" s="107" t="s">
        <v>990</v>
      </c>
      <c r="D992" s="107" t="s">
        <v>701</v>
      </c>
      <c r="E992" s="120">
        <v>550637</v>
      </c>
      <c r="F992" s="120" t="s">
        <v>251</v>
      </c>
      <c r="G992" s="120">
        <v>522511</v>
      </c>
      <c r="H992" s="120" t="s">
        <v>251</v>
      </c>
      <c r="I992" s="120">
        <v>28123</v>
      </c>
      <c r="J992" s="120">
        <v>3</v>
      </c>
      <c r="K992" s="120" t="s">
        <v>251</v>
      </c>
      <c r="L992" s="120" t="s">
        <v>251</v>
      </c>
      <c r="M992" s="120">
        <v>3</v>
      </c>
      <c r="N992" s="120" t="s">
        <v>251</v>
      </c>
      <c r="O992" s="120">
        <v>0</v>
      </c>
      <c r="P992" s="120">
        <v>0</v>
      </c>
      <c r="Q992" s="120">
        <v>0</v>
      </c>
      <c r="R992" s="120"/>
    </row>
    <row r="993" spans="1:18" ht="15">
      <c r="A993" s="105">
        <v>16</v>
      </c>
      <c r="B993" s="105"/>
      <c r="C993" s="107" t="s">
        <v>991</v>
      </c>
      <c r="D993" s="107" t="s">
        <v>708</v>
      </c>
      <c r="E993" s="120">
        <v>550637</v>
      </c>
      <c r="F993" s="120" t="s">
        <v>251</v>
      </c>
      <c r="G993" s="120">
        <v>522511</v>
      </c>
      <c r="H993" s="120" t="s">
        <v>251</v>
      </c>
      <c r="I993" s="120">
        <v>28123</v>
      </c>
      <c r="J993" s="120">
        <v>3</v>
      </c>
      <c r="K993" s="120" t="s">
        <v>251</v>
      </c>
      <c r="L993" s="120" t="s">
        <v>251</v>
      </c>
      <c r="M993" s="120">
        <v>3</v>
      </c>
      <c r="N993" s="120" t="s">
        <v>251</v>
      </c>
      <c r="O993" s="120">
        <v>0</v>
      </c>
      <c r="P993" s="120">
        <v>0</v>
      </c>
      <c r="Q993" s="120">
        <v>0</v>
      </c>
      <c r="R993" s="120"/>
    </row>
    <row r="994" spans="1:18" ht="15">
      <c r="A994" s="105">
        <v>17</v>
      </c>
      <c r="B994" s="105"/>
      <c r="C994" s="107" t="s">
        <v>992</v>
      </c>
      <c r="D994" s="107" t="s">
        <v>710</v>
      </c>
      <c r="E994" s="120">
        <v>550637</v>
      </c>
      <c r="F994" s="120" t="s">
        <v>251</v>
      </c>
      <c r="G994" s="120">
        <v>522511</v>
      </c>
      <c r="H994" s="120" t="s">
        <v>251</v>
      </c>
      <c r="I994" s="120">
        <v>28123</v>
      </c>
      <c r="J994" s="120">
        <v>3</v>
      </c>
      <c r="K994" s="120" t="s">
        <v>251</v>
      </c>
      <c r="L994" s="120" t="s">
        <v>251</v>
      </c>
      <c r="M994" s="120">
        <v>3</v>
      </c>
      <c r="N994" s="120" t="s">
        <v>251</v>
      </c>
      <c r="O994" s="120">
        <v>0</v>
      </c>
      <c r="P994" s="120">
        <v>0</v>
      </c>
      <c r="Q994" s="120">
        <v>0</v>
      </c>
      <c r="R994" s="120"/>
    </row>
    <row r="995" spans="1:18" ht="15">
      <c r="A995" s="105">
        <v>18</v>
      </c>
      <c r="B995" s="105"/>
      <c r="C995" s="107" t="s">
        <v>993</v>
      </c>
      <c r="D995" s="107" t="s">
        <v>994</v>
      </c>
      <c r="E995" s="120">
        <v>0</v>
      </c>
      <c r="F995" s="120" t="s">
        <v>251</v>
      </c>
      <c r="G995" s="120">
        <v>0</v>
      </c>
      <c r="H995" s="120" t="s">
        <v>251</v>
      </c>
      <c r="I995" s="120">
        <v>0</v>
      </c>
      <c r="J995" s="120">
        <v>0</v>
      </c>
      <c r="K995" s="120" t="s">
        <v>251</v>
      </c>
      <c r="L995" s="120" t="s">
        <v>251</v>
      </c>
      <c r="M995" s="120">
        <v>0</v>
      </c>
      <c r="N995" s="120" t="s">
        <v>251</v>
      </c>
      <c r="O995" s="120">
        <v>0</v>
      </c>
      <c r="P995" s="120">
        <v>0</v>
      </c>
      <c r="Q995" s="120">
        <v>0</v>
      </c>
      <c r="R995" s="120"/>
    </row>
    <row r="996" spans="1:18" ht="15">
      <c r="A996" s="105">
        <v>19</v>
      </c>
      <c r="B996" s="105"/>
      <c r="C996" s="107" t="s">
        <v>995</v>
      </c>
      <c r="D996" s="107" t="s">
        <v>784</v>
      </c>
      <c r="E996" s="120">
        <v>435510.91000000003</v>
      </c>
      <c r="F996" s="120" t="s">
        <v>251</v>
      </c>
      <c r="G996" s="120">
        <v>413608.63</v>
      </c>
      <c r="H996" s="120" t="s">
        <v>251</v>
      </c>
      <c r="I996" s="120">
        <v>21902.28</v>
      </c>
      <c r="J996" s="120">
        <v>0</v>
      </c>
      <c r="K996" s="120" t="s">
        <v>251</v>
      </c>
      <c r="L996" s="120" t="s">
        <v>251</v>
      </c>
      <c r="M996" s="120">
        <v>0</v>
      </c>
      <c r="N996" s="120" t="s">
        <v>251</v>
      </c>
      <c r="O996" s="120">
        <v>0</v>
      </c>
      <c r="P996" s="120">
        <v>0</v>
      </c>
      <c r="Q996" s="120">
        <v>0</v>
      </c>
      <c r="R996" s="120"/>
    </row>
    <row r="997" spans="1:18" ht="15">
      <c r="A997" s="105">
        <v>20</v>
      </c>
      <c r="B997" s="105"/>
      <c r="C997" s="107" t="s">
        <v>996</v>
      </c>
      <c r="D997" s="107" t="s">
        <v>563</v>
      </c>
      <c r="E997" s="120">
        <v>4283361.5500000007</v>
      </c>
      <c r="F997" s="120" t="s">
        <v>251</v>
      </c>
      <c r="G997" s="120">
        <v>4111497.58</v>
      </c>
      <c r="H997" s="120" t="s">
        <v>251</v>
      </c>
      <c r="I997" s="120">
        <v>171764.07</v>
      </c>
      <c r="J997" s="120">
        <v>99.9</v>
      </c>
      <c r="K997" s="120" t="s">
        <v>251</v>
      </c>
      <c r="L997" s="120" t="s">
        <v>251</v>
      </c>
      <c r="M997" s="120">
        <v>0</v>
      </c>
      <c r="N997" s="120" t="s">
        <v>251</v>
      </c>
      <c r="O997" s="120">
        <v>99.9</v>
      </c>
      <c r="P997" s="120">
        <v>6.23</v>
      </c>
      <c r="Q997" s="120">
        <v>93.67</v>
      </c>
      <c r="R997" s="120"/>
    </row>
    <row r="998" spans="1:18" ht="15">
      <c r="A998" s="105">
        <v>21</v>
      </c>
      <c r="B998" s="105"/>
      <c r="C998" s="107" t="s">
        <v>251</v>
      </c>
      <c r="D998" s="107" t="s">
        <v>251</v>
      </c>
      <c r="E998" s="120" t="s">
        <v>251</v>
      </c>
      <c r="F998" s="120" t="s">
        <v>251</v>
      </c>
      <c r="G998" s="120" t="s">
        <v>251</v>
      </c>
      <c r="H998" s="120" t="s">
        <v>251</v>
      </c>
      <c r="I998" s="120" t="s">
        <v>251</v>
      </c>
      <c r="J998" s="120" t="s">
        <v>251</v>
      </c>
      <c r="K998" s="120" t="s">
        <v>251</v>
      </c>
      <c r="L998" s="120" t="s">
        <v>251</v>
      </c>
      <c r="M998" s="120" t="s">
        <v>251</v>
      </c>
      <c r="N998" s="120" t="s">
        <v>251</v>
      </c>
      <c r="O998" s="120" t="s">
        <v>251</v>
      </c>
      <c r="P998" s="120" t="s">
        <v>251</v>
      </c>
      <c r="Q998" s="120" t="s">
        <v>251</v>
      </c>
      <c r="R998" s="120"/>
    </row>
    <row r="999" spans="1:18" ht="15">
      <c r="A999" s="105">
        <v>22</v>
      </c>
      <c r="B999" s="105"/>
      <c r="C999" s="107" t="s">
        <v>251</v>
      </c>
      <c r="D999" s="107" t="s">
        <v>251</v>
      </c>
      <c r="E999" s="120" t="s">
        <v>251</v>
      </c>
      <c r="F999" s="120" t="s">
        <v>251</v>
      </c>
      <c r="G999" s="120" t="s">
        <v>251</v>
      </c>
      <c r="H999" s="120" t="s">
        <v>251</v>
      </c>
      <c r="I999" s="120" t="s">
        <v>251</v>
      </c>
      <c r="J999" s="120" t="s">
        <v>251</v>
      </c>
      <c r="K999" s="120" t="s">
        <v>251</v>
      </c>
      <c r="L999" s="120" t="s">
        <v>251</v>
      </c>
      <c r="M999" s="120" t="s">
        <v>251</v>
      </c>
      <c r="N999" s="120" t="s">
        <v>251</v>
      </c>
      <c r="O999" s="120" t="s">
        <v>251</v>
      </c>
      <c r="P999" s="120" t="s">
        <v>251</v>
      </c>
      <c r="Q999" s="120" t="s">
        <v>251</v>
      </c>
      <c r="R999" s="120"/>
    </row>
    <row r="1000" spans="1:18" ht="15">
      <c r="A1000" s="105">
        <v>23</v>
      </c>
      <c r="B1000" s="105"/>
      <c r="C1000" s="107" t="s">
        <v>251</v>
      </c>
      <c r="D1000" s="107" t="s">
        <v>251</v>
      </c>
      <c r="E1000" s="120" t="s">
        <v>251</v>
      </c>
      <c r="F1000" s="120" t="s">
        <v>251</v>
      </c>
      <c r="G1000" s="120" t="s">
        <v>251</v>
      </c>
      <c r="H1000" s="120" t="s">
        <v>251</v>
      </c>
      <c r="I1000" s="120" t="s">
        <v>251</v>
      </c>
      <c r="J1000" s="120" t="s">
        <v>251</v>
      </c>
      <c r="K1000" s="120" t="s">
        <v>251</v>
      </c>
      <c r="L1000" s="120" t="s">
        <v>251</v>
      </c>
      <c r="M1000" s="120" t="s">
        <v>251</v>
      </c>
      <c r="N1000" s="120" t="s">
        <v>251</v>
      </c>
      <c r="O1000" s="120" t="s">
        <v>251</v>
      </c>
      <c r="P1000" s="120" t="s">
        <v>251</v>
      </c>
      <c r="Q1000" s="120" t="s">
        <v>251</v>
      </c>
      <c r="R1000" s="120"/>
    </row>
    <row r="1001" spans="1:18" ht="15">
      <c r="A1001" s="105">
        <v>24</v>
      </c>
      <c r="B1001" s="105"/>
      <c r="C1001" s="107" t="s">
        <v>251</v>
      </c>
      <c r="D1001" s="107" t="s">
        <v>251</v>
      </c>
      <c r="E1001" s="120" t="s">
        <v>251</v>
      </c>
      <c r="F1001" s="120" t="s">
        <v>251</v>
      </c>
      <c r="G1001" s="120" t="s">
        <v>251</v>
      </c>
      <c r="H1001" s="120" t="s">
        <v>251</v>
      </c>
      <c r="I1001" s="120" t="s">
        <v>251</v>
      </c>
      <c r="J1001" s="120" t="s">
        <v>251</v>
      </c>
      <c r="K1001" s="120" t="s">
        <v>251</v>
      </c>
      <c r="L1001" s="120" t="s">
        <v>251</v>
      </c>
      <c r="M1001" s="120" t="s">
        <v>251</v>
      </c>
      <c r="N1001" s="120" t="s">
        <v>251</v>
      </c>
      <c r="O1001" s="120" t="s">
        <v>251</v>
      </c>
      <c r="P1001" s="120" t="s">
        <v>251</v>
      </c>
      <c r="Q1001" s="120" t="s">
        <v>251</v>
      </c>
      <c r="R1001" s="120"/>
    </row>
    <row r="1002" spans="1:18" ht="15">
      <c r="A1002" s="105">
        <v>25</v>
      </c>
      <c r="B1002" s="105"/>
      <c r="C1002" s="107" t="s">
        <v>251</v>
      </c>
      <c r="D1002" s="107" t="s">
        <v>251</v>
      </c>
      <c r="E1002" s="120" t="s">
        <v>251</v>
      </c>
      <c r="F1002" s="120" t="s">
        <v>251</v>
      </c>
      <c r="G1002" s="120" t="s">
        <v>251</v>
      </c>
      <c r="H1002" s="120" t="s">
        <v>251</v>
      </c>
      <c r="I1002" s="120" t="s">
        <v>251</v>
      </c>
      <c r="J1002" s="120" t="s">
        <v>251</v>
      </c>
      <c r="K1002" s="120" t="s">
        <v>251</v>
      </c>
      <c r="L1002" s="120" t="s">
        <v>251</v>
      </c>
      <c r="M1002" s="120" t="s">
        <v>251</v>
      </c>
      <c r="N1002" s="120" t="s">
        <v>251</v>
      </c>
      <c r="O1002" s="120" t="s">
        <v>251</v>
      </c>
      <c r="P1002" s="120" t="s">
        <v>251</v>
      </c>
      <c r="Q1002" s="120" t="s">
        <v>251</v>
      </c>
      <c r="R1002" s="120"/>
    </row>
    <row r="1003" spans="1:18" ht="15">
      <c r="A1003" s="105" t="s">
        <v>251</v>
      </c>
      <c r="B1003" s="105"/>
      <c r="C1003" s="107" t="s">
        <v>251</v>
      </c>
      <c r="D1003" s="107" t="s">
        <v>251</v>
      </c>
      <c r="E1003" s="120" t="s">
        <v>251</v>
      </c>
      <c r="F1003" s="120" t="s">
        <v>251</v>
      </c>
      <c r="G1003" s="120" t="s">
        <v>251</v>
      </c>
      <c r="H1003" s="120" t="s">
        <v>251</v>
      </c>
      <c r="I1003" s="120" t="s">
        <v>251</v>
      </c>
      <c r="J1003" s="120" t="s">
        <v>251</v>
      </c>
      <c r="K1003" s="120" t="s">
        <v>251</v>
      </c>
      <c r="L1003" s="120" t="s">
        <v>251</v>
      </c>
      <c r="M1003" s="120" t="s">
        <v>251</v>
      </c>
      <c r="N1003" s="120" t="s">
        <v>251</v>
      </c>
      <c r="O1003" s="120" t="s">
        <v>251</v>
      </c>
      <c r="P1003" s="120" t="s">
        <v>251</v>
      </c>
      <c r="Q1003" s="120" t="s">
        <v>251</v>
      </c>
      <c r="R1003" s="120"/>
    </row>
    <row r="1004" spans="1:18" ht="15">
      <c r="A1004" s="105" t="s">
        <v>251</v>
      </c>
      <c r="B1004" s="105"/>
      <c r="C1004" s="107" t="s">
        <v>997</v>
      </c>
      <c r="D1004" s="107" t="s">
        <v>251</v>
      </c>
      <c r="E1004" s="120" t="s">
        <v>251</v>
      </c>
      <c r="F1004" s="120" t="s">
        <v>251</v>
      </c>
      <c r="G1004" s="120" t="s">
        <v>251</v>
      </c>
      <c r="H1004" s="120" t="s">
        <v>251</v>
      </c>
      <c r="I1004" s="120" t="s">
        <v>251</v>
      </c>
      <c r="J1004" s="120" t="s">
        <v>251</v>
      </c>
      <c r="K1004" s="120" t="s">
        <v>251</v>
      </c>
      <c r="L1004" s="120" t="s">
        <v>251</v>
      </c>
      <c r="M1004" s="120" t="s">
        <v>251</v>
      </c>
      <c r="N1004" s="120" t="s">
        <v>251</v>
      </c>
      <c r="O1004" s="120" t="s">
        <v>251</v>
      </c>
      <c r="P1004" s="120" t="s">
        <v>251</v>
      </c>
      <c r="Q1004" s="120" t="s">
        <v>251</v>
      </c>
      <c r="R1004" s="120"/>
    </row>
    <row r="1005" spans="1:18" ht="15">
      <c r="A1005" s="105" t="s">
        <v>251</v>
      </c>
      <c r="B1005" s="105"/>
      <c r="C1005" s="107" t="s">
        <v>920</v>
      </c>
      <c r="D1005" s="107" t="s">
        <v>251</v>
      </c>
      <c r="E1005" s="120" t="s">
        <v>251</v>
      </c>
      <c r="F1005" s="120" t="s">
        <v>251</v>
      </c>
      <c r="G1005" s="120" t="s">
        <v>251</v>
      </c>
      <c r="H1005" s="120" t="s">
        <v>251</v>
      </c>
      <c r="I1005" s="120" t="s">
        <v>251</v>
      </c>
      <c r="J1005" s="120" t="s">
        <v>251</v>
      </c>
      <c r="K1005" s="120" t="s">
        <v>251</v>
      </c>
      <c r="L1005" s="120" t="s">
        <v>251</v>
      </c>
      <c r="M1005" s="120" t="s">
        <v>251</v>
      </c>
      <c r="N1005" s="120" t="s">
        <v>251</v>
      </c>
      <c r="O1005" s="120" t="s">
        <v>251</v>
      </c>
      <c r="P1005" s="120" t="s">
        <v>251</v>
      </c>
      <c r="Q1005" s="120" t="s">
        <v>251</v>
      </c>
      <c r="R1005" s="120"/>
    </row>
    <row r="1006" spans="1:18" ht="15">
      <c r="A1006" s="105">
        <v>1</v>
      </c>
      <c r="B1006" s="105"/>
      <c r="C1006" s="107" t="s">
        <v>998</v>
      </c>
      <c r="D1006" s="107" t="s">
        <v>296</v>
      </c>
      <c r="E1006" s="120">
        <v>9965031318.0714855</v>
      </c>
      <c r="F1006" s="120" t="s">
        <v>251</v>
      </c>
      <c r="G1006" s="120">
        <v>9317044458.5680084</v>
      </c>
      <c r="H1006" s="120" t="s">
        <v>251</v>
      </c>
      <c r="I1006" s="120">
        <v>502996522.80880249</v>
      </c>
      <c r="J1006" s="120">
        <v>144990336.69467634</v>
      </c>
      <c r="K1006" s="120" t="s">
        <v>251</v>
      </c>
      <c r="L1006" s="120" t="s">
        <v>251</v>
      </c>
      <c r="M1006" s="120">
        <v>684830.67981850635</v>
      </c>
      <c r="N1006" s="120" t="s">
        <v>251</v>
      </c>
      <c r="O1006" s="120">
        <v>144305506.01485783</v>
      </c>
      <c r="P1006" s="120">
        <v>75003926.08009243</v>
      </c>
      <c r="Q1006" s="120">
        <v>69301579.934765399</v>
      </c>
      <c r="R1006" s="120"/>
    </row>
    <row r="1007" spans="1:18" ht="15">
      <c r="A1007" s="105">
        <v>2</v>
      </c>
      <c r="B1007" s="105"/>
      <c r="C1007" s="107" t="s">
        <v>999</v>
      </c>
      <c r="D1007" s="107" t="s">
        <v>298</v>
      </c>
      <c r="E1007" s="120">
        <v>9317044458.5680084</v>
      </c>
      <c r="F1007" s="120" t="s">
        <v>251</v>
      </c>
      <c r="G1007" s="120">
        <v>9317044458.5680084</v>
      </c>
      <c r="H1007" s="120" t="s">
        <v>251</v>
      </c>
      <c r="I1007" s="120">
        <v>0</v>
      </c>
      <c r="J1007" s="120">
        <v>0</v>
      </c>
      <c r="K1007" s="120" t="s">
        <v>251</v>
      </c>
      <c r="L1007" s="120" t="s">
        <v>251</v>
      </c>
      <c r="M1007" s="120">
        <v>0</v>
      </c>
      <c r="N1007" s="120" t="s">
        <v>251</v>
      </c>
      <c r="O1007" s="120">
        <v>0</v>
      </c>
      <c r="P1007" s="120">
        <v>0</v>
      </c>
      <c r="Q1007" s="120">
        <v>0</v>
      </c>
      <c r="R1007" s="120"/>
    </row>
    <row r="1008" spans="1:18" ht="15">
      <c r="A1008" s="105">
        <v>3</v>
      </c>
      <c r="B1008" s="105"/>
      <c r="C1008" s="107" t="s">
        <v>1000</v>
      </c>
      <c r="D1008" s="107" t="s">
        <v>419</v>
      </c>
      <c r="E1008" s="120">
        <v>178867174</v>
      </c>
      <c r="F1008" s="120" t="s">
        <v>251</v>
      </c>
      <c r="G1008" s="120">
        <v>168255995.62512711</v>
      </c>
      <c r="H1008" s="120" t="s">
        <v>251</v>
      </c>
      <c r="I1008" s="120">
        <v>8468966.3726164941</v>
      </c>
      <c r="J1008" s="120">
        <v>2142212.0022563972</v>
      </c>
      <c r="K1008" s="120" t="s">
        <v>251</v>
      </c>
      <c r="L1008" s="120" t="s">
        <v>251</v>
      </c>
      <c r="M1008" s="120">
        <v>12052.40142442933</v>
      </c>
      <c r="N1008" s="120" t="s">
        <v>251</v>
      </c>
      <c r="O1008" s="120">
        <v>2130159.6008319678</v>
      </c>
      <c r="P1008" s="120">
        <v>1110408.9828937554</v>
      </c>
      <c r="Q1008" s="120">
        <v>1019750.6179382126</v>
      </c>
      <c r="R1008" s="120"/>
    </row>
    <row r="1009" spans="1:18" ht="15">
      <c r="A1009" s="105">
        <v>4</v>
      </c>
      <c r="B1009" s="105"/>
      <c r="C1009" s="107" t="s">
        <v>1001</v>
      </c>
      <c r="D1009" s="107" t="s">
        <v>444</v>
      </c>
      <c r="E1009" s="120">
        <v>5417083338.7001648</v>
      </c>
      <c r="F1009" s="120" t="s">
        <v>251</v>
      </c>
      <c r="G1009" s="120">
        <v>5078060761.8503189</v>
      </c>
      <c r="H1009" s="120" t="s">
        <v>251</v>
      </c>
      <c r="I1009" s="120">
        <v>232530651.65437588</v>
      </c>
      <c r="J1009" s="120">
        <v>106491925.19546989</v>
      </c>
      <c r="K1009" s="120" t="s">
        <v>251</v>
      </c>
      <c r="L1009" s="120" t="s">
        <v>251</v>
      </c>
      <c r="M1009" s="120">
        <v>16299.867631284325</v>
      </c>
      <c r="N1009" s="120" t="s">
        <v>251</v>
      </c>
      <c r="O1009" s="120">
        <v>106475625.3278386</v>
      </c>
      <c r="P1009" s="120">
        <v>54001461.462444969</v>
      </c>
      <c r="Q1009" s="120">
        <v>52474163.865393624</v>
      </c>
      <c r="R1009" s="120"/>
    </row>
    <row r="1010" spans="1:18" ht="15">
      <c r="A1010" s="105">
        <v>5</v>
      </c>
      <c r="B1010" s="105"/>
      <c r="C1010" s="107" t="s">
        <v>1002</v>
      </c>
      <c r="D1010" s="107" t="s">
        <v>904</v>
      </c>
      <c r="E1010" s="120">
        <v>113366614</v>
      </c>
      <c r="F1010" s="120" t="s">
        <v>251</v>
      </c>
      <c r="G1010" s="120">
        <v>106641213.60367371</v>
      </c>
      <c r="H1010" s="120" t="s">
        <v>251</v>
      </c>
      <c r="I1010" s="120">
        <v>5367659.2539187446</v>
      </c>
      <c r="J1010" s="120">
        <v>1357741.1424075393</v>
      </c>
      <c r="K1010" s="120" t="s">
        <v>251</v>
      </c>
      <c r="L1010" s="120" t="s">
        <v>251</v>
      </c>
      <c r="M1010" s="120">
        <v>7638.8523925375484</v>
      </c>
      <c r="N1010" s="120" t="s">
        <v>251</v>
      </c>
      <c r="O1010" s="120">
        <v>1350102.2900150018</v>
      </c>
      <c r="P1010" s="120">
        <v>703780.93269282032</v>
      </c>
      <c r="Q1010" s="120">
        <v>646321.35732218158</v>
      </c>
      <c r="R1010" s="120"/>
    </row>
    <row r="1011" spans="1:18" ht="15">
      <c r="A1011" s="105">
        <v>6</v>
      </c>
      <c r="B1011" s="105"/>
      <c r="C1011" s="107" t="s">
        <v>1003</v>
      </c>
      <c r="D1011" s="107" t="s">
        <v>449</v>
      </c>
      <c r="E1011" s="120">
        <v>43745720.995444603</v>
      </c>
      <c r="F1011" s="120" t="s">
        <v>251</v>
      </c>
      <c r="G1011" s="120">
        <v>41007940.139817469</v>
      </c>
      <c r="H1011" s="120" t="s">
        <v>251</v>
      </c>
      <c r="I1011" s="120">
        <v>1877804.0458580216</v>
      </c>
      <c r="J1011" s="120">
        <v>859976.80976911308</v>
      </c>
      <c r="K1011" s="120" t="s">
        <v>251</v>
      </c>
      <c r="L1011" s="120" t="s">
        <v>251</v>
      </c>
      <c r="M1011" s="120">
        <v>131.62977511657402</v>
      </c>
      <c r="N1011" s="120" t="s">
        <v>251</v>
      </c>
      <c r="O1011" s="120">
        <v>859845.17999399651</v>
      </c>
      <c r="P1011" s="120">
        <v>436089.44496120972</v>
      </c>
      <c r="Q1011" s="120">
        <v>423755.73503278679</v>
      </c>
      <c r="R1011" s="120"/>
    </row>
    <row r="1012" spans="1:18" ht="15">
      <c r="A1012" s="105">
        <v>7</v>
      </c>
      <c r="B1012" s="105"/>
      <c r="C1012" s="107" t="s">
        <v>1004</v>
      </c>
      <c r="D1012" s="107" t="s">
        <v>452</v>
      </c>
      <c r="E1012" s="120">
        <v>1062672890.0597835</v>
      </c>
      <c r="F1012" s="120" t="s">
        <v>251</v>
      </c>
      <c r="G1012" s="120">
        <v>996166602.6333493</v>
      </c>
      <c r="H1012" s="120" t="s">
        <v>251</v>
      </c>
      <c r="I1012" s="120">
        <v>45615694.677559324</v>
      </c>
      <c r="J1012" s="120">
        <v>20890592.748874813</v>
      </c>
      <c r="K1012" s="120" t="s">
        <v>251</v>
      </c>
      <c r="L1012" s="120" t="s">
        <v>251</v>
      </c>
      <c r="M1012" s="120">
        <v>3197.5560205217603</v>
      </c>
      <c r="N1012" s="120" t="s">
        <v>251</v>
      </c>
      <c r="O1012" s="120">
        <v>20887395.192854293</v>
      </c>
      <c r="P1012" s="120">
        <v>10593503.095988592</v>
      </c>
      <c r="Q1012" s="120">
        <v>10293892.096865702</v>
      </c>
      <c r="R1012" s="120"/>
    </row>
    <row r="1013" spans="1:18" ht="15">
      <c r="A1013" s="105">
        <v>8</v>
      </c>
      <c r="B1013" s="105"/>
      <c r="C1013" s="107" t="s">
        <v>1005</v>
      </c>
      <c r="D1013" s="107" t="s">
        <v>1006</v>
      </c>
      <c r="E1013" s="120">
        <v>1069988719.8945398</v>
      </c>
      <c r="F1013" s="120" t="s">
        <v>251</v>
      </c>
      <c r="G1013" s="120">
        <v>1021671276.3965485</v>
      </c>
      <c r="H1013" s="120" t="s">
        <v>251</v>
      </c>
      <c r="I1013" s="120">
        <v>47580842.049831003</v>
      </c>
      <c r="J1013" s="120">
        <v>736601.44816024054</v>
      </c>
      <c r="K1013" s="120" t="s">
        <v>251</v>
      </c>
      <c r="L1013" s="120" t="s">
        <v>251</v>
      </c>
      <c r="M1013" s="120">
        <v>3271.133827730237</v>
      </c>
      <c r="N1013" s="120" t="s">
        <v>251</v>
      </c>
      <c r="O1013" s="120">
        <v>733330.31433251034</v>
      </c>
      <c r="P1013" s="120">
        <v>371924.64084374672</v>
      </c>
      <c r="Q1013" s="120">
        <v>361405.67348876363</v>
      </c>
      <c r="R1013" s="120"/>
    </row>
    <row r="1014" spans="1:18" ht="15">
      <c r="A1014" s="105">
        <v>9</v>
      </c>
      <c r="B1014" s="105"/>
      <c r="C1014" s="107" t="s">
        <v>1007</v>
      </c>
      <c r="D1014" s="107" t="s">
        <v>484</v>
      </c>
      <c r="E1014" s="120">
        <v>59688104.819140323</v>
      </c>
      <c r="F1014" s="120" t="s">
        <v>251</v>
      </c>
      <c r="G1014" s="120">
        <v>0</v>
      </c>
      <c r="H1014" s="120" t="s">
        <v>251</v>
      </c>
      <c r="I1014" s="120">
        <v>59688104.819140323</v>
      </c>
      <c r="J1014" s="120">
        <v>0</v>
      </c>
      <c r="K1014" s="120" t="s">
        <v>251</v>
      </c>
      <c r="L1014" s="120" t="s">
        <v>251</v>
      </c>
      <c r="M1014" s="120">
        <v>0</v>
      </c>
      <c r="N1014" s="120" t="s">
        <v>251</v>
      </c>
      <c r="O1014" s="120">
        <v>0</v>
      </c>
      <c r="P1014" s="120">
        <v>0</v>
      </c>
      <c r="Q1014" s="120">
        <v>0</v>
      </c>
      <c r="R1014" s="120"/>
    </row>
    <row r="1015" spans="1:18" ht="15">
      <c r="A1015" s="105">
        <v>10</v>
      </c>
      <c r="B1015" s="105"/>
      <c r="C1015" s="107" t="s">
        <v>1008</v>
      </c>
      <c r="D1015" s="107" t="s">
        <v>1009</v>
      </c>
      <c r="E1015" s="120">
        <v>67918534.229140326</v>
      </c>
      <c r="F1015" s="120" t="s">
        <v>251</v>
      </c>
      <c r="G1015" s="120">
        <v>8230402.9915529564</v>
      </c>
      <c r="H1015" s="120" t="s">
        <v>251</v>
      </c>
      <c r="I1015" s="120">
        <v>59688104.819140323</v>
      </c>
      <c r="J1015" s="120">
        <v>26.418447042283358</v>
      </c>
      <c r="K1015" s="120" t="s">
        <v>251</v>
      </c>
      <c r="L1015" s="120" t="s">
        <v>251</v>
      </c>
      <c r="M1015" s="120">
        <v>26.418447042283358</v>
      </c>
      <c r="N1015" s="120" t="s">
        <v>251</v>
      </c>
      <c r="O1015" s="120">
        <v>0</v>
      </c>
      <c r="P1015" s="120">
        <v>0</v>
      </c>
      <c r="Q1015" s="120">
        <v>0</v>
      </c>
      <c r="R1015" s="120"/>
    </row>
    <row r="1016" spans="1:18" ht="15">
      <c r="A1016" s="105">
        <v>11</v>
      </c>
      <c r="B1016" s="105"/>
      <c r="C1016" s="107" t="s">
        <v>416</v>
      </c>
      <c r="D1016" s="107" t="s">
        <v>502</v>
      </c>
      <c r="E1016" s="120">
        <v>2028003527.0356328</v>
      </c>
      <c r="F1016" s="120" t="s">
        <v>251</v>
      </c>
      <c r="G1016" s="120">
        <v>1924181178.5171525</v>
      </c>
      <c r="H1016" s="120" t="s">
        <v>251</v>
      </c>
      <c r="I1016" s="120">
        <v>99510269.818480313</v>
      </c>
      <c r="J1016" s="120">
        <v>4312078.7</v>
      </c>
      <c r="K1016" s="120" t="s">
        <v>251</v>
      </c>
      <c r="L1016" s="120" t="s">
        <v>251</v>
      </c>
      <c r="M1016" s="120">
        <v>647118.70000000007</v>
      </c>
      <c r="N1016" s="120" t="s">
        <v>251</v>
      </c>
      <c r="O1016" s="120">
        <v>3664960</v>
      </c>
      <c r="P1016" s="120">
        <v>3638108</v>
      </c>
      <c r="Q1016" s="120">
        <v>26852</v>
      </c>
      <c r="R1016" s="120"/>
    </row>
    <row r="1017" spans="1:18" ht="15">
      <c r="A1017" s="105">
        <v>12</v>
      </c>
      <c r="B1017" s="105"/>
      <c r="C1017" s="107" t="s">
        <v>1010</v>
      </c>
      <c r="D1017" s="107" t="s">
        <v>466</v>
      </c>
      <c r="E1017" s="120">
        <v>1927846138.5171525</v>
      </c>
      <c r="F1017" s="120" t="s">
        <v>251</v>
      </c>
      <c r="G1017" s="120">
        <v>1924181178.5171525</v>
      </c>
      <c r="H1017" s="120" t="s">
        <v>251</v>
      </c>
      <c r="I1017" s="120">
        <v>0</v>
      </c>
      <c r="J1017" s="120">
        <v>3664960</v>
      </c>
      <c r="K1017" s="120" t="s">
        <v>251</v>
      </c>
      <c r="L1017" s="120" t="s">
        <v>251</v>
      </c>
      <c r="M1017" s="120">
        <v>0</v>
      </c>
      <c r="N1017" s="120" t="s">
        <v>251</v>
      </c>
      <c r="O1017" s="120">
        <v>3664960</v>
      </c>
      <c r="P1017" s="120">
        <v>3638108</v>
      </c>
      <c r="Q1017" s="120">
        <v>26852</v>
      </c>
      <c r="R1017" s="120"/>
    </row>
    <row r="1018" spans="1:18" ht="15">
      <c r="A1018" s="105">
        <v>13</v>
      </c>
      <c r="B1018" s="105"/>
      <c r="C1018" s="107" t="s">
        <v>1011</v>
      </c>
      <c r="D1018" s="107" t="s">
        <v>468</v>
      </c>
      <c r="E1018" s="120">
        <v>227252325.42677984</v>
      </c>
      <c r="F1018" s="120" t="s">
        <v>251</v>
      </c>
      <c r="G1018" s="120">
        <v>214243630.77420601</v>
      </c>
      <c r="H1018" s="120" t="s">
        <v>251</v>
      </c>
      <c r="I1018" s="120">
        <v>10382465.893247556</v>
      </c>
      <c r="J1018" s="120">
        <v>2626228.7593262796</v>
      </c>
      <c r="K1018" s="120" t="s">
        <v>251</v>
      </c>
      <c r="L1018" s="120" t="s">
        <v>251</v>
      </c>
      <c r="M1018" s="120">
        <v>14775.551255637543</v>
      </c>
      <c r="N1018" s="120" t="s">
        <v>251</v>
      </c>
      <c r="O1018" s="120">
        <v>2611453.2080706423</v>
      </c>
      <c r="P1018" s="120">
        <v>1361297.5757853077</v>
      </c>
      <c r="Q1018" s="120">
        <v>1250155.6322853346</v>
      </c>
      <c r="R1018" s="120"/>
    </row>
    <row r="1019" spans="1:18" ht="15">
      <c r="A1019" s="105">
        <v>14</v>
      </c>
      <c r="B1019" s="105"/>
      <c r="C1019" s="107" t="s">
        <v>1012</v>
      </c>
      <c r="D1019" s="107" t="s">
        <v>470</v>
      </c>
      <c r="E1019" s="120">
        <v>55918.829999999994</v>
      </c>
      <c r="F1019" s="120" t="s">
        <v>251</v>
      </c>
      <c r="G1019" s="120">
        <v>55918.829999999994</v>
      </c>
      <c r="H1019" s="120" t="s">
        <v>251</v>
      </c>
      <c r="I1019" s="120">
        <v>0</v>
      </c>
      <c r="J1019" s="120">
        <v>0</v>
      </c>
      <c r="K1019" s="120" t="s">
        <v>251</v>
      </c>
      <c r="L1019" s="120" t="s">
        <v>251</v>
      </c>
      <c r="M1019" s="120">
        <v>0</v>
      </c>
      <c r="N1019" s="120" t="s">
        <v>251</v>
      </c>
      <c r="O1019" s="120">
        <v>0</v>
      </c>
      <c r="P1019" s="120">
        <v>0</v>
      </c>
      <c r="Q1019" s="120">
        <v>0</v>
      </c>
      <c r="R1019" s="120"/>
    </row>
    <row r="1020" spans="1:18" ht="15">
      <c r="A1020" s="105">
        <v>15</v>
      </c>
      <c r="B1020" s="105"/>
      <c r="C1020" s="107" t="s">
        <v>1013</v>
      </c>
      <c r="D1020" s="107" t="s">
        <v>472</v>
      </c>
      <c r="E1020" s="120">
        <v>97263001.68879576</v>
      </c>
      <c r="F1020" s="120" t="s">
        <v>251</v>
      </c>
      <c r="G1020" s="120">
        <v>90938370.586441979</v>
      </c>
      <c r="H1020" s="120" t="s">
        <v>251</v>
      </c>
      <c r="I1020" s="120">
        <v>4909462.9094330743</v>
      </c>
      <c r="J1020" s="120">
        <v>1415168.192920696</v>
      </c>
      <c r="K1020" s="120" t="s">
        <v>251</v>
      </c>
      <c r="L1020" s="120" t="s">
        <v>251</v>
      </c>
      <c r="M1020" s="120">
        <v>6684.2426723669514</v>
      </c>
      <c r="N1020" s="120" t="s">
        <v>251</v>
      </c>
      <c r="O1020" s="120">
        <v>1408483.950248329</v>
      </c>
      <c r="P1020" s="120">
        <v>732070.65348251699</v>
      </c>
      <c r="Q1020" s="120">
        <v>676413.29676581209</v>
      </c>
      <c r="R1020" s="120"/>
    </row>
    <row r="1021" spans="1:18" ht="15">
      <c r="A1021" s="105">
        <v>16</v>
      </c>
      <c r="B1021" s="105"/>
      <c r="C1021" s="107" t="s">
        <v>1014</v>
      </c>
      <c r="D1021" s="107" t="s">
        <v>478</v>
      </c>
      <c r="E1021" s="120">
        <v>6523501949.755393</v>
      </c>
      <c r="F1021" s="120" t="s">
        <v>251</v>
      </c>
      <c r="G1021" s="120">
        <v>6115235304.6234856</v>
      </c>
      <c r="H1021" s="120" t="s">
        <v>251</v>
      </c>
      <c r="I1021" s="120">
        <v>280024150.37779325</v>
      </c>
      <c r="J1021" s="120">
        <v>128242494.75411381</v>
      </c>
      <c r="K1021" s="120" t="s">
        <v>251</v>
      </c>
      <c r="L1021" s="120" t="s">
        <v>251</v>
      </c>
      <c r="M1021" s="120">
        <v>19629.053426922655</v>
      </c>
      <c r="N1021" s="120" t="s">
        <v>251</v>
      </c>
      <c r="O1021" s="120">
        <v>128222865.70068689</v>
      </c>
      <c r="P1021" s="120">
        <v>65031054.003394768</v>
      </c>
      <c r="Q1021" s="120">
        <v>63191811.697292119</v>
      </c>
      <c r="R1021" s="120"/>
    </row>
    <row r="1022" spans="1:18" ht="15">
      <c r="A1022" s="105">
        <v>17</v>
      </c>
      <c r="B1022" s="105"/>
      <c r="C1022" s="107" t="s">
        <v>336</v>
      </c>
      <c r="D1022" s="107" t="s">
        <v>498</v>
      </c>
      <c r="E1022" s="120">
        <v>6570264832.585393</v>
      </c>
      <c r="F1022" s="120" t="s">
        <v>251</v>
      </c>
      <c r="G1022" s="120">
        <v>6147446507.0505276</v>
      </c>
      <c r="H1022" s="120" t="s">
        <v>251</v>
      </c>
      <c r="I1022" s="120">
        <v>285504504.54772508</v>
      </c>
      <c r="J1022" s="120">
        <v>137313820.98714039</v>
      </c>
      <c r="K1022" s="120" t="s">
        <v>251</v>
      </c>
      <c r="L1022" s="120" t="s">
        <v>251</v>
      </c>
      <c r="M1022" s="120">
        <v>19629.984827561344</v>
      </c>
      <c r="N1022" s="120" t="s">
        <v>251</v>
      </c>
      <c r="O1022" s="120">
        <v>137294191.00231284</v>
      </c>
      <c r="P1022" s="120">
        <v>69631776.677535087</v>
      </c>
      <c r="Q1022" s="120">
        <v>67662414.324777752</v>
      </c>
      <c r="R1022" s="120"/>
    </row>
    <row r="1023" spans="1:18" ht="15">
      <c r="A1023" s="105">
        <v>18</v>
      </c>
      <c r="B1023" s="105"/>
      <c r="C1023" s="107" t="s">
        <v>357</v>
      </c>
      <c r="D1023" s="107" t="s">
        <v>1015</v>
      </c>
      <c r="E1023" s="120">
        <v>1137907254.1236799</v>
      </c>
      <c r="F1023" s="120" t="s">
        <v>251</v>
      </c>
      <c r="G1023" s="120">
        <v>1029901679.3881015</v>
      </c>
      <c r="H1023" s="120" t="s">
        <v>251</v>
      </c>
      <c r="I1023" s="120">
        <v>107268946.86897132</v>
      </c>
      <c r="J1023" s="120">
        <v>736627.86660728289</v>
      </c>
      <c r="K1023" s="120" t="s">
        <v>251</v>
      </c>
      <c r="L1023" s="120" t="s">
        <v>251</v>
      </c>
      <c r="M1023" s="120">
        <v>3297.5522747725204</v>
      </c>
      <c r="N1023" s="120" t="s">
        <v>251</v>
      </c>
      <c r="O1023" s="120">
        <v>733330.31433251034</v>
      </c>
      <c r="P1023" s="120">
        <v>371924.64084374672</v>
      </c>
      <c r="Q1023" s="120">
        <v>361405.67348876363</v>
      </c>
      <c r="R1023" s="120"/>
    </row>
    <row r="1024" spans="1:18" ht="15">
      <c r="A1024" s="105">
        <v>19</v>
      </c>
      <c r="B1024" s="105"/>
      <c r="C1024" s="107" t="s">
        <v>1016</v>
      </c>
      <c r="D1024" s="107" t="s">
        <v>500</v>
      </c>
      <c r="E1024" s="120">
        <v>1137173923.8093474</v>
      </c>
      <c r="F1024" s="120" t="s">
        <v>251</v>
      </c>
      <c r="G1024" s="120">
        <v>1029901679.3881015</v>
      </c>
      <c r="H1024" s="120" t="s">
        <v>251</v>
      </c>
      <c r="I1024" s="120">
        <v>107268946.86897132</v>
      </c>
      <c r="J1024" s="120">
        <v>3297.5522747725204</v>
      </c>
      <c r="K1024" s="120" t="s">
        <v>251</v>
      </c>
      <c r="L1024" s="120" t="s">
        <v>251</v>
      </c>
      <c r="M1024" s="120">
        <v>3297.5522747725204</v>
      </c>
      <c r="N1024" s="120" t="s">
        <v>251</v>
      </c>
      <c r="O1024" s="120">
        <v>0</v>
      </c>
      <c r="P1024" s="120">
        <v>0</v>
      </c>
      <c r="Q1024" s="120">
        <v>0</v>
      </c>
      <c r="R1024" s="120"/>
    </row>
    <row r="1025" spans="1:18" ht="15">
      <c r="A1025" s="105">
        <v>20</v>
      </c>
      <c r="B1025" s="105"/>
      <c r="C1025" s="107" t="s">
        <v>1017</v>
      </c>
      <c r="D1025" s="107" t="s">
        <v>505</v>
      </c>
      <c r="E1025" s="120">
        <v>48204764</v>
      </c>
      <c r="F1025" s="120" t="s">
        <v>251</v>
      </c>
      <c r="G1025" s="120">
        <v>44904121.007306747</v>
      </c>
      <c r="H1025" s="120" t="s">
        <v>251</v>
      </c>
      <c r="I1025" s="120">
        <v>2627633.4715113505</v>
      </c>
      <c r="J1025" s="120">
        <v>673009.52118190262</v>
      </c>
      <c r="K1025" s="120" t="s">
        <v>251</v>
      </c>
      <c r="L1025" s="120" t="s">
        <v>251</v>
      </c>
      <c r="M1025" s="120">
        <v>2361.0170484871669</v>
      </c>
      <c r="N1025" s="120" t="s">
        <v>251</v>
      </c>
      <c r="O1025" s="120">
        <v>670648.50413341541</v>
      </c>
      <c r="P1025" s="120">
        <v>346290.09993925795</v>
      </c>
      <c r="Q1025" s="120">
        <v>324358.40419415745</v>
      </c>
      <c r="R1025" s="120"/>
    </row>
    <row r="1026" spans="1:18" ht="15">
      <c r="A1026" s="105">
        <v>21</v>
      </c>
      <c r="B1026" s="105"/>
      <c r="C1026" s="107" t="s">
        <v>1018</v>
      </c>
      <c r="D1026" s="107" t="s">
        <v>510</v>
      </c>
      <c r="E1026" s="120">
        <v>11206094.999999998</v>
      </c>
      <c r="F1026" s="120" t="s">
        <v>251</v>
      </c>
      <c r="G1026" s="120">
        <v>10505965.54950317</v>
      </c>
      <c r="H1026" s="120" t="s">
        <v>251</v>
      </c>
      <c r="I1026" s="120">
        <v>549970.73135864548</v>
      </c>
      <c r="J1026" s="120">
        <v>150158.71913818203</v>
      </c>
      <c r="K1026" s="120" t="s">
        <v>251</v>
      </c>
      <c r="L1026" s="120" t="s">
        <v>251</v>
      </c>
      <c r="M1026" s="120">
        <v>763.39944357329091</v>
      </c>
      <c r="N1026" s="120" t="s">
        <v>251</v>
      </c>
      <c r="O1026" s="120">
        <v>149395.31969460874</v>
      </c>
      <c r="P1026" s="120">
        <v>77740.167479422322</v>
      </c>
      <c r="Q1026" s="120">
        <v>71655.152215186419</v>
      </c>
      <c r="R1026" s="120"/>
    </row>
    <row r="1027" spans="1:18" ht="15">
      <c r="A1027" s="105">
        <v>22</v>
      </c>
      <c r="B1027" s="105"/>
      <c r="C1027" s="107" t="s">
        <v>1019</v>
      </c>
      <c r="D1027" s="107" t="s">
        <v>512</v>
      </c>
      <c r="E1027" s="120">
        <v>1598220846.7285123</v>
      </c>
      <c r="F1027" s="120" t="s">
        <v>251</v>
      </c>
      <c r="G1027" s="120">
        <v>1598220846.7285123</v>
      </c>
      <c r="H1027" s="120" t="s">
        <v>251</v>
      </c>
      <c r="I1027" s="120">
        <v>0</v>
      </c>
      <c r="J1027" s="120">
        <v>0</v>
      </c>
      <c r="K1027" s="120" t="s">
        <v>251</v>
      </c>
      <c r="L1027" s="120" t="s">
        <v>251</v>
      </c>
      <c r="M1027" s="120">
        <v>0</v>
      </c>
      <c r="N1027" s="120" t="s">
        <v>251</v>
      </c>
      <c r="O1027" s="120">
        <v>0</v>
      </c>
      <c r="P1027" s="120">
        <v>0</v>
      </c>
      <c r="Q1027" s="120">
        <v>0</v>
      </c>
      <c r="R1027" s="120"/>
    </row>
    <row r="1028" spans="1:18" ht="15">
      <c r="A1028" s="105">
        <v>23</v>
      </c>
      <c r="B1028" s="105"/>
      <c r="C1028" s="107" t="s">
        <v>1020</v>
      </c>
      <c r="D1028" s="107" t="s">
        <v>2672</v>
      </c>
      <c r="E1028" s="120">
        <v>2485934.5298263347</v>
      </c>
      <c r="F1028" s="120" t="s">
        <v>251</v>
      </c>
      <c r="G1028" s="120">
        <v>0</v>
      </c>
      <c r="H1028" s="120" t="s">
        <v>251</v>
      </c>
      <c r="I1028" s="120">
        <v>0</v>
      </c>
      <c r="J1028" s="120">
        <v>2485934.5298263347</v>
      </c>
      <c r="K1028" s="120" t="s">
        <v>251</v>
      </c>
      <c r="L1028" s="120" t="s">
        <v>251</v>
      </c>
      <c r="M1028" s="120">
        <v>0</v>
      </c>
      <c r="N1028" s="120" t="s">
        <v>251</v>
      </c>
      <c r="O1028" s="120">
        <v>2485934.5298263347</v>
      </c>
      <c r="P1028" s="120">
        <v>1260796.5184260746</v>
      </c>
      <c r="Q1028" s="120">
        <v>1225138.0114002603</v>
      </c>
      <c r="R1028" s="120"/>
    </row>
    <row r="1029" spans="1:18" ht="15">
      <c r="A1029" s="105">
        <v>24</v>
      </c>
      <c r="B1029" s="105"/>
      <c r="C1029" s="107" t="s">
        <v>1021</v>
      </c>
      <c r="D1029" s="107" t="s">
        <v>1022</v>
      </c>
      <c r="E1029" s="120">
        <v>0</v>
      </c>
      <c r="F1029" s="120" t="s">
        <v>251</v>
      </c>
      <c r="G1029" s="120">
        <v>0</v>
      </c>
      <c r="H1029" s="120" t="s">
        <v>251</v>
      </c>
      <c r="I1029" s="120">
        <v>0</v>
      </c>
      <c r="J1029" s="120">
        <v>0</v>
      </c>
      <c r="K1029" s="120" t="s">
        <v>251</v>
      </c>
      <c r="L1029" s="120" t="s">
        <v>251</v>
      </c>
      <c r="M1029" s="120">
        <v>0</v>
      </c>
      <c r="N1029" s="120" t="s">
        <v>251</v>
      </c>
      <c r="O1029" s="120">
        <v>0</v>
      </c>
      <c r="P1029" s="120">
        <v>0</v>
      </c>
      <c r="Q1029" s="120">
        <v>0</v>
      </c>
      <c r="R1029" s="120"/>
    </row>
    <row r="1030" spans="1:18" ht="15">
      <c r="A1030" s="105">
        <v>25</v>
      </c>
      <c r="B1030" s="105"/>
      <c r="C1030" s="107" t="s">
        <v>1023</v>
      </c>
      <c r="D1030" s="107" t="s">
        <v>1024</v>
      </c>
      <c r="E1030" s="120">
        <v>421019.48910862638</v>
      </c>
      <c r="F1030" s="120" t="s">
        <v>251</v>
      </c>
      <c r="G1030" s="120">
        <v>0</v>
      </c>
      <c r="H1030" s="120" t="s">
        <v>251</v>
      </c>
      <c r="I1030" s="120">
        <v>0</v>
      </c>
      <c r="J1030" s="120">
        <v>421019.48910862638</v>
      </c>
      <c r="K1030" s="120" t="s">
        <v>251</v>
      </c>
      <c r="L1030" s="120" t="s">
        <v>251</v>
      </c>
      <c r="M1030" s="120">
        <v>0</v>
      </c>
      <c r="N1030" s="120" t="s">
        <v>251</v>
      </c>
      <c r="O1030" s="120">
        <v>421019.48910862638</v>
      </c>
      <c r="P1030" s="120">
        <v>213529.31852745268</v>
      </c>
      <c r="Q1030" s="120">
        <v>207490.1705811737</v>
      </c>
      <c r="R1030" s="120"/>
    </row>
    <row r="1031" spans="1:18" ht="15">
      <c r="A1031" s="105">
        <v>26</v>
      </c>
      <c r="B1031" s="105"/>
      <c r="C1031" s="107" t="s">
        <v>1025</v>
      </c>
      <c r="D1031" s="107" t="s">
        <v>1026</v>
      </c>
      <c r="E1031" s="120">
        <v>468.59558447488581</v>
      </c>
      <c r="F1031" s="120" t="s">
        <v>251</v>
      </c>
      <c r="G1031" s="120">
        <v>0</v>
      </c>
      <c r="H1031" s="120" t="s">
        <v>251</v>
      </c>
      <c r="I1031" s="120">
        <v>0</v>
      </c>
      <c r="J1031" s="120">
        <v>468.59558447488581</v>
      </c>
      <c r="K1031" s="120" t="s">
        <v>251</v>
      </c>
      <c r="L1031" s="120" t="s">
        <v>251</v>
      </c>
      <c r="M1031" s="120">
        <v>0</v>
      </c>
      <c r="N1031" s="120" t="s">
        <v>251</v>
      </c>
      <c r="O1031" s="120">
        <v>468.59558447488581</v>
      </c>
      <c r="P1031" s="120">
        <v>237.65858447488583</v>
      </c>
      <c r="Q1031" s="120">
        <v>230.93699999999998</v>
      </c>
      <c r="R1031" s="120"/>
    </row>
    <row r="1032" spans="1:18" ht="15">
      <c r="A1032" s="105">
        <v>27</v>
      </c>
      <c r="B1032" s="105"/>
      <c r="C1032" s="107" t="s">
        <v>1027</v>
      </c>
      <c r="D1032" s="107" t="s">
        <v>1028</v>
      </c>
      <c r="E1032" s="120">
        <v>1069988719.8945398</v>
      </c>
      <c r="F1032" s="120" t="s">
        <v>251</v>
      </c>
      <c r="G1032" s="120">
        <v>1021671276.3965485</v>
      </c>
      <c r="H1032" s="120" t="s">
        <v>251</v>
      </c>
      <c r="I1032" s="120">
        <v>47580842.049831003</v>
      </c>
      <c r="J1032" s="120">
        <v>736601.44816024054</v>
      </c>
      <c r="K1032" s="120" t="s">
        <v>251</v>
      </c>
      <c r="L1032" s="120" t="s">
        <v>251</v>
      </c>
      <c r="M1032" s="120">
        <v>3271.133827730237</v>
      </c>
      <c r="N1032" s="120" t="s">
        <v>251</v>
      </c>
      <c r="O1032" s="120">
        <v>733330.31433251034</v>
      </c>
      <c r="P1032" s="120">
        <v>371924.64084374672</v>
      </c>
      <c r="Q1032" s="120">
        <v>361405.67348876363</v>
      </c>
      <c r="R1032" s="120"/>
    </row>
    <row r="1033" spans="1:18" ht="15">
      <c r="A1033" s="105">
        <v>28</v>
      </c>
      <c r="B1033" s="105"/>
      <c r="C1033" s="107" t="s">
        <v>1029</v>
      </c>
      <c r="D1033" s="107" t="s">
        <v>459</v>
      </c>
      <c r="E1033" s="120">
        <v>67918534.229140326</v>
      </c>
      <c r="F1033" s="120" t="s">
        <v>251</v>
      </c>
      <c r="G1033" s="120">
        <v>8230402.9915529564</v>
      </c>
      <c r="H1033" s="120" t="s">
        <v>251</v>
      </c>
      <c r="I1033" s="120">
        <v>59688104.819140323</v>
      </c>
      <c r="J1033" s="120">
        <v>26.418447042283358</v>
      </c>
      <c r="K1033" s="120" t="s">
        <v>251</v>
      </c>
      <c r="L1033" s="120" t="s">
        <v>251</v>
      </c>
      <c r="M1033" s="120">
        <v>26.418447042283358</v>
      </c>
      <c r="N1033" s="120" t="s">
        <v>251</v>
      </c>
      <c r="O1033" s="120">
        <v>0</v>
      </c>
      <c r="P1033" s="120">
        <v>0</v>
      </c>
      <c r="Q1033" s="120">
        <v>0</v>
      </c>
      <c r="R1033" s="120"/>
    </row>
    <row r="1034" spans="1:18" ht="15">
      <c r="A1034" s="105">
        <v>29</v>
      </c>
      <c r="B1034" s="105"/>
      <c r="C1034" s="107" t="s">
        <v>1030</v>
      </c>
      <c r="D1034" s="107" t="s">
        <v>659</v>
      </c>
      <c r="E1034" s="120">
        <v>856267056.31030965</v>
      </c>
      <c r="F1034" s="120" t="s">
        <v>251</v>
      </c>
      <c r="G1034" s="120">
        <v>796180183.68686986</v>
      </c>
      <c r="H1034" s="120" t="s">
        <v>251</v>
      </c>
      <c r="I1034" s="120">
        <v>59992323.843439862</v>
      </c>
      <c r="J1034" s="120">
        <v>94548.78</v>
      </c>
      <c r="K1034" s="120" t="s">
        <v>251</v>
      </c>
      <c r="L1034" s="120" t="s">
        <v>251</v>
      </c>
      <c r="M1034" s="120">
        <v>94548.78</v>
      </c>
      <c r="N1034" s="120" t="s">
        <v>251</v>
      </c>
      <c r="O1034" s="120">
        <v>0</v>
      </c>
      <c r="P1034" s="120">
        <v>0</v>
      </c>
      <c r="Q1034" s="120">
        <v>0</v>
      </c>
      <c r="R1034" s="120"/>
    </row>
    <row r="1035" spans="1:18" ht="15">
      <c r="A1035" s="105">
        <v>30</v>
      </c>
      <c r="B1035" s="105"/>
      <c r="C1035" s="107" t="s">
        <v>439</v>
      </c>
      <c r="D1035" s="107" t="s">
        <v>717</v>
      </c>
      <c r="E1035" s="120">
        <v>10062394694.170284</v>
      </c>
      <c r="F1035" s="120" t="s">
        <v>251</v>
      </c>
      <c r="G1035" s="120">
        <v>9408080312.792635</v>
      </c>
      <c r="H1035" s="120" t="s">
        <v>251</v>
      </c>
      <c r="I1035" s="120">
        <v>507908229.66523838</v>
      </c>
      <c r="J1035" s="120">
        <v>146406151.71240935</v>
      </c>
      <c r="K1035" s="120" t="s">
        <v>251</v>
      </c>
      <c r="L1035" s="120" t="s">
        <v>251</v>
      </c>
      <c r="M1035" s="120">
        <v>691517.9776287952</v>
      </c>
      <c r="N1035" s="120" t="s">
        <v>251</v>
      </c>
      <c r="O1035" s="120">
        <v>145714633.73478055</v>
      </c>
      <c r="P1035" s="120">
        <v>75736331.337945953</v>
      </c>
      <c r="Q1035" s="120">
        <v>69978302.396834612</v>
      </c>
      <c r="R1035" s="120"/>
    </row>
    <row r="1036" spans="1:18" ht="15">
      <c r="A1036" s="105">
        <v>31</v>
      </c>
      <c r="B1036" s="105"/>
      <c r="C1036" s="107" t="s">
        <v>1031</v>
      </c>
      <c r="D1036" s="107" t="s">
        <v>489</v>
      </c>
      <c r="E1036" s="120">
        <v>9408080312.792635</v>
      </c>
      <c r="F1036" s="120" t="s">
        <v>251</v>
      </c>
      <c r="G1036" s="120">
        <v>9408080312.792635</v>
      </c>
      <c r="H1036" s="120" t="s">
        <v>251</v>
      </c>
      <c r="I1036" s="120">
        <v>0</v>
      </c>
      <c r="J1036" s="120">
        <v>0</v>
      </c>
      <c r="K1036" s="120" t="s">
        <v>251</v>
      </c>
      <c r="L1036" s="120" t="s">
        <v>251</v>
      </c>
      <c r="M1036" s="120">
        <v>0</v>
      </c>
      <c r="N1036" s="120" t="s">
        <v>251</v>
      </c>
      <c r="O1036" s="120">
        <v>0</v>
      </c>
      <c r="P1036" s="120">
        <v>0</v>
      </c>
      <c r="Q1036" s="120">
        <v>0</v>
      </c>
      <c r="R1036" s="120"/>
    </row>
    <row r="1037" spans="1:18" ht="15">
      <c r="A1037" s="105">
        <v>32</v>
      </c>
      <c r="B1037" s="105"/>
      <c r="C1037" s="107" t="s">
        <v>1032</v>
      </c>
      <c r="D1037" s="107" t="s">
        <v>798</v>
      </c>
      <c r="E1037" s="120">
        <v>9554486464.5050449</v>
      </c>
      <c r="F1037" s="120" t="s">
        <v>251</v>
      </c>
      <c r="G1037" s="120">
        <v>9408080312.792635</v>
      </c>
      <c r="H1037" s="120" t="s">
        <v>251</v>
      </c>
      <c r="I1037" s="120">
        <v>0</v>
      </c>
      <c r="J1037" s="120">
        <v>146406151.71240935</v>
      </c>
      <c r="K1037" s="120" t="s">
        <v>251</v>
      </c>
      <c r="L1037" s="120" t="s">
        <v>251</v>
      </c>
      <c r="M1037" s="120">
        <v>691517.9776287952</v>
      </c>
      <c r="N1037" s="120" t="s">
        <v>251</v>
      </c>
      <c r="O1037" s="120">
        <v>145714633.73478055</v>
      </c>
      <c r="P1037" s="120">
        <v>75736331.337945953</v>
      </c>
      <c r="Q1037" s="120">
        <v>69978302.396834612</v>
      </c>
      <c r="R1037" s="120"/>
    </row>
    <row r="1038" spans="1:18" ht="15">
      <c r="A1038" s="105">
        <v>33</v>
      </c>
      <c r="B1038" s="105"/>
      <c r="C1038" s="107" t="s">
        <v>1033</v>
      </c>
      <c r="D1038" s="107" t="s">
        <v>1034</v>
      </c>
      <c r="E1038" s="120">
        <v>507908229.66523838</v>
      </c>
      <c r="F1038" s="120" t="s">
        <v>251</v>
      </c>
      <c r="G1038" s="120">
        <v>0</v>
      </c>
      <c r="H1038" s="120" t="s">
        <v>251</v>
      </c>
      <c r="I1038" s="120">
        <v>507908229.66523838</v>
      </c>
      <c r="J1038" s="120">
        <v>0</v>
      </c>
      <c r="K1038" s="120" t="s">
        <v>251</v>
      </c>
      <c r="L1038" s="120" t="s">
        <v>251</v>
      </c>
      <c r="M1038" s="120">
        <v>0</v>
      </c>
      <c r="N1038" s="120" t="s">
        <v>251</v>
      </c>
      <c r="O1038" s="120">
        <v>0</v>
      </c>
      <c r="P1038" s="120">
        <v>0</v>
      </c>
      <c r="Q1038" s="120">
        <v>0</v>
      </c>
      <c r="R1038" s="120"/>
    </row>
    <row r="1039" spans="1:18" ht="15">
      <c r="A1039" s="105">
        <v>34</v>
      </c>
      <c r="B1039" s="105"/>
      <c r="C1039" s="107" t="s">
        <v>315</v>
      </c>
      <c r="D1039" s="107" t="s">
        <v>585</v>
      </c>
      <c r="E1039" s="120">
        <v>5458446316.0801649</v>
      </c>
      <c r="F1039" s="120" t="s">
        <v>251</v>
      </c>
      <c r="G1039" s="120">
        <v>5106018003.8083076</v>
      </c>
      <c r="H1039" s="120" t="s">
        <v>251</v>
      </c>
      <c r="I1039" s="120">
        <v>237996821.5777908</v>
      </c>
      <c r="J1039" s="120">
        <v>114431490.69406644</v>
      </c>
      <c r="K1039" s="120" t="s">
        <v>251</v>
      </c>
      <c r="L1039" s="120" t="s">
        <v>251</v>
      </c>
      <c r="M1039" s="120">
        <v>16299.867631284325</v>
      </c>
      <c r="N1039" s="120" t="s">
        <v>251</v>
      </c>
      <c r="O1039" s="120">
        <v>114415190.82643515</v>
      </c>
      <c r="P1039" s="120">
        <v>58028187.194093913</v>
      </c>
      <c r="Q1039" s="120">
        <v>56387003.632341236</v>
      </c>
      <c r="R1039" s="120"/>
    </row>
    <row r="1040" spans="1:18" ht="15">
      <c r="A1040" s="105">
        <v>35</v>
      </c>
      <c r="B1040" s="105"/>
      <c r="C1040" s="107" t="s">
        <v>1035</v>
      </c>
      <c r="D1040" s="107" t="s">
        <v>600</v>
      </c>
      <c r="E1040" s="120">
        <v>43851877.755444609</v>
      </c>
      <c r="F1040" s="120" t="s">
        <v>251</v>
      </c>
      <c r="G1040" s="120">
        <v>41090409.409617066</v>
      </c>
      <c r="H1040" s="120" t="s">
        <v>251</v>
      </c>
      <c r="I1040" s="120">
        <v>1878071.1224790262</v>
      </c>
      <c r="J1040" s="120">
        <v>883397.22334850964</v>
      </c>
      <c r="K1040" s="120" t="s">
        <v>251</v>
      </c>
      <c r="L1040" s="120" t="s">
        <v>251</v>
      </c>
      <c r="M1040" s="120">
        <v>131.62977511657402</v>
      </c>
      <c r="N1040" s="120" t="s">
        <v>251</v>
      </c>
      <c r="O1040" s="120">
        <v>883265.59357339307</v>
      </c>
      <c r="P1040" s="120">
        <v>447967.62419188512</v>
      </c>
      <c r="Q1040" s="120">
        <v>435297.96938150795</v>
      </c>
      <c r="R1040" s="120"/>
    </row>
    <row r="1041" spans="1:18" ht="15">
      <c r="A1041" s="105">
        <v>36</v>
      </c>
      <c r="B1041" s="105"/>
      <c r="C1041" s="107" t="s">
        <v>1036</v>
      </c>
      <c r="D1041" s="107" t="s">
        <v>615</v>
      </c>
      <c r="E1041" s="120">
        <v>1067657097.8997835</v>
      </c>
      <c r="F1041" s="120" t="s">
        <v>251</v>
      </c>
      <c r="G1041" s="120">
        <v>1000047925.2776269</v>
      </c>
      <c r="H1041" s="120" t="s">
        <v>251</v>
      </c>
      <c r="I1041" s="120">
        <v>45616324.672223888</v>
      </c>
      <c r="J1041" s="120">
        <v>21992847.949932732</v>
      </c>
      <c r="K1041" s="120" t="s">
        <v>251</v>
      </c>
      <c r="L1041" s="120" t="s">
        <v>251</v>
      </c>
      <c r="M1041" s="120">
        <v>3197.5560205217603</v>
      </c>
      <c r="N1041" s="120" t="s">
        <v>251</v>
      </c>
      <c r="O1041" s="120">
        <v>21989650.393912211</v>
      </c>
      <c r="P1041" s="120">
        <v>11152536.128933324</v>
      </c>
      <c r="Q1041" s="120">
        <v>10837114.264978886</v>
      </c>
      <c r="R1041" s="120"/>
    </row>
    <row r="1042" spans="1:18" ht="15">
      <c r="A1042" s="105">
        <v>37</v>
      </c>
      <c r="B1042" s="105"/>
      <c r="C1042" s="107" t="s">
        <v>1037</v>
      </c>
      <c r="D1042" s="107" t="s">
        <v>656</v>
      </c>
      <c r="E1042" s="120">
        <v>292325985.0001629</v>
      </c>
      <c r="F1042" s="120" t="s">
        <v>251</v>
      </c>
      <c r="G1042" s="120">
        <v>278569225.0469929</v>
      </c>
      <c r="H1042" s="120" t="s">
        <v>251</v>
      </c>
      <c r="I1042" s="120">
        <v>9594110.1431699973</v>
      </c>
      <c r="J1042" s="120">
        <v>4162649.81</v>
      </c>
      <c r="K1042" s="120" t="s">
        <v>251</v>
      </c>
      <c r="L1042" s="120" t="s">
        <v>251</v>
      </c>
      <c r="M1042" s="120">
        <v>544997.81000000006</v>
      </c>
      <c r="N1042" s="120" t="s">
        <v>251</v>
      </c>
      <c r="O1042" s="120">
        <v>3617652</v>
      </c>
      <c r="P1042" s="120">
        <v>3617652</v>
      </c>
      <c r="Q1042" s="120">
        <v>0</v>
      </c>
      <c r="R1042" s="120"/>
    </row>
    <row r="1043" spans="1:18" ht="15">
      <c r="A1043" s="105">
        <v>38</v>
      </c>
      <c r="B1043" s="105"/>
      <c r="C1043" s="107" t="s">
        <v>1038</v>
      </c>
      <c r="D1043" s="107" t="s">
        <v>661</v>
      </c>
      <c r="E1043" s="120">
        <v>224040010.65752217</v>
      </c>
      <c r="F1043" s="120" t="s">
        <v>251</v>
      </c>
      <c r="G1043" s="120">
        <v>218919032.42302182</v>
      </c>
      <c r="H1043" s="120" t="s">
        <v>251</v>
      </c>
      <c r="I1043" s="120">
        <v>5120978.2345003467</v>
      </c>
      <c r="J1043" s="120">
        <v>0</v>
      </c>
      <c r="K1043" s="120" t="s">
        <v>251</v>
      </c>
      <c r="L1043" s="120" t="s">
        <v>251</v>
      </c>
      <c r="M1043" s="120">
        <v>0</v>
      </c>
      <c r="N1043" s="120" t="s">
        <v>251</v>
      </c>
      <c r="O1043" s="120">
        <v>0</v>
      </c>
      <c r="P1043" s="120">
        <v>0</v>
      </c>
      <c r="Q1043" s="120">
        <v>0</v>
      </c>
      <c r="R1043" s="120"/>
    </row>
    <row r="1044" spans="1:18" ht="15">
      <c r="A1044" s="105">
        <v>39</v>
      </c>
      <c r="B1044" s="105"/>
      <c r="C1044" s="107" t="s">
        <v>1039</v>
      </c>
      <c r="D1044" s="107" t="s">
        <v>663</v>
      </c>
      <c r="E1044" s="120">
        <v>130848709.48707603</v>
      </c>
      <c r="F1044" s="120" t="s">
        <v>251</v>
      </c>
      <c r="G1044" s="120">
        <v>126856868.67395324</v>
      </c>
      <c r="H1044" s="120" t="s">
        <v>251</v>
      </c>
      <c r="I1044" s="120">
        <v>3991840.8131227978</v>
      </c>
      <c r="J1044" s="120">
        <v>0</v>
      </c>
      <c r="K1044" s="120" t="s">
        <v>251</v>
      </c>
      <c r="L1044" s="120" t="s">
        <v>251</v>
      </c>
      <c r="M1044" s="120">
        <v>0</v>
      </c>
      <c r="N1044" s="120" t="s">
        <v>251</v>
      </c>
      <c r="O1044" s="120">
        <v>0</v>
      </c>
      <c r="P1044" s="120">
        <v>0</v>
      </c>
      <c r="Q1044" s="120">
        <v>0</v>
      </c>
      <c r="R1044" s="120"/>
    </row>
    <row r="1045" spans="1:18" ht="15">
      <c r="A1045" s="105">
        <v>40</v>
      </c>
      <c r="B1045" s="105"/>
      <c r="C1045" s="107" t="s">
        <v>1040</v>
      </c>
      <c r="D1045" s="107" t="s">
        <v>665</v>
      </c>
      <c r="E1045" s="120">
        <v>82578598.694320768</v>
      </c>
      <c r="F1045" s="120" t="s">
        <v>251</v>
      </c>
      <c r="G1045" s="120">
        <v>78743546.284320772</v>
      </c>
      <c r="H1045" s="120" t="s">
        <v>251</v>
      </c>
      <c r="I1045" s="120">
        <v>3783545.2</v>
      </c>
      <c r="J1045" s="120">
        <v>51507.21</v>
      </c>
      <c r="K1045" s="120" t="s">
        <v>251</v>
      </c>
      <c r="L1045" s="120" t="s">
        <v>251</v>
      </c>
      <c r="M1045" s="120">
        <v>4199.21</v>
      </c>
      <c r="N1045" s="120" t="s">
        <v>251</v>
      </c>
      <c r="O1045" s="120">
        <v>47308</v>
      </c>
      <c r="P1045" s="120">
        <v>20456</v>
      </c>
      <c r="Q1045" s="120">
        <v>26852</v>
      </c>
      <c r="R1045" s="120"/>
    </row>
    <row r="1046" spans="1:18" ht="15">
      <c r="A1046" s="105">
        <v>41</v>
      </c>
      <c r="B1046" s="105"/>
      <c r="C1046" s="107" t="s">
        <v>1041</v>
      </c>
      <c r="D1046" s="107" t="s">
        <v>667</v>
      </c>
      <c r="E1046" s="120">
        <v>145659.9681</v>
      </c>
      <c r="F1046" s="120" t="s">
        <v>251</v>
      </c>
      <c r="G1046" s="120">
        <v>145659.9681</v>
      </c>
      <c r="H1046" s="120" t="s">
        <v>251</v>
      </c>
      <c r="I1046" s="120">
        <v>0</v>
      </c>
      <c r="J1046" s="120">
        <v>0</v>
      </c>
      <c r="K1046" s="120" t="s">
        <v>251</v>
      </c>
      <c r="L1046" s="120" t="s">
        <v>251</v>
      </c>
      <c r="M1046" s="120">
        <v>0</v>
      </c>
      <c r="N1046" s="120" t="s">
        <v>251</v>
      </c>
      <c r="O1046" s="120">
        <v>0</v>
      </c>
      <c r="P1046" s="120">
        <v>0</v>
      </c>
      <c r="Q1046" s="120">
        <v>0</v>
      </c>
      <c r="R1046" s="120"/>
    </row>
    <row r="1047" spans="1:18" ht="15">
      <c r="A1047" s="105">
        <v>42</v>
      </c>
      <c r="B1047" s="105"/>
      <c r="C1047" s="107" t="s">
        <v>1042</v>
      </c>
      <c r="D1047" s="107" t="s">
        <v>677</v>
      </c>
      <c r="E1047" s="120">
        <v>326614785.13967967</v>
      </c>
      <c r="F1047" s="120" t="s">
        <v>251</v>
      </c>
      <c r="G1047" s="120">
        <v>315437142.80543238</v>
      </c>
      <c r="H1047" s="120" t="s">
        <v>251</v>
      </c>
      <c r="I1047" s="120">
        <v>11174524.054247307</v>
      </c>
      <c r="J1047" s="120">
        <v>3118.2799999999988</v>
      </c>
      <c r="K1047" s="120" t="s">
        <v>251</v>
      </c>
      <c r="L1047" s="120" t="s">
        <v>251</v>
      </c>
      <c r="M1047" s="120">
        <v>3118.2799999999988</v>
      </c>
      <c r="N1047" s="120" t="s">
        <v>251</v>
      </c>
      <c r="O1047" s="120">
        <v>0</v>
      </c>
      <c r="P1047" s="120">
        <v>0</v>
      </c>
      <c r="Q1047" s="120">
        <v>0</v>
      </c>
      <c r="R1047" s="120"/>
    </row>
    <row r="1048" spans="1:18" ht="15">
      <c r="A1048" s="105">
        <v>43</v>
      </c>
      <c r="B1048" s="105"/>
      <c r="C1048" s="107" t="s">
        <v>1043</v>
      </c>
      <c r="D1048" s="107" t="s">
        <v>693</v>
      </c>
      <c r="E1048" s="120">
        <v>35444542.129999995</v>
      </c>
      <c r="F1048" s="120" t="s">
        <v>251</v>
      </c>
      <c r="G1048" s="120">
        <v>33673447.616046697</v>
      </c>
      <c r="H1048" s="120" t="s">
        <v>251</v>
      </c>
      <c r="I1048" s="120">
        <v>1760959.5620921196</v>
      </c>
      <c r="J1048" s="120">
        <v>10134.951861181571</v>
      </c>
      <c r="K1048" s="120" t="s">
        <v>251</v>
      </c>
      <c r="L1048" s="120" t="s">
        <v>251</v>
      </c>
      <c r="M1048" s="120">
        <v>233.52423643275509</v>
      </c>
      <c r="N1048" s="120" t="s">
        <v>251</v>
      </c>
      <c r="O1048" s="120">
        <v>9901.427624748816</v>
      </c>
      <c r="P1048" s="120">
        <v>3969.9120193568365</v>
      </c>
      <c r="Q1048" s="120">
        <v>5931.5156053919791</v>
      </c>
      <c r="R1048" s="120"/>
    </row>
    <row r="1049" spans="1:18" ht="15">
      <c r="A1049" s="105">
        <v>44</v>
      </c>
      <c r="B1049" s="105"/>
      <c r="C1049" s="107" t="s">
        <v>1044</v>
      </c>
      <c r="D1049" s="107" t="s">
        <v>703</v>
      </c>
      <c r="E1049" s="120">
        <v>10205363.999999998</v>
      </c>
      <c r="F1049" s="120" t="s">
        <v>251</v>
      </c>
      <c r="G1049" s="120">
        <v>10110400.332189808</v>
      </c>
      <c r="H1049" s="120" t="s">
        <v>251</v>
      </c>
      <c r="I1049" s="120">
        <v>94953.538712436683</v>
      </c>
      <c r="J1049" s="120">
        <v>10.129097754055758</v>
      </c>
      <c r="K1049" s="120" t="s">
        <v>251</v>
      </c>
      <c r="L1049" s="120" t="s">
        <v>251</v>
      </c>
      <c r="M1049" s="120">
        <v>10.129097754055758</v>
      </c>
      <c r="N1049" s="120" t="s">
        <v>251</v>
      </c>
      <c r="O1049" s="120">
        <v>0</v>
      </c>
      <c r="P1049" s="120">
        <v>0</v>
      </c>
      <c r="Q1049" s="120">
        <v>0</v>
      </c>
      <c r="R1049" s="120"/>
    </row>
    <row r="1050" spans="1:18" ht="15">
      <c r="A1050" s="105">
        <v>45</v>
      </c>
      <c r="B1050" s="105"/>
      <c r="C1050" s="107" t="s">
        <v>1045</v>
      </c>
      <c r="D1050" s="107" t="s">
        <v>1046</v>
      </c>
      <c r="E1050" s="120">
        <v>3165910781.1593132</v>
      </c>
      <c r="F1050" s="120" t="s">
        <v>251</v>
      </c>
      <c r="G1050" s="120">
        <v>2954082857.9052539</v>
      </c>
      <c r="H1050" s="120" t="s">
        <v>251</v>
      </c>
      <c r="I1050" s="120">
        <v>206779216.68745163</v>
      </c>
      <c r="J1050" s="120">
        <v>5048706.5666072834</v>
      </c>
      <c r="K1050" s="120" t="s">
        <v>251</v>
      </c>
      <c r="L1050" s="120" t="s">
        <v>251</v>
      </c>
      <c r="M1050" s="120">
        <v>650416.25227477262</v>
      </c>
      <c r="N1050" s="120" t="s">
        <v>251</v>
      </c>
      <c r="O1050" s="120">
        <v>4398290.3143325103</v>
      </c>
      <c r="P1050" s="120">
        <v>4010032.6408437467</v>
      </c>
      <c r="Q1050" s="120">
        <v>388257.67348876363</v>
      </c>
      <c r="R1050" s="120"/>
    </row>
    <row r="1051" spans="1:18" ht="15">
      <c r="A1051" s="105" t="s">
        <v>251</v>
      </c>
      <c r="B1051" s="105"/>
      <c r="C1051" s="107" t="s">
        <v>251</v>
      </c>
      <c r="D1051" s="107" t="s">
        <v>251</v>
      </c>
      <c r="E1051" s="120" t="s">
        <v>251</v>
      </c>
      <c r="F1051" s="120" t="s">
        <v>251</v>
      </c>
      <c r="G1051" s="120" t="s">
        <v>251</v>
      </c>
      <c r="H1051" s="120" t="s">
        <v>251</v>
      </c>
      <c r="I1051" s="120" t="s">
        <v>251</v>
      </c>
      <c r="J1051" s="120" t="s">
        <v>251</v>
      </c>
      <c r="K1051" s="120" t="s">
        <v>251</v>
      </c>
      <c r="L1051" s="120" t="s">
        <v>251</v>
      </c>
      <c r="M1051" s="120" t="s">
        <v>251</v>
      </c>
      <c r="N1051" s="120" t="s">
        <v>251</v>
      </c>
      <c r="O1051" s="120" t="s">
        <v>251</v>
      </c>
      <c r="P1051" s="120" t="s">
        <v>251</v>
      </c>
      <c r="Q1051" s="120" t="s">
        <v>251</v>
      </c>
      <c r="R1051" s="120"/>
    </row>
    <row r="1052" spans="1:18" ht="15">
      <c r="A1052" s="105" t="s">
        <v>251</v>
      </c>
      <c r="B1052" s="105"/>
      <c r="C1052" s="107" t="s">
        <v>1047</v>
      </c>
      <c r="D1052" s="107" t="s">
        <v>251</v>
      </c>
      <c r="E1052" s="120" t="s">
        <v>251</v>
      </c>
      <c r="F1052" s="120" t="s">
        <v>251</v>
      </c>
      <c r="G1052" s="120" t="s">
        <v>251</v>
      </c>
      <c r="H1052" s="120" t="s">
        <v>251</v>
      </c>
      <c r="I1052" s="120" t="s">
        <v>251</v>
      </c>
      <c r="J1052" s="120" t="s">
        <v>251</v>
      </c>
      <c r="K1052" s="120" t="s">
        <v>251</v>
      </c>
      <c r="L1052" s="120" t="s">
        <v>251</v>
      </c>
      <c r="M1052" s="120" t="s">
        <v>251</v>
      </c>
      <c r="N1052" s="120" t="s">
        <v>251</v>
      </c>
      <c r="O1052" s="120" t="s">
        <v>251</v>
      </c>
      <c r="P1052" s="120" t="s">
        <v>251</v>
      </c>
      <c r="Q1052" s="120" t="s">
        <v>251</v>
      </c>
      <c r="R1052" s="120"/>
    </row>
    <row r="1053" spans="1:18" ht="15">
      <c r="A1053" s="105" t="s">
        <v>251</v>
      </c>
      <c r="B1053" s="105"/>
      <c r="C1053" s="107" t="s">
        <v>920</v>
      </c>
      <c r="D1053" s="107" t="s">
        <v>251</v>
      </c>
      <c r="E1053" s="120" t="s">
        <v>251</v>
      </c>
      <c r="F1053" s="120" t="s">
        <v>251</v>
      </c>
      <c r="G1053" s="120" t="s">
        <v>251</v>
      </c>
      <c r="H1053" s="120" t="s">
        <v>251</v>
      </c>
      <c r="I1053" s="120" t="s">
        <v>251</v>
      </c>
      <c r="J1053" s="120" t="s">
        <v>251</v>
      </c>
      <c r="K1053" s="120" t="s">
        <v>251</v>
      </c>
      <c r="L1053" s="120" t="s">
        <v>251</v>
      </c>
      <c r="M1053" s="120" t="s">
        <v>251</v>
      </c>
      <c r="N1053" s="120" t="s">
        <v>251</v>
      </c>
      <c r="O1053" s="120" t="s">
        <v>251</v>
      </c>
      <c r="P1053" s="120" t="s">
        <v>251</v>
      </c>
      <c r="Q1053" s="120" t="s">
        <v>251</v>
      </c>
      <c r="R1053" s="120"/>
    </row>
    <row r="1054" spans="1:18" ht="15">
      <c r="A1054" s="105">
        <v>1</v>
      </c>
      <c r="B1054" s="105"/>
      <c r="C1054" s="107" t="s">
        <v>1048</v>
      </c>
      <c r="D1054" s="107" t="s">
        <v>712</v>
      </c>
      <c r="E1054" s="120">
        <v>1044482.0000000001</v>
      </c>
      <c r="F1054" s="120" t="s">
        <v>251</v>
      </c>
      <c r="G1054" s="120">
        <v>991130.87987548974</v>
      </c>
      <c r="H1054" s="120" t="s">
        <v>251</v>
      </c>
      <c r="I1054" s="120">
        <v>53345.429540695593</v>
      </c>
      <c r="J1054" s="120">
        <v>5.6905838147454677</v>
      </c>
      <c r="K1054" s="120" t="s">
        <v>251</v>
      </c>
      <c r="L1054" s="120" t="s">
        <v>251</v>
      </c>
      <c r="M1054" s="120">
        <v>5.6905838147454677</v>
      </c>
      <c r="N1054" s="120" t="s">
        <v>251</v>
      </c>
      <c r="O1054" s="120">
        <v>0</v>
      </c>
      <c r="P1054" s="120">
        <v>0</v>
      </c>
      <c r="Q1054" s="120">
        <v>0</v>
      </c>
      <c r="R1054" s="120"/>
    </row>
    <row r="1055" spans="1:18" ht="15">
      <c r="A1055" s="105">
        <v>2</v>
      </c>
      <c r="B1055" s="105"/>
      <c r="C1055" s="107" t="s">
        <v>1049</v>
      </c>
      <c r="D1055" s="107" t="s">
        <v>587</v>
      </c>
      <c r="E1055" s="120">
        <v>25065995.426900454</v>
      </c>
      <c r="F1055" s="120" t="s">
        <v>251</v>
      </c>
      <c r="G1055" s="120">
        <v>0</v>
      </c>
      <c r="H1055" s="120" t="s">
        <v>251</v>
      </c>
      <c r="I1055" s="120">
        <v>0</v>
      </c>
      <c r="J1055" s="120">
        <v>25065995.426900454</v>
      </c>
      <c r="K1055" s="120" t="s">
        <v>251</v>
      </c>
      <c r="L1055" s="120" t="s">
        <v>251</v>
      </c>
      <c r="M1055" s="120">
        <v>0</v>
      </c>
      <c r="N1055" s="120" t="s">
        <v>251</v>
      </c>
      <c r="O1055" s="120">
        <v>25065995.426900454</v>
      </c>
      <c r="P1055" s="120">
        <v>12691491.179060366</v>
      </c>
      <c r="Q1055" s="120">
        <v>12374504.247840088</v>
      </c>
      <c r="R1055" s="120"/>
    </row>
    <row r="1056" spans="1:18" ht="15">
      <c r="A1056" s="105">
        <v>3</v>
      </c>
      <c r="B1056" s="105"/>
      <c r="C1056" s="107" t="s">
        <v>1050</v>
      </c>
      <c r="D1056" s="107" t="s">
        <v>736</v>
      </c>
      <c r="E1056" s="120">
        <v>71559280.30532819</v>
      </c>
      <c r="F1056" s="120" t="s">
        <v>251</v>
      </c>
      <c r="G1056" s="120">
        <v>0</v>
      </c>
      <c r="H1056" s="120" t="s">
        <v>251</v>
      </c>
      <c r="I1056" s="120">
        <v>71559280.30532819</v>
      </c>
      <c r="J1056" s="120">
        <v>0</v>
      </c>
      <c r="K1056" s="120" t="s">
        <v>251</v>
      </c>
      <c r="L1056" s="120" t="s">
        <v>251</v>
      </c>
      <c r="M1056" s="120">
        <v>0</v>
      </c>
      <c r="N1056" s="120" t="s">
        <v>251</v>
      </c>
      <c r="O1056" s="120">
        <v>0</v>
      </c>
      <c r="P1056" s="120">
        <v>0</v>
      </c>
      <c r="Q1056" s="120">
        <v>0</v>
      </c>
      <c r="R1056" s="120"/>
    </row>
    <row r="1057" spans="1:18" ht="15">
      <c r="A1057" s="105">
        <v>4</v>
      </c>
      <c r="B1057" s="105"/>
      <c r="C1057" s="107" t="s">
        <v>1051</v>
      </c>
      <c r="D1057" s="107" t="s">
        <v>1052</v>
      </c>
      <c r="E1057" s="120">
        <v>1694846165.1477029</v>
      </c>
      <c r="F1057" s="120" t="s">
        <v>251</v>
      </c>
      <c r="G1057" s="120">
        <v>1598220846.7285123</v>
      </c>
      <c r="H1057" s="120" t="s">
        <v>251</v>
      </c>
      <c r="I1057" s="120">
        <v>71559280.30532819</v>
      </c>
      <c r="J1057" s="120">
        <v>25066038.1138625</v>
      </c>
      <c r="K1057" s="120" t="s">
        <v>251</v>
      </c>
      <c r="L1057" s="120" t="s">
        <v>251</v>
      </c>
      <c r="M1057" s="120">
        <v>42.686962046929459</v>
      </c>
      <c r="N1057" s="120" t="s">
        <v>251</v>
      </c>
      <c r="O1057" s="120">
        <v>25065995.426900454</v>
      </c>
      <c r="P1057" s="120">
        <v>12691491.179060366</v>
      </c>
      <c r="Q1057" s="120">
        <v>12374504.247840088</v>
      </c>
      <c r="R1057" s="120"/>
    </row>
    <row r="1058" spans="1:18" ht="15">
      <c r="A1058" s="105">
        <v>5</v>
      </c>
      <c r="B1058" s="105"/>
      <c r="C1058" s="107" t="s">
        <v>1053</v>
      </c>
      <c r="D1058" s="107" t="s">
        <v>727</v>
      </c>
      <c r="E1058" s="120">
        <v>1</v>
      </c>
      <c r="F1058" s="120" t="s">
        <v>251</v>
      </c>
      <c r="G1058" s="120">
        <v>0</v>
      </c>
      <c r="H1058" s="120" t="s">
        <v>251</v>
      </c>
      <c r="I1058" s="120">
        <v>1</v>
      </c>
      <c r="J1058" s="120">
        <v>0</v>
      </c>
      <c r="K1058" s="120" t="s">
        <v>251</v>
      </c>
      <c r="L1058" s="120" t="s">
        <v>251</v>
      </c>
      <c r="M1058" s="120">
        <v>0</v>
      </c>
      <c r="N1058" s="120" t="s">
        <v>251</v>
      </c>
      <c r="O1058" s="120">
        <v>0</v>
      </c>
      <c r="P1058" s="120">
        <v>0</v>
      </c>
      <c r="Q1058" s="120">
        <v>0</v>
      </c>
      <c r="R1058" s="120"/>
    </row>
    <row r="1059" spans="1:18" ht="15">
      <c r="A1059" s="105">
        <v>6</v>
      </c>
      <c r="B1059" s="105"/>
      <c r="C1059" s="107" t="s">
        <v>1054</v>
      </c>
      <c r="D1059" s="107" t="s">
        <v>1055</v>
      </c>
      <c r="E1059" s="120">
        <v>1669780169.7208025</v>
      </c>
      <c r="F1059" s="120" t="s">
        <v>251</v>
      </c>
      <c r="G1059" s="120">
        <v>1598220846.7285123</v>
      </c>
      <c r="H1059" s="120" t="s">
        <v>251</v>
      </c>
      <c r="I1059" s="120">
        <v>71559280.30532819</v>
      </c>
      <c r="J1059" s="120">
        <v>42.686962046929459</v>
      </c>
      <c r="K1059" s="120" t="s">
        <v>251</v>
      </c>
      <c r="L1059" s="120" t="s">
        <v>251</v>
      </c>
      <c r="M1059" s="120">
        <v>42.686962046929459</v>
      </c>
      <c r="N1059" s="120" t="s">
        <v>251</v>
      </c>
      <c r="O1059" s="120">
        <v>0</v>
      </c>
      <c r="P1059" s="120">
        <v>0</v>
      </c>
      <c r="Q1059" s="120">
        <v>0</v>
      </c>
      <c r="R1059" s="120"/>
    </row>
    <row r="1060" spans="1:18" ht="15">
      <c r="A1060" s="105">
        <v>7</v>
      </c>
      <c r="B1060" s="105"/>
      <c r="C1060" s="107" t="s">
        <v>1056</v>
      </c>
      <c r="D1060" s="107" t="s">
        <v>747</v>
      </c>
      <c r="E1060" s="120">
        <v>1927846138.5171525</v>
      </c>
      <c r="F1060" s="120" t="s">
        <v>251</v>
      </c>
      <c r="G1060" s="120">
        <v>1924181178.5171525</v>
      </c>
      <c r="H1060" s="120" t="s">
        <v>251</v>
      </c>
      <c r="I1060" s="120">
        <v>0</v>
      </c>
      <c r="J1060" s="120">
        <v>3664960</v>
      </c>
      <c r="K1060" s="120" t="s">
        <v>251</v>
      </c>
      <c r="L1060" s="120" t="s">
        <v>251</v>
      </c>
      <c r="M1060" s="120">
        <v>0</v>
      </c>
      <c r="N1060" s="120" t="s">
        <v>251</v>
      </c>
      <c r="O1060" s="120">
        <v>3664960</v>
      </c>
      <c r="P1060" s="120">
        <v>3638108</v>
      </c>
      <c r="Q1060" s="120">
        <v>26852</v>
      </c>
      <c r="R1060" s="120"/>
    </row>
    <row r="1061" spans="1:18" ht="15">
      <c r="A1061" s="105">
        <v>8</v>
      </c>
      <c r="B1061" s="105"/>
      <c r="C1061" s="107" t="s">
        <v>1057</v>
      </c>
      <c r="D1061" s="107" t="s">
        <v>749</v>
      </c>
      <c r="E1061" s="120">
        <v>99510269.818480313</v>
      </c>
      <c r="F1061" s="120" t="s">
        <v>251</v>
      </c>
      <c r="G1061" s="120">
        <v>0</v>
      </c>
      <c r="H1061" s="120" t="s">
        <v>251</v>
      </c>
      <c r="I1061" s="120">
        <v>99510269.818480313</v>
      </c>
      <c r="J1061" s="120">
        <v>0</v>
      </c>
      <c r="K1061" s="120" t="s">
        <v>251</v>
      </c>
      <c r="L1061" s="120" t="s">
        <v>251</v>
      </c>
      <c r="M1061" s="120">
        <v>0</v>
      </c>
      <c r="N1061" s="120" t="s">
        <v>251</v>
      </c>
      <c r="O1061" s="120">
        <v>0</v>
      </c>
      <c r="P1061" s="120">
        <v>0</v>
      </c>
      <c r="Q1061" s="120">
        <v>0</v>
      </c>
      <c r="R1061" s="120"/>
    </row>
    <row r="1062" spans="1:18" ht="15">
      <c r="A1062" s="105">
        <v>9</v>
      </c>
      <c r="B1062" s="105"/>
      <c r="C1062" s="107" t="s">
        <v>1058</v>
      </c>
      <c r="D1062" s="107" t="s">
        <v>751</v>
      </c>
      <c r="E1062" s="120">
        <v>647118.70000000007</v>
      </c>
      <c r="F1062" s="120" t="s">
        <v>251</v>
      </c>
      <c r="G1062" s="120">
        <v>0</v>
      </c>
      <c r="H1062" s="120" t="s">
        <v>251</v>
      </c>
      <c r="I1062" s="120">
        <v>0</v>
      </c>
      <c r="J1062" s="120">
        <v>647118.70000000007</v>
      </c>
      <c r="K1062" s="120" t="s">
        <v>251</v>
      </c>
      <c r="L1062" s="120" t="s">
        <v>251</v>
      </c>
      <c r="M1062" s="120">
        <v>647118.70000000007</v>
      </c>
      <c r="N1062" s="120" t="s">
        <v>251</v>
      </c>
      <c r="O1062" s="120">
        <v>0</v>
      </c>
      <c r="P1062" s="120">
        <v>0</v>
      </c>
      <c r="Q1062" s="120">
        <v>0</v>
      </c>
      <c r="R1062" s="120"/>
    </row>
    <row r="1063" spans="1:18" ht="15">
      <c r="A1063" s="105">
        <v>10</v>
      </c>
      <c r="B1063" s="105"/>
      <c r="C1063" s="107" t="s">
        <v>474</v>
      </c>
      <c r="D1063" s="107" t="s">
        <v>760</v>
      </c>
      <c r="E1063" s="120">
        <v>6563365605.4102011</v>
      </c>
      <c r="F1063" s="120" t="s">
        <v>251</v>
      </c>
      <c r="G1063" s="120">
        <v>6156982948.08395</v>
      </c>
      <c r="H1063" s="120" t="s">
        <v>251</v>
      </c>
      <c r="I1063" s="120">
        <v>312662826.21753645</v>
      </c>
      <c r="J1063" s="120">
        <v>93719831.108714536</v>
      </c>
      <c r="K1063" s="120" t="s">
        <v>251</v>
      </c>
      <c r="L1063" s="120" t="s">
        <v>251</v>
      </c>
      <c r="M1063" s="120">
        <v>521479.610765777</v>
      </c>
      <c r="N1063" s="120" t="s">
        <v>251</v>
      </c>
      <c r="O1063" s="120">
        <v>93198351.497948766</v>
      </c>
      <c r="P1063" s="120">
        <v>48453270.832172185</v>
      </c>
      <c r="Q1063" s="120">
        <v>44745080.665776581</v>
      </c>
      <c r="R1063" s="120"/>
    </row>
    <row r="1064" spans="1:18" ht="15">
      <c r="A1064" s="105">
        <v>11</v>
      </c>
      <c r="B1064" s="105"/>
      <c r="C1064" s="107" t="s">
        <v>547</v>
      </c>
      <c r="D1064" s="107" t="s">
        <v>782</v>
      </c>
      <c r="E1064" s="120">
        <v>5646943364.9495363</v>
      </c>
      <c r="F1064" s="120" t="s">
        <v>251</v>
      </c>
      <c r="G1064" s="120">
        <v>5297822468.0457802</v>
      </c>
      <c r="H1064" s="120" t="s">
        <v>251</v>
      </c>
      <c r="I1064" s="120">
        <v>267427320.51656622</v>
      </c>
      <c r="J1064" s="120">
        <v>81693576.387220904</v>
      </c>
      <c r="K1064" s="120" t="s">
        <v>251</v>
      </c>
      <c r="L1064" s="120" t="s">
        <v>251</v>
      </c>
      <c r="M1064" s="120">
        <v>433440.35922194738</v>
      </c>
      <c r="N1064" s="120" t="s">
        <v>251</v>
      </c>
      <c r="O1064" s="120">
        <v>81260136.027998954</v>
      </c>
      <c r="P1064" s="120">
        <v>42155558.870193303</v>
      </c>
      <c r="Q1064" s="120">
        <v>39104577.157805644</v>
      </c>
      <c r="R1064" s="120"/>
    </row>
    <row r="1065" spans="1:18" ht="15">
      <c r="A1065" s="105">
        <v>12</v>
      </c>
      <c r="B1065" s="105"/>
      <c r="C1065" s="107" t="s">
        <v>1059</v>
      </c>
      <c r="D1065" s="107" t="s">
        <v>786</v>
      </c>
      <c r="E1065" s="120">
        <v>961676.92</v>
      </c>
      <c r="F1065" s="120" t="s">
        <v>251</v>
      </c>
      <c r="G1065" s="120">
        <v>748975.63997494429</v>
      </c>
      <c r="H1065" s="120" t="s">
        <v>251</v>
      </c>
      <c r="I1065" s="120">
        <v>0</v>
      </c>
      <c r="J1065" s="120">
        <v>212701.28002505572</v>
      </c>
      <c r="K1065" s="120" t="s">
        <v>251</v>
      </c>
      <c r="L1065" s="120" t="s">
        <v>251</v>
      </c>
      <c r="M1065" s="120">
        <v>0</v>
      </c>
      <c r="N1065" s="120" t="s">
        <v>251</v>
      </c>
      <c r="O1065" s="120">
        <v>212701.28002505572</v>
      </c>
      <c r="P1065" s="120">
        <v>107876.14480703727</v>
      </c>
      <c r="Q1065" s="120">
        <v>104825.13521801845</v>
      </c>
      <c r="R1065" s="120"/>
    </row>
    <row r="1066" spans="1:18" ht="15">
      <c r="A1066" s="105">
        <v>13</v>
      </c>
      <c r="B1066" s="105"/>
      <c r="C1066" s="107" t="s">
        <v>1060</v>
      </c>
      <c r="D1066" s="107" t="s">
        <v>1061</v>
      </c>
      <c r="E1066" s="120">
        <v>-17139454</v>
      </c>
      <c r="F1066" s="120" t="s">
        <v>251</v>
      </c>
      <c r="G1066" s="120">
        <v>-16101274</v>
      </c>
      <c r="H1066" s="120" t="s">
        <v>251</v>
      </c>
      <c r="I1066" s="120">
        <v>-787616</v>
      </c>
      <c r="J1066" s="120">
        <v>-250564</v>
      </c>
      <c r="K1066" s="120" t="s">
        <v>251</v>
      </c>
      <c r="L1066" s="120" t="s">
        <v>251</v>
      </c>
      <c r="M1066" s="120">
        <v>-1183</v>
      </c>
      <c r="N1066" s="120" t="s">
        <v>251</v>
      </c>
      <c r="O1066" s="120">
        <v>-249381</v>
      </c>
      <c r="P1066" s="120">
        <v>-129618</v>
      </c>
      <c r="Q1066" s="120">
        <v>-119763</v>
      </c>
      <c r="R1066" s="120"/>
    </row>
    <row r="1067" spans="1:18" ht="15">
      <c r="A1067" s="105">
        <v>14</v>
      </c>
      <c r="B1067" s="105"/>
      <c r="C1067" s="107" t="s">
        <v>1062</v>
      </c>
      <c r="D1067" s="107" t="s">
        <v>1063</v>
      </c>
      <c r="E1067" s="120">
        <v>360402687.23587346</v>
      </c>
      <c r="F1067" s="120" t="s">
        <v>251</v>
      </c>
      <c r="G1067" s="120">
        <v>338847269.39184415</v>
      </c>
      <c r="H1067" s="120" t="s">
        <v>251</v>
      </c>
      <c r="I1067" s="120">
        <v>14104675.588343823</v>
      </c>
      <c r="J1067" s="120">
        <v>7450742.2556855036</v>
      </c>
      <c r="K1067" s="120" t="s">
        <v>251</v>
      </c>
      <c r="L1067" s="120" t="s">
        <v>251</v>
      </c>
      <c r="M1067" s="120">
        <v>1460.0939808382664</v>
      </c>
      <c r="N1067" s="120" t="s">
        <v>251</v>
      </c>
      <c r="O1067" s="120">
        <v>7449282.161704665</v>
      </c>
      <c r="P1067" s="120">
        <v>3773307.6594114997</v>
      </c>
      <c r="Q1067" s="120">
        <v>3675974.5022931653</v>
      </c>
      <c r="R1067" s="120"/>
    </row>
    <row r="1068" spans="1:18" ht="15">
      <c r="A1068" s="105">
        <v>15</v>
      </c>
      <c r="B1068" s="105"/>
      <c r="C1068" s="107" t="s">
        <v>1064</v>
      </c>
      <c r="D1068" s="107" t="s">
        <v>1065</v>
      </c>
      <c r="E1068" s="120">
        <v>70228787.99999997</v>
      </c>
      <c r="F1068" s="120" t="s">
        <v>251</v>
      </c>
      <c r="G1068" s="120">
        <v>65122827.442170985</v>
      </c>
      <c r="H1068" s="120" t="s">
        <v>251</v>
      </c>
      <c r="I1068" s="120">
        <v>3337327.8329508267</v>
      </c>
      <c r="J1068" s="120">
        <v>1768632.7248781691</v>
      </c>
      <c r="K1068" s="120" t="s">
        <v>251</v>
      </c>
      <c r="L1068" s="120" t="s">
        <v>251</v>
      </c>
      <c r="M1068" s="120">
        <v>191.1804438215668</v>
      </c>
      <c r="N1068" s="120" t="s">
        <v>251</v>
      </c>
      <c r="O1068" s="120">
        <v>1768441.5444343477</v>
      </c>
      <c r="P1068" s="120">
        <v>895698.62993081124</v>
      </c>
      <c r="Q1068" s="120">
        <v>872742.91450353642</v>
      </c>
      <c r="R1068" s="120"/>
    </row>
    <row r="1069" spans="1:18" ht="15">
      <c r="A1069" s="105">
        <v>16</v>
      </c>
      <c r="B1069" s="105"/>
      <c r="C1069" s="107" t="s">
        <v>1066</v>
      </c>
      <c r="D1069" s="107" t="s">
        <v>1067</v>
      </c>
      <c r="E1069" s="120">
        <v>10111.999999999898</v>
      </c>
      <c r="F1069" s="120" t="s">
        <v>251</v>
      </c>
      <c r="G1069" s="120">
        <v>9475.220702457942</v>
      </c>
      <c r="H1069" s="120" t="s">
        <v>251</v>
      </c>
      <c r="I1069" s="120">
        <v>433.07279328876206</v>
      </c>
      <c r="J1069" s="120">
        <v>203.70650425319445</v>
      </c>
      <c r="K1069" s="120" t="s">
        <v>251</v>
      </c>
      <c r="L1069" s="120" t="s">
        <v>251</v>
      </c>
      <c r="M1069" s="120">
        <v>3.0353096699799194E-2</v>
      </c>
      <c r="N1069" s="120" t="s">
        <v>251</v>
      </c>
      <c r="O1069" s="120">
        <v>203.67615115649465</v>
      </c>
      <c r="P1069" s="120">
        <v>103.29885167268294</v>
      </c>
      <c r="Q1069" s="120">
        <v>100.37729948381173</v>
      </c>
      <c r="R1069" s="120"/>
    </row>
    <row r="1070" spans="1:18" ht="15">
      <c r="A1070" s="105">
        <v>17</v>
      </c>
      <c r="B1070" s="105"/>
      <c r="C1070" s="107" t="s">
        <v>1068</v>
      </c>
      <c r="D1070" s="107" t="s">
        <v>1069</v>
      </c>
      <c r="E1070" s="120">
        <v>314366.99999999884</v>
      </c>
      <c r="F1070" s="120" t="s">
        <v>251</v>
      </c>
      <c r="G1070" s="120">
        <v>294746.17402464192</v>
      </c>
      <c r="H1070" s="120" t="s">
        <v>251</v>
      </c>
      <c r="I1070" s="120">
        <v>13267.732856502524</v>
      </c>
      <c r="J1070" s="120">
        <v>6353.0931188543855</v>
      </c>
      <c r="K1070" s="120" t="s">
        <v>251</v>
      </c>
      <c r="L1070" s="120" t="s">
        <v>251</v>
      </c>
      <c r="M1070" s="120">
        <v>0.99701160906749153</v>
      </c>
      <c r="N1070" s="120" t="s">
        <v>251</v>
      </c>
      <c r="O1070" s="120">
        <v>6352.0961072453183</v>
      </c>
      <c r="P1070" s="120">
        <v>3220.9108977418928</v>
      </c>
      <c r="Q1070" s="120">
        <v>3131.1852095034255</v>
      </c>
      <c r="R1070" s="120"/>
    </row>
    <row r="1071" spans="1:18" ht="15">
      <c r="A1071" s="105">
        <v>18</v>
      </c>
      <c r="B1071" s="105"/>
      <c r="C1071" s="107" t="s">
        <v>1070</v>
      </c>
      <c r="D1071" s="107" t="s">
        <v>1071</v>
      </c>
      <c r="E1071" s="120">
        <v>126175143.15006201</v>
      </c>
      <c r="F1071" s="120" t="s">
        <v>251</v>
      </c>
      <c r="G1071" s="120">
        <v>118729230.17427993</v>
      </c>
      <c r="H1071" s="120" t="s">
        <v>251</v>
      </c>
      <c r="I1071" s="120">
        <v>4846459.6602255227</v>
      </c>
      <c r="J1071" s="120">
        <v>2599453.315556556</v>
      </c>
      <c r="K1071" s="120" t="s">
        <v>251</v>
      </c>
      <c r="L1071" s="120" t="s">
        <v>251</v>
      </c>
      <c r="M1071" s="120">
        <v>530.61162800092166</v>
      </c>
      <c r="N1071" s="120" t="s">
        <v>251</v>
      </c>
      <c r="O1071" s="120">
        <v>2598922.7039285549</v>
      </c>
      <c r="P1071" s="120">
        <v>1316124.2956122607</v>
      </c>
      <c r="Q1071" s="120">
        <v>1282798.4083162942</v>
      </c>
      <c r="R1071" s="120"/>
    </row>
    <row r="1072" spans="1:18" ht="15">
      <c r="A1072" s="105">
        <v>19</v>
      </c>
      <c r="B1072" s="105"/>
      <c r="C1072" s="107" t="s">
        <v>1072</v>
      </c>
      <c r="D1072" s="107" t="s">
        <v>1073</v>
      </c>
      <c r="E1072" s="120">
        <v>12718232.999999998</v>
      </c>
      <c r="F1072" s="120" t="s">
        <v>251</v>
      </c>
      <c r="G1072" s="120">
        <v>11594579.690997573</v>
      </c>
      <c r="H1072" s="120" t="s">
        <v>251</v>
      </c>
      <c r="I1072" s="120">
        <v>757926.9254964646</v>
      </c>
      <c r="J1072" s="120">
        <v>365726.38350596116</v>
      </c>
      <c r="K1072" s="120" t="s">
        <v>251</v>
      </c>
      <c r="L1072" s="120" t="s">
        <v>251</v>
      </c>
      <c r="M1072" s="120">
        <v>28.815417204378548</v>
      </c>
      <c r="N1072" s="120" t="s">
        <v>251</v>
      </c>
      <c r="O1072" s="120">
        <v>365697.56808875676</v>
      </c>
      <c r="P1072" s="120">
        <v>185471.58628324652</v>
      </c>
      <c r="Q1072" s="120">
        <v>180225.98180551027</v>
      </c>
      <c r="R1072" s="120"/>
    </row>
    <row r="1073" spans="1:18" ht="15">
      <c r="A1073" s="105">
        <v>20</v>
      </c>
      <c r="B1073" s="105"/>
      <c r="C1073" s="107" t="s">
        <v>1074</v>
      </c>
      <c r="D1073" s="107" t="s">
        <v>1075</v>
      </c>
      <c r="E1073" s="120">
        <v>0</v>
      </c>
      <c r="F1073" s="120" t="s">
        <v>251</v>
      </c>
      <c r="G1073" s="120">
        <v>0</v>
      </c>
      <c r="H1073" s="120" t="s">
        <v>251</v>
      </c>
      <c r="I1073" s="120">
        <v>0</v>
      </c>
      <c r="J1073" s="120">
        <v>0</v>
      </c>
      <c r="K1073" s="120" t="s">
        <v>251</v>
      </c>
      <c r="L1073" s="120" t="s">
        <v>251</v>
      </c>
      <c r="M1073" s="120">
        <v>0</v>
      </c>
      <c r="N1073" s="120" t="s">
        <v>251</v>
      </c>
      <c r="O1073" s="120">
        <v>0</v>
      </c>
      <c r="P1073" s="120">
        <v>0</v>
      </c>
      <c r="Q1073" s="120">
        <v>0</v>
      </c>
      <c r="R1073" s="120"/>
    </row>
    <row r="1074" spans="1:18" ht="15">
      <c r="A1074" s="105">
        <v>21</v>
      </c>
      <c r="B1074" s="105"/>
      <c r="C1074" s="107" t="s">
        <v>1076</v>
      </c>
      <c r="D1074" s="107" t="s">
        <v>1077</v>
      </c>
      <c r="E1074" s="120">
        <v>0</v>
      </c>
      <c r="F1074" s="120" t="s">
        <v>251</v>
      </c>
      <c r="G1074" s="120">
        <v>0</v>
      </c>
      <c r="H1074" s="120" t="s">
        <v>251</v>
      </c>
      <c r="I1074" s="120">
        <v>0</v>
      </c>
      <c r="J1074" s="120">
        <v>0</v>
      </c>
      <c r="K1074" s="120" t="s">
        <v>251</v>
      </c>
      <c r="L1074" s="120" t="s">
        <v>251</v>
      </c>
      <c r="M1074" s="120">
        <v>0</v>
      </c>
      <c r="N1074" s="120" t="s">
        <v>251</v>
      </c>
      <c r="O1074" s="120">
        <v>0</v>
      </c>
      <c r="P1074" s="120">
        <v>0</v>
      </c>
      <c r="Q1074" s="120">
        <v>0</v>
      </c>
      <c r="R1074" s="120"/>
    </row>
    <row r="1075" spans="1:18" ht="15">
      <c r="A1075" s="105">
        <v>22</v>
      </c>
      <c r="B1075" s="105"/>
      <c r="C1075" s="107" t="s">
        <v>1078</v>
      </c>
      <c r="D1075" s="107" t="s">
        <v>1079</v>
      </c>
      <c r="E1075" s="120">
        <v>0</v>
      </c>
      <c r="F1075" s="120" t="s">
        <v>251</v>
      </c>
      <c r="G1075" s="120">
        <v>0</v>
      </c>
      <c r="H1075" s="120" t="s">
        <v>251</v>
      </c>
      <c r="I1075" s="120">
        <v>0</v>
      </c>
      <c r="J1075" s="120">
        <v>0</v>
      </c>
      <c r="K1075" s="120" t="s">
        <v>251</v>
      </c>
      <c r="L1075" s="120" t="s">
        <v>251</v>
      </c>
      <c r="M1075" s="120">
        <v>0</v>
      </c>
      <c r="N1075" s="120" t="s">
        <v>251</v>
      </c>
      <c r="O1075" s="120">
        <v>0</v>
      </c>
      <c r="P1075" s="120">
        <v>0</v>
      </c>
      <c r="Q1075" s="120">
        <v>0</v>
      </c>
      <c r="R1075" s="120"/>
    </row>
    <row r="1076" spans="1:18" ht="15">
      <c r="A1076" s="105">
        <v>23</v>
      </c>
      <c r="B1076" s="105"/>
      <c r="C1076" s="107" t="s">
        <v>1080</v>
      </c>
      <c r="D1076" s="107" t="s">
        <v>1081</v>
      </c>
      <c r="E1076" s="120">
        <v>0</v>
      </c>
      <c r="F1076" s="120" t="s">
        <v>251</v>
      </c>
      <c r="G1076" s="120">
        <v>0</v>
      </c>
      <c r="H1076" s="120" t="s">
        <v>251</v>
      </c>
      <c r="I1076" s="120">
        <v>0</v>
      </c>
      <c r="J1076" s="120">
        <v>0</v>
      </c>
      <c r="K1076" s="120" t="s">
        <v>251</v>
      </c>
      <c r="L1076" s="120" t="s">
        <v>251</v>
      </c>
      <c r="M1076" s="120">
        <v>0</v>
      </c>
      <c r="N1076" s="120" t="s">
        <v>251</v>
      </c>
      <c r="O1076" s="120">
        <v>0</v>
      </c>
      <c r="P1076" s="120">
        <v>0</v>
      </c>
      <c r="Q1076" s="120">
        <v>0</v>
      </c>
      <c r="R1076" s="120"/>
    </row>
    <row r="1077" spans="1:18" ht="15">
      <c r="A1077" s="105">
        <v>24</v>
      </c>
      <c r="B1077" s="105"/>
      <c r="C1077" s="107" t="s">
        <v>1082</v>
      </c>
      <c r="D1077" s="107" t="s">
        <v>1083</v>
      </c>
      <c r="E1077" s="120">
        <v>0</v>
      </c>
      <c r="F1077" s="120" t="s">
        <v>251</v>
      </c>
      <c r="G1077" s="120">
        <v>0</v>
      </c>
      <c r="H1077" s="120" t="s">
        <v>251</v>
      </c>
      <c r="I1077" s="120">
        <v>0</v>
      </c>
      <c r="J1077" s="120">
        <v>0</v>
      </c>
      <c r="K1077" s="120" t="s">
        <v>251</v>
      </c>
      <c r="L1077" s="120" t="s">
        <v>251</v>
      </c>
      <c r="M1077" s="120">
        <v>0</v>
      </c>
      <c r="N1077" s="120" t="s">
        <v>251</v>
      </c>
      <c r="O1077" s="120">
        <v>0</v>
      </c>
      <c r="P1077" s="120">
        <v>0</v>
      </c>
      <c r="Q1077" s="120">
        <v>0</v>
      </c>
      <c r="R1077" s="120"/>
    </row>
    <row r="1078" spans="1:18" ht="15">
      <c r="A1078" s="105">
        <v>25</v>
      </c>
      <c r="B1078" s="105"/>
      <c r="C1078" s="107" t="s">
        <v>1084</v>
      </c>
      <c r="D1078" s="107" t="s">
        <v>1085</v>
      </c>
      <c r="E1078" s="120">
        <v>0</v>
      </c>
      <c r="F1078" s="120" t="s">
        <v>251</v>
      </c>
      <c r="G1078" s="120">
        <v>0</v>
      </c>
      <c r="H1078" s="120" t="s">
        <v>251</v>
      </c>
      <c r="I1078" s="120">
        <v>0</v>
      </c>
      <c r="J1078" s="120">
        <v>0</v>
      </c>
      <c r="K1078" s="120" t="s">
        <v>251</v>
      </c>
      <c r="L1078" s="120" t="s">
        <v>251</v>
      </c>
      <c r="M1078" s="120">
        <v>0</v>
      </c>
      <c r="N1078" s="120" t="s">
        <v>251</v>
      </c>
      <c r="O1078" s="120">
        <v>0</v>
      </c>
      <c r="P1078" s="120">
        <v>0</v>
      </c>
      <c r="Q1078" s="120">
        <v>0</v>
      </c>
      <c r="R1078" s="120"/>
    </row>
    <row r="1079" spans="1:18" ht="15">
      <c r="A1079" s="105">
        <v>26</v>
      </c>
      <c r="B1079" s="105"/>
      <c r="C1079" s="107" t="s">
        <v>1086</v>
      </c>
      <c r="D1079" s="107" t="s">
        <v>1087</v>
      </c>
      <c r="E1079" s="120">
        <v>29803591.999999892</v>
      </c>
      <c r="F1079" s="120" t="s">
        <v>251</v>
      </c>
      <c r="G1079" s="120">
        <v>26992150.285837714</v>
      </c>
      <c r="H1079" s="120" t="s">
        <v>251</v>
      </c>
      <c r="I1079" s="120">
        <v>2811355.2903526472</v>
      </c>
      <c r="J1079" s="120">
        <v>86.423809531943377</v>
      </c>
      <c r="K1079" s="120" t="s">
        <v>251</v>
      </c>
      <c r="L1079" s="120" t="s">
        <v>251</v>
      </c>
      <c r="M1079" s="120">
        <v>86.423809531943377</v>
      </c>
      <c r="N1079" s="120" t="s">
        <v>251</v>
      </c>
      <c r="O1079" s="120">
        <v>0</v>
      </c>
      <c r="P1079" s="120">
        <v>0</v>
      </c>
      <c r="Q1079" s="120">
        <v>0</v>
      </c>
      <c r="R1079" s="120"/>
    </row>
    <row r="1080" spans="1:18" ht="15">
      <c r="A1080" s="105">
        <v>27</v>
      </c>
      <c r="B1080" s="105"/>
      <c r="C1080" s="107" t="s">
        <v>1088</v>
      </c>
      <c r="D1080" s="107" t="s">
        <v>1089</v>
      </c>
      <c r="E1080" s="120">
        <v>15907907.000000002</v>
      </c>
      <c r="F1080" s="120" t="s">
        <v>251</v>
      </c>
      <c r="G1080" s="120">
        <v>14412224.289243327</v>
      </c>
      <c r="H1080" s="120" t="s">
        <v>251</v>
      </c>
      <c r="I1080" s="120">
        <v>1495636.7334216076</v>
      </c>
      <c r="J1080" s="120">
        <v>45.977335067455392</v>
      </c>
      <c r="K1080" s="120" t="s">
        <v>251</v>
      </c>
      <c r="L1080" s="120" t="s">
        <v>251</v>
      </c>
      <c r="M1080" s="120">
        <v>45.977335067455392</v>
      </c>
      <c r="N1080" s="120" t="s">
        <v>251</v>
      </c>
      <c r="O1080" s="120">
        <v>0</v>
      </c>
      <c r="P1080" s="120">
        <v>0</v>
      </c>
      <c r="Q1080" s="120">
        <v>0</v>
      </c>
      <c r="R1080" s="120"/>
    </row>
    <row r="1081" spans="1:18" ht="15">
      <c r="A1081" s="105">
        <v>28</v>
      </c>
      <c r="B1081" s="105"/>
      <c r="C1081" s="107" t="s">
        <v>1090</v>
      </c>
      <c r="D1081" s="107" t="s">
        <v>635</v>
      </c>
      <c r="E1081" s="120">
        <v>7409761.0000000009</v>
      </c>
      <c r="F1081" s="120" t="s">
        <v>251</v>
      </c>
      <c r="G1081" s="120">
        <v>6710781.1197435493</v>
      </c>
      <c r="H1081" s="120" t="s">
        <v>251</v>
      </c>
      <c r="I1081" s="120">
        <v>698958.3935922489</v>
      </c>
      <c r="J1081" s="120">
        <v>21.486664202798934</v>
      </c>
      <c r="K1081" s="120" t="s">
        <v>251</v>
      </c>
      <c r="L1081" s="120" t="s">
        <v>251</v>
      </c>
      <c r="M1081" s="120">
        <v>21.486664202798934</v>
      </c>
      <c r="N1081" s="120" t="s">
        <v>251</v>
      </c>
      <c r="O1081" s="120">
        <v>0</v>
      </c>
      <c r="P1081" s="120">
        <v>0</v>
      </c>
      <c r="Q1081" s="120">
        <v>0</v>
      </c>
      <c r="R1081" s="120"/>
    </row>
    <row r="1082" spans="1:18" ht="15">
      <c r="A1082" s="105">
        <v>29</v>
      </c>
      <c r="B1082" s="105"/>
      <c r="C1082" s="107" t="s">
        <v>1091</v>
      </c>
      <c r="D1082" s="107" t="s">
        <v>1092</v>
      </c>
      <c r="E1082" s="120">
        <v>0</v>
      </c>
      <c r="F1082" s="120" t="s">
        <v>251</v>
      </c>
      <c r="G1082" s="120">
        <v>0</v>
      </c>
      <c r="H1082" s="120" t="s">
        <v>251</v>
      </c>
      <c r="I1082" s="120">
        <v>0</v>
      </c>
      <c r="J1082" s="120">
        <v>0</v>
      </c>
      <c r="K1082" s="120" t="s">
        <v>251</v>
      </c>
      <c r="L1082" s="120" t="s">
        <v>251</v>
      </c>
      <c r="M1082" s="120">
        <v>0</v>
      </c>
      <c r="N1082" s="120" t="s">
        <v>251</v>
      </c>
      <c r="O1082" s="120">
        <v>0</v>
      </c>
      <c r="P1082" s="120">
        <v>0</v>
      </c>
      <c r="Q1082" s="120">
        <v>0</v>
      </c>
      <c r="R1082" s="120"/>
    </row>
    <row r="1083" spans="1:18" ht="15">
      <c r="A1083" s="105">
        <v>30</v>
      </c>
      <c r="B1083" s="105"/>
      <c r="C1083" s="107" t="s">
        <v>1093</v>
      </c>
      <c r="D1083" s="107" t="s">
        <v>1094</v>
      </c>
      <c r="E1083" s="120">
        <v>25125956</v>
      </c>
      <c r="F1083" s="120" t="s">
        <v>251</v>
      </c>
      <c r="G1083" s="120">
        <v>23778825.599351343</v>
      </c>
      <c r="H1083" s="120" t="s">
        <v>251</v>
      </c>
      <c r="I1083" s="120">
        <v>1293097.0632680985</v>
      </c>
      <c r="J1083" s="120">
        <v>54033.337380559322</v>
      </c>
      <c r="K1083" s="120" t="s">
        <v>251</v>
      </c>
      <c r="L1083" s="120" t="s">
        <v>251</v>
      </c>
      <c r="M1083" s="120">
        <v>7690.678753521549</v>
      </c>
      <c r="N1083" s="120" t="s">
        <v>251</v>
      </c>
      <c r="O1083" s="120">
        <v>46342.658627037774</v>
      </c>
      <c r="P1083" s="120">
        <v>43296.287434455837</v>
      </c>
      <c r="Q1083" s="120">
        <v>3046.3711925819375</v>
      </c>
      <c r="R1083" s="120"/>
    </row>
    <row r="1084" spans="1:18" ht="15">
      <c r="A1084" s="105">
        <v>31</v>
      </c>
      <c r="B1084" s="105"/>
      <c r="C1084" s="107" t="s">
        <v>1095</v>
      </c>
      <c r="D1084" s="107" t="s">
        <v>1096</v>
      </c>
      <c r="E1084" s="120">
        <v>34902097</v>
      </c>
      <c r="F1084" s="120" t="s">
        <v>251</v>
      </c>
      <c r="G1084" s="120">
        <v>32828071.368160419</v>
      </c>
      <c r="H1084" s="120" t="s">
        <v>251</v>
      </c>
      <c r="I1084" s="120">
        <v>2052194.1331680482</v>
      </c>
      <c r="J1084" s="120">
        <v>21831.498671532558</v>
      </c>
      <c r="K1084" s="120" t="s">
        <v>251</v>
      </c>
      <c r="L1084" s="120" t="s">
        <v>251</v>
      </c>
      <c r="M1084" s="120">
        <v>5577.5294785688202</v>
      </c>
      <c r="N1084" s="120" t="s">
        <v>251</v>
      </c>
      <c r="O1084" s="120">
        <v>16253.969192963737</v>
      </c>
      <c r="P1084" s="120">
        <v>16249.300448610102</v>
      </c>
      <c r="Q1084" s="120">
        <v>4.6687443536352582</v>
      </c>
      <c r="R1084" s="120"/>
    </row>
    <row r="1085" spans="1:18" ht="15">
      <c r="A1085" s="105">
        <v>32</v>
      </c>
      <c r="B1085" s="105"/>
      <c r="C1085" s="107" t="s">
        <v>1097</v>
      </c>
      <c r="D1085" s="107" t="s">
        <v>1098</v>
      </c>
      <c r="E1085" s="120">
        <v>22794159.999999996</v>
      </c>
      <c r="F1085" s="120" t="s">
        <v>251</v>
      </c>
      <c r="G1085" s="120">
        <v>21627227.501038708</v>
      </c>
      <c r="H1085" s="120" t="s">
        <v>251</v>
      </c>
      <c r="I1085" s="120">
        <v>1118466.009376796</v>
      </c>
      <c r="J1085" s="120">
        <v>48466.489584495182</v>
      </c>
      <c r="K1085" s="120" t="s">
        <v>251</v>
      </c>
      <c r="L1085" s="120" t="s">
        <v>251</v>
      </c>
      <c r="M1085" s="120">
        <v>7273.4228467309913</v>
      </c>
      <c r="N1085" s="120" t="s">
        <v>251</v>
      </c>
      <c r="O1085" s="120">
        <v>41193.066737764188</v>
      </c>
      <c r="P1085" s="120">
        <v>40891.25819741383</v>
      </c>
      <c r="Q1085" s="120">
        <v>301.80854035035696</v>
      </c>
      <c r="R1085" s="120"/>
    </row>
    <row r="1086" spans="1:18" ht="15">
      <c r="A1086" s="105">
        <v>33</v>
      </c>
      <c r="B1086" s="105"/>
      <c r="C1086" s="107" t="s">
        <v>1099</v>
      </c>
      <c r="D1086" s="107" t="s">
        <v>1100</v>
      </c>
      <c r="E1086" s="120">
        <v>0</v>
      </c>
      <c r="F1086" s="120" t="s">
        <v>251</v>
      </c>
      <c r="G1086" s="120">
        <v>0</v>
      </c>
      <c r="H1086" s="120" t="s">
        <v>251</v>
      </c>
      <c r="I1086" s="120">
        <v>0</v>
      </c>
      <c r="J1086" s="120">
        <v>0</v>
      </c>
      <c r="K1086" s="120" t="s">
        <v>251</v>
      </c>
      <c r="L1086" s="120" t="s">
        <v>251</v>
      </c>
      <c r="M1086" s="120">
        <v>0</v>
      </c>
      <c r="N1086" s="120" t="s">
        <v>251</v>
      </c>
      <c r="O1086" s="120">
        <v>0</v>
      </c>
      <c r="P1086" s="120">
        <v>0</v>
      </c>
      <c r="Q1086" s="120">
        <v>0</v>
      </c>
      <c r="R1086" s="120"/>
    </row>
    <row r="1087" spans="1:18" ht="15">
      <c r="A1087" s="105">
        <v>34</v>
      </c>
      <c r="B1087" s="105"/>
      <c r="C1087" s="107" t="s">
        <v>1101</v>
      </c>
      <c r="D1087" s="107" t="s">
        <v>885</v>
      </c>
      <c r="E1087" s="120">
        <v>30289429</v>
      </c>
      <c r="F1087" s="120" t="s">
        <v>251</v>
      </c>
      <c r="G1087" s="120">
        <v>28775925.416403897</v>
      </c>
      <c r="H1087" s="120" t="s">
        <v>251</v>
      </c>
      <c r="I1087" s="120">
        <v>1504842.6759818422</v>
      </c>
      <c r="J1087" s="120">
        <v>8660.9076142600188</v>
      </c>
      <c r="K1087" s="120" t="s">
        <v>251</v>
      </c>
      <c r="L1087" s="120" t="s">
        <v>251</v>
      </c>
      <c r="M1087" s="120">
        <v>199.56008327788064</v>
      </c>
      <c r="N1087" s="120" t="s">
        <v>251</v>
      </c>
      <c r="O1087" s="120">
        <v>8461.3475309821388</v>
      </c>
      <c r="P1087" s="120">
        <v>3392.5214157239707</v>
      </c>
      <c r="Q1087" s="120">
        <v>5068.8261152581681</v>
      </c>
      <c r="R1087" s="120"/>
    </row>
    <row r="1088" spans="1:18" ht="15">
      <c r="A1088" s="105">
        <v>35</v>
      </c>
      <c r="B1088" s="105"/>
      <c r="C1088" s="107" t="s">
        <v>1102</v>
      </c>
      <c r="D1088" s="107" t="s">
        <v>685</v>
      </c>
      <c r="E1088" s="120">
        <v>3641154</v>
      </c>
      <c r="F1088" s="120" t="s">
        <v>251</v>
      </c>
      <c r="G1088" s="120">
        <v>3459212.6491932455</v>
      </c>
      <c r="H1088" s="120" t="s">
        <v>251</v>
      </c>
      <c r="I1088" s="120">
        <v>180900.20544863981</v>
      </c>
      <c r="J1088" s="120">
        <v>1041.145358114652</v>
      </c>
      <c r="K1088" s="120" t="s">
        <v>251</v>
      </c>
      <c r="L1088" s="120" t="s">
        <v>251</v>
      </c>
      <c r="M1088" s="120">
        <v>23.989524380521935</v>
      </c>
      <c r="N1088" s="120" t="s">
        <v>251</v>
      </c>
      <c r="O1088" s="120">
        <v>1017.1558337341302</v>
      </c>
      <c r="P1088" s="120">
        <v>407.82191446887293</v>
      </c>
      <c r="Q1088" s="120">
        <v>609.33391926525724</v>
      </c>
      <c r="R1088" s="120"/>
    </row>
    <row r="1089" spans="1:18" ht="15">
      <c r="A1089" s="105">
        <v>36</v>
      </c>
      <c r="B1089" s="105"/>
      <c r="C1089" s="107" t="s">
        <v>1103</v>
      </c>
      <c r="D1089" s="107" t="s">
        <v>893</v>
      </c>
      <c r="E1089" s="120">
        <v>12770043.999999991</v>
      </c>
      <c r="F1089" s="120" t="s">
        <v>251</v>
      </c>
      <c r="G1089" s="120">
        <v>12607583.359170897</v>
      </c>
      <c r="H1089" s="120" t="s">
        <v>251</v>
      </c>
      <c r="I1089" s="120">
        <v>162443.31231019559</v>
      </c>
      <c r="J1089" s="120">
        <v>17.328518896653513</v>
      </c>
      <c r="K1089" s="120" t="s">
        <v>251</v>
      </c>
      <c r="L1089" s="120" t="s">
        <v>251</v>
      </c>
      <c r="M1089" s="120">
        <v>17.328518896653513</v>
      </c>
      <c r="N1089" s="120" t="s">
        <v>251</v>
      </c>
      <c r="O1089" s="120">
        <v>0</v>
      </c>
      <c r="P1089" s="120">
        <v>0</v>
      </c>
      <c r="Q1089" s="120">
        <v>0</v>
      </c>
      <c r="R1089" s="120"/>
    </row>
    <row r="1090" spans="1:18" ht="15">
      <c r="A1090" s="105">
        <v>37</v>
      </c>
      <c r="B1090" s="105"/>
      <c r="C1090" s="107" t="s">
        <v>1104</v>
      </c>
      <c r="D1090" s="107" t="s">
        <v>1105</v>
      </c>
      <c r="E1090" s="120">
        <v>3641154</v>
      </c>
      <c r="F1090" s="120" t="s">
        <v>251</v>
      </c>
      <c r="G1090" s="120">
        <v>3459212.6491932455</v>
      </c>
      <c r="H1090" s="120" t="s">
        <v>251</v>
      </c>
      <c r="I1090" s="120">
        <v>180900.20544863981</v>
      </c>
      <c r="J1090" s="120">
        <v>1041.145358114652</v>
      </c>
      <c r="K1090" s="120" t="s">
        <v>251</v>
      </c>
      <c r="L1090" s="120" t="s">
        <v>251</v>
      </c>
      <c r="M1090" s="120">
        <v>23.989524380521935</v>
      </c>
      <c r="N1090" s="120" t="s">
        <v>251</v>
      </c>
      <c r="O1090" s="120">
        <v>1017.1558337341302</v>
      </c>
      <c r="P1090" s="120">
        <v>407.82191446887293</v>
      </c>
      <c r="Q1090" s="120">
        <v>609.33391926525724</v>
      </c>
      <c r="R1090" s="120"/>
    </row>
    <row r="1091" spans="1:18" ht="15">
      <c r="A1091" s="105">
        <v>38</v>
      </c>
      <c r="B1091" s="105"/>
      <c r="C1091" s="107" t="s">
        <v>1106</v>
      </c>
      <c r="D1091" s="107" t="s">
        <v>1107</v>
      </c>
      <c r="E1091" s="120">
        <v>1044482.0000000001</v>
      </c>
      <c r="F1091" s="120" t="s">
        <v>251</v>
      </c>
      <c r="G1091" s="120">
        <v>991130.87987548974</v>
      </c>
      <c r="H1091" s="120" t="s">
        <v>251</v>
      </c>
      <c r="I1091" s="120">
        <v>53345.429540695593</v>
      </c>
      <c r="J1091" s="120">
        <v>5.6905838147454677</v>
      </c>
      <c r="K1091" s="120" t="s">
        <v>251</v>
      </c>
      <c r="L1091" s="120" t="s">
        <v>251</v>
      </c>
      <c r="M1091" s="120">
        <v>5.6905838147454677</v>
      </c>
      <c r="N1091" s="120" t="s">
        <v>251</v>
      </c>
      <c r="O1091" s="120">
        <v>0</v>
      </c>
      <c r="P1091" s="120">
        <v>0</v>
      </c>
      <c r="Q1091" s="120">
        <v>0</v>
      </c>
      <c r="R1091" s="120"/>
    </row>
    <row r="1092" spans="1:18" ht="15">
      <c r="A1092" s="105">
        <v>39</v>
      </c>
      <c r="B1092" s="105"/>
      <c r="C1092" s="107" t="s">
        <v>1108</v>
      </c>
      <c r="D1092" s="107" t="s">
        <v>697</v>
      </c>
      <c r="E1092" s="120">
        <v>1701224.9999999998</v>
      </c>
      <c r="F1092" s="120" t="s">
        <v>251</v>
      </c>
      <c r="G1092" s="120">
        <v>1679581.996757844</v>
      </c>
      <c r="H1092" s="120" t="s">
        <v>251</v>
      </c>
      <c r="I1092" s="120">
        <v>21640.694737223512</v>
      </c>
      <c r="J1092" s="120">
        <v>2.3085049323212505</v>
      </c>
      <c r="K1092" s="120" t="s">
        <v>251</v>
      </c>
      <c r="L1092" s="120" t="s">
        <v>251</v>
      </c>
      <c r="M1092" s="120">
        <v>2.3085049323212505</v>
      </c>
      <c r="N1092" s="120" t="s">
        <v>251</v>
      </c>
      <c r="O1092" s="120">
        <v>0</v>
      </c>
      <c r="P1092" s="120">
        <v>0</v>
      </c>
      <c r="Q1092" s="120">
        <v>0</v>
      </c>
      <c r="R1092" s="120"/>
    </row>
    <row r="1093" spans="1:18" ht="15">
      <c r="A1093" s="105">
        <v>40</v>
      </c>
      <c r="B1093" s="105"/>
      <c r="C1093" s="107" t="s">
        <v>1109</v>
      </c>
      <c r="D1093" s="107" t="s">
        <v>1110</v>
      </c>
      <c r="E1093" s="120">
        <v>115982377.99999996</v>
      </c>
      <c r="F1093" s="120" t="s">
        <v>251</v>
      </c>
      <c r="G1093" s="120">
        <v>109038721.97749449</v>
      </c>
      <c r="H1093" s="120" t="s">
        <v>251</v>
      </c>
      <c r="I1093" s="120">
        <v>5526225.6619163314</v>
      </c>
      <c r="J1093" s="120">
        <v>1417430.3605891299</v>
      </c>
      <c r="K1093" s="120" t="s">
        <v>251</v>
      </c>
      <c r="L1093" s="120" t="s">
        <v>251</v>
      </c>
      <c r="M1093" s="120">
        <v>7718.3760775196934</v>
      </c>
      <c r="N1093" s="120" t="s">
        <v>251</v>
      </c>
      <c r="O1093" s="120">
        <v>1409711.9845116101</v>
      </c>
      <c r="P1093" s="120">
        <v>734582.36657357297</v>
      </c>
      <c r="Q1093" s="120">
        <v>675129.61793803703</v>
      </c>
      <c r="R1093" s="120"/>
    </row>
    <row r="1094" spans="1:18" ht="15">
      <c r="A1094" s="105" t="s">
        <v>251</v>
      </c>
      <c r="B1094" s="105"/>
      <c r="C1094" s="107" t="s">
        <v>251</v>
      </c>
      <c r="D1094" s="107" t="s">
        <v>251</v>
      </c>
      <c r="E1094" s="120" t="s">
        <v>251</v>
      </c>
      <c r="F1094" s="120" t="s">
        <v>251</v>
      </c>
      <c r="G1094" s="120" t="s">
        <v>251</v>
      </c>
      <c r="H1094" s="120" t="s">
        <v>251</v>
      </c>
      <c r="I1094" s="120" t="s">
        <v>251</v>
      </c>
      <c r="J1094" s="120" t="s">
        <v>251</v>
      </c>
      <c r="K1094" s="120" t="s">
        <v>251</v>
      </c>
      <c r="L1094" s="120" t="s">
        <v>251</v>
      </c>
      <c r="M1094" s="120" t="s">
        <v>251</v>
      </c>
      <c r="N1094" s="120" t="s">
        <v>251</v>
      </c>
      <c r="O1094" s="120" t="s">
        <v>251</v>
      </c>
      <c r="P1094" s="120" t="s">
        <v>251</v>
      </c>
      <c r="Q1094" s="120" t="s">
        <v>251</v>
      </c>
      <c r="R1094" s="120"/>
    </row>
    <row r="1095" spans="1:18" ht="15">
      <c r="A1095" s="105" t="s">
        <v>251</v>
      </c>
      <c r="B1095" s="105"/>
      <c r="C1095" s="107" t="s">
        <v>1047</v>
      </c>
      <c r="D1095" s="107" t="s">
        <v>251</v>
      </c>
      <c r="E1095" s="120" t="s">
        <v>251</v>
      </c>
      <c r="F1095" s="120" t="s">
        <v>251</v>
      </c>
      <c r="G1095" s="120" t="s">
        <v>251</v>
      </c>
      <c r="H1095" s="120" t="s">
        <v>251</v>
      </c>
      <c r="I1095" s="120" t="s">
        <v>251</v>
      </c>
      <c r="J1095" s="120" t="s">
        <v>251</v>
      </c>
      <c r="K1095" s="120" t="s">
        <v>251</v>
      </c>
      <c r="L1095" s="120" t="s">
        <v>251</v>
      </c>
      <c r="M1095" s="120" t="s">
        <v>251</v>
      </c>
      <c r="N1095" s="120" t="s">
        <v>251</v>
      </c>
      <c r="O1095" s="120" t="s">
        <v>251</v>
      </c>
      <c r="P1095" s="120" t="s">
        <v>251</v>
      </c>
      <c r="Q1095" s="120" t="s">
        <v>251</v>
      </c>
      <c r="R1095" s="120"/>
    </row>
    <row r="1096" spans="1:18" ht="15">
      <c r="A1096" s="105" t="s">
        <v>251</v>
      </c>
      <c r="B1096" s="105"/>
      <c r="C1096" s="107" t="s">
        <v>920</v>
      </c>
      <c r="D1096" s="107" t="s">
        <v>251</v>
      </c>
      <c r="E1096" s="120" t="s">
        <v>251</v>
      </c>
      <c r="F1096" s="120" t="s">
        <v>251</v>
      </c>
      <c r="G1096" s="120" t="s">
        <v>251</v>
      </c>
      <c r="H1096" s="120" t="s">
        <v>251</v>
      </c>
      <c r="I1096" s="120" t="s">
        <v>251</v>
      </c>
      <c r="J1096" s="120" t="s">
        <v>251</v>
      </c>
      <c r="K1096" s="120" t="s">
        <v>251</v>
      </c>
      <c r="L1096" s="120" t="s">
        <v>251</v>
      </c>
      <c r="M1096" s="120" t="s">
        <v>251</v>
      </c>
      <c r="N1096" s="120" t="s">
        <v>251</v>
      </c>
      <c r="O1096" s="120" t="s">
        <v>251</v>
      </c>
      <c r="P1096" s="120" t="s">
        <v>251</v>
      </c>
      <c r="Q1096" s="120" t="s">
        <v>251</v>
      </c>
      <c r="R1096" s="120"/>
    </row>
    <row r="1097" spans="1:18" ht="15">
      <c r="A1097" s="105">
        <v>1</v>
      </c>
      <c r="B1097" s="105"/>
      <c r="C1097" s="107" t="s">
        <v>2258</v>
      </c>
      <c r="D1097" s="107" t="s">
        <v>1112</v>
      </c>
      <c r="E1097" s="120">
        <v>3709646.9999999902</v>
      </c>
      <c r="F1097" s="120" t="s">
        <v>251</v>
      </c>
      <c r="G1097" s="120">
        <v>3495689.4081532541</v>
      </c>
      <c r="H1097" s="120" t="s">
        <v>251</v>
      </c>
      <c r="I1097" s="120">
        <v>170795.19030524511</v>
      </c>
      <c r="J1097" s="120">
        <v>43162.401541491126</v>
      </c>
      <c r="K1097" s="120" t="s">
        <v>251</v>
      </c>
      <c r="L1097" s="120" t="s">
        <v>251</v>
      </c>
      <c r="M1097" s="120">
        <v>243.06297892226036</v>
      </c>
      <c r="N1097" s="120" t="s">
        <v>251</v>
      </c>
      <c r="O1097" s="120">
        <v>42919.338562568868</v>
      </c>
      <c r="P1097" s="120">
        <v>22372.980438236285</v>
      </c>
      <c r="Q1097" s="120">
        <v>20546.358124332586</v>
      </c>
      <c r="R1097" s="120"/>
    </row>
    <row r="1098" spans="1:18" ht="15">
      <c r="A1098" s="105">
        <v>2</v>
      </c>
      <c r="B1098" s="105"/>
      <c r="C1098" s="107" t="s">
        <v>1113</v>
      </c>
      <c r="D1098" s="107" t="s">
        <v>1114</v>
      </c>
      <c r="E1098" s="120">
        <v>12381934.999999989</v>
      </c>
      <c r="F1098" s="120" t="s">
        <v>251</v>
      </c>
      <c r="G1098" s="120">
        <v>12264475.094738947</v>
      </c>
      <c r="H1098" s="120" t="s">
        <v>251</v>
      </c>
      <c r="I1098" s="120">
        <v>117447.37664994238</v>
      </c>
      <c r="J1098" s="120">
        <v>12.528611099449819</v>
      </c>
      <c r="K1098" s="120" t="s">
        <v>251</v>
      </c>
      <c r="L1098" s="120" t="s">
        <v>251</v>
      </c>
      <c r="M1098" s="120">
        <v>12.528611099449819</v>
      </c>
      <c r="N1098" s="120" t="s">
        <v>251</v>
      </c>
      <c r="O1098" s="120">
        <v>0</v>
      </c>
      <c r="P1098" s="120">
        <v>0</v>
      </c>
      <c r="Q1098" s="120">
        <v>0</v>
      </c>
      <c r="R1098" s="120"/>
    </row>
    <row r="1099" spans="1:18" ht="15">
      <c r="A1099" s="105">
        <v>3</v>
      </c>
      <c r="B1099" s="105"/>
      <c r="C1099" s="107" t="s">
        <v>1115</v>
      </c>
      <c r="D1099" s="107" t="s">
        <v>525</v>
      </c>
      <c r="E1099" s="120">
        <v>1928493257.2171526</v>
      </c>
      <c r="F1099" s="120" t="s">
        <v>251</v>
      </c>
      <c r="G1099" s="120">
        <v>1924181178.5171525</v>
      </c>
      <c r="H1099" s="120" t="s">
        <v>251</v>
      </c>
      <c r="I1099" s="120">
        <v>0</v>
      </c>
      <c r="J1099" s="120">
        <v>4312078.7</v>
      </c>
      <c r="K1099" s="120" t="s">
        <v>251</v>
      </c>
      <c r="L1099" s="120" t="s">
        <v>251</v>
      </c>
      <c r="M1099" s="120">
        <v>647118.70000000007</v>
      </c>
      <c r="N1099" s="120" t="s">
        <v>251</v>
      </c>
      <c r="O1099" s="120">
        <v>3664960</v>
      </c>
      <c r="P1099" s="120">
        <v>3638108</v>
      </c>
      <c r="Q1099" s="120">
        <v>26852</v>
      </c>
      <c r="R1099" s="120"/>
    </row>
    <row r="1100" spans="1:18" ht="15">
      <c r="A1100" s="105">
        <v>4</v>
      </c>
      <c r="B1100" s="105"/>
      <c r="C1100" s="107" t="s">
        <v>1116</v>
      </c>
      <c r="D1100" s="107" t="s">
        <v>429</v>
      </c>
      <c r="E1100" s="120">
        <v>87183813.807333574</v>
      </c>
      <c r="F1100" s="120" t="s">
        <v>251</v>
      </c>
      <c r="G1100" s="120">
        <v>87183813.807333574</v>
      </c>
      <c r="H1100" s="120" t="s">
        <v>251</v>
      </c>
      <c r="I1100" s="120">
        <v>0</v>
      </c>
      <c r="J1100" s="120">
        <v>0</v>
      </c>
      <c r="K1100" s="120" t="s">
        <v>251</v>
      </c>
      <c r="L1100" s="120" t="s">
        <v>251</v>
      </c>
      <c r="M1100" s="120">
        <v>0</v>
      </c>
      <c r="N1100" s="120" t="s">
        <v>251</v>
      </c>
      <c r="O1100" s="120">
        <v>0</v>
      </c>
      <c r="P1100" s="120">
        <v>0</v>
      </c>
      <c r="Q1100" s="120">
        <v>0</v>
      </c>
      <c r="R1100" s="120"/>
    </row>
    <row r="1101" spans="1:18" ht="15">
      <c r="A1101" s="105">
        <v>5</v>
      </c>
      <c r="B1101" s="105"/>
      <c r="C1101" s="107" t="s">
        <v>1117</v>
      </c>
      <c r="D1101" s="107" t="s">
        <v>1118</v>
      </c>
      <c r="E1101" s="120">
        <v>4416324.0828610333</v>
      </c>
      <c r="F1101" s="120" t="s">
        <v>251</v>
      </c>
      <c r="G1101" s="120">
        <v>0</v>
      </c>
      <c r="H1101" s="120" t="s">
        <v>251</v>
      </c>
      <c r="I1101" s="120">
        <v>4416324.0828610333</v>
      </c>
      <c r="J1101" s="120">
        <v>0</v>
      </c>
      <c r="K1101" s="120" t="s">
        <v>251</v>
      </c>
      <c r="L1101" s="120" t="s">
        <v>251</v>
      </c>
      <c r="M1101" s="120">
        <v>0</v>
      </c>
      <c r="N1101" s="120" t="s">
        <v>251</v>
      </c>
      <c r="O1101" s="120">
        <v>0</v>
      </c>
      <c r="P1101" s="120">
        <v>0</v>
      </c>
      <c r="Q1101" s="120">
        <v>0</v>
      </c>
      <c r="R1101" s="120"/>
    </row>
    <row r="1102" spans="1:18" ht="15">
      <c r="A1102" s="105">
        <v>6</v>
      </c>
      <c r="B1102" s="105"/>
      <c r="C1102" s="107" t="s">
        <v>1119</v>
      </c>
      <c r="D1102" s="107" t="s">
        <v>1120</v>
      </c>
      <c r="E1102" s="120">
        <v>0</v>
      </c>
      <c r="F1102" s="120" t="s">
        <v>251</v>
      </c>
      <c r="G1102" s="120">
        <v>0</v>
      </c>
      <c r="H1102" s="120" t="s">
        <v>251</v>
      </c>
      <c r="I1102" s="120">
        <v>0</v>
      </c>
      <c r="J1102" s="120">
        <v>0</v>
      </c>
      <c r="K1102" s="120" t="s">
        <v>251</v>
      </c>
      <c r="L1102" s="120" t="s">
        <v>251</v>
      </c>
      <c r="M1102" s="120">
        <v>0</v>
      </c>
      <c r="N1102" s="120" t="s">
        <v>251</v>
      </c>
      <c r="O1102" s="120">
        <v>0</v>
      </c>
      <c r="P1102" s="120">
        <v>0</v>
      </c>
      <c r="Q1102" s="120">
        <v>0</v>
      </c>
      <c r="R1102" s="120"/>
    </row>
    <row r="1103" spans="1:18" ht="15">
      <c r="A1103" s="105">
        <v>7</v>
      </c>
      <c r="B1103" s="105"/>
      <c r="C1103" s="107" t="s">
        <v>1121</v>
      </c>
      <c r="D1103" s="107" t="s">
        <v>1122</v>
      </c>
      <c r="E1103" s="120">
        <v>1344874.8544914515</v>
      </c>
      <c r="F1103" s="120" t="s">
        <v>251</v>
      </c>
      <c r="G1103" s="120">
        <v>0</v>
      </c>
      <c r="H1103" s="120" t="s">
        <v>251</v>
      </c>
      <c r="I1103" s="120">
        <v>0</v>
      </c>
      <c r="J1103" s="120">
        <v>1344874.8544914515</v>
      </c>
      <c r="K1103" s="120" t="s">
        <v>251</v>
      </c>
      <c r="L1103" s="120" t="s">
        <v>251</v>
      </c>
      <c r="M1103" s="120">
        <v>0</v>
      </c>
      <c r="N1103" s="120" t="s">
        <v>251</v>
      </c>
      <c r="O1103" s="120">
        <v>1344874.8544914515</v>
      </c>
      <c r="P1103" s="120">
        <v>701685.02694045345</v>
      </c>
      <c r="Q1103" s="120">
        <v>643189.82755099807</v>
      </c>
      <c r="R1103" s="120"/>
    </row>
    <row r="1104" spans="1:18" ht="15">
      <c r="A1104" s="105">
        <v>8</v>
      </c>
      <c r="B1104" s="105"/>
      <c r="C1104" s="107" t="s">
        <v>1123</v>
      </c>
      <c r="D1104" s="107" t="s">
        <v>1124</v>
      </c>
      <c r="E1104" s="120">
        <v>-1535639</v>
      </c>
      <c r="F1104" s="120" t="s">
        <v>251</v>
      </c>
      <c r="G1104" s="120">
        <v>-1512108</v>
      </c>
      <c r="H1104" s="120" t="s">
        <v>251</v>
      </c>
      <c r="I1104" s="120">
        <v>0</v>
      </c>
      <c r="J1104" s="120">
        <v>-23531</v>
      </c>
      <c r="K1104" s="120" t="s">
        <v>251</v>
      </c>
      <c r="L1104" s="120" t="s">
        <v>251</v>
      </c>
      <c r="M1104" s="120">
        <v>-111</v>
      </c>
      <c r="N1104" s="120" t="s">
        <v>251</v>
      </c>
      <c r="O1104" s="120">
        <v>-23420</v>
      </c>
      <c r="P1104" s="120">
        <v>-12173</v>
      </c>
      <c r="Q1104" s="120">
        <v>-11247</v>
      </c>
      <c r="R1104" s="120"/>
    </row>
    <row r="1105" spans="1:18" ht="15">
      <c r="A1105" s="105">
        <v>9</v>
      </c>
      <c r="B1105" s="105"/>
      <c r="C1105" s="107" t="s">
        <v>1125</v>
      </c>
      <c r="D1105" s="107" t="s">
        <v>728</v>
      </c>
      <c r="E1105" s="120">
        <v>176737014.39916804</v>
      </c>
      <c r="F1105" s="120" t="s">
        <v>251</v>
      </c>
      <c r="G1105" s="120">
        <v>168255995.62512711</v>
      </c>
      <c r="H1105" s="120" t="s">
        <v>251</v>
      </c>
      <c r="I1105" s="120">
        <v>8468966.3726164941</v>
      </c>
      <c r="J1105" s="120">
        <v>12052.40142442933</v>
      </c>
      <c r="K1105" s="120" t="s">
        <v>251</v>
      </c>
      <c r="L1105" s="120" t="s">
        <v>251</v>
      </c>
      <c r="M1105" s="120">
        <v>12052.40142442933</v>
      </c>
      <c r="N1105" s="120" t="s">
        <v>251</v>
      </c>
      <c r="O1105" s="120">
        <v>0</v>
      </c>
      <c r="P1105" s="120">
        <v>0</v>
      </c>
      <c r="Q1105" s="120">
        <v>0</v>
      </c>
      <c r="R1105" s="120"/>
    </row>
    <row r="1106" spans="1:18" ht="15">
      <c r="A1106" s="105">
        <v>10</v>
      </c>
      <c r="B1106" s="105"/>
      <c r="C1106" s="107" t="s">
        <v>1126</v>
      </c>
      <c r="D1106" s="107" t="s">
        <v>457</v>
      </c>
      <c r="E1106" s="120">
        <v>1069255389.5802072</v>
      </c>
      <c r="F1106" s="120" t="s">
        <v>251</v>
      </c>
      <c r="G1106" s="120">
        <v>1021671276.3965485</v>
      </c>
      <c r="H1106" s="120" t="s">
        <v>251</v>
      </c>
      <c r="I1106" s="120">
        <v>47580842.049831003</v>
      </c>
      <c r="J1106" s="120">
        <v>3271.133827730237</v>
      </c>
      <c r="K1106" s="120" t="s">
        <v>251</v>
      </c>
      <c r="L1106" s="120" t="s">
        <v>251</v>
      </c>
      <c r="M1106" s="120">
        <v>3271.133827730237</v>
      </c>
      <c r="N1106" s="120" t="s">
        <v>251</v>
      </c>
      <c r="O1106" s="120">
        <v>0</v>
      </c>
      <c r="P1106" s="120">
        <v>0</v>
      </c>
      <c r="Q1106" s="120">
        <v>0</v>
      </c>
      <c r="R1106" s="120"/>
    </row>
    <row r="1107" spans="1:18" ht="15">
      <c r="A1107" s="105">
        <v>11</v>
      </c>
      <c r="B1107" s="105"/>
      <c r="C1107" s="107" t="s">
        <v>251</v>
      </c>
      <c r="D1107" s="107" t="s">
        <v>251</v>
      </c>
      <c r="E1107" s="120" t="s">
        <v>251</v>
      </c>
      <c r="F1107" s="120" t="s">
        <v>251</v>
      </c>
      <c r="G1107" s="120" t="s">
        <v>251</v>
      </c>
      <c r="H1107" s="120" t="s">
        <v>251</v>
      </c>
      <c r="I1107" s="120" t="s">
        <v>251</v>
      </c>
      <c r="J1107" s="120" t="s">
        <v>251</v>
      </c>
      <c r="K1107" s="120" t="s">
        <v>251</v>
      </c>
      <c r="L1107" s="120" t="s">
        <v>251</v>
      </c>
      <c r="M1107" s="120" t="s">
        <v>251</v>
      </c>
      <c r="N1107" s="120" t="s">
        <v>251</v>
      </c>
      <c r="O1107" s="120" t="s">
        <v>251</v>
      </c>
      <c r="P1107" s="120" t="s">
        <v>251</v>
      </c>
      <c r="Q1107" s="120" t="s">
        <v>251</v>
      </c>
      <c r="R1107" s="120"/>
    </row>
    <row r="1108" spans="1:18" ht="15">
      <c r="A1108" s="105">
        <v>12</v>
      </c>
      <c r="B1108" s="105"/>
      <c r="C1108" s="107" t="s">
        <v>251</v>
      </c>
      <c r="D1108" s="107" t="s">
        <v>251</v>
      </c>
      <c r="E1108" s="120" t="s">
        <v>251</v>
      </c>
      <c r="F1108" s="120" t="s">
        <v>251</v>
      </c>
      <c r="G1108" s="120" t="s">
        <v>251</v>
      </c>
      <c r="H1108" s="120" t="s">
        <v>251</v>
      </c>
      <c r="I1108" s="120" t="s">
        <v>251</v>
      </c>
      <c r="J1108" s="120" t="s">
        <v>251</v>
      </c>
      <c r="K1108" s="120" t="s">
        <v>251</v>
      </c>
      <c r="L1108" s="120" t="s">
        <v>251</v>
      </c>
      <c r="M1108" s="120" t="s">
        <v>251</v>
      </c>
      <c r="N1108" s="120" t="s">
        <v>251</v>
      </c>
      <c r="O1108" s="120" t="s">
        <v>251</v>
      </c>
      <c r="P1108" s="120" t="s">
        <v>251</v>
      </c>
      <c r="Q1108" s="120" t="s">
        <v>251</v>
      </c>
      <c r="R1108" s="120"/>
    </row>
    <row r="1109" spans="1:18" ht="15">
      <c r="A1109" s="105">
        <v>13</v>
      </c>
      <c r="B1109" s="105"/>
      <c r="C1109" s="107" t="s">
        <v>251</v>
      </c>
      <c r="D1109" s="107" t="s">
        <v>251</v>
      </c>
      <c r="E1109" s="120" t="s">
        <v>251</v>
      </c>
      <c r="F1109" s="120" t="s">
        <v>251</v>
      </c>
      <c r="G1109" s="120" t="s">
        <v>251</v>
      </c>
      <c r="H1109" s="120" t="s">
        <v>251</v>
      </c>
      <c r="I1109" s="120" t="s">
        <v>251</v>
      </c>
      <c r="J1109" s="120" t="s">
        <v>251</v>
      </c>
      <c r="K1109" s="120" t="s">
        <v>251</v>
      </c>
      <c r="L1109" s="120" t="s">
        <v>251</v>
      </c>
      <c r="M1109" s="120" t="s">
        <v>251</v>
      </c>
      <c r="N1109" s="120" t="s">
        <v>251</v>
      </c>
      <c r="O1109" s="120" t="s">
        <v>251</v>
      </c>
      <c r="P1109" s="120" t="s">
        <v>251</v>
      </c>
      <c r="Q1109" s="120" t="s">
        <v>251</v>
      </c>
      <c r="R1109" s="120"/>
    </row>
    <row r="1110" spans="1:18" ht="15">
      <c r="A1110" s="105">
        <v>14</v>
      </c>
      <c r="B1110" s="105"/>
      <c r="C1110" s="107" t="s">
        <v>251</v>
      </c>
      <c r="D1110" s="107" t="s">
        <v>251</v>
      </c>
      <c r="E1110" s="120" t="s">
        <v>251</v>
      </c>
      <c r="F1110" s="120" t="s">
        <v>251</v>
      </c>
      <c r="G1110" s="120" t="s">
        <v>251</v>
      </c>
      <c r="H1110" s="120" t="s">
        <v>251</v>
      </c>
      <c r="I1110" s="120" t="s">
        <v>251</v>
      </c>
      <c r="J1110" s="120" t="s">
        <v>251</v>
      </c>
      <c r="K1110" s="120" t="s">
        <v>251</v>
      </c>
      <c r="L1110" s="120" t="s">
        <v>251</v>
      </c>
      <c r="M1110" s="120" t="s">
        <v>251</v>
      </c>
      <c r="N1110" s="120" t="s">
        <v>251</v>
      </c>
      <c r="O1110" s="120" t="s">
        <v>251</v>
      </c>
      <c r="P1110" s="120" t="s">
        <v>251</v>
      </c>
      <c r="Q1110" s="120" t="s">
        <v>251</v>
      </c>
      <c r="R1110" s="120"/>
    </row>
    <row r="1111" spans="1:18" ht="15">
      <c r="A1111" s="105">
        <v>15</v>
      </c>
      <c r="B1111" s="105"/>
      <c r="C1111" s="107" t="s">
        <v>251</v>
      </c>
      <c r="D1111" s="107" t="s">
        <v>251</v>
      </c>
      <c r="E1111" s="120" t="s">
        <v>251</v>
      </c>
      <c r="F1111" s="120" t="s">
        <v>251</v>
      </c>
      <c r="G1111" s="120" t="s">
        <v>251</v>
      </c>
      <c r="H1111" s="120" t="s">
        <v>251</v>
      </c>
      <c r="I1111" s="120" t="s">
        <v>251</v>
      </c>
      <c r="J1111" s="120" t="s">
        <v>251</v>
      </c>
      <c r="K1111" s="120" t="s">
        <v>251</v>
      </c>
      <c r="L1111" s="120" t="s">
        <v>251</v>
      </c>
      <c r="M1111" s="120" t="s">
        <v>251</v>
      </c>
      <c r="N1111" s="120" t="s">
        <v>251</v>
      </c>
      <c r="O1111" s="120" t="s">
        <v>251</v>
      </c>
      <c r="P1111" s="120" t="s">
        <v>251</v>
      </c>
      <c r="Q1111" s="120" t="s">
        <v>251</v>
      </c>
      <c r="R1111" s="120"/>
    </row>
    <row r="1112" spans="1:18" ht="15">
      <c r="A1112" s="105">
        <v>16</v>
      </c>
      <c r="B1112" s="105"/>
      <c r="C1112" s="107" t="s">
        <v>251</v>
      </c>
      <c r="D1112" s="107" t="s">
        <v>251</v>
      </c>
      <c r="E1112" s="120" t="s">
        <v>251</v>
      </c>
      <c r="F1112" s="120" t="s">
        <v>251</v>
      </c>
      <c r="G1112" s="120" t="s">
        <v>251</v>
      </c>
      <c r="H1112" s="120" t="s">
        <v>251</v>
      </c>
      <c r="I1112" s="120" t="s">
        <v>251</v>
      </c>
      <c r="J1112" s="120" t="s">
        <v>251</v>
      </c>
      <c r="K1112" s="120" t="s">
        <v>251</v>
      </c>
      <c r="L1112" s="120" t="s">
        <v>251</v>
      </c>
      <c r="M1112" s="120" t="s">
        <v>251</v>
      </c>
      <c r="N1112" s="120" t="s">
        <v>251</v>
      </c>
      <c r="O1112" s="120" t="s">
        <v>251</v>
      </c>
      <c r="P1112" s="120" t="s">
        <v>251</v>
      </c>
      <c r="Q1112" s="120" t="s">
        <v>251</v>
      </c>
      <c r="R1112" s="120"/>
    </row>
    <row r="1113" spans="1:18" ht="15">
      <c r="A1113" s="105">
        <v>17</v>
      </c>
      <c r="B1113" s="105"/>
      <c r="C1113" s="107" t="s">
        <v>251</v>
      </c>
      <c r="D1113" s="107" t="s">
        <v>251</v>
      </c>
      <c r="E1113" s="120" t="s">
        <v>251</v>
      </c>
      <c r="F1113" s="120" t="s">
        <v>251</v>
      </c>
      <c r="G1113" s="120" t="s">
        <v>251</v>
      </c>
      <c r="H1113" s="120" t="s">
        <v>251</v>
      </c>
      <c r="I1113" s="120" t="s">
        <v>251</v>
      </c>
      <c r="J1113" s="120" t="s">
        <v>251</v>
      </c>
      <c r="K1113" s="120" t="s">
        <v>251</v>
      </c>
      <c r="L1113" s="120" t="s">
        <v>251</v>
      </c>
      <c r="M1113" s="120" t="s">
        <v>251</v>
      </c>
      <c r="N1113" s="120" t="s">
        <v>251</v>
      </c>
      <c r="O1113" s="120" t="s">
        <v>251</v>
      </c>
      <c r="P1113" s="120" t="s">
        <v>251</v>
      </c>
      <c r="Q1113" s="120" t="s">
        <v>251</v>
      </c>
      <c r="R1113" s="120"/>
    </row>
    <row r="1114" spans="1:18" ht="15">
      <c r="A1114" s="105">
        <v>18</v>
      </c>
      <c r="B1114" s="105"/>
      <c r="C1114" s="107" t="s">
        <v>251</v>
      </c>
      <c r="D1114" s="107" t="s">
        <v>251</v>
      </c>
      <c r="E1114" s="120" t="s">
        <v>251</v>
      </c>
      <c r="F1114" s="120" t="s">
        <v>251</v>
      </c>
      <c r="G1114" s="120" t="s">
        <v>251</v>
      </c>
      <c r="H1114" s="120" t="s">
        <v>251</v>
      </c>
      <c r="I1114" s="120" t="s">
        <v>251</v>
      </c>
      <c r="J1114" s="120" t="s">
        <v>251</v>
      </c>
      <c r="K1114" s="120" t="s">
        <v>251</v>
      </c>
      <c r="L1114" s="120" t="s">
        <v>251</v>
      </c>
      <c r="M1114" s="120" t="s">
        <v>251</v>
      </c>
      <c r="N1114" s="120" t="s">
        <v>251</v>
      </c>
      <c r="O1114" s="120" t="s">
        <v>251</v>
      </c>
      <c r="P1114" s="120" t="s">
        <v>251</v>
      </c>
      <c r="Q1114" s="120" t="s">
        <v>251</v>
      </c>
      <c r="R1114" s="120"/>
    </row>
    <row r="1115" spans="1:18" ht="15">
      <c r="A1115" s="105">
        <v>19</v>
      </c>
      <c r="B1115" s="105"/>
      <c r="C1115" s="107" t="s">
        <v>251</v>
      </c>
      <c r="D1115" s="107" t="s">
        <v>251</v>
      </c>
      <c r="E1115" s="120" t="s">
        <v>251</v>
      </c>
      <c r="F1115" s="120" t="s">
        <v>251</v>
      </c>
      <c r="G1115" s="120" t="s">
        <v>251</v>
      </c>
      <c r="H1115" s="120" t="s">
        <v>251</v>
      </c>
      <c r="I1115" s="120" t="s">
        <v>251</v>
      </c>
      <c r="J1115" s="120" t="s">
        <v>251</v>
      </c>
      <c r="K1115" s="120" t="s">
        <v>251</v>
      </c>
      <c r="L1115" s="120" t="s">
        <v>251</v>
      </c>
      <c r="M1115" s="120" t="s">
        <v>251</v>
      </c>
      <c r="N1115" s="120" t="s">
        <v>251</v>
      </c>
      <c r="O1115" s="120" t="s">
        <v>251</v>
      </c>
      <c r="P1115" s="120" t="s">
        <v>251</v>
      </c>
      <c r="Q1115" s="120" t="s">
        <v>251</v>
      </c>
      <c r="R1115" s="120"/>
    </row>
    <row r="1116" spans="1:18" ht="15">
      <c r="A1116" s="105">
        <v>20</v>
      </c>
      <c r="B1116" s="105"/>
      <c r="C1116" s="107" t="s">
        <v>251</v>
      </c>
      <c r="D1116" s="107" t="s">
        <v>251</v>
      </c>
      <c r="E1116" s="120" t="s">
        <v>251</v>
      </c>
      <c r="F1116" s="120" t="s">
        <v>251</v>
      </c>
      <c r="G1116" s="120" t="s">
        <v>251</v>
      </c>
      <c r="H1116" s="120" t="s">
        <v>251</v>
      </c>
      <c r="I1116" s="120" t="s">
        <v>251</v>
      </c>
      <c r="J1116" s="120" t="s">
        <v>251</v>
      </c>
      <c r="K1116" s="120" t="s">
        <v>251</v>
      </c>
      <c r="L1116" s="120" t="s">
        <v>251</v>
      </c>
      <c r="M1116" s="120" t="s">
        <v>251</v>
      </c>
      <c r="N1116" s="120" t="s">
        <v>251</v>
      </c>
      <c r="O1116" s="120" t="s">
        <v>251</v>
      </c>
      <c r="P1116" s="120" t="s">
        <v>251</v>
      </c>
      <c r="Q1116" s="120" t="s">
        <v>251</v>
      </c>
      <c r="R1116" s="120"/>
    </row>
    <row r="1117" spans="1:18" ht="15">
      <c r="A1117" s="105">
        <v>21</v>
      </c>
      <c r="B1117" s="105"/>
      <c r="C1117" s="107" t="s">
        <v>251</v>
      </c>
      <c r="D1117" s="107" t="s">
        <v>251</v>
      </c>
      <c r="E1117" s="120" t="s">
        <v>251</v>
      </c>
      <c r="F1117" s="120" t="s">
        <v>251</v>
      </c>
      <c r="G1117" s="120" t="s">
        <v>251</v>
      </c>
      <c r="H1117" s="120" t="s">
        <v>251</v>
      </c>
      <c r="I1117" s="120" t="s">
        <v>251</v>
      </c>
      <c r="J1117" s="120" t="s">
        <v>251</v>
      </c>
      <c r="K1117" s="120" t="s">
        <v>251</v>
      </c>
      <c r="L1117" s="120" t="s">
        <v>251</v>
      </c>
      <c r="M1117" s="120" t="s">
        <v>251</v>
      </c>
      <c r="N1117" s="120" t="s">
        <v>251</v>
      </c>
      <c r="O1117" s="120" t="s">
        <v>251</v>
      </c>
      <c r="P1117" s="120" t="s">
        <v>251</v>
      </c>
      <c r="Q1117" s="120" t="s">
        <v>251</v>
      </c>
      <c r="R1117" s="120"/>
    </row>
    <row r="1118" spans="1:18" ht="15">
      <c r="A1118" s="105">
        <v>22</v>
      </c>
      <c r="B1118" s="105"/>
      <c r="C1118" s="107" t="s">
        <v>251</v>
      </c>
      <c r="D1118" s="107" t="s">
        <v>251</v>
      </c>
      <c r="E1118" s="120" t="s">
        <v>251</v>
      </c>
      <c r="F1118" s="120" t="s">
        <v>251</v>
      </c>
      <c r="G1118" s="120" t="s">
        <v>251</v>
      </c>
      <c r="H1118" s="120" t="s">
        <v>251</v>
      </c>
      <c r="I1118" s="120" t="s">
        <v>251</v>
      </c>
      <c r="J1118" s="120" t="s">
        <v>251</v>
      </c>
      <c r="K1118" s="120" t="s">
        <v>251</v>
      </c>
      <c r="L1118" s="120" t="s">
        <v>251</v>
      </c>
      <c r="M1118" s="120" t="s">
        <v>251</v>
      </c>
      <c r="N1118" s="120" t="s">
        <v>251</v>
      </c>
      <c r="O1118" s="120" t="s">
        <v>251</v>
      </c>
      <c r="P1118" s="120" t="s">
        <v>251</v>
      </c>
      <c r="Q1118" s="120" t="s">
        <v>251</v>
      </c>
      <c r="R1118" s="120"/>
    </row>
    <row r="1119" spans="1:18" ht="15">
      <c r="A1119" s="105">
        <v>23</v>
      </c>
      <c r="B1119" s="105"/>
      <c r="C1119" s="107" t="s">
        <v>251</v>
      </c>
      <c r="D1119" s="107" t="s">
        <v>251</v>
      </c>
      <c r="E1119" s="120" t="s">
        <v>251</v>
      </c>
      <c r="F1119" s="120" t="s">
        <v>251</v>
      </c>
      <c r="G1119" s="120" t="s">
        <v>251</v>
      </c>
      <c r="H1119" s="120" t="s">
        <v>251</v>
      </c>
      <c r="I1119" s="120" t="s">
        <v>251</v>
      </c>
      <c r="J1119" s="120" t="s">
        <v>251</v>
      </c>
      <c r="K1119" s="120" t="s">
        <v>251</v>
      </c>
      <c r="L1119" s="120" t="s">
        <v>251</v>
      </c>
      <c r="M1119" s="120" t="s">
        <v>251</v>
      </c>
      <c r="N1119" s="120" t="s">
        <v>251</v>
      </c>
      <c r="O1119" s="120" t="s">
        <v>251</v>
      </c>
      <c r="P1119" s="120" t="s">
        <v>251</v>
      </c>
      <c r="Q1119" s="120" t="s">
        <v>251</v>
      </c>
      <c r="R1119" s="120"/>
    </row>
    <row r="1120" spans="1:18" ht="15">
      <c r="A1120" s="105">
        <v>24</v>
      </c>
      <c r="B1120" s="105"/>
      <c r="C1120" s="107" t="s">
        <v>251</v>
      </c>
      <c r="D1120" s="107" t="s">
        <v>251</v>
      </c>
      <c r="E1120" s="120" t="s">
        <v>251</v>
      </c>
      <c r="F1120" s="120" t="s">
        <v>251</v>
      </c>
      <c r="G1120" s="120" t="s">
        <v>251</v>
      </c>
      <c r="H1120" s="120" t="s">
        <v>251</v>
      </c>
      <c r="I1120" s="120" t="s">
        <v>251</v>
      </c>
      <c r="J1120" s="120" t="s">
        <v>251</v>
      </c>
      <c r="K1120" s="120" t="s">
        <v>251</v>
      </c>
      <c r="L1120" s="120" t="s">
        <v>251</v>
      </c>
      <c r="M1120" s="120" t="s">
        <v>251</v>
      </c>
      <c r="N1120" s="120" t="s">
        <v>251</v>
      </c>
      <c r="O1120" s="120" t="s">
        <v>251</v>
      </c>
      <c r="P1120" s="120" t="s">
        <v>251</v>
      </c>
      <c r="Q1120" s="120" t="s">
        <v>251</v>
      </c>
      <c r="R1120" s="120"/>
    </row>
    <row r="1121" spans="1:18" ht="15">
      <c r="A1121" s="105">
        <v>25</v>
      </c>
      <c r="B1121" s="105"/>
      <c r="C1121" s="107" t="s">
        <v>251</v>
      </c>
      <c r="D1121" s="107" t="s">
        <v>251</v>
      </c>
      <c r="E1121" s="120" t="s">
        <v>251</v>
      </c>
      <c r="F1121" s="120" t="s">
        <v>251</v>
      </c>
      <c r="G1121" s="120" t="s">
        <v>251</v>
      </c>
      <c r="H1121" s="120" t="s">
        <v>251</v>
      </c>
      <c r="I1121" s="120" t="s">
        <v>251</v>
      </c>
      <c r="J1121" s="120" t="s">
        <v>251</v>
      </c>
      <c r="K1121" s="120" t="s">
        <v>251</v>
      </c>
      <c r="L1121" s="120" t="s">
        <v>251</v>
      </c>
      <c r="M1121" s="120" t="s">
        <v>251</v>
      </c>
      <c r="N1121" s="120" t="s">
        <v>251</v>
      </c>
      <c r="O1121" s="120" t="s">
        <v>251</v>
      </c>
      <c r="P1121" s="120" t="s">
        <v>251</v>
      </c>
      <c r="Q1121" s="120" t="s">
        <v>251</v>
      </c>
      <c r="R1121" s="120"/>
    </row>
    <row r="1122" spans="1:18" ht="15">
      <c r="A1122" s="105">
        <v>26</v>
      </c>
      <c r="B1122" s="105"/>
      <c r="C1122" s="107" t="s">
        <v>251</v>
      </c>
      <c r="D1122" s="107" t="s">
        <v>251</v>
      </c>
      <c r="E1122" s="120" t="s">
        <v>251</v>
      </c>
      <c r="F1122" s="120" t="s">
        <v>251</v>
      </c>
      <c r="G1122" s="120" t="s">
        <v>251</v>
      </c>
      <c r="H1122" s="120" t="s">
        <v>251</v>
      </c>
      <c r="I1122" s="120" t="s">
        <v>251</v>
      </c>
      <c r="J1122" s="120" t="s">
        <v>251</v>
      </c>
      <c r="K1122" s="120" t="s">
        <v>251</v>
      </c>
      <c r="L1122" s="120" t="s">
        <v>251</v>
      </c>
      <c r="M1122" s="120" t="s">
        <v>251</v>
      </c>
      <c r="N1122" s="120" t="s">
        <v>251</v>
      </c>
      <c r="O1122" s="120" t="s">
        <v>251</v>
      </c>
      <c r="P1122" s="120" t="s">
        <v>251</v>
      </c>
      <c r="Q1122" s="120" t="s">
        <v>251</v>
      </c>
      <c r="R1122" s="120"/>
    </row>
    <row r="1123" spans="1:18" ht="15">
      <c r="A1123" s="105">
        <v>27</v>
      </c>
      <c r="B1123" s="105"/>
      <c r="C1123" s="107" t="s">
        <v>251</v>
      </c>
      <c r="D1123" s="107" t="s">
        <v>251</v>
      </c>
      <c r="E1123" s="120" t="s">
        <v>251</v>
      </c>
      <c r="F1123" s="120" t="s">
        <v>251</v>
      </c>
      <c r="G1123" s="120" t="s">
        <v>251</v>
      </c>
      <c r="H1123" s="120" t="s">
        <v>251</v>
      </c>
      <c r="I1123" s="120" t="s">
        <v>251</v>
      </c>
      <c r="J1123" s="120" t="s">
        <v>251</v>
      </c>
      <c r="K1123" s="120" t="s">
        <v>251</v>
      </c>
      <c r="L1123" s="120" t="s">
        <v>251</v>
      </c>
      <c r="M1123" s="120" t="s">
        <v>251</v>
      </c>
      <c r="N1123" s="120" t="s">
        <v>251</v>
      </c>
      <c r="O1123" s="120" t="s">
        <v>251</v>
      </c>
      <c r="P1123" s="120" t="s">
        <v>251</v>
      </c>
      <c r="Q1123" s="120" t="s">
        <v>251</v>
      </c>
      <c r="R1123" s="120"/>
    </row>
    <row r="1124" spans="1:18" ht="15">
      <c r="A1124" s="105">
        <v>28</v>
      </c>
      <c r="B1124" s="105"/>
      <c r="C1124" s="107" t="s">
        <v>251</v>
      </c>
      <c r="D1124" s="107" t="s">
        <v>251</v>
      </c>
      <c r="E1124" s="120" t="s">
        <v>251</v>
      </c>
      <c r="F1124" s="120" t="s">
        <v>251</v>
      </c>
      <c r="G1124" s="120" t="s">
        <v>251</v>
      </c>
      <c r="H1124" s="120" t="s">
        <v>251</v>
      </c>
      <c r="I1124" s="120" t="s">
        <v>251</v>
      </c>
      <c r="J1124" s="120" t="s">
        <v>251</v>
      </c>
      <c r="K1124" s="120" t="s">
        <v>251</v>
      </c>
      <c r="L1124" s="120" t="s">
        <v>251</v>
      </c>
      <c r="M1124" s="120" t="s">
        <v>251</v>
      </c>
      <c r="N1124" s="120" t="s">
        <v>251</v>
      </c>
      <c r="O1124" s="120" t="s">
        <v>251</v>
      </c>
      <c r="P1124" s="120" t="s">
        <v>251</v>
      </c>
      <c r="Q1124" s="120" t="s">
        <v>251</v>
      </c>
      <c r="R1124" s="120"/>
    </row>
    <row r="1125" spans="1:18" ht="15">
      <c r="A1125" s="105">
        <v>29</v>
      </c>
      <c r="B1125" s="105"/>
      <c r="C1125" s="107" t="s">
        <v>251</v>
      </c>
      <c r="D1125" s="107" t="s">
        <v>251</v>
      </c>
      <c r="E1125" s="120" t="s">
        <v>251</v>
      </c>
      <c r="F1125" s="120" t="s">
        <v>251</v>
      </c>
      <c r="G1125" s="120" t="s">
        <v>251</v>
      </c>
      <c r="H1125" s="120" t="s">
        <v>251</v>
      </c>
      <c r="I1125" s="120" t="s">
        <v>251</v>
      </c>
      <c r="J1125" s="120" t="s">
        <v>251</v>
      </c>
      <c r="K1125" s="120" t="s">
        <v>251</v>
      </c>
      <c r="L1125" s="120" t="s">
        <v>251</v>
      </c>
      <c r="M1125" s="120" t="s">
        <v>251</v>
      </c>
      <c r="N1125" s="120" t="s">
        <v>251</v>
      </c>
      <c r="O1125" s="120" t="s">
        <v>251</v>
      </c>
      <c r="P1125" s="120" t="s">
        <v>251</v>
      </c>
      <c r="Q1125" s="120" t="s">
        <v>251</v>
      </c>
      <c r="R1125" s="120"/>
    </row>
    <row r="1126" spans="1:18" ht="15">
      <c r="A1126" s="105">
        <v>30</v>
      </c>
      <c r="B1126" s="105"/>
      <c r="C1126" s="107" t="s">
        <v>251</v>
      </c>
      <c r="D1126" s="107" t="s">
        <v>251</v>
      </c>
      <c r="E1126" s="120" t="s">
        <v>251</v>
      </c>
      <c r="F1126" s="120" t="s">
        <v>251</v>
      </c>
      <c r="G1126" s="120" t="s">
        <v>251</v>
      </c>
      <c r="H1126" s="120" t="s">
        <v>251</v>
      </c>
      <c r="I1126" s="120" t="s">
        <v>251</v>
      </c>
      <c r="J1126" s="120" t="s">
        <v>251</v>
      </c>
      <c r="K1126" s="120" t="s">
        <v>251</v>
      </c>
      <c r="L1126" s="120" t="s">
        <v>251</v>
      </c>
      <c r="M1126" s="120" t="s">
        <v>251</v>
      </c>
      <c r="N1126" s="120" t="s">
        <v>251</v>
      </c>
      <c r="O1126" s="120" t="s">
        <v>251</v>
      </c>
      <c r="P1126" s="120" t="s">
        <v>251</v>
      </c>
      <c r="Q1126" s="120" t="s">
        <v>251</v>
      </c>
      <c r="R1126" s="120"/>
    </row>
    <row r="1127" spans="1:18" ht="15">
      <c r="A1127" s="105" t="s">
        <v>251</v>
      </c>
      <c r="B1127" s="105"/>
      <c r="C1127" s="107" t="s">
        <v>251</v>
      </c>
      <c r="D1127" s="107" t="s">
        <v>251</v>
      </c>
      <c r="E1127" s="120" t="s">
        <v>251</v>
      </c>
      <c r="F1127" s="120" t="s">
        <v>251</v>
      </c>
      <c r="G1127" s="120" t="s">
        <v>251</v>
      </c>
      <c r="H1127" s="120" t="s">
        <v>251</v>
      </c>
      <c r="I1127" s="120" t="s">
        <v>251</v>
      </c>
      <c r="J1127" s="120" t="s">
        <v>251</v>
      </c>
      <c r="K1127" s="120" t="s">
        <v>251</v>
      </c>
      <c r="L1127" s="120" t="s">
        <v>251</v>
      </c>
      <c r="M1127" s="120" t="s">
        <v>251</v>
      </c>
      <c r="N1127" s="120" t="s">
        <v>251</v>
      </c>
      <c r="O1127" s="120" t="s">
        <v>251</v>
      </c>
      <c r="P1127" s="120" t="s">
        <v>251</v>
      </c>
      <c r="Q1127" s="120" t="s">
        <v>251</v>
      </c>
      <c r="R1127" s="120"/>
    </row>
    <row r="1128" spans="1:18" ht="15">
      <c r="A1128" s="105" t="s">
        <v>251</v>
      </c>
      <c r="B1128" s="105"/>
      <c r="C1128" s="107" t="s">
        <v>1127</v>
      </c>
      <c r="D1128" s="107" t="s">
        <v>251</v>
      </c>
      <c r="E1128" s="120" t="s">
        <v>251</v>
      </c>
      <c r="F1128" s="120" t="s">
        <v>251</v>
      </c>
      <c r="G1128" s="120" t="s">
        <v>251</v>
      </c>
      <c r="H1128" s="120" t="s">
        <v>251</v>
      </c>
      <c r="I1128" s="120" t="s">
        <v>251</v>
      </c>
      <c r="J1128" s="120" t="s">
        <v>251</v>
      </c>
      <c r="K1128" s="120" t="s">
        <v>251</v>
      </c>
      <c r="L1128" s="120" t="s">
        <v>251</v>
      </c>
      <c r="M1128" s="120" t="s">
        <v>251</v>
      </c>
      <c r="N1128" s="120" t="s">
        <v>251</v>
      </c>
      <c r="O1128" s="120" t="s">
        <v>251</v>
      </c>
      <c r="P1128" s="120" t="s">
        <v>251</v>
      </c>
      <c r="Q1128" s="120" t="s">
        <v>251</v>
      </c>
      <c r="R1128" s="120"/>
    </row>
    <row r="1129" spans="1:18" ht="15">
      <c r="A1129" s="105" t="s">
        <v>251</v>
      </c>
      <c r="B1129" s="105"/>
      <c r="C1129" s="107" t="s">
        <v>920</v>
      </c>
      <c r="D1129" s="107" t="s">
        <v>251</v>
      </c>
      <c r="E1129" s="120" t="s">
        <v>251</v>
      </c>
      <c r="F1129" s="120" t="s">
        <v>251</v>
      </c>
      <c r="G1129" s="120" t="s">
        <v>251</v>
      </c>
      <c r="H1129" s="120" t="s">
        <v>251</v>
      </c>
      <c r="I1129" s="120" t="s">
        <v>251</v>
      </c>
      <c r="J1129" s="120" t="s">
        <v>251</v>
      </c>
      <c r="K1129" s="120" t="s">
        <v>251</v>
      </c>
      <c r="L1129" s="120" t="s">
        <v>251</v>
      </c>
      <c r="M1129" s="120" t="s">
        <v>251</v>
      </c>
      <c r="N1129" s="120" t="s">
        <v>251</v>
      </c>
      <c r="O1129" s="120" t="s">
        <v>251</v>
      </c>
      <c r="P1129" s="120" t="s">
        <v>251</v>
      </c>
      <c r="Q1129" s="120" t="s">
        <v>251</v>
      </c>
      <c r="R1129" s="120"/>
    </row>
    <row r="1130" spans="1:18" ht="15">
      <c r="A1130" s="105">
        <v>1</v>
      </c>
      <c r="B1130" s="105"/>
      <c r="C1130" s="107" t="s">
        <v>1128</v>
      </c>
      <c r="D1130" s="107" t="s">
        <v>251</v>
      </c>
      <c r="E1130" s="120">
        <v>665780962.51379442</v>
      </c>
      <c r="F1130" s="120" t="s">
        <v>251</v>
      </c>
      <c r="G1130" s="120">
        <v>627616026.95713294</v>
      </c>
      <c r="H1130" s="120" t="s">
        <v>251</v>
      </c>
      <c r="I1130" s="120">
        <v>38164935.556661539</v>
      </c>
      <c r="J1130" s="120">
        <v>0</v>
      </c>
      <c r="K1130" s="120" t="s">
        <v>251</v>
      </c>
      <c r="L1130" s="120" t="s">
        <v>251</v>
      </c>
      <c r="M1130" s="120">
        <v>0</v>
      </c>
      <c r="N1130" s="120" t="s">
        <v>251</v>
      </c>
      <c r="O1130" s="120">
        <v>0</v>
      </c>
      <c r="P1130" s="120">
        <v>0</v>
      </c>
      <c r="Q1130" s="120">
        <v>0</v>
      </c>
      <c r="R1130" s="120"/>
    </row>
    <row r="1131" spans="1:18" ht="15">
      <c r="A1131" s="105">
        <v>2</v>
      </c>
      <c r="B1131" s="105"/>
      <c r="C1131" s="107" t="s">
        <v>1129</v>
      </c>
      <c r="D1131" s="107" t="s">
        <v>251</v>
      </c>
      <c r="E1131" s="120">
        <v>416946133.83197814</v>
      </c>
      <c r="F1131" s="120" t="s">
        <v>251</v>
      </c>
      <c r="G1131" s="120">
        <v>399084558.84822679</v>
      </c>
      <c r="H1131" s="120" t="s">
        <v>251</v>
      </c>
      <c r="I1131" s="120">
        <v>17861574.983751338</v>
      </c>
      <c r="J1131" s="120">
        <v>0</v>
      </c>
      <c r="K1131" s="120" t="s">
        <v>251</v>
      </c>
      <c r="L1131" s="120" t="s">
        <v>251</v>
      </c>
      <c r="M1131" s="120">
        <v>0</v>
      </c>
      <c r="N1131" s="120" t="s">
        <v>251</v>
      </c>
      <c r="O1131" s="120">
        <v>0</v>
      </c>
      <c r="P1131" s="120">
        <v>0</v>
      </c>
      <c r="Q1131" s="120">
        <v>0</v>
      </c>
      <c r="R1131" s="120"/>
    </row>
    <row r="1132" spans="1:18" ht="15">
      <c r="A1132" s="105">
        <v>3</v>
      </c>
      <c r="B1132" s="105"/>
      <c r="C1132" s="107" t="s">
        <v>1130</v>
      </c>
      <c r="D1132" s="107" t="s">
        <v>251</v>
      </c>
      <c r="E1132" s="120">
        <v>0</v>
      </c>
      <c r="F1132" s="120" t="s">
        <v>251</v>
      </c>
      <c r="G1132" s="120">
        <v>0</v>
      </c>
      <c r="H1132" s="120" t="s">
        <v>251</v>
      </c>
      <c r="I1132" s="120">
        <v>0</v>
      </c>
      <c r="J1132" s="120">
        <v>0</v>
      </c>
      <c r="K1132" s="120" t="s">
        <v>251</v>
      </c>
      <c r="L1132" s="120" t="s">
        <v>251</v>
      </c>
      <c r="M1132" s="120">
        <v>0</v>
      </c>
      <c r="N1132" s="120" t="s">
        <v>251</v>
      </c>
      <c r="O1132" s="120">
        <v>0</v>
      </c>
      <c r="P1132" s="120">
        <v>0</v>
      </c>
      <c r="Q1132" s="120">
        <v>0</v>
      </c>
      <c r="R1132" s="120"/>
    </row>
    <row r="1133" spans="1:18" ht="15">
      <c r="A1133" s="105">
        <v>4</v>
      </c>
      <c r="B1133" s="105"/>
      <c r="C1133" s="107" t="s">
        <v>1131</v>
      </c>
      <c r="D1133" s="107" t="s">
        <v>251</v>
      </c>
      <c r="E1133" s="120">
        <v>432592206.28307968</v>
      </c>
      <c r="F1133" s="120" t="s">
        <v>251</v>
      </c>
      <c r="G1133" s="120">
        <v>424468413.84072071</v>
      </c>
      <c r="H1133" s="120" t="s">
        <v>251</v>
      </c>
      <c r="I1133" s="120">
        <v>8123792.442358966</v>
      </c>
      <c r="J1133" s="120">
        <v>0</v>
      </c>
      <c r="K1133" s="120" t="s">
        <v>251</v>
      </c>
      <c r="L1133" s="120" t="s">
        <v>251</v>
      </c>
      <c r="M1133" s="120">
        <v>0</v>
      </c>
      <c r="N1133" s="120" t="s">
        <v>251</v>
      </c>
      <c r="O1133" s="120">
        <v>0</v>
      </c>
      <c r="P1133" s="120">
        <v>0</v>
      </c>
      <c r="Q1133" s="120">
        <v>0</v>
      </c>
      <c r="R1133" s="107"/>
    </row>
    <row r="1134" spans="1:18" ht="15">
      <c r="A1134" s="105">
        <v>5</v>
      </c>
      <c r="B1134" s="105"/>
      <c r="C1134" s="107" t="s">
        <v>1132</v>
      </c>
      <c r="D1134" s="107" t="s">
        <v>251</v>
      </c>
      <c r="E1134" s="120">
        <v>0</v>
      </c>
      <c r="F1134" s="120" t="s">
        <v>251</v>
      </c>
      <c r="G1134" s="120">
        <v>0</v>
      </c>
      <c r="H1134" s="120" t="s">
        <v>251</v>
      </c>
      <c r="I1134" s="120">
        <v>0</v>
      </c>
      <c r="J1134" s="120">
        <v>0</v>
      </c>
      <c r="K1134" s="120" t="s">
        <v>251</v>
      </c>
      <c r="L1134" s="120" t="s">
        <v>251</v>
      </c>
      <c r="M1134" s="120">
        <v>0</v>
      </c>
      <c r="N1134" s="120" t="s">
        <v>251</v>
      </c>
      <c r="O1134" s="120">
        <v>0</v>
      </c>
      <c r="P1134" s="120">
        <v>0</v>
      </c>
      <c r="Q1134" s="120">
        <v>0</v>
      </c>
      <c r="R1134" s="107"/>
    </row>
    <row r="1135" spans="1:18" ht="15">
      <c r="A1135" s="105">
        <v>6</v>
      </c>
      <c r="B1135" s="105"/>
      <c r="C1135" s="107" t="s">
        <v>1133</v>
      </c>
      <c r="D1135" s="107" t="s">
        <v>251</v>
      </c>
      <c r="E1135" s="120">
        <v>13596751.489532916</v>
      </c>
      <c r="F1135" s="120" t="s">
        <v>251</v>
      </c>
      <c r="G1135" s="120">
        <v>13142555.364521325</v>
      </c>
      <c r="H1135" s="120" t="s">
        <v>251</v>
      </c>
      <c r="I1135" s="120">
        <v>454196.12501159054</v>
      </c>
      <c r="J1135" s="120">
        <v>0</v>
      </c>
      <c r="K1135" s="120" t="s">
        <v>251</v>
      </c>
      <c r="L1135" s="120" t="s">
        <v>251</v>
      </c>
      <c r="M1135" s="120">
        <v>0</v>
      </c>
      <c r="N1135" s="120" t="s">
        <v>251</v>
      </c>
      <c r="O1135" s="120">
        <v>0</v>
      </c>
      <c r="P1135" s="120">
        <v>0</v>
      </c>
      <c r="Q1135" s="120">
        <v>0</v>
      </c>
      <c r="R1135" s="107"/>
    </row>
    <row r="1136" spans="1:18" ht="15">
      <c r="A1136" s="105">
        <v>7</v>
      </c>
      <c r="B1136" s="105"/>
      <c r="C1136" s="107" t="s">
        <v>1134</v>
      </c>
      <c r="D1136" s="107" t="s">
        <v>251</v>
      </c>
      <c r="E1136" s="120">
        <v>130933976.42200138</v>
      </c>
      <c r="F1136" s="120" t="s">
        <v>251</v>
      </c>
      <c r="G1136" s="120">
        <v>124371272.41641091</v>
      </c>
      <c r="H1136" s="120" t="s">
        <v>251</v>
      </c>
      <c r="I1136" s="120">
        <v>6562704.0055904742</v>
      </c>
      <c r="J1136" s="120">
        <v>0</v>
      </c>
      <c r="K1136" s="120" t="s">
        <v>251</v>
      </c>
      <c r="L1136" s="120" t="s">
        <v>251</v>
      </c>
      <c r="M1136" s="120">
        <v>0</v>
      </c>
      <c r="N1136" s="120" t="s">
        <v>251</v>
      </c>
      <c r="O1136" s="120">
        <v>0</v>
      </c>
      <c r="P1136" s="120">
        <v>0</v>
      </c>
      <c r="Q1136" s="120">
        <v>0</v>
      </c>
      <c r="R1136" s="107"/>
    </row>
    <row r="1137" spans="1:18" ht="15">
      <c r="A1137" s="105">
        <v>8</v>
      </c>
      <c r="B1137" s="105"/>
      <c r="C1137" s="107" t="s">
        <v>1135</v>
      </c>
      <c r="D1137" s="107" t="s">
        <v>251</v>
      </c>
      <c r="E1137" s="120">
        <v>0</v>
      </c>
      <c r="F1137" s="120" t="s">
        <v>251</v>
      </c>
      <c r="G1137" s="120">
        <v>0</v>
      </c>
      <c r="H1137" s="120" t="s">
        <v>251</v>
      </c>
      <c r="I1137" s="120">
        <v>0</v>
      </c>
      <c r="J1137" s="120">
        <v>0</v>
      </c>
      <c r="K1137" s="120" t="s">
        <v>251</v>
      </c>
      <c r="L1137" s="120" t="s">
        <v>251</v>
      </c>
      <c r="M1137" s="120">
        <v>0</v>
      </c>
      <c r="N1137" s="120" t="s">
        <v>251</v>
      </c>
      <c r="O1137" s="120">
        <v>0</v>
      </c>
      <c r="P1137" s="120">
        <v>0</v>
      </c>
      <c r="Q1137" s="120">
        <v>0</v>
      </c>
      <c r="R1137" s="107"/>
    </row>
    <row r="1138" spans="1:18" ht="15">
      <c r="A1138" s="105">
        <v>9</v>
      </c>
      <c r="B1138" s="105"/>
      <c r="C1138" s="107" t="s">
        <v>1136</v>
      </c>
      <c r="D1138" s="107" t="s">
        <v>251</v>
      </c>
      <c r="E1138" s="120">
        <v>24857217.745995708</v>
      </c>
      <c r="F1138" s="120" t="s">
        <v>251</v>
      </c>
      <c r="G1138" s="120">
        <v>0</v>
      </c>
      <c r="H1138" s="120" t="s">
        <v>251</v>
      </c>
      <c r="I1138" s="120">
        <v>0</v>
      </c>
      <c r="J1138" s="120">
        <v>24857217.745995708</v>
      </c>
      <c r="K1138" s="120" t="s">
        <v>251</v>
      </c>
      <c r="L1138" s="120" t="s">
        <v>251</v>
      </c>
      <c r="M1138" s="120">
        <v>0</v>
      </c>
      <c r="N1138" s="120" t="s">
        <v>251</v>
      </c>
      <c r="O1138" s="120">
        <v>24857217.745995708</v>
      </c>
      <c r="P1138" s="120">
        <v>12585764.562653359</v>
      </c>
      <c r="Q1138" s="120">
        <v>12271453.183342351</v>
      </c>
      <c r="R1138" s="107"/>
    </row>
    <row r="1139" spans="1:18" ht="15">
      <c r="A1139" s="105">
        <v>10</v>
      </c>
      <c r="B1139" s="105"/>
      <c r="C1139" s="107" t="s">
        <v>1137</v>
      </c>
      <c r="D1139" s="107" t="s">
        <v>251</v>
      </c>
      <c r="E1139" s="120">
        <v>0</v>
      </c>
      <c r="F1139" s="120" t="s">
        <v>251</v>
      </c>
      <c r="G1139" s="120">
        <v>0</v>
      </c>
      <c r="H1139" s="120" t="s">
        <v>251</v>
      </c>
      <c r="I1139" s="120">
        <v>0</v>
      </c>
      <c r="J1139" s="120">
        <v>0</v>
      </c>
      <c r="K1139" s="120" t="s">
        <v>251</v>
      </c>
      <c r="L1139" s="120" t="s">
        <v>251</v>
      </c>
      <c r="M1139" s="120">
        <v>0</v>
      </c>
      <c r="N1139" s="120" t="s">
        <v>251</v>
      </c>
      <c r="O1139" s="120">
        <v>0</v>
      </c>
      <c r="P1139" s="120">
        <v>0</v>
      </c>
      <c r="Q1139" s="120">
        <v>0</v>
      </c>
      <c r="R1139" s="107"/>
    </row>
    <row r="1140" spans="1:18" ht="15">
      <c r="A1140" s="105">
        <v>11</v>
      </c>
      <c r="B1140" s="105"/>
      <c r="C1140" s="107" t="s">
        <v>1138</v>
      </c>
      <c r="D1140" s="107" t="s">
        <v>251</v>
      </c>
      <c r="E1140" s="120">
        <v>0</v>
      </c>
      <c r="F1140" s="120" t="s">
        <v>251</v>
      </c>
      <c r="G1140" s="120">
        <v>0</v>
      </c>
      <c r="H1140" s="120" t="s">
        <v>251</v>
      </c>
      <c r="I1140" s="120">
        <v>0</v>
      </c>
      <c r="J1140" s="120">
        <v>0</v>
      </c>
      <c r="K1140" s="120" t="s">
        <v>251</v>
      </c>
      <c r="L1140" s="120" t="s">
        <v>251</v>
      </c>
      <c r="M1140" s="120">
        <v>0</v>
      </c>
      <c r="N1140" s="120" t="s">
        <v>251</v>
      </c>
      <c r="O1140" s="120">
        <v>0</v>
      </c>
      <c r="P1140" s="120">
        <v>0</v>
      </c>
      <c r="Q1140" s="120">
        <v>0</v>
      </c>
      <c r="R1140" s="107"/>
    </row>
    <row r="1141" spans="1:18" ht="15">
      <c r="A1141" s="105">
        <v>12</v>
      </c>
      <c r="B1141" s="105"/>
      <c r="C1141" s="107" t="s">
        <v>251</v>
      </c>
      <c r="D1141" s="107" t="s">
        <v>251</v>
      </c>
      <c r="E1141" s="120" t="s">
        <v>251</v>
      </c>
      <c r="F1141" s="120" t="s">
        <v>251</v>
      </c>
      <c r="G1141" s="120" t="s">
        <v>251</v>
      </c>
      <c r="H1141" s="120" t="s">
        <v>251</v>
      </c>
      <c r="I1141" s="120" t="s">
        <v>251</v>
      </c>
      <c r="J1141" s="120" t="s">
        <v>251</v>
      </c>
      <c r="K1141" s="120" t="s">
        <v>251</v>
      </c>
      <c r="L1141" s="120" t="s">
        <v>251</v>
      </c>
      <c r="M1141" s="120" t="s">
        <v>251</v>
      </c>
      <c r="N1141" s="120" t="s">
        <v>251</v>
      </c>
      <c r="O1141" s="120" t="s">
        <v>251</v>
      </c>
      <c r="P1141" s="120" t="s">
        <v>251</v>
      </c>
      <c r="Q1141" s="120" t="s">
        <v>251</v>
      </c>
      <c r="R1141" s="107"/>
    </row>
    <row r="1142" spans="1:18" ht="15">
      <c r="A1142" s="105">
        <v>13</v>
      </c>
      <c r="B1142" s="105"/>
      <c r="C1142" s="107" t="s">
        <v>251</v>
      </c>
      <c r="D1142" s="107" t="s">
        <v>251</v>
      </c>
      <c r="E1142" s="120" t="s">
        <v>251</v>
      </c>
      <c r="F1142" s="120" t="s">
        <v>251</v>
      </c>
      <c r="G1142" s="120" t="s">
        <v>251</v>
      </c>
      <c r="H1142" s="120" t="s">
        <v>251</v>
      </c>
      <c r="I1142" s="120" t="s">
        <v>251</v>
      </c>
      <c r="J1142" s="120" t="s">
        <v>251</v>
      </c>
      <c r="K1142" s="120" t="s">
        <v>251</v>
      </c>
      <c r="L1142" s="120" t="s">
        <v>251</v>
      </c>
      <c r="M1142" s="120" t="s">
        <v>251</v>
      </c>
      <c r="N1142" s="120" t="s">
        <v>251</v>
      </c>
      <c r="O1142" s="120" t="s">
        <v>251</v>
      </c>
      <c r="P1142" s="120" t="s">
        <v>251</v>
      </c>
      <c r="Q1142" s="120" t="s">
        <v>251</v>
      </c>
      <c r="R1142" s="124"/>
    </row>
    <row r="1143" spans="1:18" ht="15">
      <c r="A1143" s="105" t="s">
        <v>251</v>
      </c>
      <c r="B1143" s="105"/>
      <c r="C1143" s="107" t="s">
        <v>251</v>
      </c>
      <c r="D1143" s="107" t="s">
        <v>251</v>
      </c>
      <c r="E1143" s="120" t="s">
        <v>251</v>
      </c>
      <c r="F1143" s="120" t="s">
        <v>251</v>
      </c>
      <c r="G1143" s="120" t="s">
        <v>251</v>
      </c>
      <c r="H1143" s="120" t="s">
        <v>251</v>
      </c>
      <c r="I1143" s="120" t="s">
        <v>251</v>
      </c>
      <c r="J1143" s="120" t="s">
        <v>251</v>
      </c>
      <c r="K1143" s="120" t="s">
        <v>251</v>
      </c>
      <c r="L1143" s="120" t="s">
        <v>251</v>
      </c>
      <c r="M1143" s="120" t="s">
        <v>251</v>
      </c>
      <c r="N1143" s="120" t="s">
        <v>251</v>
      </c>
      <c r="O1143" s="120" t="s">
        <v>251</v>
      </c>
      <c r="P1143" s="120" t="s">
        <v>251</v>
      </c>
      <c r="Q1143" s="120" t="s">
        <v>251</v>
      </c>
      <c r="R1143" s="124"/>
    </row>
    <row r="1144" spans="1:18" ht="15">
      <c r="A1144" s="105" t="s">
        <v>251</v>
      </c>
      <c r="B1144" s="105"/>
      <c r="C1144" s="107" t="s">
        <v>251</v>
      </c>
      <c r="D1144" s="107" t="s">
        <v>251</v>
      </c>
      <c r="E1144" s="120" t="s">
        <v>251</v>
      </c>
      <c r="F1144" s="120" t="s">
        <v>251</v>
      </c>
      <c r="G1144" s="120" t="s">
        <v>251</v>
      </c>
      <c r="H1144" s="120" t="s">
        <v>251</v>
      </c>
      <c r="I1144" s="120" t="s">
        <v>251</v>
      </c>
      <c r="J1144" s="120" t="s">
        <v>251</v>
      </c>
      <c r="K1144" s="120" t="s">
        <v>251</v>
      </c>
      <c r="L1144" s="120" t="s">
        <v>251</v>
      </c>
      <c r="M1144" s="120" t="s">
        <v>251</v>
      </c>
      <c r="N1144" s="120" t="s">
        <v>251</v>
      </c>
      <c r="O1144" s="120" t="s">
        <v>251</v>
      </c>
      <c r="P1144" s="120" t="s">
        <v>251</v>
      </c>
      <c r="Q1144" s="120" t="s">
        <v>251</v>
      </c>
      <c r="R1144" s="124"/>
    </row>
    <row r="1145" spans="1:18" ht="15">
      <c r="A1145" s="105" t="s">
        <v>251</v>
      </c>
      <c r="B1145" s="105"/>
      <c r="C1145" s="107" t="s">
        <v>251</v>
      </c>
      <c r="D1145" s="107" t="s">
        <v>251</v>
      </c>
      <c r="E1145" s="107" t="s">
        <v>251</v>
      </c>
      <c r="F1145" s="107" t="s">
        <v>251</v>
      </c>
      <c r="G1145" s="107" t="s">
        <v>251</v>
      </c>
      <c r="H1145" s="107" t="s">
        <v>251</v>
      </c>
      <c r="I1145" s="107" t="s">
        <v>251</v>
      </c>
      <c r="J1145" s="107" t="s">
        <v>251</v>
      </c>
      <c r="K1145" s="107" t="s">
        <v>251</v>
      </c>
      <c r="L1145" s="107" t="s">
        <v>251</v>
      </c>
      <c r="M1145" s="107" t="s">
        <v>251</v>
      </c>
      <c r="N1145" s="107" t="s">
        <v>251</v>
      </c>
      <c r="O1145" s="107" t="s">
        <v>251</v>
      </c>
      <c r="P1145" s="107" t="s">
        <v>251</v>
      </c>
      <c r="Q1145" s="107" t="s">
        <v>251</v>
      </c>
      <c r="R1145" s="124"/>
    </row>
    <row r="1146" spans="1:18" ht="15">
      <c r="A1146" s="105" t="s">
        <v>251</v>
      </c>
      <c r="B1146" s="105"/>
      <c r="C1146" s="107" t="s">
        <v>251</v>
      </c>
      <c r="D1146" s="107" t="s">
        <v>251</v>
      </c>
      <c r="E1146" s="107" t="s">
        <v>251</v>
      </c>
      <c r="F1146" s="107" t="s">
        <v>251</v>
      </c>
      <c r="G1146" s="107" t="s">
        <v>251</v>
      </c>
      <c r="H1146" s="107" t="s">
        <v>251</v>
      </c>
      <c r="I1146" s="107" t="s">
        <v>251</v>
      </c>
      <c r="J1146" s="107" t="s">
        <v>251</v>
      </c>
      <c r="K1146" s="107" t="s">
        <v>251</v>
      </c>
      <c r="L1146" s="107" t="s">
        <v>251</v>
      </c>
      <c r="M1146" s="107" t="s">
        <v>251</v>
      </c>
      <c r="N1146" s="107" t="s">
        <v>251</v>
      </c>
      <c r="O1146" s="107" t="s">
        <v>251</v>
      </c>
      <c r="P1146" s="107" t="s">
        <v>251</v>
      </c>
      <c r="Q1146" s="107" t="s">
        <v>251</v>
      </c>
      <c r="R1146" s="124"/>
    </row>
    <row r="1147" spans="1:18" ht="15">
      <c r="A1147" s="105" t="s">
        <v>251</v>
      </c>
      <c r="B1147" s="105"/>
      <c r="C1147" s="107" t="s">
        <v>251</v>
      </c>
      <c r="D1147" s="107" t="s">
        <v>251</v>
      </c>
      <c r="E1147" s="107" t="s">
        <v>251</v>
      </c>
      <c r="F1147" s="107" t="s">
        <v>251</v>
      </c>
      <c r="G1147" s="107" t="s">
        <v>251</v>
      </c>
      <c r="H1147" s="107" t="s">
        <v>251</v>
      </c>
      <c r="I1147" s="107" t="s">
        <v>251</v>
      </c>
      <c r="J1147" s="107" t="s">
        <v>251</v>
      </c>
      <c r="K1147" s="107" t="s">
        <v>251</v>
      </c>
      <c r="L1147" s="107" t="s">
        <v>251</v>
      </c>
      <c r="M1147" s="107" t="s">
        <v>251</v>
      </c>
      <c r="N1147" s="107" t="s">
        <v>251</v>
      </c>
      <c r="O1147" s="107" t="s">
        <v>251</v>
      </c>
      <c r="P1147" s="107" t="s">
        <v>251</v>
      </c>
      <c r="Q1147" s="107" t="s">
        <v>251</v>
      </c>
      <c r="R1147" s="124"/>
    </row>
    <row r="1148" spans="1:18" ht="15">
      <c r="A1148" s="105" t="s">
        <v>251</v>
      </c>
      <c r="B1148" s="105"/>
      <c r="C1148" s="107" t="s">
        <v>1139</v>
      </c>
      <c r="D1148" s="107" t="s">
        <v>251</v>
      </c>
      <c r="E1148" s="107" t="s">
        <v>251</v>
      </c>
      <c r="F1148" s="107" t="s">
        <v>251</v>
      </c>
      <c r="G1148" s="107" t="s">
        <v>251</v>
      </c>
      <c r="H1148" s="107" t="s">
        <v>251</v>
      </c>
      <c r="I1148" s="107" t="s">
        <v>251</v>
      </c>
      <c r="J1148" s="107" t="s">
        <v>251</v>
      </c>
      <c r="K1148" s="107" t="s">
        <v>251</v>
      </c>
      <c r="L1148" s="107" t="s">
        <v>251</v>
      </c>
      <c r="M1148" s="107" t="s">
        <v>251</v>
      </c>
      <c r="N1148" s="107" t="s">
        <v>251</v>
      </c>
      <c r="O1148" s="107" t="s">
        <v>251</v>
      </c>
      <c r="P1148" s="107" t="s">
        <v>251</v>
      </c>
      <c r="Q1148" s="107" t="s">
        <v>251</v>
      </c>
      <c r="R1148" s="124"/>
    </row>
    <row r="1149" spans="1:18" ht="15">
      <c r="A1149" s="105" t="s">
        <v>251</v>
      </c>
      <c r="B1149" s="105"/>
      <c r="C1149" s="107" t="s">
        <v>251</v>
      </c>
      <c r="D1149" s="107" t="s">
        <v>251</v>
      </c>
      <c r="E1149" s="107" t="s">
        <v>251</v>
      </c>
      <c r="F1149" s="107" t="s">
        <v>251</v>
      </c>
      <c r="G1149" s="107" t="s">
        <v>251</v>
      </c>
      <c r="H1149" s="107" t="s">
        <v>251</v>
      </c>
      <c r="I1149" s="107" t="s">
        <v>251</v>
      </c>
      <c r="J1149" s="107" t="s">
        <v>251</v>
      </c>
      <c r="K1149" s="107" t="s">
        <v>251</v>
      </c>
      <c r="L1149" s="107" t="s">
        <v>251</v>
      </c>
      <c r="M1149" s="107" t="s">
        <v>251</v>
      </c>
      <c r="N1149" s="107" t="s">
        <v>251</v>
      </c>
      <c r="O1149" s="107" t="s">
        <v>251</v>
      </c>
      <c r="P1149" s="107" t="s">
        <v>251</v>
      </c>
      <c r="Q1149" s="107" t="s">
        <v>251</v>
      </c>
      <c r="R1149" s="124"/>
    </row>
    <row r="1150" spans="1:18" ht="15">
      <c r="A1150" s="105" t="s">
        <v>251</v>
      </c>
      <c r="B1150" s="105"/>
      <c r="C1150" s="107" t="s">
        <v>1140</v>
      </c>
      <c r="D1150" s="107" t="s">
        <v>251</v>
      </c>
      <c r="E1150" s="107" t="s">
        <v>251</v>
      </c>
      <c r="F1150" s="107" t="s">
        <v>251</v>
      </c>
      <c r="G1150" s="107" t="s">
        <v>251</v>
      </c>
      <c r="H1150" s="107" t="s">
        <v>251</v>
      </c>
      <c r="I1150" s="107" t="s">
        <v>251</v>
      </c>
      <c r="J1150" s="107" t="s">
        <v>251</v>
      </c>
      <c r="K1150" s="107" t="s">
        <v>251</v>
      </c>
      <c r="L1150" s="107" t="s">
        <v>251</v>
      </c>
      <c r="M1150" s="107" t="s">
        <v>251</v>
      </c>
      <c r="N1150" s="107" t="s">
        <v>251</v>
      </c>
      <c r="O1150" s="107" t="s">
        <v>251</v>
      </c>
      <c r="P1150" s="107" t="s">
        <v>251</v>
      </c>
      <c r="Q1150" s="107" t="s">
        <v>251</v>
      </c>
      <c r="R1150" s="124"/>
    </row>
    <row r="1151" spans="1:18" ht="15">
      <c r="A1151" s="105" t="s">
        <v>251</v>
      </c>
      <c r="B1151" s="105"/>
      <c r="C1151" s="107" t="s">
        <v>920</v>
      </c>
      <c r="D1151" s="107" t="s">
        <v>251</v>
      </c>
      <c r="E1151" s="107" t="s">
        <v>251</v>
      </c>
      <c r="F1151" s="107" t="s">
        <v>251</v>
      </c>
      <c r="G1151" s="107" t="s">
        <v>251</v>
      </c>
      <c r="H1151" s="107" t="s">
        <v>251</v>
      </c>
      <c r="I1151" s="107" t="s">
        <v>251</v>
      </c>
      <c r="J1151" s="107" t="s">
        <v>251</v>
      </c>
      <c r="K1151" s="107" t="s">
        <v>251</v>
      </c>
      <c r="L1151" s="107" t="s">
        <v>251</v>
      </c>
      <c r="M1151" s="107" t="s">
        <v>251</v>
      </c>
      <c r="N1151" s="107" t="s">
        <v>251</v>
      </c>
      <c r="O1151" s="107" t="s">
        <v>251</v>
      </c>
      <c r="P1151" s="107" t="s">
        <v>251</v>
      </c>
      <c r="Q1151" s="107" t="s">
        <v>251</v>
      </c>
      <c r="R1151" s="124"/>
    </row>
    <row r="1152" spans="1:18" ht="15">
      <c r="A1152" s="105" t="s">
        <v>251</v>
      </c>
      <c r="B1152" s="105"/>
      <c r="C1152" s="107" t="s">
        <v>921</v>
      </c>
      <c r="D1152" s="107" t="s">
        <v>251</v>
      </c>
      <c r="E1152" s="107" t="s">
        <v>251</v>
      </c>
      <c r="F1152" s="107" t="s">
        <v>251</v>
      </c>
      <c r="G1152" s="107" t="s">
        <v>251</v>
      </c>
      <c r="H1152" s="107" t="s">
        <v>251</v>
      </c>
      <c r="I1152" s="107" t="s">
        <v>251</v>
      </c>
      <c r="J1152" s="107" t="s">
        <v>251</v>
      </c>
      <c r="K1152" s="107" t="s">
        <v>251</v>
      </c>
      <c r="L1152" s="107" t="s">
        <v>251</v>
      </c>
      <c r="M1152" s="107" t="s">
        <v>251</v>
      </c>
      <c r="N1152" s="107" t="s">
        <v>251</v>
      </c>
      <c r="O1152" s="107" t="s">
        <v>251</v>
      </c>
      <c r="P1152" s="107" t="s">
        <v>251</v>
      </c>
      <c r="Q1152" s="107" t="s">
        <v>251</v>
      </c>
      <c r="R1152" s="124"/>
    </row>
    <row r="1153" spans="1:18" ht="15">
      <c r="A1153" s="105">
        <v>1</v>
      </c>
      <c r="B1153" s="105"/>
      <c r="C1153" s="107" t="s">
        <v>922</v>
      </c>
      <c r="D1153" s="107" t="s">
        <v>304</v>
      </c>
      <c r="E1153" s="124">
        <v>1</v>
      </c>
      <c r="F1153" s="124" t="s">
        <v>251</v>
      </c>
      <c r="G1153" s="124">
        <v>0.93741603079505242</v>
      </c>
      <c r="H1153" s="124" t="s">
        <v>251</v>
      </c>
      <c r="I1153" s="124">
        <v>4.2925433691070353E-2</v>
      </c>
      <c r="J1153" s="124">
        <v>1.9658535513877244E-2</v>
      </c>
      <c r="K1153" s="124" t="s">
        <v>251</v>
      </c>
      <c r="L1153" s="124" t="s">
        <v>251</v>
      </c>
      <c r="M1153" s="124">
        <v>3.0089748693427888E-6</v>
      </c>
      <c r="N1153" s="124" t="s">
        <v>251</v>
      </c>
      <c r="O1153" s="124">
        <v>1.96555265390079E-2</v>
      </c>
      <c r="P1153" s="124">
        <v>9.9687337421326596E-3</v>
      </c>
      <c r="Q1153" s="124">
        <v>9.686792796875239E-3</v>
      </c>
      <c r="R1153" s="124"/>
    </row>
    <row r="1154" spans="1:18" ht="15">
      <c r="A1154" s="105">
        <v>2</v>
      </c>
      <c r="B1154" s="105"/>
      <c r="C1154" s="107" t="s">
        <v>923</v>
      </c>
      <c r="D1154" s="107" t="s">
        <v>312</v>
      </c>
      <c r="E1154" s="124">
        <v>1</v>
      </c>
      <c r="F1154" s="124" t="s">
        <v>251</v>
      </c>
      <c r="G1154" s="124">
        <v>0.5251575342465753</v>
      </c>
      <c r="H1154" s="124" t="s">
        <v>251</v>
      </c>
      <c r="I1154" s="124">
        <v>0.32570319634703199</v>
      </c>
      <c r="J1154" s="124">
        <v>0.14913926940639269</v>
      </c>
      <c r="K1154" s="124" t="s">
        <v>251</v>
      </c>
      <c r="L1154" s="124" t="s">
        <v>251</v>
      </c>
      <c r="M1154" s="124">
        <v>0</v>
      </c>
      <c r="N1154" s="124" t="s">
        <v>251</v>
      </c>
      <c r="O1154" s="124">
        <v>0.14913926940639269</v>
      </c>
      <c r="P1154" s="124">
        <v>7.5639269406392692E-2</v>
      </c>
      <c r="Q1154" s="124">
        <v>7.3499999999999996E-2</v>
      </c>
      <c r="R1154" s="124"/>
    </row>
    <row r="1155" spans="1:18" ht="15">
      <c r="A1155" s="105">
        <v>3</v>
      </c>
      <c r="B1155" s="105"/>
      <c r="C1155" s="107" t="s">
        <v>924</v>
      </c>
      <c r="D1155" s="107" t="s">
        <v>398</v>
      </c>
      <c r="E1155" s="124">
        <v>1</v>
      </c>
      <c r="F1155" s="124" t="s">
        <v>251</v>
      </c>
      <c r="G1155" s="124">
        <v>0</v>
      </c>
      <c r="H1155" s="124" t="s">
        <v>251</v>
      </c>
      <c r="I1155" s="124">
        <v>1</v>
      </c>
      <c r="J1155" s="124">
        <v>0</v>
      </c>
      <c r="K1155" s="124" t="s">
        <v>251</v>
      </c>
      <c r="L1155" s="124" t="s">
        <v>251</v>
      </c>
      <c r="M1155" s="124">
        <v>0</v>
      </c>
      <c r="N1155" s="124" t="s">
        <v>251</v>
      </c>
      <c r="O1155" s="124">
        <v>0</v>
      </c>
      <c r="P1155" s="124">
        <v>0</v>
      </c>
      <c r="Q1155" s="124">
        <v>0</v>
      </c>
      <c r="R1155" s="124"/>
    </row>
    <row r="1156" spans="1:18" ht="15">
      <c r="A1156" s="105">
        <v>4</v>
      </c>
      <c r="B1156" s="105"/>
      <c r="C1156" s="107" t="s">
        <v>925</v>
      </c>
      <c r="D1156" s="107" t="s">
        <v>376</v>
      </c>
      <c r="E1156" s="124">
        <v>1</v>
      </c>
      <c r="F1156" s="124" t="s">
        <v>251</v>
      </c>
      <c r="G1156" s="124">
        <v>0.97946284539709993</v>
      </c>
      <c r="H1156" s="124" t="s">
        <v>251</v>
      </c>
      <c r="I1156" s="124">
        <v>0</v>
      </c>
      <c r="J1156" s="124">
        <v>2.053715460290003E-2</v>
      </c>
      <c r="K1156" s="124" t="s">
        <v>251</v>
      </c>
      <c r="L1156" s="124" t="s">
        <v>251</v>
      </c>
      <c r="M1156" s="124">
        <v>0</v>
      </c>
      <c r="N1156" s="124" t="s">
        <v>251</v>
      </c>
      <c r="O1156" s="124">
        <v>2.053715460290003E-2</v>
      </c>
      <c r="P1156" s="124">
        <v>1.0415870857034706E-2</v>
      </c>
      <c r="Q1156" s="124">
        <v>1.0121283745865326E-2</v>
      </c>
      <c r="R1156" s="124"/>
    </row>
    <row r="1157" spans="1:18" ht="15">
      <c r="A1157" s="105">
        <v>5</v>
      </c>
      <c r="B1157" s="105"/>
      <c r="C1157" s="107" t="s">
        <v>926</v>
      </c>
      <c r="D1157" s="107" t="s">
        <v>314</v>
      </c>
      <c r="E1157" s="124">
        <v>1</v>
      </c>
      <c r="F1157" s="124" t="s">
        <v>251</v>
      </c>
      <c r="G1157" s="124">
        <v>0.7788225176236363</v>
      </c>
      <c r="H1157" s="124" t="s">
        <v>251</v>
      </c>
      <c r="I1157" s="124">
        <v>0</v>
      </c>
      <c r="J1157" s="124">
        <v>0.2211774823763637</v>
      </c>
      <c r="K1157" s="124" t="s">
        <v>251</v>
      </c>
      <c r="L1157" s="124" t="s">
        <v>251</v>
      </c>
      <c r="M1157" s="124">
        <v>0</v>
      </c>
      <c r="N1157" s="124" t="s">
        <v>251</v>
      </c>
      <c r="O1157" s="124">
        <v>0.2211774823763637</v>
      </c>
      <c r="P1157" s="124">
        <v>0.11217503775284247</v>
      </c>
      <c r="Q1157" s="124">
        <v>0.10900244462352121</v>
      </c>
      <c r="R1157" s="124"/>
    </row>
    <row r="1158" spans="1:18" ht="15">
      <c r="A1158" s="105">
        <v>6</v>
      </c>
      <c r="B1158" s="105"/>
      <c r="C1158" s="107" t="s">
        <v>927</v>
      </c>
      <c r="D1158" s="107" t="s">
        <v>928</v>
      </c>
      <c r="E1158" s="124">
        <v>1</v>
      </c>
      <c r="F1158" s="124" t="s">
        <v>251</v>
      </c>
      <c r="G1158" s="124">
        <v>0.97945976603506169</v>
      </c>
      <c r="H1158" s="124" t="s">
        <v>251</v>
      </c>
      <c r="I1158" s="124">
        <v>0</v>
      </c>
      <c r="J1158" s="124">
        <v>2.054023396493827E-2</v>
      </c>
      <c r="K1158" s="124" t="s">
        <v>251</v>
      </c>
      <c r="L1158" s="124" t="s">
        <v>251</v>
      </c>
      <c r="M1158" s="124">
        <v>3.1439294024364822E-6</v>
      </c>
      <c r="N1158" s="124" t="s">
        <v>251</v>
      </c>
      <c r="O1158" s="124">
        <v>2.0537090035535832E-2</v>
      </c>
      <c r="P1158" s="124">
        <v>1.0415838110272066E-2</v>
      </c>
      <c r="Q1158" s="124">
        <v>1.0121251925263768E-2</v>
      </c>
      <c r="R1158" s="124"/>
    </row>
    <row r="1159" spans="1:18" ht="15">
      <c r="A1159" s="105" t="s">
        <v>251</v>
      </c>
      <c r="B1159" s="105"/>
      <c r="C1159" s="107" t="s">
        <v>929</v>
      </c>
      <c r="D1159" s="107" t="s">
        <v>251</v>
      </c>
      <c r="E1159" s="124" t="s">
        <v>251</v>
      </c>
      <c r="F1159" s="124" t="s">
        <v>251</v>
      </c>
      <c r="G1159" s="124" t="s">
        <v>251</v>
      </c>
      <c r="H1159" s="124" t="s">
        <v>251</v>
      </c>
      <c r="I1159" s="124" t="s">
        <v>251</v>
      </c>
      <c r="J1159" s="124" t="s">
        <v>251</v>
      </c>
      <c r="K1159" s="124" t="s">
        <v>251</v>
      </c>
      <c r="L1159" s="124" t="s">
        <v>251</v>
      </c>
      <c r="M1159" s="124" t="s">
        <v>251</v>
      </c>
      <c r="N1159" s="124" t="s">
        <v>251</v>
      </c>
      <c r="O1159" s="124" t="s">
        <v>251</v>
      </c>
      <c r="P1159" s="124" t="s">
        <v>251</v>
      </c>
      <c r="Q1159" s="124" t="s">
        <v>251</v>
      </c>
      <c r="R1159" s="124"/>
    </row>
    <row r="1160" spans="1:18" ht="15">
      <c r="A1160" s="105">
        <v>7</v>
      </c>
      <c r="B1160" s="105"/>
      <c r="C1160" s="107" t="s">
        <v>930</v>
      </c>
      <c r="D1160" s="107" t="s">
        <v>572</v>
      </c>
      <c r="E1160" s="124">
        <v>1</v>
      </c>
      <c r="F1160" s="124" t="s">
        <v>251</v>
      </c>
      <c r="G1160" s="124">
        <v>0.93741603079505242</v>
      </c>
      <c r="H1160" s="124" t="s">
        <v>251</v>
      </c>
      <c r="I1160" s="124">
        <v>4.2925433691070353E-2</v>
      </c>
      <c r="J1160" s="124">
        <v>1.9658535513877244E-2</v>
      </c>
      <c r="K1160" s="124" t="s">
        <v>251</v>
      </c>
      <c r="L1160" s="124" t="s">
        <v>251</v>
      </c>
      <c r="M1160" s="124">
        <v>3.0089748693427888E-6</v>
      </c>
      <c r="N1160" s="124" t="s">
        <v>251</v>
      </c>
      <c r="O1160" s="124">
        <v>1.96555265390079E-2</v>
      </c>
      <c r="P1160" s="124">
        <v>9.9687337421326596E-3</v>
      </c>
      <c r="Q1160" s="124">
        <v>9.686792796875239E-3</v>
      </c>
      <c r="R1160" s="124"/>
    </row>
    <row r="1161" spans="1:18" ht="15">
      <c r="A1161" s="105">
        <v>8</v>
      </c>
      <c r="B1161" s="105"/>
      <c r="C1161" s="107" t="s">
        <v>931</v>
      </c>
      <c r="D1161" s="107" t="s">
        <v>352</v>
      </c>
      <c r="E1161" s="124">
        <v>1</v>
      </c>
      <c r="F1161" s="124" t="s">
        <v>251</v>
      </c>
      <c r="G1161" s="124">
        <v>0</v>
      </c>
      <c r="H1161" s="124" t="s">
        <v>251</v>
      </c>
      <c r="I1161" s="124">
        <v>1</v>
      </c>
      <c r="J1161" s="124">
        <v>0</v>
      </c>
      <c r="K1161" s="124" t="s">
        <v>251</v>
      </c>
      <c r="L1161" s="124" t="s">
        <v>251</v>
      </c>
      <c r="M1161" s="124">
        <v>0</v>
      </c>
      <c r="N1161" s="124" t="s">
        <v>251</v>
      </c>
      <c r="O1161" s="124">
        <v>0</v>
      </c>
      <c r="P1161" s="124">
        <v>0</v>
      </c>
      <c r="Q1161" s="124">
        <v>0</v>
      </c>
      <c r="R1161" s="124"/>
    </row>
    <row r="1162" spans="1:18" ht="15">
      <c r="A1162" s="105">
        <v>9</v>
      </c>
      <c r="B1162" s="105"/>
      <c r="C1162" s="107" t="s">
        <v>932</v>
      </c>
      <c r="D1162" s="107" t="s">
        <v>341</v>
      </c>
      <c r="E1162" s="124">
        <v>1</v>
      </c>
      <c r="F1162" s="124" t="s">
        <v>251</v>
      </c>
      <c r="G1162" s="124">
        <v>0.95621085870522038</v>
      </c>
      <c r="H1162" s="124" t="s">
        <v>251</v>
      </c>
      <c r="I1162" s="124">
        <v>4.3786071991130937E-2</v>
      </c>
      <c r="J1162" s="124">
        <v>3.0693036486654055E-6</v>
      </c>
      <c r="K1162" s="124" t="s">
        <v>251</v>
      </c>
      <c r="L1162" s="124" t="s">
        <v>251</v>
      </c>
      <c r="M1162" s="124">
        <v>3.0693036486654055E-6</v>
      </c>
      <c r="N1162" s="124" t="s">
        <v>251</v>
      </c>
      <c r="O1162" s="124">
        <v>0</v>
      </c>
      <c r="P1162" s="124">
        <v>0</v>
      </c>
      <c r="Q1162" s="124">
        <v>0</v>
      </c>
      <c r="R1162" s="124"/>
    </row>
    <row r="1163" spans="1:18" ht="15">
      <c r="A1163" s="105">
        <v>10</v>
      </c>
      <c r="B1163" s="105"/>
      <c r="C1163" s="107" t="s">
        <v>933</v>
      </c>
      <c r="D1163" s="107" t="s">
        <v>934</v>
      </c>
      <c r="E1163" s="124">
        <v>1</v>
      </c>
      <c r="F1163" s="124" t="s">
        <v>251</v>
      </c>
      <c r="G1163" s="124">
        <v>0</v>
      </c>
      <c r="H1163" s="124" t="s">
        <v>251</v>
      </c>
      <c r="I1163" s="124">
        <v>0.68591842524076718</v>
      </c>
      <c r="J1163" s="124">
        <v>0.31408157475923282</v>
      </c>
      <c r="K1163" s="124" t="s">
        <v>251</v>
      </c>
      <c r="L1163" s="124" t="s">
        <v>251</v>
      </c>
      <c r="M1163" s="124">
        <v>0</v>
      </c>
      <c r="N1163" s="124" t="s">
        <v>251</v>
      </c>
      <c r="O1163" s="124">
        <v>0.31408157475923282</v>
      </c>
      <c r="P1163" s="124">
        <v>0.15929339699299455</v>
      </c>
      <c r="Q1163" s="124">
        <v>0.15478817776623827</v>
      </c>
      <c r="R1163" s="124"/>
    </row>
    <row r="1164" spans="1:18" ht="15">
      <c r="A1164" s="105">
        <v>11</v>
      </c>
      <c r="B1164" s="105"/>
      <c r="C1164" s="107" t="s">
        <v>935</v>
      </c>
      <c r="D1164" s="107" t="s">
        <v>355</v>
      </c>
      <c r="E1164" s="124">
        <v>1</v>
      </c>
      <c r="F1164" s="124" t="s">
        <v>251</v>
      </c>
      <c r="G1164" s="124">
        <v>0.99999679014961118</v>
      </c>
      <c r="H1164" s="124" t="s">
        <v>251</v>
      </c>
      <c r="I1164" s="124">
        <v>0</v>
      </c>
      <c r="J1164" s="124">
        <v>3.2098503888733748E-6</v>
      </c>
      <c r="K1164" s="124" t="s">
        <v>251</v>
      </c>
      <c r="L1164" s="124" t="s">
        <v>251</v>
      </c>
      <c r="M1164" s="124">
        <v>3.2098503888733748E-6</v>
      </c>
      <c r="N1164" s="124" t="s">
        <v>251</v>
      </c>
      <c r="O1164" s="124">
        <v>0</v>
      </c>
      <c r="P1164" s="124">
        <v>0</v>
      </c>
      <c r="Q1164" s="124">
        <v>0</v>
      </c>
      <c r="R1164" s="124"/>
    </row>
    <row r="1165" spans="1:18" ht="15">
      <c r="A1165" s="105" t="s">
        <v>251</v>
      </c>
      <c r="B1165" s="105"/>
      <c r="C1165" s="107" t="s">
        <v>251</v>
      </c>
      <c r="D1165" s="107" t="s">
        <v>251</v>
      </c>
      <c r="E1165" s="124" t="s">
        <v>251</v>
      </c>
      <c r="F1165" s="124" t="s">
        <v>251</v>
      </c>
      <c r="G1165" s="124" t="s">
        <v>251</v>
      </c>
      <c r="H1165" s="124" t="s">
        <v>251</v>
      </c>
      <c r="I1165" s="124" t="s">
        <v>251</v>
      </c>
      <c r="J1165" s="124" t="s">
        <v>251</v>
      </c>
      <c r="K1165" s="124" t="s">
        <v>251</v>
      </c>
      <c r="L1165" s="124" t="s">
        <v>251</v>
      </c>
      <c r="M1165" s="124" t="s">
        <v>251</v>
      </c>
      <c r="N1165" s="124" t="s">
        <v>251</v>
      </c>
      <c r="O1165" s="124" t="s">
        <v>251</v>
      </c>
      <c r="P1165" s="124" t="s">
        <v>251</v>
      </c>
      <c r="Q1165" s="124" t="s">
        <v>251</v>
      </c>
      <c r="R1165" s="124"/>
    </row>
    <row r="1166" spans="1:18" ht="15">
      <c r="A1166" s="105" t="s">
        <v>251</v>
      </c>
      <c r="B1166" s="105"/>
      <c r="C1166" s="107" t="s">
        <v>936</v>
      </c>
      <c r="D1166" s="107" t="s">
        <v>251</v>
      </c>
      <c r="E1166" s="124" t="s">
        <v>251</v>
      </c>
      <c r="F1166" s="124" t="s">
        <v>251</v>
      </c>
      <c r="G1166" s="124" t="s">
        <v>251</v>
      </c>
      <c r="H1166" s="124" t="s">
        <v>251</v>
      </c>
      <c r="I1166" s="124" t="s">
        <v>251</v>
      </c>
      <c r="J1166" s="124" t="s">
        <v>251</v>
      </c>
      <c r="K1166" s="124" t="s">
        <v>251</v>
      </c>
      <c r="L1166" s="124" t="s">
        <v>251</v>
      </c>
      <c r="M1166" s="124" t="s">
        <v>251</v>
      </c>
      <c r="N1166" s="124" t="s">
        <v>251</v>
      </c>
      <c r="O1166" s="124" t="s">
        <v>251</v>
      </c>
      <c r="P1166" s="124" t="s">
        <v>251</v>
      </c>
      <c r="Q1166" s="124" t="s">
        <v>251</v>
      </c>
      <c r="R1166" s="124"/>
    </row>
    <row r="1167" spans="1:18" ht="15">
      <c r="A1167" s="105">
        <v>12</v>
      </c>
      <c r="B1167" s="105"/>
      <c r="C1167" s="107" t="s">
        <v>937</v>
      </c>
      <c r="D1167" s="107" t="s">
        <v>361</v>
      </c>
      <c r="E1167" s="124">
        <v>1</v>
      </c>
      <c r="F1167" s="124" t="s">
        <v>251</v>
      </c>
      <c r="G1167" s="124">
        <v>0.99900839798395258</v>
      </c>
      <c r="H1167" s="124" t="s">
        <v>251</v>
      </c>
      <c r="I1167" s="124">
        <v>0</v>
      </c>
      <c r="J1167" s="124">
        <v>9.9160201604739286E-4</v>
      </c>
      <c r="K1167" s="124" t="s">
        <v>251</v>
      </c>
      <c r="L1167" s="124" t="s">
        <v>251</v>
      </c>
      <c r="M1167" s="124">
        <v>0</v>
      </c>
      <c r="N1167" s="124" t="s">
        <v>251</v>
      </c>
      <c r="O1167" s="124">
        <v>9.9160201604739286E-4</v>
      </c>
      <c r="P1167" s="124">
        <v>9.9160201604739286E-4</v>
      </c>
      <c r="Q1167" s="124">
        <v>0</v>
      </c>
      <c r="R1167" s="124"/>
    </row>
    <row r="1168" spans="1:18" ht="15">
      <c r="A1168" s="105">
        <v>13</v>
      </c>
      <c r="B1168" s="105"/>
      <c r="C1168" s="107" t="s">
        <v>938</v>
      </c>
      <c r="D1168" s="107" t="s">
        <v>363</v>
      </c>
      <c r="E1168" s="124">
        <v>1</v>
      </c>
      <c r="F1168" s="124" t="s">
        <v>251</v>
      </c>
      <c r="G1168" s="124">
        <v>0.98720392608566176</v>
      </c>
      <c r="H1168" s="124" t="s">
        <v>251</v>
      </c>
      <c r="I1168" s="124">
        <v>0</v>
      </c>
      <c r="J1168" s="124">
        <v>1.2796073914338242E-2</v>
      </c>
      <c r="K1168" s="124" t="s">
        <v>251</v>
      </c>
      <c r="L1168" s="124" t="s">
        <v>251</v>
      </c>
      <c r="M1168" s="124">
        <v>0</v>
      </c>
      <c r="N1168" s="124" t="s">
        <v>251</v>
      </c>
      <c r="O1168" s="124">
        <v>1.2796073914338242E-2</v>
      </c>
      <c r="P1168" s="124">
        <v>1.2796073914338242E-2</v>
      </c>
      <c r="Q1168" s="124">
        <v>0</v>
      </c>
      <c r="R1168" s="124"/>
    </row>
    <row r="1169" spans="1:18" ht="15">
      <c r="A1169" s="105">
        <v>14</v>
      </c>
      <c r="B1169" s="105"/>
      <c r="C1169" s="107" t="s">
        <v>939</v>
      </c>
      <c r="D1169" s="107" t="s">
        <v>365</v>
      </c>
      <c r="E1169" s="124">
        <v>1</v>
      </c>
      <c r="F1169" s="124" t="s">
        <v>251</v>
      </c>
      <c r="G1169" s="124">
        <v>0.98673170906015362</v>
      </c>
      <c r="H1169" s="124" t="s">
        <v>251</v>
      </c>
      <c r="I1169" s="124">
        <v>0</v>
      </c>
      <c r="J1169" s="124">
        <v>1.3268290939846413E-2</v>
      </c>
      <c r="K1169" s="124" t="s">
        <v>251</v>
      </c>
      <c r="L1169" s="124" t="s">
        <v>251</v>
      </c>
      <c r="M1169" s="124">
        <v>0</v>
      </c>
      <c r="N1169" s="124" t="s">
        <v>251</v>
      </c>
      <c r="O1169" s="124">
        <v>1.3268290939846413E-2</v>
      </c>
      <c r="P1169" s="124">
        <v>1.3268290939846413E-2</v>
      </c>
      <c r="Q1169" s="124">
        <v>0</v>
      </c>
      <c r="R1169" s="124"/>
    </row>
    <row r="1170" spans="1:18" ht="15">
      <c r="A1170" s="105">
        <v>15</v>
      </c>
      <c r="B1170" s="105"/>
      <c r="C1170" s="107" t="s">
        <v>940</v>
      </c>
      <c r="D1170" s="107" t="s">
        <v>367</v>
      </c>
      <c r="E1170" s="124">
        <v>1</v>
      </c>
      <c r="F1170" s="124" t="s">
        <v>251</v>
      </c>
      <c r="G1170" s="124">
        <v>1</v>
      </c>
      <c r="H1170" s="124" t="s">
        <v>251</v>
      </c>
      <c r="I1170" s="124">
        <v>0</v>
      </c>
      <c r="J1170" s="124">
        <v>0</v>
      </c>
      <c r="K1170" s="124" t="s">
        <v>251</v>
      </c>
      <c r="L1170" s="124" t="s">
        <v>251</v>
      </c>
      <c r="M1170" s="124">
        <v>0</v>
      </c>
      <c r="N1170" s="124" t="s">
        <v>251</v>
      </c>
      <c r="O1170" s="124">
        <v>0</v>
      </c>
      <c r="P1170" s="124">
        <v>0</v>
      </c>
      <c r="Q1170" s="124">
        <v>0</v>
      </c>
      <c r="R1170" s="124"/>
    </row>
    <row r="1171" spans="1:18" ht="15">
      <c r="A1171" s="105">
        <v>16</v>
      </c>
      <c r="B1171" s="105"/>
      <c r="C1171" s="107" t="s">
        <v>941</v>
      </c>
      <c r="D1171" s="107" t="s">
        <v>369</v>
      </c>
      <c r="E1171" s="124">
        <v>1</v>
      </c>
      <c r="F1171" s="124" t="s">
        <v>251</v>
      </c>
      <c r="G1171" s="124">
        <v>1</v>
      </c>
      <c r="H1171" s="124" t="s">
        <v>251</v>
      </c>
      <c r="I1171" s="124">
        <v>0</v>
      </c>
      <c r="J1171" s="124">
        <v>0</v>
      </c>
      <c r="K1171" s="124" t="s">
        <v>251</v>
      </c>
      <c r="L1171" s="124" t="s">
        <v>251</v>
      </c>
      <c r="M1171" s="124">
        <v>0</v>
      </c>
      <c r="N1171" s="124" t="s">
        <v>251</v>
      </c>
      <c r="O1171" s="124">
        <v>0</v>
      </c>
      <c r="P1171" s="124">
        <v>0</v>
      </c>
      <c r="Q1171" s="124">
        <v>0</v>
      </c>
      <c r="R1171" s="124"/>
    </row>
    <row r="1172" spans="1:18" ht="15">
      <c r="A1172" s="105">
        <v>17</v>
      </c>
      <c r="B1172" s="105"/>
      <c r="C1172" s="107" t="s">
        <v>942</v>
      </c>
      <c r="D1172" s="107" t="s">
        <v>371</v>
      </c>
      <c r="E1172" s="124">
        <v>1</v>
      </c>
      <c r="F1172" s="124" t="s">
        <v>251</v>
      </c>
      <c r="G1172" s="124">
        <v>1</v>
      </c>
      <c r="H1172" s="124" t="s">
        <v>251</v>
      </c>
      <c r="I1172" s="124">
        <v>0</v>
      </c>
      <c r="J1172" s="124">
        <v>0</v>
      </c>
      <c r="K1172" s="124" t="s">
        <v>251</v>
      </c>
      <c r="L1172" s="124" t="s">
        <v>251</v>
      </c>
      <c r="M1172" s="124">
        <v>0</v>
      </c>
      <c r="N1172" s="124" t="s">
        <v>251</v>
      </c>
      <c r="O1172" s="124">
        <v>0</v>
      </c>
      <c r="P1172" s="124">
        <v>0</v>
      </c>
      <c r="Q1172" s="124">
        <v>0</v>
      </c>
      <c r="R1172" s="124"/>
    </row>
    <row r="1173" spans="1:18" ht="15">
      <c r="A1173" s="105">
        <v>18</v>
      </c>
      <c r="B1173" s="105"/>
      <c r="C1173" s="107" t="s">
        <v>943</v>
      </c>
      <c r="D1173" s="107" t="s">
        <v>373</v>
      </c>
      <c r="E1173" s="124">
        <v>1</v>
      </c>
      <c r="F1173" s="124" t="s">
        <v>251</v>
      </c>
      <c r="G1173" s="124">
        <v>1</v>
      </c>
      <c r="H1173" s="124" t="s">
        <v>251</v>
      </c>
      <c r="I1173" s="124">
        <v>0</v>
      </c>
      <c r="J1173" s="124">
        <v>0</v>
      </c>
      <c r="K1173" s="124" t="s">
        <v>251</v>
      </c>
      <c r="L1173" s="124" t="s">
        <v>251</v>
      </c>
      <c r="M1173" s="124">
        <v>0</v>
      </c>
      <c r="N1173" s="124" t="s">
        <v>251</v>
      </c>
      <c r="O1173" s="124">
        <v>0</v>
      </c>
      <c r="P1173" s="124">
        <v>0</v>
      </c>
      <c r="Q1173" s="124">
        <v>0</v>
      </c>
      <c r="R1173" s="124"/>
    </row>
    <row r="1174" spans="1:18" ht="15">
      <c r="A1174" s="105">
        <v>19</v>
      </c>
      <c r="B1174" s="105"/>
      <c r="C1174" s="107" t="s">
        <v>944</v>
      </c>
      <c r="D1174" s="107" t="s">
        <v>378</v>
      </c>
      <c r="E1174" s="124">
        <v>1</v>
      </c>
      <c r="F1174" s="124" t="s">
        <v>251</v>
      </c>
      <c r="G1174" s="124">
        <v>1</v>
      </c>
      <c r="H1174" s="124" t="s">
        <v>251</v>
      </c>
      <c r="I1174" s="124">
        <v>0</v>
      </c>
      <c r="J1174" s="124">
        <v>0</v>
      </c>
      <c r="K1174" s="124" t="s">
        <v>251</v>
      </c>
      <c r="L1174" s="124" t="s">
        <v>251</v>
      </c>
      <c r="M1174" s="124">
        <v>0</v>
      </c>
      <c r="N1174" s="124" t="s">
        <v>251</v>
      </c>
      <c r="O1174" s="124">
        <v>0</v>
      </c>
      <c r="P1174" s="124">
        <v>0</v>
      </c>
      <c r="Q1174" s="124">
        <v>0</v>
      </c>
      <c r="R1174" s="124"/>
    </row>
    <row r="1175" spans="1:18" ht="15">
      <c r="A1175" s="105">
        <v>20</v>
      </c>
      <c r="B1175" s="105"/>
      <c r="C1175" s="107" t="s">
        <v>945</v>
      </c>
      <c r="D1175" s="107" t="s">
        <v>389</v>
      </c>
      <c r="E1175" s="124">
        <v>1</v>
      </c>
      <c r="F1175" s="124" t="s">
        <v>251</v>
      </c>
      <c r="G1175" s="124">
        <v>1</v>
      </c>
      <c r="H1175" s="124" t="s">
        <v>251</v>
      </c>
      <c r="I1175" s="124">
        <v>0</v>
      </c>
      <c r="J1175" s="124">
        <v>0</v>
      </c>
      <c r="K1175" s="124" t="s">
        <v>251</v>
      </c>
      <c r="L1175" s="124" t="s">
        <v>251</v>
      </c>
      <c r="M1175" s="124">
        <v>0</v>
      </c>
      <c r="N1175" s="124" t="s">
        <v>251</v>
      </c>
      <c r="O1175" s="124">
        <v>0</v>
      </c>
      <c r="P1175" s="124">
        <v>0</v>
      </c>
      <c r="Q1175" s="124">
        <v>0</v>
      </c>
      <c r="R1175" s="124"/>
    </row>
    <row r="1176" spans="1:18" ht="15">
      <c r="A1176" s="105">
        <v>21</v>
      </c>
      <c r="B1176" s="105"/>
      <c r="C1176" s="107" t="s">
        <v>946</v>
      </c>
      <c r="D1176" s="107" t="s">
        <v>392</v>
      </c>
      <c r="E1176" s="124">
        <v>1</v>
      </c>
      <c r="F1176" s="124" t="s">
        <v>251</v>
      </c>
      <c r="G1176" s="124">
        <v>0</v>
      </c>
      <c r="H1176" s="124" t="s">
        <v>251</v>
      </c>
      <c r="I1176" s="124">
        <v>1</v>
      </c>
      <c r="J1176" s="124">
        <v>0</v>
      </c>
      <c r="K1176" s="124" t="s">
        <v>251</v>
      </c>
      <c r="L1176" s="124" t="s">
        <v>251</v>
      </c>
      <c r="M1176" s="124">
        <v>0</v>
      </c>
      <c r="N1176" s="124" t="s">
        <v>251</v>
      </c>
      <c r="O1176" s="124">
        <v>0</v>
      </c>
      <c r="P1176" s="124">
        <v>0</v>
      </c>
      <c r="Q1176" s="124">
        <v>0</v>
      </c>
      <c r="R1176" s="124"/>
    </row>
    <row r="1177" spans="1:18" ht="15">
      <c r="A1177" s="105">
        <v>22</v>
      </c>
      <c r="B1177" s="105"/>
      <c r="C1177" s="107" t="s">
        <v>947</v>
      </c>
      <c r="D1177" s="107" t="s">
        <v>393</v>
      </c>
      <c r="E1177" s="124">
        <v>1</v>
      </c>
      <c r="F1177" s="124" t="s">
        <v>251</v>
      </c>
      <c r="G1177" s="124">
        <v>0</v>
      </c>
      <c r="H1177" s="124" t="s">
        <v>251</v>
      </c>
      <c r="I1177" s="124">
        <v>1</v>
      </c>
      <c r="J1177" s="124">
        <v>0</v>
      </c>
      <c r="K1177" s="124" t="s">
        <v>251</v>
      </c>
      <c r="L1177" s="124" t="s">
        <v>251</v>
      </c>
      <c r="M1177" s="124">
        <v>0</v>
      </c>
      <c r="N1177" s="124" t="s">
        <v>251</v>
      </c>
      <c r="O1177" s="124">
        <v>0</v>
      </c>
      <c r="P1177" s="124">
        <v>0</v>
      </c>
      <c r="Q1177" s="124">
        <v>0</v>
      </c>
      <c r="R1177" s="124"/>
    </row>
    <row r="1178" spans="1:18" ht="15">
      <c r="A1178" s="105">
        <v>23</v>
      </c>
      <c r="B1178" s="105"/>
      <c r="C1178" s="107" t="s">
        <v>948</v>
      </c>
      <c r="D1178" s="107" t="s">
        <v>394</v>
      </c>
      <c r="E1178" s="124">
        <v>1</v>
      </c>
      <c r="F1178" s="124" t="s">
        <v>251</v>
      </c>
      <c r="G1178" s="124">
        <v>0</v>
      </c>
      <c r="H1178" s="124" t="s">
        <v>251</v>
      </c>
      <c r="I1178" s="124">
        <v>1</v>
      </c>
      <c r="J1178" s="124">
        <v>0</v>
      </c>
      <c r="K1178" s="124" t="s">
        <v>251</v>
      </c>
      <c r="L1178" s="124" t="s">
        <v>251</v>
      </c>
      <c r="M1178" s="124">
        <v>0</v>
      </c>
      <c r="N1178" s="124" t="s">
        <v>251</v>
      </c>
      <c r="O1178" s="124">
        <v>0</v>
      </c>
      <c r="P1178" s="124">
        <v>0</v>
      </c>
      <c r="Q1178" s="124">
        <v>0</v>
      </c>
      <c r="R1178" s="124"/>
    </row>
    <row r="1179" spans="1:18" ht="15">
      <c r="A1179" s="105">
        <v>24</v>
      </c>
      <c r="B1179" s="105"/>
      <c r="C1179" s="107" t="s">
        <v>2255</v>
      </c>
      <c r="D1179" s="107" t="s">
        <v>2233</v>
      </c>
      <c r="E1179" s="124">
        <v>1</v>
      </c>
      <c r="F1179" s="124" t="s">
        <v>251</v>
      </c>
      <c r="G1179" s="124">
        <v>0.7797452328090192</v>
      </c>
      <c r="H1179" s="124" t="s">
        <v>251</v>
      </c>
      <c r="I1179" s="124">
        <v>0.2202547671909808</v>
      </c>
      <c r="J1179" s="124">
        <v>0</v>
      </c>
      <c r="K1179" s="124" t="s">
        <v>251</v>
      </c>
      <c r="L1179" s="124" t="s">
        <v>251</v>
      </c>
      <c r="M1179" s="124">
        <v>0</v>
      </c>
      <c r="N1179" s="124" t="s">
        <v>251</v>
      </c>
      <c r="O1179" s="124">
        <v>0</v>
      </c>
      <c r="P1179" s="124">
        <v>0</v>
      </c>
      <c r="Q1179" s="124">
        <v>0</v>
      </c>
      <c r="R1179" s="124"/>
    </row>
    <row r="1180" spans="1:18" ht="15">
      <c r="A1180" s="105">
        <v>25</v>
      </c>
      <c r="B1180" s="105"/>
      <c r="C1180" s="107" t="s">
        <v>949</v>
      </c>
      <c r="D1180" s="107" t="s">
        <v>395</v>
      </c>
      <c r="E1180" s="124">
        <v>1</v>
      </c>
      <c r="F1180" s="124" t="s">
        <v>251</v>
      </c>
      <c r="G1180" s="124">
        <v>0</v>
      </c>
      <c r="H1180" s="124" t="s">
        <v>251</v>
      </c>
      <c r="I1180" s="124">
        <v>1</v>
      </c>
      <c r="J1180" s="124">
        <v>0</v>
      </c>
      <c r="K1180" s="124" t="s">
        <v>251</v>
      </c>
      <c r="L1180" s="124" t="s">
        <v>251</v>
      </c>
      <c r="M1180" s="124">
        <v>0</v>
      </c>
      <c r="N1180" s="124" t="s">
        <v>251</v>
      </c>
      <c r="O1180" s="124">
        <v>0</v>
      </c>
      <c r="P1180" s="124">
        <v>0</v>
      </c>
      <c r="Q1180" s="124">
        <v>0</v>
      </c>
      <c r="R1180" s="124"/>
    </row>
    <row r="1181" spans="1:18" ht="15">
      <c r="A1181" s="105">
        <v>26</v>
      </c>
      <c r="B1181" s="105"/>
      <c r="C1181" s="107" t="s">
        <v>950</v>
      </c>
      <c r="D1181" s="107" t="s">
        <v>396</v>
      </c>
      <c r="E1181" s="124">
        <v>1</v>
      </c>
      <c r="F1181" s="124" t="s">
        <v>251</v>
      </c>
      <c r="G1181" s="124">
        <v>0</v>
      </c>
      <c r="H1181" s="124" t="s">
        <v>251</v>
      </c>
      <c r="I1181" s="124">
        <v>1</v>
      </c>
      <c r="J1181" s="124">
        <v>0</v>
      </c>
      <c r="K1181" s="124" t="s">
        <v>251</v>
      </c>
      <c r="L1181" s="124" t="s">
        <v>251</v>
      </c>
      <c r="M1181" s="124">
        <v>0</v>
      </c>
      <c r="N1181" s="124" t="s">
        <v>251</v>
      </c>
      <c r="O1181" s="124">
        <v>0</v>
      </c>
      <c r="P1181" s="124">
        <v>0</v>
      </c>
      <c r="Q1181" s="124">
        <v>0</v>
      </c>
      <c r="R1181" s="124"/>
    </row>
    <row r="1182" spans="1:18" ht="15">
      <c r="A1182" s="105">
        <v>27</v>
      </c>
      <c r="B1182" s="105"/>
      <c r="C1182" s="107" t="s">
        <v>951</v>
      </c>
      <c r="D1182" s="107" t="s">
        <v>397</v>
      </c>
      <c r="E1182" s="124">
        <v>1</v>
      </c>
      <c r="F1182" s="124" t="s">
        <v>251</v>
      </c>
      <c r="G1182" s="124">
        <v>0</v>
      </c>
      <c r="H1182" s="124" t="s">
        <v>251</v>
      </c>
      <c r="I1182" s="124">
        <v>1</v>
      </c>
      <c r="J1182" s="124">
        <v>0</v>
      </c>
      <c r="K1182" s="124" t="s">
        <v>251</v>
      </c>
      <c r="L1182" s="124" t="s">
        <v>251</v>
      </c>
      <c r="M1182" s="124">
        <v>0</v>
      </c>
      <c r="N1182" s="124" t="s">
        <v>251</v>
      </c>
      <c r="O1182" s="124">
        <v>0</v>
      </c>
      <c r="P1182" s="124">
        <v>0</v>
      </c>
      <c r="Q1182" s="124">
        <v>0</v>
      </c>
      <c r="R1182" s="124"/>
    </row>
    <row r="1183" spans="1:18" ht="15">
      <c r="A1183" s="105">
        <v>28</v>
      </c>
      <c r="B1183" s="105"/>
      <c r="C1183" s="107" t="s">
        <v>952</v>
      </c>
      <c r="D1183" s="107" t="s">
        <v>399</v>
      </c>
      <c r="E1183" s="124">
        <v>1</v>
      </c>
      <c r="F1183" s="124" t="s">
        <v>251</v>
      </c>
      <c r="G1183" s="124">
        <v>0</v>
      </c>
      <c r="H1183" s="124" t="s">
        <v>251</v>
      </c>
      <c r="I1183" s="124">
        <v>1</v>
      </c>
      <c r="J1183" s="124">
        <v>0</v>
      </c>
      <c r="K1183" s="124" t="s">
        <v>251</v>
      </c>
      <c r="L1183" s="124" t="s">
        <v>251</v>
      </c>
      <c r="M1183" s="124">
        <v>0</v>
      </c>
      <c r="N1183" s="124" t="s">
        <v>251</v>
      </c>
      <c r="O1183" s="124">
        <v>0</v>
      </c>
      <c r="P1183" s="124">
        <v>0</v>
      </c>
      <c r="Q1183" s="124">
        <v>0</v>
      </c>
      <c r="R1183" s="124"/>
    </row>
    <row r="1184" spans="1:18" ht="15">
      <c r="A1184" s="105">
        <v>29</v>
      </c>
      <c r="B1184" s="105"/>
      <c r="C1184" s="107" t="s">
        <v>953</v>
      </c>
      <c r="D1184" s="107" t="s">
        <v>406</v>
      </c>
      <c r="E1184" s="124">
        <v>1</v>
      </c>
      <c r="F1184" s="124" t="s">
        <v>251</v>
      </c>
      <c r="G1184" s="124">
        <v>0</v>
      </c>
      <c r="H1184" s="124" t="s">
        <v>251</v>
      </c>
      <c r="I1184" s="124">
        <v>0</v>
      </c>
      <c r="J1184" s="124">
        <v>1</v>
      </c>
      <c r="K1184" s="124" t="s">
        <v>251</v>
      </c>
      <c r="L1184" s="124" t="s">
        <v>251</v>
      </c>
      <c r="M1184" s="124">
        <v>1</v>
      </c>
      <c r="N1184" s="124" t="s">
        <v>251</v>
      </c>
      <c r="O1184" s="124">
        <v>0</v>
      </c>
      <c r="P1184" s="124">
        <v>0</v>
      </c>
      <c r="Q1184" s="124">
        <v>0</v>
      </c>
      <c r="R1184" s="124"/>
    </row>
    <row r="1185" spans="1:18" ht="15">
      <c r="A1185" s="105">
        <v>30</v>
      </c>
      <c r="B1185" s="105"/>
      <c r="C1185" s="107" t="s">
        <v>954</v>
      </c>
      <c r="D1185" s="107" t="s">
        <v>407</v>
      </c>
      <c r="E1185" s="124">
        <v>1</v>
      </c>
      <c r="F1185" s="124" t="s">
        <v>251</v>
      </c>
      <c r="G1185" s="124">
        <v>0</v>
      </c>
      <c r="H1185" s="124" t="s">
        <v>251</v>
      </c>
      <c r="I1185" s="124">
        <v>0</v>
      </c>
      <c r="J1185" s="124">
        <v>1</v>
      </c>
      <c r="K1185" s="124" t="s">
        <v>251</v>
      </c>
      <c r="L1185" s="124" t="s">
        <v>251</v>
      </c>
      <c r="M1185" s="124">
        <v>1</v>
      </c>
      <c r="N1185" s="124" t="s">
        <v>251</v>
      </c>
      <c r="O1185" s="124">
        <v>0</v>
      </c>
      <c r="P1185" s="124">
        <v>0</v>
      </c>
      <c r="Q1185" s="124">
        <v>0</v>
      </c>
      <c r="R1185" s="124"/>
    </row>
    <row r="1186" spans="1:18" ht="15">
      <c r="A1186" s="105">
        <v>31</v>
      </c>
      <c r="B1186" s="105"/>
      <c r="C1186" s="107" t="s">
        <v>955</v>
      </c>
      <c r="D1186" s="107" t="s">
        <v>408</v>
      </c>
      <c r="E1186" s="124">
        <v>1</v>
      </c>
      <c r="F1186" s="124" t="s">
        <v>251</v>
      </c>
      <c r="G1186" s="124">
        <v>0</v>
      </c>
      <c r="H1186" s="124" t="s">
        <v>251</v>
      </c>
      <c r="I1186" s="124">
        <v>0</v>
      </c>
      <c r="J1186" s="124">
        <v>1</v>
      </c>
      <c r="K1186" s="124" t="s">
        <v>251</v>
      </c>
      <c r="L1186" s="124" t="s">
        <v>251</v>
      </c>
      <c r="M1186" s="124">
        <v>1</v>
      </c>
      <c r="N1186" s="124" t="s">
        <v>251</v>
      </c>
      <c r="O1186" s="124">
        <v>0</v>
      </c>
      <c r="P1186" s="124">
        <v>0</v>
      </c>
      <c r="Q1186" s="124">
        <v>0</v>
      </c>
      <c r="R1186" s="124"/>
    </row>
    <row r="1187" spans="1:18" ht="15">
      <c r="A1187" s="105">
        <v>32</v>
      </c>
      <c r="B1187" s="105"/>
      <c r="C1187" s="107" t="s">
        <v>956</v>
      </c>
      <c r="D1187" s="107" t="s">
        <v>409</v>
      </c>
      <c r="E1187" s="124">
        <v>1</v>
      </c>
      <c r="F1187" s="124" t="s">
        <v>251</v>
      </c>
      <c r="G1187" s="124">
        <v>0</v>
      </c>
      <c r="H1187" s="124" t="s">
        <v>251</v>
      </c>
      <c r="I1187" s="124">
        <v>0</v>
      </c>
      <c r="J1187" s="124">
        <v>1</v>
      </c>
      <c r="K1187" s="124" t="s">
        <v>251</v>
      </c>
      <c r="L1187" s="124" t="s">
        <v>251</v>
      </c>
      <c r="M1187" s="124">
        <v>1</v>
      </c>
      <c r="N1187" s="124" t="s">
        <v>251</v>
      </c>
      <c r="O1187" s="124">
        <v>0</v>
      </c>
      <c r="P1187" s="124">
        <v>0</v>
      </c>
      <c r="Q1187" s="124">
        <v>0</v>
      </c>
      <c r="R1187" s="124"/>
    </row>
    <row r="1188" spans="1:18" ht="15">
      <c r="A1188" s="105">
        <v>33</v>
      </c>
      <c r="B1188" s="105"/>
      <c r="C1188" s="107" t="s">
        <v>957</v>
      </c>
      <c r="D1188" s="107" t="s">
        <v>410</v>
      </c>
      <c r="E1188" s="124">
        <v>1</v>
      </c>
      <c r="F1188" s="124" t="s">
        <v>251</v>
      </c>
      <c r="G1188" s="124">
        <v>0</v>
      </c>
      <c r="H1188" s="124" t="s">
        <v>251</v>
      </c>
      <c r="I1188" s="124">
        <v>0</v>
      </c>
      <c r="J1188" s="124">
        <v>1</v>
      </c>
      <c r="K1188" s="124" t="s">
        <v>251</v>
      </c>
      <c r="L1188" s="124" t="s">
        <v>251</v>
      </c>
      <c r="M1188" s="124">
        <v>1</v>
      </c>
      <c r="N1188" s="124" t="s">
        <v>251</v>
      </c>
      <c r="O1188" s="124">
        <v>0</v>
      </c>
      <c r="P1188" s="124">
        <v>0</v>
      </c>
      <c r="Q1188" s="124">
        <v>0</v>
      </c>
      <c r="R1188" s="124"/>
    </row>
    <row r="1189" spans="1:18" ht="15">
      <c r="A1189" s="105">
        <v>34</v>
      </c>
      <c r="B1189" s="105"/>
      <c r="C1189" s="107" t="s">
        <v>958</v>
      </c>
      <c r="D1189" s="107" t="s">
        <v>411</v>
      </c>
      <c r="E1189" s="124">
        <v>1</v>
      </c>
      <c r="F1189" s="124" t="s">
        <v>251</v>
      </c>
      <c r="G1189" s="124">
        <v>0</v>
      </c>
      <c r="H1189" s="124" t="s">
        <v>251</v>
      </c>
      <c r="I1189" s="124">
        <v>0</v>
      </c>
      <c r="J1189" s="124">
        <v>1</v>
      </c>
      <c r="K1189" s="124" t="s">
        <v>251</v>
      </c>
      <c r="L1189" s="124" t="s">
        <v>251</v>
      </c>
      <c r="M1189" s="124">
        <v>1</v>
      </c>
      <c r="N1189" s="124" t="s">
        <v>251</v>
      </c>
      <c r="O1189" s="124">
        <v>0</v>
      </c>
      <c r="P1189" s="124">
        <v>0</v>
      </c>
      <c r="Q1189" s="124">
        <v>0</v>
      </c>
      <c r="R1189" s="124"/>
    </row>
    <row r="1190" spans="1:18" ht="15">
      <c r="A1190" s="105">
        <v>35</v>
      </c>
      <c r="B1190" s="105"/>
      <c r="C1190" s="107" t="s">
        <v>959</v>
      </c>
      <c r="D1190" s="107" t="s">
        <v>412</v>
      </c>
      <c r="E1190" s="124">
        <v>1</v>
      </c>
      <c r="F1190" s="124" t="s">
        <v>251</v>
      </c>
      <c r="G1190" s="124">
        <v>0</v>
      </c>
      <c r="H1190" s="124" t="s">
        <v>251</v>
      </c>
      <c r="I1190" s="124">
        <v>0</v>
      </c>
      <c r="J1190" s="124">
        <v>1</v>
      </c>
      <c r="K1190" s="124" t="s">
        <v>251</v>
      </c>
      <c r="L1190" s="124" t="s">
        <v>251</v>
      </c>
      <c r="M1190" s="124">
        <v>1</v>
      </c>
      <c r="N1190" s="124" t="s">
        <v>251</v>
      </c>
      <c r="O1190" s="124">
        <v>0</v>
      </c>
      <c r="P1190" s="124">
        <v>0</v>
      </c>
      <c r="Q1190" s="124">
        <v>0</v>
      </c>
      <c r="R1190" s="124"/>
    </row>
    <row r="1191" spans="1:18" ht="15">
      <c r="A1191" s="105">
        <v>36</v>
      </c>
      <c r="B1191" s="105"/>
      <c r="C1191" s="107" t="s">
        <v>960</v>
      </c>
      <c r="D1191" s="107" t="s">
        <v>413</v>
      </c>
      <c r="E1191" s="124">
        <v>1</v>
      </c>
      <c r="F1191" s="124" t="s">
        <v>251</v>
      </c>
      <c r="G1191" s="124">
        <v>0</v>
      </c>
      <c r="H1191" s="124" t="s">
        <v>251</v>
      </c>
      <c r="I1191" s="124">
        <v>0</v>
      </c>
      <c r="J1191" s="124">
        <v>1</v>
      </c>
      <c r="K1191" s="124" t="s">
        <v>251</v>
      </c>
      <c r="L1191" s="124" t="s">
        <v>251</v>
      </c>
      <c r="M1191" s="124">
        <v>1</v>
      </c>
      <c r="N1191" s="124" t="s">
        <v>251</v>
      </c>
      <c r="O1191" s="124">
        <v>0</v>
      </c>
      <c r="P1191" s="124">
        <v>0</v>
      </c>
      <c r="Q1191" s="124">
        <v>0</v>
      </c>
      <c r="R1191" s="124"/>
    </row>
    <row r="1192" spans="1:18" ht="15">
      <c r="A1192" s="105">
        <v>37</v>
      </c>
      <c r="B1192" s="105"/>
      <c r="C1192" s="107" t="s">
        <v>961</v>
      </c>
      <c r="D1192" s="107" t="s">
        <v>414</v>
      </c>
      <c r="E1192" s="124">
        <v>0</v>
      </c>
      <c r="F1192" s="124" t="s">
        <v>251</v>
      </c>
      <c r="G1192" s="124">
        <v>0</v>
      </c>
      <c r="H1192" s="124" t="s">
        <v>251</v>
      </c>
      <c r="I1192" s="124">
        <v>0</v>
      </c>
      <c r="J1192" s="124">
        <v>0</v>
      </c>
      <c r="K1192" s="124" t="s">
        <v>251</v>
      </c>
      <c r="L1192" s="124" t="s">
        <v>251</v>
      </c>
      <c r="M1192" s="124">
        <v>0</v>
      </c>
      <c r="N1192" s="124" t="s">
        <v>251</v>
      </c>
      <c r="O1192" s="124">
        <v>0</v>
      </c>
      <c r="P1192" s="124">
        <v>0</v>
      </c>
      <c r="Q1192" s="124">
        <v>0</v>
      </c>
      <c r="R1192" s="124"/>
    </row>
    <row r="1193" spans="1:18" ht="15">
      <c r="A1193" s="105">
        <v>38</v>
      </c>
      <c r="B1193" s="105"/>
      <c r="C1193" s="107" t="s">
        <v>1141</v>
      </c>
      <c r="D1193" s="107" t="s">
        <v>464</v>
      </c>
      <c r="E1193" s="124">
        <v>1</v>
      </c>
      <c r="F1193" s="124" t="s">
        <v>251</v>
      </c>
      <c r="G1193" s="124">
        <v>0</v>
      </c>
      <c r="H1193" s="124" t="s">
        <v>251</v>
      </c>
      <c r="I1193" s="124">
        <v>0.99636366233288676</v>
      </c>
      <c r="J1193" s="124">
        <v>3.636337667113286E-3</v>
      </c>
      <c r="K1193" s="124" t="s">
        <v>251</v>
      </c>
      <c r="L1193" s="124" t="s">
        <v>251</v>
      </c>
      <c r="M1193" s="124">
        <v>3.636337667113286E-3</v>
      </c>
      <c r="N1193" s="124" t="s">
        <v>251</v>
      </c>
      <c r="O1193" s="124">
        <v>0</v>
      </c>
      <c r="P1193" s="124">
        <v>0</v>
      </c>
      <c r="Q1193" s="124">
        <v>0</v>
      </c>
      <c r="R1193" s="124"/>
    </row>
    <row r="1194" spans="1:18" ht="15">
      <c r="A1194" s="105">
        <v>39</v>
      </c>
      <c r="B1194" s="105"/>
      <c r="C1194" s="107" t="s">
        <v>1142</v>
      </c>
      <c r="D1194" s="107" t="s">
        <v>487</v>
      </c>
      <c r="E1194" s="124">
        <v>1</v>
      </c>
      <c r="F1194" s="124" t="s">
        <v>251</v>
      </c>
      <c r="G1194" s="124">
        <v>0</v>
      </c>
      <c r="H1194" s="124" t="s">
        <v>251</v>
      </c>
      <c r="I1194" s="124">
        <v>1</v>
      </c>
      <c r="J1194" s="124">
        <v>0</v>
      </c>
      <c r="K1194" s="124" t="s">
        <v>251</v>
      </c>
      <c r="L1194" s="124" t="s">
        <v>251</v>
      </c>
      <c r="M1194" s="124">
        <v>0</v>
      </c>
      <c r="N1194" s="124" t="s">
        <v>251</v>
      </c>
      <c r="O1194" s="124">
        <v>0</v>
      </c>
      <c r="P1194" s="124">
        <v>0</v>
      </c>
      <c r="Q1194" s="124">
        <v>0</v>
      </c>
      <c r="R1194" s="124"/>
    </row>
    <row r="1195" spans="1:18" ht="15">
      <c r="A1195" s="105">
        <v>40</v>
      </c>
      <c r="B1195" s="105"/>
      <c r="C1195" s="107" t="s">
        <v>1143</v>
      </c>
      <c r="D1195" s="107" t="s">
        <v>523</v>
      </c>
      <c r="E1195" s="124">
        <v>1</v>
      </c>
      <c r="F1195" s="124" t="s">
        <v>251</v>
      </c>
      <c r="G1195" s="124">
        <v>0</v>
      </c>
      <c r="H1195" s="124" t="s">
        <v>251</v>
      </c>
      <c r="I1195" s="124">
        <v>1</v>
      </c>
      <c r="J1195" s="124">
        <v>0</v>
      </c>
      <c r="K1195" s="124" t="s">
        <v>251</v>
      </c>
      <c r="L1195" s="124" t="s">
        <v>251</v>
      </c>
      <c r="M1195" s="124">
        <v>0</v>
      </c>
      <c r="N1195" s="124" t="s">
        <v>251</v>
      </c>
      <c r="O1195" s="124">
        <v>0</v>
      </c>
      <c r="P1195" s="124">
        <v>0</v>
      </c>
      <c r="Q1195" s="124">
        <v>0</v>
      </c>
      <c r="R1195" s="124"/>
    </row>
    <row r="1196" spans="1:18" ht="15">
      <c r="A1196" s="105">
        <v>41</v>
      </c>
      <c r="B1196" s="105"/>
      <c r="C1196" s="107" t="s">
        <v>1144</v>
      </c>
      <c r="D1196" s="107" t="s">
        <v>532</v>
      </c>
      <c r="E1196" s="124">
        <v>0</v>
      </c>
      <c r="F1196" s="124" t="s">
        <v>251</v>
      </c>
      <c r="G1196" s="124">
        <v>0</v>
      </c>
      <c r="H1196" s="124" t="s">
        <v>251</v>
      </c>
      <c r="I1196" s="124">
        <v>0</v>
      </c>
      <c r="J1196" s="124">
        <v>0</v>
      </c>
      <c r="K1196" s="124" t="s">
        <v>251</v>
      </c>
      <c r="L1196" s="124" t="s">
        <v>251</v>
      </c>
      <c r="M1196" s="124">
        <v>0</v>
      </c>
      <c r="N1196" s="124" t="s">
        <v>251</v>
      </c>
      <c r="O1196" s="124">
        <v>0</v>
      </c>
      <c r="P1196" s="124">
        <v>0</v>
      </c>
      <c r="Q1196" s="124">
        <v>0</v>
      </c>
      <c r="R1196" s="124"/>
    </row>
    <row r="1197" spans="1:18" ht="15">
      <c r="A1197" s="105">
        <v>42</v>
      </c>
      <c r="B1197" s="105"/>
      <c r="C1197" s="107" t="s">
        <v>964</v>
      </c>
      <c r="D1197" s="107" t="s">
        <v>569</v>
      </c>
      <c r="E1197" s="124">
        <v>1</v>
      </c>
      <c r="F1197" s="124" t="s">
        <v>251</v>
      </c>
      <c r="G1197" s="124">
        <v>0.84955497650355349</v>
      </c>
      <c r="H1197" s="124" t="s">
        <v>251</v>
      </c>
      <c r="I1197" s="124">
        <v>0.10491286151020887</v>
      </c>
      <c r="J1197" s="124">
        <v>4.5532161986237683E-2</v>
      </c>
      <c r="K1197" s="124" t="s">
        <v>251</v>
      </c>
      <c r="L1197" s="124" t="s">
        <v>251</v>
      </c>
      <c r="M1197" s="124">
        <v>1.5558284806411686E-5</v>
      </c>
      <c r="N1197" s="124" t="s">
        <v>251</v>
      </c>
      <c r="O1197" s="124">
        <v>4.551660370143127E-2</v>
      </c>
      <c r="P1197" s="124">
        <v>4.551660370143127E-2</v>
      </c>
      <c r="Q1197" s="124">
        <v>0</v>
      </c>
      <c r="R1197" s="124"/>
    </row>
    <row r="1198" spans="1:18" ht="15">
      <c r="A1198" s="105">
        <v>43</v>
      </c>
      <c r="B1198" s="105"/>
      <c r="C1198" s="107" t="s">
        <v>965</v>
      </c>
      <c r="D1198" s="107" t="s">
        <v>579</v>
      </c>
      <c r="E1198" s="124">
        <v>1</v>
      </c>
      <c r="F1198" s="124" t="s">
        <v>251</v>
      </c>
      <c r="G1198" s="124">
        <v>0.95805160609989548</v>
      </c>
      <c r="H1198" s="124" t="s">
        <v>251</v>
      </c>
      <c r="I1198" s="124">
        <v>4.1948393900104561E-2</v>
      </c>
      <c r="J1198" s="124">
        <v>0</v>
      </c>
      <c r="K1198" s="124" t="s">
        <v>251</v>
      </c>
      <c r="L1198" s="124" t="s">
        <v>251</v>
      </c>
      <c r="M1198" s="124">
        <v>0</v>
      </c>
      <c r="N1198" s="124" t="s">
        <v>251</v>
      </c>
      <c r="O1198" s="124">
        <v>0</v>
      </c>
      <c r="P1198" s="124">
        <v>0</v>
      </c>
      <c r="Q1198" s="124">
        <v>0</v>
      </c>
      <c r="R1198" s="124"/>
    </row>
    <row r="1199" spans="1:18" ht="15">
      <c r="A1199" s="105">
        <v>44</v>
      </c>
      <c r="B1199" s="105"/>
      <c r="C1199" s="107" t="s">
        <v>966</v>
      </c>
      <c r="D1199" s="107" t="s">
        <v>577</v>
      </c>
      <c r="E1199" s="124">
        <v>1</v>
      </c>
      <c r="F1199" s="124" t="s">
        <v>251</v>
      </c>
      <c r="G1199" s="124">
        <v>1</v>
      </c>
      <c r="H1199" s="124" t="s">
        <v>251</v>
      </c>
      <c r="I1199" s="124">
        <v>0</v>
      </c>
      <c r="J1199" s="124">
        <v>0</v>
      </c>
      <c r="K1199" s="124" t="s">
        <v>251</v>
      </c>
      <c r="L1199" s="124" t="s">
        <v>251</v>
      </c>
      <c r="M1199" s="124">
        <v>0</v>
      </c>
      <c r="N1199" s="124" t="s">
        <v>251</v>
      </c>
      <c r="O1199" s="124">
        <v>0</v>
      </c>
      <c r="P1199" s="124">
        <v>0</v>
      </c>
      <c r="Q1199" s="124">
        <v>0</v>
      </c>
      <c r="R1199" s="124"/>
    </row>
    <row r="1200" spans="1:18" ht="15">
      <c r="A1200" s="105">
        <v>45</v>
      </c>
      <c r="B1200" s="105"/>
      <c r="C1200" s="107" t="s">
        <v>1145</v>
      </c>
      <c r="D1200" s="107" t="s">
        <v>565</v>
      </c>
      <c r="E1200" s="124">
        <v>1</v>
      </c>
      <c r="F1200" s="124" t="s">
        <v>251</v>
      </c>
      <c r="G1200" s="124">
        <v>0.93650246697316952</v>
      </c>
      <c r="H1200" s="124" t="s">
        <v>251</v>
      </c>
      <c r="I1200" s="124">
        <v>6.3497533026830449E-2</v>
      </c>
      <c r="J1200" s="124">
        <v>0</v>
      </c>
      <c r="K1200" s="124" t="s">
        <v>251</v>
      </c>
      <c r="L1200" s="124" t="s">
        <v>251</v>
      </c>
      <c r="M1200" s="124">
        <v>0</v>
      </c>
      <c r="N1200" s="124" t="s">
        <v>251</v>
      </c>
      <c r="O1200" s="124">
        <v>0</v>
      </c>
      <c r="P1200" s="124">
        <v>0</v>
      </c>
      <c r="Q1200" s="124">
        <v>0</v>
      </c>
      <c r="R1200" s="124"/>
    </row>
    <row r="1201" spans="1:18" ht="15">
      <c r="A1201" s="105">
        <v>46</v>
      </c>
      <c r="B1201" s="105"/>
      <c r="C1201" s="107" t="s">
        <v>1146</v>
      </c>
      <c r="D1201" s="107" t="s">
        <v>567</v>
      </c>
      <c r="E1201" s="124">
        <v>1</v>
      </c>
      <c r="F1201" s="124" t="s">
        <v>251</v>
      </c>
      <c r="G1201" s="124">
        <v>0.99239381895271817</v>
      </c>
      <c r="H1201" s="124" t="s">
        <v>251</v>
      </c>
      <c r="I1201" s="124">
        <v>7.6061810472818408E-3</v>
      </c>
      <c r="J1201" s="124">
        <v>0</v>
      </c>
      <c r="K1201" s="124" t="s">
        <v>251</v>
      </c>
      <c r="L1201" s="124" t="s">
        <v>251</v>
      </c>
      <c r="M1201" s="124">
        <v>0</v>
      </c>
      <c r="N1201" s="124" t="s">
        <v>251</v>
      </c>
      <c r="O1201" s="124">
        <v>0</v>
      </c>
      <c r="P1201" s="124">
        <v>0</v>
      </c>
      <c r="Q1201" s="124">
        <v>0</v>
      </c>
      <c r="R1201" s="124"/>
    </row>
    <row r="1202" spans="1:18" ht="15">
      <c r="A1202" s="105">
        <v>47</v>
      </c>
      <c r="B1202" s="105"/>
      <c r="C1202" s="107" t="s">
        <v>1147</v>
      </c>
      <c r="D1202" s="107" t="s">
        <v>575</v>
      </c>
      <c r="E1202" s="124">
        <v>1</v>
      </c>
      <c r="F1202" s="124" t="s">
        <v>251</v>
      </c>
      <c r="G1202" s="124">
        <v>1</v>
      </c>
      <c r="H1202" s="124" t="s">
        <v>251</v>
      </c>
      <c r="I1202" s="124">
        <v>0</v>
      </c>
      <c r="J1202" s="124">
        <v>0</v>
      </c>
      <c r="K1202" s="124" t="s">
        <v>251</v>
      </c>
      <c r="L1202" s="124" t="s">
        <v>251</v>
      </c>
      <c r="M1202" s="124">
        <v>0</v>
      </c>
      <c r="N1202" s="124" t="s">
        <v>251</v>
      </c>
      <c r="O1202" s="124">
        <v>0</v>
      </c>
      <c r="P1202" s="124">
        <v>0</v>
      </c>
      <c r="Q1202" s="124">
        <v>0</v>
      </c>
      <c r="R1202" s="124"/>
    </row>
    <row r="1203" spans="1:18" ht="15">
      <c r="A1203" s="105">
        <v>48</v>
      </c>
      <c r="B1203" s="105"/>
      <c r="C1203" s="107" t="s">
        <v>970</v>
      </c>
      <c r="D1203" s="107" t="s">
        <v>971</v>
      </c>
      <c r="E1203" s="124">
        <v>1</v>
      </c>
      <c r="F1203" s="124" t="s">
        <v>251</v>
      </c>
      <c r="G1203" s="124">
        <v>0</v>
      </c>
      <c r="H1203" s="124" t="s">
        <v>251</v>
      </c>
      <c r="I1203" s="124">
        <v>1</v>
      </c>
      <c r="J1203" s="124">
        <v>0</v>
      </c>
      <c r="K1203" s="124" t="s">
        <v>251</v>
      </c>
      <c r="L1203" s="124" t="s">
        <v>251</v>
      </c>
      <c r="M1203" s="124">
        <v>0</v>
      </c>
      <c r="N1203" s="124" t="s">
        <v>251</v>
      </c>
      <c r="O1203" s="124">
        <v>0</v>
      </c>
      <c r="P1203" s="124">
        <v>0</v>
      </c>
      <c r="Q1203" s="124">
        <v>0</v>
      </c>
      <c r="R1203" s="124"/>
    </row>
    <row r="1204" spans="1:18" ht="15">
      <c r="A1204" s="105">
        <v>49</v>
      </c>
      <c r="B1204" s="105"/>
      <c r="C1204" s="107" t="s">
        <v>972</v>
      </c>
      <c r="D1204" s="107" t="s">
        <v>771</v>
      </c>
      <c r="E1204" s="124">
        <v>0</v>
      </c>
      <c r="F1204" s="124" t="s">
        <v>251</v>
      </c>
      <c r="G1204" s="124">
        <v>0</v>
      </c>
      <c r="H1204" s="124" t="s">
        <v>251</v>
      </c>
      <c r="I1204" s="124">
        <v>0</v>
      </c>
      <c r="J1204" s="124">
        <v>0</v>
      </c>
      <c r="K1204" s="124" t="s">
        <v>251</v>
      </c>
      <c r="L1204" s="124" t="s">
        <v>251</v>
      </c>
      <c r="M1204" s="124">
        <v>0</v>
      </c>
      <c r="N1204" s="124" t="s">
        <v>251</v>
      </c>
      <c r="O1204" s="124">
        <v>0</v>
      </c>
      <c r="P1204" s="124">
        <v>0</v>
      </c>
      <c r="Q1204" s="124">
        <v>0</v>
      </c>
      <c r="R1204" s="124"/>
    </row>
    <row r="1205" spans="1:18" ht="15">
      <c r="A1205" s="105">
        <v>50</v>
      </c>
      <c r="B1205" s="105"/>
      <c r="C1205" s="107" t="s">
        <v>973</v>
      </c>
      <c r="D1205" s="107" t="s">
        <v>541</v>
      </c>
      <c r="E1205" s="124">
        <v>1</v>
      </c>
      <c r="F1205" s="124" t="s">
        <v>251</v>
      </c>
      <c r="G1205" s="124">
        <v>0</v>
      </c>
      <c r="H1205" s="124" t="s">
        <v>251</v>
      </c>
      <c r="I1205" s="124">
        <v>1</v>
      </c>
      <c r="J1205" s="124">
        <v>0</v>
      </c>
      <c r="K1205" s="124" t="s">
        <v>251</v>
      </c>
      <c r="L1205" s="124" t="s">
        <v>251</v>
      </c>
      <c r="M1205" s="124">
        <v>0</v>
      </c>
      <c r="N1205" s="124" t="s">
        <v>251</v>
      </c>
      <c r="O1205" s="124">
        <v>0</v>
      </c>
      <c r="P1205" s="124">
        <v>0</v>
      </c>
      <c r="Q1205" s="124">
        <v>0</v>
      </c>
      <c r="R1205" s="124"/>
    </row>
    <row r="1206" spans="1:18" ht="15">
      <c r="A1206" s="105" t="s">
        <v>251</v>
      </c>
      <c r="B1206" s="105"/>
      <c r="C1206" s="107" t="s">
        <v>251</v>
      </c>
      <c r="D1206" s="107" t="s">
        <v>251</v>
      </c>
      <c r="E1206" s="124" t="s">
        <v>251</v>
      </c>
      <c r="F1206" s="124" t="s">
        <v>251</v>
      </c>
      <c r="G1206" s="124" t="s">
        <v>251</v>
      </c>
      <c r="H1206" s="124" t="s">
        <v>251</v>
      </c>
      <c r="I1206" s="124" t="s">
        <v>251</v>
      </c>
      <c r="J1206" s="124" t="s">
        <v>251</v>
      </c>
      <c r="K1206" s="124" t="s">
        <v>251</v>
      </c>
      <c r="L1206" s="124" t="s">
        <v>251</v>
      </c>
      <c r="M1206" s="124" t="s">
        <v>251</v>
      </c>
      <c r="N1206" s="124" t="s">
        <v>251</v>
      </c>
      <c r="O1206" s="124" t="s">
        <v>251</v>
      </c>
      <c r="P1206" s="124" t="s">
        <v>251</v>
      </c>
      <c r="Q1206" s="124" t="s">
        <v>251</v>
      </c>
      <c r="R1206" s="124"/>
    </row>
    <row r="1207" spans="1:18" ht="15">
      <c r="A1207" s="105" t="s">
        <v>251</v>
      </c>
      <c r="B1207" s="105"/>
      <c r="C1207" s="107" t="s">
        <v>251</v>
      </c>
      <c r="D1207" s="107" t="s">
        <v>251</v>
      </c>
      <c r="E1207" s="124" t="s">
        <v>251</v>
      </c>
      <c r="F1207" s="124" t="s">
        <v>251</v>
      </c>
      <c r="G1207" s="124" t="s">
        <v>251</v>
      </c>
      <c r="H1207" s="124" t="s">
        <v>251</v>
      </c>
      <c r="I1207" s="124" t="s">
        <v>251</v>
      </c>
      <c r="J1207" s="124" t="s">
        <v>251</v>
      </c>
      <c r="K1207" s="124" t="s">
        <v>251</v>
      </c>
      <c r="L1207" s="124" t="s">
        <v>251</v>
      </c>
      <c r="M1207" s="124" t="s">
        <v>251</v>
      </c>
      <c r="N1207" s="124" t="s">
        <v>251</v>
      </c>
      <c r="O1207" s="124" t="s">
        <v>251</v>
      </c>
      <c r="P1207" s="124" t="s">
        <v>251</v>
      </c>
      <c r="Q1207" s="124" t="s">
        <v>251</v>
      </c>
      <c r="R1207" s="124"/>
    </row>
    <row r="1208" spans="1:18" ht="15">
      <c r="A1208" s="105" t="s">
        <v>251</v>
      </c>
      <c r="B1208" s="105"/>
      <c r="C1208" s="107" t="s">
        <v>495</v>
      </c>
      <c r="D1208" s="107" t="s">
        <v>251</v>
      </c>
      <c r="E1208" s="124" t="s">
        <v>251</v>
      </c>
      <c r="F1208" s="124" t="s">
        <v>251</v>
      </c>
      <c r="G1208" s="124" t="s">
        <v>251</v>
      </c>
      <c r="H1208" s="124" t="s">
        <v>251</v>
      </c>
      <c r="I1208" s="124" t="s">
        <v>251</v>
      </c>
      <c r="J1208" s="124" t="s">
        <v>251</v>
      </c>
      <c r="K1208" s="124" t="s">
        <v>251</v>
      </c>
      <c r="L1208" s="124" t="s">
        <v>251</v>
      </c>
      <c r="M1208" s="124" t="s">
        <v>251</v>
      </c>
      <c r="N1208" s="124" t="s">
        <v>251</v>
      </c>
      <c r="O1208" s="124" t="s">
        <v>251</v>
      </c>
      <c r="P1208" s="124" t="s">
        <v>251</v>
      </c>
      <c r="Q1208" s="124" t="s">
        <v>251</v>
      </c>
      <c r="R1208" s="124"/>
    </row>
    <row r="1209" spans="1:18" ht="15">
      <c r="A1209" s="105" t="s">
        <v>251</v>
      </c>
      <c r="B1209" s="105"/>
      <c r="C1209" s="107" t="s">
        <v>920</v>
      </c>
      <c r="D1209" s="107" t="s">
        <v>251</v>
      </c>
      <c r="E1209" s="124" t="s">
        <v>251</v>
      </c>
      <c r="F1209" s="124" t="s">
        <v>251</v>
      </c>
      <c r="G1209" s="124" t="s">
        <v>251</v>
      </c>
      <c r="H1209" s="124" t="s">
        <v>251</v>
      </c>
      <c r="I1209" s="124" t="s">
        <v>251</v>
      </c>
      <c r="J1209" s="124" t="s">
        <v>251</v>
      </c>
      <c r="K1209" s="124" t="s">
        <v>251</v>
      </c>
      <c r="L1209" s="124" t="s">
        <v>251</v>
      </c>
      <c r="M1209" s="124" t="s">
        <v>251</v>
      </c>
      <c r="N1209" s="124" t="s">
        <v>251</v>
      </c>
      <c r="O1209" s="124" t="s">
        <v>251</v>
      </c>
      <c r="P1209" s="124" t="s">
        <v>251</v>
      </c>
      <c r="Q1209" s="124" t="s">
        <v>251</v>
      </c>
      <c r="R1209" s="124"/>
    </row>
    <row r="1210" spans="1:18" ht="15">
      <c r="A1210" s="105">
        <v>1</v>
      </c>
      <c r="B1210" s="105"/>
      <c r="C1210" s="107" t="s">
        <v>974</v>
      </c>
      <c r="D1210" s="107" t="s">
        <v>495</v>
      </c>
      <c r="E1210" s="124">
        <v>1</v>
      </c>
      <c r="F1210" s="124" t="s">
        <v>251</v>
      </c>
      <c r="G1210" s="124">
        <v>0.9410091595713157</v>
      </c>
      <c r="H1210" s="124" t="s">
        <v>251</v>
      </c>
      <c r="I1210" s="124">
        <v>3.8388881819017104E-2</v>
      </c>
      <c r="J1210" s="124">
        <v>2.0601958609667261E-2</v>
      </c>
      <c r="K1210" s="124" t="s">
        <v>251</v>
      </c>
      <c r="L1210" s="124" t="s">
        <v>251</v>
      </c>
      <c r="M1210" s="124">
        <v>4.2114427545893434E-6</v>
      </c>
      <c r="N1210" s="124" t="s">
        <v>251</v>
      </c>
      <c r="O1210" s="124">
        <v>2.0597747166912671E-2</v>
      </c>
      <c r="P1210" s="124">
        <v>1.0430856900639138E-2</v>
      </c>
      <c r="Q1210" s="124">
        <v>1.0166890266273531E-2</v>
      </c>
      <c r="R1210" s="124"/>
    </row>
    <row r="1211" spans="1:18" ht="15">
      <c r="A1211" s="105">
        <v>2</v>
      </c>
      <c r="B1211" s="105"/>
      <c r="C1211" s="107" t="s">
        <v>975</v>
      </c>
      <c r="D1211" s="107" t="s">
        <v>740</v>
      </c>
      <c r="E1211" s="124">
        <v>1.0000000000000002</v>
      </c>
      <c r="F1211" s="124" t="s">
        <v>251</v>
      </c>
      <c r="G1211" s="124">
        <v>0.96079946400908001</v>
      </c>
      <c r="H1211" s="124" t="s">
        <v>251</v>
      </c>
      <c r="I1211" s="124">
        <v>3.9196235977577897E-2</v>
      </c>
      <c r="J1211" s="124">
        <v>4.3000133422268835E-6</v>
      </c>
      <c r="K1211" s="124" t="s">
        <v>251</v>
      </c>
      <c r="L1211" s="124" t="s">
        <v>251</v>
      </c>
      <c r="M1211" s="124">
        <v>4.3000133422268835E-6</v>
      </c>
      <c r="N1211" s="124" t="s">
        <v>251</v>
      </c>
      <c r="O1211" s="124">
        <v>0</v>
      </c>
      <c r="P1211" s="124">
        <v>0</v>
      </c>
      <c r="Q1211" s="124">
        <v>0</v>
      </c>
      <c r="R1211" s="124"/>
    </row>
    <row r="1212" spans="1:18" ht="15">
      <c r="A1212" s="105">
        <v>3</v>
      </c>
      <c r="B1212" s="105"/>
      <c r="C1212" s="107" t="s">
        <v>251</v>
      </c>
      <c r="D1212" s="107" t="s">
        <v>251</v>
      </c>
      <c r="E1212" s="124" t="s">
        <v>251</v>
      </c>
      <c r="F1212" s="124" t="s">
        <v>251</v>
      </c>
      <c r="G1212" s="124" t="s">
        <v>251</v>
      </c>
      <c r="H1212" s="124" t="s">
        <v>251</v>
      </c>
      <c r="I1212" s="124" t="s">
        <v>251</v>
      </c>
      <c r="J1212" s="124" t="s">
        <v>251</v>
      </c>
      <c r="K1212" s="124" t="s">
        <v>251</v>
      </c>
      <c r="L1212" s="124" t="s">
        <v>251</v>
      </c>
      <c r="M1212" s="124" t="s">
        <v>251</v>
      </c>
      <c r="N1212" s="124" t="s">
        <v>251</v>
      </c>
      <c r="O1212" s="124" t="s">
        <v>251</v>
      </c>
      <c r="P1212" s="124" t="s">
        <v>251</v>
      </c>
      <c r="Q1212" s="124" t="s">
        <v>251</v>
      </c>
      <c r="R1212" s="124"/>
    </row>
    <row r="1213" spans="1:18" ht="15">
      <c r="A1213" s="105">
        <v>4</v>
      </c>
      <c r="B1213" s="105"/>
      <c r="C1213" s="107" t="s">
        <v>251</v>
      </c>
      <c r="D1213" s="107" t="s">
        <v>251</v>
      </c>
      <c r="E1213" s="124" t="s">
        <v>251</v>
      </c>
      <c r="F1213" s="124" t="s">
        <v>251</v>
      </c>
      <c r="G1213" s="124" t="s">
        <v>251</v>
      </c>
      <c r="H1213" s="124" t="s">
        <v>251</v>
      </c>
      <c r="I1213" s="124" t="s">
        <v>251</v>
      </c>
      <c r="J1213" s="124" t="s">
        <v>251</v>
      </c>
      <c r="K1213" s="124" t="s">
        <v>251</v>
      </c>
      <c r="L1213" s="124" t="s">
        <v>251</v>
      </c>
      <c r="M1213" s="124" t="s">
        <v>251</v>
      </c>
      <c r="N1213" s="124" t="s">
        <v>251</v>
      </c>
      <c r="O1213" s="124" t="s">
        <v>251</v>
      </c>
      <c r="P1213" s="124" t="s">
        <v>251</v>
      </c>
      <c r="Q1213" s="124" t="s">
        <v>251</v>
      </c>
      <c r="R1213" s="124"/>
    </row>
    <row r="1214" spans="1:18" ht="15">
      <c r="A1214" s="105" t="s">
        <v>251</v>
      </c>
      <c r="B1214" s="105"/>
      <c r="C1214" s="107" t="s">
        <v>251</v>
      </c>
      <c r="D1214" s="107" t="s">
        <v>251</v>
      </c>
      <c r="E1214" s="124" t="s">
        <v>251</v>
      </c>
      <c r="F1214" s="124" t="s">
        <v>251</v>
      </c>
      <c r="G1214" s="124" t="s">
        <v>251</v>
      </c>
      <c r="H1214" s="124" t="s">
        <v>251</v>
      </c>
      <c r="I1214" s="124" t="s">
        <v>251</v>
      </c>
      <c r="J1214" s="124" t="s">
        <v>251</v>
      </c>
      <c r="K1214" s="124" t="s">
        <v>251</v>
      </c>
      <c r="L1214" s="124" t="s">
        <v>251</v>
      </c>
      <c r="M1214" s="124" t="s">
        <v>251</v>
      </c>
      <c r="N1214" s="124" t="s">
        <v>251</v>
      </c>
      <c r="O1214" s="124" t="s">
        <v>251</v>
      </c>
      <c r="P1214" s="124" t="s">
        <v>251</v>
      </c>
      <c r="Q1214" s="124" t="s">
        <v>251</v>
      </c>
      <c r="R1214" s="124"/>
    </row>
    <row r="1215" spans="1:18" ht="15">
      <c r="A1215" s="105" t="s">
        <v>251</v>
      </c>
      <c r="B1215" s="105"/>
      <c r="C1215" s="107" t="s">
        <v>976</v>
      </c>
      <c r="D1215" s="107" t="s">
        <v>251</v>
      </c>
      <c r="E1215" s="124" t="s">
        <v>251</v>
      </c>
      <c r="F1215" s="124" t="s">
        <v>251</v>
      </c>
      <c r="G1215" s="124" t="s">
        <v>251</v>
      </c>
      <c r="H1215" s="124" t="s">
        <v>251</v>
      </c>
      <c r="I1215" s="124" t="s">
        <v>251</v>
      </c>
      <c r="J1215" s="124" t="s">
        <v>251</v>
      </c>
      <c r="K1215" s="124" t="s">
        <v>251</v>
      </c>
      <c r="L1215" s="124" t="s">
        <v>251</v>
      </c>
      <c r="M1215" s="124" t="s">
        <v>251</v>
      </c>
      <c r="N1215" s="124" t="s">
        <v>251</v>
      </c>
      <c r="O1215" s="124" t="s">
        <v>251</v>
      </c>
      <c r="P1215" s="124" t="s">
        <v>251</v>
      </c>
      <c r="Q1215" s="124" t="s">
        <v>251</v>
      </c>
      <c r="R1215" s="124"/>
    </row>
    <row r="1216" spans="1:18" ht="15">
      <c r="A1216" s="105" t="s">
        <v>251</v>
      </c>
      <c r="B1216" s="105"/>
      <c r="C1216" s="107" t="s">
        <v>920</v>
      </c>
      <c r="D1216" s="107" t="s">
        <v>251</v>
      </c>
      <c r="E1216" s="124" t="s">
        <v>251</v>
      </c>
      <c r="F1216" s="124" t="s">
        <v>251</v>
      </c>
      <c r="G1216" s="124" t="s">
        <v>251</v>
      </c>
      <c r="H1216" s="124" t="s">
        <v>251</v>
      </c>
      <c r="I1216" s="124" t="s">
        <v>251</v>
      </c>
      <c r="J1216" s="124" t="s">
        <v>251</v>
      </c>
      <c r="K1216" s="124" t="s">
        <v>251</v>
      </c>
      <c r="L1216" s="124" t="s">
        <v>251</v>
      </c>
      <c r="M1216" s="124" t="s">
        <v>251</v>
      </c>
      <c r="N1216" s="124" t="s">
        <v>251</v>
      </c>
      <c r="O1216" s="124" t="s">
        <v>251</v>
      </c>
      <c r="P1216" s="124" t="s">
        <v>251</v>
      </c>
      <c r="Q1216" s="124" t="s">
        <v>251</v>
      </c>
      <c r="R1216" s="124"/>
    </row>
    <row r="1217" spans="1:18" ht="15">
      <c r="A1217" s="105">
        <v>1</v>
      </c>
      <c r="B1217" s="105"/>
      <c r="C1217" s="107" t="s">
        <v>1148</v>
      </c>
      <c r="D1217" s="107" t="s">
        <v>381</v>
      </c>
      <c r="E1217" s="124">
        <v>1</v>
      </c>
      <c r="F1217" s="124" t="s">
        <v>251</v>
      </c>
      <c r="G1217" s="124">
        <v>1</v>
      </c>
      <c r="H1217" s="124" t="s">
        <v>251</v>
      </c>
      <c r="I1217" s="124">
        <v>0</v>
      </c>
      <c r="J1217" s="124">
        <v>0</v>
      </c>
      <c r="K1217" s="124" t="s">
        <v>251</v>
      </c>
      <c r="L1217" s="124" t="s">
        <v>251</v>
      </c>
      <c r="M1217" s="124">
        <v>0</v>
      </c>
      <c r="N1217" s="124" t="s">
        <v>251</v>
      </c>
      <c r="O1217" s="124">
        <v>0</v>
      </c>
      <c r="P1217" s="124">
        <v>0</v>
      </c>
      <c r="Q1217" s="124">
        <v>0</v>
      </c>
      <c r="R1217" s="124"/>
    </row>
    <row r="1218" spans="1:18" ht="15">
      <c r="A1218" s="105">
        <v>2</v>
      </c>
      <c r="B1218" s="105"/>
      <c r="C1218" s="107" t="s">
        <v>1149</v>
      </c>
      <c r="D1218" s="107" t="s">
        <v>383</v>
      </c>
      <c r="E1218" s="124">
        <v>1</v>
      </c>
      <c r="F1218" s="124" t="s">
        <v>251</v>
      </c>
      <c r="G1218" s="124">
        <v>0.99939957498329324</v>
      </c>
      <c r="H1218" s="124" t="s">
        <v>251</v>
      </c>
      <c r="I1218" s="124">
        <v>0</v>
      </c>
      <c r="J1218" s="124">
        <v>6.0042501670671948E-4</v>
      </c>
      <c r="K1218" s="124" t="s">
        <v>251</v>
      </c>
      <c r="L1218" s="124" t="s">
        <v>251</v>
      </c>
      <c r="M1218" s="124">
        <v>0</v>
      </c>
      <c r="N1218" s="124" t="s">
        <v>251</v>
      </c>
      <c r="O1218" s="124">
        <v>6.0042501670671948E-4</v>
      </c>
      <c r="P1218" s="124">
        <v>2.5962404121401567E-4</v>
      </c>
      <c r="Q1218" s="124">
        <v>3.408009754927038E-4</v>
      </c>
      <c r="R1218" s="124"/>
    </row>
    <row r="1219" spans="1:18" ht="15">
      <c r="A1219" s="105">
        <v>3</v>
      </c>
      <c r="B1219" s="105"/>
      <c r="C1219" s="107" t="s">
        <v>1150</v>
      </c>
      <c r="D1219" s="107" t="s">
        <v>385</v>
      </c>
      <c r="E1219" s="124">
        <v>1</v>
      </c>
      <c r="F1219" s="124" t="s">
        <v>251</v>
      </c>
      <c r="G1219" s="124">
        <v>1</v>
      </c>
      <c r="H1219" s="124" t="s">
        <v>251</v>
      </c>
      <c r="I1219" s="124">
        <v>0</v>
      </c>
      <c r="J1219" s="124">
        <v>0</v>
      </c>
      <c r="K1219" s="124" t="s">
        <v>251</v>
      </c>
      <c r="L1219" s="124" t="s">
        <v>251</v>
      </c>
      <c r="M1219" s="124">
        <v>0</v>
      </c>
      <c r="N1219" s="124" t="s">
        <v>251</v>
      </c>
      <c r="O1219" s="124">
        <v>0</v>
      </c>
      <c r="P1219" s="124">
        <v>0</v>
      </c>
      <c r="Q1219" s="124">
        <v>0</v>
      </c>
      <c r="R1219" s="124"/>
    </row>
    <row r="1220" spans="1:18" ht="15">
      <c r="A1220" s="105">
        <v>4</v>
      </c>
      <c r="B1220" s="105"/>
      <c r="C1220" s="107" t="s">
        <v>1151</v>
      </c>
      <c r="D1220" s="107" t="s">
        <v>387</v>
      </c>
      <c r="E1220" s="124">
        <v>1</v>
      </c>
      <c r="F1220" s="124" t="s">
        <v>251</v>
      </c>
      <c r="G1220" s="124">
        <v>1</v>
      </c>
      <c r="H1220" s="124" t="s">
        <v>251</v>
      </c>
      <c r="I1220" s="124">
        <v>0</v>
      </c>
      <c r="J1220" s="124">
        <v>0</v>
      </c>
      <c r="K1220" s="124" t="s">
        <v>251</v>
      </c>
      <c r="L1220" s="124" t="s">
        <v>251</v>
      </c>
      <c r="M1220" s="124">
        <v>0</v>
      </c>
      <c r="N1220" s="124" t="s">
        <v>251</v>
      </c>
      <c r="O1220" s="124">
        <v>0</v>
      </c>
      <c r="P1220" s="124">
        <v>0</v>
      </c>
      <c r="Q1220" s="124">
        <v>0</v>
      </c>
      <c r="R1220" s="124"/>
    </row>
    <row r="1221" spans="1:18" ht="15">
      <c r="A1221" s="105">
        <v>5</v>
      </c>
      <c r="B1221" s="105"/>
      <c r="C1221" s="107" t="s">
        <v>536</v>
      </c>
      <c r="D1221" s="107" t="s">
        <v>537</v>
      </c>
      <c r="E1221" s="124">
        <v>1</v>
      </c>
      <c r="F1221" s="124" t="s">
        <v>251</v>
      </c>
      <c r="G1221" s="124">
        <v>0.97009645926567778</v>
      </c>
      <c r="H1221" s="124" t="s">
        <v>251</v>
      </c>
      <c r="I1221" s="124">
        <v>2.9903540734322245E-2</v>
      </c>
      <c r="J1221" s="124">
        <v>0</v>
      </c>
      <c r="K1221" s="124" t="s">
        <v>251</v>
      </c>
      <c r="L1221" s="124" t="s">
        <v>251</v>
      </c>
      <c r="M1221" s="124">
        <v>0</v>
      </c>
      <c r="N1221" s="124" t="s">
        <v>251</v>
      </c>
      <c r="O1221" s="124">
        <v>0</v>
      </c>
      <c r="P1221" s="124">
        <v>0</v>
      </c>
      <c r="Q1221" s="124">
        <v>0</v>
      </c>
      <c r="R1221" s="124"/>
    </row>
    <row r="1222" spans="1:18" ht="15">
      <c r="A1222" s="105">
        <v>6</v>
      </c>
      <c r="B1222" s="105"/>
      <c r="C1222" s="107" t="s">
        <v>981</v>
      </c>
      <c r="D1222" s="107" t="s">
        <v>539</v>
      </c>
      <c r="E1222" s="124">
        <v>0.99999999999999989</v>
      </c>
      <c r="F1222" s="124" t="s">
        <v>251</v>
      </c>
      <c r="G1222" s="124">
        <v>0.94463976065702659</v>
      </c>
      <c r="H1222" s="124" t="s">
        <v>251</v>
      </c>
      <c r="I1222" s="124">
        <v>5.5360239016010532E-2</v>
      </c>
      <c r="J1222" s="124">
        <v>3.2696284196157162E-10</v>
      </c>
      <c r="K1222" s="124" t="s">
        <v>251</v>
      </c>
      <c r="L1222" s="124" t="s">
        <v>251</v>
      </c>
      <c r="M1222" s="124">
        <v>0</v>
      </c>
      <c r="N1222" s="124" t="s">
        <v>251</v>
      </c>
      <c r="O1222" s="124">
        <v>3.2696284196157162E-10</v>
      </c>
      <c r="P1222" s="124">
        <v>3.2696284196157162E-10</v>
      </c>
      <c r="Q1222" s="124">
        <v>0</v>
      </c>
      <c r="R1222" s="124"/>
    </row>
    <row r="1223" spans="1:18" ht="15">
      <c r="A1223" s="105">
        <v>7</v>
      </c>
      <c r="B1223" s="105"/>
      <c r="C1223" s="107" t="s">
        <v>982</v>
      </c>
      <c r="D1223" s="107" t="s">
        <v>687</v>
      </c>
      <c r="E1223" s="124">
        <v>1</v>
      </c>
      <c r="F1223" s="124" t="s">
        <v>251</v>
      </c>
      <c r="G1223" s="124">
        <v>0.95003195393362805</v>
      </c>
      <c r="H1223" s="124" t="s">
        <v>251</v>
      </c>
      <c r="I1223" s="124">
        <v>4.9682107773700267E-2</v>
      </c>
      <c r="J1223" s="124">
        <v>2.8593829267167825E-4</v>
      </c>
      <c r="K1223" s="124" t="s">
        <v>251</v>
      </c>
      <c r="L1223" s="124" t="s">
        <v>251</v>
      </c>
      <c r="M1223" s="124">
        <v>6.5884399233105591E-6</v>
      </c>
      <c r="N1223" s="124" t="s">
        <v>251</v>
      </c>
      <c r="O1223" s="124">
        <v>2.7934985274836771E-4</v>
      </c>
      <c r="P1223" s="124">
        <v>1.1200347869627951E-4</v>
      </c>
      <c r="Q1223" s="124">
        <v>1.6734637405208821E-4</v>
      </c>
      <c r="R1223" s="124"/>
    </row>
    <row r="1224" spans="1:18" ht="15">
      <c r="A1224" s="105">
        <v>8</v>
      </c>
      <c r="B1224" s="105"/>
      <c r="C1224" s="107" t="s">
        <v>983</v>
      </c>
      <c r="D1224" s="107" t="s">
        <v>689</v>
      </c>
      <c r="E1224" s="124">
        <v>1</v>
      </c>
      <c r="F1224" s="124" t="s">
        <v>251</v>
      </c>
      <c r="G1224" s="124">
        <v>0.95003195393362805</v>
      </c>
      <c r="H1224" s="124" t="s">
        <v>251</v>
      </c>
      <c r="I1224" s="124">
        <v>4.9682107773700267E-2</v>
      </c>
      <c r="J1224" s="124">
        <v>2.8593829267167825E-4</v>
      </c>
      <c r="K1224" s="124" t="s">
        <v>251</v>
      </c>
      <c r="L1224" s="124" t="s">
        <v>251</v>
      </c>
      <c r="M1224" s="124">
        <v>6.5884399233105591E-6</v>
      </c>
      <c r="N1224" s="124" t="s">
        <v>251</v>
      </c>
      <c r="O1224" s="124">
        <v>2.7934985274836771E-4</v>
      </c>
      <c r="P1224" s="124">
        <v>1.1200347869627951E-4</v>
      </c>
      <c r="Q1224" s="124">
        <v>1.6734637405208821E-4</v>
      </c>
      <c r="R1224" s="124"/>
    </row>
    <row r="1225" spans="1:18" ht="15">
      <c r="A1225" s="105">
        <v>9</v>
      </c>
      <c r="B1225" s="105"/>
      <c r="C1225" s="107" t="s">
        <v>984</v>
      </c>
      <c r="D1225" s="107" t="s">
        <v>691</v>
      </c>
      <c r="E1225" s="124">
        <v>1</v>
      </c>
      <c r="F1225" s="124" t="s">
        <v>251</v>
      </c>
      <c r="G1225" s="124">
        <v>0.95003195393362805</v>
      </c>
      <c r="H1225" s="124" t="s">
        <v>251</v>
      </c>
      <c r="I1225" s="124">
        <v>4.9682107773700267E-2</v>
      </c>
      <c r="J1225" s="124">
        <v>2.8593829267167825E-4</v>
      </c>
      <c r="K1225" s="124" t="s">
        <v>251</v>
      </c>
      <c r="L1225" s="124" t="s">
        <v>251</v>
      </c>
      <c r="M1225" s="124">
        <v>6.5884399233105591E-6</v>
      </c>
      <c r="N1225" s="124" t="s">
        <v>251</v>
      </c>
      <c r="O1225" s="124">
        <v>2.7934985274836771E-4</v>
      </c>
      <c r="P1225" s="124">
        <v>1.1200347869627951E-4</v>
      </c>
      <c r="Q1225" s="124">
        <v>1.6734637405208821E-4</v>
      </c>
      <c r="R1225" s="124"/>
    </row>
    <row r="1226" spans="1:18" ht="15">
      <c r="A1226" s="105">
        <v>10</v>
      </c>
      <c r="B1226" s="105"/>
      <c r="C1226" s="107" t="s">
        <v>985</v>
      </c>
      <c r="D1226" s="107" t="s">
        <v>400</v>
      </c>
      <c r="E1226" s="124">
        <v>1</v>
      </c>
      <c r="F1226" s="124" t="s">
        <v>251</v>
      </c>
      <c r="G1226" s="124">
        <v>0</v>
      </c>
      <c r="H1226" s="124" t="s">
        <v>251</v>
      </c>
      <c r="I1226" s="124">
        <v>1</v>
      </c>
      <c r="J1226" s="124">
        <v>0</v>
      </c>
      <c r="K1226" s="124" t="s">
        <v>251</v>
      </c>
      <c r="L1226" s="124" t="s">
        <v>251</v>
      </c>
      <c r="M1226" s="124">
        <v>0</v>
      </c>
      <c r="N1226" s="124" t="s">
        <v>251</v>
      </c>
      <c r="O1226" s="124">
        <v>0</v>
      </c>
      <c r="P1226" s="124">
        <v>0</v>
      </c>
      <c r="Q1226" s="124">
        <v>0</v>
      </c>
      <c r="R1226" s="124"/>
    </row>
    <row r="1227" spans="1:18" ht="15">
      <c r="A1227" s="105">
        <v>11</v>
      </c>
      <c r="B1227" s="105"/>
      <c r="C1227" s="107" t="s">
        <v>986</v>
      </c>
      <c r="D1227" s="107" t="s">
        <v>401</v>
      </c>
      <c r="E1227" s="124">
        <v>1</v>
      </c>
      <c r="F1227" s="124" t="s">
        <v>251</v>
      </c>
      <c r="G1227" s="124">
        <v>0</v>
      </c>
      <c r="H1227" s="124" t="s">
        <v>251</v>
      </c>
      <c r="I1227" s="124">
        <v>1</v>
      </c>
      <c r="J1227" s="124">
        <v>0</v>
      </c>
      <c r="K1227" s="124" t="s">
        <v>251</v>
      </c>
      <c r="L1227" s="124" t="s">
        <v>251</v>
      </c>
      <c r="M1227" s="124">
        <v>0</v>
      </c>
      <c r="N1227" s="124" t="s">
        <v>251</v>
      </c>
      <c r="O1227" s="124">
        <v>0</v>
      </c>
      <c r="P1227" s="124">
        <v>0</v>
      </c>
      <c r="Q1227" s="124">
        <v>0</v>
      </c>
      <c r="R1227" s="124"/>
    </row>
    <row r="1228" spans="1:18" ht="15">
      <c r="A1228" s="105">
        <v>12</v>
      </c>
      <c r="B1228" s="105"/>
      <c r="C1228" s="107" t="s">
        <v>1152</v>
      </c>
      <c r="D1228" s="107" t="s">
        <v>402</v>
      </c>
      <c r="E1228" s="124">
        <v>0</v>
      </c>
      <c r="F1228" s="124" t="s">
        <v>251</v>
      </c>
      <c r="G1228" s="124">
        <v>0</v>
      </c>
      <c r="H1228" s="124" t="s">
        <v>251</v>
      </c>
      <c r="I1228" s="124">
        <v>0</v>
      </c>
      <c r="J1228" s="124">
        <v>0</v>
      </c>
      <c r="K1228" s="124" t="s">
        <v>251</v>
      </c>
      <c r="L1228" s="124" t="s">
        <v>251</v>
      </c>
      <c r="M1228" s="124">
        <v>0</v>
      </c>
      <c r="N1228" s="124" t="s">
        <v>251</v>
      </c>
      <c r="O1228" s="124">
        <v>0</v>
      </c>
      <c r="P1228" s="124">
        <v>0</v>
      </c>
      <c r="Q1228" s="124">
        <v>0</v>
      </c>
      <c r="R1228" s="124"/>
    </row>
    <row r="1229" spans="1:18" ht="15">
      <c r="A1229" s="105">
        <v>13</v>
      </c>
      <c r="B1229" s="105"/>
      <c r="C1229" s="107" t="s">
        <v>988</v>
      </c>
      <c r="D1229" s="107" t="s">
        <v>403</v>
      </c>
      <c r="E1229" s="124">
        <v>1</v>
      </c>
      <c r="F1229" s="124" t="s">
        <v>251</v>
      </c>
      <c r="G1229" s="124">
        <v>0</v>
      </c>
      <c r="H1229" s="124" t="s">
        <v>251</v>
      </c>
      <c r="I1229" s="124">
        <v>1</v>
      </c>
      <c r="J1229" s="124">
        <v>0</v>
      </c>
      <c r="K1229" s="124" t="s">
        <v>251</v>
      </c>
      <c r="L1229" s="124" t="s">
        <v>251</v>
      </c>
      <c r="M1229" s="124">
        <v>0</v>
      </c>
      <c r="N1229" s="124" t="s">
        <v>251</v>
      </c>
      <c r="O1229" s="124">
        <v>0</v>
      </c>
      <c r="P1229" s="124">
        <v>0</v>
      </c>
      <c r="Q1229" s="124">
        <v>0</v>
      </c>
      <c r="R1229" s="124"/>
    </row>
    <row r="1230" spans="1:18" ht="15">
      <c r="A1230" s="105">
        <v>14</v>
      </c>
      <c r="B1230" s="105"/>
      <c r="C1230" s="107" t="s">
        <v>989</v>
      </c>
      <c r="D1230" s="107" t="s">
        <v>699</v>
      </c>
      <c r="E1230" s="124">
        <v>1</v>
      </c>
      <c r="F1230" s="124" t="s">
        <v>251</v>
      </c>
      <c r="G1230" s="124">
        <v>1</v>
      </c>
      <c r="H1230" s="124" t="s">
        <v>251</v>
      </c>
      <c r="I1230" s="124">
        <v>0</v>
      </c>
      <c r="J1230" s="124">
        <v>0</v>
      </c>
      <c r="K1230" s="124" t="s">
        <v>251</v>
      </c>
      <c r="L1230" s="124" t="s">
        <v>251</v>
      </c>
      <c r="M1230" s="124">
        <v>0</v>
      </c>
      <c r="N1230" s="124" t="s">
        <v>251</v>
      </c>
      <c r="O1230" s="124">
        <v>0</v>
      </c>
      <c r="P1230" s="124">
        <v>0</v>
      </c>
      <c r="Q1230" s="124">
        <v>0</v>
      </c>
      <c r="R1230" s="124"/>
    </row>
    <row r="1231" spans="1:18" ht="15">
      <c r="A1231" s="105">
        <v>15</v>
      </c>
      <c r="B1231" s="105"/>
      <c r="C1231" s="107" t="s">
        <v>990</v>
      </c>
      <c r="D1231" s="107" t="s">
        <v>701</v>
      </c>
      <c r="E1231" s="124">
        <v>1</v>
      </c>
      <c r="F1231" s="124" t="s">
        <v>251</v>
      </c>
      <c r="G1231" s="124">
        <v>0.94892097697757327</v>
      </c>
      <c r="H1231" s="124" t="s">
        <v>251</v>
      </c>
      <c r="I1231" s="124">
        <v>5.1073574787019398E-2</v>
      </c>
      <c r="J1231" s="124">
        <v>5.4482354073554811E-6</v>
      </c>
      <c r="K1231" s="124" t="s">
        <v>251</v>
      </c>
      <c r="L1231" s="124" t="s">
        <v>251</v>
      </c>
      <c r="M1231" s="124">
        <v>5.4482354073554811E-6</v>
      </c>
      <c r="N1231" s="124" t="s">
        <v>251</v>
      </c>
      <c r="O1231" s="124">
        <v>0</v>
      </c>
      <c r="P1231" s="124">
        <v>0</v>
      </c>
      <c r="Q1231" s="124">
        <v>0</v>
      </c>
      <c r="R1231" s="124"/>
    </row>
    <row r="1232" spans="1:18" ht="15">
      <c r="A1232" s="105">
        <v>16</v>
      </c>
      <c r="B1232" s="105"/>
      <c r="C1232" s="107" t="s">
        <v>991</v>
      </c>
      <c r="D1232" s="107" t="s">
        <v>708</v>
      </c>
      <c r="E1232" s="124">
        <v>1</v>
      </c>
      <c r="F1232" s="124" t="s">
        <v>251</v>
      </c>
      <c r="G1232" s="124">
        <v>0.94892097697757327</v>
      </c>
      <c r="H1232" s="124" t="s">
        <v>251</v>
      </c>
      <c r="I1232" s="124">
        <v>5.1073574787019398E-2</v>
      </c>
      <c r="J1232" s="124">
        <v>5.4482354073554811E-6</v>
      </c>
      <c r="K1232" s="124" t="s">
        <v>251</v>
      </c>
      <c r="L1232" s="124" t="s">
        <v>251</v>
      </c>
      <c r="M1232" s="124">
        <v>5.4482354073554811E-6</v>
      </c>
      <c r="N1232" s="124" t="s">
        <v>251</v>
      </c>
      <c r="O1232" s="124">
        <v>0</v>
      </c>
      <c r="P1232" s="124">
        <v>0</v>
      </c>
      <c r="Q1232" s="124">
        <v>0</v>
      </c>
      <c r="R1232" s="124"/>
    </row>
    <row r="1233" spans="1:18" ht="15">
      <c r="A1233" s="105">
        <v>17</v>
      </c>
      <c r="B1233" s="105"/>
      <c r="C1233" s="107" t="s">
        <v>992</v>
      </c>
      <c r="D1233" s="107" t="s">
        <v>710</v>
      </c>
      <c r="E1233" s="124">
        <v>1</v>
      </c>
      <c r="F1233" s="124" t="s">
        <v>251</v>
      </c>
      <c r="G1233" s="124">
        <v>0.94892097697757327</v>
      </c>
      <c r="H1233" s="124" t="s">
        <v>251</v>
      </c>
      <c r="I1233" s="124">
        <v>5.1073574787019398E-2</v>
      </c>
      <c r="J1233" s="124">
        <v>5.4482354073554811E-6</v>
      </c>
      <c r="K1233" s="124" t="s">
        <v>251</v>
      </c>
      <c r="L1233" s="124" t="s">
        <v>251</v>
      </c>
      <c r="M1233" s="124">
        <v>5.4482354073554811E-6</v>
      </c>
      <c r="N1233" s="124" t="s">
        <v>251</v>
      </c>
      <c r="O1233" s="124">
        <v>0</v>
      </c>
      <c r="P1233" s="124">
        <v>0</v>
      </c>
      <c r="Q1233" s="124">
        <v>0</v>
      </c>
      <c r="R1233" s="124"/>
    </row>
    <row r="1234" spans="1:18" ht="15">
      <c r="A1234" s="105">
        <v>18</v>
      </c>
      <c r="B1234" s="105"/>
      <c r="C1234" s="107" t="s">
        <v>993</v>
      </c>
      <c r="D1234" s="107" t="s">
        <v>994</v>
      </c>
      <c r="E1234" s="124">
        <v>0</v>
      </c>
      <c r="F1234" s="124" t="s">
        <v>251</v>
      </c>
      <c r="G1234" s="124">
        <v>0</v>
      </c>
      <c r="H1234" s="124" t="s">
        <v>251</v>
      </c>
      <c r="I1234" s="124">
        <v>0</v>
      </c>
      <c r="J1234" s="124">
        <v>0</v>
      </c>
      <c r="K1234" s="124" t="s">
        <v>251</v>
      </c>
      <c r="L1234" s="124" t="s">
        <v>251</v>
      </c>
      <c r="M1234" s="124">
        <v>0</v>
      </c>
      <c r="N1234" s="124" t="s">
        <v>251</v>
      </c>
      <c r="O1234" s="124">
        <v>0</v>
      </c>
      <c r="P1234" s="124">
        <v>0</v>
      </c>
      <c r="Q1234" s="124">
        <v>0</v>
      </c>
      <c r="R1234" s="124"/>
    </row>
    <row r="1235" spans="1:18" ht="15">
      <c r="A1235" s="105">
        <v>19</v>
      </c>
      <c r="B1235" s="105"/>
      <c r="C1235" s="107" t="s">
        <v>995</v>
      </c>
      <c r="D1235" s="107" t="s">
        <v>784</v>
      </c>
      <c r="E1235" s="124">
        <v>0.99999999999999989</v>
      </c>
      <c r="F1235" s="124" t="s">
        <v>251</v>
      </c>
      <c r="G1235" s="124">
        <v>0.94970899810523679</v>
      </c>
      <c r="H1235" s="124" t="s">
        <v>251</v>
      </c>
      <c r="I1235" s="124">
        <v>5.0291001894763092E-2</v>
      </c>
      <c r="J1235" s="124">
        <v>0</v>
      </c>
      <c r="K1235" s="124" t="s">
        <v>251</v>
      </c>
      <c r="L1235" s="124" t="s">
        <v>251</v>
      </c>
      <c r="M1235" s="124">
        <v>0</v>
      </c>
      <c r="N1235" s="124" t="s">
        <v>251</v>
      </c>
      <c r="O1235" s="124">
        <v>0</v>
      </c>
      <c r="P1235" s="124">
        <v>0</v>
      </c>
      <c r="Q1235" s="124">
        <v>0</v>
      </c>
      <c r="R1235" s="124"/>
    </row>
    <row r="1236" spans="1:18" ht="15">
      <c r="A1236" s="105">
        <v>20</v>
      </c>
      <c r="B1236" s="105"/>
      <c r="C1236" s="107" t="s">
        <v>1153</v>
      </c>
      <c r="D1236" s="107" t="s">
        <v>563</v>
      </c>
      <c r="E1236" s="124">
        <v>0.99999999999999978</v>
      </c>
      <c r="F1236" s="124" t="s">
        <v>251</v>
      </c>
      <c r="G1236" s="124">
        <v>0.95987638026960376</v>
      </c>
      <c r="H1236" s="124" t="s">
        <v>251</v>
      </c>
      <c r="I1236" s="124">
        <v>4.0100296926837746E-2</v>
      </c>
      <c r="J1236" s="124">
        <v>2.3322803558340756E-5</v>
      </c>
      <c r="K1236" s="124" t="s">
        <v>251</v>
      </c>
      <c r="L1236" s="124" t="s">
        <v>251</v>
      </c>
      <c r="M1236" s="124">
        <v>0</v>
      </c>
      <c r="N1236" s="124" t="s">
        <v>251</v>
      </c>
      <c r="O1236" s="124">
        <v>2.3322803558340756E-5</v>
      </c>
      <c r="P1236" s="124">
        <v>1.4544651268114408E-6</v>
      </c>
      <c r="Q1236" s="124">
        <v>2.1868338431529316E-5</v>
      </c>
      <c r="R1236" s="124"/>
    </row>
    <row r="1237" spans="1:18" ht="15">
      <c r="A1237" s="105">
        <v>21</v>
      </c>
      <c r="B1237" s="105"/>
      <c r="C1237" s="107" t="s">
        <v>251</v>
      </c>
      <c r="D1237" s="107" t="s">
        <v>251</v>
      </c>
      <c r="E1237" s="124" t="s">
        <v>251</v>
      </c>
      <c r="F1237" s="124" t="s">
        <v>251</v>
      </c>
      <c r="G1237" s="124" t="s">
        <v>251</v>
      </c>
      <c r="H1237" s="124" t="s">
        <v>251</v>
      </c>
      <c r="I1237" s="124" t="s">
        <v>251</v>
      </c>
      <c r="J1237" s="124" t="s">
        <v>251</v>
      </c>
      <c r="K1237" s="124" t="s">
        <v>251</v>
      </c>
      <c r="L1237" s="124" t="s">
        <v>251</v>
      </c>
      <c r="M1237" s="124" t="s">
        <v>251</v>
      </c>
      <c r="N1237" s="124" t="s">
        <v>251</v>
      </c>
      <c r="O1237" s="124" t="s">
        <v>251</v>
      </c>
      <c r="P1237" s="124" t="s">
        <v>251</v>
      </c>
      <c r="Q1237" s="124" t="s">
        <v>251</v>
      </c>
      <c r="R1237" s="124"/>
    </row>
    <row r="1238" spans="1:18" ht="15">
      <c r="A1238" s="105">
        <v>22</v>
      </c>
      <c r="B1238" s="105"/>
      <c r="C1238" s="107" t="s">
        <v>251</v>
      </c>
      <c r="D1238" s="107" t="s">
        <v>251</v>
      </c>
      <c r="E1238" s="124" t="s">
        <v>251</v>
      </c>
      <c r="F1238" s="124" t="s">
        <v>251</v>
      </c>
      <c r="G1238" s="124" t="s">
        <v>251</v>
      </c>
      <c r="H1238" s="124" t="s">
        <v>251</v>
      </c>
      <c r="I1238" s="124" t="s">
        <v>251</v>
      </c>
      <c r="J1238" s="124" t="s">
        <v>251</v>
      </c>
      <c r="K1238" s="124" t="s">
        <v>251</v>
      </c>
      <c r="L1238" s="124" t="s">
        <v>251</v>
      </c>
      <c r="M1238" s="124" t="s">
        <v>251</v>
      </c>
      <c r="N1238" s="124" t="s">
        <v>251</v>
      </c>
      <c r="O1238" s="124" t="s">
        <v>251</v>
      </c>
      <c r="P1238" s="124" t="s">
        <v>251</v>
      </c>
      <c r="Q1238" s="124" t="s">
        <v>251</v>
      </c>
      <c r="R1238" s="124"/>
    </row>
    <row r="1239" spans="1:18" ht="15">
      <c r="A1239" s="105">
        <v>23</v>
      </c>
      <c r="B1239" s="105"/>
      <c r="C1239" s="107" t="s">
        <v>251</v>
      </c>
      <c r="D1239" s="107" t="s">
        <v>251</v>
      </c>
      <c r="E1239" s="124" t="s">
        <v>251</v>
      </c>
      <c r="F1239" s="124" t="s">
        <v>251</v>
      </c>
      <c r="G1239" s="124" t="s">
        <v>251</v>
      </c>
      <c r="H1239" s="124" t="s">
        <v>251</v>
      </c>
      <c r="I1239" s="124" t="s">
        <v>251</v>
      </c>
      <c r="J1239" s="124" t="s">
        <v>251</v>
      </c>
      <c r="K1239" s="124" t="s">
        <v>251</v>
      </c>
      <c r="L1239" s="124" t="s">
        <v>251</v>
      </c>
      <c r="M1239" s="124" t="s">
        <v>251</v>
      </c>
      <c r="N1239" s="124" t="s">
        <v>251</v>
      </c>
      <c r="O1239" s="124" t="s">
        <v>251</v>
      </c>
      <c r="P1239" s="124" t="s">
        <v>251</v>
      </c>
      <c r="Q1239" s="124" t="s">
        <v>251</v>
      </c>
      <c r="R1239" s="124"/>
    </row>
    <row r="1240" spans="1:18" ht="15">
      <c r="A1240" s="105">
        <v>24</v>
      </c>
      <c r="B1240" s="105"/>
      <c r="C1240" s="107" t="s">
        <v>251</v>
      </c>
      <c r="D1240" s="107" t="s">
        <v>251</v>
      </c>
      <c r="E1240" s="124" t="s">
        <v>251</v>
      </c>
      <c r="F1240" s="124" t="s">
        <v>251</v>
      </c>
      <c r="G1240" s="124" t="s">
        <v>251</v>
      </c>
      <c r="H1240" s="124" t="s">
        <v>251</v>
      </c>
      <c r="I1240" s="124" t="s">
        <v>251</v>
      </c>
      <c r="J1240" s="124" t="s">
        <v>251</v>
      </c>
      <c r="K1240" s="124" t="s">
        <v>251</v>
      </c>
      <c r="L1240" s="124" t="s">
        <v>251</v>
      </c>
      <c r="M1240" s="124" t="s">
        <v>251</v>
      </c>
      <c r="N1240" s="124" t="s">
        <v>251</v>
      </c>
      <c r="O1240" s="124" t="s">
        <v>251</v>
      </c>
      <c r="P1240" s="124" t="s">
        <v>251</v>
      </c>
      <c r="Q1240" s="124" t="s">
        <v>251</v>
      </c>
      <c r="R1240" s="124"/>
    </row>
    <row r="1241" spans="1:18" ht="15">
      <c r="A1241" s="105">
        <v>25</v>
      </c>
      <c r="B1241" s="105"/>
      <c r="C1241" s="107" t="s">
        <v>251</v>
      </c>
      <c r="D1241" s="107" t="s">
        <v>251</v>
      </c>
      <c r="E1241" s="124" t="s">
        <v>251</v>
      </c>
      <c r="F1241" s="124" t="s">
        <v>251</v>
      </c>
      <c r="G1241" s="124" t="s">
        <v>251</v>
      </c>
      <c r="H1241" s="124" t="s">
        <v>251</v>
      </c>
      <c r="I1241" s="124" t="s">
        <v>251</v>
      </c>
      <c r="J1241" s="124" t="s">
        <v>251</v>
      </c>
      <c r="K1241" s="124" t="s">
        <v>251</v>
      </c>
      <c r="L1241" s="124" t="s">
        <v>251</v>
      </c>
      <c r="M1241" s="124" t="s">
        <v>251</v>
      </c>
      <c r="N1241" s="124" t="s">
        <v>251</v>
      </c>
      <c r="O1241" s="124" t="s">
        <v>251</v>
      </c>
      <c r="P1241" s="124" t="s">
        <v>251</v>
      </c>
      <c r="Q1241" s="124" t="s">
        <v>251</v>
      </c>
      <c r="R1241" s="124"/>
    </row>
    <row r="1242" spans="1:18" ht="15">
      <c r="A1242" s="105" t="s">
        <v>251</v>
      </c>
      <c r="B1242" s="105"/>
      <c r="C1242" s="107" t="s">
        <v>251</v>
      </c>
      <c r="D1242" s="107" t="s">
        <v>251</v>
      </c>
      <c r="E1242" s="124" t="s">
        <v>251</v>
      </c>
      <c r="F1242" s="124" t="s">
        <v>251</v>
      </c>
      <c r="G1242" s="124" t="s">
        <v>251</v>
      </c>
      <c r="H1242" s="124" t="s">
        <v>251</v>
      </c>
      <c r="I1242" s="124" t="s">
        <v>251</v>
      </c>
      <c r="J1242" s="124" t="s">
        <v>251</v>
      </c>
      <c r="K1242" s="124" t="s">
        <v>251</v>
      </c>
      <c r="L1242" s="124" t="s">
        <v>251</v>
      </c>
      <c r="M1242" s="124" t="s">
        <v>251</v>
      </c>
      <c r="N1242" s="124" t="s">
        <v>251</v>
      </c>
      <c r="O1242" s="124" t="s">
        <v>251</v>
      </c>
      <c r="P1242" s="124" t="s">
        <v>251</v>
      </c>
      <c r="Q1242" s="124" t="s">
        <v>251</v>
      </c>
      <c r="R1242" s="124"/>
    </row>
    <row r="1243" spans="1:18" ht="15">
      <c r="A1243" s="105" t="s">
        <v>251</v>
      </c>
      <c r="B1243" s="105"/>
      <c r="C1243" s="107" t="s">
        <v>997</v>
      </c>
      <c r="D1243" s="107" t="s">
        <v>251</v>
      </c>
      <c r="E1243" s="124" t="s">
        <v>251</v>
      </c>
      <c r="F1243" s="124" t="s">
        <v>251</v>
      </c>
      <c r="G1243" s="124" t="s">
        <v>251</v>
      </c>
      <c r="H1243" s="124" t="s">
        <v>251</v>
      </c>
      <c r="I1243" s="124" t="s">
        <v>251</v>
      </c>
      <c r="J1243" s="124" t="s">
        <v>251</v>
      </c>
      <c r="K1243" s="124" t="s">
        <v>251</v>
      </c>
      <c r="L1243" s="124" t="s">
        <v>251</v>
      </c>
      <c r="M1243" s="124" t="s">
        <v>251</v>
      </c>
      <c r="N1243" s="124" t="s">
        <v>251</v>
      </c>
      <c r="O1243" s="124" t="s">
        <v>251</v>
      </c>
      <c r="P1243" s="124" t="s">
        <v>251</v>
      </c>
      <c r="Q1243" s="124" t="s">
        <v>251</v>
      </c>
      <c r="R1243" s="124"/>
    </row>
    <row r="1244" spans="1:18" ht="15">
      <c r="A1244" s="105" t="s">
        <v>251</v>
      </c>
      <c r="B1244" s="105"/>
      <c r="C1244" s="107" t="s">
        <v>920</v>
      </c>
      <c r="D1244" s="107" t="s">
        <v>251</v>
      </c>
      <c r="E1244" s="124" t="s">
        <v>251</v>
      </c>
      <c r="F1244" s="124" t="s">
        <v>251</v>
      </c>
      <c r="G1244" s="124" t="s">
        <v>251</v>
      </c>
      <c r="H1244" s="124" t="s">
        <v>251</v>
      </c>
      <c r="I1244" s="124" t="s">
        <v>251</v>
      </c>
      <c r="J1244" s="124" t="s">
        <v>251</v>
      </c>
      <c r="K1244" s="124" t="s">
        <v>251</v>
      </c>
      <c r="L1244" s="124" t="s">
        <v>251</v>
      </c>
      <c r="M1244" s="124" t="s">
        <v>251</v>
      </c>
      <c r="N1244" s="124" t="s">
        <v>251</v>
      </c>
      <c r="O1244" s="124" t="s">
        <v>251</v>
      </c>
      <c r="P1244" s="124" t="s">
        <v>251</v>
      </c>
      <c r="Q1244" s="124" t="s">
        <v>251</v>
      </c>
      <c r="R1244" s="124"/>
    </row>
    <row r="1245" spans="1:18" ht="15">
      <c r="A1245" s="105">
        <v>1</v>
      </c>
      <c r="B1245" s="105"/>
      <c r="C1245" s="107" t="s">
        <v>998</v>
      </c>
      <c r="D1245" s="107" t="s">
        <v>296</v>
      </c>
      <c r="E1245" s="124">
        <v>1.0000000000000002</v>
      </c>
      <c r="F1245" s="124" t="s">
        <v>251</v>
      </c>
      <c r="G1245" s="124">
        <v>0.93497392644131894</v>
      </c>
      <c r="H1245" s="124" t="s">
        <v>251</v>
      </c>
      <c r="I1245" s="124">
        <v>5.0476160761945957E-2</v>
      </c>
      <c r="J1245" s="124">
        <v>1.4549912796735299E-2</v>
      </c>
      <c r="K1245" s="124" t="s">
        <v>251</v>
      </c>
      <c r="L1245" s="124" t="s">
        <v>251</v>
      </c>
      <c r="M1245" s="124">
        <v>6.8723384599561941E-5</v>
      </c>
      <c r="N1245" s="124" t="s">
        <v>251</v>
      </c>
      <c r="O1245" s="124">
        <v>1.4481189412135737E-2</v>
      </c>
      <c r="P1245" s="124">
        <v>7.5267125296509156E-3</v>
      </c>
      <c r="Q1245" s="124">
        <v>6.9544768824848216E-3</v>
      </c>
      <c r="R1245" s="124"/>
    </row>
    <row r="1246" spans="1:18" ht="15">
      <c r="A1246" s="105">
        <v>2</v>
      </c>
      <c r="B1246" s="105"/>
      <c r="C1246" s="107" t="s">
        <v>999</v>
      </c>
      <c r="D1246" s="107" t="s">
        <v>298</v>
      </c>
      <c r="E1246" s="124">
        <v>1</v>
      </c>
      <c r="F1246" s="124" t="s">
        <v>251</v>
      </c>
      <c r="G1246" s="124">
        <v>1</v>
      </c>
      <c r="H1246" s="124" t="s">
        <v>251</v>
      </c>
      <c r="I1246" s="124">
        <v>0</v>
      </c>
      <c r="J1246" s="124">
        <v>0</v>
      </c>
      <c r="K1246" s="124" t="s">
        <v>251</v>
      </c>
      <c r="L1246" s="124" t="s">
        <v>251</v>
      </c>
      <c r="M1246" s="124">
        <v>0</v>
      </c>
      <c r="N1246" s="124" t="s">
        <v>251</v>
      </c>
      <c r="O1246" s="124">
        <v>0</v>
      </c>
      <c r="P1246" s="124">
        <v>0</v>
      </c>
      <c r="Q1246" s="124">
        <v>0</v>
      </c>
      <c r="R1246" s="124"/>
    </row>
    <row r="1247" spans="1:18" ht="15">
      <c r="A1247" s="105">
        <v>3</v>
      </c>
      <c r="B1247" s="105"/>
      <c r="C1247" s="107" t="s">
        <v>1000</v>
      </c>
      <c r="D1247" s="107" t="s">
        <v>419</v>
      </c>
      <c r="E1247" s="124">
        <v>0.99999999999999989</v>
      </c>
      <c r="F1247" s="124" t="s">
        <v>251</v>
      </c>
      <c r="G1247" s="124">
        <v>0.94067565256622832</v>
      </c>
      <c r="H1247" s="124" t="s">
        <v>251</v>
      </c>
      <c r="I1247" s="124">
        <v>4.7347795479882153E-2</v>
      </c>
      <c r="J1247" s="124">
        <v>1.1976551953889523E-2</v>
      </c>
      <c r="K1247" s="124" t="s">
        <v>251</v>
      </c>
      <c r="L1247" s="124" t="s">
        <v>251</v>
      </c>
      <c r="M1247" s="124">
        <v>6.7381851878698155E-5</v>
      </c>
      <c r="N1247" s="124" t="s">
        <v>251</v>
      </c>
      <c r="O1247" s="124">
        <v>1.1909170102010825E-2</v>
      </c>
      <c r="P1247" s="124">
        <v>6.2080087590233599E-3</v>
      </c>
      <c r="Q1247" s="124">
        <v>5.7011613429874654E-3</v>
      </c>
      <c r="R1247" s="124"/>
    </row>
    <row r="1248" spans="1:18" ht="15">
      <c r="A1248" s="105">
        <v>4</v>
      </c>
      <c r="B1248" s="105"/>
      <c r="C1248" s="107" t="s">
        <v>1000</v>
      </c>
      <c r="D1248" s="107" t="s">
        <v>904</v>
      </c>
      <c r="E1248" s="124">
        <v>1</v>
      </c>
      <c r="F1248" s="124" t="s">
        <v>251</v>
      </c>
      <c r="G1248" s="124">
        <v>0.94067565256622832</v>
      </c>
      <c r="H1248" s="124" t="s">
        <v>251</v>
      </c>
      <c r="I1248" s="124">
        <v>4.7347795479882153E-2</v>
      </c>
      <c r="J1248" s="124">
        <v>1.1976551953889525E-2</v>
      </c>
      <c r="K1248" s="124" t="s">
        <v>251</v>
      </c>
      <c r="L1248" s="124" t="s">
        <v>251</v>
      </c>
      <c r="M1248" s="124">
        <v>6.7381851878698155E-5</v>
      </c>
      <c r="N1248" s="124" t="s">
        <v>251</v>
      </c>
      <c r="O1248" s="124">
        <v>1.1909170102010827E-2</v>
      </c>
      <c r="P1248" s="124">
        <v>6.2080087590233608E-3</v>
      </c>
      <c r="Q1248" s="124">
        <v>5.7011613429874654E-3</v>
      </c>
      <c r="R1248" s="124"/>
    </row>
    <row r="1249" spans="1:18" ht="15">
      <c r="A1249" s="105">
        <v>5</v>
      </c>
      <c r="B1249" s="105"/>
      <c r="C1249" s="107" t="s">
        <v>1001</v>
      </c>
      <c r="D1249" s="107" t="s">
        <v>444</v>
      </c>
      <c r="E1249" s="124">
        <v>1</v>
      </c>
      <c r="F1249" s="124" t="s">
        <v>251</v>
      </c>
      <c r="G1249" s="124">
        <v>0.93741603079505242</v>
      </c>
      <c r="H1249" s="124" t="s">
        <v>251</v>
      </c>
      <c r="I1249" s="124">
        <v>4.2925433691070346E-2</v>
      </c>
      <c r="J1249" s="124">
        <v>1.9658535513877241E-2</v>
      </c>
      <c r="K1249" s="124" t="s">
        <v>251</v>
      </c>
      <c r="L1249" s="124" t="s">
        <v>251</v>
      </c>
      <c r="M1249" s="124">
        <v>3.0089748693427884E-6</v>
      </c>
      <c r="N1249" s="124" t="s">
        <v>251</v>
      </c>
      <c r="O1249" s="124">
        <v>1.9655526539007897E-2</v>
      </c>
      <c r="P1249" s="124">
        <v>9.9687337421326579E-3</v>
      </c>
      <c r="Q1249" s="124">
        <v>9.686792796875239E-3</v>
      </c>
      <c r="R1249" s="124"/>
    </row>
    <row r="1250" spans="1:18" ht="15">
      <c r="A1250" s="105">
        <v>6</v>
      </c>
      <c r="B1250" s="105"/>
      <c r="C1250" s="107" t="s">
        <v>1003</v>
      </c>
      <c r="D1250" s="107" t="s">
        <v>449</v>
      </c>
      <c r="E1250" s="124">
        <v>1</v>
      </c>
      <c r="F1250" s="124" t="s">
        <v>251</v>
      </c>
      <c r="G1250" s="124">
        <v>0.93741603079505242</v>
      </c>
      <c r="H1250" s="124" t="s">
        <v>251</v>
      </c>
      <c r="I1250" s="124">
        <v>4.2925433691070353E-2</v>
      </c>
      <c r="J1250" s="124">
        <v>1.9658535513877244E-2</v>
      </c>
      <c r="K1250" s="124" t="s">
        <v>251</v>
      </c>
      <c r="L1250" s="124" t="s">
        <v>251</v>
      </c>
      <c r="M1250" s="124">
        <v>3.0089748693427888E-6</v>
      </c>
      <c r="N1250" s="124" t="s">
        <v>251</v>
      </c>
      <c r="O1250" s="124">
        <v>1.96555265390079E-2</v>
      </c>
      <c r="P1250" s="124">
        <v>9.9687337421326596E-3</v>
      </c>
      <c r="Q1250" s="124">
        <v>9.6867927968752408E-3</v>
      </c>
      <c r="R1250" s="124"/>
    </row>
    <row r="1251" spans="1:18" ht="15">
      <c r="A1251" s="105">
        <v>7</v>
      </c>
      <c r="B1251" s="105"/>
      <c r="C1251" s="107" t="s">
        <v>1004</v>
      </c>
      <c r="D1251" s="107" t="s">
        <v>452</v>
      </c>
      <c r="E1251" s="124">
        <v>1</v>
      </c>
      <c r="F1251" s="124" t="s">
        <v>251</v>
      </c>
      <c r="G1251" s="124">
        <v>0.93741603079505242</v>
      </c>
      <c r="H1251" s="124" t="s">
        <v>251</v>
      </c>
      <c r="I1251" s="124">
        <v>4.2925433691070346E-2</v>
      </c>
      <c r="J1251" s="124">
        <v>1.9658535513877241E-2</v>
      </c>
      <c r="K1251" s="124" t="s">
        <v>251</v>
      </c>
      <c r="L1251" s="124" t="s">
        <v>251</v>
      </c>
      <c r="M1251" s="124">
        <v>3.0089748693427884E-6</v>
      </c>
      <c r="N1251" s="124" t="s">
        <v>251</v>
      </c>
      <c r="O1251" s="124">
        <v>1.9655526539007897E-2</v>
      </c>
      <c r="P1251" s="124">
        <v>9.9687337421326579E-3</v>
      </c>
      <c r="Q1251" s="124">
        <v>9.686792796875239E-3</v>
      </c>
      <c r="R1251" s="124"/>
    </row>
    <row r="1252" spans="1:18" ht="15">
      <c r="A1252" s="105">
        <v>8</v>
      </c>
      <c r="B1252" s="105"/>
      <c r="C1252" s="107" t="s">
        <v>1005</v>
      </c>
      <c r="D1252" s="107" t="s">
        <v>1006</v>
      </c>
      <c r="E1252" s="124">
        <v>1</v>
      </c>
      <c r="F1252" s="124" t="s">
        <v>251</v>
      </c>
      <c r="G1252" s="124">
        <v>0.95484303469782972</v>
      </c>
      <c r="H1252" s="124" t="s">
        <v>251</v>
      </c>
      <c r="I1252" s="124">
        <v>4.4468545476367888E-2</v>
      </c>
      <c r="J1252" s="124">
        <v>6.8841982580231456E-4</v>
      </c>
      <c r="K1252" s="124" t="s">
        <v>251</v>
      </c>
      <c r="L1252" s="124" t="s">
        <v>251</v>
      </c>
      <c r="M1252" s="124">
        <v>3.0571666475630194E-6</v>
      </c>
      <c r="N1252" s="124" t="s">
        <v>251</v>
      </c>
      <c r="O1252" s="124">
        <v>6.8536265915475152E-4</v>
      </c>
      <c r="P1252" s="124">
        <v>3.4759678670295174E-4</v>
      </c>
      <c r="Q1252" s="124">
        <v>3.3776587245179973E-4</v>
      </c>
      <c r="R1252" s="124"/>
    </row>
    <row r="1253" spans="1:18" ht="15">
      <c r="A1253" s="105">
        <v>9</v>
      </c>
      <c r="B1253" s="105"/>
      <c r="C1253" s="107" t="s">
        <v>1007</v>
      </c>
      <c r="D1253" s="107" t="s">
        <v>484</v>
      </c>
      <c r="E1253" s="124">
        <v>1</v>
      </c>
      <c r="F1253" s="124" t="s">
        <v>251</v>
      </c>
      <c r="G1253" s="124">
        <v>0</v>
      </c>
      <c r="H1253" s="124" t="s">
        <v>251</v>
      </c>
      <c r="I1253" s="124">
        <v>1</v>
      </c>
      <c r="J1253" s="124">
        <v>0</v>
      </c>
      <c r="K1253" s="124" t="s">
        <v>251</v>
      </c>
      <c r="L1253" s="124" t="s">
        <v>251</v>
      </c>
      <c r="M1253" s="124">
        <v>0</v>
      </c>
      <c r="N1253" s="124" t="s">
        <v>251</v>
      </c>
      <c r="O1253" s="124">
        <v>0</v>
      </c>
      <c r="P1253" s="124">
        <v>0</v>
      </c>
      <c r="Q1253" s="124">
        <v>0</v>
      </c>
      <c r="R1253" s="124"/>
    </row>
    <row r="1254" spans="1:18" ht="15">
      <c r="A1254" s="105">
        <v>10</v>
      </c>
      <c r="B1254" s="105"/>
      <c r="C1254" s="107" t="s">
        <v>1008</v>
      </c>
      <c r="D1254" s="107" t="s">
        <v>1009</v>
      </c>
      <c r="E1254" s="124">
        <v>0.99999999999999989</v>
      </c>
      <c r="F1254" s="124" t="s">
        <v>251</v>
      </c>
      <c r="G1254" s="124">
        <v>0.12118051552446073</v>
      </c>
      <c r="H1254" s="124" t="s">
        <v>251</v>
      </c>
      <c r="I1254" s="124">
        <v>0.87881909550296577</v>
      </c>
      <c r="J1254" s="124">
        <v>3.8897257342383235E-7</v>
      </c>
      <c r="K1254" s="124" t="s">
        <v>251</v>
      </c>
      <c r="L1254" s="124" t="s">
        <v>251</v>
      </c>
      <c r="M1254" s="124">
        <v>3.8897257342383235E-7</v>
      </c>
      <c r="N1254" s="124" t="s">
        <v>251</v>
      </c>
      <c r="O1254" s="124">
        <v>0</v>
      </c>
      <c r="P1254" s="124">
        <v>0</v>
      </c>
      <c r="Q1254" s="124">
        <v>0</v>
      </c>
      <c r="R1254" s="124"/>
    </row>
    <row r="1255" spans="1:18" ht="15">
      <c r="A1255" s="105">
        <v>11</v>
      </c>
      <c r="B1255" s="105"/>
      <c r="C1255" s="107" t="s">
        <v>416</v>
      </c>
      <c r="D1255" s="107" t="s">
        <v>502</v>
      </c>
      <c r="E1255" s="124">
        <v>1</v>
      </c>
      <c r="F1255" s="124" t="s">
        <v>251</v>
      </c>
      <c r="G1255" s="124">
        <v>0.9488056371034822</v>
      </c>
      <c r="H1255" s="124" t="s">
        <v>251</v>
      </c>
      <c r="I1255" s="124">
        <v>4.9068095046134443E-2</v>
      </c>
      <c r="J1255" s="124">
        <v>2.1262678503833959E-3</v>
      </c>
      <c r="K1255" s="124" t="s">
        <v>251</v>
      </c>
      <c r="L1255" s="124" t="s">
        <v>251</v>
      </c>
      <c r="M1255" s="124">
        <v>3.1909150618978678E-4</v>
      </c>
      <c r="N1255" s="124" t="s">
        <v>251</v>
      </c>
      <c r="O1255" s="124">
        <v>1.8071763441936091E-3</v>
      </c>
      <c r="P1255" s="124">
        <v>1.7939357360575621E-3</v>
      </c>
      <c r="Q1255" s="124">
        <v>1.3240608136046993E-5</v>
      </c>
      <c r="R1255" s="124"/>
    </row>
    <row r="1256" spans="1:18" ht="15">
      <c r="A1256" s="105">
        <v>12</v>
      </c>
      <c r="B1256" s="105"/>
      <c r="C1256" s="107" t="s">
        <v>1010</v>
      </c>
      <c r="D1256" s="107" t="s">
        <v>466</v>
      </c>
      <c r="E1256" s="124">
        <v>1</v>
      </c>
      <c r="F1256" s="124" t="s">
        <v>251</v>
      </c>
      <c r="G1256" s="124">
        <v>0.99809893542499251</v>
      </c>
      <c r="H1256" s="124" t="s">
        <v>251</v>
      </c>
      <c r="I1256" s="124">
        <v>0</v>
      </c>
      <c r="J1256" s="124">
        <v>1.9010645750075204E-3</v>
      </c>
      <c r="K1256" s="124" t="s">
        <v>251</v>
      </c>
      <c r="L1256" s="124" t="s">
        <v>251</v>
      </c>
      <c r="M1256" s="124">
        <v>0</v>
      </c>
      <c r="N1256" s="124" t="s">
        <v>251</v>
      </c>
      <c r="O1256" s="124">
        <v>1.9010645750075204E-3</v>
      </c>
      <c r="P1256" s="124">
        <v>1.88713607757014E-3</v>
      </c>
      <c r="Q1256" s="124">
        <v>1.3928497437380472E-5</v>
      </c>
      <c r="R1256" s="124"/>
    </row>
    <row r="1257" spans="1:18" ht="15">
      <c r="A1257" s="105">
        <v>13</v>
      </c>
      <c r="B1257" s="105"/>
      <c r="C1257" s="107" t="s">
        <v>1011</v>
      </c>
      <c r="D1257" s="107" t="s">
        <v>468</v>
      </c>
      <c r="E1257" s="124">
        <v>1</v>
      </c>
      <c r="F1257" s="124" t="s">
        <v>251</v>
      </c>
      <c r="G1257" s="124">
        <v>0.94275660489659019</v>
      </c>
      <c r="H1257" s="124" t="s">
        <v>251</v>
      </c>
      <c r="I1257" s="124">
        <v>4.5686951162102682E-2</v>
      </c>
      <c r="J1257" s="124">
        <v>1.155644394130719E-2</v>
      </c>
      <c r="K1257" s="124" t="s">
        <v>251</v>
      </c>
      <c r="L1257" s="124" t="s">
        <v>251</v>
      </c>
      <c r="M1257" s="124">
        <v>6.5018262092099874E-5</v>
      </c>
      <c r="N1257" s="124" t="s">
        <v>251</v>
      </c>
      <c r="O1257" s="124">
        <v>1.149142567921509E-2</v>
      </c>
      <c r="P1257" s="124">
        <v>5.9902470666858571E-3</v>
      </c>
      <c r="Q1257" s="124">
        <v>5.5011786125292337E-3</v>
      </c>
      <c r="R1257" s="124"/>
    </row>
    <row r="1258" spans="1:18" ht="15">
      <c r="A1258" s="105">
        <v>14</v>
      </c>
      <c r="B1258" s="105"/>
      <c r="C1258" s="107" t="s">
        <v>1012</v>
      </c>
      <c r="D1258" s="107" t="s">
        <v>470</v>
      </c>
      <c r="E1258" s="124">
        <v>1</v>
      </c>
      <c r="F1258" s="124" t="s">
        <v>251</v>
      </c>
      <c r="G1258" s="124">
        <v>1</v>
      </c>
      <c r="H1258" s="124" t="s">
        <v>251</v>
      </c>
      <c r="I1258" s="124">
        <v>0</v>
      </c>
      <c r="J1258" s="124">
        <v>0</v>
      </c>
      <c r="K1258" s="124" t="s">
        <v>251</v>
      </c>
      <c r="L1258" s="124" t="s">
        <v>251</v>
      </c>
      <c r="M1258" s="124">
        <v>0</v>
      </c>
      <c r="N1258" s="124" t="s">
        <v>251</v>
      </c>
      <c r="O1258" s="124">
        <v>0</v>
      </c>
      <c r="P1258" s="124">
        <v>0</v>
      </c>
      <c r="Q1258" s="124">
        <v>0</v>
      </c>
      <c r="R1258" s="124"/>
    </row>
    <row r="1259" spans="1:18" ht="15">
      <c r="A1259" s="105">
        <v>15</v>
      </c>
      <c r="B1259" s="105"/>
      <c r="C1259" s="107" t="s">
        <v>1013</v>
      </c>
      <c r="D1259" s="107" t="s">
        <v>472</v>
      </c>
      <c r="E1259" s="124">
        <v>0.99999999999999989</v>
      </c>
      <c r="F1259" s="124" t="s">
        <v>251</v>
      </c>
      <c r="G1259" s="124">
        <v>0.9349739264413186</v>
      </c>
      <c r="H1259" s="124" t="s">
        <v>251</v>
      </c>
      <c r="I1259" s="124">
        <v>5.0476160761945943E-2</v>
      </c>
      <c r="J1259" s="124">
        <v>1.4549912796735296E-2</v>
      </c>
      <c r="K1259" s="124" t="s">
        <v>251</v>
      </c>
      <c r="L1259" s="124" t="s">
        <v>251</v>
      </c>
      <c r="M1259" s="124">
        <v>6.8723384599561914E-5</v>
      </c>
      <c r="N1259" s="124" t="s">
        <v>251</v>
      </c>
      <c r="O1259" s="124">
        <v>1.4481189412135734E-2</v>
      </c>
      <c r="P1259" s="124">
        <v>7.526712529650913E-3</v>
      </c>
      <c r="Q1259" s="124">
        <v>6.9544768824848198E-3</v>
      </c>
      <c r="R1259" s="124"/>
    </row>
    <row r="1260" spans="1:18" ht="15">
      <c r="A1260" s="105">
        <v>16</v>
      </c>
      <c r="B1260" s="105"/>
      <c r="C1260" s="107" t="s">
        <v>1014</v>
      </c>
      <c r="D1260" s="107" t="s">
        <v>478</v>
      </c>
      <c r="E1260" s="124">
        <v>0.99999999999999989</v>
      </c>
      <c r="F1260" s="124" t="s">
        <v>251</v>
      </c>
      <c r="G1260" s="124">
        <v>0.93741603079505231</v>
      </c>
      <c r="H1260" s="124" t="s">
        <v>251</v>
      </c>
      <c r="I1260" s="124">
        <v>4.2925433691070346E-2</v>
      </c>
      <c r="J1260" s="124">
        <v>1.9658535513877241E-2</v>
      </c>
      <c r="K1260" s="124" t="s">
        <v>251</v>
      </c>
      <c r="L1260" s="124" t="s">
        <v>251</v>
      </c>
      <c r="M1260" s="124">
        <v>3.008974869342788E-6</v>
      </c>
      <c r="N1260" s="124" t="s">
        <v>251</v>
      </c>
      <c r="O1260" s="124">
        <v>1.9655526539007897E-2</v>
      </c>
      <c r="P1260" s="124">
        <v>9.9687337421326579E-3</v>
      </c>
      <c r="Q1260" s="124">
        <v>9.686792796875239E-3</v>
      </c>
      <c r="R1260" s="124"/>
    </row>
    <row r="1261" spans="1:18" ht="15">
      <c r="A1261" s="105">
        <v>17</v>
      </c>
      <c r="B1261" s="105"/>
      <c r="C1261" s="107" t="s">
        <v>336</v>
      </c>
      <c r="D1261" s="107" t="s">
        <v>498</v>
      </c>
      <c r="E1261" s="124">
        <v>1</v>
      </c>
      <c r="F1261" s="124" t="s">
        <v>251</v>
      </c>
      <c r="G1261" s="124">
        <v>0.93564668452359978</v>
      </c>
      <c r="H1261" s="124" t="s">
        <v>251</v>
      </c>
      <c r="I1261" s="124">
        <v>4.3454032953399127E-2</v>
      </c>
      <c r="J1261" s="124">
        <v>2.0899282523001061E-2</v>
      </c>
      <c r="K1261" s="124" t="s">
        <v>251</v>
      </c>
      <c r="L1261" s="124" t="s">
        <v>251</v>
      </c>
      <c r="M1261" s="124">
        <v>2.9877006981828105E-6</v>
      </c>
      <c r="N1261" s="124" t="s">
        <v>251</v>
      </c>
      <c r="O1261" s="124">
        <v>2.0896294822302878E-2</v>
      </c>
      <c r="P1261" s="124">
        <v>1.0598016739324501E-2</v>
      </c>
      <c r="Q1261" s="124">
        <v>1.0298278082978377E-2</v>
      </c>
      <c r="R1261" s="124"/>
    </row>
    <row r="1262" spans="1:18" ht="15">
      <c r="A1262" s="105">
        <v>18</v>
      </c>
      <c r="B1262" s="105"/>
      <c r="C1262" s="107" t="s">
        <v>357</v>
      </c>
      <c r="D1262" s="107" t="s">
        <v>1015</v>
      </c>
      <c r="E1262" s="124">
        <v>1</v>
      </c>
      <c r="F1262" s="124" t="s">
        <v>251</v>
      </c>
      <c r="G1262" s="124">
        <v>0.90508402653715814</v>
      </c>
      <c r="H1262" s="124" t="s">
        <v>251</v>
      </c>
      <c r="I1262" s="124">
        <v>9.4268620294173974E-2</v>
      </c>
      <c r="J1262" s="124">
        <v>6.4735316866801362E-4</v>
      </c>
      <c r="K1262" s="124" t="s">
        <v>251</v>
      </c>
      <c r="L1262" s="124" t="s">
        <v>251</v>
      </c>
      <c r="M1262" s="124">
        <v>2.8979095289378544E-6</v>
      </c>
      <c r="N1262" s="124" t="s">
        <v>251</v>
      </c>
      <c r="O1262" s="124">
        <v>6.4445525913907581E-4</v>
      </c>
      <c r="P1262" s="124">
        <v>3.26849696665456E-4</v>
      </c>
      <c r="Q1262" s="124">
        <v>3.1760556247361986E-4</v>
      </c>
      <c r="R1262" s="124"/>
    </row>
    <row r="1263" spans="1:18" ht="15">
      <c r="A1263" s="105">
        <v>19</v>
      </c>
      <c r="B1263" s="105"/>
      <c r="C1263" s="107" t="s">
        <v>1016</v>
      </c>
      <c r="D1263" s="107" t="s">
        <v>500</v>
      </c>
      <c r="E1263" s="124">
        <v>1.0000000000000002</v>
      </c>
      <c r="F1263" s="124" t="s">
        <v>251</v>
      </c>
      <c r="G1263" s="124">
        <v>0.9056676888422649</v>
      </c>
      <c r="H1263" s="124" t="s">
        <v>251</v>
      </c>
      <c r="I1263" s="124">
        <v>9.4329411379428948E-2</v>
      </c>
      <c r="J1263" s="124">
        <v>2.899778306317698E-6</v>
      </c>
      <c r="K1263" s="124" t="s">
        <v>251</v>
      </c>
      <c r="L1263" s="124" t="s">
        <v>251</v>
      </c>
      <c r="M1263" s="124">
        <v>2.899778306317698E-6</v>
      </c>
      <c r="N1263" s="124" t="s">
        <v>251</v>
      </c>
      <c r="O1263" s="124">
        <v>0</v>
      </c>
      <c r="P1263" s="124">
        <v>0</v>
      </c>
      <c r="Q1263" s="124">
        <v>0</v>
      </c>
      <c r="R1263" s="124"/>
    </row>
    <row r="1264" spans="1:18" ht="15">
      <c r="A1264" s="105">
        <v>20</v>
      </c>
      <c r="B1264" s="105"/>
      <c r="C1264" s="107" t="s">
        <v>1017</v>
      </c>
      <c r="D1264" s="107" t="s">
        <v>505</v>
      </c>
      <c r="E1264" s="124">
        <v>0.99999999999999989</v>
      </c>
      <c r="F1264" s="124" t="s">
        <v>251</v>
      </c>
      <c r="G1264" s="124">
        <v>0.93152869719073295</v>
      </c>
      <c r="H1264" s="124" t="s">
        <v>251</v>
      </c>
      <c r="I1264" s="124">
        <v>5.4509829599235261E-2</v>
      </c>
      <c r="J1264" s="124">
        <v>1.3961473210031742E-2</v>
      </c>
      <c r="K1264" s="124" t="s">
        <v>251</v>
      </c>
      <c r="L1264" s="124" t="s">
        <v>251</v>
      </c>
      <c r="M1264" s="124">
        <v>4.8978915206122927E-5</v>
      </c>
      <c r="N1264" s="124" t="s">
        <v>251</v>
      </c>
      <c r="O1264" s="124">
        <v>1.391249429482562E-2</v>
      </c>
      <c r="P1264" s="124">
        <v>7.1837318805099424E-3</v>
      </c>
      <c r="Q1264" s="124">
        <v>6.7287624143156774E-3</v>
      </c>
      <c r="R1264" s="124"/>
    </row>
    <row r="1265" spans="1:18" ht="15">
      <c r="A1265" s="105">
        <v>21</v>
      </c>
      <c r="B1265" s="105"/>
      <c r="C1265" s="107" t="s">
        <v>1018</v>
      </c>
      <c r="D1265" s="107" t="s">
        <v>510</v>
      </c>
      <c r="E1265" s="124">
        <v>0.99999999999999989</v>
      </c>
      <c r="F1265" s="124" t="s">
        <v>251</v>
      </c>
      <c r="G1265" s="124">
        <v>0.93752244198386425</v>
      </c>
      <c r="H1265" s="124" t="s">
        <v>251</v>
      </c>
      <c r="I1265" s="124">
        <v>4.9077821610350937E-2</v>
      </c>
      <c r="J1265" s="124">
        <v>1.3399736405784714E-2</v>
      </c>
      <c r="K1265" s="124" t="s">
        <v>251</v>
      </c>
      <c r="L1265" s="124" t="s">
        <v>251</v>
      </c>
      <c r="M1265" s="124">
        <v>6.8123591989296096E-5</v>
      </c>
      <c r="N1265" s="124" t="s">
        <v>251</v>
      </c>
      <c r="O1265" s="124">
        <v>1.3331612813795418E-2</v>
      </c>
      <c r="P1265" s="124">
        <v>6.9373111221547141E-3</v>
      </c>
      <c r="Q1265" s="124">
        <v>6.3943016916407037E-3</v>
      </c>
      <c r="R1265" s="124"/>
    </row>
    <row r="1266" spans="1:18" ht="15">
      <c r="A1266" s="105">
        <v>22</v>
      </c>
      <c r="B1266" s="105"/>
      <c r="C1266" s="107" t="s">
        <v>1019</v>
      </c>
      <c r="D1266" s="107" t="s">
        <v>512</v>
      </c>
      <c r="E1266" s="124">
        <v>1</v>
      </c>
      <c r="F1266" s="124" t="s">
        <v>251</v>
      </c>
      <c r="G1266" s="124">
        <v>1</v>
      </c>
      <c r="H1266" s="124" t="s">
        <v>251</v>
      </c>
      <c r="I1266" s="124">
        <v>0</v>
      </c>
      <c r="J1266" s="124">
        <v>0</v>
      </c>
      <c r="K1266" s="124" t="s">
        <v>251</v>
      </c>
      <c r="L1266" s="124" t="s">
        <v>251</v>
      </c>
      <c r="M1266" s="124">
        <v>0</v>
      </c>
      <c r="N1266" s="124" t="s">
        <v>251</v>
      </c>
      <c r="O1266" s="124">
        <v>0</v>
      </c>
      <c r="P1266" s="124">
        <v>0</v>
      </c>
      <c r="Q1266" s="124">
        <v>0</v>
      </c>
      <c r="R1266" s="124"/>
    </row>
    <row r="1267" spans="1:18" ht="15">
      <c r="A1267" s="105">
        <v>23</v>
      </c>
      <c r="B1267" s="105"/>
      <c r="C1267" s="107" t="s">
        <v>1020</v>
      </c>
      <c r="D1267" s="107" t="s">
        <v>2672</v>
      </c>
      <c r="E1267" s="124">
        <v>1</v>
      </c>
      <c r="F1267" s="124" t="s">
        <v>251</v>
      </c>
      <c r="G1267" s="124">
        <v>0</v>
      </c>
      <c r="H1267" s="124" t="s">
        <v>251</v>
      </c>
      <c r="I1267" s="124">
        <v>0</v>
      </c>
      <c r="J1267" s="124">
        <v>1</v>
      </c>
      <c r="K1267" s="124" t="s">
        <v>251</v>
      </c>
      <c r="L1267" s="124" t="s">
        <v>251</v>
      </c>
      <c r="M1267" s="124">
        <v>0</v>
      </c>
      <c r="N1267" s="124" t="s">
        <v>251</v>
      </c>
      <c r="O1267" s="124">
        <v>1</v>
      </c>
      <c r="P1267" s="124">
        <v>0.50717205272262456</v>
      </c>
      <c r="Q1267" s="124">
        <v>0.49282794727737556</v>
      </c>
      <c r="R1267" s="124"/>
    </row>
    <row r="1268" spans="1:18" ht="15">
      <c r="A1268" s="105">
        <v>24</v>
      </c>
      <c r="B1268" s="105"/>
      <c r="C1268" s="107" t="s">
        <v>1021</v>
      </c>
      <c r="D1268" s="107" t="s">
        <v>1022</v>
      </c>
      <c r="E1268" s="124">
        <v>0</v>
      </c>
      <c r="F1268" s="124" t="s">
        <v>251</v>
      </c>
      <c r="G1268" s="124">
        <v>0</v>
      </c>
      <c r="H1268" s="124" t="s">
        <v>251</v>
      </c>
      <c r="I1268" s="124">
        <v>0</v>
      </c>
      <c r="J1268" s="124">
        <v>0</v>
      </c>
      <c r="K1268" s="124" t="s">
        <v>251</v>
      </c>
      <c r="L1268" s="124" t="s">
        <v>251</v>
      </c>
      <c r="M1268" s="124">
        <v>0</v>
      </c>
      <c r="N1268" s="124" t="s">
        <v>251</v>
      </c>
      <c r="O1268" s="124">
        <v>0</v>
      </c>
      <c r="P1268" s="124">
        <v>0</v>
      </c>
      <c r="Q1268" s="124">
        <v>0</v>
      </c>
      <c r="R1268" s="124"/>
    </row>
    <row r="1269" spans="1:18" ht="15">
      <c r="A1269" s="105">
        <v>25</v>
      </c>
      <c r="B1269" s="105"/>
      <c r="C1269" s="107" t="s">
        <v>1023</v>
      </c>
      <c r="D1269" s="107" t="s">
        <v>1024</v>
      </c>
      <c r="E1269" s="124">
        <v>1</v>
      </c>
      <c r="F1269" s="124" t="s">
        <v>251</v>
      </c>
      <c r="G1269" s="124">
        <v>0</v>
      </c>
      <c r="H1269" s="124" t="s">
        <v>251</v>
      </c>
      <c r="I1269" s="124">
        <v>0</v>
      </c>
      <c r="J1269" s="124">
        <v>1</v>
      </c>
      <c r="K1269" s="124" t="s">
        <v>251</v>
      </c>
      <c r="L1269" s="124" t="s">
        <v>251</v>
      </c>
      <c r="M1269" s="124">
        <v>0</v>
      </c>
      <c r="N1269" s="124" t="s">
        <v>251</v>
      </c>
      <c r="O1269" s="124">
        <v>1</v>
      </c>
      <c r="P1269" s="124">
        <v>0.50717205272262444</v>
      </c>
      <c r="Q1269" s="124">
        <v>0.49282794727737556</v>
      </c>
      <c r="R1269" s="124"/>
    </row>
    <row r="1270" spans="1:18" ht="15">
      <c r="A1270" s="105">
        <v>26</v>
      </c>
      <c r="B1270" s="105"/>
      <c r="C1270" s="107" t="s">
        <v>1025</v>
      </c>
      <c r="D1270" s="107" t="s">
        <v>1026</v>
      </c>
      <c r="E1270" s="124">
        <v>1</v>
      </c>
      <c r="F1270" s="124" t="s">
        <v>251</v>
      </c>
      <c r="G1270" s="124">
        <v>0</v>
      </c>
      <c r="H1270" s="124" t="s">
        <v>251</v>
      </c>
      <c r="I1270" s="124">
        <v>0</v>
      </c>
      <c r="J1270" s="124">
        <v>1</v>
      </c>
      <c r="K1270" s="124" t="s">
        <v>251</v>
      </c>
      <c r="L1270" s="124" t="s">
        <v>251</v>
      </c>
      <c r="M1270" s="124">
        <v>0</v>
      </c>
      <c r="N1270" s="124" t="s">
        <v>251</v>
      </c>
      <c r="O1270" s="124">
        <v>1</v>
      </c>
      <c r="P1270" s="124">
        <v>0.50717205272262444</v>
      </c>
      <c r="Q1270" s="124">
        <v>0.4928279472773755</v>
      </c>
      <c r="R1270" s="124"/>
    </row>
    <row r="1271" spans="1:18" ht="15">
      <c r="A1271" s="105">
        <v>27</v>
      </c>
      <c r="B1271" s="105"/>
      <c r="C1271" s="107" t="s">
        <v>1027</v>
      </c>
      <c r="D1271" s="107" t="s">
        <v>1028</v>
      </c>
      <c r="E1271" s="124">
        <v>1</v>
      </c>
      <c r="F1271" s="124" t="s">
        <v>251</v>
      </c>
      <c r="G1271" s="124">
        <v>0.95484303469782972</v>
      </c>
      <c r="H1271" s="124" t="s">
        <v>251</v>
      </c>
      <c r="I1271" s="124">
        <v>4.4468545476367888E-2</v>
      </c>
      <c r="J1271" s="124">
        <v>6.8841982580231456E-4</v>
      </c>
      <c r="K1271" s="124" t="s">
        <v>251</v>
      </c>
      <c r="L1271" s="124" t="s">
        <v>251</v>
      </c>
      <c r="M1271" s="124">
        <v>3.0571666475630194E-6</v>
      </c>
      <c r="N1271" s="124" t="s">
        <v>251</v>
      </c>
      <c r="O1271" s="124">
        <v>6.8536265915475152E-4</v>
      </c>
      <c r="P1271" s="124">
        <v>3.4759678670295174E-4</v>
      </c>
      <c r="Q1271" s="124">
        <v>3.3776587245179973E-4</v>
      </c>
      <c r="R1271" s="124"/>
    </row>
    <row r="1272" spans="1:18" ht="15">
      <c r="A1272" s="105">
        <v>28</v>
      </c>
      <c r="B1272" s="105"/>
      <c r="C1272" s="107" t="s">
        <v>1154</v>
      </c>
      <c r="D1272" s="107" t="s">
        <v>459</v>
      </c>
      <c r="E1272" s="124">
        <v>0.99999999999999989</v>
      </c>
      <c r="F1272" s="124" t="s">
        <v>251</v>
      </c>
      <c r="G1272" s="124">
        <v>0.12118051552446073</v>
      </c>
      <c r="H1272" s="124" t="s">
        <v>251</v>
      </c>
      <c r="I1272" s="124">
        <v>0.87881909550296577</v>
      </c>
      <c r="J1272" s="124">
        <v>3.8897257342383235E-7</v>
      </c>
      <c r="K1272" s="124" t="s">
        <v>251</v>
      </c>
      <c r="L1272" s="124" t="s">
        <v>251</v>
      </c>
      <c r="M1272" s="124">
        <v>3.8897257342383235E-7</v>
      </c>
      <c r="N1272" s="124" t="s">
        <v>251</v>
      </c>
      <c r="O1272" s="124">
        <v>0</v>
      </c>
      <c r="P1272" s="124">
        <v>0</v>
      </c>
      <c r="Q1272" s="124">
        <v>0</v>
      </c>
      <c r="R1272" s="124"/>
    </row>
    <row r="1273" spans="1:18" ht="15">
      <c r="A1273" s="105">
        <v>29</v>
      </c>
      <c r="B1273" s="105"/>
      <c r="C1273" s="107" t="s">
        <v>1030</v>
      </c>
      <c r="D1273" s="107" t="s">
        <v>659</v>
      </c>
      <c r="E1273" s="124">
        <v>1</v>
      </c>
      <c r="F1273" s="124" t="s">
        <v>251</v>
      </c>
      <c r="G1273" s="124">
        <v>0.92982694805244914</v>
      </c>
      <c r="H1273" s="124" t="s">
        <v>251</v>
      </c>
      <c r="I1273" s="124">
        <v>7.0062632214240819E-2</v>
      </c>
      <c r="J1273" s="124">
        <v>1.1041973331008975E-4</v>
      </c>
      <c r="K1273" s="124" t="s">
        <v>251</v>
      </c>
      <c r="L1273" s="124" t="s">
        <v>251</v>
      </c>
      <c r="M1273" s="124">
        <v>1.1041973331008975E-4</v>
      </c>
      <c r="N1273" s="124" t="s">
        <v>251</v>
      </c>
      <c r="O1273" s="124">
        <v>0</v>
      </c>
      <c r="P1273" s="124">
        <v>0</v>
      </c>
      <c r="Q1273" s="124">
        <v>0</v>
      </c>
      <c r="R1273" s="124"/>
    </row>
    <row r="1274" spans="1:18" ht="15">
      <c r="A1274" s="105">
        <v>30</v>
      </c>
      <c r="B1274" s="105"/>
      <c r="C1274" s="107" t="s">
        <v>439</v>
      </c>
      <c r="D1274" s="107" t="s">
        <v>717</v>
      </c>
      <c r="E1274" s="124">
        <v>0.99999999999999989</v>
      </c>
      <c r="F1274" s="124" t="s">
        <v>251</v>
      </c>
      <c r="G1274" s="124">
        <v>0.93497428780479752</v>
      </c>
      <c r="H1274" s="124" t="s">
        <v>251</v>
      </c>
      <c r="I1274" s="124">
        <v>5.0475880255372849E-2</v>
      </c>
      <c r="J1274" s="124">
        <v>1.4549831939829469E-2</v>
      </c>
      <c r="K1274" s="124" t="s">
        <v>251</v>
      </c>
      <c r="L1274" s="124" t="s">
        <v>251</v>
      </c>
      <c r="M1274" s="124">
        <v>6.8723002689352944E-5</v>
      </c>
      <c r="N1274" s="124" t="s">
        <v>251</v>
      </c>
      <c r="O1274" s="124">
        <v>1.4481108937140115E-2</v>
      </c>
      <c r="P1274" s="124">
        <v>7.5266707021365703E-3</v>
      </c>
      <c r="Q1274" s="124">
        <v>6.9544382350035438E-3</v>
      </c>
      <c r="R1274" s="124"/>
    </row>
    <row r="1275" spans="1:18" ht="15">
      <c r="A1275" s="105">
        <v>31</v>
      </c>
      <c r="B1275" s="105"/>
      <c r="C1275" s="107" t="s">
        <v>1031</v>
      </c>
      <c r="D1275" s="107" t="s">
        <v>489</v>
      </c>
      <c r="E1275" s="124">
        <v>1</v>
      </c>
      <c r="F1275" s="124" t="s">
        <v>251</v>
      </c>
      <c r="G1275" s="124">
        <v>1</v>
      </c>
      <c r="H1275" s="124" t="s">
        <v>251</v>
      </c>
      <c r="I1275" s="124">
        <v>0</v>
      </c>
      <c r="J1275" s="124">
        <v>0</v>
      </c>
      <c r="K1275" s="124" t="s">
        <v>251</v>
      </c>
      <c r="L1275" s="124" t="s">
        <v>251</v>
      </c>
      <c r="M1275" s="124">
        <v>0</v>
      </c>
      <c r="N1275" s="124" t="s">
        <v>251</v>
      </c>
      <c r="O1275" s="124">
        <v>0</v>
      </c>
      <c r="P1275" s="124">
        <v>0</v>
      </c>
      <c r="Q1275" s="124">
        <v>0</v>
      </c>
      <c r="R1275" s="124"/>
    </row>
    <row r="1276" spans="1:18" ht="15">
      <c r="A1276" s="105">
        <v>32</v>
      </c>
      <c r="B1276" s="105"/>
      <c r="C1276" s="107" t="s">
        <v>1032</v>
      </c>
      <c r="D1276" s="107" t="s">
        <v>798</v>
      </c>
      <c r="E1276" s="124">
        <v>0.99999999999999989</v>
      </c>
      <c r="F1276" s="124" t="s">
        <v>251</v>
      </c>
      <c r="G1276" s="124">
        <v>0.98467671158922987</v>
      </c>
      <c r="H1276" s="124" t="s">
        <v>251</v>
      </c>
      <c r="I1276" s="124">
        <v>0</v>
      </c>
      <c r="J1276" s="124">
        <v>1.5323288410770039E-2</v>
      </c>
      <c r="K1276" s="124" t="s">
        <v>251</v>
      </c>
      <c r="L1276" s="124" t="s">
        <v>251</v>
      </c>
      <c r="M1276" s="124">
        <v>7.2376258022635457E-5</v>
      </c>
      <c r="N1276" s="124" t="s">
        <v>251</v>
      </c>
      <c r="O1276" s="124">
        <v>1.5250912152747403E-2</v>
      </c>
      <c r="P1276" s="124">
        <v>7.9267820012416911E-3</v>
      </c>
      <c r="Q1276" s="124">
        <v>7.3241301515057124E-3</v>
      </c>
      <c r="R1276" s="124"/>
    </row>
    <row r="1277" spans="1:18" ht="15">
      <c r="A1277" s="105">
        <v>33</v>
      </c>
      <c r="B1277" s="105"/>
      <c r="C1277" s="107" t="s">
        <v>1033</v>
      </c>
      <c r="D1277" s="107" t="s">
        <v>1034</v>
      </c>
      <c r="E1277" s="124">
        <v>1</v>
      </c>
      <c r="F1277" s="124" t="s">
        <v>251</v>
      </c>
      <c r="G1277" s="124">
        <v>0</v>
      </c>
      <c r="H1277" s="124" t="s">
        <v>251</v>
      </c>
      <c r="I1277" s="124">
        <v>1</v>
      </c>
      <c r="J1277" s="124">
        <v>0</v>
      </c>
      <c r="K1277" s="124" t="s">
        <v>251</v>
      </c>
      <c r="L1277" s="124" t="s">
        <v>251</v>
      </c>
      <c r="M1277" s="124">
        <v>0</v>
      </c>
      <c r="N1277" s="124" t="s">
        <v>251</v>
      </c>
      <c r="O1277" s="124">
        <v>0</v>
      </c>
      <c r="P1277" s="124">
        <v>0</v>
      </c>
      <c r="Q1277" s="124">
        <v>0</v>
      </c>
      <c r="R1277" s="124"/>
    </row>
    <row r="1278" spans="1:18" ht="15">
      <c r="A1278" s="105">
        <v>34</v>
      </c>
      <c r="B1278" s="105"/>
      <c r="C1278" s="107" t="s">
        <v>315</v>
      </c>
      <c r="D1278" s="107" t="s">
        <v>585</v>
      </c>
      <c r="E1278" s="124">
        <v>1</v>
      </c>
      <c r="F1278" s="124" t="s">
        <v>251</v>
      </c>
      <c r="G1278" s="124">
        <v>0.93543431741123284</v>
      </c>
      <c r="H1278" s="124" t="s">
        <v>251</v>
      </c>
      <c r="I1278" s="124">
        <v>4.3601568614253912E-2</v>
      </c>
      <c r="J1278" s="124">
        <v>2.0964113974513227E-2</v>
      </c>
      <c r="K1278" s="124" t="s">
        <v>251</v>
      </c>
      <c r="L1278" s="124" t="s">
        <v>251</v>
      </c>
      <c r="M1278" s="124">
        <v>2.9861734800370139E-6</v>
      </c>
      <c r="N1278" s="124" t="s">
        <v>251</v>
      </c>
      <c r="O1278" s="124">
        <v>2.0961127801033191E-2</v>
      </c>
      <c r="P1278" s="124">
        <v>1.0630898214231277E-2</v>
      </c>
      <c r="Q1278" s="124">
        <v>1.0330229586801914E-2</v>
      </c>
      <c r="R1278" s="124"/>
    </row>
    <row r="1279" spans="1:18" ht="15">
      <c r="A1279" s="105">
        <v>35</v>
      </c>
      <c r="B1279" s="105"/>
      <c r="C1279" s="107" t="s">
        <v>1035</v>
      </c>
      <c r="D1279" s="107" t="s">
        <v>600</v>
      </c>
      <c r="E1279" s="124">
        <v>0.99999999999999978</v>
      </c>
      <c r="F1279" s="124" t="s">
        <v>251</v>
      </c>
      <c r="G1279" s="124">
        <v>0.93702736377156204</v>
      </c>
      <c r="H1279" s="124" t="s">
        <v>251</v>
      </c>
      <c r="I1279" s="124">
        <v>4.2827610095803631E-2</v>
      </c>
      <c r="J1279" s="124">
        <v>2.0145026132634147E-2</v>
      </c>
      <c r="K1279" s="124" t="s">
        <v>251</v>
      </c>
      <c r="L1279" s="124" t="s">
        <v>251</v>
      </c>
      <c r="M1279" s="124">
        <v>3.0016907337618169E-6</v>
      </c>
      <c r="N1279" s="124" t="s">
        <v>251</v>
      </c>
      <c r="O1279" s="124">
        <v>2.0142024441900386E-2</v>
      </c>
      <c r="P1279" s="124">
        <v>1.0215471882187892E-2</v>
      </c>
      <c r="Q1279" s="124">
        <v>9.9265525597124916E-3</v>
      </c>
      <c r="R1279" s="124"/>
    </row>
    <row r="1280" spans="1:18" ht="15">
      <c r="A1280" s="105">
        <v>36</v>
      </c>
      <c r="B1280" s="105"/>
      <c r="C1280" s="107" t="s">
        <v>1036</v>
      </c>
      <c r="D1280" s="107" t="s">
        <v>615</v>
      </c>
      <c r="E1280" s="124">
        <v>0.99999999999999989</v>
      </c>
      <c r="F1280" s="124" t="s">
        <v>251</v>
      </c>
      <c r="G1280" s="124">
        <v>0.93667519959811774</v>
      </c>
      <c r="H1280" s="124" t="s">
        <v>251</v>
      </c>
      <c r="I1280" s="124">
        <v>4.2725632379494283E-2</v>
      </c>
      <c r="J1280" s="124">
        <v>2.059916802238794E-2</v>
      </c>
      <c r="K1280" s="124" t="s">
        <v>251</v>
      </c>
      <c r="L1280" s="124" t="s">
        <v>251</v>
      </c>
      <c r="M1280" s="124">
        <v>2.9949278909977346E-6</v>
      </c>
      <c r="N1280" s="124" t="s">
        <v>251</v>
      </c>
      <c r="O1280" s="124">
        <v>2.059617309449694E-2</v>
      </c>
      <c r="P1280" s="124">
        <v>1.0445803386566503E-2</v>
      </c>
      <c r="Q1280" s="124">
        <v>1.0150369707930439E-2</v>
      </c>
      <c r="R1280" s="124"/>
    </row>
    <row r="1281" spans="1:18" ht="15">
      <c r="A1281" s="105">
        <v>37</v>
      </c>
      <c r="B1281" s="105"/>
      <c r="C1281" s="107" t="s">
        <v>1037</v>
      </c>
      <c r="D1281" s="107" t="s">
        <v>656</v>
      </c>
      <c r="E1281" s="124">
        <v>0.99999999999999989</v>
      </c>
      <c r="F1281" s="124" t="s">
        <v>251</v>
      </c>
      <c r="G1281" s="124">
        <v>0.95294034516581771</v>
      </c>
      <c r="H1281" s="124" t="s">
        <v>251</v>
      </c>
      <c r="I1281" s="124">
        <v>3.2819901874835557E-2</v>
      </c>
      <c r="J1281" s="124">
        <v>1.4239752959346669E-2</v>
      </c>
      <c r="K1281" s="124" t="s">
        <v>251</v>
      </c>
      <c r="L1281" s="124" t="s">
        <v>251</v>
      </c>
      <c r="M1281" s="124">
        <v>1.8643495206206056E-3</v>
      </c>
      <c r="N1281" s="124" t="s">
        <v>251</v>
      </c>
      <c r="O1281" s="124">
        <v>1.2375403438726064E-2</v>
      </c>
      <c r="P1281" s="124">
        <v>1.2375403438726064E-2</v>
      </c>
      <c r="Q1281" s="124">
        <v>0</v>
      </c>
      <c r="R1281" s="124"/>
    </row>
    <row r="1282" spans="1:18" ht="15">
      <c r="A1282" s="105">
        <v>38</v>
      </c>
      <c r="B1282" s="105"/>
      <c r="C1282" s="107" t="s">
        <v>1038</v>
      </c>
      <c r="D1282" s="107" t="s">
        <v>661</v>
      </c>
      <c r="E1282" s="124">
        <v>1</v>
      </c>
      <c r="F1282" s="124" t="s">
        <v>251</v>
      </c>
      <c r="G1282" s="124">
        <v>0.97714257279549721</v>
      </c>
      <c r="H1282" s="124" t="s">
        <v>251</v>
      </c>
      <c r="I1282" s="124">
        <v>2.285742720450281E-2</v>
      </c>
      <c r="J1282" s="124">
        <v>0</v>
      </c>
      <c r="K1282" s="124" t="s">
        <v>251</v>
      </c>
      <c r="L1282" s="124" t="s">
        <v>251</v>
      </c>
      <c r="M1282" s="124">
        <v>0</v>
      </c>
      <c r="N1282" s="124" t="s">
        <v>251</v>
      </c>
      <c r="O1282" s="124">
        <v>0</v>
      </c>
      <c r="P1282" s="124">
        <v>0</v>
      </c>
      <c r="Q1282" s="124">
        <v>0</v>
      </c>
      <c r="R1282" s="124"/>
    </row>
    <row r="1283" spans="1:18" ht="15">
      <c r="A1283" s="105">
        <v>39</v>
      </c>
      <c r="B1283" s="105"/>
      <c r="C1283" s="107" t="s">
        <v>1039</v>
      </c>
      <c r="D1283" s="107" t="s">
        <v>663</v>
      </c>
      <c r="E1283" s="124">
        <v>1</v>
      </c>
      <c r="F1283" s="124" t="s">
        <v>251</v>
      </c>
      <c r="G1283" s="124">
        <v>0.96949270016669853</v>
      </c>
      <c r="H1283" s="124" t="s">
        <v>251</v>
      </c>
      <c r="I1283" s="124">
        <v>3.0507299833301551E-2</v>
      </c>
      <c r="J1283" s="124">
        <v>0</v>
      </c>
      <c r="K1283" s="124" t="s">
        <v>251</v>
      </c>
      <c r="L1283" s="124" t="s">
        <v>251</v>
      </c>
      <c r="M1283" s="124">
        <v>0</v>
      </c>
      <c r="N1283" s="124" t="s">
        <v>251</v>
      </c>
      <c r="O1283" s="124">
        <v>0</v>
      </c>
      <c r="P1283" s="124">
        <v>0</v>
      </c>
      <c r="Q1283" s="124">
        <v>0</v>
      </c>
      <c r="R1283" s="124"/>
    </row>
    <row r="1284" spans="1:18" ht="15">
      <c r="A1284" s="105">
        <v>40</v>
      </c>
      <c r="B1284" s="105"/>
      <c r="C1284" s="107" t="s">
        <v>1040</v>
      </c>
      <c r="D1284" s="107" t="s">
        <v>665</v>
      </c>
      <c r="E1284" s="124">
        <v>1</v>
      </c>
      <c r="F1284" s="124" t="s">
        <v>251</v>
      </c>
      <c r="G1284" s="124">
        <v>0.95355876134207462</v>
      </c>
      <c r="H1284" s="124" t="s">
        <v>251</v>
      </c>
      <c r="I1284" s="124">
        <v>4.5817503079768396E-2</v>
      </c>
      <c r="J1284" s="124">
        <v>6.2373557815703564E-4</v>
      </c>
      <c r="K1284" s="124" t="s">
        <v>251</v>
      </c>
      <c r="L1284" s="124" t="s">
        <v>251</v>
      </c>
      <c r="M1284" s="124">
        <v>5.0851068756253856E-5</v>
      </c>
      <c r="N1284" s="124" t="s">
        <v>251</v>
      </c>
      <c r="O1284" s="124">
        <v>5.7288450940078182E-4</v>
      </c>
      <c r="P1284" s="124">
        <v>2.4771551374614005E-4</v>
      </c>
      <c r="Q1284" s="124">
        <v>3.2516899565464182E-4</v>
      </c>
      <c r="R1284" s="124"/>
    </row>
    <row r="1285" spans="1:18" ht="15">
      <c r="A1285" s="105">
        <v>41</v>
      </c>
      <c r="B1285" s="105"/>
      <c r="C1285" s="107" t="s">
        <v>1041</v>
      </c>
      <c r="D1285" s="107" t="s">
        <v>667</v>
      </c>
      <c r="E1285" s="124">
        <v>1</v>
      </c>
      <c r="F1285" s="124" t="s">
        <v>251</v>
      </c>
      <c r="G1285" s="124">
        <v>1</v>
      </c>
      <c r="H1285" s="124" t="s">
        <v>251</v>
      </c>
      <c r="I1285" s="124">
        <v>0</v>
      </c>
      <c r="J1285" s="124">
        <v>0</v>
      </c>
      <c r="K1285" s="124" t="s">
        <v>251</v>
      </c>
      <c r="L1285" s="124" t="s">
        <v>251</v>
      </c>
      <c r="M1285" s="124">
        <v>0</v>
      </c>
      <c r="N1285" s="124" t="s">
        <v>251</v>
      </c>
      <c r="O1285" s="124">
        <v>0</v>
      </c>
      <c r="P1285" s="124">
        <v>0</v>
      </c>
      <c r="Q1285" s="124">
        <v>0</v>
      </c>
      <c r="R1285" s="124"/>
    </row>
    <row r="1286" spans="1:18" ht="15">
      <c r="A1286" s="105">
        <v>42</v>
      </c>
      <c r="B1286" s="105"/>
      <c r="C1286" s="107" t="s">
        <v>1042</v>
      </c>
      <c r="D1286" s="107" t="s">
        <v>677</v>
      </c>
      <c r="E1286" s="124">
        <v>1</v>
      </c>
      <c r="F1286" s="124" t="s">
        <v>251</v>
      </c>
      <c r="G1286" s="124">
        <v>0.9657772922635236</v>
      </c>
      <c r="H1286" s="124" t="s">
        <v>251</v>
      </c>
      <c r="I1286" s="124">
        <v>3.4213160465067199E-2</v>
      </c>
      <c r="J1286" s="124">
        <v>9.5472714092426622E-6</v>
      </c>
      <c r="K1286" s="124" t="s">
        <v>251</v>
      </c>
      <c r="L1286" s="124" t="s">
        <v>251</v>
      </c>
      <c r="M1286" s="124">
        <v>9.5472714092426622E-6</v>
      </c>
      <c r="N1286" s="124" t="s">
        <v>251</v>
      </c>
      <c r="O1286" s="124">
        <v>0</v>
      </c>
      <c r="P1286" s="124">
        <v>0</v>
      </c>
      <c r="Q1286" s="124">
        <v>0</v>
      </c>
      <c r="R1286" s="124"/>
    </row>
    <row r="1287" spans="1:18" ht="15">
      <c r="A1287" s="105">
        <v>43</v>
      </c>
      <c r="B1287" s="105"/>
      <c r="C1287" s="107" t="s">
        <v>1043</v>
      </c>
      <c r="D1287" s="107" t="s">
        <v>693</v>
      </c>
      <c r="E1287" s="124">
        <v>1.0000000000000002</v>
      </c>
      <c r="F1287" s="124" t="s">
        <v>251</v>
      </c>
      <c r="G1287" s="124">
        <v>0.95003195393362816</v>
      </c>
      <c r="H1287" s="124" t="s">
        <v>251</v>
      </c>
      <c r="I1287" s="124">
        <v>4.9682107773700274E-2</v>
      </c>
      <c r="J1287" s="124">
        <v>2.859382926716783E-4</v>
      </c>
      <c r="K1287" s="124" t="s">
        <v>251</v>
      </c>
      <c r="L1287" s="124" t="s">
        <v>251</v>
      </c>
      <c r="M1287" s="124">
        <v>6.5884399233105599E-6</v>
      </c>
      <c r="N1287" s="124" t="s">
        <v>251</v>
      </c>
      <c r="O1287" s="124">
        <v>2.7934985274836777E-4</v>
      </c>
      <c r="P1287" s="124">
        <v>1.1200347869627952E-4</v>
      </c>
      <c r="Q1287" s="124">
        <v>1.6734637405208823E-4</v>
      </c>
      <c r="R1287" s="124"/>
    </row>
    <row r="1288" spans="1:18" ht="15">
      <c r="A1288" s="105">
        <v>44</v>
      </c>
      <c r="B1288" s="105"/>
      <c r="C1288" s="107" t="s">
        <v>1044</v>
      </c>
      <c r="D1288" s="107" t="s">
        <v>703</v>
      </c>
      <c r="E1288" s="124">
        <v>1</v>
      </c>
      <c r="F1288" s="124" t="s">
        <v>251</v>
      </c>
      <c r="G1288" s="124">
        <v>0.99069472996649699</v>
      </c>
      <c r="H1288" s="124" t="s">
        <v>251</v>
      </c>
      <c r="I1288" s="124">
        <v>9.3042775066559807E-3</v>
      </c>
      <c r="J1288" s="124">
        <v>9.9252684706354029E-7</v>
      </c>
      <c r="K1288" s="124" t="s">
        <v>251</v>
      </c>
      <c r="L1288" s="124" t="s">
        <v>251</v>
      </c>
      <c r="M1288" s="124">
        <v>9.9252684706354029E-7</v>
      </c>
      <c r="N1288" s="124" t="s">
        <v>251</v>
      </c>
      <c r="O1288" s="124">
        <v>0</v>
      </c>
      <c r="P1288" s="124">
        <v>0</v>
      </c>
      <c r="Q1288" s="124">
        <v>0</v>
      </c>
      <c r="R1288" s="124"/>
    </row>
    <row r="1289" spans="1:18" ht="15">
      <c r="A1289" s="105">
        <v>45</v>
      </c>
      <c r="B1289" s="105"/>
      <c r="C1289" s="107" t="s">
        <v>1045</v>
      </c>
      <c r="D1289" s="107" t="s">
        <v>1046</v>
      </c>
      <c r="E1289" s="124">
        <v>0.99999999999999989</v>
      </c>
      <c r="F1289" s="124" t="s">
        <v>251</v>
      </c>
      <c r="G1289" s="124">
        <v>0.93309100037983672</v>
      </c>
      <c r="H1289" s="124" t="s">
        <v>251</v>
      </c>
      <c r="I1289" s="124">
        <v>6.5314290572563743E-2</v>
      </c>
      <c r="J1289" s="124">
        <v>1.5947090475994133E-3</v>
      </c>
      <c r="K1289" s="124" t="s">
        <v>251</v>
      </c>
      <c r="L1289" s="124" t="s">
        <v>251</v>
      </c>
      <c r="M1289" s="124">
        <v>2.0544364552073672E-4</v>
      </c>
      <c r="N1289" s="124" t="s">
        <v>251</v>
      </c>
      <c r="O1289" s="124">
        <v>1.3892654020786765E-3</v>
      </c>
      <c r="P1289" s="124">
        <v>1.2666284421872834E-3</v>
      </c>
      <c r="Q1289" s="124">
        <v>1.2263695989139309E-4</v>
      </c>
      <c r="R1289" s="124"/>
    </row>
    <row r="1290" spans="1:18" ht="15">
      <c r="A1290" s="105" t="s">
        <v>251</v>
      </c>
      <c r="B1290" s="105"/>
      <c r="C1290" s="107" t="s">
        <v>1047</v>
      </c>
      <c r="D1290" s="107" t="s">
        <v>251</v>
      </c>
      <c r="E1290" s="124" t="s">
        <v>251</v>
      </c>
      <c r="F1290" s="124" t="s">
        <v>251</v>
      </c>
      <c r="G1290" s="124" t="s">
        <v>251</v>
      </c>
      <c r="H1290" s="124" t="s">
        <v>251</v>
      </c>
      <c r="I1290" s="124" t="s">
        <v>251</v>
      </c>
      <c r="J1290" s="124" t="s">
        <v>251</v>
      </c>
      <c r="K1290" s="124" t="s">
        <v>251</v>
      </c>
      <c r="L1290" s="124" t="s">
        <v>251</v>
      </c>
      <c r="M1290" s="124" t="s">
        <v>251</v>
      </c>
      <c r="N1290" s="124" t="s">
        <v>251</v>
      </c>
      <c r="O1290" s="124" t="s">
        <v>251</v>
      </c>
      <c r="P1290" s="124" t="s">
        <v>251</v>
      </c>
      <c r="Q1290" s="124" t="s">
        <v>251</v>
      </c>
      <c r="R1290" s="124"/>
    </row>
    <row r="1291" spans="1:18" ht="15">
      <c r="A1291" s="105" t="s">
        <v>251</v>
      </c>
      <c r="B1291" s="105"/>
      <c r="C1291" s="107" t="s">
        <v>920</v>
      </c>
      <c r="D1291" s="107" t="s">
        <v>251</v>
      </c>
      <c r="E1291" s="124" t="s">
        <v>251</v>
      </c>
      <c r="F1291" s="124" t="s">
        <v>251</v>
      </c>
      <c r="G1291" s="124" t="s">
        <v>251</v>
      </c>
      <c r="H1291" s="124" t="s">
        <v>251</v>
      </c>
      <c r="I1291" s="124" t="s">
        <v>251</v>
      </c>
      <c r="J1291" s="124" t="s">
        <v>251</v>
      </c>
      <c r="K1291" s="124" t="s">
        <v>251</v>
      </c>
      <c r="L1291" s="124" t="s">
        <v>251</v>
      </c>
      <c r="M1291" s="124" t="s">
        <v>251</v>
      </c>
      <c r="N1291" s="124" t="s">
        <v>251</v>
      </c>
      <c r="O1291" s="124" t="s">
        <v>251</v>
      </c>
      <c r="P1291" s="124" t="s">
        <v>251</v>
      </c>
      <c r="Q1291" s="124" t="s">
        <v>251</v>
      </c>
      <c r="R1291" s="124"/>
    </row>
    <row r="1292" spans="1:18" ht="15">
      <c r="A1292" s="105">
        <v>1</v>
      </c>
      <c r="B1292" s="105"/>
      <c r="C1292" s="107" t="s">
        <v>1048</v>
      </c>
      <c r="D1292" s="107" t="s">
        <v>712</v>
      </c>
      <c r="E1292" s="124">
        <v>1</v>
      </c>
      <c r="F1292" s="124" t="s">
        <v>251</v>
      </c>
      <c r="G1292" s="124">
        <v>0.94892097697757327</v>
      </c>
      <c r="H1292" s="124" t="s">
        <v>251</v>
      </c>
      <c r="I1292" s="124">
        <v>5.1073574787019391E-2</v>
      </c>
      <c r="J1292" s="124">
        <v>5.4482354073554802E-6</v>
      </c>
      <c r="K1292" s="124" t="s">
        <v>251</v>
      </c>
      <c r="L1292" s="124" t="s">
        <v>251</v>
      </c>
      <c r="M1292" s="124">
        <v>5.4482354073554802E-6</v>
      </c>
      <c r="N1292" s="124" t="s">
        <v>251</v>
      </c>
      <c r="O1292" s="124">
        <v>0</v>
      </c>
      <c r="P1292" s="124">
        <v>0</v>
      </c>
      <c r="Q1292" s="124">
        <v>0</v>
      </c>
      <c r="R1292" s="124"/>
    </row>
    <row r="1293" spans="1:18" ht="15">
      <c r="A1293" s="105">
        <v>2</v>
      </c>
      <c r="B1293" s="105"/>
      <c r="C1293" s="107" t="s">
        <v>1049</v>
      </c>
      <c r="D1293" s="107" t="s">
        <v>587</v>
      </c>
      <c r="E1293" s="124">
        <v>1</v>
      </c>
      <c r="F1293" s="124" t="s">
        <v>251</v>
      </c>
      <c r="G1293" s="124">
        <v>0</v>
      </c>
      <c r="H1293" s="124" t="s">
        <v>251</v>
      </c>
      <c r="I1293" s="124">
        <v>0</v>
      </c>
      <c r="J1293" s="124">
        <v>1</v>
      </c>
      <c r="K1293" s="124" t="s">
        <v>251</v>
      </c>
      <c r="L1293" s="124" t="s">
        <v>251</v>
      </c>
      <c r="M1293" s="124">
        <v>0</v>
      </c>
      <c r="N1293" s="124" t="s">
        <v>251</v>
      </c>
      <c r="O1293" s="124">
        <v>1</v>
      </c>
      <c r="P1293" s="124">
        <v>0.50632304693712848</v>
      </c>
      <c r="Q1293" s="124">
        <v>0.49367695306287152</v>
      </c>
      <c r="R1293" s="124"/>
    </row>
    <row r="1294" spans="1:18" ht="15">
      <c r="A1294" s="105">
        <v>3</v>
      </c>
      <c r="B1294" s="105"/>
      <c r="C1294" s="107" t="s">
        <v>1050</v>
      </c>
      <c r="D1294" s="107" t="s">
        <v>736</v>
      </c>
      <c r="E1294" s="124">
        <v>1</v>
      </c>
      <c r="F1294" s="124" t="s">
        <v>251</v>
      </c>
      <c r="G1294" s="124">
        <v>0</v>
      </c>
      <c r="H1294" s="124" t="s">
        <v>251</v>
      </c>
      <c r="I1294" s="124">
        <v>1</v>
      </c>
      <c r="J1294" s="124">
        <v>0</v>
      </c>
      <c r="K1294" s="124" t="s">
        <v>251</v>
      </c>
      <c r="L1294" s="124" t="s">
        <v>251</v>
      </c>
      <c r="M1294" s="124">
        <v>0</v>
      </c>
      <c r="N1294" s="124" t="s">
        <v>251</v>
      </c>
      <c r="O1294" s="124">
        <v>0</v>
      </c>
      <c r="P1294" s="124">
        <v>0</v>
      </c>
      <c r="Q1294" s="124">
        <v>0</v>
      </c>
      <c r="R1294" s="124"/>
    </row>
    <row r="1295" spans="1:18" ht="15">
      <c r="A1295" s="105">
        <v>4</v>
      </c>
      <c r="B1295" s="105"/>
      <c r="C1295" s="107" t="s">
        <v>1051</v>
      </c>
      <c r="D1295" s="107" t="s">
        <v>1052</v>
      </c>
      <c r="E1295" s="124">
        <v>1</v>
      </c>
      <c r="F1295" s="124" t="s">
        <v>251</v>
      </c>
      <c r="G1295" s="124">
        <v>0.94298873820753526</v>
      </c>
      <c r="H1295" s="124" t="s">
        <v>251</v>
      </c>
      <c r="I1295" s="124">
        <v>4.2221696444698815E-2</v>
      </c>
      <c r="J1295" s="124">
        <v>1.4789565347765965E-2</v>
      </c>
      <c r="K1295" s="124" t="s">
        <v>251</v>
      </c>
      <c r="L1295" s="124" t="s">
        <v>251</v>
      </c>
      <c r="M1295" s="124">
        <v>2.5186334267222042E-8</v>
      </c>
      <c r="N1295" s="124" t="s">
        <v>251</v>
      </c>
      <c r="O1295" s="124">
        <v>1.4789540161431698E-2</v>
      </c>
      <c r="P1295" s="124">
        <v>7.4882850373351288E-3</v>
      </c>
      <c r="Q1295" s="124">
        <v>7.3012551240965702E-3</v>
      </c>
      <c r="R1295" s="124"/>
    </row>
    <row r="1296" spans="1:18" ht="15">
      <c r="A1296" s="105">
        <v>5</v>
      </c>
      <c r="B1296" s="105"/>
      <c r="C1296" s="107" t="s">
        <v>1053</v>
      </c>
      <c r="D1296" s="107" t="s">
        <v>727</v>
      </c>
      <c r="E1296" s="124">
        <v>1</v>
      </c>
      <c r="F1296" s="124" t="s">
        <v>251</v>
      </c>
      <c r="G1296" s="124">
        <v>0</v>
      </c>
      <c r="H1296" s="124" t="s">
        <v>251</v>
      </c>
      <c r="I1296" s="124">
        <v>1</v>
      </c>
      <c r="J1296" s="124">
        <v>0</v>
      </c>
      <c r="K1296" s="124" t="s">
        <v>251</v>
      </c>
      <c r="L1296" s="124" t="s">
        <v>251</v>
      </c>
      <c r="M1296" s="124">
        <v>0</v>
      </c>
      <c r="N1296" s="124" t="s">
        <v>251</v>
      </c>
      <c r="O1296" s="124">
        <v>0</v>
      </c>
      <c r="P1296" s="124">
        <v>0</v>
      </c>
      <c r="Q1296" s="124">
        <v>0</v>
      </c>
      <c r="R1296" s="124"/>
    </row>
    <row r="1297" spans="1:18" ht="15">
      <c r="A1297" s="105">
        <v>6</v>
      </c>
      <c r="B1297" s="105"/>
      <c r="C1297" s="107" t="s">
        <v>1054</v>
      </c>
      <c r="D1297" s="107" t="s">
        <v>1055</v>
      </c>
      <c r="E1297" s="124">
        <v>0.99999999999999989</v>
      </c>
      <c r="F1297" s="124" t="s">
        <v>251</v>
      </c>
      <c r="G1297" s="124">
        <v>0.95714446470863557</v>
      </c>
      <c r="H1297" s="124" t="s">
        <v>251</v>
      </c>
      <c r="I1297" s="124">
        <v>4.2855509726944081E-2</v>
      </c>
      <c r="J1297" s="124">
        <v>2.5564420287771762E-8</v>
      </c>
      <c r="K1297" s="124" t="s">
        <v>251</v>
      </c>
      <c r="L1297" s="124" t="s">
        <v>251</v>
      </c>
      <c r="M1297" s="124">
        <v>2.5564420287771762E-8</v>
      </c>
      <c r="N1297" s="124" t="s">
        <v>251</v>
      </c>
      <c r="O1297" s="124">
        <v>0</v>
      </c>
      <c r="P1297" s="124">
        <v>0</v>
      </c>
      <c r="Q1297" s="124">
        <v>0</v>
      </c>
      <c r="R1297" s="124"/>
    </row>
    <row r="1298" spans="1:18" ht="15">
      <c r="A1298" s="105">
        <v>7</v>
      </c>
      <c r="B1298" s="105"/>
      <c r="C1298" s="107" t="s">
        <v>1056</v>
      </c>
      <c r="D1298" s="107" t="s">
        <v>747</v>
      </c>
      <c r="E1298" s="124">
        <v>1</v>
      </c>
      <c r="F1298" s="124" t="s">
        <v>251</v>
      </c>
      <c r="G1298" s="124">
        <v>0.99809893542499251</v>
      </c>
      <c r="H1298" s="124" t="s">
        <v>251</v>
      </c>
      <c r="I1298" s="124">
        <v>0</v>
      </c>
      <c r="J1298" s="124">
        <v>1.9010645750075204E-3</v>
      </c>
      <c r="K1298" s="124" t="s">
        <v>251</v>
      </c>
      <c r="L1298" s="124" t="s">
        <v>251</v>
      </c>
      <c r="M1298" s="124">
        <v>0</v>
      </c>
      <c r="N1298" s="124" t="s">
        <v>251</v>
      </c>
      <c r="O1298" s="124">
        <v>1.9010645750075204E-3</v>
      </c>
      <c r="P1298" s="124">
        <v>1.88713607757014E-3</v>
      </c>
      <c r="Q1298" s="124">
        <v>1.3928497437380472E-5</v>
      </c>
      <c r="R1298" s="124"/>
    </row>
    <row r="1299" spans="1:18" ht="15">
      <c r="A1299" s="105">
        <v>8</v>
      </c>
      <c r="B1299" s="105"/>
      <c r="C1299" s="107" t="s">
        <v>1057</v>
      </c>
      <c r="D1299" s="107" t="s">
        <v>749</v>
      </c>
      <c r="E1299" s="124">
        <v>1</v>
      </c>
      <c r="F1299" s="124" t="s">
        <v>251</v>
      </c>
      <c r="G1299" s="124">
        <v>0</v>
      </c>
      <c r="H1299" s="124" t="s">
        <v>251</v>
      </c>
      <c r="I1299" s="124">
        <v>1</v>
      </c>
      <c r="J1299" s="124">
        <v>0</v>
      </c>
      <c r="K1299" s="124" t="s">
        <v>251</v>
      </c>
      <c r="L1299" s="124" t="s">
        <v>251</v>
      </c>
      <c r="M1299" s="124">
        <v>0</v>
      </c>
      <c r="N1299" s="124" t="s">
        <v>251</v>
      </c>
      <c r="O1299" s="124">
        <v>0</v>
      </c>
      <c r="P1299" s="124">
        <v>0</v>
      </c>
      <c r="Q1299" s="124">
        <v>0</v>
      </c>
      <c r="R1299" s="124"/>
    </row>
    <row r="1300" spans="1:18" ht="15">
      <c r="A1300" s="105">
        <v>9</v>
      </c>
      <c r="B1300" s="105"/>
      <c r="C1300" s="107" t="s">
        <v>1058</v>
      </c>
      <c r="D1300" s="107" t="s">
        <v>751</v>
      </c>
      <c r="E1300" s="124">
        <v>1</v>
      </c>
      <c r="F1300" s="124" t="s">
        <v>251</v>
      </c>
      <c r="G1300" s="124">
        <v>0</v>
      </c>
      <c r="H1300" s="124" t="s">
        <v>251</v>
      </c>
      <c r="I1300" s="124">
        <v>0</v>
      </c>
      <c r="J1300" s="124">
        <v>1</v>
      </c>
      <c r="K1300" s="124" t="s">
        <v>251</v>
      </c>
      <c r="L1300" s="124" t="s">
        <v>251</v>
      </c>
      <c r="M1300" s="124">
        <v>1</v>
      </c>
      <c r="N1300" s="124" t="s">
        <v>251</v>
      </c>
      <c r="O1300" s="124">
        <v>0</v>
      </c>
      <c r="P1300" s="124">
        <v>0</v>
      </c>
      <c r="Q1300" s="124">
        <v>0</v>
      </c>
      <c r="R1300" s="124"/>
    </row>
    <row r="1301" spans="1:18" ht="15">
      <c r="A1301" s="105">
        <v>10</v>
      </c>
      <c r="B1301" s="105"/>
      <c r="C1301" s="107" t="s">
        <v>474</v>
      </c>
      <c r="D1301" s="107" t="s">
        <v>760</v>
      </c>
      <c r="E1301" s="124">
        <v>0.99999999999999989</v>
      </c>
      <c r="F1301" s="124" t="s">
        <v>251</v>
      </c>
      <c r="G1301" s="124">
        <v>0.93808319058269907</v>
      </c>
      <c r="H1301" s="124" t="s">
        <v>251</v>
      </c>
      <c r="I1301" s="124">
        <v>4.7637575752264599E-2</v>
      </c>
      <c r="J1301" s="124">
        <v>1.4279233665036275E-2</v>
      </c>
      <c r="K1301" s="124" t="s">
        <v>251</v>
      </c>
      <c r="L1301" s="124" t="s">
        <v>251</v>
      </c>
      <c r="M1301" s="124">
        <v>7.9453079733348978E-5</v>
      </c>
      <c r="N1301" s="124" t="s">
        <v>251</v>
      </c>
      <c r="O1301" s="124">
        <v>1.4199780585302926E-2</v>
      </c>
      <c r="P1301" s="124">
        <v>7.3823818061014334E-3</v>
      </c>
      <c r="Q1301" s="124">
        <v>6.8173987792014938E-3</v>
      </c>
      <c r="R1301" s="124"/>
    </row>
    <row r="1302" spans="1:18" ht="15">
      <c r="A1302" s="105">
        <v>11</v>
      </c>
      <c r="B1302" s="105"/>
      <c r="C1302" s="107" t="s">
        <v>547</v>
      </c>
      <c r="D1302" s="107" t="s">
        <v>782</v>
      </c>
      <c r="E1302" s="124">
        <v>0.99999999999999234</v>
      </c>
      <c r="F1302" s="124" t="s">
        <v>251</v>
      </c>
      <c r="G1302" s="124">
        <v>0.93817524378396588</v>
      </c>
      <c r="H1302" s="124" t="s">
        <v>251</v>
      </c>
      <c r="I1302" s="124">
        <v>4.7357889610949916E-2</v>
      </c>
      <c r="J1302" s="124">
        <v>1.4466866605089595E-2</v>
      </c>
      <c r="K1302" s="124" t="s">
        <v>251</v>
      </c>
      <c r="L1302" s="124" t="s">
        <v>251</v>
      </c>
      <c r="M1302" s="124">
        <v>7.6756632962232793E-5</v>
      </c>
      <c r="N1302" s="124" t="s">
        <v>251</v>
      </c>
      <c r="O1302" s="124">
        <v>1.4390109972127309E-2</v>
      </c>
      <c r="P1302" s="124">
        <v>7.4651995151663831E-3</v>
      </c>
      <c r="Q1302" s="124">
        <v>6.924910456961011E-3</v>
      </c>
      <c r="R1302" s="124"/>
    </row>
    <row r="1303" spans="1:18" ht="15">
      <c r="A1303" s="105">
        <v>12</v>
      </c>
      <c r="B1303" s="105"/>
      <c r="C1303" s="107" t="s">
        <v>1059</v>
      </c>
      <c r="D1303" s="107" t="s">
        <v>786</v>
      </c>
      <c r="E1303" s="124">
        <v>1</v>
      </c>
      <c r="F1303" s="124" t="s">
        <v>251</v>
      </c>
      <c r="G1303" s="124">
        <v>0.7788225176236363</v>
      </c>
      <c r="H1303" s="124" t="s">
        <v>251</v>
      </c>
      <c r="I1303" s="124">
        <v>0</v>
      </c>
      <c r="J1303" s="124">
        <v>0.2211774823763637</v>
      </c>
      <c r="K1303" s="124" t="s">
        <v>251</v>
      </c>
      <c r="L1303" s="124" t="s">
        <v>251</v>
      </c>
      <c r="M1303" s="124">
        <v>0</v>
      </c>
      <c r="N1303" s="124" t="s">
        <v>251</v>
      </c>
      <c r="O1303" s="124">
        <v>0.2211774823763637</v>
      </c>
      <c r="P1303" s="124">
        <v>0.11217503775284247</v>
      </c>
      <c r="Q1303" s="124">
        <v>0.10900244462352121</v>
      </c>
      <c r="R1303" s="124"/>
    </row>
    <row r="1304" spans="1:18" ht="15">
      <c r="A1304" s="105">
        <v>13</v>
      </c>
      <c r="B1304" s="105"/>
      <c r="C1304" s="107" t="s">
        <v>1155</v>
      </c>
      <c r="D1304" s="107" t="s">
        <v>1061</v>
      </c>
      <c r="E1304" s="124">
        <v>1</v>
      </c>
      <c r="F1304" s="124" t="s">
        <v>251</v>
      </c>
      <c r="G1304" s="124">
        <v>0.93942747534431381</v>
      </c>
      <c r="H1304" s="124" t="s">
        <v>251</v>
      </c>
      <c r="I1304" s="124">
        <v>4.5953389180308779E-2</v>
      </c>
      <c r="J1304" s="124">
        <v>1.4619135475377455E-2</v>
      </c>
      <c r="K1304" s="124" t="s">
        <v>251</v>
      </c>
      <c r="L1304" s="124" t="s">
        <v>251</v>
      </c>
      <c r="M1304" s="124">
        <v>6.9022035357719103E-5</v>
      </c>
      <c r="N1304" s="124" t="s">
        <v>251</v>
      </c>
      <c r="O1304" s="124">
        <v>1.4550113440019736E-2</v>
      </c>
      <c r="P1304" s="124">
        <v>7.5625512924740778E-3</v>
      </c>
      <c r="Q1304" s="124">
        <v>6.9875621475456572E-3</v>
      </c>
      <c r="R1304" s="124"/>
    </row>
    <row r="1305" spans="1:18" ht="15">
      <c r="A1305" s="105">
        <v>14</v>
      </c>
      <c r="B1305" s="105"/>
      <c r="C1305" s="107" t="s">
        <v>1062</v>
      </c>
      <c r="D1305" s="107" t="s">
        <v>1063</v>
      </c>
      <c r="E1305" s="124">
        <v>1</v>
      </c>
      <c r="F1305" s="124" t="s">
        <v>251</v>
      </c>
      <c r="G1305" s="124">
        <v>0.94019074050376905</v>
      </c>
      <c r="H1305" s="124" t="s">
        <v>251</v>
      </c>
      <c r="I1305" s="124">
        <v>3.9135877971721973E-2</v>
      </c>
      <c r="J1305" s="124">
        <v>2.0673381524509007E-2</v>
      </c>
      <c r="K1305" s="124" t="s">
        <v>251</v>
      </c>
      <c r="L1305" s="124" t="s">
        <v>251</v>
      </c>
      <c r="M1305" s="124">
        <v>4.0512849447281613E-6</v>
      </c>
      <c r="N1305" s="124" t="s">
        <v>251</v>
      </c>
      <c r="O1305" s="124">
        <v>2.0669330239564278E-2</v>
      </c>
      <c r="P1305" s="124">
        <v>1.0469699014596903E-2</v>
      </c>
      <c r="Q1305" s="124">
        <v>1.0199631224967374E-2</v>
      </c>
      <c r="R1305" s="124"/>
    </row>
    <row r="1306" spans="1:18" ht="15">
      <c r="A1306" s="105">
        <v>15</v>
      </c>
      <c r="B1306" s="105"/>
      <c r="C1306" s="107" t="s">
        <v>1064</v>
      </c>
      <c r="D1306" s="107" t="s">
        <v>1065</v>
      </c>
      <c r="E1306" s="124">
        <v>1.0000000000000002</v>
      </c>
      <c r="F1306" s="124" t="s">
        <v>251</v>
      </c>
      <c r="G1306" s="124">
        <v>0.92729533424627819</v>
      </c>
      <c r="H1306" s="124" t="s">
        <v>251</v>
      </c>
      <c r="I1306" s="124">
        <v>4.7520794933138079E-2</v>
      </c>
      <c r="J1306" s="124">
        <v>2.5183870820583858E-2</v>
      </c>
      <c r="K1306" s="124" t="s">
        <v>251</v>
      </c>
      <c r="L1306" s="124" t="s">
        <v>251</v>
      </c>
      <c r="M1306" s="124">
        <v>2.722251789701495E-6</v>
      </c>
      <c r="N1306" s="124" t="s">
        <v>251</v>
      </c>
      <c r="O1306" s="124">
        <v>2.5181148568794158E-2</v>
      </c>
      <c r="P1306" s="124">
        <v>1.2754009508619338E-2</v>
      </c>
      <c r="Q1306" s="124">
        <v>1.2427139060174822E-2</v>
      </c>
      <c r="R1306" s="124"/>
    </row>
    <row r="1307" spans="1:18" ht="15">
      <c r="A1307" s="105">
        <v>16</v>
      </c>
      <c r="B1307" s="105"/>
      <c r="C1307" s="107" t="s">
        <v>1066</v>
      </c>
      <c r="D1307" s="107" t="s">
        <v>1067</v>
      </c>
      <c r="E1307" s="124">
        <v>1</v>
      </c>
      <c r="F1307" s="124" t="s">
        <v>251</v>
      </c>
      <c r="G1307" s="124">
        <v>0.93702736377156226</v>
      </c>
      <c r="H1307" s="124" t="s">
        <v>251</v>
      </c>
      <c r="I1307" s="124">
        <v>4.2827610095803638E-2</v>
      </c>
      <c r="J1307" s="124">
        <v>2.0145026132634147E-2</v>
      </c>
      <c r="K1307" s="124" t="s">
        <v>251</v>
      </c>
      <c r="L1307" s="124" t="s">
        <v>251</v>
      </c>
      <c r="M1307" s="124">
        <v>3.0016907337618178E-6</v>
      </c>
      <c r="N1307" s="124" t="s">
        <v>251</v>
      </c>
      <c r="O1307" s="124">
        <v>2.0142024441900386E-2</v>
      </c>
      <c r="P1307" s="124">
        <v>1.0215471882187894E-2</v>
      </c>
      <c r="Q1307" s="124">
        <v>9.9265525597124933E-3</v>
      </c>
      <c r="R1307" s="124"/>
    </row>
    <row r="1308" spans="1:18" ht="15">
      <c r="A1308" s="105">
        <v>17</v>
      </c>
      <c r="B1308" s="105"/>
      <c r="C1308" s="107" t="s">
        <v>1068</v>
      </c>
      <c r="D1308" s="107" t="s">
        <v>1069</v>
      </c>
      <c r="E1308" s="124">
        <v>0.99999999999999989</v>
      </c>
      <c r="F1308" s="124" t="s">
        <v>251</v>
      </c>
      <c r="G1308" s="124">
        <v>0.93758624163682258</v>
      </c>
      <c r="H1308" s="124" t="s">
        <v>251</v>
      </c>
      <c r="I1308" s="124">
        <v>4.2204597990573349E-2</v>
      </c>
      <c r="J1308" s="124">
        <v>2.0209160372604028E-2</v>
      </c>
      <c r="K1308" s="124" t="s">
        <v>251</v>
      </c>
      <c r="L1308" s="124" t="s">
        <v>251</v>
      </c>
      <c r="M1308" s="124">
        <v>3.1714894027283246E-6</v>
      </c>
      <c r="N1308" s="124" t="s">
        <v>251</v>
      </c>
      <c r="O1308" s="124">
        <v>2.0205988883201298E-2</v>
      </c>
      <c r="P1308" s="124">
        <v>1.0245702945098896E-2</v>
      </c>
      <c r="Q1308" s="124">
        <v>9.9602859381024006E-3</v>
      </c>
      <c r="R1308" s="124"/>
    </row>
    <row r="1309" spans="1:18" ht="15">
      <c r="A1309" s="105">
        <v>18</v>
      </c>
      <c r="B1309" s="105"/>
      <c r="C1309" s="107" t="s">
        <v>1070</v>
      </c>
      <c r="D1309" s="107" t="s">
        <v>1071</v>
      </c>
      <c r="E1309" s="124">
        <v>1</v>
      </c>
      <c r="F1309" s="124" t="s">
        <v>251</v>
      </c>
      <c r="G1309" s="124">
        <v>0.94098748144928557</v>
      </c>
      <c r="H1309" s="124" t="s">
        <v>251</v>
      </c>
      <c r="I1309" s="124">
        <v>3.8410573899342083E-2</v>
      </c>
      <c r="J1309" s="124">
        <v>2.0601944651372311E-2</v>
      </c>
      <c r="K1309" s="124" t="s">
        <v>251</v>
      </c>
      <c r="L1309" s="124" t="s">
        <v>251</v>
      </c>
      <c r="M1309" s="124">
        <v>4.205357844293128E-6</v>
      </c>
      <c r="N1309" s="124" t="s">
        <v>251</v>
      </c>
      <c r="O1309" s="124">
        <v>2.0597739293528018E-2</v>
      </c>
      <c r="P1309" s="124">
        <v>1.043093166176934E-2</v>
      </c>
      <c r="Q1309" s="124">
        <v>1.0166807631758678E-2</v>
      </c>
      <c r="R1309" s="124"/>
    </row>
    <row r="1310" spans="1:18" ht="15">
      <c r="A1310" s="105">
        <v>19</v>
      </c>
      <c r="B1310" s="105"/>
      <c r="C1310" s="107" t="s">
        <v>1072</v>
      </c>
      <c r="D1310" s="107" t="s">
        <v>1073</v>
      </c>
      <c r="E1310" s="124">
        <v>1</v>
      </c>
      <c r="F1310" s="124" t="s">
        <v>251</v>
      </c>
      <c r="G1310" s="124">
        <v>0.91165020258691398</v>
      </c>
      <c r="H1310" s="124" t="s">
        <v>251</v>
      </c>
      <c r="I1310" s="124">
        <v>5.959372858607518E-2</v>
      </c>
      <c r="J1310" s="124">
        <v>2.8756068827010893E-2</v>
      </c>
      <c r="K1310" s="124" t="s">
        <v>251</v>
      </c>
      <c r="L1310" s="124" t="s">
        <v>251</v>
      </c>
      <c r="M1310" s="124">
        <v>2.2656777246004653E-6</v>
      </c>
      <c r="N1310" s="124" t="s">
        <v>251</v>
      </c>
      <c r="O1310" s="124">
        <v>2.8753803149286293E-2</v>
      </c>
      <c r="P1310" s="124">
        <v>1.4583125366805793E-2</v>
      </c>
      <c r="Q1310" s="124">
        <v>1.4170677782480498E-2</v>
      </c>
      <c r="R1310" s="124"/>
    </row>
    <row r="1311" spans="1:18" ht="15">
      <c r="A1311" s="105">
        <v>20</v>
      </c>
      <c r="B1311" s="105"/>
      <c r="C1311" s="107" t="s">
        <v>1156</v>
      </c>
      <c r="D1311" s="107" t="s">
        <v>1075</v>
      </c>
      <c r="E1311" s="124">
        <v>0</v>
      </c>
      <c r="F1311" s="124" t="s">
        <v>251</v>
      </c>
      <c r="G1311" s="124">
        <v>0</v>
      </c>
      <c r="H1311" s="124" t="s">
        <v>251</v>
      </c>
      <c r="I1311" s="124">
        <v>0</v>
      </c>
      <c r="J1311" s="124">
        <v>0</v>
      </c>
      <c r="K1311" s="124" t="s">
        <v>251</v>
      </c>
      <c r="L1311" s="124" t="s">
        <v>251</v>
      </c>
      <c r="M1311" s="124">
        <v>0</v>
      </c>
      <c r="N1311" s="124" t="s">
        <v>251</v>
      </c>
      <c r="O1311" s="124">
        <v>0</v>
      </c>
      <c r="P1311" s="124">
        <v>0</v>
      </c>
      <c r="Q1311" s="124">
        <v>0</v>
      </c>
      <c r="R1311" s="124"/>
    </row>
    <row r="1312" spans="1:18" ht="15">
      <c r="A1312" s="105">
        <v>21</v>
      </c>
      <c r="B1312" s="105"/>
      <c r="C1312" s="107" t="s">
        <v>1157</v>
      </c>
      <c r="D1312" s="107" t="s">
        <v>1077</v>
      </c>
      <c r="E1312" s="124">
        <v>0</v>
      </c>
      <c r="F1312" s="124" t="s">
        <v>251</v>
      </c>
      <c r="G1312" s="124">
        <v>0</v>
      </c>
      <c r="H1312" s="124" t="s">
        <v>251</v>
      </c>
      <c r="I1312" s="124">
        <v>0</v>
      </c>
      <c r="J1312" s="124">
        <v>0</v>
      </c>
      <c r="K1312" s="124" t="s">
        <v>251</v>
      </c>
      <c r="L1312" s="124" t="s">
        <v>251</v>
      </c>
      <c r="M1312" s="124">
        <v>0</v>
      </c>
      <c r="N1312" s="124" t="s">
        <v>251</v>
      </c>
      <c r="O1312" s="124">
        <v>0</v>
      </c>
      <c r="P1312" s="124">
        <v>0</v>
      </c>
      <c r="Q1312" s="124">
        <v>0</v>
      </c>
      <c r="R1312" s="124"/>
    </row>
    <row r="1313" spans="1:18" ht="15">
      <c r="A1313" s="105">
        <v>22</v>
      </c>
      <c r="B1313" s="105"/>
      <c r="C1313" s="107" t="s">
        <v>1158</v>
      </c>
      <c r="D1313" s="107" t="s">
        <v>1079</v>
      </c>
      <c r="E1313" s="124">
        <v>0</v>
      </c>
      <c r="F1313" s="124" t="s">
        <v>251</v>
      </c>
      <c r="G1313" s="124">
        <v>0</v>
      </c>
      <c r="H1313" s="124" t="s">
        <v>251</v>
      </c>
      <c r="I1313" s="124">
        <v>0</v>
      </c>
      <c r="J1313" s="124">
        <v>0</v>
      </c>
      <c r="K1313" s="124" t="s">
        <v>251</v>
      </c>
      <c r="L1313" s="124" t="s">
        <v>251</v>
      </c>
      <c r="M1313" s="124">
        <v>0</v>
      </c>
      <c r="N1313" s="124" t="s">
        <v>251</v>
      </c>
      <c r="O1313" s="124">
        <v>0</v>
      </c>
      <c r="P1313" s="124">
        <v>0</v>
      </c>
      <c r="Q1313" s="124">
        <v>0</v>
      </c>
      <c r="R1313" s="124"/>
    </row>
    <row r="1314" spans="1:18" ht="15">
      <c r="A1314" s="105">
        <v>23</v>
      </c>
      <c r="B1314" s="105"/>
      <c r="C1314" s="107" t="s">
        <v>1159</v>
      </c>
      <c r="D1314" s="107" t="s">
        <v>1081</v>
      </c>
      <c r="E1314" s="124">
        <v>0</v>
      </c>
      <c r="F1314" s="124" t="s">
        <v>251</v>
      </c>
      <c r="G1314" s="124">
        <v>0</v>
      </c>
      <c r="H1314" s="124" t="s">
        <v>251</v>
      </c>
      <c r="I1314" s="124">
        <v>0</v>
      </c>
      <c r="J1314" s="124">
        <v>0</v>
      </c>
      <c r="K1314" s="124" t="s">
        <v>251</v>
      </c>
      <c r="L1314" s="124" t="s">
        <v>251</v>
      </c>
      <c r="M1314" s="124">
        <v>0</v>
      </c>
      <c r="N1314" s="124" t="s">
        <v>251</v>
      </c>
      <c r="O1314" s="124">
        <v>0</v>
      </c>
      <c r="P1314" s="124">
        <v>0</v>
      </c>
      <c r="Q1314" s="124">
        <v>0</v>
      </c>
      <c r="R1314" s="124"/>
    </row>
    <row r="1315" spans="1:18" ht="15">
      <c r="A1315" s="105">
        <v>24</v>
      </c>
      <c r="B1315" s="105"/>
      <c r="C1315" s="107" t="s">
        <v>1160</v>
      </c>
      <c r="D1315" s="107" t="s">
        <v>1083</v>
      </c>
      <c r="E1315" s="124">
        <v>0</v>
      </c>
      <c r="F1315" s="124" t="s">
        <v>251</v>
      </c>
      <c r="G1315" s="124">
        <v>0</v>
      </c>
      <c r="H1315" s="124" t="s">
        <v>251</v>
      </c>
      <c r="I1315" s="124">
        <v>0</v>
      </c>
      <c r="J1315" s="124">
        <v>0</v>
      </c>
      <c r="K1315" s="124" t="s">
        <v>251</v>
      </c>
      <c r="L1315" s="124" t="s">
        <v>251</v>
      </c>
      <c r="M1315" s="124">
        <v>0</v>
      </c>
      <c r="N1315" s="124" t="s">
        <v>251</v>
      </c>
      <c r="O1315" s="124">
        <v>0</v>
      </c>
      <c r="P1315" s="124">
        <v>0</v>
      </c>
      <c r="Q1315" s="124">
        <v>0</v>
      </c>
      <c r="R1315" s="124"/>
    </row>
    <row r="1316" spans="1:18" ht="15">
      <c r="A1316" s="105">
        <v>25</v>
      </c>
      <c r="B1316" s="105"/>
      <c r="C1316" s="107" t="s">
        <v>1161</v>
      </c>
      <c r="D1316" s="107" t="s">
        <v>1085</v>
      </c>
      <c r="E1316" s="124">
        <v>0</v>
      </c>
      <c r="F1316" s="124" t="s">
        <v>251</v>
      </c>
      <c r="G1316" s="124">
        <v>0</v>
      </c>
      <c r="H1316" s="124" t="s">
        <v>251</v>
      </c>
      <c r="I1316" s="124">
        <v>0</v>
      </c>
      <c r="J1316" s="124">
        <v>0</v>
      </c>
      <c r="K1316" s="124" t="s">
        <v>251</v>
      </c>
      <c r="L1316" s="124" t="s">
        <v>251</v>
      </c>
      <c r="M1316" s="124">
        <v>0</v>
      </c>
      <c r="N1316" s="124" t="s">
        <v>251</v>
      </c>
      <c r="O1316" s="124">
        <v>0</v>
      </c>
      <c r="P1316" s="124">
        <v>0</v>
      </c>
      <c r="Q1316" s="124">
        <v>0</v>
      </c>
      <c r="R1316" s="124"/>
    </row>
    <row r="1317" spans="1:18" ht="15">
      <c r="A1317" s="105">
        <v>26</v>
      </c>
      <c r="B1317" s="105"/>
      <c r="C1317" s="107" t="s">
        <v>1086</v>
      </c>
      <c r="D1317" s="107" t="s">
        <v>1087</v>
      </c>
      <c r="E1317" s="124">
        <v>1</v>
      </c>
      <c r="F1317" s="124" t="s">
        <v>251</v>
      </c>
      <c r="G1317" s="124">
        <v>0.90566768884226478</v>
      </c>
      <c r="H1317" s="124" t="s">
        <v>251</v>
      </c>
      <c r="I1317" s="124">
        <v>9.4329411379428948E-2</v>
      </c>
      <c r="J1317" s="124">
        <v>2.899778306317698E-6</v>
      </c>
      <c r="K1317" s="124" t="s">
        <v>251</v>
      </c>
      <c r="L1317" s="124" t="s">
        <v>251</v>
      </c>
      <c r="M1317" s="124">
        <v>2.899778306317698E-6</v>
      </c>
      <c r="N1317" s="124" t="s">
        <v>251</v>
      </c>
      <c r="O1317" s="124">
        <v>0</v>
      </c>
      <c r="P1317" s="124">
        <v>0</v>
      </c>
      <c r="Q1317" s="124">
        <v>0</v>
      </c>
      <c r="R1317" s="124"/>
    </row>
    <row r="1318" spans="1:18" ht="15">
      <c r="A1318" s="105">
        <v>27</v>
      </c>
      <c r="B1318" s="105"/>
      <c r="C1318" s="107" t="s">
        <v>1088</v>
      </c>
      <c r="D1318" s="107" t="s">
        <v>1089</v>
      </c>
      <c r="E1318" s="124">
        <v>1</v>
      </c>
      <c r="F1318" s="124" t="s">
        <v>251</v>
      </c>
      <c r="G1318" s="124">
        <v>0.90597866138162142</v>
      </c>
      <c r="H1318" s="124" t="s">
        <v>251</v>
      </c>
      <c r="I1318" s="124">
        <v>9.4018448399378216E-2</v>
      </c>
      <c r="J1318" s="124">
        <v>2.8902190003660057E-6</v>
      </c>
      <c r="K1318" s="124" t="s">
        <v>251</v>
      </c>
      <c r="L1318" s="124" t="s">
        <v>251</v>
      </c>
      <c r="M1318" s="124">
        <v>2.8902190003660057E-6</v>
      </c>
      <c r="N1318" s="124" t="s">
        <v>251</v>
      </c>
      <c r="O1318" s="124">
        <v>0</v>
      </c>
      <c r="P1318" s="124">
        <v>0</v>
      </c>
      <c r="Q1318" s="124">
        <v>0</v>
      </c>
      <c r="R1318" s="124"/>
    </row>
    <row r="1319" spans="1:18" ht="15">
      <c r="A1319" s="105">
        <v>28</v>
      </c>
      <c r="B1319" s="105"/>
      <c r="C1319" s="107" t="s">
        <v>1090</v>
      </c>
      <c r="D1319" s="107" t="s">
        <v>635</v>
      </c>
      <c r="E1319" s="124">
        <v>1</v>
      </c>
      <c r="F1319" s="124" t="s">
        <v>251</v>
      </c>
      <c r="G1319" s="124">
        <v>0.90566768884226478</v>
      </c>
      <c r="H1319" s="124" t="s">
        <v>251</v>
      </c>
      <c r="I1319" s="124">
        <v>9.4329411379428948E-2</v>
      </c>
      <c r="J1319" s="124">
        <v>2.899778306317698E-6</v>
      </c>
      <c r="K1319" s="124" t="s">
        <v>251</v>
      </c>
      <c r="L1319" s="124" t="s">
        <v>251</v>
      </c>
      <c r="M1319" s="124">
        <v>2.899778306317698E-6</v>
      </c>
      <c r="N1319" s="124" t="s">
        <v>251</v>
      </c>
      <c r="O1319" s="124">
        <v>0</v>
      </c>
      <c r="P1319" s="124">
        <v>0</v>
      </c>
      <c r="Q1319" s="124">
        <v>0</v>
      </c>
      <c r="R1319" s="124"/>
    </row>
    <row r="1320" spans="1:18" ht="15">
      <c r="A1320" s="105">
        <v>29</v>
      </c>
      <c r="B1320" s="105"/>
      <c r="C1320" s="107" t="s">
        <v>1091</v>
      </c>
      <c r="D1320" s="107" t="s">
        <v>1092</v>
      </c>
      <c r="E1320" s="124">
        <v>0</v>
      </c>
      <c r="F1320" s="124" t="s">
        <v>251</v>
      </c>
      <c r="G1320" s="124">
        <v>0</v>
      </c>
      <c r="H1320" s="124" t="s">
        <v>251</v>
      </c>
      <c r="I1320" s="124">
        <v>0</v>
      </c>
      <c r="J1320" s="124">
        <v>0</v>
      </c>
      <c r="K1320" s="124" t="s">
        <v>251</v>
      </c>
      <c r="L1320" s="124" t="s">
        <v>251</v>
      </c>
      <c r="M1320" s="124">
        <v>0</v>
      </c>
      <c r="N1320" s="124" t="s">
        <v>251</v>
      </c>
      <c r="O1320" s="124">
        <v>0</v>
      </c>
      <c r="P1320" s="124">
        <v>0</v>
      </c>
      <c r="Q1320" s="124">
        <v>0</v>
      </c>
      <c r="R1320" s="124"/>
    </row>
    <row r="1321" spans="1:18" ht="15">
      <c r="A1321" s="105">
        <v>30</v>
      </c>
      <c r="B1321" s="105"/>
      <c r="C1321" s="107" t="s">
        <v>1093</v>
      </c>
      <c r="D1321" s="107" t="s">
        <v>1094</v>
      </c>
      <c r="E1321" s="124">
        <v>1</v>
      </c>
      <c r="F1321" s="124" t="s">
        <v>251</v>
      </c>
      <c r="G1321" s="124">
        <v>0.94638490966677413</v>
      </c>
      <c r="H1321" s="124" t="s">
        <v>251</v>
      </c>
      <c r="I1321" s="124">
        <v>5.1464591566907886E-2</v>
      </c>
      <c r="J1321" s="124">
        <v>2.1504987663179594E-3</v>
      </c>
      <c r="K1321" s="124" t="s">
        <v>251</v>
      </c>
      <c r="L1321" s="124" t="s">
        <v>251</v>
      </c>
      <c r="M1321" s="124">
        <v>3.0608502034794414E-4</v>
      </c>
      <c r="N1321" s="124" t="s">
        <v>251</v>
      </c>
      <c r="O1321" s="124">
        <v>1.8444137459700152E-3</v>
      </c>
      <c r="P1321" s="124">
        <v>1.7231697545938487E-3</v>
      </c>
      <c r="Q1321" s="124">
        <v>1.2124399137616644E-4</v>
      </c>
      <c r="R1321" s="124"/>
    </row>
    <row r="1322" spans="1:18" ht="15">
      <c r="A1322" s="105">
        <v>31</v>
      </c>
      <c r="B1322" s="105"/>
      <c r="C1322" s="107" t="s">
        <v>1095</v>
      </c>
      <c r="D1322" s="107" t="s">
        <v>1096</v>
      </c>
      <c r="E1322" s="124">
        <v>1</v>
      </c>
      <c r="F1322" s="124" t="s">
        <v>251</v>
      </c>
      <c r="G1322" s="124">
        <v>0.94057590201988206</v>
      </c>
      <c r="H1322" s="124" t="s">
        <v>251</v>
      </c>
      <c r="I1322" s="124">
        <v>5.8798591189751385E-2</v>
      </c>
      <c r="J1322" s="124">
        <v>6.255067903665661E-4</v>
      </c>
      <c r="K1322" s="124" t="s">
        <v>251</v>
      </c>
      <c r="L1322" s="124" t="s">
        <v>251</v>
      </c>
      <c r="M1322" s="124">
        <v>1.5980499620320293E-4</v>
      </c>
      <c r="N1322" s="124" t="s">
        <v>251</v>
      </c>
      <c r="O1322" s="124">
        <v>4.6570179416336322E-4</v>
      </c>
      <c r="P1322" s="124">
        <v>4.6556802729102786E-4</v>
      </c>
      <c r="Q1322" s="124">
        <v>1.3376687233535733E-7</v>
      </c>
      <c r="R1322" s="124"/>
    </row>
    <row r="1323" spans="1:18" ht="15">
      <c r="A1323" s="105">
        <v>32</v>
      </c>
      <c r="B1323" s="105"/>
      <c r="C1323" s="107" t="s">
        <v>1097</v>
      </c>
      <c r="D1323" s="107" t="s">
        <v>1098</v>
      </c>
      <c r="E1323" s="124">
        <v>1.0000000000000002</v>
      </c>
      <c r="F1323" s="124" t="s">
        <v>251</v>
      </c>
      <c r="G1323" s="124">
        <v>0.94880563710348231</v>
      </c>
      <c r="H1323" s="124" t="s">
        <v>251</v>
      </c>
      <c r="I1323" s="124">
        <v>4.9068095046134456E-2</v>
      </c>
      <c r="J1323" s="124">
        <v>2.1262678503833959E-3</v>
      </c>
      <c r="K1323" s="124" t="s">
        <v>251</v>
      </c>
      <c r="L1323" s="124" t="s">
        <v>251</v>
      </c>
      <c r="M1323" s="124">
        <v>3.1909150618978689E-4</v>
      </c>
      <c r="N1323" s="124" t="s">
        <v>251</v>
      </c>
      <c r="O1323" s="124">
        <v>1.8071763441936089E-3</v>
      </c>
      <c r="P1323" s="124">
        <v>1.7939357360575619E-3</v>
      </c>
      <c r="Q1323" s="124">
        <v>1.3240608136046997E-5</v>
      </c>
      <c r="R1323" s="124"/>
    </row>
    <row r="1324" spans="1:18" ht="15">
      <c r="A1324" s="105">
        <v>33</v>
      </c>
      <c r="B1324" s="105"/>
      <c r="C1324" s="107" t="s">
        <v>1099</v>
      </c>
      <c r="D1324" s="107" t="s">
        <v>1100</v>
      </c>
      <c r="E1324" s="124">
        <v>0</v>
      </c>
      <c r="F1324" s="124" t="s">
        <v>251</v>
      </c>
      <c r="G1324" s="124">
        <v>0</v>
      </c>
      <c r="H1324" s="124" t="s">
        <v>251</v>
      </c>
      <c r="I1324" s="124">
        <v>0</v>
      </c>
      <c r="J1324" s="124">
        <v>0</v>
      </c>
      <c r="K1324" s="124" t="s">
        <v>251</v>
      </c>
      <c r="L1324" s="124" t="s">
        <v>251</v>
      </c>
      <c r="M1324" s="124">
        <v>0</v>
      </c>
      <c r="N1324" s="124" t="s">
        <v>251</v>
      </c>
      <c r="O1324" s="124">
        <v>0</v>
      </c>
      <c r="P1324" s="124">
        <v>0</v>
      </c>
      <c r="Q1324" s="124">
        <v>0</v>
      </c>
      <c r="R1324" s="124"/>
    </row>
    <row r="1325" spans="1:18" ht="15">
      <c r="A1325" s="105">
        <v>34</v>
      </c>
      <c r="B1325" s="105"/>
      <c r="C1325" s="107" t="s">
        <v>1101</v>
      </c>
      <c r="D1325" s="107" t="s">
        <v>885</v>
      </c>
      <c r="E1325" s="124">
        <v>1</v>
      </c>
      <c r="F1325" s="124" t="s">
        <v>251</v>
      </c>
      <c r="G1325" s="124">
        <v>0.95003195393362805</v>
      </c>
      <c r="H1325" s="124" t="s">
        <v>251</v>
      </c>
      <c r="I1325" s="124">
        <v>4.9682107773700267E-2</v>
      </c>
      <c r="J1325" s="124">
        <v>2.8593829267167825E-4</v>
      </c>
      <c r="K1325" s="124" t="s">
        <v>251</v>
      </c>
      <c r="L1325" s="124" t="s">
        <v>251</v>
      </c>
      <c r="M1325" s="124">
        <v>6.5884399233105591E-6</v>
      </c>
      <c r="N1325" s="124" t="s">
        <v>251</v>
      </c>
      <c r="O1325" s="124">
        <v>2.7934985274836771E-4</v>
      </c>
      <c r="P1325" s="124">
        <v>1.1200347869627951E-4</v>
      </c>
      <c r="Q1325" s="124">
        <v>1.6734637405208821E-4</v>
      </c>
      <c r="R1325" s="124"/>
    </row>
    <row r="1326" spans="1:18" ht="15">
      <c r="A1326" s="105">
        <v>35</v>
      </c>
      <c r="B1326" s="105"/>
      <c r="C1326" s="107" t="s">
        <v>1102</v>
      </c>
      <c r="D1326" s="107" t="s">
        <v>685</v>
      </c>
      <c r="E1326" s="124">
        <v>1</v>
      </c>
      <c r="F1326" s="124" t="s">
        <v>251</v>
      </c>
      <c r="G1326" s="124">
        <v>0.95003195393362805</v>
      </c>
      <c r="H1326" s="124" t="s">
        <v>251</v>
      </c>
      <c r="I1326" s="124">
        <v>4.9682107773700267E-2</v>
      </c>
      <c r="J1326" s="124">
        <v>2.8593829267167825E-4</v>
      </c>
      <c r="K1326" s="124" t="s">
        <v>251</v>
      </c>
      <c r="L1326" s="124" t="s">
        <v>251</v>
      </c>
      <c r="M1326" s="124">
        <v>6.5884399233105591E-6</v>
      </c>
      <c r="N1326" s="124" t="s">
        <v>251</v>
      </c>
      <c r="O1326" s="124">
        <v>2.7934985274836771E-4</v>
      </c>
      <c r="P1326" s="124">
        <v>1.1200347869627951E-4</v>
      </c>
      <c r="Q1326" s="124">
        <v>1.6734637405208823E-4</v>
      </c>
      <c r="R1326" s="124"/>
    </row>
    <row r="1327" spans="1:18" ht="15">
      <c r="A1327" s="105">
        <v>36</v>
      </c>
      <c r="B1327" s="105"/>
      <c r="C1327" s="107" t="s">
        <v>1162</v>
      </c>
      <c r="D1327" s="107" t="s">
        <v>893</v>
      </c>
      <c r="E1327" s="124">
        <v>0.99999999999999989</v>
      </c>
      <c r="F1327" s="124" t="s">
        <v>251</v>
      </c>
      <c r="G1327" s="124">
        <v>0.98727798895375041</v>
      </c>
      <c r="H1327" s="124" t="s">
        <v>251</v>
      </c>
      <c r="I1327" s="124">
        <v>1.2720654079985606E-2</v>
      </c>
      <c r="J1327" s="124">
        <v>1.3569662639105649E-6</v>
      </c>
      <c r="K1327" s="124" t="s">
        <v>251</v>
      </c>
      <c r="L1327" s="124" t="s">
        <v>251</v>
      </c>
      <c r="M1327" s="124">
        <v>1.3569662639105649E-6</v>
      </c>
      <c r="N1327" s="124" t="s">
        <v>251</v>
      </c>
      <c r="O1327" s="124">
        <v>0</v>
      </c>
      <c r="P1327" s="124">
        <v>0</v>
      </c>
      <c r="Q1327" s="124">
        <v>0</v>
      </c>
      <c r="R1327" s="124"/>
    </row>
    <row r="1328" spans="1:18" ht="15">
      <c r="A1328" s="105">
        <v>37</v>
      </c>
      <c r="B1328" s="105"/>
      <c r="C1328" s="107" t="s">
        <v>1104</v>
      </c>
      <c r="D1328" s="107" t="s">
        <v>1105</v>
      </c>
      <c r="E1328" s="124">
        <v>1</v>
      </c>
      <c r="F1328" s="124" t="s">
        <v>251</v>
      </c>
      <c r="G1328" s="124">
        <v>0.95003195393362805</v>
      </c>
      <c r="H1328" s="124" t="s">
        <v>251</v>
      </c>
      <c r="I1328" s="124">
        <v>4.9682107773700267E-2</v>
      </c>
      <c r="J1328" s="124">
        <v>2.8593829267167825E-4</v>
      </c>
      <c r="K1328" s="124" t="s">
        <v>251</v>
      </c>
      <c r="L1328" s="124" t="s">
        <v>251</v>
      </c>
      <c r="M1328" s="124">
        <v>6.5884399233105591E-6</v>
      </c>
      <c r="N1328" s="124" t="s">
        <v>251</v>
      </c>
      <c r="O1328" s="124">
        <v>2.7934985274836771E-4</v>
      </c>
      <c r="P1328" s="124">
        <v>1.1200347869627951E-4</v>
      </c>
      <c r="Q1328" s="124">
        <v>1.6734637405208823E-4</v>
      </c>
      <c r="R1328" s="124"/>
    </row>
    <row r="1329" spans="1:18" ht="15">
      <c r="A1329" s="105">
        <v>38</v>
      </c>
      <c r="B1329" s="105"/>
      <c r="C1329" s="107" t="s">
        <v>1106</v>
      </c>
      <c r="D1329" s="107" t="s">
        <v>1107</v>
      </c>
      <c r="E1329" s="124">
        <v>1</v>
      </c>
      <c r="F1329" s="124" t="s">
        <v>251</v>
      </c>
      <c r="G1329" s="124">
        <v>0.94892097697757327</v>
      </c>
      <c r="H1329" s="124" t="s">
        <v>251</v>
      </c>
      <c r="I1329" s="124">
        <v>5.1073574787019391E-2</v>
      </c>
      <c r="J1329" s="124">
        <v>5.4482354073554802E-6</v>
      </c>
      <c r="K1329" s="124" t="s">
        <v>251</v>
      </c>
      <c r="L1329" s="124" t="s">
        <v>251</v>
      </c>
      <c r="M1329" s="124">
        <v>5.4482354073554802E-6</v>
      </c>
      <c r="N1329" s="124" t="s">
        <v>251</v>
      </c>
      <c r="O1329" s="124">
        <v>0</v>
      </c>
      <c r="P1329" s="124">
        <v>0</v>
      </c>
      <c r="Q1329" s="124">
        <v>0</v>
      </c>
      <c r="R1329" s="124"/>
    </row>
    <row r="1330" spans="1:18" ht="15">
      <c r="A1330" s="105">
        <v>39</v>
      </c>
      <c r="B1330" s="105"/>
      <c r="C1330" s="107" t="s">
        <v>1108</v>
      </c>
      <c r="D1330" s="107" t="s">
        <v>697</v>
      </c>
      <c r="E1330" s="124">
        <v>1</v>
      </c>
      <c r="F1330" s="124" t="s">
        <v>251</v>
      </c>
      <c r="G1330" s="124">
        <v>0.98727798895375052</v>
      </c>
      <c r="H1330" s="124" t="s">
        <v>251</v>
      </c>
      <c r="I1330" s="124">
        <v>1.2720654079985608E-2</v>
      </c>
      <c r="J1330" s="124">
        <v>1.3569662639105649E-6</v>
      </c>
      <c r="K1330" s="124" t="s">
        <v>251</v>
      </c>
      <c r="L1330" s="124" t="s">
        <v>251</v>
      </c>
      <c r="M1330" s="124">
        <v>1.3569662639105649E-6</v>
      </c>
      <c r="N1330" s="124" t="s">
        <v>251</v>
      </c>
      <c r="O1330" s="124">
        <v>0</v>
      </c>
      <c r="P1330" s="124">
        <v>0</v>
      </c>
      <c r="Q1330" s="124">
        <v>0</v>
      </c>
      <c r="R1330" s="124"/>
    </row>
    <row r="1331" spans="1:18" ht="15">
      <c r="A1331" s="105">
        <v>40</v>
      </c>
      <c r="B1331" s="105"/>
      <c r="C1331" s="107" t="s">
        <v>1109</v>
      </c>
      <c r="D1331" s="107" t="s">
        <v>1110</v>
      </c>
      <c r="E1331" s="124">
        <v>1</v>
      </c>
      <c r="F1331" s="124" t="s">
        <v>251</v>
      </c>
      <c r="G1331" s="124">
        <v>0.94013180155259912</v>
      </c>
      <c r="H1331" s="124" t="s">
        <v>251</v>
      </c>
      <c r="I1331" s="124">
        <v>4.7647114649747337E-2</v>
      </c>
      <c r="J1331" s="124">
        <v>1.2221083797653557E-2</v>
      </c>
      <c r="K1331" s="124" t="s">
        <v>251</v>
      </c>
      <c r="L1331" s="124" t="s">
        <v>251</v>
      </c>
      <c r="M1331" s="124">
        <v>6.6547834340141706E-5</v>
      </c>
      <c r="N1331" s="124" t="s">
        <v>251</v>
      </c>
      <c r="O1331" s="124">
        <v>1.2154535963313414E-2</v>
      </c>
      <c r="P1331" s="124">
        <v>6.3335687648478226E-3</v>
      </c>
      <c r="Q1331" s="124">
        <v>5.8209671984655919E-3</v>
      </c>
      <c r="R1331" s="124"/>
    </row>
    <row r="1332" spans="1:18" ht="15">
      <c r="A1332" s="105" t="s">
        <v>251</v>
      </c>
      <c r="B1332" s="105"/>
      <c r="C1332" s="107" t="s">
        <v>251</v>
      </c>
      <c r="D1332" s="107" t="s">
        <v>251</v>
      </c>
      <c r="E1332" s="124" t="s">
        <v>251</v>
      </c>
      <c r="F1332" s="124" t="s">
        <v>251</v>
      </c>
      <c r="G1332" s="124" t="s">
        <v>251</v>
      </c>
      <c r="H1332" s="124" t="s">
        <v>251</v>
      </c>
      <c r="I1332" s="124" t="s">
        <v>251</v>
      </c>
      <c r="J1332" s="124" t="s">
        <v>251</v>
      </c>
      <c r="K1332" s="124" t="s">
        <v>251</v>
      </c>
      <c r="L1332" s="124" t="s">
        <v>251</v>
      </c>
      <c r="M1332" s="124" t="s">
        <v>251</v>
      </c>
      <c r="N1332" s="124" t="s">
        <v>251</v>
      </c>
      <c r="O1332" s="124" t="s">
        <v>251</v>
      </c>
      <c r="P1332" s="124" t="s">
        <v>251</v>
      </c>
      <c r="Q1332" s="124" t="s">
        <v>251</v>
      </c>
      <c r="R1332" s="124"/>
    </row>
    <row r="1333" spans="1:18" ht="15">
      <c r="A1333" s="105" t="s">
        <v>251</v>
      </c>
      <c r="B1333" s="105"/>
      <c r="C1333" s="107" t="s">
        <v>1047</v>
      </c>
      <c r="D1333" s="107" t="s">
        <v>251</v>
      </c>
      <c r="E1333" s="124" t="s">
        <v>251</v>
      </c>
      <c r="F1333" s="124" t="s">
        <v>251</v>
      </c>
      <c r="G1333" s="124" t="s">
        <v>251</v>
      </c>
      <c r="H1333" s="124" t="s">
        <v>251</v>
      </c>
      <c r="I1333" s="124" t="s">
        <v>251</v>
      </c>
      <c r="J1333" s="124" t="s">
        <v>251</v>
      </c>
      <c r="K1333" s="124" t="s">
        <v>251</v>
      </c>
      <c r="L1333" s="124" t="s">
        <v>251</v>
      </c>
      <c r="M1333" s="124" t="s">
        <v>251</v>
      </c>
      <c r="N1333" s="124" t="s">
        <v>251</v>
      </c>
      <c r="O1333" s="124" t="s">
        <v>251</v>
      </c>
      <c r="P1333" s="124" t="s">
        <v>251</v>
      </c>
      <c r="Q1333" s="124" t="s">
        <v>251</v>
      </c>
      <c r="R1333" s="124"/>
    </row>
    <row r="1334" spans="1:18" ht="15">
      <c r="A1334" s="105" t="s">
        <v>251</v>
      </c>
      <c r="B1334" s="105"/>
      <c r="C1334" s="107" t="s">
        <v>920</v>
      </c>
      <c r="D1334" s="107" t="s">
        <v>251</v>
      </c>
      <c r="E1334" s="124" t="s">
        <v>251</v>
      </c>
      <c r="F1334" s="124" t="s">
        <v>251</v>
      </c>
      <c r="G1334" s="124" t="s">
        <v>251</v>
      </c>
      <c r="H1334" s="124" t="s">
        <v>251</v>
      </c>
      <c r="I1334" s="124" t="s">
        <v>251</v>
      </c>
      <c r="J1334" s="124" t="s">
        <v>251</v>
      </c>
      <c r="K1334" s="124" t="s">
        <v>251</v>
      </c>
      <c r="L1334" s="124" t="s">
        <v>251</v>
      </c>
      <c r="M1334" s="124" t="s">
        <v>251</v>
      </c>
      <c r="N1334" s="124" t="s">
        <v>251</v>
      </c>
      <c r="O1334" s="124" t="s">
        <v>251</v>
      </c>
      <c r="P1334" s="124" t="s">
        <v>251</v>
      </c>
      <c r="Q1334" s="124" t="s">
        <v>251</v>
      </c>
      <c r="R1334" s="124"/>
    </row>
    <row r="1335" spans="1:18" ht="15">
      <c r="A1335" s="105">
        <v>1</v>
      </c>
      <c r="B1335" s="105"/>
      <c r="C1335" s="107" t="s">
        <v>1111</v>
      </c>
      <c r="D1335" s="107" t="s">
        <v>1112</v>
      </c>
      <c r="E1335" s="124">
        <v>1</v>
      </c>
      <c r="F1335" s="124" t="s">
        <v>251</v>
      </c>
      <c r="G1335" s="124">
        <v>0.94232400229813329</v>
      </c>
      <c r="H1335" s="124" t="s">
        <v>251</v>
      </c>
      <c r="I1335" s="124">
        <v>4.6040820138747857E-2</v>
      </c>
      <c r="J1335" s="124">
        <v>1.1635177563118874E-2</v>
      </c>
      <c r="K1335" s="124" t="s">
        <v>251</v>
      </c>
      <c r="L1335" s="124" t="s">
        <v>251</v>
      </c>
      <c r="M1335" s="124">
        <v>6.5521862032225981E-5</v>
      </c>
      <c r="N1335" s="124" t="s">
        <v>251</v>
      </c>
      <c r="O1335" s="124">
        <v>1.1569655701086649E-2</v>
      </c>
      <c r="P1335" s="124">
        <v>6.0310267899442577E-3</v>
      </c>
      <c r="Q1335" s="124">
        <v>5.5386289111423919E-3</v>
      </c>
      <c r="R1335" s="124"/>
    </row>
    <row r="1336" spans="1:18" ht="15">
      <c r="A1336" s="105">
        <v>2</v>
      </c>
      <c r="B1336" s="105"/>
      <c r="C1336" s="107" t="s">
        <v>1113</v>
      </c>
      <c r="D1336" s="107" t="s">
        <v>1114</v>
      </c>
      <c r="E1336" s="124">
        <v>1</v>
      </c>
      <c r="F1336" s="124" t="s">
        <v>251</v>
      </c>
      <c r="G1336" s="124">
        <v>0.99051360669709199</v>
      </c>
      <c r="H1336" s="124" t="s">
        <v>251</v>
      </c>
      <c r="I1336" s="124">
        <v>9.4853814569324166E-3</v>
      </c>
      <c r="J1336" s="124">
        <v>1.0118459755643872E-6</v>
      </c>
      <c r="K1336" s="124" t="s">
        <v>251</v>
      </c>
      <c r="L1336" s="124" t="s">
        <v>251</v>
      </c>
      <c r="M1336" s="124">
        <v>1.0118459755643872E-6</v>
      </c>
      <c r="N1336" s="124" t="s">
        <v>251</v>
      </c>
      <c r="O1336" s="124">
        <v>0</v>
      </c>
      <c r="P1336" s="124">
        <v>0</v>
      </c>
      <c r="Q1336" s="124">
        <v>0</v>
      </c>
      <c r="R1336" s="124"/>
    </row>
    <row r="1337" spans="1:18" ht="15">
      <c r="A1337" s="105">
        <v>3</v>
      </c>
      <c r="B1337" s="105"/>
      <c r="C1337" s="107" t="s">
        <v>1115</v>
      </c>
      <c r="D1337" s="107" t="s">
        <v>525</v>
      </c>
      <c r="E1337" s="124">
        <v>0.99999999999999989</v>
      </c>
      <c r="F1337" s="124" t="s">
        <v>251</v>
      </c>
      <c r="G1337" s="124">
        <v>0.99776401670897075</v>
      </c>
      <c r="H1337" s="124" t="s">
        <v>251</v>
      </c>
      <c r="I1337" s="124">
        <v>0</v>
      </c>
      <c r="J1337" s="124">
        <v>2.2359832910291842E-3</v>
      </c>
      <c r="K1337" s="124" t="s">
        <v>251</v>
      </c>
      <c r="L1337" s="124" t="s">
        <v>251</v>
      </c>
      <c r="M1337" s="124">
        <v>3.3555663084547312E-4</v>
      </c>
      <c r="N1337" s="124" t="s">
        <v>251</v>
      </c>
      <c r="O1337" s="124">
        <v>1.9004266601837111E-3</v>
      </c>
      <c r="P1337" s="124">
        <v>1.8865028365460034E-3</v>
      </c>
      <c r="Q1337" s="124">
        <v>1.3923823637707645E-5</v>
      </c>
      <c r="R1337" s="124"/>
    </row>
    <row r="1338" spans="1:18" ht="15">
      <c r="A1338" s="105">
        <v>4</v>
      </c>
      <c r="B1338" s="105"/>
      <c r="C1338" s="107" t="s">
        <v>1116</v>
      </c>
      <c r="D1338" s="107" t="s">
        <v>429</v>
      </c>
      <c r="E1338" s="124">
        <v>1</v>
      </c>
      <c r="F1338" s="124" t="s">
        <v>251</v>
      </c>
      <c r="G1338" s="124">
        <v>1</v>
      </c>
      <c r="H1338" s="124" t="s">
        <v>251</v>
      </c>
      <c r="I1338" s="124">
        <v>0</v>
      </c>
      <c r="J1338" s="124">
        <v>0</v>
      </c>
      <c r="K1338" s="124" t="s">
        <v>251</v>
      </c>
      <c r="L1338" s="124" t="s">
        <v>251</v>
      </c>
      <c r="M1338" s="124">
        <v>0</v>
      </c>
      <c r="N1338" s="124" t="s">
        <v>251</v>
      </c>
      <c r="O1338" s="124">
        <v>0</v>
      </c>
      <c r="P1338" s="124">
        <v>0</v>
      </c>
      <c r="Q1338" s="124">
        <v>0</v>
      </c>
      <c r="R1338" s="124"/>
    </row>
    <row r="1339" spans="1:18" ht="15">
      <c r="A1339" s="105">
        <v>5</v>
      </c>
      <c r="B1339" s="105"/>
      <c r="C1339" s="107" t="s">
        <v>1117</v>
      </c>
      <c r="D1339" s="107" t="s">
        <v>1118</v>
      </c>
      <c r="E1339" s="124">
        <v>1</v>
      </c>
      <c r="F1339" s="124" t="s">
        <v>251</v>
      </c>
      <c r="G1339" s="124">
        <v>0</v>
      </c>
      <c r="H1339" s="124" t="s">
        <v>251</v>
      </c>
      <c r="I1339" s="124">
        <v>1</v>
      </c>
      <c r="J1339" s="124">
        <v>0</v>
      </c>
      <c r="K1339" s="124" t="s">
        <v>251</v>
      </c>
      <c r="L1339" s="124" t="s">
        <v>251</v>
      </c>
      <c r="M1339" s="124">
        <v>0</v>
      </c>
      <c r="N1339" s="124" t="s">
        <v>251</v>
      </c>
      <c r="O1339" s="124">
        <v>0</v>
      </c>
      <c r="P1339" s="124">
        <v>0</v>
      </c>
      <c r="Q1339" s="124">
        <v>0</v>
      </c>
      <c r="R1339" s="124"/>
    </row>
    <row r="1340" spans="1:18" ht="15">
      <c r="A1340" s="105">
        <v>6</v>
      </c>
      <c r="B1340" s="105"/>
      <c r="C1340" s="107" t="s">
        <v>1119</v>
      </c>
      <c r="D1340" s="107" t="s">
        <v>1120</v>
      </c>
      <c r="E1340" s="124">
        <v>0</v>
      </c>
      <c r="F1340" s="124" t="s">
        <v>251</v>
      </c>
      <c r="G1340" s="124">
        <v>0</v>
      </c>
      <c r="H1340" s="124" t="s">
        <v>251</v>
      </c>
      <c r="I1340" s="124">
        <v>0</v>
      </c>
      <c r="J1340" s="124">
        <v>0</v>
      </c>
      <c r="K1340" s="124" t="s">
        <v>251</v>
      </c>
      <c r="L1340" s="124" t="s">
        <v>251</v>
      </c>
      <c r="M1340" s="124">
        <v>0</v>
      </c>
      <c r="N1340" s="124" t="s">
        <v>251</v>
      </c>
      <c r="O1340" s="124">
        <v>0</v>
      </c>
      <c r="P1340" s="124">
        <v>0</v>
      </c>
      <c r="Q1340" s="124">
        <v>0</v>
      </c>
      <c r="R1340" s="124"/>
    </row>
    <row r="1341" spans="1:18" ht="15">
      <c r="A1341" s="105">
        <v>7</v>
      </c>
      <c r="B1341" s="105"/>
      <c r="C1341" s="107" t="s">
        <v>1121</v>
      </c>
      <c r="D1341" s="107" t="s">
        <v>1122</v>
      </c>
      <c r="E1341" s="124">
        <v>1</v>
      </c>
      <c r="F1341" s="124" t="s">
        <v>251</v>
      </c>
      <c r="G1341" s="124">
        <v>0</v>
      </c>
      <c r="H1341" s="124" t="s">
        <v>251</v>
      </c>
      <c r="I1341" s="124">
        <v>0</v>
      </c>
      <c r="J1341" s="124">
        <v>1</v>
      </c>
      <c r="K1341" s="124" t="s">
        <v>251</v>
      </c>
      <c r="L1341" s="124" t="s">
        <v>251</v>
      </c>
      <c r="M1341" s="124">
        <v>0</v>
      </c>
      <c r="N1341" s="124" t="s">
        <v>251</v>
      </c>
      <c r="O1341" s="124">
        <v>1</v>
      </c>
      <c r="P1341" s="124">
        <v>0.52174745077361662</v>
      </c>
      <c r="Q1341" s="124">
        <v>0.47825254922638338</v>
      </c>
      <c r="R1341" s="124"/>
    </row>
    <row r="1342" spans="1:18" ht="15">
      <c r="A1342" s="105">
        <v>8</v>
      </c>
      <c r="B1342" s="105"/>
      <c r="C1342" s="107" t="s">
        <v>1123</v>
      </c>
      <c r="D1342" s="107" t="s">
        <v>1124</v>
      </c>
      <c r="E1342" s="124">
        <v>1</v>
      </c>
      <c r="F1342" s="124" t="s">
        <v>251</v>
      </c>
      <c r="G1342" s="124">
        <v>0.98467673717585968</v>
      </c>
      <c r="H1342" s="124" t="s">
        <v>251</v>
      </c>
      <c r="I1342" s="124">
        <v>0</v>
      </c>
      <c r="J1342" s="124">
        <v>1.5323262824140309E-2</v>
      </c>
      <c r="K1342" s="124" t="s">
        <v>251</v>
      </c>
      <c r="L1342" s="124" t="s">
        <v>251</v>
      </c>
      <c r="M1342" s="124">
        <v>7.2282613296484395E-5</v>
      </c>
      <c r="N1342" s="124" t="s">
        <v>251</v>
      </c>
      <c r="O1342" s="124">
        <v>1.5250980210843826E-2</v>
      </c>
      <c r="P1342" s="124">
        <v>7.9269932581811225E-3</v>
      </c>
      <c r="Q1342" s="124">
        <v>7.3239869526627024E-3</v>
      </c>
      <c r="R1342" s="124"/>
    </row>
    <row r="1343" spans="1:18" ht="15">
      <c r="A1343" s="105">
        <v>9</v>
      </c>
      <c r="B1343" s="105"/>
      <c r="C1343" s="107" t="s">
        <v>1125</v>
      </c>
      <c r="D1343" s="107" t="s">
        <v>728</v>
      </c>
      <c r="E1343" s="124">
        <v>0.99999999999999989</v>
      </c>
      <c r="F1343" s="124" t="s">
        <v>251</v>
      </c>
      <c r="G1343" s="124">
        <v>0.95201334138820404</v>
      </c>
      <c r="H1343" s="124" t="s">
        <v>251</v>
      </c>
      <c r="I1343" s="124">
        <v>4.7918464626142063E-2</v>
      </c>
      <c r="J1343" s="124">
        <v>6.8193985653783136E-5</v>
      </c>
      <c r="K1343" s="124" t="s">
        <v>251</v>
      </c>
      <c r="L1343" s="124" t="s">
        <v>251</v>
      </c>
      <c r="M1343" s="124">
        <v>6.8193985653783136E-5</v>
      </c>
      <c r="N1343" s="124" t="s">
        <v>251</v>
      </c>
      <c r="O1343" s="124">
        <v>0</v>
      </c>
      <c r="P1343" s="124">
        <v>0</v>
      </c>
      <c r="Q1343" s="124">
        <v>0</v>
      </c>
      <c r="R1343" s="124"/>
    </row>
    <row r="1344" spans="1:18" ht="15">
      <c r="A1344" s="105">
        <v>10</v>
      </c>
      <c r="B1344" s="105"/>
      <c r="C1344" s="107" t="s">
        <v>1126</v>
      </c>
      <c r="D1344" s="107" t="s">
        <v>457</v>
      </c>
      <c r="E1344" s="124">
        <v>1</v>
      </c>
      <c r="F1344" s="124" t="s">
        <v>251</v>
      </c>
      <c r="G1344" s="124">
        <v>0.95549789727752465</v>
      </c>
      <c r="H1344" s="124" t="s">
        <v>251</v>
      </c>
      <c r="I1344" s="124">
        <v>4.4499043459122874E-2</v>
      </c>
      <c r="J1344" s="124">
        <v>3.0592633524292955E-6</v>
      </c>
      <c r="K1344" s="124" t="s">
        <v>251</v>
      </c>
      <c r="L1344" s="124" t="s">
        <v>251</v>
      </c>
      <c r="M1344" s="124">
        <v>3.0592633524292955E-6</v>
      </c>
      <c r="N1344" s="124" t="s">
        <v>251</v>
      </c>
      <c r="O1344" s="124">
        <v>0</v>
      </c>
      <c r="P1344" s="124">
        <v>0</v>
      </c>
      <c r="Q1344" s="124">
        <v>0</v>
      </c>
      <c r="R1344" s="124"/>
    </row>
    <row r="1345" spans="1:18" ht="15">
      <c r="A1345" s="105">
        <v>11</v>
      </c>
      <c r="B1345" s="105"/>
      <c r="C1345" s="107" t="s">
        <v>251</v>
      </c>
      <c r="D1345" s="107" t="s">
        <v>251</v>
      </c>
      <c r="E1345" s="124" t="s">
        <v>251</v>
      </c>
      <c r="F1345" s="124" t="s">
        <v>251</v>
      </c>
      <c r="G1345" s="124" t="s">
        <v>251</v>
      </c>
      <c r="H1345" s="124" t="s">
        <v>251</v>
      </c>
      <c r="I1345" s="124" t="s">
        <v>251</v>
      </c>
      <c r="J1345" s="124" t="s">
        <v>251</v>
      </c>
      <c r="K1345" s="124" t="s">
        <v>251</v>
      </c>
      <c r="L1345" s="124" t="s">
        <v>251</v>
      </c>
      <c r="M1345" s="124" t="s">
        <v>251</v>
      </c>
      <c r="N1345" s="124" t="s">
        <v>251</v>
      </c>
      <c r="O1345" s="124" t="s">
        <v>251</v>
      </c>
      <c r="P1345" s="124" t="s">
        <v>251</v>
      </c>
      <c r="Q1345" s="124" t="s">
        <v>251</v>
      </c>
      <c r="R1345" s="124"/>
    </row>
    <row r="1346" spans="1:18" ht="15">
      <c r="A1346" s="105">
        <v>12</v>
      </c>
      <c r="B1346" s="105"/>
      <c r="C1346" s="107" t="s">
        <v>251</v>
      </c>
      <c r="D1346" s="107" t="s">
        <v>251</v>
      </c>
      <c r="E1346" s="124" t="s">
        <v>251</v>
      </c>
      <c r="F1346" s="124" t="s">
        <v>251</v>
      </c>
      <c r="G1346" s="124" t="s">
        <v>251</v>
      </c>
      <c r="H1346" s="124" t="s">
        <v>251</v>
      </c>
      <c r="I1346" s="124" t="s">
        <v>251</v>
      </c>
      <c r="J1346" s="124" t="s">
        <v>251</v>
      </c>
      <c r="K1346" s="124" t="s">
        <v>251</v>
      </c>
      <c r="L1346" s="124" t="s">
        <v>251</v>
      </c>
      <c r="M1346" s="124" t="s">
        <v>251</v>
      </c>
      <c r="N1346" s="124" t="s">
        <v>251</v>
      </c>
      <c r="O1346" s="124" t="s">
        <v>251</v>
      </c>
      <c r="P1346" s="124" t="s">
        <v>251</v>
      </c>
      <c r="Q1346" s="124" t="s">
        <v>251</v>
      </c>
      <c r="R1346" s="124"/>
    </row>
    <row r="1347" spans="1:18" ht="15">
      <c r="A1347" s="105">
        <v>13</v>
      </c>
      <c r="B1347" s="105"/>
      <c r="C1347" s="107" t="s">
        <v>251</v>
      </c>
      <c r="D1347" s="107" t="s">
        <v>251</v>
      </c>
      <c r="E1347" s="124" t="s">
        <v>251</v>
      </c>
      <c r="F1347" s="124" t="s">
        <v>251</v>
      </c>
      <c r="G1347" s="124" t="s">
        <v>251</v>
      </c>
      <c r="H1347" s="124" t="s">
        <v>251</v>
      </c>
      <c r="I1347" s="124" t="s">
        <v>251</v>
      </c>
      <c r="J1347" s="124" t="s">
        <v>251</v>
      </c>
      <c r="K1347" s="124" t="s">
        <v>251</v>
      </c>
      <c r="L1347" s="124" t="s">
        <v>251</v>
      </c>
      <c r="M1347" s="124" t="s">
        <v>251</v>
      </c>
      <c r="N1347" s="124" t="s">
        <v>251</v>
      </c>
      <c r="O1347" s="124" t="s">
        <v>251</v>
      </c>
      <c r="P1347" s="124" t="s">
        <v>251</v>
      </c>
      <c r="Q1347" s="124" t="s">
        <v>251</v>
      </c>
      <c r="R1347" s="124"/>
    </row>
    <row r="1348" spans="1:18" ht="15">
      <c r="C1348" s="107"/>
      <c r="D1348" s="107"/>
      <c r="E1348" s="124"/>
      <c r="F1348" s="124"/>
      <c r="G1348" s="124"/>
      <c r="H1348" s="124"/>
      <c r="I1348" s="124"/>
      <c r="J1348" s="124"/>
      <c r="K1348" s="124"/>
      <c r="L1348" s="124"/>
      <c r="M1348" s="124"/>
      <c r="N1348" s="124"/>
      <c r="O1348" s="124"/>
      <c r="P1348" s="124"/>
      <c r="Q1348" s="124"/>
    </row>
    <row r="1350" spans="1:18" ht="15">
      <c r="B1350" s="125"/>
      <c r="R1350" s="126"/>
    </row>
    <row r="1351" spans="1:18" ht="15">
      <c r="B1351" s="125"/>
      <c r="R1351" s="126"/>
    </row>
    <row r="1352" spans="1:18" ht="15">
      <c r="B1352" s="125"/>
      <c r="R1352" s="126"/>
    </row>
    <row r="1353" spans="1:18">
      <c r="R1353" s="128"/>
    </row>
    <row r="1354" spans="1:18">
      <c r="R1354" s="128"/>
    </row>
    <row r="1355" spans="1:18">
      <c r="R1355" s="128"/>
    </row>
    <row r="1356" spans="1:18">
      <c r="R1356" s="128"/>
    </row>
    <row r="1357" spans="1:18">
      <c r="R1357" s="128"/>
    </row>
    <row r="1358" spans="1:18">
      <c r="R1358" s="128"/>
    </row>
    <row r="1359" spans="1:18">
      <c r="R1359" s="128"/>
    </row>
    <row r="1360" spans="1:18">
      <c r="R1360" s="128"/>
    </row>
    <row r="1361" spans="1:18" ht="15">
      <c r="A1361" s="125"/>
      <c r="R1361" s="128"/>
    </row>
    <row r="1362" spans="1:18" ht="15">
      <c r="A1362" s="125"/>
      <c r="C1362" s="107"/>
      <c r="D1362" s="119"/>
      <c r="E1362" s="126"/>
      <c r="F1362" s="126"/>
      <c r="G1362" s="126"/>
      <c r="H1362" s="126"/>
      <c r="I1362" s="126"/>
      <c r="J1362" s="126"/>
      <c r="K1362" s="126"/>
      <c r="L1362" s="126"/>
      <c r="M1362" s="126"/>
      <c r="N1362" s="126"/>
      <c r="O1362" s="126"/>
      <c r="P1362" s="126"/>
      <c r="Q1362" s="126"/>
      <c r="R1362" s="128"/>
    </row>
    <row r="1363" spans="1:18" ht="15">
      <c r="A1363" s="125"/>
      <c r="C1363" s="107"/>
      <c r="D1363" s="119"/>
      <c r="E1363" s="126"/>
      <c r="F1363" s="126"/>
      <c r="G1363" s="126"/>
      <c r="H1363" s="126"/>
      <c r="I1363" s="126"/>
      <c r="J1363" s="126"/>
      <c r="K1363" s="126"/>
      <c r="L1363" s="126"/>
      <c r="M1363" s="126"/>
      <c r="N1363" s="126"/>
      <c r="O1363" s="126"/>
      <c r="P1363" s="126"/>
      <c r="Q1363" s="126"/>
      <c r="R1363" s="128"/>
    </row>
    <row r="1364" spans="1:18" ht="15">
      <c r="C1364" s="107"/>
      <c r="D1364" s="119"/>
      <c r="E1364" s="126"/>
      <c r="F1364" s="126"/>
      <c r="G1364" s="126"/>
      <c r="H1364" s="126"/>
      <c r="I1364" s="126"/>
      <c r="J1364" s="126"/>
      <c r="K1364" s="126"/>
      <c r="L1364" s="126"/>
      <c r="M1364" s="126"/>
      <c r="N1364" s="126"/>
      <c r="O1364" s="126"/>
      <c r="P1364" s="126"/>
      <c r="Q1364" s="126"/>
      <c r="R1364" s="128"/>
    </row>
    <row r="1365" spans="1:18">
      <c r="E1365" s="128"/>
      <c r="F1365" s="128"/>
      <c r="G1365" s="128"/>
      <c r="H1365" s="128"/>
      <c r="I1365" s="128"/>
      <c r="J1365" s="128"/>
      <c r="K1365" s="128"/>
      <c r="L1365" s="128"/>
      <c r="M1365" s="128"/>
      <c r="N1365" s="128"/>
      <c r="O1365" s="128"/>
      <c r="P1365" s="128"/>
      <c r="Q1365" s="128"/>
      <c r="R1365" s="128"/>
    </row>
    <row r="1366" spans="1:18">
      <c r="E1366" s="128"/>
      <c r="F1366" s="128"/>
      <c r="G1366" s="128"/>
      <c r="H1366" s="128"/>
      <c r="I1366" s="128"/>
      <c r="J1366" s="128"/>
      <c r="K1366" s="128"/>
      <c r="L1366" s="128"/>
      <c r="M1366" s="128"/>
      <c r="N1366" s="128"/>
      <c r="O1366" s="128"/>
      <c r="P1366" s="128"/>
      <c r="Q1366" s="128"/>
      <c r="R1366" s="128"/>
    </row>
    <row r="1367" spans="1:18">
      <c r="E1367" s="128"/>
      <c r="F1367" s="128"/>
      <c r="G1367" s="128"/>
      <c r="H1367" s="128"/>
      <c r="I1367" s="128"/>
      <c r="J1367" s="128"/>
      <c r="K1367" s="128"/>
      <c r="L1367" s="128"/>
      <c r="M1367" s="128"/>
      <c r="N1367" s="128"/>
      <c r="O1367" s="128"/>
      <c r="P1367" s="128"/>
      <c r="Q1367" s="128"/>
      <c r="R1367" s="128"/>
    </row>
    <row r="1368" spans="1:18">
      <c r="E1368" s="128"/>
      <c r="F1368" s="128"/>
      <c r="G1368" s="128"/>
      <c r="H1368" s="128"/>
      <c r="I1368" s="128"/>
      <c r="J1368" s="128"/>
      <c r="K1368" s="128"/>
      <c r="L1368" s="128"/>
      <c r="M1368" s="128"/>
      <c r="N1368" s="128"/>
      <c r="O1368" s="128"/>
      <c r="P1368" s="128"/>
      <c r="Q1368" s="128"/>
      <c r="R1368" s="128"/>
    </row>
    <row r="1369" spans="1:18">
      <c r="E1369" s="128"/>
      <c r="F1369" s="128"/>
      <c r="G1369" s="128"/>
      <c r="H1369" s="128"/>
      <c r="I1369" s="128"/>
      <c r="J1369" s="128"/>
      <c r="K1369" s="128"/>
      <c r="L1369" s="128"/>
      <c r="M1369" s="128"/>
      <c r="N1369" s="128"/>
      <c r="O1369" s="128"/>
      <c r="P1369" s="128"/>
      <c r="Q1369" s="128"/>
      <c r="R1369" s="128"/>
    </row>
    <row r="1370" spans="1:18">
      <c r="E1370" s="128"/>
      <c r="F1370" s="128"/>
      <c r="G1370" s="128"/>
      <c r="H1370" s="128"/>
      <c r="I1370" s="128"/>
      <c r="J1370" s="128"/>
      <c r="K1370" s="128"/>
      <c r="L1370" s="128"/>
      <c r="M1370" s="128"/>
      <c r="N1370" s="128"/>
      <c r="O1370" s="128"/>
      <c r="P1370" s="128"/>
      <c r="Q1370" s="128"/>
      <c r="R1370" s="128"/>
    </row>
    <row r="1371" spans="1:18">
      <c r="E1371" s="128"/>
      <c r="F1371" s="128"/>
      <c r="G1371" s="128"/>
      <c r="H1371" s="128"/>
      <c r="I1371" s="128"/>
      <c r="J1371" s="128"/>
      <c r="K1371" s="128"/>
      <c r="L1371" s="128"/>
      <c r="M1371" s="128"/>
      <c r="N1371" s="128"/>
      <c r="O1371" s="128"/>
      <c r="P1371" s="128"/>
      <c r="Q1371" s="128"/>
      <c r="R1371" s="128"/>
    </row>
    <row r="1372" spans="1:18">
      <c r="E1372" s="128"/>
      <c r="F1372" s="128"/>
      <c r="G1372" s="128"/>
      <c r="H1372" s="128"/>
      <c r="I1372" s="128"/>
      <c r="J1372" s="128"/>
      <c r="K1372" s="128"/>
      <c r="L1372" s="128"/>
      <c r="M1372" s="128"/>
      <c r="N1372" s="128"/>
      <c r="O1372" s="128"/>
      <c r="P1372" s="128"/>
      <c r="Q1372" s="128"/>
      <c r="R1372" s="128"/>
    </row>
    <row r="1373" spans="1:18">
      <c r="E1373" s="128"/>
      <c r="F1373" s="128"/>
      <c r="G1373" s="128"/>
      <c r="H1373" s="128"/>
      <c r="I1373" s="128"/>
      <c r="J1373" s="128"/>
      <c r="K1373" s="128"/>
      <c r="L1373" s="128"/>
      <c r="M1373" s="128"/>
      <c r="N1373" s="128"/>
      <c r="O1373" s="128"/>
      <c r="P1373" s="128"/>
      <c r="Q1373" s="128"/>
      <c r="R1373" s="128"/>
    </row>
    <row r="1374" spans="1:18">
      <c r="E1374" s="128"/>
      <c r="F1374" s="128"/>
      <c r="G1374" s="128"/>
      <c r="H1374" s="128"/>
      <c r="I1374" s="128"/>
      <c r="J1374" s="128"/>
      <c r="K1374" s="128"/>
      <c r="L1374" s="128"/>
      <c r="M1374" s="128"/>
      <c r="N1374" s="128"/>
      <c r="O1374" s="128"/>
      <c r="P1374" s="128"/>
      <c r="Q1374" s="128"/>
      <c r="R1374" s="128"/>
    </row>
    <row r="1375" spans="1:18">
      <c r="E1375" s="128"/>
      <c r="F1375" s="128"/>
      <c r="G1375" s="128"/>
      <c r="H1375" s="128"/>
      <c r="I1375" s="128"/>
      <c r="J1375" s="128"/>
      <c r="K1375" s="128"/>
      <c r="L1375" s="128"/>
      <c r="M1375" s="128"/>
      <c r="N1375" s="128"/>
      <c r="O1375" s="128"/>
      <c r="P1375" s="128"/>
      <c r="Q1375" s="128"/>
      <c r="R1375" s="128"/>
    </row>
    <row r="1376" spans="1:18">
      <c r="E1376" s="128"/>
      <c r="F1376" s="128"/>
      <c r="G1376" s="128"/>
      <c r="H1376" s="128"/>
      <c r="I1376" s="128"/>
      <c r="J1376" s="128"/>
      <c r="K1376" s="128"/>
      <c r="L1376" s="128"/>
      <c r="M1376" s="128"/>
      <c r="N1376" s="128"/>
      <c r="O1376" s="128"/>
      <c r="P1376" s="128"/>
      <c r="Q1376" s="128"/>
      <c r="R1376" s="128"/>
    </row>
    <row r="1377" spans="5:18">
      <c r="E1377" s="128"/>
      <c r="F1377" s="128"/>
      <c r="G1377" s="128"/>
      <c r="H1377" s="128"/>
      <c r="I1377" s="128"/>
      <c r="J1377" s="128"/>
      <c r="K1377" s="128"/>
      <c r="L1377" s="128"/>
      <c r="M1377" s="128"/>
      <c r="N1377" s="128"/>
      <c r="O1377" s="128"/>
      <c r="P1377" s="128"/>
      <c r="Q1377" s="128"/>
      <c r="R1377" s="128"/>
    </row>
    <row r="1378" spans="5:18">
      <c r="E1378" s="128"/>
      <c r="F1378" s="128"/>
      <c r="G1378" s="128"/>
      <c r="H1378" s="128"/>
      <c r="I1378" s="128"/>
      <c r="J1378" s="128"/>
      <c r="K1378" s="128"/>
      <c r="L1378" s="128"/>
      <c r="M1378" s="128"/>
      <c r="N1378" s="128"/>
      <c r="O1378" s="128"/>
      <c r="P1378" s="128"/>
      <c r="Q1378" s="128"/>
      <c r="R1378" s="128"/>
    </row>
    <row r="1379" spans="5:18">
      <c r="E1379" s="128"/>
      <c r="F1379" s="128"/>
      <c r="G1379" s="128"/>
      <c r="H1379" s="128"/>
      <c r="I1379" s="128"/>
      <c r="J1379" s="128"/>
      <c r="K1379" s="128"/>
      <c r="L1379" s="128"/>
      <c r="M1379" s="128"/>
      <c r="N1379" s="128"/>
      <c r="O1379" s="128"/>
      <c r="P1379" s="128"/>
      <c r="Q1379" s="128"/>
      <c r="R1379" s="128"/>
    </row>
    <row r="1380" spans="5:18">
      <c r="E1380" s="128"/>
      <c r="F1380" s="128"/>
      <c r="G1380" s="128"/>
      <c r="H1380" s="128"/>
      <c r="I1380" s="128"/>
      <c r="J1380" s="128"/>
      <c r="K1380" s="128"/>
      <c r="L1380" s="128"/>
      <c r="M1380" s="128"/>
      <c r="N1380" s="128"/>
      <c r="O1380" s="128"/>
      <c r="P1380" s="128"/>
      <c r="Q1380" s="128"/>
      <c r="R1380" s="128"/>
    </row>
    <row r="1381" spans="5:18">
      <c r="E1381" s="128"/>
      <c r="F1381" s="128"/>
      <c r="G1381" s="128"/>
      <c r="H1381" s="128"/>
      <c r="I1381" s="128"/>
      <c r="J1381" s="128"/>
      <c r="K1381" s="128"/>
      <c r="L1381" s="128"/>
      <c r="M1381" s="128"/>
      <c r="N1381" s="128"/>
      <c r="O1381" s="128"/>
      <c r="P1381" s="128"/>
      <c r="Q1381" s="128"/>
      <c r="R1381" s="128"/>
    </row>
    <row r="1382" spans="5:18">
      <c r="E1382" s="128"/>
      <c r="F1382" s="128"/>
      <c r="G1382" s="128"/>
      <c r="H1382" s="128"/>
      <c r="I1382" s="128"/>
      <c r="J1382" s="128"/>
      <c r="K1382" s="128"/>
      <c r="L1382" s="128"/>
      <c r="M1382" s="128"/>
      <c r="N1382" s="128"/>
      <c r="O1382" s="128"/>
      <c r="P1382" s="128"/>
      <c r="Q1382" s="128"/>
      <c r="R1382" s="128"/>
    </row>
    <row r="1383" spans="5:18">
      <c r="E1383" s="128"/>
      <c r="F1383" s="128"/>
      <c r="G1383" s="128"/>
      <c r="H1383" s="128"/>
      <c r="I1383" s="128"/>
      <c r="J1383" s="128"/>
      <c r="K1383" s="128"/>
      <c r="L1383" s="128"/>
      <c r="M1383" s="128"/>
      <c r="N1383" s="128"/>
      <c r="O1383" s="128"/>
      <c r="P1383" s="128"/>
      <c r="Q1383" s="128"/>
      <c r="R1383" s="128"/>
    </row>
    <row r="1384" spans="5:18">
      <c r="E1384" s="128"/>
      <c r="F1384" s="128"/>
      <c r="G1384" s="128"/>
      <c r="H1384" s="128"/>
      <c r="I1384" s="128"/>
      <c r="J1384" s="128"/>
      <c r="K1384" s="128"/>
      <c r="L1384" s="128"/>
      <c r="M1384" s="128"/>
      <c r="N1384" s="128"/>
      <c r="O1384" s="128"/>
      <c r="P1384" s="128"/>
      <c r="Q1384" s="128"/>
      <c r="R1384" s="128"/>
    </row>
    <row r="1385" spans="5:18">
      <c r="E1385" s="128"/>
      <c r="F1385" s="128"/>
      <c r="G1385" s="128"/>
      <c r="H1385" s="128"/>
      <c r="I1385" s="128"/>
      <c r="J1385" s="128"/>
      <c r="K1385" s="128"/>
      <c r="L1385" s="128"/>
      <c r="M1385" s="128"/>
      <c r="N1385" s="128"/>
      <c r="O1385" s="128"/>
      <c r="P1385" s="128"/>
      <c r="Q1385" s="128"/>
      <c r="R1385" s="128"/>
    </row>
    <row r="1386" spans="5:18">
      <c r="E1386" s="128"/>
      <c r="F1386" s="128"/>
      <c r="G1386" s="128"/>
      <c r="H1386" s="128"/>
      <c r="I1386" s="128"/>
      <c r="J1386" s="128"/>
      <c r="K1386" s="128"/>
      <c r="L1386" s="128"/>
      <c r="M1386" s="128"/>
      <c r="N1386" s="128"/>
      <c r="O1386" s="128"/>
      <c r="P1386" s="128"/>
      <c r="Q1386" s="128"/>
      <c r="R1386" s="128"/>
    </row>
    <row r="1387" spans="5:18">
      <c r="E1387" s="128"/>
      <c r="F1387" s="128"/>
      <c r="G1387" s="128"/>
      <c r="H1387" s="128"/>
      <c r="I1387" s="128"/>
      <c r="J1387" s="128"/>
      <c r="K1387" s="128"/>
      <c r="L1387" s="128"/>
      <c r="M1387" s="128"/>
      <c r="N1387" s="128"/>
      <c r="O1387" s="128"/>
      <c r="P1387" s="128"/>
      <c r="Q1387" s="128"/>
      <c r="R1387" s="128"/>
    </row>
    <row r="1388" spans="5:18">
      <c r="E1388" s="128"/>
      <c r="F1388" s="128"/>
      <c r="G1388" s="128"/>
      <c r="H1388" s="128"/>
      <c r="I1388" s="128"/>
      <c r="J1388" s="128"/>
      <c r="K1388" s="128"/>
      <c r="L1388" s="128"/>
      <c r="M1388" s="128"/>
      <c r="N1388" s="128"/>
      <c r="O1388" s="128"/>
      <c r="P1388" s="128"/>
      <c r="Q1388" s="128"/>
      <c r="R1388" s="128"/>
    </row>
    <row r="1389" spans="5:18">
      <c r="E1389" s="128"/>
      <c r="F1389" s="128"/>
      <c r="G1389" s="128"/>
      <c r="H1389" s="128"/>
      <c r="I1389" s="128"/>
      <c r="J1389" s="128"/>
      <c r="K1389" s="128"/>
      <c r="L1389" s="128"/>
      <c r="M1389" s="128"/>
      <c r="N1389" s="128"/>
      <c r="O1389" s="128"/>
      <c r="P1389" s="128"/>
      <c r="Q1389" s="128"/>
    </row>
    <row r="1390" spans="5:18">
      <c r="E1390" s="128"/>
      <c r="F1390" s="128"/>
      <c r="G1390" s="128"/>
      <c r="H1390" s="128"/>
      <c r="I1390" s="128"/>
      <c r="J1390" s="128"/>
      <c r="K1390" s="128"/>
      <c r="L1390" s="128"/>
      <c r="M1390" s="128"/>
      <c r="N1390" s="128"/>
      <c r="O1390" s="128"/>
      <c r="P1390" s="128"/>
      <c r="Q1390" s="128"/>
    </row>
    <row r="1391" spans="5:18">
      <c r="E1391" s="128"/>
      <c r="F1391" s="128"/>
      <c r="G1391" s="128"/>
      <c r="H1391" s="128"/>
      <c r="I1391" s="128"/>
      <c r="J1391" s="128"/>
      <c r="K1391" s="128"/>
      <c r="L1391" s="128"/>
      <c r="M1391" s="128"/>
      <c r="N1391" s="128"/>
      <c r="O1391" s="128"/>
      <c r="P1391" s="128"/>
      <c r="Q1391" s="128"/>
    </row>
    <row r="1392" spans="5:18">
      <c r="E1392" s="128"/>
      <c r="F1392" s="128"/>
      <c r="G1392" s="128"/>
      <c r="H1392" s="128"/>
      <c r="I1392" s="128"/>
      <c r="J1392" s="128"/>
      <c r="K1392" s="128"/>
      <c r="L1392" s="128"/>
      <c r="M1392" s="128"/>
      <c r="N1392" s="128"/>
      <c r="O1392" s="128"/>
      <c r="P1392" s="128"/>
      <c r="Q1392" s="128"/>
    </row>
    <row r="1393" spans="5:17">
      <c r="E1393" s="128"/>
      <c r="F1393" s="128"/>
      <c r="G1393" s="128"/>
      <c r="H1393" s="128"/>
      <c r="I1393" s="128"/>
      <c r="J1393" s="128"/>
      <c r="K1393" s="128"/>
      <c r="L1393" s="128"/>
      <c r="M1393" s="128"/>
      <c r="N1393" s="128"/>
      <c r="O1393" s="128"/>
      <c r="P1393" s="128"/>
      <c r="Q1393" s="128"/>
    </row>
    <row r="1394" spans="5:17">
      <c r="E1394" s="128"/>
      <c r="F1394" s="128"/>
      <c r="G1394" s="128"/>
      <c r="H1394" s="128"/>
      <c r="I1394" s="128"/>
      <c r="J1394" s="128"/>
      <c r="K1394" s="128"/>
      <c r="L1394" s="128"/>
      <c r="M1394" s="128"/>
      <c r="N1394" s="128"/>
      <c r="O1394" s="128"/>
      <c r="P1394" s="128"/>
      <c r="Q1394" s="128"/>
    </row>
    <row r="1395" spans="5:17">
      <c r="E1395" s="128"/>
      <c r="F1395" s="128"/>
      <c r="G1395" s="128"/>
      <c r="H1395" s="128"/>
      <c r="I1395" s="128"/>
      <c r="J1395" s="128"/>
      <c r="K1395" s="128"/>
      <c r="L1395" s="128"/>
      <c r="M1395" s="128"/>
      <c r="N1395" s="128"/>
      <c r="O1395" s="128"/>
      <c r="P1395" s="128"/>
      <c r="Q1395" s="128"/>
    </row>
    <row r="1396" spans="5:17">
      <c r="E1396" s="128"/>
      <c r="F1396" s="128"/>
      <c r="G1396" s="128"/>
      <c r="H1396" s="128"/>
      <c r="I1396" s="128"/>
      <c r="J1396" s="128"/>
      <c r="K1396" s="128"/>
      <c r="L1396" s="128"/>
      <c r="M1396" s="128"/>
      <c r="N1396" s="128"/>
      <c r="O1396" s="128"/>
      <c r="P1396" s="128"/>
      <c r="Q1396" s="128"/>
    </row>
    <row r="1397" spans="5:17">
      <c r="E1397" s="128"/>
      <c r="F1397" s="128"/>
      <c r="G1397" s="128"/>
      <c r="H1397" s="128"/>
      <c r="I1397" s="128"/>
      <c r="J1397" s="128"/>
      <c r="K1397" s="128"/>
      <c r="L1397" s="128"/>
      <c r="M1397" s="128"/>
      <c r="N1397" s="128"/>
      <c r="O1397" s="128"/>
      <c r="P1397" s="128"/>
      <c r="Q1397" s="128"/>
    </row>
    <row r="1398" spans="5:17">
      <c r="E1398" s="128"/>
      <c r="F1398" s="128"/>
      <c r="G1398" s="128"/>
      <c r="H1398" s="128"/>
      <c r="I1398" s="128"/>
      <c r="J1398" s="128"/>
      <c r="K1398" s="128"/>
      <c r="L1398" s="128"/>
      <c r="M1398" s="128"/>
      <c r="N1398" s="128"/>
      <c r="O1398" s="128"/>
      <c r="P1398" s="128"/>
      <c r="Q1398" s="128"/>
    </row>
    <row r="1399" spans="5:17">
      <c r="E1399" s="128"/>
      <c r="F1399" s="128"/>
      <c r="G1399" s="128"/>
      <c r="H1399" s="128"/>
      <c r="I1399" s="128"/>
      <c r="J1399" s="128"/>
      <c r="K1399" s="128"/>
      <c r="L1399" s="128"/>
      <c r="M1399" s="128"/>
      <c r="N1399" s="128"/>
      <c r="O1399" s="128"/>
      <c r="P1399" s="128"/>
      <c r="Q1399" s="128"/>
    </row>
    <row r="1400" spans="5:17">
      <c r="E1400" s="128"/>
      <c r="F1400" s="128"/>
      <c r="G1400" s="128"/>
      <c r="H1400" s="128"/>
      <c r="I1400" s="128"/>
      <c r="J1400" s="128"/>
      <c r="K1400" s="128"/>
      <c r="L1400" s="128"/>
      <c r="M1400" s="128"/>
      <c r="N1400" s="128"/>
      <c r="O1400" s="128"/>
      <c r="P1400" s="128"/>
      <c r="Q1400" s="128"/>
    </row>
  </sheetData>
  <sheetProtection selectLockedCells="1" selectUnlockedCells="1"/>
  <pageMargins left="0.5" right="0.25" top="1" bottom="0.19" header="1" footer="0.4"/>
  <pageSetup scale="40" pageOrder="overThenDown" orientation="landscape" r:id="rId1"/>
  <headerFooter alignWithMargins="0"/>
  <rowBreaks count="29" manualBreakCount="29">
    <brk id="66" min="4" max="16" man="1"/>
    <brk id="116" min="4" max="16" man="1"/>
    <brk id="155" min="4" max="16" man="1"/>
    <brk id="207" min="4" max="16" man="1"/>
    <brk id="235" min="4" max="16" man="1"/>
    <brk id="280" min="4" max="16" man="1"/>
    <brk id="334" min="4" max="16" man="1"/>
    <brk id="381" min="4" max="16" man="1"/>
    <brk id="419" min="4" max="16" man="1"/>
    <brk id="485" min="4" max="16" man="1"/>
    <brk id="533" min="4" max="16" man="1"/>
    <brk id="594" min="4" max="16" man="1"/>
    <brk id="642" min="4" max="16" man="1"/>
    <brk id="690" min="4" max="16" man="1"/>
    <brk id="721" min="4" max="16" man="1"/>
    <brk id="776" min="4" max="16" man="1"/>
    <brk id="822" min="4" max="16" man="1"/>
    <brk id="866" min="4" max="16" man="1"/>
    <brk id="907" min="4" max="16" man="1"/>
    <brk id="967" min="4" max="16" man="1"/>
    <brk id="1001" min="4" max="16" man="1"/>
    <brk id="1050" min="4" max="16" man="1"/>
    <brk id="1093" min="4" max="16" man="1"/>
    <brk id="1125" max="16383" man="1"/>
    <brk id="1146" min="4" max="16" man="1"/>
    <brk id="1206" min="4" max="16" man="1"/>
    <brk id="1241" min="4" max="16" man="1"/>
    <brk id="1289" min="4" max="16" man="1"/>
    <brk id="1331" min="4" max="1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Z374"/>
  <sheetViews>
    <sheetView zoomScale="70" zoomScaleNormal="70" workbookViewId="0">
      <selection activeCell="M21" sqref="M21"/>
    </sheetView>
  </sheetViews>
  <sheetFormatPr defaultColWidth="9" defaultRowHeight="12.75"/>
  <cols>
    <col min="1" max="2" width="5.33203125" style="2" customWidth="1"/>
    <col min="3" max="3" width="7.6640625" style="2" customWidth="1"/>
    <col min="4" max="4" width="45" style="2" bestFit="1" customWidth="1"/>
    <col min="5" max="5" width="15.44140625" style="66" customWidth="1"/>
    <col min="6" max="6" width="1.44140625" style="2" customWidth="1"/>
    <col min="7" max="7" width="15.44140625" style="66" customWidth="1"/>
    <col min="8" max="8" width="1.44140625" style="2" customWidth="1"/>
    <col min="9" max="9" width="15.44140625" style="66" customWidth="1"/>
    <col min="10" max="10" width="1.44140625" style="2" customWidth="1"/>
    <col min="11" max="11" width="15.44140625" style="66" customWidth="1"/>
    <col min="12" max="12" width="1.44140625" style="2" customWidth="1"/>
    <col min="13" max="13" width="15.44140625" style="66" customWidth="1"/>
    <col min="14" max="14" width="1.44140625" style="2" customWidth="1"/>
    <col min="15" max="15" width="15.44140625" style="66" customWidth="1"/>
    <col min="16" max="16" width="1.44140625" style="2" customWidth="1"/>
    <col min="17" max="17" width="18.6640625" style="2" customWidth="1"/>
    <col min="18" max="18" width="1.44140625" style="2" customWidth="1"/>
    <col min="19" max="19" width="18.6640625" style="2" customWidth="1"/>
    <col min="20" max="20" width="1.44140625" style="2" customWidth="1"/>
    <col min="21" max="21" width="15.44140625" style="66" customWidth="1"/>
    <col min="22" max="22" width="1.44140625" style="2" customWidth="1"/>
    <col min="23" max="23" width="15.44140625" style="66" customWidth="1"/>
    <col min="24" max="24" width="1.44140625" style="2" customWidth="1"/>
    <col min="25" max="26" width="15.44140625" style="66" customWidth="1"/>
    <col min="27" max="16384" width="9" style="2"/>
  </cols>
  <sheetData>
    <row r="1" spans="1:26" s="1" customFormat="1" ht="15">
      <c r="D1" s="498" t="s">
        <v>0</v>
      </c>
      <c r="E1" s="498"/>
      <c r="F1" s="498"/>
      <c r="G1" s="498"/>
      <c r="H1" s="498"/>
      <c r="I1" s="498"/>
      <c r="J1" s="498"/>
      <c r="K1" s="498"/>
      <c r="L1" s="498"/>
      <c r="M1" s="498"/>
      <c r="N1" s="498"/>
      <c r="O1" s="498"/>
      <c r="P1" s="498"/>
      <c r="Q1" s="498"/>
      <c r="R1" s="498"/>
      <c r="S1" s="498"/>
      <c r="T1" s="423"/>
      <c r="U1" s="423"/>
      <c r="V1" s="423"/>
      <c r="W1" s="423"/>
      <c r="X1" s="423"/>
      <c r="Y1" s="423"/>
      <c r="Z1" s="423"/>
    </row>
    <row r="2" spans="1:26" s="1" customFormat="1" ht="15">
      <c r="D2" s="498" t="s">
        <v>1</v>
      </c>
      <c r="E2" s="498"/>
      <c r="F2" s="498"/>
      <c r="G2" s="498"/>
      <c r="H2" s="498"/>
      <c r="I2" s="498"/>
      <c r="J2" s="498"/>
      <c r="K2" s="498"/>
      <c r="L2" s="498"/>
      <c r="M2" s="498"/>
      <c r="N2" s="498"/>
      <c r="O2" s="498"/>
      <c r="P2" s="498"/>
      <c r="Q2" s="498"/>
      <c r="R2" s="498"/>
      <c r="S2" s="498"/>
      <c r="T2" s="423"/>
      <c r="U2" s="423"/>
      <c r="V2" s="423"/>
      <c r="W2" s="423"/>
      <c r="X2" s="423"/>
      <c r="Y2" s="423"/>
      <c r="Z2" s="423"/>
    </row>
    <row r="3" spans="1:26">
      <c r="D3" s="499" t="s">
        <v>2482</v>
      </c>
      <c r="E3" s="500"/>
      <c r="F3" s="500"/>
      <c r="G3" s="500"/>
      <c r="H3" s="500"/>
      <c r="I3" s="500"/>
      <c r="J3" s="500"/>
      <c r="K3" s="500"/>
      <c r="L3" s="500"/>
      <c r="M3" s="500"/>
      <c r="N3" s="500"/>
      <c r="O3" s="500"/>
      <c r="P3" s="500"/>
      <c r="Q3" s="500"/>
      <c r="R3" s="500"/>
      <c r="S3" s="500"/>
      <c r="T3" s="425"/>
      <c r="U3" s="425"/>
      <c r="V3" s="425"/>
      <c r="W3" s="425"/>
      <c r="X3" s="425"/>
      <c r="Y3" s="425"/>
      <c r="Z3" s="425"/>
    </row>
    <row r="4" spans="1:26">
      <c r="D4" s="3"/>
      <c r="E4" s="3" t="s">
        <v>3418</v>
      </c>
      <c r="F4" s="3"/>
      <c r="G4" s="3" t="s">
        <v>3419</v>
      </c>
      <c r="H4" s="3"/>
      <c r="I4" s="3" t="s">
        <v>3420</v>
      </c>
      <c r="J4" s="3"/>
      <c r="K4" s="3" t="s">
        <v>3421</v>
      </c>
      <c r="L4" s="3"/>
      <c r="M4" s="3"/>
      <c r="N4" s="3"/>
      <c r="O4" s="3"/>
      <c r="Q4" s="2" t="s">
        <v>3422</v>
      </c>
      <c r="T4" s="3"/>
      <c r="U4" s="3"/>
      <c r="V4" s="3"/>
      <c r="W4" s="3"/>
      <c r="X4" s="3"/>
      <c r="Y4" s="32" t="s">
        <v>3418</v>
      </c>
      <c r="Z4" s="32"/>
    </row>
    <row r="5" spans="1:26" ht="15">
      <c r="D5" s="3"/>
      <c r="E5" s="4" t="s">
        <v>2483</v>
      </c>
      <c r="F5" s="3"/>
      <c r="G5" s="3"/>
      <c r="H5" s="3"/>
      <c r="I5" s="3"/>
      <c r="J5" s="3"/>
      <c r="K5" s="3"/>
      <c r="L5" s="3"/>
      <c r="M5" s="3"/>
      <c r="N5" s="3"/>
      <c r="O5" s="4" t="s">
        <v>2484</v>
      </c>
      <c r="T5" s="3"/>
      <c r="U5" s="3"/>
      <c r="V5" s="3"/>
      <c r="W5" s="3"/>
      <c r="X5" s="3"/>
      <c r="Y5" s="4" t="s">
        <v>2484</v>
      </c>
      <c r="Z5" s="4"/>
    </row>
    <row r="6" spans="1:26">
      <c r="D6" s="5"/>
      <c r="E6" s="6" t="s">
        <v>2</v>
      </c>
      <c r="F6" s="5"/>
      <c r="G6" s="7"/>
      <c r="H6" s="5"/>
      <c r="I6" s="7"/>
      <c r="J6" s="5"/>
      <c r="K6" s="6" t="s">
        <v>3</v>
      </c>
      <c r="L6" s="5"/>
      <c r="M6" s="7"/>
      <c r="N6" s="5"/>
      <c r="O6" s="6" t="s">
        <v>4</v>
      </c>
      <c r="P6" s="5"/>
      <c r="Q6" s="5"/>
      <c r="R6" s="5"/>
      <c r="S6" s="8" t="s">
        <v>5</v>
      </c>
      <c r="T6" s="5"/>
      <c r="U6" s="231" t="s">
        <v>1204</v>
      </c>
      <c r="V6" s="5"/>
      <c r="W6" s="231" t="s">
        <v>11</v>
      </c>
      <c r="X6" s="5"/>
      <c r="Y6" s="6" t="s">
        <v>4</v>
      </c>
      <c r="Z6" s="6"/>
    </row>
    <row r="7" spans="1:26" s="9" customFormat="1">
      <c r="D7" s="5"/>
      <c r="E7" s="10" t="s">
        <v>6</v>
      </c>
      <c r="F7" s="5"/>
      <c r="G7" s="10" t="s">
        <v>7</v>
      </c>
      <c r="H7" s="5"/>
      <c r="I7" s="10" t="s">
        <v>8</v>
      </c>
      <c r="J7" s="5"/>
      <c r="K7" s="10" t="s">
        <v>9</v>
      </c>
      <c r="L7" s="5"/>
      <c r="M7" s="10" t="s">
        <v>10</v>
      </c>
      <c r="N7" s="5"/>
      <c r="O7" s="10" t="s">
        <v>6</v>
      </c>
      <c r="P7" s="5"/>
      <c r="Q7" s="10" t="s">
        <v>11</v>
      </c>
      <c r="R7" s="5"/>
      <c r="S7" s="10" t="s">
        <v>12</v>
      </c>
      <c r="T7" s="5"/>
      <c r="U7" s="10" t="s">
        <v>1205</v>
      </c>
      <c r="V7" s="5"/>
      <c r="W7" s="10" t="s">
        <v>2187</v>
      </c>
      <c r="X7" s="5"/>
      <c r="Y7" s="10" t="s">
        <v>6</v>
      </c>
      <c r="Z7" s="10" t="s">
        <v>13</v>
      </c>
    </row>
    <row r="8" spans="1:26" s="9" customFormat="1">
      <c r="D8" s="8" t="s">
        <v>14</v>
      </c>
      <c r="E8" s="11"/>
      <c r="F8" s="5"/>
      <c r="G8" s="11"/>
      <c r="H8" s="5"/>
      <c r="I8" s="11"/>
      <c r="J8" s="5"/>
      <c r="K8" s="11"/>
      <c r="L8" s="5"/>
      <c r="M8" s="11"/>
      <c r="N8" s="5"/>
      <c r="O8" s="11"/>
      <c r="P8" s="5"/>
      <c r="Q8" s="5"/>
      <c r="R8" s="5"/>
      <c r="S8" s="5"/>
      <c r="T8" s="5"/>
      <c r="U8" s="11"/>
      <c r="V8" s="5"/>
      <c r="W8" s="11"/>
      <c r="X8" s="5"/>
      <c r="Y8" s="11" t="s">
        <v>2180</v>
      </c>
      <c r="Z8" s="11"/>
    </row>
    <row r="9" spans="1:26">
      <c r="D9" s="8" t="s">
        <v>15</v>
      </c>
      <c r="E9" s="7"/>
      <c r="F9" s="5"/>
      <c r="G9" s="7"/>
      <c r="H9" s="5"/>
      <c r="I9" s="7"/>
      <c r="J9" s="5"/>
      <c r="K9" s="7"/>
      <c r="L9" s="5"/>
      <c r="M9" s="7"/>
      <c r="N9" s="5"/>
      <c r="O9" s="7"/>
      <c r="P9" s="5"/>
      <c r="Q9" s="5"/>
      <c r="R9" s="5"/>
      <c r="S9" s="5"/>
      <c r="T9" s="5"/>
      <c r="U9" s="7"/>
      <c r="V9" s="5"/>
      <c r="W9" s="7"/>
      <c r="X9" s="5"/>
      <c r="Y9" s="7"/>
      <c r="Z9" s="7"/>
    </row>
    <row r="10" spans="1:26">
      <c r="D10" s="8" t="s">
        <v>3423</v>
      </c>
      <c r="E10" s="7"/>
      <c r="F10" s="5"/>
      <c r="G10" s="7"/>
      <c r="H10" s="5"/>
      <c r="I10" s="7"/>
      <c r="J10" s="5"/>
      <c r="K10" s="7"/>
      <c r="L10" s="5"/>
      <c r="M10" s="7"/>
      <c r="N10" s="5"/>
      <c r="O10" s="7"/>
      <c r="P10" s="5"/>
      <c r="Q10" s="5"/>
      <c r="R10" s="5"/>
      <c r="S10" s="5"/>
      <c r="T10" s="5"/>
      <c r="U10" s="7"/>
      <c r="V10" s="5"/>
      <c r="W10" s="7"/>
      <c r="X10" s="5"/>
      <c r="Y10" s="7"/>
      <c r="Z10" s="7"/>
    </row>
    <row r="11" spans="1:26">
      <c r="A11" s="2" t="s">
        <v>17</v>
      </c>
      <c r="B11" s="2" t="s">
        <v>3416</v>
      </c>
      <c r="C11" s="2" t="str">
        <f>MID(D11,2,3)</f>
        <v>360</v>
      </c>
      <c r="D11" s="5" t="s">
        <v>2485</v>
      </c>
      <c r="E11" s="7">
        <v>7525705.0799999898</v>
      </c>
      <c r="F11" s="19"/>
      <c r="G11" s="7">
        <v>1598045.9263599999</v>
      </c>
      <c r="H11" s="19"/>
      <c r="I11" s="7">
        <v>0</v>
      </c>
      <c r="J11" s="19"/>
      <c r="K11" s="7">
        <v>0</v>
      </c>
      <c r="L11" s="19"/>
      <c r="M11" s="7">
        <v>1598045.9263599999</v>
      </c>
      <c r="N11" s="19"/>
      <c r="O11" s="7">
        <v>9123751.0063599907</v>
      </c>
      <c r="P11" s="5"/>
      <c r="Q11" s="13">
        <v>-1425638.8099999898</v>
      </c>
      <c r="R11" s="5"/>
      <c r="S11" s="13">
        <v>7698112.1963600013</v>
      </c>
      <c r="T11" s="19"/>
      <c r="U11" s="7">
        <v>1598.4517325586633</v>
      </c>
      <c r="V11" s="5"/>
      <c r="W11" s="12">
        <v>-1424040.3582674311</v>
      </c>
      <c r="X11" s="19"/>
      <c r="Y11" s="7">
        <v>9123751.0063599888</v>
      </c>
      <c r="Z11" s="12">
        <v>0</v>
      </c>
    </row>
    <row r="12" spans="1:26">
      <c r="A12" s="2" t="s">
        <v>17</v>
      </c>
      <c r="B12" s="2" t="s">
        <v>3416</v>
      </c>
      <c r="D12" s="5" t="s">
        <v>18</v>
      </c>
      <c r="E12" s="7">
        <v>0</v>
      </c>
      <c r="F12" s="19"/>
      <c r="G12" s="7">
        <v>0</v>
      </c>
      <c r="H12" s="19"/>
      <c r="I12" s="7">
        <v>0</v>
      </c>
      <c r="J12" s="19"/>
      <c r="K12" s="7">
        <v>0</v>
      </c>
      <c r="L12" s="19"/>
      <c r="M12" s="7">
        <v>0</v>
      </c>
      <c r="N12" s="19"/>
      <c r="O12" s="7">
        <v>0</v>
      </c>
      <c r="P12" s="5"/>
      <c r="Q12" s="13">
        <v>0</v>
      </c>
      <c r="R12" s="5"/>
      <c r="S12" s="13">
        <v>0</v>
      </c>
      <c r="T12" s="19"/>
      <c r="U12" s="7">
        <v>0</v>
      </c>
      <c r="V12" s="19"/>
      <c r="W12" s="7">
        <v>0</v>
      </c>
      <c r="X12" s="19"/>
      <c r="Y12" s="7">
        <v>0</v>
      </c>
      <c r="Z12" s="7">
        <v>0</v>
      </c>
    </row>
    <row r="13" spans="1:26">
      <c r="A13" s="2" t="s">
        <v>17</v>
      </c>
      <c r="B13" s="2" t="s">
        <v>3416</v>
      </c>
      <c r="C13" s="2" t="str">
        <f t="shared" ref="C13:C21" si="0">MID(D13,2,3)</f>
        <v>361</v>
      </c>
      <c r="D13" s="5" t="s">
        <v>19</v>
      </c>
      <c r="E13" s="7">
        <v>13839201.209999999</v>
      </c>
      <c r="F13" s="19"/>
      <c r="G13" s="7">
        <v>6167405.7308119992</v>
      </c>
      <c r="H13" s="19"/>
      <c r="I13" s="7">
        <v>-54514.94</v>
      </c>
      <c r="J13" s="19"/>
      <c r="K13" s="7">
        <v>860.21</v>
      </c>
      <c r="L13" s="19"/>
      <c r="M13" s="7">
        <v>6113751.0008119987</v>
      </c>
      <c r="N13" s="19"/>
      <c r="O13" s="7">
        <v>19952952.210811999</v>
      </c>
      <c r="P13" s="5"/>
      <c r="Q13" s="13">
        <v>-2543956.9500629902</v>
      </c>
      <c r="R13" s="5"/>
      <c r="S13" s="13">
        <v>17408995.260749009</v>
      </c>
      <c r="T13" s="19"/>
      <c r="U13" s="7">
        <v>6168.9718757105593</v>
      </c>
      <c r="V13" s="19"/>
      <c r="W13" s="7">
        <v>-2537787.9781872798</v>
      </c>
      <c r="X13" s="19"/>
      <c r="Y13" s="7">
        <v>19952952.210811999</v>
      </c>
      <c r="Z13" s="7">
        <v>0</v>
      </c>
    </row>
    <row r="14" spans="1:26">
      <c r="A14" s="2" t="s">
        <v>17</v>
      </c>
      <c r="B14" s="2" t="s">
        <v>3416</v>
      </c>
      <c r="C14" s="2" t="str">
        <f t="shared" si="0"/>
        <v>362</v>
      </c>
      <c r="D14" s="5" t="s">
        <v>20</v>
      </c>
      <c r="E14" s="7">
        <v>189587126.80000001</v>
      </c>
      <c r="F14" s="19"/>
      <c r="G14" s="7">
        <v>43064086.045904495</v>
      </c>
      <c r="H14" s="19"/>
      <c r="I14" s="7">
        <v>-1376945.6199999999</v>
      </c>
      <c r="J14" s="19"/>
      <c r="K14" s="7">
        <v>0</v>
      </c>
      <c r="L14" s="19"/>
      <c r="M14" s="7">
        <v>41687140.425904498</v>
      </c>
      <c r="N14" s="19"/>
      <c r="O14" s="7">
        <v>231274267.22590452</v>
      </c>
      <c r="P14" s="5"/>
      <c r="Q14" s="13">
        <v>-49950261.039866097</v>
      </c>
      <c r="R14" s="5"/>
      <c r="S14" s="13">
        <v>181324006.18603843</v>
      </c>
      <c r="T14" s="19"/>
      <c r="U14" s="7">
        <v>43075.021697232733</v>
      </c>
      <c r="V14" s="19"/>
      <c r="W14" s="7">
        <v>-49907186.018168867</v>
      </c>
      <c r="X14" s="19"/>
      <c r="Y14" s="7">
        <v>231274267.22590402</v>
      </c>
      <c r="Z14" s="7">
        <v>-5.0663948059082031E-7</v>
      </c>
    </row>
    <row r="15" spans="1:26">
      <c r="A15" s="2" t="s">
        <v>17</v>
      </c>
      <c r="B15" s="2" t="s">
        <v>3416</v>
      </c>
      <c r="C15" s="2" t="str">
        <f t="shared" si="0"/>
        <v>364</v>
      </c>
      <c r="D15" s="5" t="s">
        <v>21</v>
      </c>
      <c r="E15" s="7">
        <v>360033063.20000005</v>
      </c>
      <c r="F15" s="19"/>
      <c r="G15" s="7">
        <v>23361124.743875895</v>
      </c>
      <c r="H15" s="19"/>
      <c r="I15" s="7">
        <v>-1145993.67</v>
      </c>
      <c r="J15" s="19"/>
      <c r="K15" s="7">
        <v>0</v>
      </c>
      <c r="L15" s="19"/>
      <c r="M15" s="7">
        <v>22215131.073875897</v>
      </c>
      <c r="N15" s="19"/>
      <c r="O15" s="7">
        <v>382248194.27387595</v>
      </c>
      <c r="P15" s="5"/>
      <c r="Q15" s="13">
        <v>-158150568.35869801</v>
      </c>
      <c r="R15" s="5"/>
      <c r="S15" s="13">
        <v>224097625.91517794</v>
      </c>
      <c r="T15" s="19"/>
      <c r="U15" s="7">
        <v>23367.057044739366</v>
      </c>
      <c r="V15" s="19"/>
      <c r="W15" s="7">
        <v>-158127201.30165327</v>
      </c>
      <c r="X15" s="19"/>
      <c r="Y15" s="7">
        <v>382248194.22387499</v>
      </c>
      <c r="Z15" s="7">
        <v>-5.0000965595245361E-2</v>
      </c>
    </row>
    <row r="16" spans="1:26">
      <c r="A16" s="2" t="s">
        <v>17</v>
      </c>
      <c r="B16" s="2" t="s">
        <v>3416</v>
      </c>
      <c r="C16" s="2" t="str">
        <f t="shared" si="0"/>
        <v>365</v>
      </c>
      <c r="D16" s="5" t="s">
        <v>22</v>
      </c>
      <c r="E16" s="7">
        <v>343969480.71000004</v>
      </c>
      <c r="F16" s="19"/>
      <c r="G16" s="7">
        <v>42231681.476392172</v>
      </c>
      <c r="H16" s="19"/>
      <c r="I16" s="7">
        <v>-5681609.1399999997</v>
      </c>
      <c r="J16" s="19"/>
      <c r="K16" s="7">
        <v>0</v>
      </c>
      <c r="L16" s="19"/>
      <c r="M16" s="7">
        <v>36550072.336392172</v>
      </c>
      <c r="N16" s="19"/>
      <c r="O16" s="7">
        <v>380519553.0463922</v>
      </c>
      <c r="P16" s="5"/>
      <c r="Q16" s="13">
        <v>-108865024.12065449</v>
      </c>
      <c r="R16" s="5"/>
      <c r="S16" s="13">
        <v>271654528.92573774</v>
      </c>
      <c r="T16" s="19"/>
      <c r="U16" s="7">
        <v>42242.405747729055</v>
      </c>
      <c r="V16" s="19"/>
      <c r="W16" s="7">
        <v>-108822781.71490677</v>
      </c>
      <c r="X16" s="19"/>
      <c r="Y16" s="7">
        <v>380519553.09639204</v>
      </c>
      <c r="Z16" s="7">
        <v>4.9999833106994629E-2</v>
      </c>
    </row>
    <row r="17" spans="1:26">
      <c r="A17" s="2" t="s">
        <v>17</v>
      </c>
      <c r="B17" s="2" t="s">
        <v>3416</v>
      </c>
      <c r="C17" s="2" t="str">
        <f t="shared" si="0"/>
        <v>366</v>
      </c>
      <c r="D17" s="5" t="s">
        <v>23</v>
      </c>
      <c r="E17" s="7">
        <v>2390171.06</v>
      </c>
      <c r="F17" s="19"/>
      <c r="G17" s="7">
        <v>-65.02</v>
      </c>
      <c r="H17" s="19"/>
      <c r="I17" s="7">
        <v>0</v>
      </c>
      <c r="J17" s="19"/>
      <c r="K17" s="7">
        <v>0</v>
      </c>
      <c r="L17" s="19"/>
      <c r="M17" s="7">
        <v>-65.02</v>
      </c>
      <c r="N17" s="19"/>
      <c r="O17" s="7">
        <v>2390106.04</v>
      </c>
      <c r="P17" s="5"/>
      <c r="Q17" s="13">
        <v>-1006561.079231999</v>
      </c>
      <c r="R17" s="5"/>
      <c r="S17" s="13">
        <v>1383544.9607680012</v>
      </c>
      <c r="T17" s="19"/>
      <c r="U17" s="7">
        <v>-6.5036511114356502E-2</v>
      </c>
      <c r="V17" s="19"/>
      <c r="W17" s="7">
        <v>-1006561.1442685102</v>
      </c>
      <c r="X17" s="19"/>
      <c r="Y17" s="7">
        <v>2390106.04</v>
      </c>
      <c r="Z17" s="7">
        <v>0</v>
      </c>
    </row>
    <row r="18" spans="1:26">
      <c r="A18" s="2" t="s">
        <v>17</v>
      </c>
      <c r="B18" s="2" t="s">
        <v>3416</v>
      </c>
      <c r="C18" s="2" t="str">
        <f t="shared" si="0"/>
        <v>367</v>
      </c>
      <c r="D18" s="5" t="s">
        <v>24</v>
      </c>
      <c r="E18" s="7">
        <v>189553868.47000003</v>
      </c>
      <c r="F18" s="19"/>
      <c r="G18" s="7">
        <v>14041923.677429089</v>
      </c>
      <c r="H18" s="19"/>
      <c r="I18" s="7">
        <v>-461287.31</v>
      </c>
      <c r="J18" s="19"/>
      <c r="K18" s="7">
        <v>0</v>
      </c>
      <c r="L18" s="19"/>
      <c r="M18" s="7">
        <v>13580636.367429089</v>
      </c>
      <c r="N18" s="19"/>
      <c r="O18" s="7">
        <v>203134504.83742911</v>
      </c>
      <c r="P18" s="5"/>
      <c r="Q18" s="13">
        <v>-50813647.668765202</v>
      </c>
      <c r="R18" s="5"/>
      <c r="S18" s="13">
        <v>152320857.16866392</v>
      </c>
      <c r="T18" s="19"/>
      <c r="U18" s="7">
        <v>14045.489469610315</v>
      </c>
      <c r="V18" s="19"/>
      <c r="W18" s="7">
        <v>-50799602.179295592</v>
      </c>
      <c r="X18" s="19"/>
      <c r="Y18" s="7">
        <v>203134504.857429</v>
      </c>
      <c r="Z18" s="7">
        <v>1.9999891519546509E-2</v>
      </c>
    </row>
    <row r="19" spans="1:26">
      <c r="A19" s="2" t="s">
        <v>17</v>
      </c>
      <c r="B19" s="2" t="s">
        <v>3416</v>
      </c>
      <c r="C19" s="2" t="str">
        <f t="shared" si="0"/>
        <v>368</v>
      </c>
      <c r="D19" s="5" t="s">
        <v>25</v>
      </c>
      <c r="E19" s="7">
        <v>302516057</v>
      </c>
      <c r="F19" s="19"/>
      <c r="G19" s="7">
        <v>8087431.9529889999</v>
      </c>
      <c r="H19" s="19"/>
      <c r="I19" s="7">
        <v>-332240.52</v>
      </c>
      <c r="J19" s="19"/>
      <c r="K19" s="7">
        <v>0</v>
      </c>
      <c r="L19" s="19"/>
      <c r="M19" s="7">
        <v>7755191.4329889994</v>
      </c>
      <c r="N19" s="19"/>
      <c r="O19" s="7">
        <v>310271248.432989</v>
      </c>
      <c r="P19" s="5"/>
      <c r="Q19" s="13">
        <v>-143766435.64810699</v>
      </c>
      <c r="R19" s="5"/>
      <c r="S19" s="13">
        <v>166504812.78488201</v>
      </c>
      <c r="T19" s="19"/>
      <c r="U19" s="7">
        <v>8089.4856674434177</v>
      </c>
      <c r="V19" s="19"/>
      <c r="W19" s="7">
        <v>-143758346.16243955</v>
      </c>
      <c r="X19" s="19"/>
      <c r="Y19" s="7">
        <v>310271248.38298905</v>
      </c>
      <c r="Z19" s="7">
        <v>-4.999995231628418E-2</v>
      </c>
    </row>
    <row r="20" spans="1:26">
      <c r="A20" s="2" t="s">
        <v>17</v>
      </c>
      <c r="B20" s="2" t="s">
        <v>3416</v>
      </c>
      <c r="C20" s="2" t="str">
        <f t="shared" si="0"/>
        <v>369</v>
      </c>
      <c r="D20" s="5" t="s">
        <v>26</v>
      </c>
      <c r="E20" s="7">
        <v>108515054.2</v>
      </c>
      <c r="F20" s="19"/>
      <c r="G20" s="7">
        <v>135495.57</v>
      </c>
      <c r="H20" s="19"/>
      <c r="I20" s="7">
        <v>0</v>
      </c>
      <c r="J20" s="19"/>
      <c r="K20" s="7">
        <v>0</v>
      </c>
      <c r="L20" s="19"/>
      <c r="M20" s="7">
        <v>135495.57</v>
      </c>
      <c r="N20" s="19"/>
      <c r="O20" s="7">
        <v>108650549.77</v>
      </c>
      <c r="P20" s="5"/>
      <c r="Q20" s="13">
        <v>-61529962.420000002</v>
      </c>
      <c r="R20" s="5"/>
      <c r="S20" s="13">
        <v>47120587.349999994</v>
      </c>
      <c r="T20" s="19"/>
      <c r="U20" s="7">
        <v>135.52997761075162</v>
      </c>
      <c r="V20" s="19"/>
      <c r="W20" s="7">
        <v>-61529826.89002239</v>
      </c>
      <c r="X20" s="19"/>
      <c r="Y20" s="7">
        <v>108650549.7</v>
      </c>
      <c r="Z20" s="7">
        <v>-6.9999992847442627E-2</v>
      </c>
    </row>
    <row r="21" spans="1:26">
      <c r="A21" s="2" t="s">
        <v>17</v>
      </c>
      <c r="B21" s="2" t="s">
        <v>3416</v>
      </c>
      <c r="C21" s="2" t="str">
        <f t="shared" si="0"/>
        <v>370</v>
      </c>
      <c r="D21" s="5" t="s">
        <v>27</v>
      </c>
      <c r="E21" s="7">
        <v>74941722.320000008</v>
      </c>
      <c r="F21" s="19"/>
      <c r="G21" s="7">
        <v>2401179.1478699986</v>
      </c>
      <c r="H21" s="19"/>
      <c r="I21" s="7">
        <v>-122654.26</v>
      </c>
      <c r="J21" s="19"/>
      <c r="K21" s="7">
        <v>0</v>
      </c>
      <c r="L21" s="19"/>
      <c r="M21" s="7">
        <v>2278524.8878699988</v>
      </c>
      <c r="N21" s="19"/>
      <c r="O21" s="7">
        <v>77220247.207870007</v>
      </c>
      <c r="P21" s="5"/>
      <c r="Q21" s="13">
        <v>-39322744.765801899</v>
      </c>
      <c r="R21" s="5"/>
      <c r="S21" s="13">
        <v>37897502.442068107</v>
      </c>
      <c r="T21" s="19"/>
      <c r="U21" s="7">
        <v>2401.7889009229198</v>
      </c>
      <c r="V21" s="19"/>
      <c r="W21" s="7">
        <v>-39320342.97690098</v>
      </c>
      <c r="X21" s="19"/>
      <c r="Y21" s="7">
        <v>77220247.207869992</v>
      </c>
      <c r="Z21" s="7">
        <v>0</v>
      </c>
    </row>
    <row r="22" spans="1:26">
      <c r="A22" s="2" t="s">
        <v>17</v>
      </c>
      <c r="B22" s="2" t="s">
        <v>3416</v>
      </c>
      <c r="D22" s="5" t="s">
        <v>2188</v>
      </c>
      <c r="E22" s="7">
        <v>0</v>
      </c>
      <c r="F22" s="19"/>
      <c r="G22" s="7">
        <v>0</v>
      </c>
      <c r="H22" s="19"/>
      <c r="I22" s="7">
        <v>0</v>
      </c>
      <c r="J22" s="19"/>
      <c r="K22" s="7">
        <v>0</v>
      </c>
      <c r="L22" s="19"/>
      <c r="M22" s="7">
        <v>0</v>
      </c>
      <c r="N22" s="19"/>
      <c r="O22" s="7">
        <v>0</v>
      </c>
      <c r="P22" s="5"/>
      <c r="Q22" s="13">
        <v>0</v>
      </c>
      <c r="R22" s="5"/>
      <c r="S22" s="13">
        <v>0</v>
      </c>
      <c r="T22" s="19"/>
      <c r="U22" s="7">
        <v>0</v>
      </c>
      <c r="V22" s="19"/>
      <c r="W22" s="7">
        <v>0</v>
      </c>
      <c r="X22" s="19"/>
      <c r="Y22" s="7">
        <v>0</v>
      </c>
      <c r="Z22" s="7">
        <v>0</v>
      </c>
    </row>
    <row r="23" spans="1:26">
      <c r="A23" s="9" t="s">
        <v>17</v>
      </c>
      <c r="B23" s="2" t="s">
        <v>3416</v>
      </c>
      <c r="C23" s="9"/>
      <c r="D23" s="5" t="s">
        <v>2486</v>
      </c>
      <c r="E23" s="7">
        <v>0</v>
      </c>
      <c r="F23" s="19"/>
      <c r="G23" s="7">
        <v>0</v>
      </c>
      <c r="H23" s="19"/>
      <c r="I23" s="7">
        <v>0</v>
      </c>
      <c r="J23" s="19"/>
      <c r="K23" s="7">
        <v>0</v>
      </c>
      <c r="L23" s="19"/>
      <c r="M23" s="7">
        <v>0</v>
      </c>
      <c r="N23" s="19"/>
      <c r="O23" s="7">
        <v>0</v>
      </c>
      <c r="P23" s="5"/>
      <c r="Q23" s="13">
        <v>0</v>
      </c>
      <c r="R23" s="5"/>
      <c r="S23" s="13">
        <v>0</v>
      </c>
      <c r="T23" s="19"/>
      <c r="U23" s="7">
        <v>0</v>
      </c>
      <c r="V23" s="19"/>
      <c r="W23" s="7">
        <v>0</v>
      </c>
      <c r="X23" s="19"/>
      <c r="Y23" s="7">
        <v>0</v>
      </c>
      <c r="Z23" s="7">
        <v>0</v>
      </c>
    </row>
    <row r="24" spans="1:26">
      <c r="A24" s="2" t="s">
        <v>17</v>
      </c>
      <c r="B24" s="2" t="s">
        <v>3416</v>
      </c>
      <c r="C24" s="2" t="str">
        <f t="shared" ref="C24:C26" si="1">MID(D24,2,3)</f>
        <v>371</v>
      </c>
      <c r="D24" s="5" t="s">
        <v>28</v>
      </c>
      <c r="E24" s="7">
        <v>6164.11</v>
      </c>
      <c r="F24" s="19"/>
      <c r="G24" s="7">
        <v>139495.85809999998</v>
      </c>
      <c r="H24" s="19"/>
      <c r="I24" s="7">
        <v>0</v>
      </c>
      <c r="J24" s="19"/>
      <c r="K24" s="7">
        <v>0</v>
      </c>
      <c r="L24" s="19"/>
      <c r="M24" s="7">
        <v>139495.85809999998</v>
      </c>
      <c r="N24" s="19"/>
      <c r="O24" s="7">
        <v>145659.96809999997</v>
      </c>
      <c r="P24" s="5"/>
      <c r="Q24" s="13">
        <v>-4159.88</v>
      </c>
      <c r="R24" s="5"/>
      <c r="S24" s="13">
        <v>141500.08809999996</v>
      </c>
      <c r="T24" s="19"/>
      <c r="U24" s="7">
        <v>139.53128153994689</v>
      </c>
      <c r="V24" s="19"/>
      <c r="W24" s="7">
        <v>-4020.3487184600531</v>
      </c>
      <c r="X24" s="19"/>
      <c r="Y24" s="7">
        <v>145659.9681</v>
      </c>
      <c r="Z24" s="7">
        <v>0</v>
      </c>
    </row>
    <row r="25" spans="1:26" s="9" customFormat="1">
      <c r="A25" s="2" t="s">
        <v>17</v>
      </c>
      <c r="B25" s="2" t="s">
        <v>3416</v>
      </c>
      <c r="C25" s="2" t="str">
        <f t="shared" si="1"/>
        <v>373</v>
      </c>
      <c r="D25" s="5" t="s">
        <v>29</v>
      </c>
      <c r="E25" s="7">
        <v>117191650.09999999</v>
      </c>
      <c r="F25" s="18"/>
      <c r="G25" s="7">
        <v>6685019.5799690001</v>
      </c>
      <c r="H25" s="18"/>
      <c r="I25" s="7">
        <v>-78692.759999999995</v>
      </c>
      <c r="J25" s="18"/>
      <c r="K25" s="7">
        <v>0</v>
      </c>
      <c r="L25" s="18"/>
      <c r="M25" s="17">
        <v>6606326.8199690003</v>
      </c>
      <c r="N25" s="18"/>
      <c r="O25" s="17">
        <v>123797976.91996899</v>
      </c>
      <c r="P25" s="5"/>
      <c r="Q25" s="13">
        <v>-43553042.638097495</v>
      </c>
      <c r="R25" s="5"/>
      <c r="S25" s="13">
        <v>80244934.281871498</v>
      </c>
      <c r="T25" s="18"/>
      <c r="U25" s="7">
        <v>6686.7171672153909</v>
      </c>
      <c r="V25" s="18"/>
      <c r="W25" s="7">
        <v>-43546355.920930281</v>
      </c>
      <c r="X25" s="18"/>
      <c r="Y25" s="7">
        <v>123797976.879968</v>
      </c>
      <c r="Z25" s="7">
        <v>-4.0000990033149719E-2</v>
      </c>
    </row>
    <row r="26" spans="1:26" s="9" customFormat="1">
      <c r="A26" s="2" t="s">
        <v>17</v>
      </c>
      <c r="B26" s="2" t="s">
        <v>3416</v>
      </c>
      <c r="C26" s="2" t="str">
        <f t="shared" si="1"/>
        <v>374</v>
      </c>
      <c r="D26" s="5" t="s">
        <v>30</v>
      </c>
      <c r="E26" s="17">
        <v>670190.36999999906</v>
      </c>
      <c r="F26" s="18"/>
      <c r="G26" s="17">
        <v>0</v>
      </c>
      <c r="H26" s="18"/>
      <c r="I26" s="17">
        <v>-11903.18</v>
      </c>
      <c r="J26" s="18"/>
      <c r="K26" s="17">
        <v>0</v>
      </c>
      <c r="L26" s="18"/>
      <c r="M26" s="17">
        <v>-11903.18</v>
      </c>
      <c r="N26" s="18"/>
      <c r="O26" s="17">
        <v>658287.18999999901</v>
      </c>
      <c r="P26" s="14"/>
      <c r="Q26" s="15">
        <v>-123218.49</v>
      </c>
      <c r="R26" s="14"/>
      <c r="S26" s="15">
        <v>535068.69999999902</v>
      </c>
      <c r="T26" s="18"/>
      <c r="U26" s="17">
        <v>0</v>
      </c>
      <c r="V26" s="18"/>
      <c r="W26" s="17">
        <v>-123218.49</v>
      </c>
      <c r="X26" s="18"/>
      <c r="Y26" s="17">
        <v>658287.19000000006</v>
      </c>
      <c r="Z26" s="17">
        <v>1.0477378964424133E-9</v>
      </c>
    </row>
    <row r="27" spans="1:26">
      <c r="B27" s="2" t="s">
        <v>3416</v>
      </c>
      <c r="D27" s="16" t="s">
        <v>31</v>
      </c>
      <c r="E27" s="17">
        <v>0</v>
      </c>
      <c r="F27" s="18"/>
      <c r="G27" s="17">
        <v>0</v>
      </c>
      <c r="H27" s="18"/>
      <c r="I27" s="17">
        <v>0</v>
      </c>
      <c r="J27" s="18"/>
      <c r="K27" s="17">
        <v>0</v>
      </c>
      <c r="L27" s="18"/>
      <c r="M27" s="17">
        <v>0</v>
      </c>
      <c r="N27" s="18"/>
      <c r="O27" s="17">
        <v>0</v>
      </c>
      <c r="P27" s="5"/>
      <c r="Q27" s="15">
        <v>0</v>
      </c>
      <c r="R27" s="5"/>
      <c r="S27" s="15">
        <v>0</v>
      </c>
      <c r="T27" s="18"/>
      <c r="U27" s="17">
        <v>0</v>
      </c>
      <c r="V27" s="18"/>
      <c r="W27" s="17">
        <v>0</v>
      </c>
      <c r="X27" s="18"/>
      <c r="Y27" s="17">
        <v>0</v>
      </c>
      <c r="Z27" s="17">
        <v>0</v>
      </c>
    </row>
    <row r="28" spans="1:26">
      <c r="B28" s="2" t="s">
        <v>3416</v>
      </c>
      <c r="D28" s="5"/>
      <c r="E28" s="433">
        <v>1710739454.6299999</v>
      </c>
      <c r="F28" s="18"/>
      <c r="G28" s="433">
        <v>147912824.68970165</v>
      </c>
      <c r="H28" s="18"/>
      <c r="I28" s="433">
        <v>-9265841.3999999985</v>
      </c>
      <c r="J28" s="18"/>
      <c r="K28" s="433">
        <v>860.21</v>
      </c>
      <c r="L28" s="18"/>
      <c r="M28" s="433">
        <v>138647843.49970165</v>
      </c>
      <c r="N28" s="18"/>
      <c r="O28" s="433">
        <v>1849387298.1297021</v>
      </c>
      <c r="P28" s="5"/>
      <c r="Q28" s="433">
        <v>-661055221.86928523</v>
      </c>
      <c r="R28" s="5"/>
      <c r="S28" s="433">
        <v>1188332076.260417</v>
      </c>
      <c r="T28" s="18"/>
      <c r="U28" s="433">
        <v>147950.385525802</v>
      </c>
      <c r="V28" s="18"/>
      <c r="W28" s="433">
        <v>-660907271.48375928</v>
      </c>
      <c r="X28" s="18"/>
      <c r="Y28" s="433">
        <v>1849387297.9896989</v>
      </c>
      <c r="Z28" s="433">
        <v>-0.14000268175732344</v>
      </c>
    </row>
    <row r="29" spans="1:26">
      <c r="B29" s="2" t="s">
        <v>3416</v>
      </c>
      <c r="D29" s="5"/>
      <c r="E29" s="17"/>
      <c r="F29" s="18"/>
      <c r="G29" s="17"/>
      <c r="H29" s="18"/>
      <c r="I29" s="17"/>
      <c r="J29" s="18"/>
      <c r="K29" s="17"/>
      <c r="L29" s="18"/>
      <c r="M29" s="17"/>
      <c r="N29" s="18"/>
      <c r="O29" s="17"/>
      <c r="P29" s="5"/>
      <c r="Q29" s="5"/>
      <c r="R29" s="5"/>
      <c r="S29" s="5"/>
      <c r="T29" s="18"/>
      <c r="U29" s="17"/>
      <c r="V29" s="18"/>
      <c r="W29" s="17"/>
      <c r="X29" s="18"/>
      <c r="Y29" s="17"/>
      <c r="Z29" s="17"/>
    </row>
    <row r="30" spans="1:26">
      <c r="B30" s="2" t="s">
        <v>3416</v>
      </c>
      <c r="D30" s="8" t="s">
        <v>3424</v>
      </c>
      <c r="E30" s="17"/>
      <c r="F30" s="18"/>
      <c r="G30" s="17"/>
      <c r="H30" s="18"/>
      <c r="I30" s="17"/>
      <c r="J30" s="18"/>
      <c r="K30" s="17"/>
      <c r="L30" s="18"/>
      <c r="M30" s="17"/>
      <c r="N30" s="18"/>
      <c r="O30" s="17"/>
      <c r="P30" s="5"/>
      <c r="Q30" s="5"/>
      <c r="R30" s="5"/>
      <c r="S30" s="5"/>
      <c r="T30" s="18"/>
      <c r="U30" s="17"/>
      <c r="V30" s="18"/>
      <c r="W30" s="17"/>
      <c r="X30" s="18"/>
      <c r="Y30" s="17"/>
      <c r="Z30" s="17"/>
    </row>
    <row r="31" spans="1:26">
      <c r="A31" s="2" t="s">
        <v>17</v>
      </c>
      <c r="B31" s="2" t="s">
        <v>3416</v>
      </c>
      <c r="C31" s="2" t="str">
        <f t="shared" ref="C31:C44" si="2">MID(D31,2,3)</f>
        <v>389</v>
      </c>
      <c r="D31" s="5" t="s">
        <v>2487</v>
      </c>
      <c r="E31" s="7">
        <v>3017082.76</v>
      </c>
      <c r="F31" s="19"/>
      <c r="G31" s="7">
        <v>110372.30984999999</v>
      </c>
      <c r="H31" s="19"/>
      <c r="I31" s="7">
        <v>0</v>
      </c>
      <c r="J31" s="19"/>
      <c r="K31" s="7">
        <v>0</v>
      </c>
      <c r="L31" s="19"/>
      <c r="M31" s="7">
        <v>110372.30984999999</v>
      </c>
      <c r="N31" s="19"/>
      <c r="O31" s="7">
        <v>3127455.0698499996</v>
      </c>
      <c r="P31" s="5"/>
      <c r="Q31" s="13">
        <v>0</v>
      </c>
      <c r="R31" s="5"/>
      <c r="S31" s="13">
        <v>3127455.0698499996</v>
      </c>
      <c r="T31" s="19"/>
      <c r="U31" s="7">
        <v>-1.7105285652016262E-8</v>
      </c>
      <c r="V31" s="19"/>
      <c r="W31" s="7">
        <v>-1.7105285652016262E-8</v>
      </c>
      <c r="X31" s="19"/>
      <c r="Y31" s="7">
        <v>3127455.0698499903</v>
      </c>
      <c r="Z31" s="7">
        <v>-9.3132257461547852E-9</v>
      </c>
    </row>
    <row r="32" spans="1:26">
      <c r="A32" s="2" t="s">
        <v>17</v>
      </c>
      <c r="B32" s="2" t="s">
        <v>3416</v>
      </c>
      <c r="C32" s="2" t="str">
        <f t="shared" si="2"/>
        <v>390</v>
      </c>
      <c r="D32" s="5" t="s">
        <v>34</v>
      </c>
      <c r="E32" s="7">
        <v>61924872.359999999</v>
      </c>
      <c r="F32" s="19"/>
      <c r="G32" s="7">
        <v>6712891.1688590981</v>
      </c>
      <c r="H32" s="19"/>
      <c r="I32" s="7">
        <v>-281986.65999999997</v>
      </c>
      <c r="J32" s="19"/>
      <c r="K32" s="7">
        <v>-860.21</v>
      </c>
      <c r="L32" s="19"/>
      <c r="M32" s="7">
        <v>6430044.298859098</v>
      </c>
      <c r="N32" s="19"/>
      <c r="O32" s="7">
        <v>68354916.658859104</v>
      </c>
      <c r="P32" s="5"/>
      <c r="Q32" s="13">
        <v>-13711077.737158</v>
      </c>
      <c r="R32" s="5"/>
      <c r="S32" s="13">
        <v>54643838.921701103</v>
      </c>
      <c r="T32" s="19"/>
      <c r="U32" s="7">
        <v>-1.0403508013041028E-6</v>
      </c>
      <c r="V32" s="19"/>
      <c r="W32" s="7">
        <v>-13711077.737159042</v>
      </c>
      <c r="X32" s="19"/>
      <c r="Y32" s="7">
        <v>68354916.658859104</v>
      </c>
      <c r="Z32" s="7">
        <v>0</v>
      </c>
    </row>
    <row r="33" spans="1:26">
      <c r="A33" s="2" t="s">
        <v>17</v>
      </c>
      <c r="B33" s="2" t="s">
        <v>3416</v>
      </c>
      <c r="D33" s="5" t="s">
        <v>35</v>
      </c>
      <c r="E33" s="7">
        <v>0</v>
      </c>
      <c r="F33" s="19"/>
      <c r="G33" s="7">
        <v>0</v>
      </c>
      <c r="H33" s="19"/>
      <c r="I33" s="7">
        <v>0</v>
      </c>
      <c r="J33" s="19"/>
      <c r="K33" s="7">
        <v>0</v>
      </c>
      <c r="L33" s="19"/>
      <c r="M33" s="7">
        <v>0</v>
      </c>
      <c r="N33" s="19"/>
      <c r="O33" s="7">
        <v>0</v>
      </c>
      <c r="P33" s="5"/>
      <c r="Q33" s="13">
        <v>0</v>
      </c>
      <c r="R33" s="5"/>
      <c r="S33" s="13">
        <v>0</v>
      </c>
      <c r="T33" s="19"/>
      <c r="U33" s="7">
        <v>0</v>
      </c>
      <c r="V33" s="19"/>
      <c r="W33" s="7">
        <v>0</v>
      </c>
      <c r="X33" s="19"/>
      <c r="Y33" s="7">
        <v>0</v>
      </c>
      <c r="Z33" s="7">
        <v>0</v>
      </c>
    </row>
    <row r="34" spans="1:26">
      <c r="A34" s="2" t="s">
        <v>17</v>
      </c>
      <c r="B34" s="2" t="s">
        <v>3416</v>
      </c>
      <c r="C34" s="2" t="str">
        <f t="shared" ref="C34" si="3">MID(D34,2,3)</f>
        <v>391</v>
      </c>
      <c r="D34" s="5" t="s">
        <v>36</v>
      </c>
      <c r="E34" s="7">
        <v>38262138.25</v>
      </c>
      <c r="F34" s="19"/>
      <c r="G34" s="7">
        <v>12503390.824825499</v>
      </c>
      <c r="H34" s="19"/>
      <c r="I34" s="7">
        <v>-4605502.8399999989</v>
      </c>
      <c r="J34" s="19"/>
      <c r="K34" s="7">
        <v>0</v>
      </c>
      <c r="L34" s="19"/>
      <c r="M34" s="7">
        <v>7897887.9848255003</v>
      </c>
      <c r="N34" s="19"/>
      <c r="O34" s="7">
        <v>46160026.234825499</v>
      </c>
      <c r="P34" s="5"/>
      <c r="Q34" s="13">
        <v>-21642280.690000001</v>
      </c>
      <c r="R34" s="5"/>
      <c r="S34" s="13">
        <v>24517745.544825498</v>
      </c>
      <c r="T34" s="19"/>
      <c r="U34" s="7">
        <v>-1.9377511621175825E-6</v>
      </c>
      <c r="V34" s="19"/>
      <c r="W34" s="7">
        <v>-21642280.690001938</v>
      </c>
      <c r="X34" s="19"/>
      <c r="Y34" s="7">
        <v>46160026.234825499</v>
      </c>
      <c r="Z34" s="7">
        <v>0</v>
      </c>
    </row>
    <row r="35" spans="1:26">
      <c r="A35" s="2" t="s">
        <v>17</v>
      </c>
      <c r="B35" s="2" t="s">
        <v>3416</v>
      </c>
      <c r="D35" s="5" t="s">
        <v>37</v>
      </c>
      <c r="E35" s="7">
        <v>0</v>
      </c>
      <c r="F35" s="19"/>
      <c r="G35" s="7">
        <v>0</v>
      </c>
      <c r="H35" s="19"/>
      <c r="I35" s="7">
        <v>0</v>
      </c>
      <c r="J35" s="19"/>
      <c r="K35" s="7">
        <v>0</v>
      </c>
      <c r="L35" s="19"/>
      <c r="M35" s="7">
        <v>0</v>
      </c>
      <c r="N35" s="19"/>
      <c r="O35" s="7">
        <v>0</v>
      </c>
      <c r="P35" s="5"/>
      <c r="Q35" s="13">
        <v>0</v>
      </c>
      <c r="R35" s="5"/>
      <c r="S35" s="13">
        <v>0</v>
      </c>
      <c r="T35" s="19"/>
      <c r="U35" s="7">
        <v>0</v>
      </c>
      <c r="V35" s="19"/>
      <c r="W35" s="7">
        <v>0</v>
      </c>
      <c r="X35" s="19"/>
      <c r="Y35" s="7">
        <v>0</v>
      </c>
      <c r="Z35" s="7">
        <v>0</v>
      </c>
    </row>
    <row r="36" spans="1:26">
      <c r="A36" s="9" t="s">
        <v>17</v>
      </c>
      <c r="B36" s="2" t="s">
        <v>3416</v>
      </c>
      <c r="C36" s="9"/>
      <c r="D36" s="5" t="s">
        <v>38</v>
      </c>
      <c r="E36" s="7">
        <v>0</v>
      </c>
      <c r="F36" s="19"/>
      <c r="G36" s="7">
        <v>0</v>
      </c>
      <c r="H36" s="19"/>
      <c r="I36" s="7">
        <v>0</v>
      </c>
      <c r="J36" s="19"/>
      <c r="K36" s="7">
        <v>0</v>
      </c>
      <c r="L36" s="19"/>
      <c r="M36" s="7">
        <v>0</v>
      </c>
      <c r="N36" s="19"/>
      <c r="O36" s="7">
        <v>0</v>
      </c>
      <c r="P36" s="5"/>
      <c r="Q36" s="13">
        <v>0</v>
      </c>
      <c r="R36" s="5"/>
      <c r="S36" s="13">
        <v>0</v>
      </c>
      <c r="T36" s="19"/>
      <c r="U36" s="7">
        <v>0</v>
      </c>
      <c r="V36" s="19"/>
      <c r="W36" s="7">
        <v>0</v>
      </c>
      <c r="X36" s="19"/>
      <c r="Y36" s="7">
        <v>0</v>
      </c>
      <c r="Z36" s="7">
        <v>0</v>
      </c>
    </row>
    <row r="37" spans="1:26">
      <c r="A37" s="2" t="s">
        <v>17</v>
      </c>
      <c r="B37" s="2" t="s">
        <v>3416</v>
      </c>
      <c r="D37" s="5" t="s">
        <v>39</v>
      </c>
      <c r="E37" s="7">
        <v>0</v>
      </c>
      <c r="F37" s="19"/>
      <c r="G37" s="7">
        <v>0</v>
      </c>
      <c r="H37" s="19"/>
      <c r="I37" s="7">
        <v>0</v>
      </c>
      <c r="J37" s="19"/>
      <c r="K37" s="7">
        <v>0</v>
      </c>
      <c r="L37" s="19"/>
      <c r="M37" s="7">
        <v>0</v>
      </c>
      <c r="N37" s="19"/>
      <c r="O37" s="7">
        <v>0</v>
      </c>
      <c r="P37" s="5"/>
      <c r="Q37" s="13">
        <v>0</v>
      </c>
      <c r="R37" s="5"/>
      <c r="S37" s="13">
        <v>0</v>
      </c>
      <c r="T37" s="19"/>
      <c r="U37" s="7">
        <v>0</v>
      </c>
      <c r="V37" s="19"/>
      <c r="W37" s="7">
        <v>0</v>
      </c>
      <c r="X37" s="19"/>
      <c r="Y37" s="7">
        <v>0</v>
      </c>
      <c r="Z37" s="7">
        <v>0</v>
      </c>
    </row>
    <row r="38" spans="1:26">
      <c r="A38" s="2" t="s">
        <v>17</v>
      </c>
      <c r="B38" s="2" t="s">
        <v>3416</v>
      </c>
      <c r="C38" s="2" t="str">
        <f t="shared" si="2"/>
        <v>392</v>
      </c>
      <c r="D38" s="5" t="s">
        <v>40</v>
      </c>
      <c r="E38" s="7">
        <v>7247022.6799999997</v>
      </c>
      <c r="F38" s="19"/>
      <c r="G38" s="7">
        <v>491084.27</v>
      </c>
      <c r="H38" s="19"/>
      <c r="I38" s="7">
        <v>-214781.65000000002</v>
      </c>
      <c r="J38" s="19"/>
      <c r="K38" s="7">
        <v>0</v>
      </c>
      <c r="L38" s="19"/>
      <c r="M38" s="7">
        <v>276302.62</v>
      </c>
      <c r="N38" s="19"/>
      <c r="O38" s="7">
        <v>7523325.2999999998</v>
      </c>
      <c r="P38" s="5"/>
      <c r="Q38" s="13">
        <v>-4208816.6668779999</v>
      </c>
      <c r="R38" s="5"/>
      <c r="S38" s="13">
        <v>3314508.6331219999</v>
      </c>
      <c r="T38" s="19"/>
      <c r="U38" s="7">
        <v>-7.6107283873808322E-8</v>
      </c>
      <c r="V38" s="19"/>
      <c r="W38" s="7">
        <v>-4208816.6668780763</v>
      </c>
      <c r="X38" s="19"/>
      <c r="Y38" s="7">
        <v>7523325.3000000007</v>
      </c>
      <c r="Z38" s="7">
        <v>0</v>
      </c>
    </row>
    <row r="39" spans="1:26">
      <c r="A39" s="2" t="s">
        <v>17</v>
      </c>
      <c r="B39" s="2" t="s">
        <v>3416</v>
      </c>
      <c r="D39" s="5" t="s">
        <v>41</v>
      </c>
      <c r="E39" s="7">
        <v>0</v>
      </c>
      <c r="F39" s="19"/>
      <c r="G39" s="7">
        <v>0</v>
      </c>
      <c r="H39" s="19"/>
      <c r="I39" s="7">
        <v>0</v>
      </c>
      <c r="J39" s="19"/>
      <c r="K39" s="7">
        <v>0</v>
      </c>
      <c r="L39" s="19"/>
      <c r="M39" s="7">
        <v>0</v>
      </c>
      <c r="N39" s="19"/>
      <c r="O39" s="7">
        <v>0</v>
      </c>
      <c r="P39" s="5"/>
      <c r="Q39" s="13">
        <v>0</v>
      </c>
      <c r="R39" s="5"/>
      <c r="S39" s="13">
        <v>0</v>
      </c>
      <c r="T39" s="19"/>
      <c r="U39" s="7">
        <v>0</v>
      </c>
      <c r="V39" s="19"/>
      <c r="W39" s="7">
        <v>0</v>
      </c>
      <c r="X39" s="19"/>
      <c r="Y39" s="7">
        <v>0</v>
      </c>
      <c r="Z39" s="7">
        <v>0</v>
      </c>
    </row>
    <row r="40" spans="1:26">
      <c r="A40" s="2" t="s">
        <v>17</v>
      </c>
      <c r="B40" s="2" t="s">
        <v>3416</v>
      </c>
      <c r="C40" s="2" t="str">
        <f t="shared" si="2"/>
        <v>393</v>
      </c>
      <c r="D40" s="5" t="s">
        <v>42</v>
      </c>
      <c r="E40" s="7">
        <v>906444.57</v>
      </c>
      <c r="F40" s="19"/>
      <c r="G40" s="7">
        <v>49035.707419999999</v>
      </c>
      <c r="H40" s="19"/>
      <c r="I40" s="7">
        <v>-6848.4400000000005</v>
      </c>
      <c r="J40" s="19"/>
      <c r="K40" s="7">
        <v>0</v>
      </c>
      <c r="L40" s="19"/>
      <c r="M40" s="7">
        <v>42187.267419999996</v>
      </c>
      <c r="N40" s="19"/>
      <c r="O40" s="7">
        <v>948631.83742</v>
      </c>
      <c r="P40" s="5"/>
      <c r="Q40" s="13">
        <v>-453155.609999999</v>
      </c>
      <c r="R40" s="5"/>
      <c r="S40" s="13">
        <v>495476.227420001</v>
      </c>
      <c r="T40" s="19"/>
      <c r="U40" s="7">
        <v>-7.5994584484796243E-9</v>
      </c>
      <c r="V40" s="19"/>
      <c r="W40" s="7">
        <v>-453155.61000000662</v>
      </c>
      <c r="X40" s="19"/>
      <c r="Y40" s="7">
        <v>948631.83742</v>
      </c>
      <c r="Z40" s="7">
        <v>0</v>
      </c>
    </row>
    <row r="41" spans="1:26">
      <c r="A41" s="2" t="s">
        <v>17</v>
      </c>
      <c r="B41" s="2" t="s">
        <v>3416</v>
      </c>
      <c r="C41" s="2" t="str">
        <f t="shared" si="2"/>
        <v>394</v>
      </c>
      <c r="D41" s="5" t="s">
        <v>43</v>
      </c>
      <c r="E41" s="7">
        <v>12826549.380000001</v>
      </c>
      <c r="F41" s="19"/>
      <c r="G41" s="7">
        <v>1952294.9577216997</v>
      </c>
      <c r="H41" s="19"/>
      <c r="I41" s="7">
        <v>-54865.239999999991</v>
      </c>
      <c r="J41" s="19"/>
      <c r="K41" s="7">
        <v>0</v>
      </c>
      <c r="L41" s="19"/>
      <c r="M41" s="7">
        <v>1897429.7177216997</v>
      </c>
      <c r="N41" s="19"/>
      <c r="O41" s="7">
        <v>14723979.0977217</v>
      </c>
      <c r="P41" s="5"/>
      <c r="Q41" s="13">
        <v>-4585511.7599999905</v>
      </c>
      <c r="R41" s="5"/>
      <c r="S41" s="13">
        <v>10138467.337721709</v>
      </c>
      <c r="T41" s="19"/>
      <c r="U41" s="7">
        <v>-3.0256287083422572E-7</v>
      </c>
      <c r="V41" s="19"/>
      <c r="W41" s="7">
        <v>-4585511.7600002931</v>
      </c>
      <c r="X41" s="19"/>
      <c r="Y41" s="7">
        <v>14723979.0977217</v>
      </c>
      <c r="Z41" s="7">
        <v>0</v>
      </c>
    </row>
    <row r="42" spans="1:26">
      <c r="A42" s="2" t="s">
        <v>17</v>
      </c>
      <c r="B42" s="2" t="s">
        <v>3416</v>
      </c>
      <c r="C42" s="2" t="str">
        <f t="shared" si="2"/>
        <v>395</v>
      </c>
      <c r="D42" s="5" t="s">
        <v>44</v>
      </c>
      <c r="E42" s="7">
        <v>0</v>
      </c>
      <c r="F42" s="19"/>
      <c r="G42" s="7">
        <v>0</v>
      </c>
      <c r="H42" s="19"/>
      <c r="I42" s="7">
        <v>0</v>
      </c>
      <c r="J42" s="19"/>
      <c r="K42" s="7">
        <v>0</v>
      </c>
      <c r="L42" s="19"/>
      <c r="M42" s="7">
        <v>0</v>
      </c>
      <c r="N42" s="19"/>
      <c r="O42" s="7">
        <v>0</v>
      </c>
      <c r="P42" s="5"/>
      <c r="Q42" s="13">
        <v>0</v>
      </c>
      <c r="R42" s="5"/>
      <c r="S42" s="13">
        <v>0</v>
      </c>
      <c r="T42" s="19"/>
      <c r="U42" s="7">
        <v>0</v>
      </c>
      <c r="V42" s="19"/>
      <c r="W42" s="7">
        <v>0</v>
      </c>
      <c r="X42" s="19"/>
      <c r="Y42" s="7">
        <v>0</v>
      </c>
      <c r="Z42" s="7">
        <v>0</v>
      </c>
    </row>
    <row r="43" spans="1:26" s="9" customFormat="1">
      <c r="A43" s="2" t="s">
        <v>17</v>
      </c>
      <c r="B43" s="2" t="s">
        <v>3416</v>
      </c>
      <c r="C43" s="2" t="str">
        <f t="shared" si="2"/>
        <v>396</v>
      </c>
      <c r="D43" s="5" t="s">
        <v>2488</v>
      </c>
      <c r="E43" s="7">
        <v>3175738.5599999996</v>
      </c>
      <c r="F43" s="19"/>
      <c r="G43" s="7">
        <v>679891.58</v>
      </c>
      <c r="H43" s="19"/>
      <c r="I43" s="7">
        <v>0</v>
      </c>
      <c r="J43" s="19"/>
      <c r="K43" s="7">
        <v>0</v>
      </c>
      <c r="L43" s="19"/>
      <c r="M43" s="7">
        <v>679891.58</v>
      </c>
      <c r="N43" s="19"/>
      <c r="O43" s="7">
        <v>3855630.1399999997</v>
      </c>
      <c r="P43" s="5"/>
      <c r="Q43" s="13">
        <v>-1224508.01</v>
      </c>
      <c r="R43" s="5"/>
      <c r="S43" s="13">
        <v>2631122.13</v>
      </c>
      <c r="T43" s="19"/>
      <c r="U43" s="7">
        <v>-1.0536827311221363E-7</v>
      </c>
      <c r="V43" s="19"/>
      <c r="W43" s="7">
        <v>-1224508.0100001055</v>
      </c>
      <c r="X43" s="19"/>
      <c r="Y43" s="7">
        <v>3855630.14</v>
      </c>
      <c r="Z43" s="7">
        <v>0</v>
      </c>
    </row>
    <row r="44" spans="1:26" s="9" customFormat="1">
      <c r="A44" s="2" t="s">
        <v>17</v>
      </c>
      <c r="B44" s="2" t="s">
        <v>3416</v>
      </c>
      <c r="C44" s="2" t="str">
        <f t="shared" si="2"/>
        <v>397</v>
      </c>
      <c r="D44" s="5" t="s">
        <v>2189</v>
      </c>
      <c r="E44" s="7">
        <v>48289238.399999999</v>
      </c>
      <c r="F44" s="19"/>
      <c r="G44" s="7">
        <v>8925921.0085163899</v>
      </c>
      <c r="H44" s="19"/>
      <c r="I44" s="7">
        <v>0</v>
      </c>
      <c r="J44" s="19"/>
      <c r="K44" s="7">
        <v>0</v>
      </c>
      <c r="L44" s="19"/>
      <c r="M44" s="7">
        <v>8925921.0085163899</v>
      </c>
      <c r="N44" s="19"/>
      <c r="O44" s="7">
        <v>57215159.408516392</v>
      </c>
      <c r="P44" s="5"/>
      <c r="Q44" s="13">
        <v>-23744061.749813698</v>
      </c>
      <c r="R44" s="5"/>
      <c r="S44" s="13">
        <v>33471097.658702694</v>
      </c>
      <c r="T44" s="19"/>
      <c r="U44" s="7">
        <v>-1.3833218564104004E-6</v>
      </c>
      <c r="V44" s="19"/>
      <c r="W44" s="7">
        <v>-23744061.74981508</v>
      </c>
      <c r="X44" s="19"/>
      <c r="Y44" s="7">
        <v>57215159.408516303</v>
      </c>
      <c r="Z44" s="7">
        <v>-8.9406967163085938E-8</v>
      </c>
    </row>
    <row r="45" spans="1:26" s="9" customFormat="1">
      <c r="A45" s="2" t="s">
        <v>17</v>
      </c>
      <c r="B45" s="2" t="s">
        <v>3416</v>
      </c>
      <c r="D45" s="5" t="s">
        <v>2190</v>
      </c>
      <c r="E45" s="7">
        <v>0</v>
      </c>
      <c r="F45" s="19"/>
      <c r="G45" s="7">
        <v>0</v>
      </c>
      <c r="H45" s="19"/>
      <c r="I45" s="7">
        <v>0</v>
      </c>
      <c r="J45" s="19"/>
      <c r="K45" s="7">
        <v>0</v>
      </c>
      <c r="L45" s="19"/>
      <c r="M45" s="7">
        <v>0</v>
      </c>
      <c r="N45" s="19"/>
      <c r="O45" s="7">
        <v>0</v>
      </c>
      <c r="P45" s="5"/>
      <c r="Q45" s="13">
        <v>0</v>
      </c>
      <c r="R45" s="5"/>
      <c r="S45" s="13">
        <v>0</v>
      </c>
      <c r="T45" s="19"/>
      <c r="U45" s="7">
        <v>0</v>
      </c>
      <c r="V45" s="19"/>
      <c r="W45" s="7">
        <v>0</v>
      </c>
      <c r="X45" s="19"/>
      <c r="Y45" s="7">
        <v>0</v>
      </c>
      <c r="Z45" s="7">
        <v>0</v>
      </c>
    </row>
    <row r="46" spans="1:26">
      <c r="A46" s="2" t="s">
        <v>17</v>
      </c>
      <c r="B46" s="2" t="s">
        <v>3416</v>
      </c>
      <c r="C46" s="511">
        <v>397</v>
      </c>
      <c r="D46" s="5" t="s">
        <v>45</v>
      </c>
      <c r="E46" s="7">
        <v>7584827.0099999998</v>
      </c>
      <c r="F46" s="19"/>
      <c r="G46" s="7">
        <v>192363.35000000003</v>
      </c>
      <c r="H46" s="19"/>
      <c r="I46" s="7">
        <v>0</v>
      </c>
      <c r="J46" s="19"/>
      <c r="K46" s="7">
        <v>0</v>
      </c>
      <c r="L46" s="19"/>
      <c r="M46" s="7">
        <v>192363.35000000003</v>
      </c>
      <c r="N46" s="19"/>
      <c r="O46" s="7">
        <v>7777190.3599999994</v>
      </c>
      <c r="P46" s="5"/>
      <c r="Q46" s="13">
        <v>-2660674.1801899998</v>
      </c>
      <c r="R46" s="5"/>
      <c r="S46" s="13">
        <v>5116516.1798099997</v>
      </c>
      <c r="T46" s="19"/>
      <c r="U46" s="7">
        <v>-2.9812097392911298E-8</v>
      </c>
      <c r="V46" s="19"/>
      <c r="W46" s="7">
        <v>-2660674.1801900296</v>
      </c>
      <c r="X46" s="19"/>
      <c r="Y46" s="7">
        <v>7777190.3599999994</v>
      </c>
      <c r="Z46" s="7">
        <v>0</v>
      </c>
    </row>
    <row r="47" spans="1:26">
      <c r="A47" s="2" t="s">
        <v>17</v>
      </c>
      <c r="B47" s="2" t="s">
        <v>3416</v>
      </c>
      <c r="C47" s="2" t="str">
        <f t="shared" ref="C47" si="4">MID(D47,2,3)</f>
        <v>398</v>
      </c>
      <c r="D47" s="5" t="s">
        <v>46</v>
      </c>
      <c r="E47" s="20">
        <v>0</v>
      </c>
      <c r="F47" s="18"/>
      <c r="G47" s="20">
        <v>0</v>
      </c>
      <c r="H47" s="18"/>
      <c r="I47" s="20">
        <v>0</v>
      </c>
      <c r="J47" s="18"/>
      <c r="K47" s="20">
        <v>0</v>
      </c>
      <c r="L47" s="18"/>
      <c r="M47" s="20">
        <v>0</v>
      </c>
      <c r="N47" s="18"/>
      <c r="O47" s="20">
        <v>0</v>
      </c>
      <c r="P47" s="5"/>
      <c r="Q47" s="21">
        <v>0</v>
      </c>
      <c r="R47" s="5"/>
      <c r="S47" s="21">
        <v>0</v>
      </c>
      <c r="T47" s="18"/>
      <c r="U47" s="20">
        <v>0</v>
      </c>
      <c r="V47" s="18"/>
      <c r="W47" s="20">
        <v>0</v>
      </c>
      <c r="X47" s="18"/>
      <c r="Y47" s="20">
        <v>0</v>
      </c>
      <c r="Z47" s="20">
        <v>0</v>
      </c>
    </row>
    <row r="48" spans="1:26">
      <c r="B48" s="2" t="s">
        <v>3416</v>
      </c>
      <c r="D48" s="5"/>
      <c r="E48" s="17">
        <v>183233913.97</v>
      </c>
      <c r="F48" s="18"/>
      <c r="G48" s="17">
        <v>31617245.177192684</v>
      </c>
      <c r="H48" s="18"/>
      <c r="I48" s="17">
        <v>-5163984.83</v>
      </c>
      <c r="J48" s="18"/>
      <c r="K48" s="17">
        <v>-860.21</v>
      </c>
      <c r="L48" s="18"/>
      <c r="M48" s="17">
        <v>26452400.137192685</v>
      </c>
      <c r="N48" s="18"/>
      <c r="O48" s="17">
        <v>209686314.1071927</v>
      </c>
      <c r="P48" s="5"/>
      <c r="Q48" s="17">
        <v>-72230086.404039681</v>
      </c>
      <c r="R48" s="5"/>
      <c r="S48" s="17">
        <v>137456227.70315298</v>
      </c>
      <c r="T48" s="18"/>
      <c r="U48" s="17">
        <v>-4.89997908914574E-6</v>
      </c>
      <c r="V48" s="18"/>
      <c r="W48" s="17">
        <v>-72230086.404044583</v>
      </c>
      <c r="X48" s="18"/>
      <c r="Y48" s="17">
        <v>209686314.10719258</v>
      </c>
      <c r="Z48" s="17">
        <v>-9.8720192909240723E-8</v>
      </c>
    </row>
    <row r="49" spans="1:26">
      <c r="B49" s="2" t="s">
        <v>3416</v>
      </c>
      <c r="D49" s="5"/>
      <c r="E49" s="17"/>
      <c r="F49" s="18"/>
      <c r="G49" s="17"/>
      <c r="H49" s="18"/>
      <c r="I49" s="17"/>
      <c r="J49" s="18"/>
      <c r="K49" s="17"/>
      <c r="L49" s="18"/>
      <c r="M49" s="17"/>
      <c r="N49" s="18"/>
      <c r="O49" s="17"/>
      <c r="P49" s="5"/>
      <c r="Q49" s="5"/>
      <c r="R49" s="5"/>
      <c r="S49" s="5"/>
      <c r="T49" s="18"/>
      <c r="U49" s="17"/>
      <c r="V49" s="18"/>
      <c r="W49" s="17"/>
      <c r="X49" s="18"/>
      <c r="Y49" s="17"/>
      <c r="Z49" s="17"/>
    </row>
    <row r="50" spans="1:26">
      <c r="B50" s="2" t="s">
        <v>3416</v>
      </c>
      <c r="D50" s="8" t="s">
        <v>3425</v>
      </c>
      <c r="E50" s="17"/>
      <c r="F50" s="18"/>
      <c r="G50" s="17"/>
      <c r="H50" s="18"/>
      <c r="I50" s="17"/>
      <c r="J50" s="18"/>
      <c r="K50" s="17"/>
      <c r="L50" s="18"/>
      <c r="M50" s="17"/>
      <c r="N50" s="18"/>
      <c r="O50" s="17"/>
      <c r="P50" s="5"/>
      <c r="Q50" s="5"/>
      <c r="R50" s="5"/>
      <c r="S50" s="5"/>
      <c r="T50" s="18"/>
      <c r="U50" s="17"/>
      <c r="V50" s="18"/>
      <c r="W50" s="17"/>
      <c r="X50" s="18"/>
      <c r="Y50" s="17"/>
      <c r="Z50" s="17"/>
    </row>
    <row r="51" spans="1:26">
      <c r="A51" s="2" t="s">
        <v>17</v>
      </c>
      <c r="B51" s="2" t="s">
        <v>3416</v>
      </c>
      <c r="C51" s="2" t="str">
        <f t="shared" ref="C51:C58" si="5">MID(D51,2,3)</f>
        <v>330</v>
      </c>
      <c r="D51" s="5" t="s">
        <v>48</v>
      </c>
      <c r="E51" s="17">
        <v>855636.47000000009</v>
      </c>
      <c r="F51" s="18"/>
      <c r="G51" s="17">
        <v>0</v>
      </c>
      <c r="H51" s="18"/>
      <c r="I51" s="17">
        <v>0</v>
      </c>
      <c r="J51" s="18"/>
      <c r="K51" s="17">
        <v>0</v>
      </c>
      <c r="L51" s="18"/>
      <c r="M51" s="17">
        <v>0</v>
      </c>
      <c r="N51" s="18"/>
      <c r="O51" s="17">
        <v>855636.47000000009</v>
      </c>
      <c r="P51" s="5"/>
      <c r="Q51" s="13">
        <v>-912332.6</v>
      </c>
      <c r="R51" s="5"/>
      <c r="S51" s="13">
        <v>-56696.129999999888</v>
      </c>
      <c r="T51" s="18"/>
      <c r="U51" s="7">
        <v>0</v>
      </c>
      <c r="V51" s="19"/>
      <c r="W51" s="7">
        <v>-912332.6</v>
      </c>
      <c r="X51" s="19"/>
      <c r="Y51" s="7">
        <v>855636.47000000009</v>
      </c>
      <c r="Z51" s="7">
        <v>0</v>
      </c>
    </row>
    <row r="52" spans="1:26">
      <c r="A52" s="2" t="s">
        <v>17</v>
      </c>
      <c r="B52" s="2" t="s">
        <v>3416</v>
      </c>
      <c r="C52" s="2" t="str">
        <f t="shared" si="5"/>
        <v>331</v>
      </c>
      <c r="D52" s="5" t="s">
        <v>49</v>
      </c>
      <c r="E52" s="17">
        <v>2999390.54</v>
      </c>
      <c r="F52" s="18"/>
      <c r="G52" s="17">
        <v>1393800.9300000002</v>
      </c>
      <c r="H52" s="18"/>
      <c r="I52" s="17">
        <v>0</v>
      </c>
      <c r="J52" s="18"/>
      <c r="K52" s="17">
        <v>0</v>
      </c>
      <c r="L52" s="18"/>
      <c r="M52" s="17">
        <v>1393800.9300000002</v>
      </c>
      <c r="N52" s="18"/>
      <c r="O52" s="17">
        <v>4393191.4700000007</v>
      </c>
      <c r="P52" s="5"/>
      <c r="Q52" s="13">
        <v>-327333.859999999</v>
      </c>
      <c r="R52" s="5"/>
      <c r="S52" s="13">
        <v>4065857.6100000017</v>
      </c>
      <c r="T52" s="18"/>
      <c r="U52" s="7">
        <v>0</v>
      </c>
      <c r="V52" s="19"/>
      <c r="W52" s="7">
        <v>-327333.859999999</v>
      </c>
      <c r="X52" s="19"/>
      <c r="Y52" s="7">
        <v>4393191.47</v>
      </c>
      <c r="Z52" s="7">
        <v>0</v>
      </c>
    </row>
    <row r="53" spans="1:26">
      <c r="A53" s="2" t="s">
        <v>17</v>
      </c>
      <c r="B53" s="2" t="s">
        <v>3416</v>
      </c>
      <c r="C53" s="2" t="str">
        <f t="shared" si="5"/>
        <v>332</v>
      </c>
      <c r="D53" s="5" t="s">
        <v>50</v>
      </c>
      <c r="E53" s="17">
        <v>21885646.369999997</v>
      </c>
      <c r="F53" s="18"/>
      <c r="G53" s="17">
        <v>0</v>
      </c>
      <c r="H53" s="18"/>
      <c r="I53" s="17">
        <v>0</v>
      </c>
      <c r="J53" s="18"/>
      <c r="K53" s="17">
        <v>0</v>
      </c>
      <c r="L53" s="18"/>
      <c r="M53" s="17">
        <v>0</v>
      </c>
      <c r="N53" s="18"/>
      <c r="O53" s="17">
        <v>21885646.369999997</v>
      </c>
      <c r="P53" s="5"/>
      <c r="Q53" s="13">
        <v>-9887589.409999989</v>
      </c>
      <c r="R53" s="5"/>
      <c r="S53" s="13">
        <v>11998056.960000008</v>
      </c>
      <c r="T53" s="18"/>
      <c r="U53" s="17">
        <v>0</v>
      </c>
      <c r="V53" s="18"/>
      <c r="W53" s="17">
        <v>-9887589.409999989</v>
      </c>
      <c r="X53" s="18"/>
      <c r="Y53" s="17">
        <v>21885646.369999997</v>
      </c>
      <c r="Z53" s="17">
        <v>0</v>
      </c>
    </row>
    <row r="54" spans="1:26">
      <c r="A54" s="2" t="s">
        <v>17</v>
      </c>
      <c r="B54" s="2" t="s">
        <v>3416</v>
      </c>
      <c r="C54" s="2" t="str">
        <f t="shared" si="5"/>
        <v>333</v>
      </c>
      <c r="D54" s="5" t="s">
        <v>51</v>
      </c>
      <c r="E54" s="17">
        <v>14046741.58</v>
      </c>
      <c r="F54" s="18"/>
      <c r="G54" s="17">
        <v>0</v>
      </c>
      <c r="H54" s="18"/>
      <c r="I54" s="17">
        <v>0</v>
      </c>
      <c r="J54" s="18"/>
      <c r="K54" s="17">
        <v>0</v>
      </c>
      <c r="L54" s="18"/>
      <c r="M54" s="17">
        <v>0</v>
      </c>
      <c r="N54" s="18"/>
      <c r="O54" s="17">
        <v>14046741.58</v>
      </c>
      <c r="P54" s="5"/>
      <c r="Q54" s="13">
        <v>-2389412.4299999899</v>
      </c>
      <c r="R54" s="5"/>
      <c r="S54" s="13">
        <v>11657329.15000001</v>
      </c>
      <c r="T54" s="18"/>
      <c r="U54" s="17">
        <v>0</v>
      </c>
      <c r="V54" s="18"/>
      <c r="W54" s="17">
        <v>-2389412.4299999899</v>
      </c>
      <c r="X54" s="18"/>
      <c r="Y54" s="17">
        <v>14046741.58</v>
      </c>
      <c r="Z54" s="17">
        <v>0</v>
      </c>
    </row>
    <row r="55" spans="1:26">
      <c r="A55" s="2" t="s">
        <v>17</v>
      </c>
      <c r="B55" s="2" t="s">
        <v>3416</v>
      </c>
      <c r="C55" s="2" t="str">
        <f t="shared" si="5"/>
        <v>334</v>
      </c>
      <c r="D55" s="5" t="s">
        <v>52</v>
      </c>
      <c r="E55" s="17">
        <v>1381870.67</v>
      </c>
      <c r="F55" s="18"/>
      <c r="G55" s="17">
        <v>0</v>
      </c>
      <c r="H55" s="18"/>
      <c r="I55" s="17">
        <v>0</v>
      </c>
      <c r="J55" s="18"/>
      <c r="K55" s="17">
        <v>0</v>
      </c>
      <c r="L55" s="18"/>
      <c r="M55" s="17">
        <v>0</v>
      </c>
      <c r="N55" s="18"/>
      <c r="O55" s="17">
        <v>1381870.67</v>
      </c>
      <c r="P55" s="5"/>
      <c r="Q55" s="13">
        <v>-370958.609999999</v>
      </c>
      <c r="R55" s="5"/>
      <c r="S55" s="13">
        <v>1010912.060000001</v>
      </c>
      <c r="T55" s="18"/>
      <c r="U55" s="17">
        <v>0</v>
      </c>
      <c r="V55" s="18"/>
      <c r="W55" s="17">
        <v>-370958.609999999</v>
      </c>
      <c r="X55" s="18"/>
      <c r="Y55" s="17">
        <v>1381870.67</v>
      </c>
      <c r="Z55" s="17">
        <v>0</v>
      </c>
    </row>
    <row r="56" spans="1:26">
      <c r="A56" s="2" t="s">
        <v>17</v>
      </c>
      <c r="B56" s="2" t="s">
        <v>3416</v>
      </c>
      <c r="C56" s="2" t="str">
        <f t="shared" si="5"/>
        <v>335</v>
      </c>
      <c r="D56" s="5" t="s">
        <v>53</v>
      </c>
      <c r="E56" s="17">
        <v>329374.18000000005</v>
      </c>
      <c r="F56" s="18"/>
      <c r="G56" s="17">
        <v>0</v>
      </c>
      <c r="H56" s="18"/>
      <c r="I56" s="17">
        <v>0</v>
      </c>
      <c r="J56" s="18"/>
      <c r="K56" s="17">
        <v>0</v>
      </c>
      <c r="L56" s="18"/>
      <c r="M56" s="17">
        <v>0</v>
      </c>
      <c r="N56" s="18"/>
      <c r="O56" s="17">
        <v>329374.18000000005</v>
      </c>
      <c r="P56" s="5"/>
      <c r="Q56" s="13">
        <v>-155938.28999999899</v>
      </c>
      <c r="R56" s="5"/>
      <c r="S56" s="13">
        <v>173435.89000000106</v>
      </c>
      <c r="T56" s="18"/>
      <c r="U56" s="17">
        <v>0</v>
      </c>
      <c r="V56" s="18"/>
      <c r="W56" s="17">
        <v>-155938.28999999899</v>
      </c>
      <c r="X56" s="18"/>
      <c r="Y56" s="17">
        <v>329374.18000000005</v>
      </c>
      <c r="Z56" s="17">
        <v>0</v>
      </c>
    </row>
    <row r="57" spans="1:26">
      <c r="A57" s="2" t="s">
        <v>17</v>
      </c>
      <c r="B57" s="2" t="s">
        <v>3416</v>
      </c>
      <c r="C57" s="2" t="str">
        <f t="shared" si="5"/>
        <v>336</v>
      </c>
      <c r="D57" s="5" t="s">
        <v>54</v>
      </c>
      <c r="E57" s="17">
        <v>234509.13</v>
      </c>
      <c r="F57" s="18"/>
      <c r="G57" s="17">
        <v>0</v>
      </c>
      <c r="H57" s="18"/>
      <c r="I57" s="17">
        <v>0</v>
      </c>
      <c r="J57" s="18"/>
      <c r="K57" s="17">
        <v>0</v>
      </c>
      <c r="L57" s="18"/>
      <c r="M57" s="17">
        <v>0</v>
      </c>
      <c r="N57" s="18"/>
      <c r="O57" s="17">
        <v>234509.13</v>
      </c>
      <c r="P57" s="5"/>
      <c r="Q57" s="13">
        <v>-95823.92</v>
      </c>
      <c r="R57" s="5"/>
      <c r="S57" s="13">
        <v>138685.21000000002</v>
      </c>
      <c r="T57" s="18"/>
      <c r="U57" s="17">
        <v>0</v>
      </c>
      <c r="V57" s="18"/>
      <c r="W57" s="17">
        <v>-95823.92</v>
      </c>
      <c r="X57" s="18"/>
      <c r="Y57" s="17">
        <v>234509.13</v>
      </c>
      <c r="Z57" s="17">
        <v>0</v>
      </c>
    </row>
    <row r="58" spans="1:26">
      <c r="A58" s="2" t="s">
        <v>17</v>
      </c>
      <c r="B58" s="2" t="s">
        <v>3416</v>
      </c>
      <c r="C58" s="2" t="str">
        <f t="shared" si="5"/>
        <v>337</v>
      </c>
      <c r="D58" s="5" t="s">
        <v>55</v>
      </c>
      <c r="E58" s="20">
        <v>645787.99</v>
      </c>
      <c r="F58" s="18"/>
      <c r="G58" s="20">
        <v>0</v>
      </c>
      <c r="H58" s="18"/>
      <c r="I58" s="20">
        <v>0</v>
      </c>
      <c r="J58" s="18"/>
      <c r="K58" s="20">
        <v>0</v>
      </c>
      <c r="L58" s="18"/>
      <c r="M58" s="20">
        <v>0</v>
      </c>
      <c r="N58" s="18"/>
      <c r="O58" s="20">
        <v>645787.99</v>
      </c>
      <c r="P58" s="5"/>
      <c r="Q58" s="21">
        <v>-55478.109999999899</v>
      </c>
      <c r="R58" s="5"/>
      <c r="S58" s="21">
        <v>590309.88000000012</v>
      </c>
      <c r="T58" s="18"/>
      <c r="U58" s="20">
        <v>0</v>
      </c>
      <c r="V58" s="18"/>
      <c r="W58" s="20">
        <v>-55478.109999999899</v>
      </c>
      <c r="X58" s="18"/>
      <c r="Y58" s="20">
        <v>645787.99</v>
      </c>
      <c r="Z58" s="20">
        <v>0</v>
      </c>
    </row>
    <row r="59" spans="1:26">
      <c r="B59" s="2" t="s">
        <v>3416</v>
      </c>
      <c r="D59" s="5"/>
      <c r="E59" s="17">
        <v>42378956.930000007</v>
      </c>
      <c r="F59" s="18"/>
      <c r="G59" s="17">
        <v>1393800.9300000002</v>
      </c>
      <c r="H59" s="18"/>
      <c r="I59" s="17">
        <v>0</v>
      </c>
      <c r="J59" s="18"/>
      <c r="K59" s="17">
        <v>0</v>
      </c>
      <c r="L59" s="18"/>
      <c r="M59" s="17">
        <v>1393800.9300000002</v>
      </c>
      <c r="N59" s="18"/>
      <c r="O59" s="17">
        <v>43772757.860000007</v>
      </c>
      <c r="P59" s="5"/>
      <c r="Q59" s="17">
        <v>-14194867.229999976</v>
      </c>
      <c r="R59" s="5"/>
      <c r="S59" s="17">
        <v>29577890.630000021</v>
      </c>
      <c r="T59" s="18"/>
      <c r="U59" s="17">
        <v>0</v>
      </c>
      <c r="V59" s="18"/>
      <c r="W59" s="17">
        <v>-14194867.229999976</v>
      </c>
      <c r="X59" s="18">
        <v>0</v>
      </c>
      <c r="Y59" s="17">
        <v>43772757.859999999</v>
      </c>
      <c r="Z59" s="17">
        <v>0</v>
      </c>
    </row>
    <row r="60" spans="1:26">
      <c r="B60" s="2" t="s">
        <v>3416</v>
      </c>
      <c r="D60" s="5"/>
      <c r="E60" s="17"/>
      <c r="F60" s="18"/>
      <c r="G60" s="17"/>
      <c r="H60" s="18"/>
      <c r="I60" s="17"/>
      <c r="J60" s="18"/>
      <c r="K60" s="17"/>
      <c r="L60" s="18"/>
      <c r="M60" s="17"/>
      <c r="N60" s="18"/>
      <c r="O60" s="17"/>
      <c r="P60" s="5"/>
      <c r="Q60" s="5"/>
      <c r="R60" s="5"/>
      <c r="S60" s="5"/>
      <c r="T60" s="18"/>
      <c r="U60" s="17"/>
      <c r="V60" s="18"/>
      <c r="W60" s="17"/>
      <c r="X60" s="18"/>
      <c r="Y60" s="17"/>
      <c r="Z60" s="17"/>
    </row>
    <row r="61" spans="1:26">
      <c r="B61" s="2" t="s">
        <v>3416</v>
      </c>
      <c r="D61" s="8" t="s">
        <v>3426</v>
      </c>
      <c r="E61" s="17"/>
      <c r="F61" s="18"/>
      <c r="G61" s="17"/>
      <c r="H61" s="18"/>
      <c r="I61" s="17"/>
      <c r="J61" s="18"/>
      <c r="K61" s="17"/>
      <c r="L61" s="18"/>
      <c r="M61" s="17"/>
      <c r="N61" s="18"/>
      <c r="O61" s="17"/>
      <c r="P61" s="5"/>
      <c r="Q61" s="5"/>
      <c r="R61" s="5"/>
      <c r="S61" s="5"/>
      <c r="T61" s="18"/>
      <c r="U61" s="17"/>
      <c r="V61" s="18"/>
      <c r="W61" s="17"/>
      <c r="X61" s="18"/>
      <c r="Y61" s="17"/>
      <c r="Z61" s="17"/>
    </row>
    <row r="62" spans="1:26">
      <c r="A62" s="2" t="s">
        <v>17</v>
      </c>
      <c r="B62" s="2" t="s">
        <v>3416</v>
      </c>
      <c r="C62" s="2" t="str">
        <f t="shared" ref="C62:C64" si="6">MID(D62,2,3)</f>
        <v>301</v>
      </c>
      <c r="D62" s="5" t="s">
        <v>57</v>
      </c>
      <c r="E62" s="17">
        <v>39116.89</v>
      </c>
      <c r="F62" s="18"/>
      <c r="G62" s="17">
        <v>0</v>
      </c>
      <c r="H62" s="18"/>
      <c r="I62" s="17">
        <v>0</v>
      </c>
      <c r="J62" s="18"/>
      <c r="K62" s="17">
        <v>0</v>
      </c>
      <c r="L62" s="18"/>
      <c r="M62" s="17">
        <v>0</v>
      </c>
      <c r="N62" s="18"/>
      <c r="O62" s="17">
        <v>39116.89</v>
      </c>
      <c r="P62" s="5"/>
      <c r="Q62" s="13">
        <v>0</v>
      </c>
      <c r="R62" s="5"/>
      <c r="S62" s="13">
        <v>39116.89</v>
      </c>
      <c r="T62" s="18"/>
      <c r="U62" s="17"/>
      <c r="V62" s="18"/>
      <c r="W62" s="17">
        <v>0</v>
      </c>
      <c r="X62" s="18"/>
      <c r="Y62" s="17">
        <v>39116.89</v>
      </c>
      <c r="Z62" s="17"/>
    </row>
    <row r="63" spans="1:26">
      <c r="A63" s="2" t="s">
        <v>17</v>
      </c>
      <c r="B63" s="2" t="s">
        <v>3416</v>
      </c>
      <c r="C63" s="2" t="str">
        <f t="shared" si="6"/>
        <v>302</v>
      </c>
      <c r="D63" s="5" t="s">
        <v>58</v>
      </c>
      <c r="E63" s="17">
        <v>55918.83</v>
      </c>
      <c r="F63" s="18"/>
      <c r="G63" s="17">
        <v>0</v>
      </c>
      <c r="H63" s="18"/>
      <c r="I63" s="17">
        <v>0</v>
      </c>
      <c r="J63" s="18"/>
      <c r="K63" s="17">
        <v>0</v>
      </c>
      <c r="L63" s="18"/>
      <c r="M63" s="17">
        <v>0</v>
      </c>
      <c r="N63" s="18"/>
      <c r="O63" s="17">
        <v>55918.83</v>
      </c>
      <c r="P63" s="5"/>
      <c r="Q63" s="13">
        <v>-71375.27</v>
      </c>
      <c r="R63" s="5"/>
      <c r="S63" s="13">
        <v>-15456.440000000002</v>
      </c>
      <c r="T63" s="18"/>
      <c r="U63" s="7"/>
      <c r="V63" s="18"/>
      <c r="W63" s="17">
        <v>-71375.27</v>
      </c>
      <c r="X63" s="18"/>
      <c r="Y63" s="17">
        <v>55918.83</v>
      </c>
      <c r="Z63" s="17"/>
    </row>
    <row r="64" spans="1:26">
      <c r="A64" s="2" t="s">
        <v>17</v>
      </c>
      <c r="B64" s="2" t="s">
        <v>3416</v>
      </c>
      <c r="C64" s="2" t="str">
        <f t="shared" si="6"/>
        <v>303</v>
      </c>
      <c r="D64" s="5" t="s">
        <v>59</v>
      </c>
      <c r="E64" s="17">
        <v>118588359.95</v>
      </c>
      <c r="F64" s="18"/>
      <c r="G64" s="17">
        <v>20033821.594204284</v>
      </c>
      <c r="H64" s="18"/>
      <c r="I64" s="17">
        <v>-7125529.3799999896</v>
      </c>
      <c r="J64" s="18"/>
      <c r="K64" s="17">
        <v>0</v>
      </c>
      <c r="L64" s="18"/>
      <c r="M64" s="17">
        <v>12908292.214204295</v>
      </c>
      <c r="N64" s="18"/>
      <c r="O64" s="17">
        <v>131496652.1642043</v>
      </c>
      <c r="P64" s="5"/>
      <c r="Q64" s="13">
        <v>-70601459.519999802</v>
      </c>
      <c r="R64" s="5"/>
      <c r="S64" s="13">
        <v>60895192.644204497</v>
      </c>
      <c r="T64" s="18"/>
      <c r="U64" s="7">
        <v>3529.3283445000002</v>
      </c>
      <c r="V64" s="18"/>
      <c r="W64" s="17">
        <v>-70597930.191655308</v>
      </c>
      <c r="X64" s="18"/>
      <c r="Y64" s="17">
        <v>131496652.16420428</v>
      </c>
      <c r="Z64" s="17"/>
    </row>
    <row r="65" spans="1:26">
      <c r="A65" s="2" t="s">
        <v>17</v>
      </c>
      <c r="B65" s="2" t="s">
        <v>3416</v>
      </c>
      <c r="D65" s="5" t="s">
        <v>60</v>
      </c>
      <c r="E65" s="20">
        <v>0</v>
      </c>
      <c r="F65" s="18"/>
      <c r="G65" s="20">
        <v>0</v>
      </c>
      <c r="H65" s="18"/>
      <c r="I65" s="20">
        <v>0</v>
      </c>
      <c r="J65" s="18"/>
      <c r="K65" s="20">
        <v>0</v>
      </c>
      <c r="L65" s="18"/>
      <c r="M65" s="20">
        <v>0</v>
      </c>
      <c r="N65" s="18"/>
      <c r="O65" s="20">
        <v>0</v>
      </c>
      <c r="P65" s="5"/>
      <c r="Q65" s="21">
        <v>0</v>
      </c>
      <c r="R65" s="5"/>
      <c r="S65" s="21">
        <v>0</v>
      </c>
      <c r="T65" s="18"/>
      <c r="U65" s="20"/>
      <c r="V65" s="18"/>
      <c r="W65" s="20">
        <v>0</v>
      </c>
      <c r="X65" s="18"/>
      <c r="Y65" s="20">
        <v>0</v>
      </c>
      <c r="Z65" s="20"/>
    </row>
    <row r="66" spans="1:26">
      <c r="B66" s="2" t="s">
        <v>3416</v>
      </c>
      <c r="D66" s="5"/>
      <c r="E66" s="17">
        <v>118683395.67</v>
      </c>
      <c r="F66" s="18"/>
      <c r="G66" s="17">
        <v>20033821.594204284</v>
      </c>
      <c r="H66" s="18"/>
      <c r="I66" s="17">
        <v>-7125529.3799999896</v>
      </c>
      <c r="J66" s="18"/>
      <c r="K66" s="17">
        <v>0</v>
      </c>
      <c r="L66" s="18"/>
      <c r="M66" s="17">
        <v>12908292.214204295</v>
      </c>
      <c r="N66" s="18"/>
      <c r="O66" s="17">
        <v>131591687.8842043</v>
      </c>
      <c r="P66" s="5"/>
      <c r="Q66" s="17">
        <v>-70672834.789999798</v>
      </c>
      <c r="R66" s="5"/>
      <c r="S66" s="17">
        <v>60918853.0942045</v>
      </c>
      <c r="T66" s="18"/>
      <c r="U66" s="17">
        <v>3529.3283445000002</v>
      </c>
      <c r="V66" s="18"/>
      <c r="W66" s="17">
        <v>-70669305.461655304</v>
      </c>
      <c r="X66" s="18"/>
      <c r="Y66" s="17">
        <v>131591687.88420428</v>
      </c>
      <c r="Z66" s="17">
        <v>0</v>
      </c>
    </row>
    <row r="67" spans="1:26">
      <c r="B67" s="2" t="s">
        <v>3416</v>
      </c>
      <c r="D67" s="5"/>
      <c r="E67" s="17"/>
      <c r="F67" s="18"/>
      <c r="G67" s="17"/>
      <c r="H67" s="18"/>
      <c r="I67" s="17"/>
      <c r="J67" s="18"/>
      <c r="K67" s="17"/>
      <c r="L67" s="18"/>
      <c r="M67" s="17"/>
      <c r="N67" s="18"/>
      <c r="O67" s="17"/>
      <c r="P67" s="5"/>
      <c r="Q67" s="5"/>
      <c r="R67" s="5"/>
      <c r="S67" s="5"/>
      <c r="T67" s="18"/>
      <c r="U67" s="17"/>
      <c r="V67" s="18"/>
      <c r="W67" s="17"/>
      <c r="X67" s="18"/>
      <c r="Y67" s="17"/>
      <c r="Z67" s="17"/>
    </row>
    <row r="68" spans="1:26">
      <c r="B68" s="2" t="s">
        <v>3416</v>
      </c>
      <c r="D68" s="8" t="s">
        <v>2024</v>
      </c>
      <c r="E68" s="17"/>
      <c r="F68" s="18"/>
      <c r="G68" s="17"/>
      <c r="H68" s="18"/>
      <c r="I68" s="17"/>
      <c r="J68" s="18"/>
      <c r="K68" s="17"/>
      <c r="L68" s="18"/>
      <c r="M68" s="17"/>
      <c r="N68" s="18"/>
      <c r="O68" s="17"/>
      <c r="P68" s="5"/>
      <c r="Q68" s="5"/>
      <c r="R68" s="5"/>
      <c r="S68" s="5"/>
      <c r="T68" s="18"/>
      <c r="U68" s="17"/>
      <c r="V68" s="18"/>
      <c r="W68" s="17"/>
      <c r="X68" s="18"/>
      <c r="Y68" s="17"/>
      <c r="Z68" s="17"/>
    </row>
    <row r="69" spans="1:26">
      <c r="A69" s="2" t="s">
        <v>17</v>
      </c>
      <c r="B69" s="2" t="s">
        <v>3416</v>
      </c>
      <c r="C69" s="2" t="str">
        <f t="shared" ref="C69" si="7">MID(D69,2,3)</f>
        <v>340</v>
      </c>
      <c r="D69" s="5" t="s">
        <v>2489</v>
      </c>
      <c r="E69" s="17">
        <v>473578.52</v>
      </c>
      <c r="F69" s="18"/>
      <c r="G69" s="17">
        <v>429222.93800000002</v>
      </c>
      <c r="H69" s="18"/>
      <c r="I69" s="17">
        <v>0</v>
      </c>
      <c r="J69" s="18"/>
      <c r="K69" s="17">
        <v>0</v>
      </c>
      <c r="L69" s="18"/>
      <c r="M69" s="17">
        <v>429222.93800000002</v>
      </c>
      <c r="N69" s="18"/>
      <c r="O69" s="17">
        <v>902801.4580000001</v>
      </c>
      <c r="P69" s="5"/>
      <c r="Q69" s="13">
        <v>-128860.39</v>
      </c>
      <c r="R69" s="5"/>
      <c r="S69" s="13">
        <v>773941.06800000009</v>
      </c>
      <c r="T69" s="18"/>
      <c r="U69" s="7">
        <v>5.5224301316553933E-8</v>
      </c>
      <c r="V69" s="19"/>
      <c r="W69" s="7">
        <v>-128860.38999994477</v>
      </c>
      <c r="X69" s="19"/>
      <c r="Y69" s="7">
        <v>902801.45799999987</v>
      </c>
      <c r="Z69" s="7">
        <v>0</v>
      </c>
    </row>
    <row r="70" spans="1:26">
      <c r="A70" s="2" t="s">
        <v>17</v>
      </c>
      <c r="B70" s="2" t="s">
        <v>3416</v>
      </c>
      <c r="D70" s="5" t="s">
        <v>62</v>
      </c>
      <c r="E70" s="17">
        <v>0</v>
      </c>
      <c r="F70" s="18"/>
      <c r="G70" s="17">
        <v>0</v>
      </c>
      <c r="H70" s="18"/>
      <c r="I70" s="17">
        <v>0</v>
      </c>
      <c r="J70" s="18"/>
      <c r="K70" s="17">
        <v>0</v>
      </c>
      <c r="L70" s="18"/>
      <c r="M70" s="17">
        <v>0</v>
      </c>
      <c r="N70" s="18"/>
      <c r="O70" s="17">
        <v>0</v>
      </c>
      <c r="P70" s="5"/>
      <c r="Q70" s="13">
        <v>0</v>
      </c>
      <c r="R70" s="5"/>
      <c r="S70" s="13">
        <v>0</v>
      </c>
      <c r="T70" s="18"/>
      <c r="U70" s="17">
        <v>0</v>
      </c>
      <c r="V70" s="18"/>
      <c r="W70" s="17">
        <v>0</v>
      </c>
      <c r="X70" s="18"/>
      <c r="Y70" s="17">
        <v>0</v>
      </c>
      <c r="Z70" s="17">
        <v>0</v>
      </c>
    </row>
    <row r="71" spans="1:26">
      <c r="A71" s="2" t="s">
        <v>17</v>
      </c>
      <c r="B71" s="2" t="s">
        <v>3416</v>
      </c>
      <c r="C71" s="2" t="str">
        <f t="shared" ref="C71:C79" si="8">MID(D71,2,3)</f>
        <v>341</v>
      </c>
      <c r="D71" s="5" t="s">
        <v>63</v>
      </c>
      <c r="E71" s="17">
        <v>85707409.529999986</v>
      </c>
      <c r="F71" s="18"/>
      <c r="G71" s="17">
        <v>1437306.1736819991</v>
      </c>
      <c r="H71" s="18"/>
      <c r="I71" s="17">
        <v>0</v>
      </c>
      <c r="J71" s="18"/>
      <c r="K71" s="17">
        <v>0</v>
      </c>
      <c r="L71" s="18"/>
      <c r="M71" s="17">
        <v>1437306.1736819991</v>
      </c>
      <c r="N71" s="18"/>
      <c r="O71" s="17">
        <v>87144715.703681991</v>
      </c>
      <c r="P71" s="5"/>
      <c r="Q71" s="13">
        <v>-26610165.24179</v>
      </c>
      <c r="R71" s="5"/>
      <c r="S71" s="13">
        <v>60534550.461891994</v>
      </c>
      <c r="T71" s="18"/>
      <c r="U71" s="17">
        <v>1.8492541332811509E-7</v>
      </c>
      <c r="V71" s="18"/>
      <c r="W71" s="17">
        <v>-26610165.241789814</v>
      </c>
      <c r="X71" s="18"/>
      <c r="Y71" s="17">
        <v>87144715.703682005</v>
      </c>
      <c r="Z71" s="17">
        <v>0</v>
      </c>
    </row>
    <row r="72" spans="1:26">
      <c r="A72" s="2" t="s">
        <v>17</v>
      </c>
      <c r="B72" s="2" t="s">
        <v>3416</v>
      </c>
      <c r="C72" s="2" t="str">
        <f t="shared" si="8"/>
        <v>342</v>
      </c>
      <c r="D72" s="5" t="s">
        <v>64</v>
      </c>
      <c r="E72" s="17">
        <v>62586648.629999988</v>
      </c>
      <c r="F72" s="18"/>
      <c r="G72" s="17">
        <v>509746.1042</v>
      </c>
      <c r="H72" s="18"/>
      <c r="I72" s="17">
        <v>0</v>
      </c>
      <c r="J72" s="18"/>
      <c r="K72" s="17">
        <v>0</v>
      </c>
      <c r="L72" s="18"/>
      <c r="M72" s="17">
        <v>509746.1042</v>
      </c>
      <c r="N72" s="18"/>
      <c r="O72" s="17">
        <v>63096394.734199986</v>
      </c>
      <c r="P72" s="5"/>
      <c r="Q72" s="13">
        <v>-21394677.489999987</v>
      </c>
      <c r="R72" s="5"/>
      <c r="S72" s="13">
        <v>41701717.244199999</v>
      </c>
      <c r="T72" s="18"/>
      <c r="U72" s="17">
        <v>6.5584501574984088E-8</v>
      </c>
      <c r="V72" s="18"/>
      <c r="W72" s="17">
        <v>-21394677.48999992</v>
      </c>
      <c r="X72" s="18"/>
      <c r="Y72" s="17">
        <v>63096394.734199889</v>
      </c>
      <c r="Z72" s="17">
        <v>-9.6857547760009766E-8</v>
      </c>
    </row>
    <row r="73" spans="1:26">
      <c r="A73" s="2" t="s">
        <v>17</v>
      </c>
      <c r="B73" s="2" t="s">
        <v>3416</v>
      </c>
      <c r="D73" s="5" t="s">
        <v>65</v>
      </c>
      <c r="E73" s="17">
        <v>0</v>
      </c>
      <c r="F73" s="18"/>
      <c r="G73" s="17">
        <v>0</v>
      </c>
      <c r="H73" s="18"/>
      <c r="I73" s="17">
        <v>0</v>
      </c>
      <c r="J73" s="18"/>
      <c r="K73" s="17">
        <v>0</v>
      </c>
      <c r="L73" s="18"/>
      <c r="M73" s="17">
        <v>0</v>
      </c>
      <c r="N73" s="18"/>
      <c r="O73" s="17">
        <v>0</v>
      </c>
      <c r="P73" s="5"/>
      <c r="Q73" s="13">
        <v>0</v>
      </c>
      <c r="R73" s="5"/>
      <c r="S73" s="13">
        <v>0</v>
      </c>
      <c r="T73" s="18"/>
      <c r="U73" s="17">
        <v>0</v>
      </c>
      <c r="V73" s="18"/>
      <c r="W73" s="17">
        <v>0</v>
      </c>
      <c r="X73" s="18"/>
      <c r="Y73" s="17">
        <v>0</v>
      </c>
      <c r="Z73" s="17">
        <v>0</v>
      </c>
    </row>
    <row r="74" spans="1:26">
      <c r="A74" s="2" t="s">
        <v>17</v>
      </c>
      <c r="B74" s="2" t="s">
        <v>3416</v>
      </c>
      <c r="C74" s="2" t="str">
        <f t="shared" si="8"/>
        <v>343</v>
      </c>
      <c r="D74" s="5" t="s">
        <v>66</v>
      </c>
      <c r="E74" s="17">
        <v>657987557.62000012</v>
      </c>
      <c r="F74" s="18"/>
      <c r="G74" s="17">
        <v>16140638.217167303</v>
      </c>
      <c r="H74" s="18"/>
      <c r="I74" s="17">
        <v>-9132411.8499999996</v>
      </c>
      <c r="J74" s="18"/>
      <c r="K74" s="17">
        <v>0</v>
      </c>
      <c r="L74" s="18"/>
      <c r="M74" s="17">
        <v>7008226.3671673033</v>
      </c>
      <c r="N74" s="18"/>
      <c r="O74" s="17">
        <v>664995783.98716748</v>
      </c>
      <c r="P74" s="5"/>
      <c r="Q74" s="13">
        <v>-221214945.71105891</v>
      </c>
      <c r="R74" s="5"/>
      <c r="S74" s="13">
        <v>443780838.27610856</v>
      </c>
      <c r="T74" s="18"/>
      <c r="U74" s="17">
        <v>2.0766724921544917E-6</v>
      </c>
      <c r="V74" s="18"/>
      <c r="W74" s="17">
        <v>-221214945.71105683</v>
      </c>
      <c r="X74" s="18"/>
      <c r="Y74" s="17">
        <v>664995783.99716699</v>
      </c>
      <c r="Z74" s="17">
        <v>9.9995136260986328E-3</v>
      </c>
    </row>
    <row r="75" spans="1:26">
      <c r="A75" s="2" t="s">
        <v>17</v>
      </c>
      <c r="B75" s="2" t="s">
        <v>3416</v>
      </c>
      <c r="C75" s="2" t="str">
        <f t="shared" si="8"/>
        <v>344</v>
      </c>
      <c r="D75" s="5" t="s">
        <v>67</v>
      </c>
      <c r="E75" s="17">
        <v>131571205.04000001</v>
      </c>
      <c r="F75" s="18"/>
      <c r="G75" s="17">
        <v>789522.14595000015</v>
      </c>
      <c r="H75" s="18"/>
      <c r="I75" s="17">
        <v>0</v>
      </c>
      <c r="J75" s="18"/>
      <c r="K75" s="17">
        <v>0</v>
      </c>
      <c r="L75" s="18"/>
      <c r="M75" s="17">
        <v>789522.14595000015</v>
      </c>
      <c r="N75" s="18"/>
      <c r="O75" s="17">
        <v>132360727.18595001</v>
      </c>
      <c r="P75" s="5"/>
      <c r="Q75" s="13">
        <v>-45877561.070999995</v>
      </c>
      <c r="R75" s="5"/>
      <c r="S75" s="13">
        <v>86483166.114950016</v>
      </c>
      <c r="T75" s="18"/>
      <c r="U75" s="17">
        <v>1.0158079875040386E-7</v>
      </c>
      <c r="V75" s="18"/>
      <c r="W75" s="17">
        <v>-45877561.070999891</v>
      </c>
      <c r="X75" s="18"/>
      <c r="Y75" s="17">
        <v>132360727.18594989</v>
      </c>
      <c r="Z75" s="17">
        <v>-1.1920928955078125E-7</v>
      </c>
    </row>
    <row r="76" spans="1:26">
      <c r="A76" s="2" t="s">
        <v>17</v>
      </c>
      <c r="B76" s="2" t="s">
        <v>3416</v>
      </c>
      <c r="C76" s="2" t="str">
        <f t="shared" si="8"/>
        <v>345</v>
      </c>
      <c r="D76" s="5" t="s">
        <v>68</v>
      </c>
      <c r="E76" s="17">
        <v>78605669.599999994</v>
      </c>
      <c r="F76" s="18"/>
      <c r="G76" s="17">
        <v>243821.37710999997</v>
      </c>
      <c r="H76" s="18"/>
      <c r="I76" s="17">
        <v>0</v>
      </c>
      <c r="J76" s="18"/>
      <c r="K76" s="17">
        <v>0</v>
      </c>
      <c r="L76" s="18"/>
      <c r="M76" s="17">
        <v>243821.37710999997</v>
      </c>
      <c r="N76" s="18"/>
      <c r="O76" s="17">
        <v>78849490.977109998</v>
      </c>
      <c r="P76" s="5"/>
      <c r="Q76" s="13">
        <v>-28646408.2299999</v>
      </c>
      <c r="R76" s="5"/>
      <c r="S76" s="13">
        <v>50203082.747110099</v>
      </c>
      <c r="T76" s="18"/>
      <c r="U76" s="17">
        <v>3.1370329972765259E-8</v>
      </c>
      <c r="V76" s="18"/>
      <c r="W76" s="17">
        <v>-28646408.22999987</v>
      </c>
      <c r="X76" s="18"/>
      <c r="Y76" s="17">
        <v>78849490.977109894</v>
      </c>
      <c r="Z76" s="17">
        <v>0</v>
      </c>
    </row>
    <row r="77" spans="1:26">
      <c r="A77" s="2" t="s">
        <v>17</v>
      </c>
      <c r="B77" s="2" t="s">
        <v>3416</v>
      </c>
      <c r="D77" s="5" t="s">
        <v>69</v>
      </c>
      <c r="E77" s="17">
        <v>0</v>
      </c>
      <c r="F77" s="18"/>
      <c r="G77" s="17">
        <v>0</v>
      </c>
      <c r="H77" s="18"/>
      <c r="I77" s="17">
        <v>0</v>
      </c>
      <c r="J77" s="18"/>
      <c r="K77" s="17">
        <v>0</v>
      </c>
      <c r="L77" s="18"/>
      <c r="M77" s="17">
        <v>0</v>
      </c>
      <c r="N77" s="18"/>
      <c r="O77" s="17">
        <v>0</v>
      </c>
      <c r="P77" s="5"/>
      <c r="Q77" s="13">
        <v>0</v>
      </c>
      <c r="R77" s="5"/>
      <c r="S77" s="13">
        <v>0</v>
      </c>
      <c r="T77" s="18"/>
      <c r="U77" s="17">
        <v>0</v>
      </c>
      <c r="V77" s="18"/>
      <c r="W77" s="17">
        <v>0</v>
      </c>
      <c r="X77" s="18"/>
      <c r="Y77" s="17">
        <v>0</v>
      </c>
      <c r="Z77" s="17">
        <v>0</v>
      </c>
    </row>
    <row r="78" spans="1:26">
      <c r="A78" s="2" t="s">
        <v>17</v>
      </c>
      <c r="B78" s="2" t="s">
        <v>3416</v>
      </c>
      <c r="C78" s="2" t="str">
        <f t="shared" si="8"/>
        <v>346</v>
      </c>
      <c r="D78" s="5" t="s">
        <v>70</v>
      </c>
      <c r="E78" s="17">
        <v>9077175.629999999</v>
      </c>
      <c r="F78" s="18"/>
      <c r="G78" s="17">
        <v>661985.03790999984</v>
      </c>
      <c r="H78" s="18"/>
      <c r="I78" s="17">
        <v>0</v>
      </c>
      <c r="J78" s="18"/>
      <c r="K78" s="17">
        <v>0</v>
      </c>
      <c r="L78" s="18"/>
      <c r="M78" s="17">
        <v>661985.03790999984</v>
      </c>
      <c r="N78" s="18"/>
      <c r="O78" s="17">
        <v>9739160.6679099984</v>
      </c>
      <c r="P78" s="5"/>
      <c r="Q78" s="13">
        <v>-3752688.9299999997</v>
      </c>
      <c r="R78" s="5"/>
      <c r="S78" s="13">
        <v>5986471.7379099987</v>
      </c>
      <c r="T78" s="18"/>
      <c r="U78" s="17">
        <v>8.5171732365785643E-8</v>
      </c>
      <c r="V78" s="18"/>
      <c r="W78" s="17">
        <v>-3752688.9299999145</v>
      </c>
      <c r="X78" s="18"/>
      <c r="Y78" s="17">
        <v>9739160.6679100003</v>
      </c>
      <c r="Z78" s="17">
        <v>0</v>
      </c>
    </row>
    <row r="79" spans="1:26">
      <c r="A79" s="2" t="s">
        <v>17</v>
      </c>
      <c r="B79" s="2" t="s">
        <v>3416</v>
      </c>
      <c r="C79" s="2" t="str">
        <f t="shared" si="8"/>
        <v>347</v>
      </c>
      <c r="D79" s="5" t="s">
        <v>71</v>
      </c>
      <c r="E79" s="20">
        <v>406991.12</v>
      </c>
      <c r="F79" s="18"/>
      <c r="G79" s="20">
        <v>0</v>
      </c>
      <c r="H79" s="18"/>
      <c r="I79" s="20">
        <v>0</v>
      </c>
      <c r="J79" s="18"/>
      <c r="K79" s="20">
        <v>0</v>
      </c>
      <c r="L79" s="18"/>
      <c r="M79" s="20">
        <v>0</v>
      </c>
      <c r="N79" s="18"/>
      <c r="O79" s="20">
        <v>406991.12</v>
      </c>
      <c r="P79" s="5"/>
      <c r="Q79" s="21">
        <v>-73527.01999999999</v>
      </c>
      <c r="R79" s="5"/>
      <c r="S79" s="21">
        <v>333464.09999999998</v>
      </c>
      <c r="T79" s="18"/>
      <c r="U79" s="20">
        <v>0</v>
      </c>
      <c r="V79" s="18"/>
      <c r="W79" s="20">
        <v>-73527.01999999999</v>
      </c>
      <c r="X79" s="18"/>
      <c r="Y79" s="20">
        <v>406991.12</v>
      </c>
      <c r="Z79" s="20">
        <v>0</v>
      </c>
    </row>
    <row r="80" spans="1:26">
      <c r="B80" s="2" t="s">
        <v>3416</v>
      </c>
      <c r="D80" s="5"/>
      <c r="E80" s="17">
        <v>1026416235.6900001</v>
      </c>
      <c r="F80" s="18"/>
      <c r="G80" s="17">
        <v>20212241.994019303</v>
      </c>
      <c r="H80" s="18"/>
      <c r="I80" s="17">
        <v>-9132411.8499999996</v>
      </c>
      <c r="J80" s="18"/>
      <c r="K80" s="17">
        <v>0</v>
      </c>
      <c r="L80" s="18"/>
      <c r="M80" s="17">
        <v>11079830.144019304</v>
      </c>
      <c r="N80" s="18"/>
      <c r="O80" s="17">
        <v>1037496065.8340195</v>
      </c>
      <c r="P80" s="5"/>
      <c r="Q80" s="17">
        <v>-347698834.08384877</v>
      </c>
      <c r="R80" s="5"/>
      <c r="S80" s="17">
        <v>689797231.75017083</v>
      </c>
      <c r="T80" s="18"/>
      <c r="U80" s="17">
        <v>2.6005295694630999E-6</v>
      </c>
      <c r="V80" s="18"/>
      <c r="W80" s="17">
        <v>-347698834.08384615</v>
      </c>
      <c r="X80" s="18">
        <v>0</v>
      </c>
      <c r="Y80" s="17">
        <v>1037496065.8440187</v>
      </c>
      <c r="Z80" s="17">
        <v>9.999297559261322E-3</v>
      </c>
    </row>
    <row r="81" spans="1:26">
      <c r="B81" s="2" t="s">
        <v>3416</v>
      </c>
      <c r="D81" s="5"/>
      <c r="E81" s="17"/>
      <c r="F81" s="18"/>
      <c r="G81" s="17"/>
      <c r="H81" s="18"/>
      <c r="I81" s="17"/>
      <c r="J81" s="18"/>
      <c r="K81" s="17"/>
      <c r="L81" s="18"/>
      <c r="M81" s="17"/>
      <c r="N81" s="18"/>
      <c r="O81" s="17"/>
      <c r="P81" s="5"/>
      <c r="Q81" s="5"/>
      <c r="R81" s="5"/>
      <c r="S81" s="5"/>
      <c r="T81" s="18"/>
      <c r="U81" s="17"/>
      <c r="V81" s="18"/>
      <c r="W81" s="17"/>
      <c r="X81" s="18"/>
      <c r="Y81" s="17"/>
      <c r="Z81" s="17"/>
    </row>
    <row r="82" spans="1:26">
      <c r="B82" s="2" t="s">
        <v>3416</v>
      </c>
      <c r="D82" s="8" t="s">
        <v>3427</v>
      </c>
      <c r="E82" s="7"/>
      <c r="F82" s="19"/>
      <c r="G82" s="7"/>
      <c r="H82" s="19"/>
      <c r="I82" s="7"/>
      <c r="J82" s="19"/>
      <c r="K82" s="7"/>
      <c r="L82" s="19"/>
      <c r="M82" s="7"/>
      <c r="N82" s="19"/>
      <c r="O82" s="7"/>
      <c r="P82" s="5"/>
      <c r="Q82" s="5"/>
      <c r="R82" s="5"/>
      <c r="S82" s="5"/>
      <c r="T82" s="19"/>
      <c r="U82" s="7"/>
      <c r="V82" s="19"/>
      <c r="W82" s="7"/>
      <c r="X82" s="19"/>
      <c r="Y82" s="7"/>
      <c r="Z82" s="7"/>
    </row>
    <row r="83" spans="1:26">
      <c r="A83" s="2" t="s">
        <v>17</v>
      </c>
      <c r="B83" s="2" t="s">
        <v>3416</v>
      </c>
      <c r="C83" s="2" t="str">
        <f t="shared" ref="C83:C93" si="9">MID(D83,2,3)</f>
        <v>310</v>
      </c>
      <c r="D83" s="5" t="s">
        <v>73</v>
      </c>
      <c r="E83" s="7">
        <v>24171385.919999901</v>
      </c>
      <c r="F83" s="19"/>
      <c r="G83" s="7">
        <v>275087.91039999999</v>
      </c>
      <c r="H83" s="19"/>
      <c r="I83" s="7">
        <v>0</v>
      </c>
      <c r="J83" s="19"/>
      <c r="K83" s="7">
        <v>0</v>
      </c>
      <c r="L83" s="19"/>
      <c r="M83" s="7">
        <v>275087.91039999999</v>
      </c>
      <c r="N83" s="19"/>
      <c r="O83" s="7">
        <v>24446473.830399901</v>
      </c>
      <c r="P83" s="5"/>
      <c r="Q83" s="13">
        <v>0</v>
      </c>
      <c r="R83" s="5"/>
      <c r="S83" s="13">
        <v>24446473.830399901</v>
      </c>
      <c r="T83" s="19"/>
      <c r="U83" s="7"/>
      <c r="V83" s="19"/>
      <c r="W83" s="7">
        <v>0</v>
      </c>
      <c r="X83" s="19"/>
      <c r="Y83" s="7">
        <v>24446473.830399901</v>
      </c>
      <c r="Z83" s="7">
        <v>0</v>
      </c>
    </row>
    <row r="84" spans="1:26">
      <c r="A84" s="2" t="s">
        <v>17</v>
      </c>
      <c r="B84" s="2" t="s">
        <v>3416</v>
      </c>
      <c r="C84" s="2" t="str">
        <f t="shared" si="9"/>
        <v>311</v>
      </c>
      <c r="D84" s="5" t="s">
        <v>74</v>
      </c>
      <c r="E84" s="7">
        <v>351757110.73000002</v>
      </c>
      <c r="F84" s="19"/>
      <c r="G84" s="7">
        <v>3635219.3601146997</v>
      </c>
      <c r="H84" s="19"/>
      <c r="I84" s="7">
        <v>-34696.36</v>
      </c>
      <c r="J84" s="19"/>
      <c r="K84" s="7">
        <v>2066298.3999999997</v>
      </c>
      <c r="L84" s="19"/>
      <c r="M84" s="7">
        <v>5666821.4001146993</v>
      </c>
      <c r="N84" s="19"/>
      <c r="O84" s="7">
        <v>357423932.13011473</v>
      </c>
      <c r="P84" s="5"/>
      <c r="Q84" s="13">
        <v>-192191498.2362588</v>
      </c>
      <c r="R84" s="5"/>
      <c r="S84" s="13">
        <v>165232433.89385593</v>
      </c>
      <c r="T84" s="19"/>
      <c r="U84" s="7">
        <v>227649.30366698591</v>
      </c>
      <c r="V84" s="19"/>
      <c r="W84" s="7">
        <v>-191963848.93259183</v>
      </c>
      <c r="X84" s="19"/>
      <c r="Y84" s="7">
        <v>357423932.13011402</v>
      </c>
      <c r="Z84" s="7">
        <v>-7.152557373046875E-7</v>
      </c>
    </row>
    <row r="85" spans="1:26">
      <c r="A85" s="2" t="s">
        <v>17</v>
      </c>
      <c r="B85" s="2" t="s">
        <v>3416</v>
      </c>
      <c r="D85" s="5" t="s">
        <v>75</v>
      </c>
      <c r="E85" s="7">
        <v>0</v>
      </c>
      <c r="F85" s="19"/>
      <c r="G85" s="7">
        <v>0</v>
      </c>
      <c r="H85" s="19"/>
      <c r="I85" s="7">
        <v>0</v>
      </c>
      <c r="J85" s="19"/>
      <c r="K85" s="7">
        <v>0</v>
      </c>
      <c r="L85" s="19"/>
      <c r="M85" s="7">
        <v>0</v>
      </c>
      <c r="N85" s="19"/>
      <c r="O85" s="7">
        <v>0</v>
      </c>
      <c r="P85" s="5"/>
      <c r="Q85" s="13">
        <v>0</v>
      </c>
      <c r="R85" s="5"/>
      <c r="S85" s="13">
        <v>0</v>
      </c>
      <c r="T85" s="19"/>
      <c r="U85" s="7">
        <v>0</v>
      </c>
      <c r="V85" s="19"/>
      <c r="W85" s="7">
        <v>0</v>
      </c>
      <c r="X85" s="19"/>
      <c r="Y85" s="7">
        <v>0</v>
      </c>
      <c r="Z85" s="7">
        <v>0</v>
      </c>
    </row>
    <row r="86" spans="1:26">
      <c r="A86" s="2" t="s">
        <v>17</v>
      </c>
      <c r="B86" s="2" t="s">
        <v>3416</v>
      </c>
      <c r="C86" s="2" t="str">
        <f t="shared" si="9"/>
        <v>312</v>
      </c>
      <c r="D86" s="5" t="s">
        <v>76</v>
      </c>
      <c r="E86" s="7">
        <v>3968896484.9799895</v>
      </c>
      <c r="F86" s="19"/>
      <c r="G86" s="7">
        <v>138373813.34233525</v>
      </c>
      <c r="H86" s="19"/>
      <c r="I86" s="7">
        <v>-7387110.2299999893</v>
      </c>
      <c r="J86" s="19"/>
      <c r="K86" s="7">
        <v>-706125.60000000009</v>
      </c>
      <c r="L86" s="19"/>
      <c r="M86" s="7">
        <v>130280577.51233527</v>
      </c>
      <c r="N86" s="19"/>
      <c r="O86" s="7">
        <v>4099177062.4923248</v>
      </c>
      <c r="P86" s="5"/>
      <c r="Q86" s="13">
        <v>-1286823810.1115925</v>
      </c>
      <c r="R86" s="5"/>
      <c r="S86" s="13">
        <v>2812353252.3807325</v>
      </c>
      <c r="T86" s="19"/>
      <c r="U86" s="7">
        <v>8665419.9190153368</v>
      </c>
      <c r="V86" s="19"/>
      <c r="W86" s="7">
        <v>-1278158390.1925771</v>
      </c>
      <c r="X86" s="19"/>
      <c r="Y86" s="7">
        <v>4099177062.402339</v>
      </c>
      <c r="Z86" s="7">
        <v>-8.9985847473144531E-2</v>
      </c>
    </row>
    <row r="87" spans="1:26">
      <c r="A87" s="2" t="s">
        <v>17</v>
      </c>
      <c r="B87" s="2" t="s">
        <v>3416</v>
      </c>
      <c r="D87" s="5" t="s">
        <v>77</v>
      </c>
      <c r="E87" s="7">
        <v>0</v>
      </c>
      <c r="F87" s="19"/>
      <c r="G87" s="7">
        <v>0</v>
      </c>
      <c r="H87" s="19"/>
      <c r="I87" s="7">
        <v>0</v>
      </c>
      <c r="J87" s="19"/>
      <c r="K87" s="7">
        <v>0</v>
      </c>
      <c r="L87" s="19"/>
      <c r="M87" s="7">
        <v>0</v>
      </c>
      <c r="N87" s="19"/>
      <c r="O87" s="7">
        <v>0</v>
      </c>
      <c r="P87" s="5"/>
      <c r="Q87" s="13">
        <v>0</v>
      </c>
      <c r="R87" s="5"/>
      <c r="S87" s="13">
        <v>0</v>
      </c>
      <c r="T87" s="19"/>
      <c r="U87" s="7">
        <v>0</v>
      </c>
      <c r="V87" s="19"/>
      <c r="W87" s="7">
        <v>0</v>
      </c>
      <c r="X87" s="19"/>
      <c r="Y87" s="7">
        <v>0</v>
      </c>
      <c r="Z87" s="7">
        <v>0</v>
      </c>
    </row>
    <row r="88" spans="1:26">
      <c r="A88" s="2" t="s">
        <v>17</v>
      </c>
      <c r="B88" s="2" t="s">
        <v>3416</v>
      </c>
      <c r="C88" s="2" t="str">
        <f t="shared" si="9"/>
        <v>314</v>
      </c>
      <c r="D88" s="5" t="s">
        <v>78</v>
      </c>
      <c r="E88" s="7">
        <v>337507665.61000001</v>
      </c>
      <c r="F88" s="19"/>
      <c r="G88" s="7">
        <v>23178947.078471199</v>
      </c>
      <c r="H88" s="19"/>
      <c r="I88" s="7">
        <v>-6414979.8799999999</v>
      </c>
      <c r="J88" s="19"/>
      <c r="K88" s="7">
        <v>-164486.25999999998</v>
      </c>
      <c r="L88" s="19"/>
      <c r="M88" s="7">
        <v>16599480.9384712</v>
      </c>
      <c r="N88" s="19"/>
      <c r="O88" s="7">
        <v>354107146.54847121</v>
      </c>
      <c r="P88" s="5"/>
      <c r="Q88" s="13">
        <v>-166056304.61051998</v>
      </c>
      <c r="R88" s="5"/>
      <c r="S88" s="13">
        <v>188050841.93795124</v>
      </c>
      <c r="T88" s="19"/>
      <c r="U88" s="7">
        <v>1451541.3347659421</v>
      </c>
      <c r="V88" s="19"/>
      <c r="W88" s="7">
        <v>-164604763.27575403</v>
      </c>
      <c r="X88" s="19"/>
      <c r="Y88" s="7">
        <v>354107146.54847103</v>
      </c>
      <c r="Z88" s="7">
        <v>0</v>
      </c>
    </row>
    <row r="89" spans="1:26">
      <c r="A89" s="2" t="s">
        <v>17</v>
      </c>
      <c r="B89" s="2" t="s">
        <v>3416</v>
      </c>
      <c r="D89" s="5" t="s">
        <v>79</v>
      </c>
      <c r="E89" s="7">
        <v>0</v>
      </c>
      <c r="F89" s="19"/>
      <c r="G89" s="7">
        <v>0</v>
      </c>
      <c r="H89" s="19"/>
      <c r="I89" s="7">
        <v>0</v>
      </c>
      <c r="J89" s="19"/>
      <c r="K89" s="7">
        <v>0</v>
      </c>
      <c r="L89" s="19"/>
      <c r="M89" s="7">
        <v>0</v>
      </c>
      <c r="N89" s="19"/>
      <c r="O89" s="7">
        <v>0</v>
      </c>
      <c r="P89" s="5"/>
      <c r="Q89" s="13">
        <v>0</v>
      </c>
      <c r="R89" s="5"/>
      <c r="S89" s="13">
        <v>0</v>
      </c>
      <c r="T89" s="19"/>
      <c r="U89" s="7">
        <v>0</v>
      </c>
      <c r="V89" s="19"/>
      <c r="W89" s="7">
        <v>0</v>
      </c>
      <c r="X89" s="19"/>
      <c r="Y89" s="7">
        <v>0</v>
      </c>
      <c r="Z89" s="7">
        <v>0</v>
      </c>
    </row>
    <row r="90" spans="1:26">
      <c r="A90" s="2" t="s">
        <v>17</v>
      </c>
      <c r="B90" s="2" t="s">
        <v>3416</v>
      </c>
      <c r="C90" s="2" t="str">
        <f t="shared" si="9"/>
        <v>315</v>
      </c>
      <c r="D90" s="5" t="s">
        <v>80</v>
      </c>
      <c r="E90" s="7">
        <v>251867428.06</v>
      </c>
      <c r="F90" s="19"/>
      <c r="G90" s="7">
        <v>2367187.7581359991</v>
      </c>
      <c r="H90" s="19"/>
      <c r="I90" s="7">
        <v>-6115.6100000000006</v>
      </c>
      <c r="J90" s="19"/>
      <c r="K90" s="7">
        <v>-670417.05999999994</v>
      </c>
      <c r="L90" s="19"/>
      <c r="M90" s="7">
        <v>1690655.0881359992</v>
      </c>
      <c r="N90" s="19"/>
      <c r="O90" s="7">
        <v>253558083.14813599</v>
      </c>
      <c r="P90" s="5"/>
      <c r="Q90" s="13">
        <v>-114914849.82282637</v>
      </c>
      <c r="R90" s="5"/>
      <c r="S90" s="13">
        <v>138643233.32530963</v>
      </c>
      <c r="T90" s="19"/>
      <c r="U90" s="7">
        <v>148241.02520505679</v>
      </c>
      <c r="V90" s="19"/>
      <c r="W90" s="7">
        <v>-114766608.79762131</v>
      </c>
      <c r="X90" s="19"/>
      <c r="Y90" s="7">
        <v>253558083.14813602</v>
      </c>
      <c r="Z90" s="7">
        <v>0</v>
      </c>
    </row>
    <row r="91" spans="1:26">
      <c r="A91" s="2" t="s">
        <v>17</v>
      </c>
      <c r="B91" s="2" t="s">
        <v>3416</v>
      </c>
      <c r="D91" s="5" t="s">
        <v>81</v>
      </c>
      <c r="E91" s="7">
        <v>0</v>
      </c>
      <c r="F91" s="19"/>
      <c r="G91" s="7">
        <v>0</v>
      </c>
      <c r="H91" s="19"/>
      <c r="I91" s="7">
        <v>0</v>
      </c>
      <c r="J91" s="19"/>
      <c r="K91" s="7">
        <v>0</v>
      </c>
      <c r="L91" s="19"/>
      <c r="M91" s="7">
        <v>0</v>
      </c>
      <c r="N91" s="19"/>
      <c r="O91" s="7">
        <v>0</v>
      </c>
      <c r="P91" s="5"/>
      <c r="Q91" s="13">
        <v>0</v>
      </c>
      <c r="R91" s="5"/>
      <c r="S91" s="13">
        <v>0</v>
      </c>
      <c r="T91" s="19"/>
      <c r="U91" s="7">
        <v>0</v>
      </c>
      <c r="V91" s="19"/>
      <c r="W91" s="7">
        <v>0</v>
      </c>
      <c r="X91" s="19"/>
      <c r="Y91" s="7">
        <v>0</v>
      </c>
      <c r="Z91" s="7">
        <v>0</v>
      </c>
    </row>
    <row r="92" spans="1:26">
      <c r="A92" s="2" t="s">
        <v>17</v>
      </c>
      <c r="B92" s="2" t="s">
        <v>3416</v>
      </c>
      <c r="C92" s="2" t="str">
        <f t="shared" si="9"/>
        <v>316</v>
      </c>
      <c r="D92" s="5" t="s">
        <v>82</v>
      </c>
      <c r="E92" s="7">
        <v>36601585.720000006</v>
      </c>
      <c r="F92" s="19"/>
      <c r="G92" s="7">
        <v>2188298.4766269978</v>
      </c>
      <c r="H92" s="19"/>
      <c r="I92" s="7">
        <v>-40955.609999999899</v>
      </c>
      <c r="J92" s="19"/>
      <c r="K92" s="7">
        <v>-525269.4800000001</v>
      </c>
      <c r="L92" s="19"/>
      <c r="M92" s="7">
        <v>1622073.386626998</v>
      </c>
      <c r="N92" s="19"/>
      <c r="O92" s="7">
        <v>38223659.106627002</v>
      </c>
      <c r="P92" s="5"/>
      <c r="Q92" s="13">
        <v>-17112877.844682898</v>
      </c>
      <c r="R92" s="5"/>
      <c r="S92" s="13">
        <v>21110781.261944104</v>
      </c>
      <c r="T92" s="19"/>
      <c r="U92" s="7">
        <v>137038.3944048823</v>
      </c>
      <c r="V92" s="19"/>
      <c r="W92" s="7">
        <v>-16975839.450278018</v>
      </c>
      <c r="X92" s="19"/>
      <c r="Y92" s="7">
        <v>38223659.106626995</v>
      </c>
      <c r="Z92" s="7">
        <v>0</v>
      </c>
    </row>
    <row r="93" spans="1:26">
      <c r="A93" s="2" t="s">
        <v>17</v>
      </c>
      <c r="B93" s="2" t="s">
        <v>3416</v>
      </c>
      <c r="C93" s="2" t="str">
        <f t="shared" si="9"/>
        <v>317</v>
      </c>
      <c r="D93" s="5" t="s">
        <v>83</v>
      </c>
      <c r="E93" s="7">
        <v>202001563.71999991</v>
      </c>
      <c r="F93" s="19"/>
      <c r="G93" s="7">
        <v>0</v>
      </c>
      <c r="H93" s="19"/>
      <c r="I93" s="7">
        <v>0</v>
      </c>
      <c r="J93" s="19"/>
      <c r="K93" s="7">
        <v>-4624832.9699999904</v>
      </c>
      <c r="L93" s="19"/>
      <c r="M93" s="7">
        <v>-4624832.9699999904</v>
      </c>
      <c r="N93" s="19"/>
      <c r="O93" s="7">
        <v>197376730.74999991</v>
      </c>
      <c r="P93" s="5"/>
      <c r="Q93" s="13">
        <v>-134179168.45999999</v>
      </c>
      <c r="R93" s="5"/>
      <c r="S93" s="13">
        <v>63197562.289999917</v>
      </c>
      <c r="T93" s="19"/>
      <c r="U93" s="7">
        <v>0</v>
      </c>
      <c r="V93" s="19"/>
      <c r="W93" s="7">
        <v>-134179168.45999999</v>
      </c>
      <c r="X93" s="19"/>
      <c r="Y93" s="7">
        <v>197376730.81</v>
      </c>
      <c r="Z93" s="7">
        <v>6.0000091791152954E-2</v>
      </c>
    </row>
    <row r="94" spans="1:26">
      <c r="A94" s="2" t="s">
        <v>17</v>
      </c>
      <c r="B94" s="2" t="s">
        <v>3416</v>
      </c>
      <c r="D94" s="5" t="s">
        <v>2490</v>
      </c>
      <c r="E94" s="20">
        <v>0</v>
      </c>
      <c r="F94" s="18"/>
      <c r="G94" s="20">
        <v>0</v>
      </c>
      <c r="H94" s="18"/>
      <c r="I94" s="20">
        <v>0</v>
      </c>
      <c r="J94" s="18"/>
      <c r="K94" s="20">
        <v>0</v>
      </c>
      <c r="L94" s="18"/>
      <c r="M94" s="20">
        <v>0</v>
      </c>
      <c r="N94" s="18"/>
      <c r="O94" s="20">
        <v>0</v>
      </c>
      <c r="P94" s="5"/>
      <c r="Q94" s="21">
        <v>0</v>
      </c>
      <c r="R94" s="5"/>
      <c r="S94" s="21">
        <v>0</v>
      </c>
      <c r="T94" s="18"/>
      <c r="U94" s="20">
        <v>0</v>
      </c>
      <c r="V94" s="18"/>
      <c r="W94" s="20">
        <v>0</v>
      </c>
      <c r="X94" s="18"/>
      <c r="Y94" s="20">
        <v>0</v>
      </c>
      <c r="Z94" s="20">
        <v>0</v>
      </c>
    </row>
    <row r="95" spans="1:26">
      <c r="B95" s="2" t="s">
        <v>3416</v>
      </c>
      <c r="D95" s="5"/>
      <c r="E95" s="17">
        <v>5172803224.7399902</v>
      </c>
      <c r="F95" s="18"/>
      <c r="G95" s="17">
        <v>170018553.92608413</v>
      </c>
      <c r="H95" s="18"/>
      <c r="I95" s="17">
        <v>-13883857.689999988</v>
      </c>
      <c r="J95" s="18"/>
      <c r="K95" s="17">
        <v>-4624832.9699999914</v>
      </c>
      <c r="L95" s="18"/>
      <c r="M95" s="17">
        <v>151509863.26608413</v>
      </c>
      <c r="N95" s="18"/>
      <c r="O95" s="17">
        <v>5324313088.0060749</v>
      </c>
      <c r="P95" s="5"/>
      <c r="Q95" s="17">
        <v>-1911278509.0858805</v>
      </c>
      <c r="R95" s="5"/>
      <c r="S95" s="17">
        <v>3413034578.9201937</v>
      </c>
      <c r="T95" s="18"/>
      <c r="U95" s="17">
        <v>10629889.977058202</v>
      </c>
      <c r="V95" s="18"/>
      <c r="W95" s="17">
        <v>-1900648619.1088223</v>
      </c>
      <c r="X95" s="18">
        <v>0</v>
      </c>
      <c r="Y95" s="17">
        <v>5324313087.9760885</v>
      </c>
      <c r="Z95" s="17">
        <v>-2.9986470937728882E-2</v>
      </c>
    </row>
    <row r="96" spans="1:26">
      <c r="B96" s="2" t="s">
        <v>3416</v>
      </c>
      <c r="C96" s="2" t="str">
        <f t="shared" ref="C96:C110" si="10">MID(D96,2,3)</f>
        <v/>
      </c>
      <c r="D96" s="5"/>
      <c r="E96" s="17"/>
      <c r="F96" s="18"/>
      <c r="G96" s="17"/>
      <c r="H96" s="18"/>
      <c r="I96" s="17"/>
      <c r="J96" s="18"/>
      <c r="K96" s="17"/>
      <c r="L96" s="18"/>
      <c r="M96" s="17"/>
      <c r="N96" s="18"/>
      <c r="O96" s="17"/>
      <c r="P96" s="5"/>
      <c r="Q96" s="5"/>
      <c r="R96" s="5"/>
      <c r="S96" s="5"/>
      <c r="T96" s="18"/>
      <c r="U96" s="17"/>
      <c r="V96" s="18"/>
      <c r="W96" s="17"/>
      <c r="X96" s="18"/>
      <c r="Y96" s="17"/>
      <c r="Z96" s="17"/>
    </row>
    <row r="97" spans="1:26">
      <c r="B97" s="2" t="s">
        <v>3416</v>
      </c>
      <c r="D97" s="8" t="s">
        <v>3428</v>
      </c>
      <c r="E97" s="17"/>
      <c r="F97" s="18"/>
      <c r="G97" s="17"/>
      <c r="H97" s="18"/>
      <c r="I97" s="17"/>
      <c r="J97" s="18"/>
      <c r="K97" s="17"/>
      <c r="L97" s="18"/>
      <c r="M97" s="17"/>
      <c r="N97" s="18"/>
      <c r="O97" s="17"/>
      <c r="P97" s="5"/>
      <c r="Q97" s="5"/>
      <c r="R97" s="5"/>
      <c r="S97" s="5"/>
      <c r="T97" s="18"/>
      <c r="U97" s="17"/>
      <c r="V97" s="18"/>
      <c r="W97" s="17"/>
      <c r="X97" s="18"/>
      <c r="Y97" s="17"/>
      <c r="Z97" s="17"/>
    </row>
    <row r="98" spans="1:26">
      <c r="A98" s="2" t="s">
        <v>17</v>
      </c>
      <c r="B98" s="2" t="s">
        <v>3416</v>
      </c>
      <c r="C98" s="2" t="str">
        <f t="shared" si="10"/>
        <v>350</v>
      </c>
      <c r="D98" s="5" t="s">
        <v>85</v>
      </c>
      <c r="E98" s="17">
        <v>29624494.120000001</v>
      </c>
      <c r="F98" s="18"/>
      <c r="G98" s="17">
        <v>137108.8583279</v>
      </c>
      <c r="H98" s="18"/>
      <c r="I98" s="17">
        <v>0</v>
      </c>
      <c r="J98" s="18"/>
      <c r="K98" s="17">
        <v>0</v>
      </c>
      <c r="L98" s="18"/>
      <c r="M98" s="17">
        <v>137108.8583279</v>
      </c>
      <c r="N98" s="18"/>
      <c r="O98" s="17">
        <v>29761602.9783279</v>
      </c>
      <c r="P98" s="5"/>
      <c r="Q98" s="13">
        <v>-15884658.18</v>
      </c>
      <c r="R98" s="5"/>
      <c r="S98" s="13">
        <v>13876944.7983279</v>
      </c>
      <c r="T98" s="18"/>
      <c r="U98" s="7">
        <v>454.56673270921641</v>
      </c>
      <c r="V98" s="19"/>
      <c r="W98" s="7">
        <v>-15884203.613267291</v>
      </c>
      <c r="X98" s="19"/>
      <c r="Y98" s="7">
        <v>29761602.9783279</v>
      </c>
      <c r="Z98" s="7">
        <v>0</v>
      </c>
    </row>
    <row r="99" spans="1:26">
      <c r="A99" s="2" t="s">
        <v>17</v>
      </c>
      <c r="B99" s="2" t="s">
        <v>3416</v>
      </c>
      <c r="D99" s="5" t="s">
        <v>86</v>
      </c>
      <c r="E99" s="17">
        <v>0</v>
      </c>
      <c r="F99" s="18"/>
      <c r="G99" s="17">
        <v>0</v>
      </c>
      <c r="H99" s="18"/>
      <c r="I99" s="17">
        <v>0</v>
      </c>
      <c r="J99" s="18"/>
      <c r="K99" s="17">
        <v>0</v>
      </c>
      <c r="L99" s="18"/>
      <c r="M99" s="17">
        <v>0</v>
      </c>
      <c r="N99" s="18"/>
      <c r="O99" s="17">
        <v>0</v>
      </c>
      <c r="P99" s="5"/>
      <c r="Q99" s="13">
        <v>0</v>
      </c>
      <c r="R99" s="5"/>
      <c r="S99" s="13">
        <v>0</v>
      </c>
      <c r="T99" s="18"/>
      <c r="U99" s="17">
        <v>0</v>
      </c>
      <c r="V99" s="18"/>
      <c r="W99" s="17">
        <v>0</v>
      </c>
      <c r="X99" s="18"/>
      <c r="Y99" s="17">
        <v>0</v>
      </c>
      <c r="Z99" s="17">
        <v>0</v>
      </c>
    </row>
    <row r="100" spans="1:26">
      <c r="A100" s="2" t="s">
        <v>17</v>
      </c>
      <c r="B100" s="2" t="s">
        <v>3416</v>
      </c>
      <c r="C100" s="2" t="str">
        <f t="shared" si="10"/>
        <v>352</v>
      </c>
      <c r="D100" s="5" t="s">
        <v>87</v>
      </c>
      <c r="E100" s="17">
        <v>27763592.539999999</v>
      </c>
      <c r="F100" s="18"/>
      <c r="G100" s="17">
        <v>126038.78000000001</v>
      </c>
      <c r="H100" s="18"/>
      <c r="I100" s="17">
        <v>-6735.58</v>
      </c>
      <c r="J100" s="18"/>
      <c r="K100" s="17">
        <v>0</v>
      </c>
      <c r="L100" s="18"/>
      <c r="M100" s="17">
        <v>119303.20000000001</v>
      </c>
      <c r="N100" s="18"/>
      <c r="O100" s="17">
        <v>27882895.739999998</v>
      </c>
      <c r="P100" s="5"/>
      <c r="Q100" s="13">
        <v>-6837264.9299999997</v>
      </c>
      <c r="R100" s="5"/>
      <c r="S100" s="13">
        <v>21045630.809999999</v>
      </c>
      <c r="T100" s="18"/>
      <c r="U100" s="17">
        <v>417.86531605593052</v>
      </c>
      <c r="V100" s="18"/>
      <c r="W100" s="17">
        <v>-6836847.064683944</v>
      </c>
      <c r="X100" s="18"/>
      <c r="Y100" s="17">
        <v>27882895.739999998</v>
      </c>
      <c r="Z100" s="17">
        <v>0</v>
      </c>
    </row>
    <row r="101" spans="1:26">
      <c r="A101" s="2" t="s">
        <v>17</v>
      </c>
      <c r="B101" s="2" t="s">
        <v>3416</v>
      </c>
      <c r="D101" s="5" t="s">
        <v>88</v>
      </c>
      <c r="E101" s="17">
        <v>0</v>
      </c>
      <c r="F101" s="18"/>
      <c r="G101" s="17">
        <v>0</v>
      </c>
      <c r="H101" s="18"/>
      <c r="I101" s="17">
        <v>0</v>
      </c>
      <c r="J101" s="18"/>
      <c r="K101" s="17">
        <v>0</v>
      </c>
      <c r="L101" s="18"/>
      <c r="M101" s="17">
        <v>0</v>
      </c>
      <c r="N101" s="18"/>
      <c r="O101" s="17">
        <v>0</v>
      </c>
      <c r="P101" s="5"/>
      <c r="Q101" s="13">
        <v>0</v>
      </c>
      <c r="R101" s="5"/>
      <c r="S101" s="13">
        <v>0</v>
      </c>
      <c r="T101" s="18"/>
      <c r="U101" s="17">
        <v>0</v>
      </c>
      <c r="V101" s="18"/>
      <c r="W101" s="17">
        <v>0</v>
      </c>
      <c r="X101" s="18"/>
      <c r="Y101" s="17">
        <v>0</v>
      </c>
      <c r="Z101" s="17">
        <v>0</v>
      </c>
    </row>
    <row r="102" spans="1:26">
      <c r="A102" s="2" t="s">
        <v>17</v>
      </c>
      <c r="B102" s="2" t="s">
        <v>3416</v>
      </c>
      <c r="C102" s="2" t="str">
        <f t="shared" si="10"/>
        <v>353</v>
      </c>
      <c r="D102" s="5" t="s">
        <v>89</v>
      </c>
      <c r="E102" s="17">
        <v>265005987.25</v>
      </c>
      <c r="F102" s="18"/>
      <c r="G102" s="17">
        <v>65078742.390756384</v>
      </c>
      <c r="H102" s="18"/>
      <c r="I102" s="17">
        <v>-1899358.0699999998</v>
      </c>
      <c r="J102" s="18"/>
      <c r="K102" s="17">
        <v>0</v>
      </c>
      <c r="L102" s="18"/>
      <c r="M102" s="17">
        <v>63179384.320756383</v>
      </c>
      <c r="N102" s="18"/>
      <c r="O102" s="17">
        <v>328185371.57075638</v>
      </c>
      <c r="P102" s="5"/>
      <c r="Q102" s="13">
        <v>-73597035.715916112</v>
      </c>
      <c r="R102" s="5"/>
      <c r="S102" s="13">
        <v>254588335.85484028</v>
      </c>
      <c r="T102" s="18"/>
      <c r="U102" s="17">
        <v>215760.17522254577</v>
      </c>
      <c r="V102" s="18"/>
      <c r="W102" s="17">
        <v>-73381275.540693566</v>
      </c>
      <c r="X102" s="18"/>
      <c r="Y102" s="17">
        <v>328185371.590756</v>
      </c>
      <c r="Z102" s="17">
        <v>1.999962329864502E-2</v>
      </c>
    </row>
    <row r="103" spans="1:26">
      <c r="A103" s="2" t="s">
        <v>17</v>
      </c>
      <c r="B103" s="2" t="s">
        <v>3416</v>
      </c>
      <c r="D103" s="5" t="s">
        <v>90</v>
      </c>
      <c r="E103" s="17">
        <v>0</v>
      </c>
      <c r="F103" s="18"/>
      <c r="G103" s="17">
        <v>0</v>
      </c>
      <c r="H103" s="18"/>
      <c r="I103" s="17">
        <v>0</v>
      </c>
      <c r="J103" s="18"/>
      <c r="K103" s="17">
        <v>0</v>
      </c>
      <c r="L103" s="18"/>
      <c r="M103" s="17">
        <v>0</v>
      </c>
      <c r="N103" s="18"/>
      <c r="O103" s="17">
        <v>0</v>
      </c>
      <c r="P103" s="5"/>
      <c r="Q103" s="13">
        <v>0</v>
      </c>
      <c r="R103" s="5"/>
      <c r="S103" s="13">
        <v>0</v>
      </c>
      <c r="T103" s="18"/>
      <c r="U103" s="17">
        <v>0</v>
      </c>
      <c r="V103" s="18"/>
      <c r="W103" s="17">
        <v>0</v>
      </c>
      <c r="X103" s="18"/>
      <c r="Y103" s="17">
        <v>0</v>
      </c>
      <c r="Z103" s="17">
        <v>0</v>
      </c>
    </row>
    <row r="104" spans="1:26">
      <c r="A104" s="2" t="s">
        <v>17</v>
      </c>
      <c r="B104" s="2" t="s">
        <v>3416</v>
      </c>
      <c r="D104" s="5" t="s">
        <v>91</v>
      </c>
      <c r="E104" s="17">
        <v>0</v>
      </c>
      <c r="F104" s="18"/>
      <c r="G104" s="17">
        <v>0</v>
      </c>
      <c r="H104" s="18"/>
      <c r="I104" s="17">
        <v>0</v>
      </c>
      <c r="J104" s="18"/>
      <c r="K104" s="17">
        <v>0</v>
      </c>
      <c r="L104" s="18"/>
      <c r="M104" s="17">
        <v>0</v>
      </c>
      <c r="N104" s="18"/>
      <c r="O104" s="17">
        <v>0</v>
      </c>
      <c r="P104" s="5"/>
      <c r="Q104" s="13">
        <v>0</v>
      </c>
      <c r="R104" s="5"/>
      <c r="S104" s="13">
        <v>0</v>
      </c>
      <c r="T104" s="18"/>
      <c r="U104" s="17">
        <v>0</v>
      </c>
      <c r="V104" s="18"/>
      <c r="W104" s="17">
        <v>0</v>
      </c>
      <c r="X104" s="18"/>
      <c r="Y104" s="17">
        <v>0</v>
      </c>
      <c r="Z104" s="17">
        <v>0</v>
      </c>
    </row>
    <row r="105" spans="1:26">
      <c r="A105" s="2" t="s">
        <v>17</v>
      </c>
      <c r="B105" s="2" t="s">
        <v>3416</v>
      </c>
      <c r="C105" s="2" t="str">
        <f t="shared" si="10"/>
        <v>354</v>
      </c>
      <c r="D105" s="5" t="s">
        <v>92</v>
      </c>
      <c r="E105" s="17">
        <v>70852012.849999994</v>
      </c>
      <c r="F105" s="18"/>
      <c r="G105" s="17">
        <v>0</v>
      </c>
      <c r="H105" s="18"/>
      <c r="I105" s="17">
        <v>0</v>
      </c>
      <c r="J105" s="18"/>
      <c r="K105" s="17">
        <v>0</v>
      </c>
      <c r="L105" s="18"/>
      <c r="M105" s="17">
        <v>0</v>
      </c>
      <c r="N105" s="18"/>
      <c r="O105" s="17">
        <v>70852012.849999994</v>
      </c>
      <c r="P105" s="5"/>
      <c r="Q105" s="13">
        <v>-47314381.039999999</v>
      </c>
      <c r="R105" s="5"/>
      <c r="S105" s="13">
        <v>23537631.809999995</v>
      </c>
      <c r="T105" s="18"/>
      <c r="U105" s="17">
        <v>0</v>
      </c>
      <c r="V105" s="18"/>
      <c r="W105" s="17">
        <v>-47314381.039999999</v>
      </c>
      <c r="X105" s="18"/>
      <c r="Y105" s="17">
        <v>70852012.849999994</v>
      </c>
      <c r="Z105" s="17">
        <v>0</v>
      </c>
    </row>
    <row r="106" spans="1:26">
      <c r="A106" s="2" t="s">
        <v>17</v>
      </c>
      <c r="B106" s="2" t="s">
        <v>3416</v>
      </c>
      <c r="C106" s="2" t="str">
        <f t="shared" si="10"/>
        <v>355</v>
      </c>
      <c r="D106" s="5" t="s">
        <v>93</v>
      </c>
      <c r="E106" s="17">
        <v>293544880.59999996</v>
      </c>
      <c r="F106" s="18"/>
      <c r="G106" s="17">
        <v>87393918.581130922</v>
      </c>
      <c r="H106" s="18"/>
      <c r="I106" s="17">
        <v>-1860577.7699999998</v>
      </c>
      <c r="J106" s="18"/>
      <c r="K106" s="17">
        <v>0</v>
      </c>
      <c r="L106" s="18"/>
      <c r="M106" s="17">
        <v>85533340.811130926</v>
      </c>
      <c r="N106" s="18"/>
      <c r="O106" s="17">
        <v>379078221.41113091</v>
      </c>
      <c r="P106" s="5"/>
      <c r="Q106" s="13">
        <v>-68955081.668778002</v>
      </c>
      <c r="R106" s="5"/>
      <c r="S106" s="13">
        <v>310123139.7423529</v>
      </c>
      <c r="T106" s="18"/>
      <c r="U106" s="17">
        <v>289743.26321843587</v>
      </c>
      <c r="V106" s="18"/>
      <c r="W106" s="17">
        <v>-68665338.40555957</v>
      </c>
      <c r="X106" s="18"/>
      <c r="Y106" s="17">
        <v>379078221.34112996</v>
      </c>
      <c r="Z106" s="17">
        <v>-7.0000946521759033E-2</v>
      </c>
    </row>
    <row r="107" spans="1:26">
      <c r="A107" s="2" t="s">
        <v>17</v>
      </c>
      <c r="B107" s="2" t="s">
        <v>3416</v>
      </c>
      <c r="C107" s="2" t="str">
        <f t="shared" si="10"/>
        <v>356</v>
      </c>
      <c r="D107" s="5" t="s">
        <v>94</v>
      </c>
      <c r="E107" s="17">
        <v>170106301.40000001</v>
      </c>
      <c r="F107" s="18"/>
      <c r="G107" s="17">
        <v>2035683.0570999999</v>
      </c>
      <c r="H107" s="18"/>
      <c r="I107" s="17">
        <v>-1240769.6099999989</v>
      </c>
      <c r="J107" s="18"/>
      <c r="K107" s="17">
        <v>0</v>
      </c>
      <c r="L107" s="18"/>
      <c r="M107" s="17">
        <v>794913.44710000092</v>
      </c>
      <c r="N107" s="18"/>
      <c r="O107" s="17">
        <v>170901214.84710002</v>
      </c>
      <c r="P107" s="5"/>
      <c r="Q107" s="13">
        <v>-105349039.36</v>
      </c>
      <c r="R107" s="5"/>
      <c r="S107" s="13">
        <v>65552175.48710002</v>
      </c>
      <c r="T107" s="18"/>
      <c r="U107" s="17">
        <v>6749.0445721927354</v>
      </c>
      <c r="V107" s="18"/>
      <c r="W107" s="17">
        <v>-105342290.31542781</v>
      </c>
      <c r="X107" s="18"/>
      <c r="Y107" s="17">
        <v>170901214.85710001</v>
      </c>
      <c r="Z107" s="17">
        <v>9.9999904632568359E-3</v>
      </c>
    </row>
    <row r="108" spans="1:26">
      <c r="A108" s="2" t="s">
        <v>17</v>
      </c>
      <c r="B108" s="2" t="s">
        <v>3416</v>
      </c>
      <c r="C108" s="2" t="str">
        <f t="shared" si="10"/>
        <v>357</v>
      </c>
      <c r="D108" s="5" t="s">
        <v>95</v>
      </c>
      <c r="E108" s="17">
        <v>448760.26</v>
      </c>
      <c r="F108" s="18"/>
      <c r="G108" s="17">
        <v>0</v>
      </c>
      <c r="H108" s="18"/>
      <c r="I108" s="17">
        <v>0</v>
      </c>
      <c r="J108" s="18"/>
      <c r="K108" s="17">
        <v>0</v>
      </c>
      <c r="L108" s="18"/>
      <c r="M108" s="17">
        <v>0</v>
      </c>
      <c r="N108" s="18"/>
      <c r="O108" s="17">
        <v>448760.26</v>
      </c>
      <c r="P108" s="5"/>
      <c r="Q108" s="13">
        <v>-256369.31</v>
      </c>
      <c r="R108" s="5"/>
      <c r="S108" s="13">
        <v>192390.95</v>
      </c>
      <c r="T108" s="18"/>
      <c r="U108" s="17">
        <v>0</v>
      </c>
      <c r="V108" s="18"/>
      <c r="W108" s="17">
        <v>-256369.31</v>
      </c>
      <c r="X108" s="18"/>
      <c r="Y108" s="17">
        <v>448760.26</v>
      </c>
      <c r="Z108" s="17">
        <v>0</v>
      </c>
    </row>
    <row r="109" spans="1:26">
      <c r="A109" s="2" t="s">
        <v>17</v>
      </c>
      <c r="B109" s="2" t="s">
        <v>3416</v>
      </c>
      <c r="C109" s="2" t="str">
        <f t="shared" si="10"/>
        <v>358</v>
      </c>
      <c r="D109" s="5" t="s">
        <v>96</v>
      </c>
      <c r="E109" s="17">
        <v>1299094.3999999999</v>
      </c>
      <c r="F109" s="18"/>
      <c r="G109" s="17">
        <v>498.15</v>
      </c>
      <c r="H109" s="18"/>
      <c r="I109" s="17">
        <v>0</v>
      </c>
      <c r="J109" s="18"/>
      <c r="K109" s="17">
        <v>0</v>
      </c>
      <c r="L109" s="18"/>
      <c r="M109" s="17">
        <v>498.15</v>
      </c>
      <c r="N109" s="18"/>
      <c r="O109" s="17">
        <v>1299592.5499999998</v>
      </c>
      <c r="P109" s="5"/>
      <c r="Q109" s="13">
        <v>-958370.24</v>
      </c>
      <c r="R109" s="5"/>
      <c r="S109" s="13">
        <v>341222.30999999982</v>
      </c>
      <c r="T109" s="18"/>
      <c r="U109" s="17">
        <v>1.6515520635257002</v>
      </c>
      <c r="V109" s="18"/>
      <c r="W109" s="17">
        <v>-958368.58844793646</v>
      </c>
      <c r="X109" s="18"/>
      <c r="Y109" s="17">
        <v>1299592.55</v>
      </c>
      <c r="Z109" s="17">
        <v>0</v>
      </c>
    </row>
    <row r="110" spans="1:26">
      <c r="A110" s="2" t="s">
        <v>17</v>
      </c>
      <c r="B110" s="2" t="s">
        <v>3416</v>
      </c>
      <c r="C110" s="2" t="str">
        <f t="shared" si="10"/>
        <v>359</v>
      </c>
      <c r="D110" s="5" t="s">
        <v>97</v>
      </c>
      <c r="E110" s="17">
        <v>556857.62</v>
      </c>
      <c r="F110" s="18"/>
      <c r="G110" s="17">
        <v>0</v>
      </c>
      <c r="H110" s="18"/>
      <c r="I110" s="17">
        <v>-5533.74</v>
      </c>
      <c r="J110" s="18"/>
      <c r="K110" s="17">
        <v>0</v>
      </c>
      <c r="L110" s="18"/>
      <c r="M110" s="17">
        <v>-5533.74</v>
      </c>
      <c r="N110" s="18"/>
      <c r="O110" s="17">
        <v>551323.88</v>
      </c>
      <c r="P110" s="5"/>
      <c r="Q110" s="13">
        <v>-91218.789999999892</v>
      </c>
      <c r="R110" s="5"/>
      <c r="S110" s="13">
        <v>460105.09000000008</v>
      </c>
      <c r="T110" s="18"/>
      <c r="U110" s="17">
        <v>0</v>
      </c>
      <c r="V110" s="18"/>
      <c r="W110" s="17">
        <v>-91218.789999999892</v>
      </c>
      <c r="X110" s="18"/>
      <c r="Y110" s="17">
        <v>551323.88</v>
      </c>
      <c r="Z110" s="17">
        <v>0</v>
      </c>
    </row>
    <row r="111" spans="1:26">
      <c r="A111" s="2" t="s">
        <v>17</v>
      </c>
      <c r="B111" s="2" t="s">
        <v>3416</v>
      </c>
      <c r="D111" s="5" t="s">
        <v>98</v>
      </c>
      <c r="E111" s="20">
        <v>0</v>
      </c>
      <c r="F111" s="18"/>
      <c r="G111" s="20">
        <v>0</v>
      </c>
      <c r="H111" s="18"/>
      <c r="I111" s="20">
        <v>0</v>
      </c>
      <c r="J111" s="18"/>
      <c r="K111" s="20">
        <v>0</v>
      </c>
      <c r="L111" s="18"/>
      <c r="M111" s="20">
        <v>0</v>
      </c>
      <c r="N111" s="18"/>
      <c r="O111" s="20">
        <v>0</v>
      </c>
      <c r="P111" s="5"/>
      <c r="Q111" s="21">
        <v>0</v>
      </c>
      <c r="R111" s="5"/>
      <c r="S111" s="21">
        <v>0</v>
      </c>
      <c r="T111" s="18"/>
      <c r="U111" s="20">
        <v>0</v>
      </c>
      <c r="V111" s="18"/>
      <c r="W111" s="20">
        <v>0</v>
      </c>
      <c r="X111" s="18"/>
      <c r="Y111" s="20">
        <v>0</v>
      </c>
      <c r="Z111" s="20">
        <v>0</v>
      </c>
    </row>
    <row r="112" spans="1:26">
      <c r="B112" s="2" t="s">
        <v>3416</v>
      </c>
      <c r="D112" s="5"/>
      <c r="E112" s="17">
        <v>859201981.03999984</v>
      </c>
      <c r="F112" s="18"/>
      <c r="G112" s="17">
        <v>154771989.81731519</v>
      </c>
      <c r="H112" s="18"/>
      <c r="I112" s="17">
        <v>-5012974.7699999996</v>
      </c>
      <c r="J112" s="18"/>
      <c r="K112" s="17">
        <v>0</v>
      </c>
      <c r="L112" s="18"/>
      <c r="M112" s="17">
        <v>149759015.04731521</v>
      </c>
      <c r="N112" s="18"/>
      <c r="O112" s="17">
        <v>1008960996.0873151</v>
      </c>
      <c r="P112" s="5"/>
      <c r="Q112" s="17">
        <v>-319243419.23469412</v>
      </c>
      <c r="R112" s="5"/>
      <c r="S112" s="17">
        <v>689717576.85262108</v>
      </c>
      <c r="T112" s="18"/>
      <c r="U112" s="17">
        <v>513126.56661400298</v>
      </c>
      <c r="V112" s="18"/>
      <c r="W112" s="17">
        <v>-318730292.66808009</v>
      </c>
      <c r="X112" s="18">
        <v>0</v>
      </c>
      <c r="Y112" s="17">
        <v>1008960996.0473138</v>
      </c>
      <c r="Z112" s="17">
        <v>-4.0001332759857178E-2</v>
      </c>
    </row>
    <row r="113" spans="2:26">
      <c r="B113" s="2" t="s">
        <v>3416</v>
      </c>
      <c r="D113" s="5"/>
      <c r="E113" s="17"/>
      <c r="F113" s="19"/>
      <c r="G113" s="17"/>
      <c r="H113" s="19"/>
      <c r="I113" s="17"/>
      <c r="J113" s="19"/>
      <c r="K113" s="17"/>
      <c r="L113" s="19"/>
      <c r="M113" s="17"/>
      <c r="N113" s="19"/>
      <c r="O113" s="17"/>
      <c r="P113" s="5"/>
      <c r="Q113" s="5"/>
      <c r="R113" s="5"/>
      <c r="S113" s="5"/>
      <c r="T113" s="19"/>
      <c r="U113" s="17"/>
      <c r="V113" s="19"/>
      <c r="W113" s="17"/>
      <c r="X113" s="19"/>
      <c r="Y113" s="17"/>
      <c r="Z113" s="17"/>
    </row>
    <row r="114" spans="2:26">
      <c r="B114" s="2" t="s">
        <v>3416</v>
      </c>
      <c r="D114" s="5"/>
      <c r="E114" s="7"/>
      <c r="F114" s="19"/>
      <c r="G114" s="7"/>
      <c r="H114" s="19"/>
      <c r="I114" s="7"/>
      <c r="J114" s="19"/>
      <c r="K114" s="7"/>
      <c r="L114" s="19"/>
      <c r="M114" s="7"/>
      <c r="N114" s="19"/>
      <c r="O114" s="7"/>
      <c r="P114" s="5"/>
      <c r="Q114" s="5"/>
      <c r="R114" s="5"/>
      <c r="S114" s="5"/>
      <c r="T114" s="19"/>
      <c r="U114" s="7"/>
      <c r="V114" s="19"/>
      <c r="W114" s="7"/>
      <c r="X114" s="19"/>
      <c r="Y114" s="7"/>
      <c r="Z114" s="7"/>
    </row>
    <row r="115" spans="2:26" s="29" customFormat="1" ht="13.5" thickBot="1">
      <c r="B115" s="2" t="s">
        <v>3416</v>
      </c>
      <c r="D115" s="8" t="s">
        <v>99</v>
      </c>
      <c r="E115" s="22">
        <v>9113457162.6699905</v>
      </c>
      <c r="F115" s="18"/>
      <c r="G115" s="22">
        <v>545960478.12851727</v>
      </c>
      <c r="H115" s="18"/>
      <c r="I115" s="22">
        <v>-49584599.919999972</v>
      </c>
      <c r="J115" s="18"/>
      <c r="K115" s="22">
        <v>-4624832.9699999914</v>
      </c>
      <c r="L115" s="18"/>
      <c r="M115" s="22">
        <v>491751045.23851728</v>
      </c>
      <c r="N115" s="18"/>
      <c r="O115" s="22">
        <v>9605208207.9085083</v>
      </c>
      <c r="P115" s="5"/>
      <c r="Q115" s="22">
        <v>-3396373772.6977482</v>
      </c>
      <c r="R115" s="5"/>
      <c r="S115" s="22">
        <v>6208834435.2107601</v>
      </c>
      <c r="T115" s="18"/>
      <c r="U115" s="22">
        <v>11294496.257540209</v>
      </c>
      <c r="V115" s="18"/>
      <c r="W115" s="22">
        <v>-3385079276.4402075</v>
      </c>
      <c r="X115" s="18"/>
      <c r="Y115" s="22">
        <v>9605208207.7085152</v>
      </c>
      <c r="Z115" s="22">
        <v>-0.19999128661584109</v>
      </c>
    </row>
    <row r="116" spans="2:26" s="29" customFormat="1" ht="13.5" thickTop="1">
      <c r="D116" s="23"/>
      <c r="E116" s="232"/>
      <c r="F116" s="501"/>
      <c r="G116" s="232"/>
      <c r="H116" s="501"/>
      <c r="I116" s="232"/>
      <c r="J116" s="501"/>
      <c r="K116" s="232"/>
      <c r="L116" s="501"/>
      <c r="M116" s="232"/>
      <c r="N116" s="501"/>
      <c r="O116" s="232"/>
      <c r="P116" s="2"/>
      <c r="Q116" s="2"/>
      <c r="R116" s="2"/>
      <c r="S116" s="2"/>
      <c r="T116" s="25"/>
      <c r="U116" s="232"/>
      <c r="V116" s="25"/>
      <c r="W116" s="232"/>
      <c r="X116" s="25"/>
      <c r="Y116" s="232"/>
      <c r="Z116" s="232"/>
    </row>
    <row r="117" spans="2:26" s="29" customFormat="1">
      <c r="D117" s="2" t="s">
        <v>2491</v>
      </c>
      <c r="E117" s="66">
        <v>9113457162.6199989</v>
      </c>
      <c r="F117" s="502"/>
      <c r="G117" s="66"/>
      <c r="H117" s="502"/>
      <c r="I117" s="66"/>
      <c r="J117" s="502"/>
      <c r="K117" s="66"/>
      <c r="L117" s="502"/>
      <c r="M117" s="66"/>
      <c r="N117" s="502"/>
      <c r="O117" s="66"/>
      <c r="P117" s="2"/>
      <c r="Q117" s="2"/>
      <c r="R117" s="2"/>
      <c r="S117" s="2"/>
      <c r="T117" s="27"/>
      <c r="U117" s="66"/>
      <c r="V117" s="27"/>
      <c r="W117" s="66"/>
      <c r="X117" s="27"/>
      <c r="Y117" s="66"/>
      <c r="Z117" s="66"/>
    </row>
    <row r="118" spans="2:26" s="29" customFormat="1">
      <c r="D118" s="28"/>
      <c r="E118" s="232">
        <v>4.9991607666015625E-2</v>
      </c>
      <c r="F118" s="501"/>
      <c r="G118" s="232"/>
      <c r="H118" s="501"/>
      <c r="I118" s="232"/>
      <c r="J118" s="501"/>
      <c r="K118" s="232"/>
      <c r="L118" s="501"/>
      <c r="M118" s="232"/>
      <c r="N118" s="501"/>
      <c r="O118" s="232"/>
      <c r="T118" s="25"/>
      <c r="U118" s="232"/>
      <c r="V118" s="25"/>
      <c r="W118" s="232"/>
      <c r="X118" s="25"/>
      <c r="Y118" s="232"/>
      <c r="Z118" s="232"/>
    </row>
    <row r="119" spans="2:26" s="29" customFormat="1">
      <c r="D119" s="28"/>
      <c r="E119" s="232"/>
      <c r="F119" s="501"/>
      <c r="G119" s="232"/>
      <c r="H119" s="501"/>
      <c r="I119" s="232"/>
      <c r="J119" s="501"/>
      <c r="K119" s="232"/>
      <c r="L119" s="501"/>
      <c r="M119" s="232"/>
      <c r="N119" s="501"/>
      <c r="O119" s="232"/>
      <c r="T119" s="25"/>
      <c r="U119" s="232"/>
      <c r="V119" s="25"/>
      <c r="W119" s="232"/>
      <c r="X119" s="25"/>
      <c r="Y119" s="232"/>
      <c r="Z119" s="232"/>
    </row>
    <row r="120" spans="2:26" s="29" customFormat="1">
      <c r="E120" s="232"/>
      <c r="F120" s="501"/>
      <c r="G120" s="232"/>
      <c r="H120" s="501"/>
      <c r="I120" s="232"/>
      <c r="J120" s="501"/>
      <c r="K120" s="232"/>
      <c r="L120" s="501"/>
      <c r="M120" s="232"/>
      <c r="N120" s="501"/>
      <c r="O120" s="232"/>
      <c r="T120" s="25"/>
      <c r="U120" s="232"/>
      <c r="V120" s="25"/>
      <c r="W120" s="232"/>
      <c r="X120" s="25"/>
      <c r="Y120" s="232"/>
      <c r="Z120" s="232"/>
    </row>
    <row r="121" spans="2:26" s="29" customFormat="1">
      <c r="E121" s="232"/>
      <c r="F121" s="501"/>
      <c r="G121" s="232"/>
      <c r="H121" s="501"/>
      <c r="I121" s="232"/>
      <c r="J121" s="501"/>
      <c r="K121" s="232"/>
      <c r="L121" s="501"/>
      <c r="M121" s="232"/>
      <c r="N121" s="501"/>
      <c r="O121" s="232"/>
      <c r="T121" s="25"/>
      <c r="U121" s="232"/>
      <c r="V121" s="25"/>
      <c r="W121" s="232"/>
      <c r="X121" s="25"/>
      <c r="Y121" s="232"/>
      <c r="Z121" s="232"/>
    </row>
    <row r="122" spans="2:26" s="29" customFormat="1">
      <c r="E122" s="232"/>
      <c r="F122" s="501"/>
      <c r="G122" s="232"/>
      <c r="H122" s="501"/>
      <c r="I122" s="232"/>
      <c r="J122" s="501"/>
      <c r="K122" s="232"/>
      <c r="L122" s="501"/>
      <c r="M122" s="232"/>
      <c r="N122" s="501"/>
      <c r="O122" s="232"/>
      <c r="T122" s="25"/>
      <c r="U122" s="232"/>
      <c r="V122" s="25"/>
      <c r="W122" s="232"/>
      <c r="X122" s="25"/>
      <c r="Y122" s="232"/>
      <c r="Z122" s="232"/>
    </row>
    <row r="123" spans="2:26" s="29" customFormat="1">
      <c r="E123" s="232"/>
      <c r="F123" s="501"/>
      <c r="G123" s="232"/>
      <c r="H123" s="501"/>
      <c r="I123" s="232"/>
      <c r="J123" s="501"/>
      <c r="K123" s="232"/>
      <c r="L123" s="501"/>
      <c r="M123" s="232"/>
      <c r="N123" s="501"/>
      <c r="O123" s="232"/>
      <c r="T123" s="25"/>
      <c r="U123" s="232"/>
      <c r="V123" s="25"/>
      <c r="W123" s="232"/>
      <c r="X123" s="25"/>
      <c r="Y123" s="232"/>
      <c r="Z123" s="232"/>
    </row>
    <row r="124" spans="2:26" s="29" customFormat="1">
      <c r="E124" s="232"/>
      <c r="F124" s="501"/>
      <c r="G124" s="232"/>
      <c r="H124" s="501"/>
      <c r="I124" s="232"/>
      <c r="J124" s="501"/>
      <c r="K124" s="232"/>
      <c r="L124" s="501"/>
      <c r="M124" s="232"/>
      <c r="N124" s="501"/>
      <c r="O124" s="232"/>
      <c r="T124" s="25"/>
      <c r="U124" s="232"/>
      <c r="V124" s="25"/>
      <c r="W124" s="232"/>
      <c r="X124" s="25"/>
      <c r="Y124" s="232"/>
      <c r="Z124" s="232"/>
    </row>
    <row r="125" spans="2:26" s="29" customFormat="1">
      <c r="E125" s="232"/>
      <c r="F125" s="501"/>
      <c r="G125" s="232"/>
      <c r="H125" s="501"/>
      <c r="I125" s="232"/>
      <c r="J125" s="501"/>
      <c r="K125" s="232"/>
      <c r="L125" s="501"/>
      <c r="M125" s="232"/>
      <c r="N125" s="501"/>
      <c r="O125" s="232"/>
      <c r="T125" s="25"/>
      <c r="U125" s="232"/>
      <c r="V125" s="25"/>
      <c r="W125" s="232"/>
      <c r="X125" s="25"/>
      <c r="Y125" s="232"/>
      <c r="Z125" s="232"/>
    </row>
    <row r="126" spans="2:26" s="29" customFormat="1">
      <c r="E126" s="232"/>
      <c r="F126" s="501"/>
      <c r="G126" s="232"/>
      <c r="H126" s="501"/>
      <c r="I126" s="232"/>
      <c r="J126" s="501"/>
      <c r="K126" s="232"/>
      <c r="L126" s="501"/>
      <c r="M126" s="232"/>
      <c r="N126" s="501"/>
      <c r="O126" s="232"/>
      <c r="T126" s="25"/>
      <c r="U126" s="232"/>
      <c r="V126" s="25"/>
      <c r="W126" s="232"/>
      <c r="X126" s="25"/>
      <c r="Y126" s="232"/>
      <c r="Z126" s="232"/>
    </row>
    <row r="127" spans="2:26" s="29" customFormat="1">
      <c r="E127" s="232"/>
      <c r="F127" s="501"/>
      <c r="G127" s="232"/>
      <c r="H127" s="501"/>
      <c r="I127" s="232"/>
      <c r="J127" s="501"/>
      <c r="K127" s="232"/>
      <c r="L127" s="501"/>
      <c r="M127" s="232"/>
      <c r="N127" s="501"/>
      <c r="O127" s="232"/>
      <c r="T127" s="25"/>
      <c r="U127" s="232"/>
      <c r="V127" s="25"/>
      <c r="W127" s="232"/>
      <c r="X127" s="25"/>
      <c r="Y127" s="232"/>
      <c r="Z127" s="232"/>
    </row>
    <row r="128" spans="2:26" s="29" customFormat="1">
      <c r="E128" s="232"/>
      <c r="F128" s="501"/>
      <c r="G128" s="232"/>
      <c r="H128" s="501"/>
      <c r="I128" s="232"/>
      <c r="J128" s="501"/>
      <c r="K128" s="232"/>
      <c r="L128" s="501"/>
      <c r="M128" s="232"/>
      <c r="N128" s="501"/>
      <c r="O128" s="232"/>
      <c r="T128" s="25"/>
      <c r="U128" s="232"/>
      <c r="V128" s="25"/>
      <c r="W128" s="232"/>
      <c r="X128" s="25"/>
      <c r="Y128" s="232"/>
      <c r="Z128" s="232"/>
    </row>
    <row r="129" spans="4:26" s="29" customFormat="1">
      <c r="E129" s="232"/>
      <c r="F129" s="501"/>
      <c r="G129" s="232"/>
      <c r="H129" s="501"/>
      <c r="I129" s="232"/>
      <c r="J129" s="501"/>
      <c r="K129" s="232"/>
      <c r="L129" s="501"/>
      <c r="M129" s="232"/>
      <c r="N129" s="501"/>
      <c r="O129" s="232"/>
      <c r="T129" s="25"/>
      <c r="U129" s="232"/>
      <c r="V129" s="25"/>
      <c r="W129" s="232"/>
      <c r="X129" s="25"/>
      <c r="Y129" s="232"/>
      <c r="Z129" s="232"/>
    </row>
    <row r="130" spans="4:26" s="29" customFormat="1">
      <c r="E130" s="232"/>
      <c r="F130" s="501"/>
      <c r="G130" s="232"/>
      <c r="H130" s="501"/>
      <c r="I130" s="232"/>
      <c r="J130" s="501"/>
      <c r="K130" s="232"/>
      <c r="L130" s="501"/>
      <c r="M130" s="232"/>
      <c r="N130" s="501"/>
      <c r="O130" s="232"/>
      <c r="T130" s="25"/>
      <c r="U130" s="232"/>
      <c r="V130" s="25"/>
      <c r="W130" s="232"/>
      <c r="X130" s="25"/>
      <c r="Y130" s="232"/>
      <c r="Z130" s="232"/>
    </row>
    <row r="131" spans="4:26" s="29" customFormat="1">
      <c r="E131" s="232"/>
      <c r="F131" s="501"/>
      <c r="G131" s="232"/>
      <c r="H131" s="501"/>
      <c r="I131" s="232"/>
      <c r="J131" s="501"/>
      <c r="K131" s="232"/>
      <c r="L131" s="501"/>
      <c r="M131" s="232"/>
      <c r="N131" s="501"/>
      <c r="O131" s="232"/>
      <c r="T131" s="25"/>
      <c r="U131" s="232"/>
      <c r="V131" s="25"/>
      <c r="W131" s="232"/>
      <c r="X131" s="25"/>
      <c r="Y131" s="232"/>
      <c r="Z131" s="232"/>
    </row>
    <row r="132" spans="4:26" s="29" customFormat="1">
      <c r="D132" s="28"/>
      <c r="E132" s="232"/>
      <c r="F132" s="501"/>
      <c r="G132" s="232"/>
      <c r="H132" s="501"/>
      <c r="I132" s="232"/>
      <c r="J132" s="501"/>
      <c r="K132" s="232"/>
      <c r="L132" s="501"/>
      <c r="M132" s="232"/>
      <c r="N132" s="501"/>
      <c r="O132" s="232"/>
      <c r="T132" s="25"/>
      <c r="U132" s="232"/>
      <c r="V132" s="25"/>
      <c r="W132" s="232"/>
      <c r="X132" s="25"/>
      <c r="Y132" s="232"/>
      <c r="Z132" s="232"/>
    </row>
    <row r="133" spans="4:26" s="29" customFormat="1">
      <c r="E133" s="232"/>
      <c r="F133" s="501"/>
      <c r="G133" s="232"/>
      <c r="H133" s="501"/>
      <c r="I133" s="232"/>
      <c r="J133" s="501"/>
      <c r="K133" s="232"/>
      <c r="L133" s="501"/>
      <c r="M133" s="232"/>
      <c r="N133" s="501"/>
      <c r="O133" s="232"/>
      <c r="T133" s="25"/>
      <c r="U133" s="232"/>
      <c r="V133" s="25"/>
      <c r="W133" s="232"/>
      <c r="X133" s="25"/>
      <c r="Y133" s="232"/>
      <c r="Z133" s="232"/>
    </row>
    <row r="134" spans="4:26" s="29" customFormat="1">
      <c r="E134" s="232"/>
      <c r="F134" s="501"/>
      <c r="G134" s="232"/>
      <c r="H134" s="501"/>
      <c r="I134" s="232"/>
      <c r="J134" s="501"/>
      <c r="K134" s="232"/>
      <c r="L134" s="501"/>
      <c r="M134" s="232"/>
      <c r="N134" s="501"/>
      <c r="O134" s="232"/>
      <c r="T134" s="25"/>
      <c r="U134" s="232"/>
      <c r="V134" s="25"/>
      <c r="W134" s="232"/>
      <c r="X134" s="25"/>
      <c r="Y134" s="232"/>
      <c r="Z134" s="232"/>
    </row>
    <row r="135" spans="4:26" s="29" customFormat="1">
      <c r="E135" s="232"/>
      <c r="F135" s="501"/>
      <c r="G135" s="232"/>
      <c r="H135" s="501"/>
      <c r="I135" s="232"/>
      <c r="J135" s="501"/>
      <c r="K135" s="232"/>
      <c r="L135" s="501"/>
      <c r="M135" s="232"/>
      <c r="N135" s="501"/>
      <c r="O135" s="232"/>
      <c r="T135" s="25"/>
      <c r="U135" s="232"/>
      <c r="V135" s="25"/>
      <c r="W135" s="232"/>
      <c r="X135" s="25"/>
      <c r="Y135" s="232"/>
      <c r="Z135" s="232"/>
    </row>
    <row r="136" spans="4:26" s="29" customFormat="1">
      <c r="E136" s="232"/>
      <c r="F136" s="501"/>
      <c r="G136" s="232"/>
      <c r="H136" s="501"/>
      <c r="I136" s="232"/>
      <c r="J136" s="501"/>
      <c r="K136" s="232"/>
      <c r="L136" s="501"/>
      <c r="M136" s="232"/>
      <c r="N136" s="501"/>
      <c r="O136" s="232"/>
      <c r="T136" s="25"/>
      <c r="U136" s="232"/>
      <c r="V136" s="25"/>
      <c r="W136" s="232"/>
      <c r="X136" s="25"/>
      <c r="Y136" s="232"/>
      <c r="Z136" s="232"/>
    </row>
    <row r="137" spans="4:26" s="29" customFormat="1">
      <c r="E137" s="232"/>
      <c r="F137" s="501"/>
      <c r="G137" s="232"/>
      <c r="H137" s="501"/>
      <c r="I137" s="232"/>
      <c r="J137" s="501"/>
      <c r="K137" s="232"/>
      <c r="L137" s="501"/>
      <c r="M137" s="232"/>
      <c r="N137" s="501"/>
      <c r="O137" s="232"/>
      <c r="T137" s="25"/>
      <c r="U137" s="232"/>
      <c r="V137" s="25"/>
      <c r="W137" s="232"/>
      <c r="X137" s="25"/>
      <c r="Y137" s="232"/>
      <c r="Z137" s="232"/>
    </row>
    <row r="138" spans="4:26" s="29" customFormat="1">
      <c r="E138" s="232"/>
      <c r="F138" s="501"/>
      <c r="G138" s="232"/>
      <c r="H138" s="501"/>
      <c r="I138" s="232"/>
      <c r="J138" s="501"/>
      <c r="K138" s="232"/>
      <c r="L138" s="501"/>
      <c r="M138" s="232"/>
      <c r="N138" s="501"/>
      <c r="O138" s="232"/>
      <c r="T138" s="25"/>
      <c r="U138" s="232"/>
      <c r="V138" s="25"/>
      <c r="W138" s="232"/>
      <c r="X138" s="25"/>
      <c r="Y138" s="232"/>
      <c r="Z138" s="232"/>
    </row>
    <row r="139" spans="4:26" s="29" customFormat="1">
      <c r="E139" s="232"/>
      <c r="F139" s="501"/>
      <c r="G139" s="232"/>
      <c r="H139" s="501"/>
      <c r="I139" s="232"/>
      <c r="J139" s="501"/>
      <c r="K139" s="232"/>
      <c r="L139" s="501"/>
      <c r="M139" s="232"/>
      <c r="N139" s="501"/>
      <c r="O139" s="232"/>
      <c r="T139" s="25"/>
      <c r="U139" s="232"/>
      <c r="V139" s="25"/>
      <c r="W139" s="232"/>
      <c r="X139" s="25"/>
      <c r="Y139" s="232"/>
      <c r="Z139" s="232"/>
    </row>
    <row r="140" spans="4:26" s="29" customFormat="1">
      <c r="E140" s="232"/>
      <c r="F140" s="501"/>
      <c r="G140" s="232"/>
      <c r="H140" s="501"/>
      <c r="I140" s="232"/>
      <c r="J140" s="501"/>
      <c r="K140" s="232"/>
      <c r="L140" s="501"/>
      <c r="M140" s="232"/>
      <c r="N140" s="501"/>
      <c r="O140" s="232"/>
      <c r="T140" s="25"/>
      <c r="U140" s="232"/>
      <c r="V140" s="25"/>
      <c r="W140" s="232"/>
      <c r="X140" s="25"/>
      <c r="Y140" s="232"/>
      <c r="Z140" s="232"/>
    </row>
    <row r="141" spans="4:26" s="29" customFormat="1">
      <c r="E141" s="232"/>
      <c r="F141" s="501"/>
      <c r="G141" s="232"/>
      <c r="H141" s="501"/>
      <c r="I141" s="232"/>
      <c r="J141" s="501"/>
      <c r="K141" s="232"/>
      <c r="L141" s="501"/>
      <c r="M141" s="232"/>
      <c r="N141" s="501"/>
      <c r="O141" s="232"/>
      <c r="T141" s="25"/>
      <c r="U141" s="232"/>
      <c r="V141" s="25"/>
      <c r="W141" s="232"/>
      <c r="X141" s="25"/>
      <c r="Y141" s="232"/>
      <c r="Z141" s="232"/>
    </row>
    <row r="142" spans="4:26" s="29" customFormat="1">
      <c r="D142" s="28"/>
      <c r="E142" s="232"/>
      <c r="F142" s="501"/>
      <c r="G142" s="232"/>
      <c r="H142" s="501"/>
      <c r="I142" s="232"/>
      <c r="J142" s="501"/>
      <c r="K142" s="232"/>
      <c r="L142" s="501"/>
      <c r="M142" s="232"/>
      <c r="N142" s="501"/>
      <c r="O142" s="232"/>
      <c r="T142" s="25"/>
      <c r="U142" s="232"/>
      <c r="V142" s="25"/>
      <c r="W142" s="232"/>
      <c r="X142" s="25"/>
      <c r="Y142" s="232"/>
      <c r="Z142" s="232"/>
    </row>
    <row r="143" spans="4:26" s="29" customFormat="1">
      <c r="E143" s="232"/>
      <c r="F143" s="501"/>
      <c r="G143" s="232"/>
      <c r="H143" s="501"/>
      <c r="I143" s="232"/>
      <c r="J143" s="501"/>
      <c r="K143" s="232"/>
      <c r="L143" s="501"/>
      <c r="M143" s="232"/>
      <c r="N143" s="501"/>
      <c r="O143" s="232"/>
      <c r="T143" s="25"/>
      <c r="U143" s="232"/>
      <c r="V143" s="25"/>
      <c r="W143" s="232"/>
      <c r="X143" s="25"/>
      <c r="Y143" s="232"/>
      <c r="Z143" s="232"/>
    </row>
    <row r="144" spans="4:26" s="29" customFormat="1">
      <c r="E144" s="232"/>
      <c r="F144" s="501"/>
      <c r="G144" s="232"/>
      <c r="H144" s="501"/>
      <c r="I144" s="232"/>
      <c r="J144" s="501"/>
      <c r="K144" s="232"/>
      <c r="L144" s="501"/>
      <c r="M144" s="232"/>
      <c r="N144" s="501"/>
      <c r="O144" s="232"/>
      <c r="T144" s="25"/>
      <c r="U144" s="232"/>
      <c r="V144" s="25"/>
      <c r="W144" s="232"/>
      <c r="X144" s="25"/>
      <c r="Y144" s="232"/>
      <c r="Z144" s="232"/>
    </row>
    <row r="145" spans="4:26" s="29" customFormat="1">
      <c r="E145" s="232"/>
      <c r="F145" s="501"/>
      <c r="G145" s="232"/>
      <c r="H145" s="501"/>
      <c r="I145" s="232"/>
      <c r="J145" s="501"/>
      <c r="K145" s="232"/>
      <c r="L145" s="501"/>
      <c r="M145" s="232"/>
      <c r="N145" s="501"/>
      <c r="O145" s="232"/>
      <c r="T145" s="25"/>
      <c r="U145" s="232"/>
      <c r="V145" s="25"/>
      <c r="W145" s="232"/>
      <c r="X145" s="25"/>
      <c r="Y145" s="232"/>
      <c r="Z145" s="232"/>
    </row>
    <row r="146" spans="4:26" s="29" customFormat="1">
      <c r="E146" s="232"/>
      <c r="F146" s="501"/>
      <c r="G146" s="232"/>
      <c r="H146" s="501"/>
      <c r="I146" s="232"/>
      <c r="J146" s="501"/>
      <c r="K146" s="232"/>
      <c r="L146" s="501"/>
      <c r="M146" s="232"/>
      <c r="N146" s="501"/>
      <c r="O146" s="232"/>
      <c r="T146" s="25"/>
      <c r="U146" s="232"/>
      <c r="V146" s="25"/>
      <c r="W146" s="232"/>
      <c r="X146" s="25"/>
      <c r="Y146" s="232"/>
      <c r="Z146" s="232"/>
    </row>
    <row r="147" spans="4:26" s="29" customFormat="1">
      <c r="E147" s="232"/>
      <c r="F147" s="501"/>
      <c r="G147" s="232"/>
      <c r="H147" s="501"/>
      <c r="I147" s="232"/>
      <c r="J147" s="501"/>
      <c r="K147" s="232"/>
      <c r="L147" s="501"/>
      <c r="M147" s="232"/>
      <c r="N147" s="501"/>
      <c r="O147" s="232"/>
      <c r="T147" s="25"/>
      <c r="U147" s="232"/>
      <c r="V147" s="25"/>
      <c r="W147" s="232"/>
      <c r="X147" s="25"/>
      <c r="Y147" s="232"/>
      <c r="Z147" s="232"/>
    </row>
    <row r="148" spans="4:26" s="29" customFormat="1">
      <c r="E148" s="232"/>
      <c r="F148" s="501"/>
      <c r="G148" s="232"/>
      <c r="H148" s="501"/>
      <c r="I148" s="232"/>
      <c r="J148" s="501"/>
      <c r="K148" s="232"/>
      <c r="L148" s="501"/>
      <c r="M148" s="232"/>
      <c r="N148" s="501"/>
      <c r="O148" s="232"/>
      <c r="T148" s="25"/>
      <c r="U148" s="232"/>
      <c r="V148" s="25"/>
      <c r="W148" s="232"/>
      <c r="X148" s="25"/>
      <c r="Y148" s="232"/>
      <c r="Z148" s="232"/>
    </row>
    <row r="149" spans="4:26" s="29" customFormat="1">
      <c r="E149" s="232"/>
      <c r="F149" s="501"/>
      <c r="G149" s="232"/>
      <c r="H149" s="501"/>
      <c r="I149" s="232"/>
      <c r="J149" s="501"/>
      <c r="K149" s="232"/>
      <c r="L149" s="501"/>
      <c r="M149" s="232"/>
      <c r="N149" s="501"/>
      <c r="O149" s="232"/>
      <c r="T149" s="25"/>
      <c r="U149" s="232"/>
      <c r="V149" s="25"/>
      <c r="W149" s="232"/>
      <c r="X149" s="25"/>
      <c r="Y149" s="232"/>
      <c r="Z149" s="232"/>
    </row>
    <row r="150" spans="4:26" s="29" customFormat="1">
      <c r="E150" s="232"/>
      <c r="F150" s="501"/>
      <c r="G150" s="232"/>
      <c r="H150" s="501"/>
      <c r="I150" s="232"/>
      <c r="J150" s="501"/>
      <c r="K150" s="232"/>
      <c r="L150" s="501"/>
      <c r="M150" s="232"/>
      <c r="N150" s="501"/>
      <c r="O150" s="232"/>
      <c r="T150" s="25"/>
      <c r="U150" s="232"/>
      <c r="V150" s="25"/>
      <c r="W150" s="232"/>
      <c r="X150" s="25"/>
      <c r="Y150" s="232"/>
      <c r="Z150" s="232"/>
    </row>
    <row r="151" spans="4:26" s="29" customFormat="1">
      <c r="D151" s="28"/>
      <c r="E151" s="232"/>
      <c r="F151" s="501"/>
      <c r="G151" s="232"/>
      <c r="H151" s="501"/>
      <c r="I151" s="232"/>
      <c r="J151" s="501"/>
      <c r="K151" s="232"/>
      <c r="L151" s="501"/>
      <c r="M151" s="232"/>
      <c r="N151" s="501"/>
      <c r="O151" s="232"/>
      <c r="T151" s="25"/>
      <c r="U151" s="232"/>
      <c r="V151" s="25"/>
      <c r="W151" s="232"/>
      <c r="X151" s="25"/>
      <c r="Y151" s="232"/>
      <c r="Z151" s="232"/>
    </row>
    <row r="152" spans="4:26" s="29" customFormat="1">
      <c r="E152" s="232"/>
      <c r="F152" s="501"/>
      <c r="G152" s="232"/>
      <c r="H152" s="501"/>
      <c r="I152" s="232"/>
      <c r="J152" s="501"/>
      <c r="K152" s="232"/>
      <c r="L152" s="501"/>
      <c r="M152" s="232"/>
      <c r="N152" s="501"/>
      <c r="O152" s="232"/>
      <c r="T152" s="25"/>
      <c r="U152" s="232"/>
      <c r="V152" s="25"/>
      <c r="W152" s="232"/>
      <c r="X152" s="25"/>
      <c r="Y152" s="232"/>
      <c r="Z152" s="232"/>
    </row>
    <row r="153" spans="4:26" s="29" customFormat="1">
      <c r="E153" s="232"/>
      <c r="F153" s="501"/>
      <c r="G153" s="232"/>
      <c r="H153" s="501"/>
      <c r="I153" s="232"/>
      <c r="J153" s="501"/>
      <c r="K153" s="232"/>
      <c r="L153" s="501"/>
      <c r="M153" s="232"/>
      <c r="N153" s="501"/>
      <c r="O153" s="232"/>
      <c r="T153" s="25"/>
      <c r="U153" s="232"/>
      <c r="V153" s="25"/>
      <c r="W153" s="232"/>
      <c r="X153" s="25"/>
      <c r="Y153" s="232"/>
      <c r="Z153" s="232"/>
    </row>
    <row r="154" spans="4:26" s="29" customFormat="1">
      <c r="E154" s="232"/>
      <c r="F154" s="501"/>
      <c r="G154" s="232"/>
      <c r="H154" s="501"/>
      <c r="I154" s="232"/>
      <c r="J154" s="501"/>
      <c r="K154" s="232"/>
      <c r="L154" s="501"/>
      <c r="M154" s="232"/>
      <c r="N154" s="501"/>
      <c r="O154" s="232"/>
      <c r="T154" s="25"/>
      <c r="U154" s="232"/>
      <c r="V154" s="25"/>
      <c r="W154" s="232"/>
      <c r="X154" s="25"/>
      <c r="Y154" s="232"/>
      <c r="Z154" s="232"/>
    </row>
    <row r="155" spans="4:26" s="29" customFormat="1">
      <c r="E155" s="232"/>
      <c r="F155" s="501"/>
      <c r="G155" s="232"/>
      <c r="H155" s="501"/>
      <c r="I155" s="232"/>
      <c r="J155" s="501"/>
      <c r="K155" s="232"/>
      <c r="L155" s="501"/>
      <c r="M155" s="232"/>
      <c r="N155" s="501"/>
      <c r="O155" s="232"/>
      <c r="T155" s="25"/>
      <c r="U155" s="232"/>
      <c r="V155" s="25"/>
      <c r="W155" s="232"/>
      <c r="X155" s="25"/>
      <c r="Y155" s="232"/>
      <c r="Z155" s="232"/>
    </row>
    <row r="156" spans="4:26" s="29" customFormat="1">
      <c r="D156" s="28"/>
      <c r="E156" s="232"/>
      <c r="F156" s="501"/>
      <c r="G156" s="232"/>
      <c r="H156" s="501"/>
      <c r="I156" s="232"/>
      <c r="J156" s="501"/>
      <c r="K156" s="232"/>
      <c r="L156" s="501"/>
      <c r="M156" s="232"/>
      <c r="N156" s="501"/>
      <c r="O156" s="232"/>
      <c r="T156" s="25"/>
      <c r="U156" s="232"/>
      <c r="V156" s="25"/>
      <c r="W156" s="232"/>
      <c r="X156" s="25"/>
      <c r="Y156" s="232"/>
      <c r="Z156" s="232"/>
    </row>
    <row r="157" spans="4:26" s="29" customFormat="1">
      <c r="E157" s="232"/>
      <c r="F157" s="501"/>
      <c r="G157" s="232"/>
      <c r="H157" s="501"/>
      <c r="I157" s="232"/>
      <c r="J157" s="501"/>
      <c r="K157" s="232"/>
      <c r="L157" s="501"/>
      <c r="M157" s="232"/>
      <c r="N157" s="501"/>
      <c r="O157" s="232"/>
      <c r="T157" s="25"/>
      <c r="U157" s="232"/>
      <c r="V157" s="25"/>
      <c r="W157" s="232"/>
      <c r="X157" s="25"/>
      <c r="Y157" s="232"/>
      <c r="Z157" s="232"/>
    </row>
    <row r="158" spans="4:26" s="29" customFormat="1">
      <c r="E158" s="232"/>
      <c r="F158" s="501"/>
      <c r="G158" s="232"/>
      <c r="H158" s="501"/>
      <c r="I158" s="232"/>
      <c r="J158" s="501"/>
      <c r="K158" s="232"/>
      <c r="L158" s="501"/>
      <c r="M158" s="232"/>
      <c r="N158" s="501"/>
      <c r="O158" s="232"/>
      <c r="T158" s="25"/>
      <c r="U158" s="232"/>
      <c r="V158" s="25"/>
      <c r="W158" s="232"/>
      <c r="X158" s="25"/>
      <c r="Y158" s="232"/>
      <c r="Z158" s="232"/>
    </row>
    <row r="159" spans="4:26" s="29" customFormat="1">
      <c r="E159" s="232"/>
      <c r="F159" s="501"/>
      <c r="G159" s="232"/>
      <c r="H159" s="501"/>
      <c r="I159" s="232"/>
      <c r="J159" s="501"/>
      <c r="K159" s="232"/>
      <c r="L159" s="501"/>
      <c r="M159" s="232"/>
      <c r="N159" s="501"/>
      <c r="O159" s="232"/>
      <c r="T159" s="25"/>
      <c r="U159" s="232"/>
      <c r="V159" s="25"/>
      <c r="W159" s="232"/>
      <c r="X159" s="25"/>
      <c r="Y159" s="232"/>
      <c r="Z159" s="232"/>
    </row>
    <row r="160" spans="4:26" s="29" customFormat="1">
      <c r="E160" s="232"/>
      <c r="F160" s="501"/>
      <c r="G160" s="232"/>
      <c r="H160" s="501"/>
      <c r="I160" s="232"/>
      <c r="J160" s="501"/>
      <c r="K160" s="232"/>
      <c r="L160" s="501"/>
      <c r="M160" s="232"/>
      <c r="N160" s="501"/>
      <c r="O160" s="232"/>
      <c r="T160" s="25"/>
      <c r="U160" s="232"/>
      <c r="V160" s="25"/>
      <c r="W160" s="232"/>
      <c r="X160" s="25"/>
      <c r="Y160" s="232"/>
      <c r="Z160" s="232"/>
    </row>
    <row r="161" spans="4:26" s="29" customFormat="1">
      <c r="E161" s="232"/>
      <c r="F161" s="501"/>
      <c r="G161" s="232"/>
      <c r="H161" s="501"/>
      <c r="I161" s="232"/>
      <c r="J161" s="501"/>
      <c r="K161" s="232"/>
      <c r="L161" s="501"/>
      <c r="M161" s="232"/>
      <c r="N161" s="501"/>
      <c r="O161" s="232"/>
      <c r="T161" s="25"/>
      <c r="U161" s="232"/>
      <c r="V161" s="25"/>
      <c r="W161" s="232"/>
      <c r="X161" s="25"/>
      <c r="Y161" s="232"/>
      <c r="Z161" s="232"/>
    </row>
    <row r="162" spans="4:26" s="29" customFormat="1">
      <c r="E162" s="232"/>
      <c r="F162" s="501"/>
      <c r="G162" s="232"/>
      <c r="H162" s="501"/>
      <c r="I162" s="232"/>
      <c r="J162" s="501"/>
      <c r="K162" s="232"/>
      <c r="L162" s="501"/>
      <c r="M162" s="232"/>
      <c r="N162" s="501"/>
      <c r="O162" s="232"/>
      <c r="T162" s="25"/>
      <c r="U162" s="232"/>
      <c r="V162" s="25"/>
      <c r="W162" s="232"/>
      <c r="X162" s="25"/>
      <c r="Y162" s="232"/>
      <c r="Z162" s="232"/>
    </row>
    <row r="163" spans="4:26" s="29" customFormat="1">
      <c r="E163" s="232"/>
      <c r="F163" s="501"/>
      <c r="G163" s="232"/>
      <c r="H163" s="501"/>
      <c r="I163" s="232"/>
      <c r="J163" s="501"/>
      <c r="K163" s="232"/>
      <c r="L163" s="501"/>
      <c r="M163" s="232"/>
      <c r="N163" s="501"/>
      <c r="O163" s="232"/>
      <c r="T163" s="25"/>
      <c r="U163" s="232"/>
      <c r="V163" s="25"/>
      <c r="W163" s="232"/>
      <c r="X163" s="25"/>
      <c r="Y163" s="232"/>
      <c r="Z163" s="232"/>
    </row>
    <row r="164" spans="4:26" s="29" customFormat="1">
      <c r="E164" s="232"/>
      <c r="F164" s="501"/>
      <c r="G164" s="232"/>
      <c r="H164" s="501"/>
      <c r="I164" s="232"/>
      <c r="J164" s="501"/>
      <c r="K164" s="232"/>
      <c r="L164" s="501"/>
      <c r="M164" s="232"/>
      <c r="N164" s="501"/>
      <c r="O164" s="232"/>
      <c r="T164" s="25"/>
      <c r="U164" s="232"/>
      <c r="V164" s="25"/>
      <c r="W164" s="232"/>
      <c r="X164" s="25"/>
      <c r="Y164" s="232"/>
      <c r="Z164" s="232"/>
    </row>
    <row r="165" spans="4:26" s="29" customFormat="1">
      <c r="D165" s="28"/>
      <c r="E165" s="232"/>
      <c r="F165" s="501"/>
      <c r="G165" s="232"/>
      <c r="H165" s="501"/>
      <c r="I165" s="232"/>
      <c r="J165" s="501"/>
      <c r="K165" s="232"/>
      <c r="L165" s="501"/>
      <c r="M165" s="232"/>
      <c r="N165" s="501"/>
      <c r="O165" s="232"/>
      <c r="T165" s="25"/>
      <c r="U165" s="232"/>
      <c r="V165" s="25"/>
      <c r="W165" s="232"/>
      <c r="X165" s="25"/>
      <c r="Y165" s="232"/>
      <c r="Z165" s="232"/>
    </row>
    <row r="166" spans="4:26" s="29" customFormat="1">
      <c r="E166" s="232"/>
      <c r="F166" s="501"/>
      <c r="G166" s="232"/>
      <c r="H166" s="501"/>
      <c r="I166" s="232"/>
      <c r="J166" s="501"/>
      <c r="K166" s="232"/>
      <c r="L166" s="501"/>
      <c r="M166" s="232"/>
      <c r="N166" s="501"/>
      <c r="O166" s="232"/>
      <c r="T166" s="25"/>
      <c r="U166" s="232"/>
      <c r="V166" s="25"/>
      <c r="W166" s="232"/>
      <c r="X166" s="25"/>
      <c r="Y166" s="232"/>
      <c r="Z166" s="232"/>
    </row>
    <row r="167" spans="4:26" s="29" customFormat="1">
      <c r="E167" s="232"/>
      <c r="F167" s="501"/>
      <c r="G167" s="232"/>
      <c r="H167" s="501"/>
      <c r="I167" s="232"/>
      <c r="J167" s="501"/>
      <c r="K167" s="232"/>
      <c r="L167" s="501"/>
      <c r="M167" s="232"/>
      <c r="N167" s="501"/>
      <c r="O167" s="232"/>
      <c r="T167" s="25"/>
      <c r="U167" s="232"/>
      <c r="V167" s="25"/>
      <c r="W167" s="232"/>
      <c r="X167" s="25"/>
      <c r="Y167" s="232"/>
      <c r="Z167" s="232"/>
    </row>
    <row r="168" spans="4:26" s="29" customFormat="1">
      <c r="E168" s="232"/>
      <c r="F168" s="501"/>
      <c r="G168" s="232"/>
      <c r="H168" s="501"/>
      <c r="I168" s="232"/>
      <c r="J168" s="501"/>
      <c r="K168" s="232"/>
      <c r="L168" s="501"/>
      <c r="M168" s="232"/>
      <c r="N168" s="501"/>
      <c r="O168" s="232"/>
      <c r="T168" s="25"/>
      <c r="U168" s="232"/>
      <c r="V168" s="25"/>
      <c r="W168" s="232"/>
      <c r="X168" s="25"/>
      <c r="Y168" s="232"/>
      <c r="Z168" s="232"/>
    </row>
    <row r="169" spans="4:26" s="29" customFormat="1">
      <c r="E169" s="232"/>
      <c r="F169" s="501"/>
      <c r="G169" s="232"/>
      <c r="H169" s="501"/>
      <c r="I169" s="232"/>
      <c r="J169" s="501"/>
      <c r="K169" s="232"/>
      <c r="L169" s="501"/>
      <c r="M169" s="232"/>
      <c r="N169" s="501"/>
      <c r="O169" s="232"/>
      <c r="T169" s="25"/>
      <c r="U169" s="232"/>
      <c r="V169" s="25"/>
      <c r="W169" s="232"/>
      <c r="X169" s="25"/>
      <c r="Y169" s="232"/>
      <c r="Z169" s="232"/>
    </row>
    <row r="170" spans="4:26" s="29" customFormat="1">
      <c r="E170" s="232"/>
      <c r="F170" s="501"/>
      <c r="G170" s="232"/>
      <c r="H170" s="501"/>
      <c r="I170" s="232"/>
      <c r="J170" s="501"/>
      <c r="K170" s="232"/>
      <c r="L170" s="501"/>
      <c r="M170" s="232"/>
      <c r="N170" s="501"/>
      <c r="O170" s="232"/>
      <c r="T170" s="25"/>
      <c r="U170" s="232"/>
      <c r="V170" s="25"/>
      <c r="W170" s="232"/>
      <c r="X170" s="25"/>
      <c r="Y170" s="232"/>
      <c r="Z170" s="232"/>
    </row>
    <row r="171" spans="4:26" s="29" customFormat="1">
      <c r="E171" s="232"/>
      <c r="F171" s="501"/>
      <c r="G171" s="232"/>
      <c r="H171" s="501"/>
      <c r="I171" s="232"/>
      <c r="J171" s="501"/>
      <c r="K171" s="232"/>
      <c r="L171" s="501"/>
      <c r="M171" s="232"/>
      <c r="N171" s="501"/>
      <c r="O171" s="232"/>
      <c r="T171" s="25"/>
      <c r="U171" s="232"/>
      <c r="V171" s="25"/>
      <c r="W171" s="232"/>
      <c r="X171" s="25"/>
      <c r="Y171" s="232"/>
      <c r="Z171" s="232"/>
    </row>
    <row r="172" spans="4:26" s="29" customFormat="1">
      <c r="E172" s="232"/>
      <c r="F172" s="501"/>
      <c r="G172" s="232"/>
      <c r="H172" s="501"/>
      <c r="I172" s="232"/>
      <c r="J172" s="501"/>
      <c r="K172" s="232"/>
      <c r="L172" s="501"/>
      <c r="M172" s="232"/>
      <c r="N172" s="501"/>
      <c r="O172" s="232"/>
      <c r="T172" s="25"/>
      <c r="U172" s="232"/>
      <c r="V172" s="25"/>
      <c r="W172" s="232"/>
      <c r="X172" s="25"/>
      <c r="Y172" s="232"/>
      <c r="Z172" s="232"/>
    </row>
    <row r="173" spans="4:26" s="29" customFormat="1">
      <c r="D173" s="28"/>
      <c r="E173" s="232"/>
      <c r="F173" s="501"/>
      <c r="G173" s="232"/>
      <c r="H173" s="501"/>
      <c r="I173" s="232"/>
      <c r="J173" s="501"/>
      <c r="K173" s="232"/>
      <c r="L173" s="501"/>
      <c r="M173" s="232"/>
      <c r="N173" s="501"/>
      <c r="O173" s="232"/>
      <c r="T173" s="25"/>
      <c r="U173" s="232"/>
      <c r="V173" s="25"/>
      <c r="W173" s="232"/>
      <c r="X173" s="25"/>
      <c r="Y173" s="232"/>
      <c r="Z173" s="232"/>
    </row>
    <row r="174" spans="4:26" s="29" customFormat="1">
      <c r="E174" s="232"/>
      <c r="F174" s="501"/>
      <c r="G174" s="232"/>
      <c r="H174" s="501"/>
      <c r="I174" s="232"/>
      <c r="J174" s="501"/>
      <c r="K174" s="232"/>
      <c r="L174" s="501"/>
      <c r="M174" s="232"/>
      <c r="N174" s="501"/>
      <c r="O174" s="232"/>
      <c r="T174" s="25"/>
      <c r="U174" s="232"/>
      <c r="V174" s="25"/>
      <c r="W174" s="232"/>
      <c r="X174" s="25"/>
      <c r="Y174" s="232"/>
      <c r="Z174" s="232"/>
    </row>
    <row r="175" spans="4:26" s="29" customFormat="1">
      <c r="E175" s="232"/>
      <c r="F175" s="501"/>
      <c r="G175" s="232"/>
      <c r="H175" s="501"/>
      <c r="I175" s="232"/>
      <c r="J175" s="501"/>
      <c r="K175" s="232"/>
      <c r="L175" s="501"/>
      <c r="M175" s="232"/>
      <c r="N175" s="501"/>
      <c r="O175" s="232"/>
      <c r="T175" s="25"/>
      <c r="U175" s="232"/>
      <c r="V175" s="25"/>
      <c r="W175" s="232"/>
      <c r="X175" s="25"/>
      <c r="Y175" s="232"/>
      <c r="Z175" s="232"/>
    </row>
    <row r="176" spans="4:26" s="29" customFormat="1">
      <c r="E176" s="232"/>
      <c r="F176" s="501"/>
      <c r="G176" s="232"/>
      <c r="H176" s="501"/>
      <c r="I176" s="232"/>
      <c r="J176" s="501"/>
      <c r="K176" s="232"/>
      <c r="L176" s="501"/>
      <c r="M176" s="232"/>
      <c r="N176" s="501"/>
      <c r="O176" s="232"/>
      <c r="P176" s="30"/>
      <c r="T176" s="25"/>
      <c r="U176" s="232"/>
      <c r="V176" s="25"/>
      <c r="W176" s="232"/>
      <c r="X176" s="25"/>
      <c r="Y176" s="232"/>
      <c r="Z176" s="232"/>
    </row>
    <row r="177" spans="4:26" s="29" customFormat="1">
      <c r="E177" s="232"/>
      <c r="F177" s="501"/>
      <c r="G177" s="232"/>
      <c r="H177" s="501"/>
      <c r="I177" s="232"/>
      <c r="J177" s="501"/>
      <c r="K177" s="232"/>
      <c r="L177" s="501"/>
      <c r="M177" s="232"/>
      <c r="N177" s="501"/>
      <c r="O177" s="232"/>
      <c r="P177" s="30"/>
      <c r="T177" s="25"/>
      <c r="U177" s="232"/>
      <c r="V177" s="25"/>
      <c r="W177" s="232"/>
      <c r="X177" s="25"/>
      <c r="Y177" s="232"/>
      <c r="Z177" s="232"/>
    </row>
    <row r="178" spans="4:26" s="29" customFormat="1">
      <c r="E178" s="232"/>
      <c r="F178" s="501"/>
      <c r="G178" s="232"/>
      <c r="H178" s="501"/>
      <c r="I178" s="232"/>
      <c r="J178" s="501"/>
      <c r="K178" s="232"/>
      <c r="L178" s="501"/>
      <c r="M178" s="232"/>
      <c r="N178" s="501"/>
      <c r="O178" s="232"/>
      <c r="P178" s="30"/>
      <c r="T178" s="25"/>
      <c r="U178" s="232"/>
      <c r="V178" s="25"/>
      <c r="W178" s="232"/>
      <c r="X178" s="25"/>
      <c r="Y178" s="232"/>
      <c r="Z178" s="232"/>
    </row>
    <row r="179" spans="4:26" s="29" customFormat="1">
      <c r="E179" s="232"/>
      <c r="F179" s="501"/>
      <c r="G179" s="232"/>
      <c r="H179" s="501"/>
      <c r="I179" s="232"/>
      <c r="J179" s="501"/>
      <c r="K179" s="232"/>
      <c r="L179" s="501"/>
      <c r="M179" s="232"/>
      <c r="N179" s="501"/>
      <c r="O179" s="232"/>
      <c r="P179" s="30"/>
      <c r="T179" s="25"/>
      <c r="U179" s="232"/>
      <c r="V179" s="25"/>
      <c r="W179" s="232"/>
      <c r="X179" s="25"/>
      <c r="Y179" s="232"/>
      <c r="Z179" s="232"/>
    </row>
    <row r="180" spans="4:26" s="29" customFormat="1">
      <c r="E180" s="232"/>
      <c r="F180" s="501"/>
      <c r="G180" s="232"/>
      <c r="H180" s="501"/>
      <c r="I180" s="232"/>
      <c r="J180" s="501"/>
      <c r="K180" s="232"/>
      <c r="L180" s="501"/>
      <c r="M180" s="232"/>
      <c r="N180" s="501"/>
      <c r="O180" s="232"/>
      <c r="T180" s="25"/>
      <c r="U180" s="232"/>
      <c r="V180" s="25"/>
      <c r="W180" s="232"/>
      <c r="X180" s="25"/>
      <c r="Y180" s="232"/>
      <c r="Z180" s="232"/>
    </row>
    <row r="181" spans="4:26" s="29" customFormat="1">
      <c r="E181" s="232"/>
      <c r="F181" s="501"/>
      <c r="G181" s="232"/>
      <c r="H181" s="501"/>
      <c r="I181" s="232"/>
      <c r="J181" s="501"/>
      <c r="K181" s="232"/>
      <c r="L181" s="501"/>
      <c r="M181" s="232"/>
      <c r="N181" s="501"/>
      <c r="O181" s="232"/>
      <c r="T181" s="25"/>
      <c r="U181" s="232"/>
      <c r="V181" s="25"/>
      <c r="W181" s="232"/>
      <c r="X181" s="25"/>
      <c r="Y181" s="232"/>
      <c r="Z181" s="232"/>
    </row>
    <row r="182" spans="4:26" s="29" customFormat="1">
      <c r="E182" s="232"/>
      <c r="F182" s="501"/>
      <c r="G182" s="232"/>
      <c r="H182" s="501"/>
      <c r="I182" s="232"/>
      <c r="J182" s="501"/>
      <c r="K182" s="232"/>
      <c r="L182" s="501"/>
      <c r="M182" s="232"/>
      <c r="N182" s="501"/>
      <c r="O182" s="232"/>
      <c r="T182" s="25"/>
      <c r="U182" s="232"/>
      <c r="V182" s="25"/>
      <c r="W182" s="232"/>
      <c r="X182" s="25"/>
      <c r="Y182" s="232"/>
      <c r="Z182" s="232"/>
    </row>
    <row r="183" spans="4:26" s="29" customFormat="1">
      <c r="D183" s="28"/>
      <c r="E183" s="232"/>
      <c r="F183" s="501"/>
      <c r="G183" s="232"/>
      <c r="H183" s="501"/>
      <c r="I183" s="232"/>
      <c r="J183" s="501"/>
      <c r="K183" s="232"/>
      <c r="L183" s="501"/>
      <c r="M183" s="232"/>
      <c r="N183" s="501"/>
      <c r="O183" s="232"/>
      <c r="T183" s="25"/>
      <c r="U183" s="232"/>
      <c r="V183" s="25"/>
      <c r="W183" s="232"/>
      <c r="X183" s="25"/>
      <c r="Y183" s="232"/>
      <c r="Z183" s="232"/>
    </row>
    <row r="184" spans="4:26">
      <c r="D184" s="29"/>
      <c r="E184" s="232"/>
      <c r="F184" s="501"/>
      <c r="G184" s="232"/>
      <c r="H184" s="501"/>
      <c r="I184" s="232"/>
      <c r="J184" s="501"/>
      <c r="K184" s="232"/>
      <c r="L184" s="501"/>
      <c r="M184" s="232"/>
      <c r="N184" s="501"/>
      <c r="O184" s="232"/>
      <c r="P184" s="29"/>
      <c r="Q184" s="29"/>
      <c r="R184" s="29"/>
      <c r="S184" s="29"/>
      <c r="T184" s="25"/>
      <c r="U184" s="232"/>
      <c r="V184" s="25"/>
      <c r="W184" s="232"/>
      <c r="X184" s="25"/>
      <c r="Y184" s="232"/>
      <c r="Z184" s="232"/>
    </row>
    <row r="185" spans="4:26">
      <c r="D185" s="29"/>
      <c r="E185" s="232"/>
      <c r="F185" s="501"/>
      <c r="G185" s="232"/>
      <c r="H185" s="501"/>
      <c r="I185" s="232"/>
      <c r="J185" s="501"/>
      <c r="K185" s="232"/>
      <c r="L185" s="501"/>
      <c r="M185" s="232"/>
      <c r="N185" s="501"/>
      <c r="O185" s="232"/>
      <c r="P185" s="29"/>
      <c r="Q185" s="29"/>
      <c r="R185" s="29"/>
      <c r="S185" s="29"/>
      <c r="T185" s="25"/>
      <c r="U185" s="232"/>
      <c r="V185" s="25"/>
      <c r="W185" s="232"/>
      <c r="X185" s="25"/>
      <c r="Y185" s="232"/>
      <c r="Z185" s="232"/>
    </row>
    <row r="186" spans="4:26">
      <c r="D186" s="28"/>
      <c r="E186" s="232"/>
      <c r="F186" s="501"/>
      <c r="G186" s="232"/>
      <c r="H186" s="501"/>
      <c r="I186" s="232"/>
      <c r="J186" s="501"/>
      <c r="K186" s="232"/>
      <c r="L186" s="501"/>
      <c r="M186" s="232"/>
      <c r="N186" s="501"/>
      <c r="O186" s="232"/>
      <c r="P186" s="29"/>
      <c r="Q186" s="29"/>
      <c r="R186" s="29"/>
      <c r="S186" s="29"/>
      <c r="T186" s="25"/>
      <c r="U186" s="232"/>
      <c r="V186" s="25"/>
      <c r="W186" s="232"/>
      <c r="X186" s="25"/>
      <c r="Y186" s="232"/>
      <c r="Z186" s="232"/>
    </row>
    <row r="187" spans="4:26">
      <c r="F187" s="502"/>
      <c r="H187" s="502"/>
      <c r="J187" s="502"/>
      <c r="L187" s="502"/>
      <c r="N187" s="502"/>
      <c r="T187" s="27"/>
      <c r="V187" s="27"/>
      <c r="X187" s="27"/>
    </row>
    <row r="188" spans="4:26">
      <c r="F188" s="502"/>
      <c r="H188" s="502"/>
      <c r="J188" s="502"/>
      <c r="L188" s="502"/>
      <c r="N188" s="502"/>
      <c r="T188" s="27"/>
      <c r="V188" s="27"/>
      <c r="X188" s="27"/>
    </row>
    <row r="189" spans="4:26">
      <c r="D189" s="498" t="s">
        <v>0</v>
      </c>
      <c r="E189" s="498"/>
      <c r="F189" s="498"/>
      <c r="G189" s="498"/>
      <c r="H189" s="498"/>
      <c r="I189" s="498"/>
      <c r="J189" s="498"/>
      <c r="K189" s="498"/>
      <c r="L189" s="498"/>
      <c r="M189" s="498"/>
      <c r="N189" s="498"/>
      <c r="O189" s="498"/>
      <c r="P189" s="498"/>
      <c r="Q189" s="498"/>
      <c r="R189" s="498"/>
      <c r="S189" s="498"/>
      <c r="T189" s="423"/>
      <c r="U189" s="423"/>
      <c r="V189" s="423"/>
      <c r="W189" s="423"/>
      <c r="X189" s="423"/>
      <c r="Y189" s="423"/>
      <c r="Z189" s="423"/>
    </row>
    <row r="190" spans="4:26">
      <c r="D190" s="498" t="s">
        <v>100</v>
      </c>
      <c r="E190" s="498"/>
      <c r="F190" s="498"/>
      <c r="G190" s="498"/>
      <c r="H190" s="498"/>
      <c r="I190" s="498"/>
      <c r="J190" s="498"/>
      <c r="K190" s="498"/>
      <c r="L190" s="498"/>
      <c r="M190" s="498"/>
      <c r="N190" s="498"/>
      <c r="O190" s="498"/>
      <c r="P190" s="498"/>
      <c r="Q190" s="498"/>
      <c r="R190" s="498"/>
      <c r="S190" s="498"/>
      <c r="T190" s="423"/>
      <c r="U190" s="423"/>
      <c r="V190" s="423"/>
      <c r="W190" s="423"/>
      <c r="X190" s="423"/>
      <c r="Y190" s="423"/>
      <c r="Z190" s="423"/>
    </row>
    <row r="191" spans="4:26">
      <c r="D191" s="499" t="s">
        <v>2482</v>
      </c>
      <c r="E191" s="500"/>
      <c r="F191" s="500"/>
      <c r="G191" s="500"/>
      <c r="H191" s="500"/>
      <c r="I191" s="500"/>
      <c r="J191" s="500"/>
      <c r="K191" s="500"/>
      <c r="L191" s="500"/>
      <c r="M191" s="500"/>
      <c r="N191" s="500"/>
      <c r="O191" s="500"/>
      <c r="P191" s="500"/>
      <c r="Q191" s="500"/>
      <c r="R191" s="500"/>
      <c r="S191" s="500"/>
      <c r="T191" s="424"/>
      <c r="U191" s="424"/>
      <c r="V191" s="424"/>
      <c r="W191" s="424"/>
      <c r="X191" s="424"/>
      <c r="Y191" s="424"/>
      <c r="Z191" s="424"/>
    </row>
    <row r="192" spans="4:26">
      <c r="D192" s="3"/>
      <c r="E192" s="3"/>
      <c r="F192" s="3"/>
      <c r="G192" s="3"/>
      <c r="H192" s="3"/>
      <c r="I192" s="3"/>
      <c r="J192" s="3"/>
      <c r="K192" s="3"/>
      <c r="L192" s="3"/>
      <c r="M192" s="3"/>
      <c r="N192" s="3"/>
      <c r="O192" s="3"/>
      <c r="P192" s="31"/>
      <c r="Q192" s="31"/>
      <c r="R192" s="31"/>
      <c r="S192" s="31"/>
      <c r="T192" s="3"/>
      <c r="U192" s="3"/>
      <c r="V192" s="3"/>
      <c r="W192" s="3"/>
      <c r="X192" s="3"/>
      <c r="Y192" s="32" t="s">
        <v>1717</v>
      </c>
      <c r="Z192" s="32"/>
    </row>
    <row r="193" spans="1:26" ht="15">
      <c r="D193" s="3"/>
      <c r="E193" s="32" t="s">
        <v>2483</v>
      </c>
      <c r="F193" s="32"/>
      <c r="G193" s="32"/>
      <c r="H193" s="32"/>
      <c r="I193" s="32"/>
      <c r="J193" s="32"/>
      <c r="K193" s="32"/>
      <c r="L193" s="32"/>
      <c r="M193" s="32"/>
      <c r="N193" s="32"/>
      <c r="O193" s="32" t="s">
        <v>2484</v>
      </c>
      <c r="P193" s="34"/>
      <c r="Q193" s="34"/>
      <c r="R193" s="34"/>
      <c r="S193" s="34"/>
      <c r="T193" s="32"/>
      <c r="U193" s="32"/>
      <c r="V193" s="32"/>
      <c r="W193" s="32"/>
      <c r="X193" s="32"/>
      <c r="Y193" s="32" t="s">
        <v>2484</v>
      </c>
      <c r="Z193" s="4"/>
    </row>
    <row r="194" spans="1:26">
      <c r="D194" s="31"/>
      <c r="E194" s="33" t="s">
        <v>2</v>
      </c>
      <c r="F194" s="31"/>
      <c r="G194" s="26"/>
      <c r="H194" s="31"/>
      <c r="I194" s="26"/>
      <c r="J194" s="31"/>
      <c r="K194" s="33" t="s">
        <v>3</v>
      </c>
      <c r="L194" s="31"/>
      <c r="M194" s="26"/>
      <c r="N194" s="31"/>
      <c r="O194" s="33" t="s">
        <v>4</v>
      </c>
      <c r="P194" s="31"/>
      <c r="Q194" s="31"/>
      <c r="R194" s="31"/>
      <c r="S194" s="34" t="s">
        <v>5</v>
      </c>
      <c r="T194" s="31"/>
      <c r="U194" s="231" t="s">
        <v>1204</v>
      </c>
      <c r="V194" s="5"/>
      <c r="W194" s="231" t="s">
        <v>11</v>
      </c>
      <c r="X194" s="5"/>
      <c r="Y194" s="6" t="s">
        <v>4</v>
      </c>
      <c r="Z194" s="6"/>
    </row>
    <row r="195" spans="1:26">
      <c r="D195" s="5"/>
      <c r="E195" s="35" t="s">
        <v>6</v>
      </c>
      <c r="F195" s="31"/>
      <c r="G195" s="35" t="s">
        <v>7</v>
      </c>
      <c r="H195" s="31"/>
      <c r="I195" s="35" t="s">
        <v>8</v>
      </c>
      <c r="J195" s="31"/>
      <c r="K195" s="35" t="s">
        <v>9</v>
      </c>
      <c r="L195" s="31"/>
      <c r="M195" s="35" t="s">
        <v>10</v>
      </c>
      <c r="N195" s="31"/>
      <c r="O195" s="35" t="s">
        <v>6</v>
      </c>
      <c r="P195" s="5"/>
      <c r="Q195" s="35" t="s">
        <v>11</v>
      </c>
      <c r="R195" s="5"/>
      <c r="S195" s="35" t="s">
        <v>12</v>
      </c>
      <c r="T195" s="31"/>
      <c r="U195" s="10" t="s">
        <v>1205</v>
      </c>
      <c r="V195" s="5"/>
      <c r="W195" s="10" t="s">
        <v>2187</v>
      </c>
      <c r="X195" s="5"/>
      <c r="Y195" s="10" t="s">
        <v>6</v>
      </c>
      <c r="Z195" s="10" t="s">
        <v>13</v>
      </c>
    </row>
    <row r="196" spans="1:26">
      <c r="D196" s="8" t="s">
        <v>14</v>
      </c>
      <c r="E196" s="36"/>
      <c r="F196" s="31"/>
      <c r="G196" s="36"/>
      <c r="H196" s="31"/>
      <c r="I196" s="36"/>
      <c r="J196" s="31"/>
      <c r="K196" s="36"/>
      <c r="L196" s="31"/>
      <c r="M196" s="36"/>
      <c r="N196" s="31"/>
      <c r="O196" s="36"/>
      <c r="P196" s="5"/>
      <c r="Q196" s="5"/>
      <c r="R196" s="5"/>
      <c r="S196" s="5"/>
      <c r="T196" s="31"/>
      <c r="U196" s="36"/>
      <c r="V196" s="31"/>
      <c r="W196" s="36"/>
      <c r="X196" s="31"/>
      <c r="Y196" s="36"/>
      <c r="Z196" s="36"/>
    </row>
    <row r="197" spans="1:26">
      <c r="D197" s="34" t="s">
        <v>15</v>
      </c>
      <c r="E197" s="26"/>
      <c r="F197" s="31"/>
      <c r="G197" s="26"/>
      <c r="H197" s="31"/>
      <c r="I197" s="26"/>
      <c r="J197" s="31"/>
      <c r="K197" s="26"/>
      <c r="L197" s="31"/>
      <c r="M197" s="26"/>
      <c r="N197" s="31"/>
      <c r="O197" s="26"/>
      <c r="P197" s="5"/>
      <c r="Q197" s="5"/>
      <c r="R197" s="5"/>
      <c r="S197" s="5"/>
      <c r="T197" s="31"/>
      <c r="U197" s="26"/>
      <c r="V197" s="31"/>
      <c r="W197" s="26"/>
      <c r="X197" s="31"/>
      <c r="Y197" s="26"/>
      <c r="Z197" s="26"/>
    </row>
    <row r="198" spans="1:26">
      <c r="D198" s="34" t="s">
        <v>3423</v>
      </c>
      <c r="E198" s="26"/>
      <c r="F198" s="37"/>
      <c r="G198" s="26"/>
      <c r="H198" s="37"/>
      <c r="I198" s="26"/>
      <c r="J198" s="37"/>
      <c r="K198" s="26"/>
      <c r="L198" s="37"/>
      <c r="M198" s="26"/>
      <c r="N198" s="37"/>
      <c r="O198" s="26"/>
      <c r="P198" s="37"/>
      <c r="Q198" s="31"/>
      <c r="R198" s="31"/>
      <c r="S198" s="31"/>
      <c r="T198" s="37"/>
      <c r="U198" s="26"/>
      <c r="V198" s="37"/>
      <c r="W198" s="26"/>
      <c r="X198" s="37"/>
      <c r="Y198" s="26"/>
      <c r="Z198" s="26"/>
    </row>
    <row r="199" spans="1:26">
      <c r="A199" s="2" t="s">
        <v>101</v>
      </c>
      <c r="B199" s="2" t="s">
        <v>3416</v>
      </c>
      <c r="C199" s="2" t="str">
        <f t="shared" ref="C199:C209" si="11">MID(D199,2,3)</f>
        <v>360</v>
      </c>
      <c r="D199" s="31" t="s">
        <v>102</v>
      </c>
      <c r="E199" s="26">
        <v>193250.44</v>
      </c>
      <c r="F199" s="37"/>
      <c r="G199" s="26">
        <v>120033.75</v>
      </c>
      <c r="H199" s="37"/>
      <c r="I199" s="26">
        <v>0</v>
      </c>
      <c r="J199" s="37"/>
      <c r="K199" s="26">
        <v>0</v>
      </c>
      <c r="L199" s="37"/>
      <c r="M199" s="26">
        <v>120033.75</v>
      </c>
      <c r="N199" s="37"/>
      <c r="O199" s="26">
        <v>313284.19</v>
      </c>
      <c r="P199" s="37"/>
      <c r="Q199" s="38">
        <v>-69671.48</v>
      </c>
      <c r="R199" s="31"/>
      <c r="S199" s="38">
        <v>243612.71000000002</v>
      </c>
      <c r="T199" s="37"/>
      <c r="U199" s="17">
        <v>8.1329982289013782E-7</v>
      </c>
      <c r="V199" s="18"/>
      <c r="W199" s="17">
        <v>-69671.479999186689</v>
      </c>
      <c r="X199" s="18"/>
      <c r="Y199" s="17">
        <v>313284.18999999901</v>
      </c>
      <c r="Z199" s="17">
        <v>-9.8953023552894592E-10</v>
      </c>
    </row>
    <row r="200" spans="1:26">
      <c r="A200" s="2" t="s">
        <v>101</v>
      </c>
      <c r="B200" s="2" t="s">
        <v>3416</v>
      </c>
      <c r="D200" s="31" t="s">
        <v>18</v>
      </c>
      <c r="E200" s="26">
        <v>0</v>
      </c>
      <c r="F200" s="37"/>
      <c r="G200" s="26">
        <v>0</v>
      </c>
      <c r="H200" s="37"/>
      <c r="I200" s="26">
        <v>0</v>
      </c>
      <c r="J200" s="37"/>
      <c r="K200" s="26">
        <v>0</v>
      </c>
      <c r="L200" s="37"/>
      <c r="M200" s="26">
        <v>0</v>
      </c>
      <c r="N200" s="37"/>
      <c r="O200" s="26">
        <v>0</v>
      </c>
      <c r="P200" s="37"/>
      <c r="Q200" s="38">
        <v>0</v>
      </c>
      <c r="R200" s="31"/>
      <c r="S200" s="38">
        <v>0</v>
      </c>
      <c r="T200" s="37"/>
      <c r="U200" s="26">
        <v>0</v>
      </c>
      <c r="V200" s="37"/>
      <c r="W200" s="26">
        <v>0</v>
      </c>
      <c r="X200" s="37"/>
      <c r="Y200" s="26">
        <v>0</v>
      </c>
      <c r="Z200" s="26">
        <v>0</v>
      </c>
    </row>
    <row r="201" spans="1:26">
      <c r="A201" s="2" t="s">
        <v>101</v>
      </c>
      <c r="B201" s="2" t="s">
        <v>3416</v>
      </c>
      <c r="C201" s="2" t="str">
        <f t="shared" si="11"/>
        <v>361</v>
      </c>
      <c r="D201" s="31" t="s">
        <v>19</v>
      </c>
      <c r="E201" s="26">
        <v>570187.38</v>
      </c>
      <c r="F201" s="37"/>
      <c r="G201" s="26">
        <v>197406.64317</v>
      </c>
      <c r="H201" s="37"/>
      <c r="I201" s="26">
        <v>0</v>
      </c>
      <c r="J201" s="37"/>
      <c r="K201" s="26">
        <v>0</v>
      </c>
      <c r="L201" s="37"/>
      <c r="M201" s="26">
        <v>197406.64317</v>
      </c>
      <c r="N201" s="37"/>
      <c r="O201" s="26">
        <v>767594.02316999994</v>
      </c>
      <c r="P201" s="37"/>
      <c r="Q201" s="38">
        <v>-146890.75</v>
      </c>
      <c r="R201" s="31"/>
      <c r="S201" s="38">
        <v>620703.27316999994</v>
      </c>
      <c r="T201" s="37"/>
      <c r="U201" s="26">
        <v>1.3375470476220032E-6</v>
      </c>
      <c r="V201" s="37"/>
      <c r="W201" s="26">
        <v>-146890.74999866245</v>
      </c>
      <c r="X201" s="37"/>
      <c r="Y201" s="26">
        <v>767594.02317000006</v>
      </c>
      <c r="Z201" s="26">
        <v>0</v>
      </c>
    </row>
    <row r="202" spans="1:26" s="9" customFormat="1">
      <c r="A202" s="2" t="s">
        <v>101</v>
      </c>
      <c r="B202" s="2" t="s">
        <v>3416</v>
      </c>
      <c r="C202" s="2" t="str">
        <f t="shared" si="11"/>
        <v>362</v>
      </c>
      <c r="D202" s="31" t="s">
        <v>20</v>
      </c>
      <c r="E202" s="26">
        <v>8381485.290000001</v>
      </c>
      <c r="F202" s="37"/>
      <c r="G202" s="26">
        <v>149519.24</v>
      </c>
      <c r="H202" s="37"/>
      <c r="I202" s="26">
        <v>-17772.599999999897</v>
      </c>
      <c r="J202" s="37"/>
      <c r="K202" s="26">
        <v>0</v>
      </c>
      <c r="L202" s="37"/>
      <c r="M202" s="26">
        <v>131746.6400000001</v>
      </c>
      <c r="N202" s="37"/>
      <c r="O202" s="26">
        <v>8513231.9300000016</v>
      </c>
      <c r="P202" s="37"/>
      <c r="Q202" s="38">
        <v>-3310982.8499999898</v>
      </c>
      <c r="R202" s="31"/>
      <c r="S202" s="38">
        <v>5202249.0800000113</v>
      </c>
      <c r="T202" s="37"/>
      <c r="U202" s="26">
        <v>1.0130814992505691E-6</v>
      </c>
      <c r="V202" s="37"/>
      <c r="W202" s="26">
        <v>-3310982.8499989766</v>
      </c>
      <c r="X202" s="37"/>
      <c r="Y202" s="26">
        <v>8513231.9299999997</v>
      </c>
      <c r="Z202" s="26">
        <v>0</v>
      </c>
    </row>
    <row r="203" spans="1:26">
      <c r="A203" s="2" t="s">
        <v>101</v>
      </c>
      <c r="B203" s="2" t="s">
        <v>3416</v>
      </c>
      <c r="C203" s="2" t="str">
        <f t="shared" si="11"/>
        <v>364</v>
      </c>
      <c r="D203" s="31" t="s">
        <v>21</v>
      </c>
      <c r="E203" s="26">
        <v>29011087.989999998</v>
      </c>
      <c r="F203" s="37"/>
      <c r="G203" s="26">
        <v>1485379.2934530987</v>
      </c>
      <c r="H203" s="37"/>
      <c r="I203" s="26">
        <v>-91579.72</v>
      </c>
      <c r="J203" s="37"/>
      <c r="K203" s="26">
        <v>0</v>
      </c>
      <c r="L203" s="37"/>
      <c r="M203" s="26">
        <v>1393799.5734530988</v>
      </c>
      <c r="N203" s="37"/>
      <c r="O203" s="26">
        <v>30404887.563453097</v>
      </c>
      <c r="P203" s="37"/>
      <c r="Q203" s="38">
        <v>-13111448.359668</v>
      </c>
      <c r="R203" s="31"/>
      <c r="S203" s="38">
        <v>17293439.203785099</v>
      </c>
      <c r="T203" s="37"/>
      <c r="U203" s="26">
        <v>1.0064325377571585E-5</v>
      </c>
      <c r="V203" s="37"/>
      <c r="W203" s="26">
        <v>-13111448.359657936</v>
      </c>
      <c r="X203" s="37"/>
      <c r="Y203" s="26">
        <v>30404887.563453101</v>
      </c>
      <c r="Z203" s="26">
        <v>0</v>
      </c>
    </row>
    <row r="204" spans="1:26">
      <c r="A204" s="2" t="s">
        <v>101</v>
      </c>
      <c r="B204" s="2" t="s">
        <v>3416</v>
      </c>
      <c r="C204" s="2" t="str">
        <f t="shared" si="11"/>
        <v>365</v>
      </c>
      <c r="D204" s="31" t="s">
        <v>22</v>
      </c>
      <c r="E204" s="26">
        <v>25545123.390000001</v>
      </c>
      <c r="F204" s="37"/>
      <c r="G204" s="26">
        <v>2736005.4882059996</v>
      </c>
      <c r="H204" s="37"/>
      <c r="I204" s="26">
        <v>-307278.89999999892</v>
      </c>
      <c r="J204" s="37"/>
      <c r="K204" s="26">
        <v>0</v>
      </c>
      <c r="L204" s="37"/>
      <c r="M204" s="26">
        <v>2428726.5882060006</v>
      </c>
      <c r="N204" s="37"/>
      <c r="O204" s="26">
        <v>27973849.978206001</v>
      </c>
      <c r="P204" s="37"/>
      <c r="Q204" s="38">
        <v>-8629914.4182661008</v>
      </c>
      <c r="R204" s="31"/>
      <c r="S204" s="38">
        <v>19343935.559939899</v>
      </c>
      <c r="T204" s="37"/>
      <c r="U204" s="26">
        <v>1.8538059329016917E-5</v>
      </c>
      <c r="V204" s="37"/>
      <c r="W204" s="26">
        <v>-8629914.4182475619</v>
      </c>
      <c r="X204" s="37"/>
      <c r="Y204" s="26">
        <v>27973849.978205997</v>
      </c>
      <c r="Z204" s="26">
        <v>0</v>
      </c>
    </row>
    <row r="205" spans="1:26">
      <c r="A205" s="2" t="s">
        <v>101</v>
      </c>
      <c r="B205" s="2" t="s">
        <v>3416</v>
      </c>
      <c r="C205" s="2" t="str">
        <f t="shared" si="11"/>
        <v>366</v>
      </c>
      <c r="D205" s="5" t="s">
        <v>23</v>
      </c>
      <c r="E205" s="7">
        <v>0</v>
      </c>
      <c r="F205" s="39"/>
      <c r="G205" s="7">
        <v>0</v>
      </c>
      <c r="H205" s="39"/>
      <c r="I205" s="7">
        <v>0</v>
      </c>
      <c r="J205" s="39"/>
      <c r="K205" s="7">
        <v>0</v>
      </c>
      <c r="L205" s="39"/>
      <c r="M205" s="7">
        <v>0</v>
      </c>
      <c r="N205" s="39"/>
      <c r="O205" s="7">
        <v>0</v>
      </c>
      <c r="P205" s="39"/>
      <c r="Q205" s="13">
        <v>0</v>
      </c>
      <c r="R205" s="5"/>
      <c r="S205" s="13">
        <v>0</v>
      </c>
      <c r="T205" s="39"/>
      <c r="U205" s="7">
        <v>0</v>
      </c>
      <c r="V205" s="39"/>
      <c r="W205" s="7">
        <v>0</v>
      </c>
      <c r="X205" s="39"/>
      <c r="Y205" s="7">
        <v>0</v>
      </c>
      <c r="Z205" s="7">
        <v>0</v>
      </c>
    </row>
    <row r="206" spans="1:26">
      <c r="A206" s="2" t="s">
        <v>101</v>
      </c>
      <c r="B206" s="2" t="s">
        <v>3416</v>
      </c>
      <c r="C206" s="2" t="str">
        <f t="shared" si="11"/>
        <v>367</v>
      </c>
      <c r="D206" s="31" t="s">
        <v>24</v>
      </c>
      <c r="E206" s="26">
        <v>4698482.3600000003</v>
      </c>
      <c r="F206" s="37"/>
      <c r="G206" s="26">
        <v>-11250.226422500135</v>
      </c>
      <c r="H206" s="37"/>
      <c r="I206" s="26">
        <v>-5048.6299999999992</v>
      </c>
      <c r="J206" s="37"/>
      <c r="K206" s="26">
        <v>0</v>
      </c>
      <c r="L206" s="37"/>
      <c r="M206" s="26">
        <v>-16298.856422500134</v>
      </c>
      <c r="N206" s="37"/>
      <c r="O206" s="26">
        <v>4682183.5035775006</v>
      </c>
      <c r="P206" s="37"/>
      <c r="Q206" s="38">
        <v>-756896.51555020001</v>
      </c>
      <c r="R206" s="31"/>
      <c r="S206" s="38">
        <v>3925286.9880273007</v>
      </c>
      <c r="T206" s="37"/>
      <c r="U206" s="26">
        <v>-7.6226954143258117E-8</v>
      </c>
      <c r="V206" s="37"/>
      <c r="W206" s="26">
        <v>-756896.51555027626</v>
      </c>
      <c r="X206" s="37"/>
      <c r="Y206" s="26">
        <v>4682183.5035775006</v>
      </c>
      <c r="Z206" s="26">
        <v>0</v>
      </c>
    </row>
    <row r="207" spans="1:26">
      <c r="A207" s="2" t="s">
        <v>101</v>
      </c>
      <c r="B207" s="2" t="s">
        <v>3416</v>
      </c>
      <c r="C207" s="2" t="str">
        <f t="shared" si="11"/>
        <v>368</v>
      </c>
      <c r="D207" s="31" t="s">
        <v>25</v>
      </c>
      <c r="E207" s="26">
        <v>11127499.6</v>
      </c>
      <c r="F207" s="37"/>
      <c r="G207" s="26">
        <v>65874.933341999989</v>
      </c>
      <c r="H207" s="37"/>
      <c r="I207" s="26">
        <v>-69655.319999999905</v>
      </c>
      <c r="J207" s="37"/>
      <c r="K207" s="26">
        <v>0</v>
      </c>
      <c r="L207" s="37"/>
      <c r="M207" s="26">
        <v>-3780.3866579999158</v>
      </c>
      <c r="N207" s="37"/>
      <c r="O207" s="26">
        <v>11123719.213342</v>
      </c>
      <c r="P207" s="37"/>
      <c r="Q207" s="38">
        <v>-5530311.5308379903</v>
      </c>
      <c r="R207" s="31"/>
      <c r="S207" s="38">
        <v>5593407.6825040095</v>
      </c>
      <c r="T207" s="37"/>
      <c r="U207" s="26">
        <v>4.4634172988803753E-7</v>
      </c>
      <c r="V207" s="37"/>
      <c r="W207" s="26">
        <v>-5530311.5308375442</v>
      </c>
      <c r="X207" s="37"/>
      <c r="Y207" s="26">
        <v>11123719.213342</v>
      </c>
      <c r="Z207" s="26">
        <v>0</v>
      </c>
    </row>
    <row r="208" spans="1:26">
      <c r="A208" s="2" t="s">
        <v>101</v>
      </c>
      <c r="B208" s="2" t="s">
        <v>3416</v>
      </c>
      <c r="C208" s="2" t="str">
        <f t="shared" si="11"/>
        <v>369</v>
      </c>
      <c r="D208" s="31" t="s">
        <v>26</v>
      </c>
      <c r="E208" s="26">
        <v>5852947.5300000003</v>
      </c>
      <c r="F208" s="37"/>
      <c r="G208" s="26">
        <v>0</v>
      </c>
      <c r="H208" s="37"/>
      <c r="I208" s="26">
        <v>0</v>
      </c>
      <c r="J208" s="37"/>
      <c r="K208" s="26">
        <v>0</v>
      </c>
      <c r="L208" s="37"/>
      <c r="M208" s="26">
        <v>0</v>
      </c>
      <c r="N208" s="37"/>
      <c r="O208" s="26">
        <v>5852947.5300000003</v>
      </c>
      <c r="P208" s="37"/>
      <c r="Q208" s="38">
        <v>-4360557.8600000003</v>
      </c>
      <c r="R208" s="31"/>
      <c r="S208" s="38">
        <v>1492389.67</v>
      </c>
      <c r="T208" s="37"/>
      <c r="U208" s="26">
        <v>0</v>
      </c>
      <c r="V208" s="37"/>
      <c r="W208" s="26">
        <v>-4360557.8600000003</v>
      </c>
      <c r="X208" s="37"/>
      <c r="Y208" s="26">
        <v>5852947.5300000003</v>
      </c>
      <c r="Z208" s="26">
        <v>0</v>
      </c>
    </row>
    <row r="209" spans="1:26">
      <c r="A209" s="2" t="s">
        <v>101</v>
      </c>
      <c r="B209" s="2" t="s">
        <v>3416</v>
      </c>
      <c r="C209" s="2" t="str">
        <f t="shared" si="11"/>
        <v>370</v>
      </c>
      <c r="D209" s="31" t="s">
        <v>27</v>
      </c>
      <c r="E209" s="26">
        <v>3881847.58</v>
      </c>
      <c r="F209" s="37"/>
      <c r="G209" s="26">
        <v>-90469.879999999073</v>
      </c>
      <c r="H209" s="37"/>
      <c r="I209" s="26">
        <v>-7832.5</v>
      </c>
      <c r="J209" s="37"/>
      <c r="K209" s="26">
        <v>0</v>
      </c>
      <c r="L209" s="37"/>
      <c r="M209" s="26">
        <v>-98302.379999999073</v>
      </c>
      <c r="N209" s="37"/>
      <c r="O209" s="26">
        <v>3783545.2000000011</v>
      </c>
      <c r="P209" s="37"/>
      <c r="Q209" s="38">
        <v>-2699228.9299999904</v>
      </c>
      <c r="R209" s="31"/>
      <c r="S209" s="38">
        <v>1084316.2700000107</v>
      </c>
      <c r="T209" s="37"/>
      <c r="U209" s="26">
        <v>-6.129870755590929E-7</v>
      </c>
      <c r="V209" s="37"/>
      <c r="W209" s="26">
        <v>-2699228.9300006032</v>
      </c>
      <c r="X209" s="37"/>
      <c r="Y209" s="26">
        <v>3783545.2</v>
      </c>
      <c r="Z209" s="26">
        <v>0</v>
      </c>
    </row>
    <row r="210" spans="1:26">
      <c r="A210" s="9" t="s">
        <v>101</v>
      </c>
      <c r="B210" s="2" t="s">
        <v>3416</v>
      </c>
      <c r="C210" s="9"/>
      <c r="D210" s="5" t="s">
        <v>2486</v>
      </c>
      <c r="E210" s="7">
        <v>0</v>
      </c>
      <c r="F210" s="39"/>
      <c r="G210" s="7">
        <v>0</v>
      </c>
      <c r="H210" s="39"/>
      <c r="I210" s="7">
        <v>0</v>
      </c>
      <c r="J210" s="39"/>
      <c r="K210" s="7">
        <v>0</v>
      </c>
      <c r="L210" s="39"/>
      <c r="M210" s="7">
        <v>0</v>
      </c>
      <c r="N210" s="39"/>
      <c r="O210" s="7">
        <v>0</v>
      </c>
      <c r="P210" s="39"/>
      <c r="Q210" s="13">
        <v>0</v>
      </c>
      <c r="R210" s="5"/>
      <c r="S210" s="13">
        <v>0</v>
      </c>
      <c r="T210" s="39"/>
      <c r="U210" s="7">
        <v>0</v>
      </c>
      <c r="V210" s="39"/>
      <c r="W210" s="7">
        <v>0</v>
      </c>
      <c r="X210" s="39"/>
      <c r="Y210" s="7">
        <v>0</v>
      </c>
      <c r="Z210" s="7">
        <v>0</v>
      </c>
    </row>
    <row r="211" spans="1:26">
      <c r="A211" s="2" t="s">
        <v>101</v>
      </c>
      <c r="B211" s="2" t="s">
        <v>3416</v>
      </c>
      <c r="C211" s="2" t="str">
        <f t="shared" ref="C211:C212" si="12">MID(D211,2,3)</f>
        <v>371</v>
      </c>
      <c r="D211" s="31" t="s">
        <v>28</v>
      </c>
      <c r="E211" s="26">
        <v>0</v>
      </c>
      <c r="F211" s="40"/>
      <c r="G211" s="26">
        <v>0</v>
      </c>
      <c r="H211" s="40"/>
      <c r="I211" s="26">
        <v>0</v>
      </c>
      <c r="J211" s="40"/>
      <c r="K211" s="26">
        <v>0</v>
      </c>
      <c r="L211" s="40"/>
      <c r="M211" s="24">
        <v>0</v>
      </c>
      <c r="N211" s="40"/>
      <c r="O211" s="24">
        <v>0</v>
      </c>
      <c r="P211" s="37"/>
      <c r="Q211" s="38">
        <v>0</v>
      </c>
      <c r="R211" s="31"/>
      <c r="S211" s="38">
        <v>0</v>
      </c>
      <c r="T211" s="40"/>
      <c r="U211" s="26">
        <v>0</v>
      </c>
      <c r="V211" s="40"/>
      <c r="W211" s="26">
        <v>0</v>
      </c>
      <c r="X211" s="40"/>
      <c r="Y211" s="26">
        <v>0</v>
      </c>
      <c r="Z211" s="26">
        <v>0</v>
      </c>
    </row>
    <row r="212" spans="1:26">
      <c r="A212" s="2" t="s">
        <v>101</v>
      </c>
      <c r="B212" s="2" t="s">
        <v>3416</v>
      </c>
      <c r="C212" s="2" t="str">
        <f t="shared" si="12"/>
        <v>373</v>
      </c>
      <c r="D212" s="31" t="s">
        <v>29</v>
      </c>
      <c r="E212" s="41">
        <v>3671298.05</v>
      </c>
      <c r="F212" s="40"/>
      <c r="G212" s="41">
        <v>173669.89006979991</v>
      </c>
      <c r="H212" s="40"/>
      <c r="I212" s="41">
        <v>-23620.6499999999</v>
      </c>
      <c r="J212" s="40"/>
      <c r="K212" s="41">
        <v>0</v>
      </c>
      <c r="L212" s="40"/>
      <c r="M212" s="41">
        <v>150049.2400698</v>
      </c>
      <c r="N212" s="40"/>
      <c r="O212" s="41">
        <v>3821347.2900697999</v>
      </c>
      <c r="P212" s="37"/>
      <c r="Q212" s="42">
        <v>-1833483.528195</v>
      </c>
      <c r="R212" s="31"/>
      <c r="S212" s="42">
        <v>1987863.7618747998</v>
      </c>
      <c r="T212" s="40"/>
      <c r="U212" s="41">
        <v>1.1767164721181998E-6</v>
      </c>
      <c r="V212" s="40"/>
      <c r="W212" s="41">
        <v>-1833483.5281938233</v>
      </c>
      <c r="X212" s="40"/>
      <c r="Y212" s="41">
        <v>3821347.2900697999</v>
      </c>
      <c r="Z212" s="41">
        <v>0</v>
      </c>
    </row>
    <row r="213" spans="1:26">
      <c r="B213" s="2" t="s">
        <v>3416</v>
      </c>
      <c r="D213" s="31"/>
      <c r="E213" s="24">
        <v>92933209.609999999</v>
      </c>
      <c r="F213" s="40"/>
      <c r="G213" s="24">
        <v>4826169.1318183988</v>
      </c>
      <c r="H213" s="40"/>
      <c r="I213" s="24">
        <v>-522788.31999999861</v>
      </c>
      <c r="J213" s="40"/>
      <c r="K213" s="24">
        <v>0</v>
      </c>
      <c r="L213" s="40"/>
      <c r="M213" s="24">
        <v>4303380.8118184004</v>
      </c>
      <c r="N213" s="40"/>
      <c r="O213" s="24">
        <v>97236590.421818405</v>
      </c>
      <c r="P213" s="37"/>
      <c r="Q213" s="24">
        <v>-40449386.222517274</v>
      </c>
      <c r="R213" s="31"/>
      <c r="S213" s="24">
        <v>56787204.199301146</v>
      </c>
      <c r="T213" s="40"/>
      <c r="U213" s="17">
        <v>3.2700157248655099E-5</v>
      </c>
      <c r="V213" s="40"/>
      <c r="W213" s="24">
        <v>-40449386.222484574</v>
      </c>
      <c r="X213" s="40">
        <v>0</v>
      </c>
      <c r="Y213" s="24">
        <v>97236590.421818405</v>
      </c>
      <c r="Z213" s="24">
        <v>-9.8953023552894592E-10</v>
      </c>
    </row>
    <row r="214" spans="1:26">
      <c r="B214" s="2" t="s">
        <v>3416</v>
      </c>
      <c r="D214" s="31"/>
      <c r="E214" s="24"/>
      <c r="F214" s="40"/>
      <c r="G214" s="24"/>
      <c r="H214" s="40"/>
      <c r="I214" s="24"/>
      <c r="J214" s="40"/>
      <c r="K214" s="24"/>
      <c r="L214" s="40"/>
      <c r="M214" s="24"/>
      <c r="N214" s="40"/>
      <c r="O214" s="24"/>
      <c r="P214" s="37"/>
      <c r="Q214" s="31"/>
      <c r="R214" s="31"/>
      <c r="S214" s="31"/>
      <c r="T214" s="40"/>
      <c r="U214" s="24"/>
      <c r="V214" s="40"/>
      <c r="W214" s="24"/>
      <c r="X214" s="40"/>
      <c r="Y214" s="24"/>
      <c r="Z214" s="24"/>
    </row>
    <row r="215" spans="1:26">
      <c r="B215" s="2" t="s">
        <v>3416</v>
      </c>
      <c r="D215" s="34" t="s">
        <v>3424</v>
      </c>
      <c r="E215" s="24"/>
      <c r="F215" s="40"/>
      <c r="G215" s="24"/>
      <c r="H215" s="40"/>
      <c r="I215" s="24"/>
      <c r="J215" s="40"/>
      <c r="K215" s="24"/>
      <c r="L215" s="40"/>
      <c r="M215" s="24"/>
      <c r="N215" s="40"/>
      <c r="O215" s="24"/>
      <c r="P215" s="37"/>
      <c r="Q215" s="31"/>
      <c r="R215" s="31"/>
      <c r="S215" s="31"/>
      <c r="T215" s="40"/>
      <c r="U215" s="24"/>
      <c r="V215" s="40"/>
      <c r="W215" s="24"/>
      <c r="X215" s="40"/>
      <c r="Y215" s="24"/>
      <c r="Z215" s="24"/>
    </row>
    <row r="216" spans="1:26">
      <c r="A216" s="2" t="s">
        <v>101</v>
      </c>
      <c r="B216" s="2" t="s">
        <v>3416</v>
      </c>
      <c r="C216" s="2" t="str">
        <f>MID(D216,2,3)</f>
        <v>389</v>
      </c>
      <c r="D216" s="31" t="s">
        <v>33</v>
      </c>
      <c r="E216" s="24">
        <v>380629.44</v>
      </c>
      <c r="F216" s="40"/>
      <c r="G216" s="24">
        <v>606618.26289999997</v>
      </c>
      <c r="H216" s="40"/>
      <c r="I216" s="24">
        <v>0</v>
      </c>
      <c r="J216" s="40"/>
      <c r="K216" s="24">
        <v>0</v>
      </c>
      <c r="L216" s="40"/>
      <c r="M216" s="24">
        <v>606618.26289999997</v>
      </c>
      <c r="N216" s="40"/>
      <c r="O216" s="24">
        <v>987247.70289999992</v>
      </c>
      <c r="P216" s="37"/>
      <c r="Q216" s="38">
        <v>0</v>
      </c>
      <c r="R216" s="31"/>
      <c r="S216" s="38">
        <v>987247.70289999992</v>
      </c>
      <c r="T216" s="40"/>
      <c r="U216" s="17">
        <v>0</v>
      </c>
      <c r="V216" s="18"/>
      <c r="W216" s="17">
        <v>0</v>
      </c>
      <c r="X216" s="18"/>
      <c r="Y216" s="17">
        <v>987247.70290000003</v>
      </c>
      <c r="Z216" s="17">
        <v>0</v>
      </c>
    </row>
    <row r="217" spans="1:26">
      <c r="A217" s="2" t="s">
        <v>101</v>
      </c>
      <c r="B217" s="2" t="s">
        <v>3416</v>
      </c>
      <c r="C217" s="2" t="str">
        <f t="shared" ref="C217:C222" si="13">MID(D217,2,3)</f>
        <v>390</v>
      </c>
      <c r="D217" s="31" t="s">
        <v>34</v>
      </c>
      <c r="E217" s="24">
        <v>1084455.6499999901</v>
      </c>
      <c r="F217" s="40"/>
      <c r="G217" s="24">
        <v>76922.025867799894</v>
      </c>
      <c r="H217" s="40"/>
      <c r="I217" s="24">
        <v>-7195.76</v>
      </c>
      <c r="J217" s="40"/>
      <c r="K217" s="24">
        <v>0</v>
      </c>
      <c r="L217" s="40"/>
      <c r="M217" s="24">
        <v>69726.265867799899</v>
      </c>
      <c r="N217" s="40"/>
      <c r="O217" s="24">
        <v>1154181.9158677901</v>
      </c>
      <c r="P217" s="37"/>
      <c r="Q217" s="38">
        <v>-369712.45999999897</v>
      </c>
      <c r="R217" s="31"/>
      <c r="S217" s="38">
        <v>784469.45586779108</v>
      </c>
      <c r="T217" s="40"/>
      <c r="U217" s="24">
        <v>0</v>
      </c>
      <c r="V217" s="40"/>
      <c r="W217" s="24">
        <v>-369712.45999999897</v>
      </c>
      <c r="X217" s="40"/>
      <c r="Y217" s="24">
        <v>1154181.9158677999</v>
      </c>
      <c r="Z217" s="24">
        <v>9.7788870334625244E-9</v>
      </c>
    </row>
    <row r="218" spans="1:26">
      <c r="A218" s="2" t="s">
        <v>101</v>
      </c>
      <c r="B218" s="2" t="s">
        <v>3416</v>
      </c>
      <c r="D218" s="31" t="s">
        <v>103</v>
      </c>
      <c r="E218" s="24">
        <v>0</v>
      </c>
      <c r="F218" s="40"/>
      <c r="G218" s="24">
        <v>0</v>
      </c>
      <c r="H218" s="40"/>
      <c r="I218" s="24">
        <v>0</v>
      </c>
      <c r="J218" s="40"/>
      <c r="K218" s="24">
        <v>0</v>
      </c>
      <c r="L218" s="40"/>
      <c r="M218" s="24">
        <v>0</v>
      </c>
      <c r="N218" s="40"/>
      <c r="O218" s="24">
        <v>0</v>
      </c>
      <c r="P218" s="37"/>
      <c r="Q218" s="38">
        <v>0</v>
      </c>
      <c r="R218" s="31"/>
      <c r="S218" s="38">
        <v>0</v>
      </c>
      <c r="T218" s="40"/>
      <c r="U218" s="24">
        <v>0</v>
      </c>
      <c r="V218" s="40"/>
      <c r="W218" s="24">
        <v>0</v>
      </c>
      <c r="X218" s="40"/>
      <c r="Y218" s="24">
        <v>0</v>
      </c>
      <c r="Z218" s="24">
        <v>0</v>
      </c>
    </row>
    <row r="219" spans="1:26">
      <c r="A219" s="2" t="s">
        <v>101</v>
      </c>
      <c r="B219" s="2" t="s">
        <v>3416</v>
      </c>
      <c r="C219" s="2" t="str">
        <f t="shared" si="13"/>
        <v>391</v>
      </c>
      <c r="D219" s="31" t="s">
        <v>36</v>
      </c>
      <c r="E219" s="24">
        <v>0</v>
      </c>
      <c r="F219" s="40"/>
      <c r="G219" s="24">
        <v>0</v>
      </c>
      <c r="H219" s="40"/>
      <c r="I219" s="24">
        <v>0</v>
      </c>
      <c r="J219" s="40"/>
      <c r="K219" s="24">
        <v>0</v>
      </c>
      <c r="L219" s="40"/>
      <c r="M219" s="24">
        <v>0</v>
      </c>
      <c r="N219" s="40"/>
      <c r="O219" s="24">
        <v>0</v>
      </c>
      <c r="P219" s="37"/>
      <c r="Q219" s="38">
        <v>308.64999999999998</v>
      </c>
      <c r="R219" s="31"/>
      <c r="S219" s="38">
        <v>308.64999999999998</v>
      </c>
      <c r="T219" s="40"/>
      <c r="U219" s="24">
        <v>0</v>
      </c>
      <c r="V219" s="40"/>
      <c r="W219" s="24">
        <v>308.64999999999998</v>
      </c>
      <c r="X219" s="40"/>
      <c r="Y219" s="24">
        <v>0</v>
      </c>
      <c r="Z219" s="24">
        <v>0</v>
      </c>
    </row>
    <row r="220" spans="1:26">
      <c r="A220" s="2" t="s">
        <v>101</v>
      </c>
      <c r="B220" s="2" t="s">
        <v>3416</v>
      </c>
      <c r="D220" s="31" t="s">
        <v>104</v>
      </c>
      <c r="E220" s="24">
        <v>0</v>
      </c>
      <c r="F220" s="40"/>
      <c r="G220" s="24">
        <v>0</v>
      </c>
      <c r="H220" s="40"/>
      <c r="I220" s="24">
        <v>0</v>
      </c>
      <c r="J220" s="40"/>
      <c r="K220" s="24">
        <v>0</v>
      </c>
      <c r="L220" s="40"/>
      <c r="M220" s="24">
        <v>0</v>
      </c>
      <c r="N220" s="40"/>
      <c r="O220" s="24">
        <v>0</v>
      </c>
      <c r="P220" s="37"/>
      <c r="Q220" s="38">
        <v>0</v>
      </c>
      <c r="R220" s="31"/>
      <c r="S220" s="38">
        <v>0</v>
      </c>
      <c r="T220" s="40"/>
      <c r="U220" s="24">
        <v>0</v>
      </c>
      <c r="V220" s="40"/>
      <c r="W220" s="24">
        <v>0</v>
      </c>
      <c r="X220" s="40"/>
      <c r="Y220" s="24">
        <v>0</v>
      </c>
      <c r="Z220" s="24">
        <v>0</v>
      </c>
    </row>
    <row r="221" spans="1:26">
      <c r="A221" s="2" t="s">
        <v>101</v>
      </c>
      <c r="B221" s="2" t="s">
        <v>3416</v>
      </c>
      <c r="C221" s="2" t="str">
        <f t="shared" si="13"/>
        <v>392</v>
      </c>
      <c r="D221" s="31" t="s">
        <v>40</v>
      </c>
      <c r="E221" s="24">
        <v>0</v>
      </c>
      <c r="F221" s="40"/>
      <c r="G221" s="24">
        <v>14946.400000000001</v>
      </c>
      <c r="H221" s="40"/>
      <c r="I221" s="24">
        <v>0</v>
      </c>
      <c r="J221" s="40"/>
      <c r="K221" s="24">
        <v>0</v>
      </c>
      <c r="L221" s="40"/>
      <c r="M221" s="24">
        <v>14946.400000000001</v>
      </c>
      <c r="N221" s="40"/>
      <c r="O221" s="24">
        <v>14946.400000000001</v>
      </c>
      <c r="P221" s="37"/>
      <c r="Q221" s="38">
        <v>-257.67</v>
      </c>
      <c r="R221" s="31"/>
      <c r="S221" s="38">
        <v>14688.730000000001</v>
      </c>
      <c r="T221" s="40"/>
      <c r="U221" s="24">
        <v>0</v>
      </c>
      <c r="V221" s="40"/>
      <c r="W221" s="24">
        <v>-257.67</v>
      </c>
      <c r="X221" s="40"/>
      <c r="Y221" s="24">
        <v>14946.400000000001</v>
      </c>
      <c r="Z221" s="24">
        <v>0</v>
      </c>
    </row>
    <row r="222" spans="1:26">
      <c r="A222" s="2" t="s">
        <v>101</v>
      </c>
      <c r="B222" s="2" t="s">
        <v>3416</v>
      </c>
      <c r="C222" s="2" t="str">
        <f t="shared" si="13"/>
        <v>393</v>
      </c>
      <c r="D222" s="31" t="s">
        <v>42</v>
      </c>
      <c r="E222" s="24">
        <v>4526.22</v>
      </c>
      <c r="F222" s="40"/>
      <c r="G222" s="24">
        <v>0</v>
      </c>
      <c r="H222" s="40"/>
      <c r="I222" s="24">
        <v>-3649.67</v>
      </c>
      <c r="J222" s="40"/>
      <c r="K222" s="24">
        <v>0</v>
      </c>
      <c r="L222" s="40"/>
      <c r="M222" s="24">
        <v>-3649.67</v>
      </c>
      <c r="N222" s="40"/>
      <c r="O222" s="24">
        <v>876.55000000000018</v>
      </c>
      <c r="P222" s="37"/>
      <c r="Q222" s="38">
        <v>-209.24</v>
      </c>
      <c r="R222" s="31"/>
      <c r="S222" s="38">
        <v>667.31000000000017</v>
      </c>
      <c r="T222" s="40"/>
      <c r="U222" s="24">
        <v>0</v>
      </c>
      <c r="V222" s="40"/>
      <c r="W222" s="24">
        <v>-209.24</v>
      </c>
      <c r="X222" s="40"/>
      <c r="Y222" s="24">
        <v>876.55000000000007</v>
      </c>
      <c r="Z222" s="24">
        <v>0</v>
      </c>
    </row>
    <row r="223" spans="1:26" s="9" customFormat="1">
      <c r="A223" s="2" t="s">
        <v>101</v>
      </c>
      <c r="B223" s="2" t="s">
        <v>3416</v>
      </c>
      <c r="C223" s="2" t="str">
        <f>MID(D223,2,3)</f>
        <v>394</v>
      </c>
      <c r="D223" s="31" t="s">
        <v>43</v>
      </c>
      <c r="E223" s="24">
        <v>477017.17000000004</v>
      </c>
      <c r="F223" s="40"/>
      <c r="G223" s="24">
        <v>155220.03738649999</v>
      </c>
      <c r="H223" s="40"/>
      <c r="I223" s="24">
        <v>-6243.31</v>
      </c>
      <c r="J223" s="40"/>
      <c r="K223" s="24">
        <v>0</v>
      </c>
      <c r="L223" s="40"/>
      <c r="M223" s="24">
        <v>148976.72738649999</v>
      </c>
      <c r="N223" s="40"/>
      <c r="O223" s="24">
        <v>625993.89738650003</v>
      </c>
      <c r="P223" s="37"/>
      <c r="Q223" s="38">
        <v>-219523.36</v>
      </c>
      <c r="R223" s="31"/>
      <c r="S223" s="38">
        <v>406470.53738650004</v>
      </c>
      <c r="T223" s="40"/>
      <c r="U223" s="24">
        <v>0</v>
      </c>
      <c r="V223" s="40"/>
      <c r="W223" s="24">
        <v>-219523.36</v>
      </c>
      <c r="X223" s="40"/>
      <c r="Y223" s="24">
        <v>625993.89738649991</v>
      </c>
      <c r="Z223" s="24">
        <v>0</v>
      </c>
    </row>
    <row r="224" spans="1:26">
      <c r="A224" s="2" t="s">
        <v>101</v>
      </c>
      <c r="B224" s="2" t="s">
        <v>3416</v>
      </c>
      <c r="C224" s="2" t="str">
        <f>MID(D224,2,3)</f>
        <v>395</v>
      </c>
      <c r="D224" s="31" t="s">
        <v>44</v>
      </c>
      <c r="E224" s="24">
        <v>0</v>
      </c>
      <c r="F224" s="40"/>
      <c r="G224" s="24">
        <v>0</v>
      </c>
      <c r="H224" s="40"/>
      <c r="I224" s="24">
        <v>0</v>
      </c>
      <c r="J224" s="40"/>
      <c r="K224" s="24">
        <v>0</v>
      </c>
      <c r="L224" s="40"/>
      <c r="M224" s="24">
        <v>0</v>
      </c>
      <c r="N224" s="40"/>
      <c r="O224" s="24">
        <v>0</v>
      </c>
      <c r="P224" s="37"/>
      <c r="Q224" s="38">
        <v>0</v>
      </c>
      <c r="R224" s="31"/>
      <c r="S224" s="38">
        <v>0</v>
      </c>
      <c r="T224" s="40"/>
      <c r="U224" s="24">
        <v>0</v>
      </c>
      <c r="V224" s="40"/>
      <c r="W224" s="24">
        <v>0</v>
      </c>
      <c r="X224" s="40"/>
      <c r="Y224" s="24">
        <v>0</v>
      </c>
      <c r="Z224" s="24">
        <v>0</v>
      </c>
    </row>
    <row r="225" spans="1:26">
      <c r="A225" s="2" t="s">
        <v>101</v>
      </c>
      <c r="B225" s="2" t="s">
        <v>3416</v>
      </c>
      <c r="C225" s="2" t="str">
        <f>MID(D225,2,3)</f>
        <v>396</v>
      </c>
      <c r="D225" s="31" t="s">
        <v>2488</v>
      </c>
      <c r="E225" s="24">
        <v>282277.26</v>
      </c>
      <c r="F225" s="40"/>
      <c r="G225" s="24">
        <v>0</v>
      </c>
      <c r="H225" s="40"/>
      <c r="I225" s="24">
        <v>0</v>
      </c>
      <c r="J225" s="40"/>
      <c r="K225" s="24">
        <v>0</v>
      </c>
      <c r="L225" s="40"/>
      <c r="M225" s="24">
        <v>0</v>
      </c>
      <c r="N225" s="40"/>
      <c r="O225" s="24">
        <v>282277.26</v>
      </c>
      <c r="P225" s="37"/>
      <c r="Q225" s="38">
        <v>-130217.81999999999</v>
      </c>
      <c r="R225" s="31"/>
      <c r="S225" s="38">
        <v>152059.44</v>
      </c>
      <c r="T225" s="40"/>
      <c r="U225" s="24">
        <v>0</v>
      </c>
      <c r="V225" s="40"/>
      <c r="W225" s="24">
        <v>-130217.81999999999</v>
      </c>
      <c r="X225" s="40"/>
      <c r="Y225" s="24">
        <v>282277.26</v>
      </c>
      <c r="Z225" s="24">
        <v>0</v>
      </c>
    </row>
    <row r="226" spans="1:26">
      <c r="A226" s="2" t="s">
        <v>101</v>
      </c>
      <c r="B226" s="2" t="s">
        <v>3416</v>
      </c>
      <c r="C226" s="2" t="str">
        <f t="shared" ref="C226:C228" si="14">MID(D226,2,3)</f>
        <v>397</v>
      </c>
      <c r="D226" s="31" t="s">
        <v>2189</v>
      </c>
      <c r="E226" s="24">
        <v>980098.61</v>
      </c>
      <c r="F226" s="40"/>
      <c r="G226" s="24">
        <v>0</v>
      </c>
      <c r="H226" s="40"/>
      <c r="I226" s="24">
        <v>0</v>
      </c>
      <c r="J226" s="40"/>
      <c r="K226" s="24">
        <v>0</v>
      </c>
      <c r="L226" s="40"/>
      <c r="M226" s="24">
        <v>0</v>
      </c>
      <c r="N226" s="40"/>
      <c r="O226" s="24">
        <v>980098.61</v>
      </c>
      <c r="P226" s="37"/>
      <c r="Q226" s="38">
        <v>-705988.66999999899</v>
      </c>
      <c r="R226" s="31"/>
      <c r="S226" s="38">
        <v>274109.94000000099</v>
      </c>
      <c r="T226" s="40"/>
      <c r="U226" s="24">
        <v>0</v>
      </c>
      <c r="V226" s="40"/>
      <c r="W226" s="24">
        <v>-705988.66999999899</v>
      </c>
      <c r="X226" s="40"/>
      <c r="Y226" s="24">
        <v>980098.61</v>
      </c>
      <c r="Z226" s="24">
        <v>0</v>
      </c>
    </row>
    <row r="227" spans="1:26">
      <c r="A227" s="2" t="s">
        <v>101</v>
      </c>
      <c r="B227" s="2" t="s">
        <v>3416</v>
      </c>
      <c r="D227" s="5" t="s">
        <v>2190</v>
      </c>
      <c r="E227" s="17">
        <v>0</v>
      </c>
      <c r="F227" s="43"/>
      <c r="G227" s="17">
        <v>0</v>
      </c>
      <c r="H227" s="43"/>
      <c r="I227" s="17">
        <v>0</v>
      </c>
      <c r="J227" s="43"/>
      <c r="K227" s="17">
        <v>0</v>
      </c>
      <c r="L227" s="43"/>
      <c r="M227" s="17">
        <v>0</v>
      </c>
      <c r="N227" s="43"/>
      <c r="O227" s="17">
        <v>0</v>
      </c>
      <c r="P227" s="39"/>
      <c r="Q227" s="13">
        <v>0</v>
      </c>
      <c r="R227" s="5"/>
      <c r="S227" s="13">
        <v>0</v>
      </c>
      <c r="T227" s="43"/>
      <c r="U227" s="17">
        <v>0</v>
      </c>
      <c r="V227" s="43"/>
      <c r="W227" s="17">
        <v>0</v>
      </c>
      <c r="X227" s="43"/>
      <c r="Y227" s="17">
        <v>0</v>
      </c>
      <c r="Z227" s="17">
        <v>0</v>
      </c>
    </row>
    <row r="228" spans="1:26">
      <c r="A228" s="2" t="s">
        <v>101</v>
      </c>
      <c r="B228" s="2" t="s">
        <v>3416</v>
      </c>
      <c r="C228" s="2" t="str">
        <f t="shared" si="14"/>
        <v>398</v>
      </c>
      <c r="D228" s="31" t="s">
        <v>46</v>
      </c>
      <c r="E228" s="41">
        <v>0</v>
      </c>
      <c r="F228" s="40"/>
      <c r="G228" s="41">
        <v>0</v>
      </c>
      <c r="H228" s="40"/>
      <c r="I228" s="41">
        <v>0</v>
      </c>
      <c r="J228" s="40"/>
      <c r="K228" s="41">
        <v>0</v>
      </c>
      <c r="L228" s="40"/>
      <c r="M228" s="41">
        <v>0</v>
      </c>
      <c r="N228" s="40"/>
      <c r="O228" s="41">
        <v>0</v>
      </c>
      <c r="P228" s="37"/>
      <c r="Q228" s="42">
        <v>0</v>
      </c>
      <c r="R228" s="31"/>
      <c r="S228" s="42">
        <v>0</v>
      </c>
      <c r="T228" s="40"/>
      <c r="U228" s="41">
        <v>0</v>
      </c>
      <c r="V228" s="40"/>
      <c r="W228" s="41">
        <v>0</v>
      </c>
      <c r="X228" s="40"/>
      <c r="Y228" s="41">
        <v>0</v>
      </c>
      <c r="Z228" s="41">
        <v>0</v>
      </c>
    </row>
    <row r="229" spans="1:26">
      <c r="B229" s="2" t="s">
        <v>3416</v>
      </c>
      <c r="D229" s="31"/>
      <c r="E229" s="24">
        <v>3209004.3499999898</v>
      </c>
      <c r="F229" s="40"/>
      <c r="G229" s="24">
        <v>853706.72615429992</v>
      </c>
      <c r="H229" s="40"/>
      <c r="I229" s="24">
        <v>-17088.740000000002</v>
      </c>
      <c r="J229" s="40"/>
      <c r="K229" s="24">
        <v>0</v>
      </c>
      <c r="L229" s="40"/>
      <c r="M229" s="24">
        <v>836617.98615429981</v>
      </c>
      <c r="N229" s="40"/>
      <c r="O229" s="24">
        <v>4045622.33615429</v>
      </c>
      <c r="P229" s="37"/>
      <c r="Q229" s="24">
        <v>-1425600.569999998</v>
      </c>
      <c r="R229" s="31"/>
      <c r="S229" s="24">
        <v>2620021.766154292</v>
      </c>
      <c r="T229" s="40"/>
      <c r="U229" s="17">
        <v>0</v>
      </c>
      <c r="V229" s="40"/>
      <c r="W229" s="24">
        <v>-1425600.569999998</v>
      </c>
      <c r="X229" s="40">
        <v>0</v>
      </c>
      <c r="Y229" s="24">
        <v>4045622.3361542993</v>
      </c>
      <c r="Z229" s="24">
        <v>9.7788870334625244E-9</v>
      </c>
    </row>
    <row r="230" spans="1:26">
      <c r="B230" s="2" t="s">
        <v>3416</v>
      </c>
      <c r="D230" s="31"/>
      <c r="E230" s="24"/>
      <c r="F230" s="40"/>
      <c r="G230" s="24"/>
      <c r="H230" s="40"/>
      <c r="I230" s="24"/>
      <c r="J230" s="40"/>
      <c r="K230" s="24"/>
      <c r="L230" s="40"/>
      <c r="M230" s="24"/>
      <c r="N230" s="40"/>
      <c r="O230" s="24"/>
      <c r="P230" s="37"/>
      <c r="Q230" s="31"/>
      <c r="R230" s="31"/>
      <c r="S230" s="31"/>
      <c r="T230" s="40"/>
      <c r="U230" s="24"/>
      <c r="V230" s="40"/>
      <c r="W230" s="24"/>
      <c r="X230" s="40"/>
      <c r="Y230" s="24"/>
      <c r="Z230" s="24"/>
    </row>
    <row r="231" spans="1:26">
      <c r="B231" s="2" t="s">
        <v>3416</v>
      </c>
      <c r="D231" s="34" t="s">
        <v>3426</v>
      </c>
      <c r="E231" s="24"/>
      <c r="F231" s="40"/>
      <c r="G231" s="24"/>
      <c r="H231" s="40"/>
      <c r="I231" s="24"/>
      <c r="J231" s="40"/>
      <c r="K231" s="24"/>
      <c r="L231" s="40"/>
      <c r="M231" s="24"/>
      <c r="N231" s="40"/>
      <c r="O231" s="24"/>
      <c r="P231" s="37"/>
      <c r="Q231" s="31"/>
      <c r="R231" s="31"/>
      <c r="S231" s="31"/>
      <c r="T231" s="40"/>
      <c r="U231" s="24"/>
      <c r="V231" s="40"/>
      <c r="W231" s="24"/>
      <c r="X231" s="40"/>
      <c r="Y231" s="24"/>
      <c r="Z231" s="24"/>
    </row>
    <row r="232" spans="1:26">
      <c r="A232" s="2" t="s">
        <v>101</v>
      </c>
      <c r="B232" s="2" t="s">
        <v>3416</v>
      </c>
      <c r="C232" s="2" t="str">
        <f t="shared" ref="C232" si="15">MID(D232,2,3)</f>
        <v>301</v>
      </c>
      <c r="D232" s="31" t="s">
        <v>57</v>
      </c>
      <c r="E232" s="41">
        <v>5338.69</v>
      </c>
      <c r="F232" s="40"/>
      <c r="G232" s="41">
        <v>0</v>
      </c>
      <c r="H232" s="40"/>
      <c r="I232" s="41">
        <v>0</v>
      </c>
      <c r="J232" s="40"/>
      <c r="K232" s="41">
        <v>0</v>
      </c>
      <c r="L232" s="40"/>
      <c r="M232" s="41">
        <v>0</v>
      </c>
      <c r="N232" s="40"/>
      <c r="O232" s="41">
        <v>5338.69</v>
      </c>
      <c r="P232" s="37"/>
      <c r="Q232" s="42">
        <v>0</v>
      </c>
      <c r="R232" s="31"/>
      <c r="S232" s="42">
        <v>5338.69</v>
      </c>
      <c r="T232" s="40"/>
      <c r="U232" s="41"/>
      <c r="V232" s="40"/>
      <c r="W232" s="41">
        <v>0</v>
      </c>
      <c r="X232" s="40"/>
      <c r="Y232" s="41">
        <v>5338.69</v>
      </c>
      <c r="Z232" s="41">
        <v>0</v>
      </c>
    </row>
    <row r="233" spans="1:26">
      <c r="B233" s="2" t="s">
        <v>3416</v>
      </c>
      <c r="D233" s="31"/>
      <c r="E233" s="24">
        <v>5338.69</v>
      </c>
      <c r="F233" s="40"/>
      <c r="G233" s="24">
        <v>0</v>
      </c>
      <c r="H233" s="40"/>
      <c r="I233" s="24">
        <v>0</v>
      </c>
      <c r="J233" s="40"/>
      <c r="K233" s="24">
        <v>0</v>
      </c>
      <c r="L233" s="40"/>
      <c r="M233" s="24">
        <v>0</v>
      </c>
      <c r="N233" s="40"/>
      <c r="O233" s="24">
        <v>5338.69</v>
      </c>
      <c r="P233" s="37"/>
      <c r="Q233" s="24">
        <v>0</v>
      </c>
      <c r="R233" s="31"/>
      <c r="S233" s="24">
        <v>5338.69</v>
      </c>
      <c r="T233" s="40"/>
      <c r="U233" s="24">
        <v>0</v>
      </c>
      <c r="V233" s="40"/>
      <c r="W233" s="24">
        <v>0</v>
      </c>
      <c r="X233" s="40">
        <v>0</v>
      </c>
      <c r="Y233" s="24">
        <v>5338.69</v>
      </c>
      <c r="Z233" s="24">
        <v>0</v>
      </c>
    </row>
    <row r="234" spans="1:26">
      <c r="B234" s="2" t="s">
        <v>3416</v>
      </c>
      <c r="D234" s="31"/>
      <c r="E234" s="24"/>
      <c r="F234" s="40"/>
      <c r="G234" s="24"/>
      <c r="H234" s="40"/>
      <c r="I234" s="24"/>
      <c r="J234" s="40"/>
      <c r="K234" s="24"/>
      <c r="L234" s="40"/>
      <c r="M234" s="24"/>
      <c r="N234" s="40"/>
      <c r="O234" s="24"/>
      <c r="P234" s="37"/>
      <c r="Q234" s="31"/>
      <c r="R234" s="31"/>
      <c r="S234" s="31"/>
      <c r="T234" s="40"/>
      <c r="U234" s="24"/>
      <c r="V234" s="40"/>
      <c r="W234" s="24"/>
      <c r="X234" s="40"/>
      <c r="Y234" s="24"/>
      <c r="Z234" s="24"/>
    </row>
    <row r="235" spans="1:26">
      <c r="B235" s="2" t="s">
        <v>3416</v>
      </c>
      <c r="D235" s="34" t="s">
        <v>3428</v>
      </c>
      <c r="E235" s="24"/>
      <c r="F235" s="40"/>
      <c r="G235" s="24"/>
      <c r="H235" s="40"/>
      <c r="I235" s="24"/>
      <c r="J235" s="40"/>
      <c r="K235" s="24"/>
      <c r="L235" s="40"/>
      <c r="M235" s="24"/>
      <c r="N235" s="40"/>
      <c r="O235" s="24"/>
      <c r="P235" s="37"/>
      <c r="Q235" s="31"/>
      <c r="R235" s="31"/>
      <c r="S235" s="31"/>
      <c r="T235" s="40"/>
      <c r="U235" s="24"/>
      <c r="V235" s="40"/>
      <c r="W235" s="24"/>
      <c r="X235" s="40"/>
      <c r="Y235" s="24"/>
      <c r="Z235" s="24"/>
    </row>
    <row r="236" spans="1:26">
      <c r="A236" s="2" t="s">
        <v>101</v>
      </c>
      <c r="B236" s="2" t="s">
        <v>3416</v>
      </c>
      <c r="C236" s="2" t="str">
        <f t="shared" ref="C236:C244" si="16">MID(D236,2,3)</f>
        <v>350</v>
      </c>
      <c r="D236" s="31" t="s">
        <v>85</v>
      </c>
      <c r="E236" s="24">
        <v>2265176.1</v>
      </c>
      <c r="F236" s="40"/>
      <c r="G236" s="24">
        <v>0</v>
      </c>
      <c r="H236" s="40"/>
      <c r="I236" s="24">
        <v>0</v>
      </c>
      <c r="J236" s="40"/>
      <c r="K236" s="24">
        <v>0</v>
      </c>
      <c r="L236" s="40"/>
      <c r="M236" s="24">
        <v>0</v>
      </c>
      <c r="N236" s="40"/>
      <c r="O236" s="24">
        <v>2265176.1</v>
      </c>
      <c r="P236" s="37"/>
      <c r="Q236" s="38">
        <v>-1964956.4099999899</v>
      </c>
      <c r="R236" s="31"/>
      <c r="S236" s="38">
        <v>300219.69000001019</v>
      </c>
      <c r="T236" s="40"/>
      <c r="U236" s="17">
        <v>0</v>
      </c>
      <c r="V236" s="43"/>
      <c r="W236" s="17">
        <v>-1964956.4099999899</v>
      </c>
      <c r="X236" s="43"/>
      <c r="Y236" s="17">
        <v>2265176.1</v>
      </c>
      <c r="Z236" s="17">
        <v>0</v>
      </c>
    </row>
    <row r="237" spans="1:26">
      <c r="A237" s="2" t="s">
        <v>101</v>
      </c>
      <c r="B237" s="2" t="s">
        <v>3416</v>
      </c>
      <c r="D237" s="31" t="s">
        <v>86</v>
      </c>
      <c r="E237" s="24">
        <v>0</v>
      </c>
      <c r="F237" s="40"/>
      <c r="G237" s="24">
        <v>0</v>
      </c>
      <c r="H237" s="40"/>
      <c r="I237" s="24">
        <v>0</v>
      </c>
      <c r="J237" s="40"/>
      <c r="K237" s="24">
        <v>0</v>
      </c>
      <c r="L237" s="40"/>
      <c r="M237" s="24">
        <v>0</v>
      </c>
      <c r="N237" s="40"/>
      <c r="O237" s="24">
        <v>0</v>
      </c>
      <c r="P237" s="37"/>
      <c r="Q237" s="38">
        <v>0</v>
      </c>
      <c r="R237" s="31"/>
      <c r="S237" s="38">
        <v>0</v>
      </c>
      <c r="T237" s="40"/>
      <c r="U237" s="24">
        <v>0</v>
      </c>
      <c r="V237" s="40"/>
      <c r="W237" s="24">
        <v>0</v>
      </c>
      <c r="X237" s="40"/>
      <c r="Y237" s="24">
        <v>0</v>
      </c>
      <c r="Z237" s="24">
        <v>0</v>
      </c>
    </row>
    <row r="238" spans="1:26">
      <c r="A238" s="2" t="s">
        <v>101</v>
      </c>
      <c r="B238" s="2" t="s">
        <v>3416</v>
      </c>
      <c r="C238" s="2" t="str">
        <f t="shared" si="16"/>
        <v>352</v>
      </c>
      <c r="D238" s="31" t="s">
        <v>87</v>
      </c>
      <c r="E238" s="24">
        <v>1743198.88</v>
      </c>
      <c r="F238" s="40"/>
      <c r="G238" s="24">
        <v>0</v>
      </c>
      <c r="H238" s="40"/>
      <c r="I238" s="24">
        <v>0</v>
      </c>
      <c r="J238" s="40"/>
      <c r="K238" s="24">
        <v>0</v>
      </c>
      <c r="L238" s="40"/>
      <c r="M238" s="24">
        <v>0</v>
      </c>
      <c r="N238" s="40"/>
      <c r="O238" s="24">
        <v>1743198.88</v>
      </c>
      <c r="P238" s="37"/>
      <c r="Q238" s="38">
        <v>-815854.48</v>
      </c>
      <c r="R238" s="31"/>
      <c r="S238" s="38">
        <v>927344.39999999991</v>
      </c>
      <c r="T238" s="40"/>
      <c r="U238" s="24">
        <v>0</v>
      </c>
      <c r="V238" s="40"/>
      <c r="W238" s="24">
        <v>-815854.48</v>
      </c>
      <c r="X238" s="40"/>
      <c r="Y238" s="24">
        <v>1743198.88</v>
      </c>
      <c r="Z238" s="24">
        <v>0</v>
      </c>
    </row>
    <row r="239" spans="1:26" s="9" customFormat="1">
      <c r="A239" s="2" t="s">
        <v>101</v>
      </c>
      <c r="B239" s="2" t="s">
        <v>3416</v>
      </c>
      <c r="C239" s="2" t="str">
        <f t="shared" si="16"/>
        <v>353</v>
      </c>
      <c r="D239" s="31" t="s">
        <v>89</v>
      </c>
      <c r="E239" s="24">
        <v>22833884.27</v>
      </c>
      <c r="F239" s="40"/>
      <c r="G239" s="24">
        <v>131688.16999999998</v>
      </c>
      <c r="H239" s="40"/>
      <c r="I239" s="24">
        <v>-13437.33</v>
      </c>
      <c r="J239" s="40"/>
      <c r="K239" s="24">
        <v>0</v>
      </c>
      <c r="L239" s="40"/>
      <c r="M239" s="24">
        <v>118250.83999999998</v>
      </c>
      <c r="N239" s="40"/>
      <c r="O239" s="24">
        <v>22952135.109999999</v>
      </c>
      <c r="P239" s="37"/>
      <c r="Q239" s="38">
        <v>-8317213.6299999999</v>
      </c>
      <c r="R239" s="31"/>
      <c r="S239" s="38">
        <v>14634921.48</v>
      </c>
      <c r="T239" s="40"/>
      <c r="U239" s="24">
        <v>833.10555308457913</v>
      </c>
      <c r="V239" s="40"/>
      <c r="W239" s="24">
        <v>-8316380.5244469149</v>
      </c>
      <c r="X239" s="40"/>
      <c r="Y239" s="24">
        <v>22952135.109999999</v>
      </c>
      <c r="Z239" s="24">
        <v>0</v>
      </c>
    </row>
    <row r="240" spans="1:26" s="9" customFormat="1">
      <c r="A240" s="2" t="s">
        <v>101</v>
      </c>
      <c r="B240" s="2" t="s">
        <v>3416</v>
      </c>
      <c r="C240" s="2" t="str">
        <f t="shared" si="16"/>
        <v>354</v>
      </c>
      <c r="D240" s="31" t="s">
        <v>92</v>
      </c>
      <c r="E240" s="24">
        <v>7181081.2999999998</v>
      </c>
      <c r="F240" s="40"/>
      <c r="G240" s="24">
        <v>0</v>
      </c>
      <c r="H240" s="40"/>
      <c r="I240" s="24">
        <v>0</v>
      </c>
      <c r="J240" s="40"/>
      <c r="K240" s="24">
        <v>0</v>
      </c>
      <c r="L240" s="40"/>
      <c r="M240" s="24">
        <v>0</v>
      </c>
      <c r="N240" s="40"/>
      <c r="O240" s="24">
        <v>7181081.2999999998</v>
      </c>
      <c r="P240" s="37"/>
      <c r="Q240" s="38">
        <v>-5155922.53</v>
      </c>
      <c r="R240" s="31"/>
      <c r="S240" s="38">
        <v>2025158.7699999996</v>
      </c>
      <c r="T240" s="40"/>
      <c r="U240" s="24">
        <v>0</v>
      </c>
      <c r="V240" s="40"/>
      <c r="W240" s="24">
        <v>-5155922.53</v>
      </c>
      <c r="X240" s="40"/>
      <c r="Y240" s="24">
        <v>7181081.2999999998</v>
      </c>
      <c r="Z240" s="24">
        <v>0</v>
      </c>
    </row>
    <row r="241" spans="1:26">
      <c r="A241" s="2" t="s">
        <v>101</v>
      </c>
      <c r="B241" s="2" t="s">
        <v>3416</v>
      </c>
      <c r="C241" s="2" t="str">
        <f t="shared" si="16"/>
        <v>355</v>
      </c>
      <c r="D241" s="31" t="s">
        <v>93</v>
      </c>
      <c r="E241" s="24">
        <v>13335497.01</v>
      </c>
      <c r="F241" s="40"/>
      <c r="G241" s="24">
        <v>869511.16387040005</v>
      </c>
      <c r="H241" s="40"/>
      <c r="I241" s="24">
        <v>-9920.2199999999993</v>
      </c>
      <c r="J241" s="40"/>
      <c r="K241" s="24">
        <v>0</v>
      </c>
      <c r="L241" s="40"/>
      <c r="M241" s="24">
        <v>859590.94387040008</v>
      </c>
      <c r="N241" s="40"/>
      <c r="O241" s="24">
        <v>14195087.953870401</v>
      </c>
      <c r="P241" s="37"/>
      <c r="Q241" s="38">
        <v>-4698041.5578000005</v>
      </c>
      <c r="R241" s="31"/>
      <c r="S241" s="38">
        <v>9497046.3960704003</v>
      </c>
      <c r="T241" s="40"/>
      <c r="U241" s="24">
        <v>5500.832603942069</v>
      </c>
      <c r="V241" s="40"/>
      <c r="W241" s="24">
        <v>-4692540.7251960589</v>
      </c>
      <c r="X241" s="40"/>
      <c r="Y241" s="24">
        <v>14195087.9538703</v>
      </c>
      <c r="Z241" s="24">
        <v>-1.0058283805847168E-7</v>
      </c>
    </row>
    <row r="242" spans="1:26">
      <c r="A242" s="2" t="s">
        <v>101</v>
      </c>
      <c r="B242" s="2" t="s">
        <v>3416</v>
      </c>
      <c r="C242" s="2" t="str">
        <f t="shared" si="16"/>
        <v>356</v>
      </c>
      <c r="D242" s="31" t="s">
        <v>94</v>
      </c>
      <c r="E242" s="24">
        <v>17926354.18</v>
      </c>
      <c r="F242" s="40"/>
      <c r="G242" s="24">
        <v>820336.11100849998</v>
      </c>
      <c r="H242" s="40"/>
      <c r="I242" s="24">
        <v>-50189</v>
      </c>
      <c r="J242" s="40"/>
      <c r="K242" s="24">
        <v>0</v>
      </c>
      <c r="L242" s="40"/>
      <c r="M242" s="24">
        <v>770147.11100849998</v>
      </c>
      <c r="N242" s="40"/>
      <c r="O242" s="24">
        <v>18696501.291008499</v>
      </c>
      <c r="P242" s="37"/>
      <c r="Q242" s="38">
        <v>-10530027.999999899</v>
      </c>
      <c r="R242" s="31"/>
      <c r="S242" s="38">
        <v>8166473.2910085991</v>
      </c>
      <c r="T242" s="40"/>
      <c r="U242" s="24">
        <v>5189.7339713733518</v>
      </c>
      <c r="V242" s="40"/>
      <c r="W242" s="24">
        <v>-10524838.266028525</v>
      </c>
      <c r="X242" s="40"/>
      <c r="Y242" s="24">
        <v>18696501.291008499</v>
      </c>
      <c r="Z242" s="24">
        <v>0</v>
      </c>
    </row>
    <row r="243" spans="1:26">
      <c r="A243" s="2" t="s">
        <v>101</v>
      </c>
      <c r="B243" s="2" t="s">
        <v>3416</v>
      </c>
      <c r="C243" s="2" t="str">
        <f t="shared" si="16"/>
        <v>357</v>
      </c>
      <c r="D243" s="5" t="s">
        <v>95</v>
      </c>
      <c r="E243" s="17">
        <v>0</v>
      </c>
      <c r="F243" s="43"/>
      <c r="G243" s="17">
        <v>0</v>
      </c>
      <c r="H243" s="43"/>
      <c r="I243" s="17">
        <v>0</v>
      </c>
      <c r="J243" s="43"/>
      <c r="K243" s="17">
        <v>0</v>
      </c>
      <c r="L243" s="43"/>
      <c r="M243" s="17">
        <v>0</v>
      </c>
      <c r="N243" s="43"/>
      <c r="O243" s="17">
        <v>0</v>
      </c>
      <c r="P243" s="39"/>
      <c r="Q243" s="13">
        <v>0</v>
      </c>
      <c r="R243" s="5"/>
      <c r="S243" s="13">
        <v>0</v>
      </c>
      <c r="T243" s="43"/>
      <c r="U243" s="17">
        <v>0</v>
      </c>
      <c r="V243" s="43"/>
      <c r="W243" s="17">
        <v>0</v>
      </c>
      <c r="X243" s="43"/>
      <c r="Y243" s="17">
        <v>0</v>
      </c>
      <c r="Z243" s="17">
        <v>0</v>
      </c>
    </row>
    <row r="244" spans="1:26">
      <c r="A244" s="2" t="s">
        <v>101</v>
      </c>
      <c r="B244" s="2" t="s">
        <v>3416</v>
      </c>
      <c r="C244" s="2" t="str">
        <f t="shared" si="16"/>
        <v>358</v>
      </c>
      <c r="D244" s="5" t="s">
        <v>105</v>
      </c>
      <c r="E244" s="20">
        <v>0</v>
      </c>
      <c r="F244" s="43"/>
      <c r="G244" s="20">
        <v>0</v>
      </c>
      <c r="H244" s="43"/>
      <c r="I244" s="20">
        <v>0</v>
      </c>
      <c r="J244" s="43"/>
      <c r="K244" s="20">
        <v>0</v>
      </c>
      <c r="L244" s="43"/>
      <c r="M244" s="20">
        <v>0</v>
      </c>
      <c r="N244" s="43"/>
      <c r="O244" s="20">
        <v>0</v>
      </c>
      <c r="P244" s="39"/>
      <c r="Q244" s="21">
        <v>0</v>
      </c>
      <c r="R244" s="5"/>
      <c r="S244" s="21">
        <v>0</v>
      </c>
      <c r="T244" s="43"/>
      <c r="U244" s="20">
        <v>0</v>
      </c>
      <c r="V244" s="43"/>
      <c r="W244" s="20">
        <v>0</v>
      </c>
      <c r="X244" s="43"/>
      <c r="Y244" s="20">
        <v>0</v>
      </c>
      <c r="Z244" s="20">
        <v>0</v>
      </c>
    </row>
    <row r="245" spans="1:26">
      <c r="B245" s="2" t="s">
        <v>3416</v>
      </c>
      <c r="D245" s="31"/>
      <c r="E245" s="24">
        <v>65285191.739999995</v>
      </c>
      <c r="F245" s="40"/>
      <c r="G245" s="24">
        <v>1821535.4448789</v>
      </c>
      <c r="H245" s="40"/>
      <c r="I245" s="24">
        <v>-73546.55</v>
      </c>
      <c r="J245" s="40"/>
      <c r="K245" s="24">
        <v>0</v>
      </c>
      <c r="L245" s="40"/>
      <c r="M245" s="24">
        <v>1747988.8948789001</v>
      </c>
      <c r="N245" s="40"/>
      <c r="O245" s="24">
        <v>67033180.634878904</v>
      </c>
      <c r="P245" s="37"/>
      <c r="Q245" s="24">
        <v>-31482016.607799891</v>
      </c>
      <c r="R245" s="31"/>
      <c r="S245" s="24">
        <v>35551164.027079009</v>
      </c>
      <c r="T245" s="40"/>
      <c r="U245" s="17">
        <v>11523.6721284</v>
      </c>
      <c r="V245" s="40"/>
      <c r="W245" s="24">
        <v>-31470492.935671493</v>
      </c>
      <c r="X245" s="40">
        <v>0</v>
      </c>
      <c r="Y245" s="24">
        <v>67033180.634878799</v>
      </c>
      <c r="Z245" s="24">
        <v>-1.0058283805847168E-7</v>
      </c>
    </row>
    <row r="246" spans="1:26">
      <c r="B246" s="2" t="s">
        <v>3416</v>
      </c>
      <c r="D246" s="31"/>
      <c r="E246" s="24"/>
      <c r="F246" s="37"/>
      <c r="G246" s="24"/>
      <c r="H246" s="37"/>
      <c r="I246" s="24"/>
      <c r="J246" s="37"/>
      <c r="K246" s="24"/>
      <c r="L246" s="37"/>
      <c r="M246" s="24"/>
      <c r="N246" s="37"/>
      <c r="O246" s="24"/>
      <c r="P246" s="37"/>
      <c r="Q246" s="31"/>
      <c r="R246" s="31"/>
      <c r="S246" s="31"/>
      <c r="T246" s="37"/>
      <c r="U246" s="24"/>
      <c r="V246" s="37"/>
      <c r="W246" s="24"/>
      <c r="X246" s="37"/>
      <c r="Y246" s="24"/>
      <c r="Z246" s="24"/>
    </row>
    <row r="247" spans="1:26" s="29" customFormat="1">
      <c r="B247" s="2" t="s">
        <v>3416</v>
      </c>
      <c r="D247" s="31"/>
      <c r="E247" s="26"/>
      <c r="F247" s="37"/>
      <c r="G247" s="26"/>
      <c r="H247" s="37"/>
      <c r="I247" s="26"/>
      <c r="J247" s="37"/>
      <c r="K247" s="26"/>
      <c r="L247" s="37"/>
      <c r="M247" s="26"/>
      <c r="N247" s="37"/>
      <c r="O247" s="26"/>
      <c r="P247" s="37"/>
      <c r="Q247" s="31"/>
      <c r="R247" s="31"/>
      <c r="S247" s="31"/>
      <c r="T247" s="37"/>
      <c r="U247" s="26"/>
      <c r="V247" s="37"/>
      <c r="W247" s="26"/>
      <c r="X247" s="37"/>
      <c r="Y247" s="26"/>
      <c r="Z247" s="26"/>
    </row>
    <row r="248" spans="1:26" s="29" customFormat="1" ht="13.5" thickBot="1">
      <c r="B248" s="2" t="s">
        <v>3416</v>
      </c>
      <c r="D248" s="34" t="s">
        <v>106</v>
      </c>
      <c r="E248" s="44">
        <v>161432744.38999999</v>
      </c>
      <c r="F248" s="40"/>
      <c r="G248" s="44">
        <v>7501411.3028515987</v>
      </c>
      <c r="H248" s="40"/>
      <c r="I248" s="44">
        <v>-613423.60999999871</v>
      </c>
      <c r="J248" s="40"/>
      <c r="K248" s="44">
        <v>0</v>
      </c>
      <c r="L248" s="40"/>
      <c r="M248" s="44">
        <v>6887987.6928516012</v>
      </c>
      <c r="N248" s="40"/>
      <c r="O248" s="44">
        <v>168320732.08285159</v>
      </c>
      <c r="P248" s="40"/>
      <c r="Q248" s="44">
        <v>-73357003.400317162</v>
      </c>
      <c r="R248" s="31"/>
      <c r="S248" s="44">
        <v>94963728.682534441</v>
      </c>
      <c r="T248" s="40"/>
      <c r="U248" s="44">
        <v>11523.672161100158</v>
      </c>
      <c r="V248" s="40"/>
      <c r="W248" s="44">
        <v>-73345479.72815606</v>
      </c>
      <c r="X248" s="40"/>
      <c r="Y248" s="44">
        <v>168320732.0828515</v>
      </c>
      <c r="Z248" s="44">
        <v>-9.1793481260538101E-8</v>
      </c>
    </row>
    <row r="249" spans="1:26" s="29" customFormat="1" ht="13.5" thickTop="1">
      <c r="D249" s="2"/>
      <c r="E249" s="66"/>
      <c r="F249" s="503"/>
      <c r="G249" s="66"/>
      <c r="H249" s="503"/>
      <c r="I249" s="66"/>
      <c r="J249" s="503"/>
      <c r="K249" s="66"/>
      <c r="L249" s="503"/>
      <c r="M249" s="66"/>
      <c r="N249" s="503"/>
      <c r="O249" s="66"/>
      <c r="P249" s="2"/>
      <c r="Q249" s="2"/>
      <c r="R249" s="2"/>
      <c r="S249" s="2"/>
      <c r="T249" s="37"/>
      <c r="U249" s="66"/>
      <c r="V249" s="37"/>
      <c r="W249" s="66"/>
      <c r="X249" s="37"/>
      <c r="Y249" s="66"/>
      <c r="Z249" s="66"/>
    </row>
    <row r="250" spans="1:26" s="29" customFormat="1">
      <c r="D250" s="2" t="s">
        <v>2491</v>
      </c>
      <c r="E250" s="66">
        <v>161432744.38999999</v>
      </c>
      <c r="F250" s="503"/>
      <c r="G250" s="66"/>
      <c r="H250" s="503"/>
      <c r="I250" s="66"/>
      <c r="J250" s="503"/>
      <c r="K250" s="66"/>
      <c r="L250" s="503"/>
      <c r="M250" s="66"/>
      <c r="N250" s="503"/>
      <c r="O250" s="66"/>
      <c r="P250" s="2"/>
      <c r="Q250" s="2"/>
      <c r="R250" s="2"/>
      <c r="S250" s="2"/>
      <c r="T250" s="37"/>
      <c r="U250" s="66"/>
      <c r="V250" s="37"/>
      <c r="W250" s="66"/>
      <c r="X250" s="37"/>
      <c r="Y250" s="66"/>
      <c r="Z250" s="66"/>
    </row>
    <row r="251" spans="1:26" s="29" customFormat="1">
      <c r="D251" s="28"/>
      <c r="E251" s="232">
        <v>0</v>
      </c>
      <c r="F251" s="504"/>
      <c r="G251" s="232"/>
      <c r="H251" s="504"/>
      <c r="I251" s="232"/>
      <c r="J251" s="504"/>
      <c r="K251" s="232"/>
      <c r="L251" s="504"/>
      <c r="M251" s="232"/>
      <c r="N251" s="504"/>
      <c r="O251" s="232"/>
      <c r="T251" s="40"/>
      <c r="U251" s="232"/>
      <c r="V251" s="40"/>
      <c r="W251" s="232"/>
      <c r="X251" s="40"/>
      <c r="Y251" s="232"/>
      <c r="Z251" s="232"/>
    </row>
    <row r="252" spans="1:26" s="29" customFormat="1">
      <c r="D252" s="28"/>
      <c r="E252" s="232"/>
      <c r="F252" s="504"/>
      <c r="G252" s="232"/>
      <c r="H252" s="504"/>
      <c r="I252" s="232"/>
      <c r="J252" s="504"/>
      <c r="K252" s="232"/>
      <c r="L252" s="504"/>
      <c r="M252" s="232"/>
      <c r="N252" s="504"/>
      <c r="O252" s="232"/>
      <c r="T252" s="40"/>
      <c r="U252" s="232"/>
      <c r="V252" s="40"/>
      <c r="W252" s="232"/>
      <c r="X252" s="40"/>
      <c r="Y252" s="232"/>
      <c r="Z252" s="232"/>
    </row>
    <row r="253" spans="1:26" s="29" customFormat="1">
      <c r="E253" s="232"/>
      <c r="F253" s="504"/>
      <c r="G253" s="232"/>
      <c r="H253" s="504"/>
      <c r="I253" s="232"/>
      <c r="J253" s="504"/>
      <c r="K253" s="232"/>
      <c r="L253" s="504"/>
      <c r="M253" s="232"/>
      <c r="N253" s="504"/>
      <c r="O253" s="232"/>
      <c r="T253" s="40"/>
      <c r="U253" s="232"/>
      <c r="V253" s="40"/>
      <c r="W253" s="232"/>
      <c r="X253" s="40"/>
      <c r="Y253" s="232"/>
      <c r="Z253" s="232"/>
    </row>
    <row r="254" spans="1:26" s="29" customFormat="1">
      <c r="E254" s="232"/>
      <c r="F254" s="504"/>
      <c r="G254" s="232"/>
      <c r="H254" s="504"/>
      <c r="I254" s="232"/>
      <c r="J254" s="504"/>
      <c r="K254" s="232"/>
      <c r="L254" s="504"/>
      <c r="M254" s="232"/>
      <c r="N254" s="504"/>
      <c r="O254" s="232"/>
      <c r="T254" s="40"/>
      <c r="U254" s="232"/>
      <c r="V254" s="40"/>
      <c r="W254" s="232"/>
      <c r="X254" s="40"/>
      <c r="Y254" s="232"/>
      <c r="Z254" s="232"/>
    </row>
    <row r="255" spans="1:26" s="29" customFormat="1">
      <c r="E255" s="232"/>
      <c r="F255" s="504"/>
      <c r="G255" s="232"/>
      <c r="H255" s="504"/>
      <c r="I255" s="232"/>
      <c r="J255" s="504"/>
      <c r="K255" s="232"/>
      <c r="L255" s="504"/>
      <c r="M255" s="232"/>
      <c r="N255" s="504"/>
      <c r="O255" s="232"/>
      <c r="T255" s="40"/>
      <c r="U255" s="232"/>
      <c r="V255" s="40"/>
      <c r="W255" s="232"/>
      <c r="X255" s="40"/>
      <c r="Y255" s="232"/>
      <c r="Z255" s="232"/>
    </row>
    <row r="256" spans="1:26" s="29" customFormat="1">
      <c r="E256" s="232"/>
      <c r="F256" s="504"/>
      <c r="G256" s="232"/>
      <c r="H256" s="504"/>
      <c r="I256" s="232"/>
      <c r="J256" s="504"/>
      <c r="K256" s="232"/>
      <c r="L256" s="504"/>
      <c r="M256" s="232"/>
      <c r="N256" s="504"/>
      <c r="O256" s="232"/>
      <c r="T256" s="40"/>
      <c r="U256" s="232"/>
      <c r="V256" s="40"/>
      <c r="W256" s="232"/>
      <c r="X256" s="40"/>
      <c r="Y256" s="232"/>
      <c r="Z256" s="232"/>
    </row>
    <row r="257" spans="4:26" s="29" customFormat="1">
      <c r="E257" s="232"/>
      <c r="F257" s="504"/>
      <c r="G257" s="232"/>
      <c r="H257" s="504"/>
      <c r="I257" s="232"/>
      <c r="J257" s="504"/>
      <c r="K257" s="232"/>
      <c r="L257" s="504"/>
      <c r="M257" s="232"/>
      <c r="N257" s="504"/>
      <c r="O257" s="232"/>
      <c r="T257" s="40"/>
      <c r="U257" s="232"/>
      <c r="V257" s="40"/>
      <c r="W257" s="232"/>
      <c r="X257" s="40"/>
      <c r="Y257" s="232"/>
      <c r="Z257" s="232"/>
    </row>
    <row r="258" spans="4:26" s="29" customFormat="1">
      <c r="E258" s="232"/>
      <c r="F258" s="504"/>
      <c r="G258" s="232"/>
      <c r="H258" s="504"/>
      <c r="I258" s="232"/>
      <c r="J258" s="504"/>
      <c r="K258" s="232"/>
      <c r="L258" s="504"/>
      <c r="M258" s="232"/>
      <c r="N258" s="504"/>
      <c r="O258" s="232"/>
      <c r="T258" s="40"/>
      <c r="U258" s="232"/>
      <c r="V258" s="40"/>
      <c r="W258" s="232"/>
      <c r="X258" s="40"/>
      <c r="Y258" s="232"/>
      <c r="Z258" s="232"/>
    </row>
    <row r="259" spans="4:26" s="29" customFormat="1">
      <c r="E259" s="232"/>
      <c r="F259" s="504"/>
      <c r="G259" s="232"/>
      <c r="H259" s="504"/>
      <c r="I259" s="232"/>
      <c r="J259" s="504"/>
      <c r="K259" s="232"/>
      <c r="L259" s="504"/>
      <c r="M259" s="232"/>
      <c r="N259" s="504"/>
      <c r="O259" s="232"/>
      <c r="T259" s="40"/>
      <c r="U259" s="232"/>
      <c r="V259" s="40"/>
      <c r="W259" s="232"/>
      <c r="X259" s="40"/>
      <c r="Y259" s="232"/>
      <c r="Z259" s="232"/>
    </row>
    <row r="260" spans="4:26" s="29" customFormat="1">
      <c r="E260" s="232"/>
      <c r="F260" s="504"/>
      <c r="G260" s="232"/>
      <c r="H260" s="504"/>
      <c r="I260" s="232"/>
      <c r="J260" s="504"/>
      <c r="K260" s="232"/>
      <c r="L260" s="504"/>
      <c r="M260" s="232"/>
      <c r="N260" s="504"/>
      <c r="O260" s="232"/>
      <c r="T260" s="40"/>
      <c r="U260" s="232"/>
      <c r="V260" s="40"/>
      <c r="W260" s="232"/>
      <c r="X260" s="40"/>
      <c r="Y260" s="232"/>
      <c r="Z260" s="232"/>
    </row>
    <row r="261" spans="4:26" s="29" customFormat="1">
      <c r="E261" s="232"/>
      <c r="F261" s="504"/>
      <c r="G261" s="232"/>
      <c r="H261" s="504"/>
      <c r="I261" s="232"/>
      <c r="J261" s="504"/>
      <c r="K261" s="232"/>
      <c r="L261" s="504"/>
      <c r="M261" s="232"/>
      <c r="N261" s="504"/>
      <c r="O261" s="232"/>
      <c r="T261" s="40"/>
      <c r="U261" s="232"/>
      <c r="V261" s="40"/>
      <c r="W261" s="232"/>
      <c r="X261" s="40"/>
      <c r="Y261" s="232"/>
      <c r="Z261" s="232"/>
    </row>
    <row r="262" spans="4:26" s="29" customFormat="1">
      <c r="E262" s="232"/>
      <c r="F262" s="504"/>
      <c r="G262" s="232"/>
      <c r="H262" s="504"/>
      <c r="I262" s="232"/>
      <c r="J262" s="504"/>
      <c r="K262" s="232"/>
      <c r="L262" s="504"/>
      <c r="M262" s="232"/>
      <c r="N262" s="504"/>
      <c r="O262" s="232"/>
      <c r="T262" s="40"/>
      <c r="U262" s="232"/>
      <c r="V262" s="40"/>
      <c r="W262" s="232"/>
      <c r="X262" s="40"/>
      <c r="Y262" s="232"/>
      <c r="Z262" s="232"/>
    </row>
    <row r="263" spans="4:26" s="29" customFormat="1">
      <c r="E263" s="232"/>
      <c r="F263" s="504"/>
      <c r="G263" s="232"/>
      <c r="H263" s="504"/>
      <c r="I263" s="232"/>
      <c r="J263" s="504"/>
      <c r="K263" s="232"/>
      <c r="L263" s="504"/>
      <c r="M263" s="232"/>
      <c r="N263" s="504"/>
      <c r="O263" s="232"/>
      <c r="T263" s="40"/>
      <c r="U263" s="232"/>
      <c r="V263" s="40"/>
      <c r="W263" s="232"/>
      <c r="X263" s="40"/>
      <c r="Y263" s="232"/>
      <c r="Z263" s="232"/>
    </row>
    <row r="264" spans="4:26" s="29" customFormat="1">
      <c r="D264" s="28"/>
      <c r="E264" s="232"/>
      <c r="F264" s="504"/>
      <c r="G264" s="232"/>
      <c r="H264" s="504"/>
      <c r="I264" s="232"/>
      <c r="J264" s="504"/>
      <c r="K264" s="232"/>
      <c r="L264" s="504"/>
      <c r="M264" s="232"/>
      <c r="N264" s="504"/>
      <c r="O264" s="232"/>
      <c r="T264" s="40"/>
      <c r="U264" s="232"/>
      <c r="V264" s="40"/>
      <c r="W264" s="232"/>
      <c r="X264" s="40"/>
      <c r="Y264" s="232"/>
      <c r="Z264" s="232"/>
    </row>
    <row r="265" spans="4:26" s="29" customFormat="1">
      <c r="E265" s="232"/>
      <c r="F265" s="504"/>
      <c r="G265" s="232"/>
      <c r="H265" s="504"/>
      <c r="I265" s="232"/>
      <c r="J265" s="504"/>
      <c r="K265" s="232"/>
      <c r="L265" s="504"/>
      <c r="M265" s="232"/>
      <c r="N265" s="504"/>
      <c r="O265" s="232"/>
      <c r="T265" s="40"/>
      <c r="U265" s="232"/>
      <c r="V265" s="40"/>
      <c r="W265" s="232"/>
      <c r="X265" s="40"/>
      <c r="Y265" s="232"/>
      <c r="Z265" s="232"/>
    </row>
    <row r="266" spans="4:26" s="29" customFormat="1">
      <c r="E266" s="232"/>
      <c r="F266" s="504"/>
      <c r="G266" s="232"/>
      <c r="H266" s="504"/>
      <c r="I266" s="232"/>
      <c r="J266" s="504"/>
      <c r="K266" s="232"/>
      <c r="L266" s="504"/>
      <c r="M266" s="232"/>
      <c r="N266" s="504"/>
      <c r="O266" s="232"/>
      <c r="T266" s="40"/>
      <c r="U266" s="232"/>
      <c r="V266" s="40"/>
      <c r="W266" s="232"/>
      <c r="X266" s="40"/>
      <c r="Y266" s="232"/>
      <c r="Z266" s="232"/>
    </row>
    <row r="267" spans="4:26" s="29" customFormat="1">
      <c r="E267" s="232"/>
      <c r="F267" s="504"/>
      <c r="G267" s="232"/>
      <c r="H267" s="504"/>
      <c r="I267" s="232"/>
      <c r="J267" s="504"/>
      <c r="K267" s="232"/>
      <c r="L267" s="504"/>
      <c r="M267" s="232"/>
      <c r="N267" s="504"/>
      <c r="O267" s="232"/>
      <c r="T267" s="40"/>
      <c r="U267" s="232"/>
      <c r="V267" s="40"/>
      <c r="W267" s="232"/>
      <c r="X267" s="40"/>
      <c r="Y267" s="232"/>
      <c r="Z267" s="232"/>
    </row>
    <row r="268" spans="4:26" s="29" customFormat="1">
      <c r="D268" s="28"/>
      <c r="E268" s="232"/>
      <c r="F268" s="504"/>
      <c r="G268" s="232"/>
      <c r="H268" s="504"/>
      <c r="I268" s="232"/>
      <c r="J268" s="504"/>
      <c r="K268" s="232"/>
      <c r="L268" s="504"/>
      <c r="M268" s="232"/>
      <c r="N268" s="504"/>
      <c r="O268" s="232"/>
      <c r="T268" s="40"/>
      <c r="U268" s="232"/>
      <c r="V268" s="40"/>
      <c r="W268" s="232"/>
      <c r="X268" s="40"/>
      <c r="Y268" s="232"/>
      <c r="Z268" s="232"/>
    </row>
    <row r="269" spans="4:26" s="29" customFormat="1">
      <c r="E269" s="232"/>
      <c r="F269" s="504"/>
      <c r="G269" s="232"/>
      <c r="H269" s="504"/>
      <c r="I269" s="232"/>
      <c r="J269" s="504"/>
      <c r="K269" s="232"/>
      <c r="L269" s="504"/>
      <c r="M269" s="232"/>
      <c r="N269" s="504"/>
      <c r="O269" s="232"/>
      <c r="T269" s="40"/>
      <c r="U269" s="232"/>
      <c r="V269" s="40"/>
      <c r="W269" s="232"/>
      <c r="X269" s="40"/>
      <c r="Y269" s="232"/>
      <c r="Z269" s="232"/>
    </row>
    <row r="270" spans="4:26" s="29" customFormat="1">
      <c r="E270" s="232"/>
      <c r="F270" s="504"/>
      <c r="G270" s="232"/>
      <c r="H270" s="504"/>
      <c r="I270" s="232"/>
      <c r="J270" s="504"/>
      <c r="K270" s="232"/>
      <c r="L270" s="504"/>
      <c r="M270" s="232"/>
      <c r="N270" s="504"/>
      <c r="O270" s="232"/>
      <c r="T270" s="40"/>
      <c r="U270" s="232"/>
      <c r="V270" s="40"/>
      <c r="W270" s="232"/>
      <c r="X270" s="40"/>
      <c r="Y270" s="232"/>
      <c r="Z270" s="232"/>
    </row>
    <row r="271" spans="4:26" s="29" customFormat="1">
      <c r="E271" s="232"/>
      <c r="F271" s="504"/>
      <c r="G271" s="232"/>
      <c r="H271" s="504"/>
      <c r="I271" s="232"/>
      <c r="J271" s="504"/>
      <c r="K271" s="232"/>
      <c r="L271" s="504"/>
      <c r="M271" s="232"/>
      <c r="N271" s="504"/>
      <c r="O271" s="232"/>
      <c r="T271" s="40"/>
      <c r="U271" s="232"/>
      <c r="V271" s="40"/>
      <c r="W271" s="232"/>
      <c r="X271" s="40"/>
      <c r="Y271" s="232"/>
      <c r="Z271" s="232"/>
    </row>
    <row r="272" spans="4:26" s="29" customFormat="1">
      <c r="E272" s="232"/>
      <c r="F272" s="504"/>
      <c r="G272" s="232"/>
      <c r="H272" s="504"/>
      <c r="I272" s="232"/>
      <c r="J272" s="504"/>
      <c r="K272" s="232"/>
      <c r="L272" s="504"/>
      <c r="M272" s="232"/>
      <c r="N272" s="504"/>
      <c r="O272" s="232"/>
      <c r="T272" s="40"/>
      <c r="U272" s="232"/>
      <c r="V272" s="40"/>
      <c r="W272" s="232"/>
      <c r="X272" s="40"/>
      <c r="Y272" s="232"/>
      <c r="Z272" s="232"/>
    </row>
    <row r="273" spans="4:26" s="29" customFormat="1">
      <c r="E273" s="232"/>
      <c r="F273" s="504"/>
      <c r="G273" s="232"/>
      <c r="H273" s="504"/>
      <c r="I273" s="232"/>
      <c r="J273" s="504"/>
      <c r="K273" s="232"/>
      <c r="L273" s="504"/>
      <c r="M273" s="232"/>
      <c r="N273" s="504"/>
      <c r="O273" s="232"/>
      <c r="T273" s="40"/>
      <c r="U273" s="232"/>
      <c r="V273" s="40"/>
      <c r="W273" s="232"/>
      <c r="X273" s="40"/>
      <c r="Y273" s="232"/>
      <c r="Z273" s="232"/>
    </row>
    <row r="274" spans="4:26" s="29" customFormat="1">
      <c r="E274" s="232"/>
      <c r="F274" s="504"/>
      <c r="G274" s="232"/>
      <c r="H274" s="504"/>
      <c r="I274" s="232"/>
      <c r="J274" s="504"/>
      <c r="K274" s="232"/>
      <c r="L274" s="504"/>
      <c r="M274" s="232"/>
      <c r="N274" s="504"/>
      <c r="O274" s="232"/>
      <c r="T274" s="40"/>
      <c r="U274" s="232"/>
      <c r="V274" s="40"/>
      <c r="W274" s="232"/>
      <c r="X274" s="40"/>
      <c r="Y274" s="232"/>
      <c r="Z274" s="232"/>
    </row>
    <row r="275" spans="4:26">
      <c r="D275" s="28"/>
      <c r="E275" s="232"/>
      <c r="F275" s="504"/>
      <c r="G275" s="232"/>
      <c r="H275" s="504"/>
      <c r="I275" s="232"/>
      <c r="J275" s="504"/>
      <c r="K275" s="232"/>
      <c r="L275" s="504"/>
      <c r="M275" s="232"/>
      <c r="N275" s="504"/>
      <c r="O275" s="232"/>
      <c r="P275" s="29"/>
      <c r="Q275" s="29"/>
      <c r="R275" s="29"/>
      <c r="S275" s="29"/>
      <c r="T275" s="40"/>
      <c r="U275" s="232"/>
      <c r="V275" s="40"/>
      <c r="W275" s="232"/>
      <c r="X275" s="40"/>
      <c r="Y275" s="232"/>
      <c r="Z275" s="232"/>
    </row>
    <row r="276" spans="4:26">
      <c r="D276" s="28"/>
      <c r="E276" s="232"/>
      <c r="F276" s="504"/>
      <c r="G276" s="232"/>
      <c r="H276" s="504"/>
      <c r="I276" s="232"/>
      <c r="J276" s="504"/>
      <c r="K276" s="232"/>
      <c r="L276" s="504"/>
      <c r="M276" s="232"/>
      <c r="N276" s="504"/>
      <c r="O276" s="232"/>
      <c r="P276" s="29"/>
      <c r="Q276" s="29"/>
      <c r="R276" s="29"/>
      <c r="S276" s="29"/>
      <c r="T276" s="40"/>
      <c r="U276" s="232"/>
      <c r="V276" s="40"/>
      <c r="W276" s="232"/>
      <c r="X276" s="40"/>
      <c r="Y276" s="232"/>
      <c r="Z276" s="232"/>
    </row>
    <row r="277" spans="4:26">
      <c r="D277" s="29"/>
      <c r="E277" s="232"/>
      <c r="F277" s="504"/>
      <c r="G277" s="232"/>
      <c r="H277" s="504"/>
      <c r="I277" s="232"/>
      <c r="J277" s="504"/>
      <c r="K277" s="232"/>
      <c r="L277" s="504"/>
      <c r="M277" s="232"/>
      <c r="N277" s="504"/>
      <c r="O277" s="232"/>
      <c r="P277" s="29"/>
      <c r="Q277" s="29"/>
      <c r="R277" s="29"/>
      <c r="S277" s="29"/>
      <c r="T277" s="40"/>
      <c r="U277" s="232"/>
      <c r="V277" s="40"/>
      <c r="W277" s="232"/>
      <c r="X277" s="40"/>
      <c r="Y277" s="232"/>
      <c r="Z277" s="232"/>
    </row>
    <row r="278" spans="4:26">
      <c r="D278" s="28"/>
      <c r="E278" s="232"/>
      <c r="F278" s="504"/>
      <c r="G278" s="232"/>
      <c r="H278" s="504"/>
      <c r="I278" s="232"/>
      <c r="J278" s="504"/>
      <c r="K278" s="232"/>
      <c r="L278" s="504"/>
      <c r="M278" s="232"/>
      <c r="N278" s="504"/>
      <c r="O278" s="232"/>
      <c r="P278" s="29"/>
      <c r="Q278" s="29"/>
      <c r="R278" s="29"/>
      <c r="S278" s="29"/>
      <c r="T278" s="40"/>
      <c r="U278" s="232"/>
      <c r="V278" s="40"/>
      <c r="W278" s="232"/>
      <c r="X278" s="40"/>
      <c r="Y278" s="232"/>
      <c r="Z278" s="232"/>
    </row>
    <row r="281" spans="4:26">
      <c r="D281" s="498" t="s">
        <v>0</v>
      </c>
      <c r="E281" s="498"/>
      <c r="F281" s="498"/>
      <c r="G281" s="498"/>
      <c r="H281" s="498"/>
      <c r="I281" s="498"/>
      <c r="J281" s="498"/>
      <c r="K281" s="498"/>
      <c r="L281" s="498"/>
      <c r="M281" s="498"/>
      <c r="N281" s="498"/>
      <c r="O281" s="498"/>
      <c r="P281" s="498"/>
      <c r="Q281" s="498"/>
      <c r="R281" s="498"/>
      <c r="S281" s="498"/>
      <c r="T281" s="423"/>
      <c r="U281" s="423"/>
      <c r="V281" s="423"/>
      <c r="W281" s="423"/>
      <c r="X281" s="423"/>
      <c r="Y281" s="423"/>
      <c r="Z281" s="423"/>
    </row>
    <row r="282" spans="4:26">
      <c r="D282" s="498" t="s">
        <v>107</v>
      </c>
      <c r="E282" s="498"/>
      <c r="F282" s="498"/>
      <c r="G282" s="498"/>
      <c r="H282" s="498"/>
      <c r="I282" s="498"/>
      <c r="J282" s="498"/>
      <c r="K282" s="498"/>
      <c r="L282" s="498"/>
      <c r="M282" s="498"/>
      <c r="N282" s="498"/>
      <c r="O282" s="498"/>
      <c r="P282" s="498"/>
      <c r="Q282" s="498"/>
      <c r="R282" s="498"/>
      <c r="S282" s="498"/>
      <c r="T282" s="423"/>
      <c r="U282" s="423"/>
      <c r="V282" s="423"/>
      <c r="W282" s="423"/>
      <c r="X282" s="423"/>
      <c r="Y282" s="423"/>
      <c r="Z282" s="423"/>
    </row>
    <row r="283" spans="4:26">
      <c r="D283" s="499" t="s">
        <v>2482</v>
      </c>
      <c r="E283" s="500"/>
      <c r="F283" s="500"/>
      <c r="G283" s="500"/>
      <c r="H283" s="500"/>
      <c r="I283" s="500"/>
      <c r="J283" s="500"/>
      <c r="K283" s="500"/>
      <c r="L283" s="500"/>
      <c r="M283" s="500"/>
      <c r="N283" s="500"/>
      <c r="O283" s="500"/>
      <c r="P283" s="500"/>
      <c r="Q283" s="500"/>
      <c r="R283" s="500"/>
      <c r="S283" s="500"/>
      <c r="T283" s="425"/>
      <c r="U283" s="425"/>
      <c r="V283" s="425"/>
      <c r="W283" s="425"/>
      <c r="X283" s="425"/>
      <c r="Y283" s="425"/>
      <c r="Z283" s="425"/>
    </row>
    <row r="284" spans="4:26">
      <c r="D284" s="3"/>
      <c r="E284" s="45"/>
      <c r="F284" s="3"/>
      <c r="G284" s="45"/>
      <c r="H284" s="3"/>
      <c r="I284" s="45"/>
      <c r="J284" s="3"/>
      <c r="K284" s="45"/>
      <c r="L284" s="3"/>
      <c r="M284" s="45"/>
      <c r="N284" s="3"/>
      <c r="O284" s="45"/>
      <c r="P284" s="31"/>
      <c r="Q284" s="31"/>
      <c r="R284" s="31"/>
      <c r="S284" s="31"/>
      <c r="T284" s="3"/>
      <c r="U284" s="45"/>
      <c r="V284" s="3"/>
      <c r="W284" s="45"/>
      <c r="X284" s="3"/>
      <c r="Y284" s="45"/>
      <c r="Z284" s="45"/>
    </row>
    <row r="285" spans="4:26">
      <c r="D285" s="3"/>
      <c r="E285" s="45"/>
      <c r="F285" s="3"/>
      <c r="G285" s="45"/>
      <c r="H285" s="3"/>
      <c r="I285" s="45"/>
      <c r="J285" s="3"/>
      <c r="K285" s="45"/>
      <c r="L285" s="3"/>
      <c r="M285" s="45"/>
      <c r="N285" s="3"/>
      <c r="O285" s="45"/>
      <c r="P285" s="31"/>
      <c r="Q285" s="31"/>
      <c r="R285" s="31"/>
      <c r="S285" s="31"/>
      <c r="T285" s="3"/>
      <c r="U285" s="3"/>
      <c r="V285" s="3"/>
      <c r="W285" s="3"/>
      <c r="X285" s="3"/>
      <c r="Y285" s="32" t="s">
        <v>1717</v>
      </c>
      <c r="Z285" s="32"/>
    </row>
    <row r="286" spans="4:26" ht="15">
      <c r="D286" s="31"/>
      <c r="E286" s="505" t="s">
        <v>2483</v>
      </c>
      <c r="F286" s="31"/>
      <c r="G286" s="26"/>
      <c r="H286" s="31"/>
      <c r="I286" s="26"/>
      <c r="J286" s="31"/>
      <c r="K286" s="26"/>
      <c r="L286" s="31"/>
      <c r="M286" s="26"/>
      <c r="N286" s="31"/>
      <c r="O286" s="505" t="s">
        <v>2484</v>
      </c>
      <c r="P286" s="31"/>
      <c r="Q286" s="31"/>
      <c r="R286" s="31"/>
      <c r="S286" s="31"/>
      <c r="T286" s="3"/>
      <c r="U286" s="3"/>
      <c r="V286" s="3"/>
      <c r="W286" s="3"/>
      <c r="X286" s="3"/>
      <c r="Y286" s="505" t="s">
        <v>2484</v>
      </c>
      <c r="Z286" s="4"/>
    </row>
    <row r="287" spans="4:26">
      <c r="D287" s="31"/>
      <c r="E287" s="33" t="s">
        <v>2</v>
      </c>
      <c r="F287" s="31"/>
      <c r="G287" s="26"/>
      <c r="H287" s="31"/>
      <c r="I287" s="26"/>
      <c r="J287" s="31"/>
      <c r="K287" s="33" t="s">
        <v>3</v>
      </c>
      <c r="L287" s="31"/>
      <c r="M287" s="26"/>
      <c r="N287" s="31"/>
      <c r="O287" s="33" t="s">
        <v>4</v>
      </c>
      <c r="P287" s="31"/>
      <c r="Q287" s="31"/>
      <c r="R287" s="31"/>
      <c r="S287" s="34" t="s">
        <v>5</v>
      </c>
      <c r="T287" s="31"/>
      <c r="U287" s="231" t="s">
        <v>1204</v>
      </c>
      <c r="V287" s="5"/>
      <c r="W287" s="231" t="s">
        <v>11</v>
      </c>
      <c r="X287" s="5"/>
      <c r="Y287" s="6" t="s">
        <v>4</v>
      </c>
      <c r="Z287" s="6"/>
    </row>
    <row r="288" spans="4:26">
      <c r="D288" s="5"/>
      <c r="E288" s="35" t="s">
        <v>6</v>
      </c>
      <c r="F288" s="31"/>
      <c r="G288" s="35" t="s">
        <v>7</v>
      </c>
      <c r="H288" s="31"/>
      <c r="I288" s="35" t="s">
        <v>8</v>
      </c>
      <c r="J288" s="31"/>
      <c r="K288" s="35" t="s">
        <v>9</v>
      </c>
      <c r="L288" s="31"/>
      <c r="M288" s="35" t="s">
        <v>10</v>
      </c>
      <c r="N288" s="31"/>
      <c r="O288" s="35" t="s">
        <v>6</v>
      </c>
      <c r="P288" s="5"/>
      <c r="Q288" s="35" t="s">
        <v>11</v>
      </c>
      <c r="R288" s="5"/>
      <c r="S288" s="35" t="s">
        <v>12</v>
      </c>
      <c r="T288" s="31"/>
      <c r="U288" s="10" t="s">
        <v>1205</v>
      </c>
      <c r="V288" s="5"/>
      <c r="W288" s="10" t="s">
        <v>2187</v>
      </c>
      <c r="X288" s="5"/>
      <c r="Y288" s="10" t="s">
        <v>6</v>
      </c>
      <c r="Z288" s="10" t="s">
        <v>13</v>
      </c>
    </row>
    <row r="289" spans="1:26">
      <c r="D289" s="8" t="s">
        <v>14</v>
      </c>
      <c r="E289" s="36"/>
      <c r="F289" s="31"/>
      <c r="G289" s="36"/>
      <c r="H289" s="31"/>
      <c r="I289" s="36"/>
      <c r="J289" s="31"/>
      <c r="K289" s="36"/>
      <c r="L289" s="31"/>
      <c r="M289" s="36"/>
      <c r="N289" s="31"/>
      <c r="O289" s="36"/>
      <c r="P289" s="5"/>
      <c r="Q289" s="5"/>
      <c r="R289" s="5"/>
      <c r="S289" s="5"/>
      <c r="T289" s="31"/>
      <c r="U289" s="36"/>
      <c r="V289" s="31"/>
      <c r="W289" s="36"/>
      <c r="X289" s="31"/>
      <c r="Y289" s="36"/>
      <c r="Z289" s="36"/>
    </row>
    <row r="290" spans="1:26">
      <c r="D290" s="34" t="s">
        <v>15</v>
      </c>
      <c r="E290" s="26"/>
      <c r="F290" s="31"/>
      <c r="G290" s="26"/>
      <c r="H290" s="31"/>
      <c r="I290" s="26"/>
      <c r="J290" s="31"/>
      <c r="K290" s="26"/>
      <c r="L290" s="31"/>
      <c r="M290" s="26"/>
      <c r="N290" s="31"/>
      <c r="O290" s="26"/>
      <c r="P290" s="5"/>
      <c r="Q290" s="5"/>
      <c r="R290" s="5"/>
      <c r="S290" s="5"/>
      <c r="T290" s="31"/>
      <c r="U290" s="26"/>
      <c r="V290" s="31"/>
      <c r="W290" s="26"/>
      <c r="X290" s="31"/>
      <c r="Y290" s="26"/>
      <c r="Z290" s="26"/>
    </row>
    <row r="291" spans="1:26">
      <c r="D291" s="34" t="s">
        <v>3423</v>
      </c>
      <c r="E291" s="26"/>
      <c r="F291" s="31"/>
      <c r="G291" s="26"/>
      <c r="H291" s="31"/>
      <c r="I291" s="26"/>
      <c r="J291" s="31"/>
      <c r="K291" s="26"/>
      <c r="L291" s="31"/>
      <c r="M291" s="26"/>
      <c r="N291" s="31"/>
      <c r="O291" s="26"/>
      <c r="P291" s="31"/>
      <c r="Q291" s="31"/>
      <c r="R291" s="31"/>
      <c r="S291" s="31"/>
      <c r="T291" s="31"/>
      <c r="U291" s="26"/>
      <c r="V291" s="31"/>
      <c r="W291" s="26"/>
      <c r="X291" s="31"/>
      <c r="Y291" s="26"/>
      <c r="Z291" s="26"/>
    </row>
    <row r="292" spans="1:26">
      <c r="A292" s="2" t="s">
        <v>108</v>
      </c>
      <c r="B292" s="2" t="s">
        <v>3416</v>
      </c>
      <c r="C292" s="2" t="str">
        <f t="shared" ref="C292:C302" si="17">MID(D292,2,3)</f>
        <v>360</v>
      </c>
      <c r="D292" s="31" t="s">
        <v>102</v>
      </c>
      <c r="E292" s="26">
        <v>5040.2300000000005</v>
      </c>
      <c r="F292" s="37"/>
      <c r="G292" s="26">
        <v>470532.30000000005</v>
      </c>
      <c r="H292" s="37"/>
      <c r="I292" s="26">
        <v>0</v>
      </c>
      <c r="J292" s="37"/>
      <c r="K292" s="26">
        <v>0</v>
      </c>
      <c r="L292" s="37"/>
      <c r="M292" s="26">
        <v>470532.30000000005</v>
      </c>
      <c r="N292" s="37"/>
      <c r="O292" s="26">
        <v>475572.53</v>
      </c>
      <c r="P292" s="31"/>
      <c r="Q292" s="38">
        <v>-2485.9499999999903</v>
      </c>
      <c r="R292" s="31"/>
      <c r="S292" s="38">
        <v>473086.58</v>
      </c>
      <c r="T292" s="37"/>
      <c r="U292" s="434"/>
      <c r="V292" s="43"/>
      <c r="W292" s="17">
        <v>-2485.9499999999903</v>
      </c>
      <c r="X292" s="43"/>
      <c r="Y292" s="17">
        <v>475572.52999999997</v>
      </c>
      <c r="Z292" s="17">
        <v>0</v>
      </c>
    </row>
    <row r="293" spans="1:26">
      <c r="A293" s="2" t="s">
        <v>108</v>
      </c>
      <c r="B293" s="2" t="s">
        <v>3416</v>
      </c>
      <c r="D293" s="31" t="s">
        <v>18</v>
      </c>
      <c r="E293" s="26">
        <v>0</v>
      </c>
      <c r="F293" s="37"/>
      <c r="G293" s="26">
        <v>0</v>
      </c>
      <c r="H293" s="37"/>
      <c r="I293" s="26">
        <v>0</v>
      </c>
      <c r="J293" s="37"/>
      <c r="K293" s="26">
        <v>0</v>
      </c>
      <c r="L293" s="37"/>
      <c r="M293" s="26">
        <v>0</v>
      </c>
      <c r="N293" s="37"/>
      <c r="O293" s="26">
        <v>0</v>
      </c>
      <c r="P293" s="31"/>
      <c r="Q293" s="38">
        <v>0</v>
      </c>
      <c r="R293" s="31"/>
      <c r="S293" s="38">
        <v>0</v>
      </c>
      <c r="T293" s="37"/>
      <c r="U293" s="26"/>
      <c r="V293" s="37"/>
      <c r="W293" s="26">
        <v>0</v>
      </c>
      <c r="X293" s="37"/>
      <c r="Y293" s="26">
        <v>0</v>
      </c>
      <c r="Z293" s="26">
        <v>0</v>
      </c>
    </row>
    <row r="294" spans="1:26">
      <c r="A294" s="2" t="s">
        <v>108</v>
      </c>
      <c r="B294" s="2" t="s">
        <v>3416</v>
      </c>
      <c r="C294" s="2" t="str">
        <f t="shared" si="17"/>
        <v>361</v>
      </c>
      <c r="D294" s="31" t="s">
        <v>19</v>
      </c>
      <c r="E294" s="26">
        <v>2545.13</v>
      </c>
      <c r="F294" s="37"/>
      <c r="G294" s="26">
        <v>0</v>
      </c>
      <c r="H294" s="37"/>
      <c r="I294" s="26">
        <v>0</v>
      </c>
      <c r="J294" s="37"/>
      <c r="K294" s="26">
        <v>0</v>
      </c>
      <c r="L294" s="37"/>
      <c r="M294" s="26">
        <v>0</v>
      </c>
      <c r="N294" s="37"/>
      <c r="O294" s="26">
        <v>2545.13</v>
      </c>
      <c r="P294" s="31"/>
      <c r="Q294" s="38">
        <v>-2512.58</v>
      </c>
      <c r="R294" s="31"/>
      <c r="S294" s="38">
        <v>32.550000000000182</v>
      </c>
      <c r="T294" s="37"/>
      <c r="U294" s="26"/>
      <c r="V294" s="37"/>
      <c r="W294" s="26">
        <v>-2512.58</v>
      </c>
      <c r="X294" s="37"/>
      <c r="Y294" s="26">
        <v>2545.13</v>
      </c>
      <c r="Z294" s="26">
        <v>0</v>
      </c>
    </row>
    <row r="295" spans="1:26">
      <c r="A295" s="2" t="s">
        <v>108</v>
      </c>
      <c r="B295" s="2" t="s">
        <v>3416</v>
      </c>
      <c r="C295" s="2" t="str">
        <f t="shared" si="17"/>
        <v>362</v>
      </c>
      <c r="D295" s="31" t="s">
        <v>20</v>
      </c>
      <c r="E295" s="26">
        <v>66880.149999999994</v>
      </c>
      <c r="F295" s="37"/>
      <c r="G295" s="26">
        <v>0</v>
      </c>
      <c r="H295" s="37"/>
      <c r="I295" s="26">
        <v>0</v>
      </c>
      <c r="J295" s="37"/>
      <c r="K295" s="26">
        <v>0</v>
      </c>
      <c r="L295" s="37"/>
      <c r="M295" s="26">
        <v>0</v>
      </c>
      <c r="N295" s="37"/>
      <c r="O295" s="26">
        <v>66880.149999999994</v>
      </c>
      <c r="P295" s="31"/>
      <c r="Q295" s="38">
        <v>-35978.769999999997</v>
      </c>
      <c r="R295" s="31"/>
      <c r="S295" s="38">
        <v>30901.379999999997</v>
      </c>
      <c r="T295" s="37"/>
      <c r="U295" s="26"/>
      <c r="V295" s="37"/>
      <c r="W295" s="26">
        <v>-35978.769999999997</v>
      </c>
      <c r="X295" s="37"/>
      <c r="Y295" s="26">
        <v>66880.149999999994</v>
      </c>
      <c r="Z295" s="26">
        <v>0</v>
      </c>
    </row>
    <row r="296" spans="1:26">
      <c r="A296" s="2" t="s">
        <v>108</v>
      </c>
      <c r="B296" s="2" t="s">
        <v>3416</v>
      </c>
      <c r="C296" s="2" t="str">
        <f t="shared" si="17"/>
        <v>364</v>
      </c>
      <c r="D296" s="31" t="s">
        <v>21</v>
      </c>
      <c r="E296" s="26">
        <v>47785.56</v>
      </c>
      <c r="F296" s="37"/>
      <c r="G296" s="26">
        <v>0</v>
      </c>
      <c r="H296" s="37"/>
      <c r="I296" s="26">
        <v>0</v>
      </c>
      <c r="J296" s="37"/>
      <c r="K296" s="26">
        <v>0</v>
      </c>
      <c r="L296" s="37"/>
      <c r="M296" s="26">
        <v>0</v>
      </c>
      <c r="N296" s="37"/>
      <c r="O296" s="26">
        <v>47785.56</v>
      </c>
      <c r="P296" s="31"/>
      <c r="Q296" s="38">
        <v>-48919.33</v>
      </c>
      <c r="R296" s="31"/>
      <c r="S296" s="38">
        <v>-1133.7700000000041</v>
      </c>
      <c r="T296" s="37"/>
      <c r="U296" s="26"/>
      <c r="V296" s="37"/>
      <c r="W296" s="26">
        <v>-48919.33</v>
      </c>
      <c r="X296" s="37"/>
      <c r="Y296" s="26">
        <v>47785.56</v>
      </c>
      <c r="Z296" s="26">
        <v>0</v>
      </c>
    </row>
    <row r="297" spans="1:26">
      <c r="A297" s="2" t="s">
        <v>108</v>
      </c>
      <c r="B297" s="2" t="s">
        <v>3416</v>
      </c>
      <c r="C297" s="2" t="str">
        <f t="shared" si="17"/>
        <v>365</v>
      </c>
      <c r="D297" s="31" t="s">
        <v>22</v>
      </c>
      <c r="E297" s="26">
        <v>46763.219999999994</v>
      </c>
      <c r="F297" s="37"/>
      <c r="G297" s="26">
        <v>0</v>
      </c>
      <c r="H297" s="37"/>
      <c r="I297" s="26">
        <v>0</v>
      </c>
      <c r="J297" s="37"/>
      <c r="K297" s="26">
        <v>0</v>
      </c>
      <c r="L297" s="37"/>
      <c r="M297" s="26">
        <v>0</v>
      </c>
      <c r="N297" s="37"/>
      <c r="O297" s="26">
        <v>46763.219999999994</v>
      </c>
      <c r="P297" s="31"/>
      <c r="Q297" s="38">
        <v>-53818.219999999899</v>
      </c>
      <c r="R297" s="31"/>
      <c r="S297" s="38">
        <v>-7054.9999999999054</v>
      </c>
      <c r="T297" s="37"/>
      <c r="U297" s="26"/>
      <c r="V297" s="37"/>
      <c r="W297" s="26">
        <v>-53818.219999999899</v>
      </c>
      <c r="X297" s="37"/>
      <c r="Y297" s="26">
        <v>46763.219999999994</v>
      </c>
      <c r="Z297" s="26">
        <v>0</v>
      </c>
    </row>
    <row r="298" spans="1:26">
      <c r="A298" s="2" t="s">
        <v>108</v>
      </c>
      <c r="B298" s="2" t="s">
        <v>3416</v>
      </c>
      <c r="C298" s="2" t="str">
        <f t="shared" si="17"/>
        <v>366</v>
      </c>
      <c r="D298" s="31" t="s">
        <v>23</v>
      </c>
      <c r="E298" s="26">
        <v>0</v>
      </c>
      <c r="F298" s="37"/>
      <c r="G298" s="26">
        <v>0</v>
      </c>
      <c r="H298" s="37"/>
      <c r="I298" s="26">
        <v>0</v>
      </c>
      <c r="J298" s="37"/>
      <c r="K298" s="26">
        <v>0</v>
      </c>
      <c r="L298" s="37"/>
      <c r="M298" s="26">
        <v>0</v>
      </c>
      <c r="N298" s="37"/>
      <c r="O298" s="26">
        <v>0</v>
      </c>
      <c r="P298" s="31"/>
      <c r="Q298" s="38">
        <v>0</v>
      </c>
      <c r="R298" s="31"/>
      <c r="S298" s="38">
        <v>0</v>
      </c>
      <c r="T298" s="37"/>
      <c r="U298" s="26"/>
      <c r="V298" s="37"/>
      <c r="W298" s="26">
        <v>0</v>
      </c>
      <c r="X298" s="37"/>
      <c r="Y298" s="26">
        <v>0</v>
      </c>
      <c r="Z298" s="26">
        <v>0</v>
      </c>
    </row>
    <row r="299" spans="1:26">
      <c r="A299" s="2" t="s">
        <v>108</v>
      </c>
      <c r="B299" s="2" t="s">
        <v>3416</v>
      </c>
      <c r="C299" s="2" t="str">
        <f t="shared" si="17"/>
        <v>367</v>
      </c>
      <c r="D299" s="31" t="s">
        <v>109</v>
      </c>
      <c r="E299" s="26">
        <v>0</v>
      </c>
      <c r="F299" s="37"/>
      <c r="G299" s="26">
        <v>0</v>
      </c>
      <c r="H299" s="37"/>
      <c r="I299" s="26">
        <v>0</v>
      </c>
      <c r="J299" s="37"/>
      <c r="K299" s="26">
        <v>0</v>
      </c>
      <c r="L299" s="37"/>
      <c r="M299" s="26">
        <v>0</v>
      </c>
      <c r="N299" s="37"/>
      <c r="O299" s="26">
        <v>0</v>
      </c>
      <c r="P299" s="31"/>
      <c r="Q299" s="38">
        <v>0</v>
      </c>
      <c r="R299" s="31"/>
      <c r="S299" s="38">
        <v>0</v>
      </c>
      <c r="T299" s="37"/>
      <c r="U299" s="26"/>
      <c r="V299" s="37"/>
      <c r="W299" s="26">
        <v>0</v>
      </c>
      <c r="X299" s="37"/>
      <c r="Y299" s="26">
        <v>0</v>
      </c>
      <c r="Z299" s="26">
        <v>0</v>
      </c>
    </row>
    <row r="300" spans="1:26">
      <c r="A300" s="2" t="s">
        <v>108</v>
      </c>
      <c r="B300" s="2" t="s">
        <v>3416</v>
      </c>
      <c r="C300" s="2" t="str">
        <f t="shared" si="17"/>
        <v>368</v>
      </c>
      <c r="D300" s="31" t="s">
        <v>25</v>
      </c>
      <c r="E300" s="26">
        <v>3118.2799999999997</v>
      </c>
      <c r="F300" s="37"/>
      <c r="G300" s="26">
        <v>0</v>
      </c>
      <c r="H300" s="37"/>
      <c r="I300" s="26">
        <v>0</v>
      </c>
      <c r="J300" s="37"/>
      <c r="K300" s="26">
        <v>0</v>
      </c>
      <c r="L300" s="37"/>
      <c r="M300" s="26">
        <v>0</v>
      </c>
      <c r="N300" s="37"/>
      <c r="O300" s="26">
        <v>3118.2799999999997</v>
      </c>
      <c r="P300" s="31"/>
      <c r="Q300" s="38">
        <v>-5254.9099999999899</v>
      </c>
      <c r="R300" s="31"/>
      <c r="S300" s="38">
        <v>-2136.6299999999901</v>
      </c>
      <c r="T300" s="37"/>
      <c r="U300" s="26"/>
      <c r="V300" s="37"/>
      <c r="W300" s="26">
        <v>-5254.9099999999899</v>
      </c>
      <c r="X300" s="37"/>
      <c r="Y300" s="26">
        <v>3118.2799999999997</v>
      </c>
      <c r="Z300" s="26">
        <v>0</v>
      </c>
    </row>
    <row r="301" spans="1:26">
      <c r="A301" s="2" t="s">
        <v>108</v>
      </c>
      <c r="B301" s="2" t="s">
        <v>3416</v>
      </c>
      <c r="C301" s="2" t="str">
        <f t="shared" si="17"/>
        <v>369</v>
      </c>
      <c r="D301" s="31" t="s">
        <v>26</v>
      </c>
      <c r="E301" s="26">
        <v>254.62</v>
      </c>
      <c r="F301" s="37"/>
      <c r="G301" s="26">
        <v>0</v>
      </c>
      <c r="H301" s="37"/>
      <c r="I301" s="26">
        <v>0</v>
      </c>
      <c r="J301" s="37"/>
      <c r="K301" s="26">
        <v>0</v>
      </c>
      <c r="L301" s="37"/>
      <c r="M301" s="26">
        <v>0</v>
      </c>
      <c r="N301" s="37"/>
      <c r="O301" s="26">
        <v>254.62</v>
      </c>
      <c r="P301" s="31"/>
      <c r="Q301" s="38">
        <v>-1153.3500000000001</v>
      </c>
      <c r="R301" s="31"/>
      <c r="S301" s="38">
        <v>-898.73000000000013</v>
      </c>
      <c r="T301" s="37"/>
      <c r="U301" s="26"/>
      <c r="V301" s="37"/>
      <c r="W301" s="26">
        <v>-1153.3500000000001</v>
      </c>
      <c r="X301" s="37"/>
      <c r="Y301" s="26">
        <v>254.62</v>
      </c>
      <c r="Z301" s="26">
        <v>0</v>
      </c>
    </row>
    <row r="302" spans="1:26">
      <c r="A302" s="2" t="s">
        <v>108</v>
      </c>
      <c r="B302" s="2" t="s">
        <v>3416</v>
      </c>
      <c r="C302" s="2" t="str">
        <f t="shared" si="17"/>
        <v>370</v>
      </c>
      <c r="D302" s="31" t="s">
        <v>27</v>
      </c>
      <c r="E302" s="26">
        <v>4199.21</v>
      </c>
      <c r="F302" s="37"/>
      <c r="G302" s="26">
        <v>0</v>
      </c>
      <c r="H302" s="37"/>
      <c r="I302" s="26">
        <v>0</v>
      </c>
      <c r="J302" s="37"/>
      <c r="K302" s="26">
        <v>0</v>
      </c>
      <c r="L302" s="37"/>
      <c r="M302" s="26">
        <v>0</v>
      </c>
      <c r="N302" s="37"/>
      <c r="O302" s="26">
        <v>4199.21</v>
      </c>
      <c r="P302" s="31"/>
      <c r="Q302" s="38">
        <v>-606.84</v>
      </c>
      <c r="R302" s="31"/>
      <c r="S302" s="38">
        <v>3592.37</v>
      </c>
      <c r="T302" s="37"/>
      <c r="U302" s="26"/>
      <c r="V302" s="37"/>
      <c r="W302" s="26">
        <v>-606.84</v>
      </c>
      <c r="X302" s="37"/>
      <c r="Y302" s="26">
        <v>4199.21</v>
      </c>
      <c r="Z302" s="26">
        <v>0</v>
      </c>
    </row>
    <row r="303" spans="1:26">
      <c r="A303" s="9" t="s">
        <v>108</v>
      </c>
      <c r="B303" s="2" t="s">
        <v>3416</v>
      </c>
      <c r="C303" s="9"/>
      <c r="D303" s="5" t="s">
        <v>2486</v>
      </c>
      <c r="E303" s="7">
        <v>0</v>
      </c>
      <c r="F303" s="39"/>
      <c r="G303" s="7">
        <v>0</v>
      </c>
      <c r="H303" s="39"/>
      <c r="I303" s="7">
        <v>0</v>
      </c>
      <c r="J303" s="39"/>
      <c r="K303" s="7">
        <v>0</v>
      </c>
      <c r="L303" s="39"/>
      <c r="M303" s="7">
        <v>0</v>
      </c>
      <c r="N303" s="39"/>
      <c r="O303" s="7">
        <v>0</v>
      </c>
      <c r="P303" s="5"/>
      <c r="Q303" s="13">
        <v>0</v>
      </c>
      <c r="R303" s="5"/>
      <c r="S303" s="13">
        <v>0</v>
      </c>
      <c r="T303" s="39"/>
      <c r="U303" s="7"/>
      <c r="V303" s="39"/>
      <c r="W303" s="7">
        <v>0</v>
      </c>
      <c r="X303" s="39"/>
      <c r="Y303" s="7">
        <v>0</v>
      </c>
      <c r="Z303" s="7">
        <v>0</v>
      </c>
    </row>
    <row r="304" spans="1:26">
      <c r="A304" s="2" t="s">
        <v>108</v>
      </c>
      <c r="B304" s="2" t="s">
        <v>3416</v>
      </c>
      <c r="C304" s="2" t="str">
        <f t="shared" ref="C304" si="18">MID(D304,2,3)</f>
        <v>371</v>
      </c>
      <c r="D304" s="31" t="s">
        <v>28</v>
      </c>
      <c r="E304" s="41">
        <v>0</v>
      </c>
      <c r="F304" s="40"/>
      <c r="G304" s="41">
        <v>0</v>
      </c>
      <c r="H304" s="40"/>
      <c r="I304" s="41">
        <v>0</v>
      </c>
      <c r="J304" s="40"/>
      <c r="K304" s="41">
        <v>0</v>
      </c>
      <c r="L304" s="40"/>
      <c r="M304" s="41">
        <v>0</v>
      </c>
      <c r="N304" s="40"/>
      <c r="O304" s="41">
        <v>0</v>
      </c>
      <c r="P304" s="46"/>
      <c r="Q304" s="42">
        <v>0</v>
      </c>
      <c r="R304" s="31"/>
      <c r="S304" s="42">
        <v>0</v>
      </c>
      <c r="T304" s="40"/>
      <c r="U304" s="41"/>
      <c r="V304" s="40"/>
      <c r="W304" s="41">
        <v>0</v>
      </c>
      <c r="X304" s="40"/>
      <c r="Y304" s="41">
        <v>0</v>
      </c>
      <c r="Z304" s="41">
        <v>0</v>
      </c>
    </row>
    <row r="305" spans="1:26">
      <c r="B305" s="2" t="s">
        <v>3416</v>
      </c>
      <c r="D305" s="31"/>
      <c r="E305" s="24">
        <v>176586.39999999997</v>
      </c>
      <c r="F305" s="40"/>
      <c r="G305" s="24">
        <v>470532.30000000005</v>
      </c>
      <c r="H305" s="40"/>
      <c r="I305" s="24">
        <v>0</v>
      </c>
      <c r="J305" s="40"/>
      <c r="K305" s="24">
        <v>0</v>
      </c>
      <c r="L305" s="40"/>
      <c r="M305" s="24">
        <v>470532.30000000005</v>
      </c>
      <c r="N305" s="40"/>
      <c r="O305" s="24">
        <v>647118.70000000007</v>
      </c>
      <c r="P305" s="46"/>
      <c r="Q305" s="24">
        <v>-150729.9499999999</v>
      </c>
      <c r="R305" s="31"/>
      <c r="S305" s="24">
        <v>496388.75000000012</v>
      </c>
      <c r="T305" s="40"/>
      <c r="U305" s="24">
        <v>0</v>
      </c>
      <c r="V305" s="40"/>
      <c r="W305" s="24">
        <v>-150729.9499999999</v>
      </c>
      <c r="X305" s="40">
        <v>0</v>
      </c>
      <c r="Y305" s="24">
        <v>647118.69999999984</v>
      </c>
      <c r="Z305" s="24">
        <v>0</v>
      </c>
    </row>
    <row r="306" spans="1:26">
      <c r="B306" s="2" t="s">
        <v>3416</v>
      </c>
      <c r="D306" s="31"/>
      <c r="E306" s="24"/>
      <c r="F306" s="40"/>
      <c r="G306" s="24"/>
      <c r="H306" s="40"/>
      <c r="I306" s="24"/>
      <c r="J306" s="40"/>
      <c r="K306" s="24"/>
      <c r="L306" s="40"/>
      <c r="M306" s="24"/>
      <c r="N306" s="40"/>
      <c r="O306" s="24"/>
      <c r="P306" s="46"/>
      <c r="Q306" s="31"/>
      <c r="R306" s="31"/>
      <c r="S306" s="31"/>
      <c r="T306" s="40"/>
      <c r="U306" s="24"/>
      <c r="V306" s="40"/>
      <c r="W306" s="24"/>
      <c r="X306" s="40"/>
      <c r="Y306" s="24"/>
      <c r="Z306" s="24"/>
    </row>
    <row r="307" spans="1:26">
      <c r="B307" s="2" t="s">
        <v>3416</v>
      </c>
      <c r="D307" s="34" t="s">
        <v>3428</v>
      </c>
      <c r="E307" s="24"/>
      <c r="F307" s="40"/>
      <c r="G307" s="24"/>
      <c r="H307" s="40"/>
      <c r="I307" s="24"/>
      <c r="J307" s="40"/>
      <c r="K307" s="24"/>
      <c r="L307" s="40"/>
      <c r="M307" s="24"/>
      <c r="N307" s="40"/>
      <c r="O307" s="24"/>
      <c r="P307" s="46"/>
      <c r="Q307" s="31"/>
      <c r="R307" s="31"/>
      <c r="S307" s="31"/>
      <c r="T307" s="40"/>
      <c r="U307" s="24"/>
      <c r="V307" s="40"/>
      <c r="W307" s="24"/>
      <c r="X307" s="40"/>
      <c r="Y307" s="24"/>
      <c r="Z307" s="24"/>
    </row>
    <row r="308" spans="1:26">
      <c r="A308" s="2" t="s">
        <v>108</v>
      </c>
      <c r="B308" s="2" t="s">
        <v>3416</v>
      </c>
      <c r="C308" s="2" t="str">
        <f t="shared" ref="C308:C310" si="19">MID(D308,2,3)</f>
        <v>350</v>
      </c>
      <c r="D308" s="31" t="s">
        <v>85</v>
      </c>
      <c r="E308" s="24">
        <v>439.53</v>
      </c>
      <c r="F308" s="40"/>
      <c r="G308" s="24">
        <v>0</v>
      </c>
      <c r="H308" s="40"/>
      <c r="I308" s="24">
        <v>0</v>
      </c>
      <c r="J308" s="40"/>
      <c r="K308" s="24">
        <v>0</v>
      </c>
      <c r="L308" s="40"/>
      <c r="M308" s="24">
        <v>0</v>
      </c>
      <c r="N308" s="40"/>
      <c r="O308" s="24">
        <v>439.53</v>
      </c>
      <c r="P308" s="46"/>
      <c r="Q308" s="38">
        <v>-372.93999999999897</v>
      </c>
      <c r="R308" s="31"/>
      <c r="S308" s="38">
        <v>66.590000000000998</v>
      </c>
      <c r="T308" s="40"/>
      <c r="U308" s="24"/>
      <c r="V308" s="40"/>
      <c r="W308" s="24">
        <v>-372.93999999999897</v>
      </c>
      <c r="X308" s="40"/>
      <c r="Y308" s="24">
        <v>439.53</v>
      </c>
      <c r="Z308" s="24">
        <v>0</v>
      </c>
    </row>
    <row r="309" spans="1:26">
      <c r="A309" s="2" t="s">
        <v>108</v>
      </c>
      <c r="B309" s="2" t="s">
        <v>3416</v>
      </c>
      <c r="C309" s="2" t="str">
        <f t="shared" si="19"/>
        <v>355</v>
      </c>
      <c r="D309" s="31" t="s">
        <v>93</v>
      </c>
      <c r="E309" s="24">
        <v>125979</v>
      </c>
      <c r="F309" s="40"/>
      <c r="G309" s="24">
        <v>2810.99</v>
      </c>
      <c r="H309" s="40"/>
      <c r="I309" s="24">
        <v>-38.46</v>
      </c>
      <c r="J309" s="40"/>
      <c r="K309" s="24">
        <v>0</v>
      </c>
      <c r="L309" s="40"/>
      <c r="M309" s="24">
        <v>2772.5299999999997</v>
      </c>
      <c r="N309" s="40"/>
      <c r="O309" s="24">
        <v>128751.53</v>
      </c>
      <c r="P309" s="46"/>
      <c r="Q309" s="38">
        <v>-91970.769999999902</v>
      </c>
      <c r="R309" s="31"/>
      <c r="S309" s="38">
        <v>36780.760000000097</v>
      </c>
      <c r="T309" s="40"/>
      <c r="U309" s="24"/>
      <c r="V309" s="40"/>
      <c r="W309" s="24">
        <v>-91970.769999999902</v>
      </c>
      <c r="X309" s="40"/>
      <c r="Y309" s="24">
        <v>128751.53</v>
      </c>
      <c r="Z309" s="24">
        <v>0</v>
      </c>
    </row>
    <row r="310" spans="1:26">
      <c r="A310" s="2" t="s">
        <v>108</v>
      </c>
      <c r="B310" s="2" t="s">
        <v>3416</v>
      </c>
      <c r="C310" s="2" t="str">
        <f t="shared" si="19"/>
        <v>356</v>
      </c>
      <c r="D310" s="31" t="s">
        <v>94</v>
      </c>
      <c r="E310" s="41">
        <v>78061.73</v>
      </c>
      <c r="F310" s="40"/>
      <c r="G310" s="41">
        <v>2665.18</v>
      </c>
      <c r="H310" s="40"/>
      <c r="I310" s="41">
        <v>-35.58</v>
      </c>
      <c r="J310" s="40"/>
      <c r="K310" s="41">
        <v>0</v>
      </c>
      <c r="L310" s="40"/>
      <c r="M310" s="41">
        <v>2629.6</v>
      </c>
      <c r="N310" s="40"/>
      <c r="O310" s="41">
        <v>80691.33</v>
      </c>
      <c r="P310" s="46"/>
      <c r="Q310" s="42">
        <v>-54651.47</v>
      </c>
      <c r="R310" s="31"/>
      <c r="S310" s="42">
        <v>26039.86</v>
      </c>
      <c r="T310" s="40"/>
      <c r="U310" s="41"/>
      <c r="V310" s="40"/>
      <c r="W310" s="41">
        <v>-54651.47</v>
      </c>
      <c r="X310" s="40"/>
      <c r="Y310" s="41">
        <v>80691.329999999987</v>
      </c>
      <c r="Z310" s="41">
        <v>0</v>
      </c>
    </row>
    <row r="311" spans="1:26">
      <c r="B311" s="2" t="s">
        <v>3416</v>
      </c>
      <c r="D311" s="31"/>
      <c r="E311" s="24">
        <v>204480.26</v>
      </c>
      <c r="F311" s="40"/>
      <c r="G311" s="24">
        <v>5476.17</v>
      </c>
      <c r="H311" s="40"/>
      <c r="I311" s="24">
        <v>-74.039999999999992</v>
      </c>
      <c r="J311" s="40"/>
      <c r="K311" s="24">
        <v>0</v>
      </c>
      <c r="L311" s="40"/>
      <c r="M311" s="24">
        <v>5402.1299999999992</v>
      </c>
      <c r="N311" s="40"/>
      <c r="O311" s="24">
        <v>209882.39</v>
      </c>
      <c r="P311" s="46"/>
      <c r="Q311" s="24">
        <v>-146995.17999999991</v>
      </c>
      <c r="R311" s="31"/>
      <c r="S311" s="24">
        <v>62887.210000000101</v>
      </c>
      <c r="T311" s="40"/>
      <c r="U311" s="24">
        <v>0</v>
      </c>
      <c r="V311" s="40"/>
      <c r="W311" s="24">
        <v>-146995.17999999991</v>
      </c>
      <c r="X311" s="40">
        <v>0</v>
      </c>
      <c r="Y311" s="24">
        <v>209882.38999999998</v>
      </c>
      <c r="Z311" s="24">
        <v>0</v>
      </c>
    </row>
    <row r="312" spans="1:26">
      <c r="B312" s="2" t="s">
        <v>3416</v>
      </c>
      <c r="D312" s="31"/>
      <c r="E312" s="24"/>
      <c r="F312" s="40"/>
      <c r="G312" s="24"/>
      <c r="H312" s="40"/>
      <c r="I312" s="24"/>
      <c r="J312" s="40"/>
      <c r="K312" s="24"/>
      <c r="L312" s="40"/>
      <c r="M312" s="24"/>
      <c r="N312" s="40"/>
      <c r="O312" s="24"/>
      <c r="P312" s="46"/>
      <c r="Q312" s="31"/>
      <c r="R312" s="31"/>
      <c r="S312" s="31"/>
      <c r="T312" s="40"/>
      <c r="U312" s="24"/>
      <c r="V312" s="40"/>
      <c r="W312" s="24"/>
      <c r="X312" s="40"/>
      <c r="Y312" s="24"/>
      <c r="Z312" s="24"/>
    </row>
    <row r="313" spans="1:26">
      <c r="B313" s="2" t="s">
        <v>3416</v>
      </c>
      <c r="D313" s="31"/>
      <c r="E313" s="26"/>
      <c r="F313" s="37"/>
      <c r="G313" s="26"/>
      <c r="H313" s="37"/>
      <c r="I313" s="26"/>
      <c r="J313" s="37"/>
      <c r="K313" s="26"/>
      <c r="L313" s="37"/>
      <c r="M313" s="26"/>
      <c r="N313" s="37"/>
      <c r="O313" s="26"/>
      <c r="P313" s="31"/>
      <c r="Q313" s="31"/>
      <c r="R313" s="31"/>
      <c r="S313" s="31"/>
      <c r="T313" s="37"/>
      <c r="U313" s="26"/>
      <c r="V313" s="37"/>
      <c r="W313" s="26"/>
      <c r="X313" s="37"/>
      <c r="Y313" s="26"/>
      <c r="Z313" s="26"/>
    </row>
    <row r="314" spans="1:26" ht="13.5" thickBot="1">
      <c r="B314" s="2" t="s">
        <v>3416</v>
      </c>
      <c r="D314" s="34" t="s">
        <v>110</v>
      </c>
      <c r="E314" s="44">
        <v>381066.66</v>
      </c>
      <c r="F314" s="37"/>
      <c r="G314" s="44">
        <v>476008.47000000003</v>
      </c>
      <c r="H314" s="37"/>
      <c r="I314" s="44">
        <v>-74.039999999999992</v>
      </c>
      <c r="J314" s="37"/>
      <c r="K314" s="44">
        <v>0</v>
      </c>
      <c r="L314" s="37"/>
      <c r="M314" s="44">
        <v>475934.43000000005</v>
      </c>
      <c r="N314" s="37"/>
      <c r="O314" s="44">
        <v>857001.09000000008</v>
      </c>
      <c r="P314" s="31"/>
      <c r="Q314" s="44">
        <v>-297725.12999999977</v>
      </c>
      <c r="R314" s="31"/>
      <c r="S314" s="44">
        <v>559275.9600000002</v>
      </c>
      <c r="T314" s="37"/>
      <c r="U314" s="44">
        <v>0</v>
      </c>
      <c r="V314" s="37"/>
      <c r="W314" s="44">
        <v>-297725.12999999977</v>
      </c>
      <c r="X314" s="37"/>
      <c r="Y314" s="44">
        <v>857001.08999999985</v>
      </c>
      <c r="Z314" s="44">
        <v>0</v>
      </c>
    </row>
    <row r="315" spans="1:26" ht="13.5" thickTop="1"/>
    <row r="316" spans="1:26">
      <c r="D316" s="2" t="s">
        <v>2491</v>
      </c>
      <c r="E316" s="66">
        <v>381066.66</v>
      </c>
    </row>
    <row r="317" spans="1:26">
      <c r="E317" s="66">
        <v>0</v>
      </c>
    </row>
    <row r="318" spans="1:26">
      <c r="D318" s="506" t="s">
        <v>0</v>
      </c>
      <c r="E318" s="506"/>
      <c r="F318" s="506"/>
      <c r="G318" s="506"/>
      <c r="H318" s="506"/>
      <c r="I318" s="506"/>
      <c r="J318" s="506"/>
      <c r="K318" s="506"/>
      <c r="L318" s="506"/>
      <c r="M318" s="506"/>
      <c r="N318" s="506"/>
      <c r="O318" s="506"/>
    </row>
    <row r="319" spans="1:26">
      <c r="D319" s="506" t="s">
        <v>111</v>
      </c>
      <c r="E319" s="506"/>
      <c r="F319" s="506"/>
      <c r="G319" s="506"/>
      <c r="H319" s="506"/>
      <c r="I319" s="506"/>
      <c r="J319" s="506"/>
      <c r="K319" s="506"/>
      <c r="L319" s="506"/>
      <c r="M319" s="506"/>
      <c r="N319" s="506"/>
      <c r="O319" s="506"/>
    </row>
    <row r="320" spans="1:26">
      <c r="D320" s="499" t="s">
        <v>2482</v>
      </c>
      <c r="E320" s="507"/>
      <c r="F320" s="507"/>
      <c r="G320" s="507"/>
      <c r="H320" s="507"/>
      <c r="I320" s="507"/>
      <c r="J320" s="507"/>
      <c r="K320" s="507"/>
      <c r="L320" s="507"/>
      <c r="M320" s="507"/>
      <c r="N320" s="507"/>
      <c r="O320" s="507"/>
      <c r="U320" s="2"/>
      <c r="W320" s="2"/>
      <c r="Y320" s="2"/>
      <c r="Z320" s="2"/>
    </row>
    <row r="321" spans="1:26">
      <c r="D321" s="32"/>
      <c r="E321" s="32"/>
      <c r="F321" s="32"/>
      <c r="G321" s="32"/>
      <c r="H321" s="32"/>
      <c r="I321" s="32"/>
      <c r="J321" s="32"/>
      <c r="K321" s="32"/>
      <c r="L321" s="32"/>
      <c r="M321" s="32"/>
      <c r="N321" s="32"/>
      <c r="O321" s="32"/>
      <c r="U321" s="2"/>
      <c r="W321" s="2"/>
      <c r="Y321" s="32" t="s">
        <v>1717</v>
      </c>
      <c r="Z321" s="2"/>
    </row>
    <row r="322" spans="1:26">
      <c r="E322" s="508" t="s">
        <v>2483</v>
      </c>
      <c r="G322" s="2"/>
      <c r="I322" s="2"/>
      <c r="K322" s="2"/>
      <c r="M322" s="2"/>
      <c r="O322" s="508" t="s">
        <v>2484</v>
      </c>
      <c r="U322" s="2"/>
      <c r="W322" s="2"/>
      <c r="Y322" s="508" t="s">
        <v>2484</v>
      </c>
      <c r="Z322" s="2"/>
    </row>
    <row r="323" spans="1:26">
      <c r="E323" s="62" t="s">
        <v>2</v>
      </c>
      <c r="K323" s="62" t="s">
        <v>3</v>
      </c>
      <c r="O323" s="62" t="s">
        <v>4</v>
      </c>
      <c r="T323" s="32"/>
      <c r="U323" s="32"/>
      <c r="V323" s="32"/>
      <c r="W323" s="32"/>
      <c r="X323" s="32"/>
      <c r="Y323" s="6" t="s">
        <v>4</v>
      </c>
      <c r="Z323" s="32"/>
    </row>
    <row r="324" spans="1:26">
      <c r="D324" s="9"/>
      <c r="E324" s="63" t="s">
        <v>6</v>
      </c>
      <c r="G324" s="63" t="s">
        <v>7</v>
      </c>
      <c r="I324" s="63" t="s">
        <v>8</v>
      </c>
      <c r="K324" s="63" t="s">
        <v>9</v>
      </c>
      <c r="M324" s="63" t="s">
        <v>10</v>
      </c>
      <c r="O324" s="63" t="s">
        <v>6</v>
      </c>
      <c r="T324" s="3"/>
      <c r="U324" s="435"/>
      <c r="V324" s="435"/>
      <c r="W324" s="435"/>
      <c r="X324" s="3"/>
      <c r="Y324" s="10" t="s">
        <v>6</v>
      </c>
      <c r="Z324" s="10" t="s">
        <v>13</v>
      </c>
    </row>
    <row r="325" spans="1:26">
      <c r="D325" s="9"/>
      <c r="E325" s="64"/>
      <c r="G325" s="64"/>
      <c r="I325" s="64"/>
      <c r="K325" s="64"/>
      <c r="M325" s="64"/>
      <c r="O325" s="64"/>
      <c r="U325" s="64"/>
      <c r="V325" s="29"/>
      <c r="W325" s="64"/>
      <c r="Y325" s="64"/>
      <c r="Z325" s="64"/>
    </row>
    <row r="326" spans="1:26">
      <c r="D326" s="47" t="s">
        <v>112</v>
      </c>
      <c r="E326" s="2"/>
      <c r="G326" s="2"/>
      <c r="I326" s="2"/>
      <c r="K326" s="2"/>
      <c r="M326" s="2"/>
      <c r="O326" s="2"/>
      <c r="U326" s="64"/>
      <c r="V326" s="29"/>
      <c r="W326" s="64"/>
      <c r="Y326" s="2"/>
      <c r="Z326" s="2"/>
    </row>
    <row r="327" spans="1:26">
      <c r="D327" s="23" t="s">
        <v>16</v>
      </c>
      <c r="E327" s="2"/>
      <c r="G327" s="2"/>
      <c r="I327" s="2"/>
      <c r="K327" s="2"/>
      <c r="M327" s="2"/>
      <c r="O327" s="2"/>
      <c r="U327" s="64"/>
      <c r="V327" s="29"/>
      <c r="W327" s="64"/>
      <c r="Y327" s="2"/>
      <c r="Z327" s="2"/>
    </row>
    <row r="328" spans="1:26">
      <c r="A328" s="9" t="s">
        <v>17</v>
      </c>
      <c r="B328" s="9" t="s">
        <v>3417</v>
      </c>
      <c r="D328" s="2" t="s">
        <v>18</v>
      </c>
      <c r="E328" s="232">
        <v>1147334.75</v>
      </c>
      <c r="F328" s="232"/>
      <c r="G328" s="232">
        <v>0</v>
      </c>
      <c r="H328" s="232"/>
      <c r="I328" s="232">
        <v>0</v>
      </c>
      <c r="J328" s="232"/>
      <c r="K328" s="232">
        <v>0</v>
      </c>
      <c r="L328" s="232"/>
      <c r="M328" s="232">
        <v>0</v>
      </c>
      <c r="N328" s="232"/>
      <c r="O328" s="232">
        <v>1147334.75</v>
      </c>
      <c r="Q328" s="232">
        <v>0</v>
      </c>
      <c r="U328" s="29"/>
      <c r="V328" s="29"/>
      <c r="W328" s="29"/>
      <c r="Y328" s="232">
        <v>1147334.75</v>
      </c>
      <c r="Z328" s="232">
        <v>0</v>
      </c>
    </row>
    <row r="329" spans="1:26">
      <c r="A329" s="9" t="s">
        <v>101</v>
      </c>
      <c r="B329" s="9" t="s">
        <v>3417</v>
      </c>
      <c r="D329" s="2" t="s">
        <v>2191</v>
      </c>
      <c r="E329" s="233">
        <v>324087.84000000003</v>
      </c>
      <c r="G329" s="233">
        <v>0</v>
      </c>
      <c r="I329" s="233">
        <v>0</v>
      </c>
      <c r="K329" s="233">
        <v>0</v>
      </c>
      <c r="M329" s="233">
        <v>0</v>
      </c>
      <c r="O329" s="233">
        <v>324087.84000000003</v>
      </c>
      <c r="Q329" s="233">
        <v>0</v>
      </c>
      <c r="U329" s="29"/>
      <c r="V329" s="29"/>
      <c r="W329" s="29"/>
      <c r="Y329" s="233">
        <v>324087.84000000003</v>
      </c>
      <c r="Z329" s="233">
        <v>0</v>
      </c>
    </row>
    <row r="330" spans="1:26">
      <c r="B330" s="9" t="s">
        <v>3417</v>
      </c>
      <c r="E330" s="232">
        <v>1471422.5899999999</v>
      </c>
      <c r="F330" s="232"/>
      <c r="G330" s="232"/>
      <c r="H330" s="232"/>
      <c r="I330" s="232"/>
      <c r="J330" s="232"/>
      <c r="K330" s="232"/>
      <c r="L330" s="232"/>
      <c r="M330" s="232"/>
      <c r="N330" s="232"/>
      <c r="O330" s="232">
        <v>1471422.5899999999</v>
      </c>
      <c r="Q330" s="232"/>
      <c r="T330" s="232"/>
      <c r="U330" s="232"/>
      <c r="V330" s="232"/>
      <c r="W330" s="232"/>
      <c r="X330" s="232"/>
      <c r="Y330" s="232">
        <v>1471422.59</v>
      </c>
      <c r="Z330" s="232">
        <v>0</v>
      </c>
    </row>
    <row r="331" spans="1:26">
      <c r="B331" s="9" t="s">
        <v>3417</v>
      </c>
      <c r="D331" s="47"/>
      <c r="E331" s="2"/>
      <c r="G331" s="2"/>
      <c r="I331" s="2"/>
      <c r="K331" s="2"/>
      <c r="M331" s="2"/>
      <c r="O331" s="2"/>
      <c r="U331" s="232"/>
      <c r="V331" s="29"/>
      <c r="W331" s="232"/>
      <c r="Y331" s="2"/>
      <c r="Z331" s="2"/>
    </row>
    <row r="332" spans="1:26" ht="15">
      <c r="B332" s="9" t="s">
        <v>3417</v>
      </c>
      <c r="D332" s="436" t="s">
        <v>2192</v>
      </c>
      <c r="E332"/>
      <c r="F332"/>
      <c r="G332"/>
      <c r="H332"/>
      <c r="I332"/>
      <c r="J332"/>
      <c r="K332"/>
      <c r="L332"/>
      <c r="M332"/>
      <c r="N332"/>
      <c r="O332"/>
      <c r="P332" s="293"/>
      <c r="Q332"/>
      <c r="R332" s="293"/>
      <c r="S332" s="293"/>
      <c r="T332" s="232"/>
      <c r="U332" s="232"/>
      <c r="V332" s="232"/>
      <c r="W332" s="232"/>
      <c r="X332" s="232"/>
      <c r="Y332"/>
      <c r="Z332"/>
    </row>
    <row r="333" spans="1:26" ht="15">
      <c r="A333" s="2" t="s">
        <v>17</v>
      </c>
      <c r="B333" s="9" t="s">
        <v>3417</v>
      </c>
      <c r="D333" s="198" t="s">
        <v>62</v>
      </c>
      <c r="E333" s="233">
        <v>309540.84999999998</v>
      </c>
      <c r="G333" s="233">
        <v>0</v>
      </c>
      <c r="I333" s="233">
        <v>0</v>
      </c>
      <c r="K333" s="233">
        <v>0</v>
      </c>
      <c r="M333" s="233">
        <v>0</v>
      </c>
      <c r="O333" s="233">
        <v>309540.84999999998</v>
      </c>
      <c r="P333" s="293"/>
      <c r="Q333" s="233">
        <v>0</v>
      </c>
      <c r="R333" s="293"/>
      <c r="S333" s="293"/>
      <c r="U333" s="29"/>
      <c r="V333" s="29"/>
      <c r="W333" s="29"/>
      <c r="Y333" s="233">
        <v>309540.84999999998</v>
      </c>
      <c r="Z333" s="233">
        <v>0</v>
      </c>
    </row>
    <row r="334" spans="1:26" ht="15">
      <c r="B334" s="9" t="s">
        <v>3417</v>
      </c>
      <c r="D334" s="436"/>
      <c r="E334" s="232">
        <v>309540.84999999998</v>
      </c>
      <c r="F334" s="232"/>
      <c r="G334" s="232"/>
      <c r="H334" s="232"/>
      <c r="I334" s="232"/>
      <c r="J334" s="232"/>
      <c r="K334" s="232"/>
      <c r="L334" s="232"/>
      <c r="M334" s="232"/>
      <c r="N334" s="232"/>
      <c r="O334" s="232">
        <v>309540.84999999998</v>
      </c>
      <c r="P334" s="293"/>
      <c r="Q334" s="232"/>
      <c r="R334" s="293"/>
      <c r="S334" s="293"/>
      <c r="T334"/>
      <c r="U334" s="437"/>
      <c r="V334" s="437"/>
      <c r="W334" s="437"/>
      <c r="X334"/>
      <c r="Y334" s="232">
        <v>309540.84999999998</v>
      </c>
      <c r="Z334" s="232">
        <v>0</v>
      </c>
    </row>
    <row r="335" spans="1:26" ht="15">
      <c r="B335" s="9" t="s">
        <v>3417</v>
      </c>
      <c r="D335" s="436"/>
      <c r="E335"/>
      <c r="F335"/>
      <c r="G335"/>
      <c r="H335"/>
      <c r="I335"/>
      <c r="J335"/>
      <c r="K335"/>
      <c r="L335"/>
      <c r="M335"/>
      <c r="N335"/>
      <c r="O335"/>
      <c r="P335" s="293"/>
      <c r="Q335"/>
      <c r="R335" s="293"/>
      <c r="S335" s="293"/>
      <c r="U335" s="232"/>
      <c r="V335" s="29"/>
      <c r="W335" s="232"/>
      <c r="Y335"/>
      <c r="Z335"/>
    </row>
    <row r="336" spans="1:26">
      <c r="B336" s="9" t="s">
        <v>3417</v>
      </c>
      <c r="D336" s="47"/>
      <c r="E336" s="2"/>
      <c r="G336" s="2"/>
      <c r="I336" s="2"/>
      <c r="K336" s="2"/>
      <c r="M336" s="2"/>
      <c r="O336" s="2"/>
      <c r="T336" s="232"/>
      <c r="U336" s="232"/>
      <c r="V336" s="232"/>
      <c r="W336" s="232"/>
      <c r="X336" s="232"/>
      <c r="Y336" s="2"/>
      <c r="Z336" s="2"/>
    </row>
    <row r="337" spans="1:26" ht="15">
      <c r="B337" s="9" t="s">
        <v>3417</v>
      </c>
      <c r="D337" s="23" t="s">
        <v>113</v>
      </c>
      <c r="E337" s="232"/>
      <c r="F337" s="232"/>
      <c r="G337" s="232"/>
      <c r="H337" s="232"/>
      <c r="I337" s="232"/>
      <c r="J337" s="232"/>
      <c r="K337" s="232"/>
      <c r="L337" s="232"/>
      <c r="M337" s="232"/>
      <c r="N337" s="232"/>
      <c r="O337" s="232"/>
      <c r="Q337" s="232"/>
      <c r="T337"/>
      <c r="U337" s="437"/>
      <c r="V337" s="437"/>
      <c r="W337" s="437"/>
      <c r="X337"/>
      <c r="Y337"/>
      <c r="Z337"/>
    </row>
    <row r="338" spans="1:26">
      <c r="B338" s="9" t="s">
        <v>3417</v>
      </c>
      <c r="D338" s="2" t="s">
        <v>73</v>
      </c>
      <c r="E338" s="232">
        <v>0</v>
      </c>
      <c r="F338" s="232"/>
      <c r="G338" s="232"/>
      <c r="H338" s="232"/>
      <c r="I338" s="232"/>
      <c r="J338" s="232"/>
      <c r="K338" s="232"/>
      <c r="L338" s="232"/>
      <c r="M338" s="232"/>
      <c r="N338" s="232"/>
      <c r="O338" s="232">
        <v>0</v>
      </c>
      <c r="Q338" s="232"/>
      <c r="U338" s="29"/>
      <c r="V338" s="29"/>
      <c r="W338" s="29"/>
      <c r="Y338" s="2"/>
      <c r="Z338" s="2"/>
    </row>
    <row r="339" spans="1:26">
      <c r="B339" s="9" t="s">
        <v>3417</v>
      </c>
      <c r="D339" s="2" t="s">
        <v>74</v>
      </c>
      <c r="E339" s="232">
        <v>0</v>
      </c>
      <c r="F339" s="232"/>
      <c r="G339" s="232"/>
      <c r="H339" s="232"/>
      <c r="I339" s="232"/>
      <c r="J339" s="232"/>
      <c r="K339" s="232"/>
      <c r="L339" s="232"/>
      <c r="M339" s="232"/>
      <c r="N339" s="232"/>
      <c r="O339" s="232">
        <v>0</v>
      </c>
      <c r="Q339" s="232"/>
      <c r="T339" s="232"/>
      <c r="U339" s="232"/>
      <c r="V339" s="232"/>
      <c r="W339" s="232"/>
      <c r="X339" s="232"/>
      <c r="Y339" s="232"/>
      <c r="Z339" s="232"/>
    </row>
    <row r="340" spans="1:26">
      <c r="B340" s="9" t="s">
        <v>3417</v>
      </c>
      <c r="D340" s="2" t="s">
        <v>76</v>
      </c>
      <c r="E340" s="232">
        <v>0</v>
      </c>
      <c r="F340" s="232"/>
      <c r="G340" s="232"/>
      <c r="H340" s="232"/>
      <c r="I340" s="232"/>
      <c r="J340" s="232"/>
      <c r="K340" s="232"/>
      <c r="L340" s="232"/>
      <c r="M340" s="232"/>
      <c r="N340" s="232"/>
      <c r="O340" s="232">
        <v>0</v>
      </c>
      <c r="Q340" s="232"/>
      <c r="T340" s="232"/>
      <c r="U340" s="232"/>
      <c r="V340" s="232"/>
      <c r="W340" s="232"/>
      <c r="X340" s="232"/>
      <c r="Y340" s="232"/>
      <c r="Z340" s="232"/>
    </row>
    <row r="341" spans="1:26">
      <c r="B341" s="9" t="s">
        <v>3417</v>
      </c>
      <c r="D341" s="2" t="s">
        <v>78</v>
      </c>
      <c r="E341" s="232">
        <v>0</v>
      </c>
      <c r="F341" s="232"/>
      <c r="G341" s="232"/>
      <c r="H341" s="232"/>
      <c r="I341" s="232"/>
      <c r="J341" s="232"/>
      <c r="K341" s="232"/>
      <c r="L341" s="232"/>
      <c r="M341" s="232"/>
      <c r="N341" s="232"/>
      <c r="O341" s="232">
        <v>0</v>
      </c>
      <c r="Q341" s="232"/>
      <c r="T341" s="232"/>
      <c r="U341" s="232"/>
      <c r="V341" s="232"/>
      <c r="W341" s="232"/>
      <c r="X341" s="232"/>
      <c r="Y341" s="232"/>
      <c r="Z341" s="232"/>
    </row>
    <row r="342" spans="1:26">
      <c r="B342" s="9" t="s">
        <v>3417</v>
      </c>
      <c r="D342" s="2" t="s">
        <v>114</v>
      </c>
      <c r="E342" s="232">
        <v>0</v>
      </c>
      <c r="F342" s="232"/>
      <c r="G342" s="232"/>
      <c r="H342" s="232"/>
      <c r="I342" s="232"/>
      <c r="J342" s="232"/>
      <c r="K342" s="232"/>
      <c r="L342" s="232"/>
      <c r="M342" s="232"/>
      <c r="N342" s="232"/>
      <c r="O342" s="232">
        <v>0</v>
      </c>
      <c r="Q342" s="232"/>
      <c r="T342" s="232"/>
      <c r="U342" s="232"/>
      <c r="V342" s="232"/>
      <c r="W342" s="232"/>
      <c r="X342" s="232"/>
      <c r="Y342" s="232"/>
      <c r="Z342" s="232"/>
    </row>
    <row r="343" spans="1:26" s="49" customFormat="1">
      <c r="A343" s="2"/>
      <c r="B343" s="9" t="s">
        <v>3417</v>
      </c>
      <c r="C343" s="2"/>
      <c r="D343" s="2" t="s">
        <v>82</v>
      </c>
      <c r="E343" s="233">
        <v>0</v>
      </c>
      <c r="F343" s="232"/>
      <c r="G343" s="233"/>
      <c r="H343" s="232"/>
      <c r="I343" s="233"/>
      <c r="J343" s="232"/>
      <c r="K343" s="233"/>
      <c r="L343" s="232"/>
      <c r="M343" s="233"/>
      <c r="N343" s="232"/>
      <c r="O343" s="233">
        <v>0</v>
      </c>
      <c r="P343" s="2"/>
      <c r="Q343" s="233"/>
      <c r="R343" s="2"/>
      <c r="S343" s="38"/>
      <c r="T343" s="232"/>
      <c r="U343" s="232"/>
      <c r="V343" s="232"/>
      <c r="W343" s="232"/>
      <c r="X343" s="232"/>
      <c r="Y343" s="232"/>
      <c r="Z343" s="232"/>
    </row>
    <row r="344" spans="1:26" ht="15">
      <c r="A344" s="48"/>
      <c r="B344" s="9" t="s">
        <v>3417</v>
      </c>
      <c r="C344" s="48"/>
      <c r="E344" s="232">
        <v>0</v>
      </c>
      <c r="F344" s="232"/>
      <c r="G344" s="232"/>
      <c r="H344" s="232"/>
      <c r="I344" s="232"/>
      <c r="J344" s="232"/>
      <c r="K344" s="232"/>
      <c r="L344" s="232"/>
      <c r="M344" s="232"/>
      <c r="N344" s="232"/>
      <c r="O344" s="232">
        <v>0</v>
      </c>
      <c r="Q344" s="232"/>
      <c r="T344" s="232"/>
      <c r="U344" s="232"/>
      <c r="V344" s="232"/>
      <c r="W344" s="232"/>
      <c r="X344" s="232"/>
      <c r="Y344" s="232"/>
      <c r="Z344" s="232"/>
    </row>
    <row r="345" spans="1:26" ht="15">
      <c r="A345" s="48"/>
      <c r="B345" s="9" t="s">
        <v>3417</v>
      </c>
      <c r="C345" s="48"/>
      <c r="E345" s="232"/>
      <c r="F345" s="66"/>
      <c r="G345" s="232"/>
      <c r="H345" s="66"/>
      <c r="I345" s="232"/>
      <c r="J345" s="66"/>
      <c r="K345" s="232"/>
      <c r="L345" s="66"/>
      <c r="M345" s="232"/>
      <c r="N345" s="66"/>
      <c r="O345" s="232"/>
      <c r="Q345" s="232"/>
      <c r="T345" s="232"/>
      <c r="U345" s="232"/>
      <c r="V345" s="232"/>
      <c r="W345" s="232"/>
      <c r="X345" s="232"/>
      <c r="Y345" s="232"/>
      <c r="Z345" s="232"/>
    </row>
    <row r="346" spans="1:26">
      <c r="A346" s="49"/>
      <c r="B346" s="9" t="s">
        <v>3417</v>
      </c>
      <c r="C346" s="49"/>
      <c r="D346" s="2" t="s">
        <v>32</v>
      </c>
      <c r="E346" s="232"/>
      <c r="F346" s="66"/>
      <c r="G346" s="232"/>
      <c r="H346" s="66"/>
      <c r="I346" s="232"/>
      <c r="J346" s="66"/>
      <c r="K346" s="232"/>
      <c r="L346" s="66"/>
      <c r="M346" s="232"/>
      <c r="N346" s="66"/>
      <c r="O346" s="232"/>
      <c r="Q346" s="232"/>
      <c r="T346" s="232"/>
      <c r="U346" s="232"/>
      <c r="V346" s="232"/>
      <c r="W346" s="232"/>
      <c r="X346" s="232"/>
      <c r="Y346" s="232"/>
      <c r="Z346" s="232"/>
    </row>
    <row r="347" spans="1:26" ht="15">
      <c r="A347" s="2" t="s">
        <v>17</v>
      </c>
      <c r="B347" s="9" t="s">
        <v>3417</v>
      </c>
      <c r="D347" s="198" t="s">
        <v>33</v>
      </c>
      <c r="E347" s="233">
        <v>131956.31</v>
      </c>
      <c r="G347" s="233">
        <v>0</v>
      </c>
      <c r="I347" s="233">
        <v>0</v>
      </c>
      <c r="K347" s="233">
        <v>0</v>
      </c>
      <c r="M347" s="233">
        <v>0</v>
      </c>
      <c r="O347" s="233">
        <v>131956.31</v>
      </c>
      <c r="P347" s="293"/>
      <c r="Q347" s="233">
        <v>0</v>
      </c>
      <c r="R347" s="293"/>
      <c r="S347" s="293"/>
      <c r="U347" s="29"/>
      <c r="V347" s="29"/>
      <c r="W347" s="29"/>
      <c r="Y347" s="233">
        <v>131956.31</v>
      </c>
      <c r="Z347" s="233">
        <v>0</v>
      </c>
    </row>
    <row r="348" spans="1:26">
      <c r="A348" s="49"/>
      <c r="B348" s="9" t="s">
        <v>3417</v>
      </c>
      <c r="C348" s="49"/>
      <c r="E348" s="232">
        <v>131956.31</v>
      </c>
      <c r="F348" s="66"/>
      <c r="G348" s="232"/>
      <c r="H348" s="66"/>
      <c r="I348" s="232"/>
      <c r="J348" s="66"/>
      <c r="K348" s="232"/>
      <c r="L348" s="66"/>
      <c r="M348" s="232"/>
      <c r="N348" s="66"/>
      <c r="O348" s="232">
        <v>131956.31</v>
      </c>
      <c r="Q348" s="232"/>
      <c r="T348" s="66"/>
      <c r="U348" s="232"/>
      <c r="V348" s="232"/>
      <c r="W348" s="232"/>
      <c r="X348" s="66"/>
      <c r="Y348" s="232">
        <v>131956.31</v>
      </c>
      <c r="Z348" s="232">
        <v>0</v>
      </c>
    </row>
    <row r="349" spans="1:26">
      <c r="A349" s="49"/>
      <c r="B349" s="9" t="s">
        <v>3417</v>
      </c>
      <c r="C349" s="49"/>
      <c r="F349" s="66"/>
      <c r="H349" s="66"/>
      <c r="J349" s="66"/>
      <c r="L349" s="66"/>
      <c r="N349" s="66"/>
      <c r="Q349" s="66"/>
      <c r="T349" s="66"/>
      <c r="U349" s="232"/>
      <c r="V349" s="232"/>
      <c r="W349" s="232"/>
      <c r="X349" s="66"/>
    </row>
    <row r="350" spans="1:26" s="48" customFormat="1" ht="15.75" thickBot="1">
      <c r="A350" s="49"/>
      <c r="B350" s="9" t="s">
        <v>3417</v>
      </c>
      <c r="C350" s="49"/>
      <c r="D350" s="23" t="s">
        <v>115</v>
      </c>
      <c r="E350" s="234">
        <v>1912919.75</v>
      </c>
      <c r="F350" s="66"/>
      <c r="G350" s="234"/>
      <c r="H350" s="66"/>
      <c r="I350" s="234"/>
      <c r="J350" s="66"/>
      <c r="K350" s="234"/>
      <c r="L350" s="66"/>
      <c r="M350" s="234"/>
      <c r="N350" s="66"/>
      <c r="O350" s="234">
        <v>1912919.75</v>
      </c>
      <c r="P350" s="2"/>
      <c r="Q350" s="234"/>
      <c r="R350" s="2"/>
      <c r="S350" s="2"/>
      <c r="T350" s="2"/>
      <c r="U350" s="232"/>
      <c r="V350" s="29"/>
      <c r="W350" s="232"/>
      <c r="X350" s="2"/>
      <c r="Y350" s="234">
        <v>1912919.75</v>
      </c>
      <c r="Z350" s="234">
        <v>0</v>
      </c>
    </row>
    <row r="351" spans="1:26" s="48" customFormat="1" ht="15.75" thickTop="1">
      <c r="A351" s="49"/>
      <c r="B351" s="49"/>
      <c r="C351" s="49"/>
      <c r="D351" s="2"/>
      <c r="E351" s="66"/>
      <c r="F351" s="2"/>
      <c r="G351" s="66"/>
      <c r="H351" s="2"/>
      <c r="I351" s="66"/>
      <c r="J351" s="2"/>
      <c r="K351" s="66"/>
      <c r="L351" s="2"/>
      <c r="M351" s="66"/>
      <c r="N351" s="2"/>
      <c r="O351" s="66"/>
      <c r="P351" s="2"/>
      <c r="Q351" s="2"/>
      <c r="R351" s="2"/>
      <c r="S351" s="2"/>
      <c r="T351" s="2"/>
      <c r="U351" s="232"/>
      <c r="V351" s="29"/>
      <c r="W351" s="232"/>
      <c r="X351" s="2"/>
      <c r="Y351" s="66"/>
      <c r="Z351" s="66"/>
    </row>
    <row r="352" spans="1:26" s="49" customFormat="1">
      <c r="A352" s="53"/>
      <c r="B352" s="53"/>
      <c r="C352" s="53"/>
      <c r="D352" s="2"/>
      <c r="E352" s="66"/>
      <c r="F352" s="2"/>
      <c r="G352" s="66"/>
      <c r="H352" s="2"/>
      <c r="I352" s="66"/>
      <c r="J352" s="2"/>
      <c r="K352" s="66"/>
      <c r="L352" s="2"/>
      <c r="M352" s="66"/>
      <c r="N352" s="2"/>
      <c r="O352" s="66"/>
      <c r="P352" s="2"/>
      <c r="Q352" s="2"/>
      <c r="R352" s="2"/>
      <c r="S352" s="2"/>
      <c r="T352" s="2"/>
      <c r="U352" s="232"/>
      <c r="V352" s="29"/>
      <c r="W352" s="232"/>
      <c r="X352" s="2"/>
      <c r="Y352" s="66"/>
      <c r="Z352" s="66"/>
    </row>
    <row r="353" spans="1:26" s="49" customFormat="1" ht="15">
      <c r="A353" s="53"/>
      <c r="B353" s="53"/>
      <c r="C353" s="53"/>
      <c r="D353" s="509" t="s">
        <v>0</v>
      </c>
      <c r="E353" s="509"/>
      <c r="F353" s="509"/>
      <c r="G353" s="509"/>
      <c r="H353" s="509"/>
      <c r="I353" s="509"/>
      <c r="J353" s="509"/>
      <c r="K353" s="509"/>
      <c r="L353" s="509"/>
      <c r="M353" s="509"/>
      <c r="N353" s="509"/>
      <c r="O353" s="509"/>
      <c r="P353" s="48"/>
      <c r="Q353" s="48"/>
      <c r="R353" s="48"/>
      <c r="S353" s="48"/>
      <c r="T353" s="2"/>
      <c r="U353" s="232"/>
      <c r="V353" s="29"/>
      <c r="W353" s="232"/>
      <c r="X353" s="2"/>
      <c r="Y353" s="66"/>
      <c r="Z353" s="66"/>
    </row>
    <row r="354" spans="1:26" s="49" customFormat="1" ht="15">
      <c r="A354" s="53"/>
      <c r="B354" s="53"/>
      <c r="C354" s="53"/>
      <c r="D354" s="509" t="s">
        <v>116</v>
      </c>
      <c r="E354" s="509"/>
      <c r="F354" s="509"/>
      <c r="G354" s="509"/>
      <c r="H354" s="509"/>
      <c r="I354" s="509"/>
      <c r="J354" s="509"/>
      <c r="K354" s="509"/>
      <c r="L354" s="509"/>
      <c r="M354" s="509"/>
      <c r="N354" s="509"/>
      <c r="O354" s="509"/>
      <c r="P354" s="48"/>
      <c r="Q354" s="48"/>
      <c r="R354" s="48"/>
      <c r="S354" s="48"/>
      <c r="T354" s="48"/>
      <c r="U354" s="438"/>
      <c r="V354" s="438"/>
      <c r="W354" s="438"/>
      <c r="X354" s="48"/>
      <c r="Y354" s="48"/>
      <c r="Z354" s="48"/>
    </row>
    <row r="355" spans="1:26" s="49" customFormat="1" ht="15">
      <c r="D355" s="499" t="s">
        <v>2482</v>
      </c>
      <c r="E355" s="507"/>
      <c r="F355" s="507"/>
      <c r="G355" s="507"/>
      <c r="H355" s="507"/>
      <c r="I355" s="507"/>
      <c r="J355" s="507"/>
      <c r="K355" s="507"/>
      <c r="L355" s="507"/>
      <c r="M355" s="507"/>
      <c r="N355" s="507"/>
      <c r="O355" s="507"/>
      <c r="T355" s="48"/>
      <c r="U355" s="438"/>
      <c r="V355" s="438"/>
      <c r="W355" s="438"/>
      <c r="X355" s="48"/>
      <c r="Y355" s="48"/>
      <c r="Z355" s="48"/>
    </row>
    <row r="356" spans="1:26" s="53" customFormat="1">
      <c r="A356" s="49"/>
      <c r="B356" s="49"/>
      <c r="C356" s="49"/>
      <c r="D356" s="50"/>
      <c r="E356" s="50"/>
      <c r="F356" s="50"/>
      <c r="G356" s="50"/>
      <c r="H356" s="50"/>
      <c r="I356" s="50"/>
      <c r="J356" s="50"/>
      <c r="K356" s="50"/>
      <c r="L356" s="50"/>
      <c r="M356" s="50"/>
      <c r="N356" s="50"/>
      <c r="O356" s="50"/>
      <c r="P356" s="49"/>
      <c r="Q356" s="49"/>
      <c r="R356" s="49"/>
      <c r="S356" s="49"/>
      <c r="T356" s="49"/>
      <c r="U356" s="59"/>
      <c r="V356" s="59"/>
      <c r="W356" s="59"/>
      <c r="X356" s="49"/>
      <c r="Y356" s="32"/>
      <c r="Z356" s="32"/>
    </row>
    <row r="357" spans="1:26" s="53" customFormat="1" ht="15">
      <c r="A357" s="49"/>
      <c r="B357" s="49"/>
      <c r="C357" s="49"/>
      <c r="D357" s="49"/>
      <c r="E357" s="4" t="s">
        <v>2483</v>
      </c>
      <c r="F357" s="49"/>
      <c r="G357" s="49"/>
      <c r="H357" s="49"/>
      <c r="I357" s="49"/>
      <c r="J357" s="49"/>
      <c r="K357" s="49"/>
      <c r="L357" s="49"/>
      <c r="M357" s="49"/>
      <c r="N357" s="49"/>
      <c r="O357" s="49"/>
      <c r="P357" s="49"/>
      <c r="Q357" s="49"/>
      <c r="R357" s="49"/>
      <c r="S357" s="49"/>
      <c r="T357" s="50"/>
      <c r="U357" s="439"/>
      <c r="V357" s="439"/>
      <c r="W357" s="439"/>
      <c r="X357" s="50"/>
      <c r="Y357" s="510" t="s">
        <v>1717</v>
      </c>
      <c r="Z357" s="3"/>
    </row>
    <row r="358" spans="1:26" s="53" customFormat="1">
      <c r="A358" s="49"/>
      <c r="B358" s="49"/>
      <c r="C358" s="49"/>
      <c r="D358" s="49"/>
      <c r="E358" s="51" t="s">
        <v>2</v>
      </c>
      <c r="F358" s="49"/>
      <c r="G358" s="52"/>
      <c r="H358" s="49"/>
      <c r="I358" s="52"/>
      <c r="J358" s="49"/>
      <c r="K358" s="51" t="s">
        <v>3</v>
      </c>
      <c r="L358" s="49"/>
      <c r="M358" s="52"/>
      <c r="N358" s="49"/>
      <c r="O358" s="51" t="s">
        <v>4</v>
      </c>
      <c r="P358" s="49"/>
      <c r="Q358" s="49"/>
      <c r="R358" s="49"/>
      <c r="S358" s="49"/>
      <c r="T358" s="3"/>
      <c r="U358" s="435"/>
      <c r="V358" s="435"/>
      <c r="W358" s="435"/>
      <c r="X358" s="3"/>
      <c r="Y358" s="6" t="s">
        <v>2484</v>
      </c>
      <c r="Z358" s="62"/>
    </row>
    <row r="359" spans="1:26" s="49" customFormat="1">
      <c r="D359" s="53"/>
      <c r="E359" s="54" t="s">
        <v>6</v>
      </c>
      <c r="G359" s="54" t="s">
        <v>7</v>
      </c>
      <c r="I359" s="54" t="s">
        <v>8</v>
      </c>
      <c r="K359" s="54" t="s">
        <v>9</v>
      </c>
      <c r="M359" s="54" t="s">
        <v>10</v>
      </c>
      <c r="O359" s="54" t="s">
        <v>6</v>
      </c>
      <c r="P359" s="53"/>
      <c r="Q359" s="53"/>
      <c r="R359" s="53"/>
      <c r="S359" s="53"/>
      <c r="U359" s="55"/>
      <c r="V359" s="59"/>
      <c r="W359" s="55"/>
      <c r="Y359" s="10" t="s">
        <v>4</v>
      </c>
      <c r="Z359" s="10"/>
    </row>
    <row r="360" spans="1:26" s="49" customFormat="1">
      <c r="A360" s="59"/>
      <c r="B360" s="59"/>
      <c r="C360" s="59"/>
      <c r="D360" s="53"/>
      <c r="E360" s="55"/>
      <c r="G360" s="55"/>
      <c r="I360" s="55"/>
      <c r="K360" s="55"/>
      <c r="M360" s="55"/>
      <c r="O360" s="55"/>
      <c r="P360" s="53"/>
      <c r="Q360" s="53"/>
      <c r="R360" s="53"/>
      <c r="S360" s="53"/>
      <c r="U360" s="55"/>
      <c r="V360" s="59"/>
      <c r="W360" s="55"/>
      <c r="Y360" s="55" t="s">
        <v>6</v>
      </c>
      <c r="Z360" s="55" t="s">
        <v>13</v>
      </c>
    </row>
    <row r="361" spans="1:26" s="49" customFormat="1">
      <c r="D361" s="56" t="s">
        <v>117</v>
      </c>
      <c r="P361" s="53"/>
      <c r="Q361" s="53"/>
      <c r="R361" s="53"/>
      <c r="S361" s="53"/>
      <c r="U361" s="55"/>
      <c r="V361" s="59"/>
      <c r="W361" s="55"/>
    </row>
    <row r="362" spans="1:26" s="49" customFormat="1">
      <c r="D362" s="57" t="s">
        <v>113</v>
      </c>
      <c r="E362" s="58"/>
      <c r="F362" s="58"/>
      <c r="G362" s="58"/>
      <c r="H362" s="58"/>
      <c r="I362" s="58"/>
      <c r="J362" s="58"/>
      <c r="K362" s="58"/>
      <c r="L362" s="58"/>
      <c r="M362" s="58"/>
      <c r="N362" s="58"/>
      <c r="O362" s="58"/>
      <c r="P362" s="40"/>
      <c r="Q362" s="37"/>
      <c r="U362" s="59"/>
      <c r="V362" s="59"/>
      <c r="W362" s="59"/>
      <c r="Y362" s="58"/>
      <c r="Z362" s="58"/>
    </row>
    <row r="363" spans="1:26" s="49" customFormat="1">
      <c r="D363" s="49" t="s">
        <v>118</v>
      </c>
      <c r="E363" s="58">
        <v>0</v>
      </c>
      <c r="F363" s="58"/>
      <c r="G363" s="58">
        <v>0</v>
      </c>
      <c r="H363" s="58"/>
      <c r="I363" s="58">
        <v>0</v>
      </c>
      <c r="J363" s="58"/>
      <c r="K363" s="58">
        <v>0</v>
      </c>
      <c r="L363" s="58"/>
      <c r="M363" s="58">
        <v>0</v>
      </c>
      <c r="N363" s="58"/>
      <c r="O363" s="58">
        <v>0</v>
      </c>
      <c r="P363" s="40"/>
      <c r="Q363" s="37"/>
      <c r="T363" s="58"/>
      <c r="U363" s="58"/>
      <c r="V363" s="58"/>
      <c r="W363" s="58"/>
      <c r="X363" s="58"/>
      <c r="Y363" s="58"/>
      <c r="Z363" s="58"/>
    </row>
    <row r="364" spans="1:26" s="59" customFormat="1">
      <c r="A364" s="49"/>
      <c r="B364" s="49"/>
      <c r="C364" s="49"/>
      <c r="D364" s="49" t="s">
        <v>74</v>
      </c>
      <c r="E364" s="58">
        <v>0</v>
      </c>
      <c r="F364" s="58"/>
      <c r="G364" s="58">
        <v>0</v>
      </c>
      <c r="H364" s="58"/>
      <c r="I364" s="58">
        <v>0</v>
      </c>
      <c r="J364" s="58"/>
      <c r="K364" s="58">
        <v>0</v>
      </c>
      <c r="L364" s="58"/>
      <c r="M364" s="58">
        <v>0</v>
      </c>
      <c r="N364" s="58"/>
      <c r="O364" s="58">
        <v>0</v>
      </c>
      <c r="P364" s="40"/>
      <c r="Q364" s="37"/>
      <c r="R364" s="49"/>
      <c r="S364" s="49"/>
      <c r="T364" s="58"/>
      <c r="U364" s="58"/>
      <c r="V364" s="58"/>
      <c r="W364" s="58"/>
      <c r="X364" s="58"/>
      <c r="Y364" s="58"/>
      <c r="Z364" s="58">
        <v>0</v>
      </c>
    </row>
    <row r="365" spans="1:26" s="49" customFormat="1">
      <c r="D365" s="49" t="s">
        <v>76</v>
      </c>
      <c r="E365" s="58">
        <v>0</v>
      </c>
      <c r="F365" s="58"/>
      <c r="G365" s="58">
        <v>0</v>
      </c>
      <c r="H365" s="58"/>
      <c r="I365" s="58">
        <v>0</v>
      </c>
      <c r="J365" s="58"/>
      <c r="K365" s="58">
        <v>0</v>
      </c>
      <c r="L365" s="58"/>
      <c r="M365" s="58">
        <v>0</v>
      </c>
      <c r="N365" s="58"/>
      <c r="O365" s="58">
        <v>0</v>
      </c>
      <c r="P365" s="40"/>
      <c r="Q365" s="37"/>
      <c r="T365" s="58"/>
      <c r="U365" s="58"/>
      <c r="V365" s="58"/>
      <c r="W365" s="58"/>
      <c r="X365" s="58"/>
      <c r="Y365" s="58"/>
      <c r="Z365" s="58">
        <v>0</v>
      </c>
    </row>
    <row r="366" spans="1:26" s="49" customFormat="1">
      <c r="A366" s="2"/>
      <c r="B366" s="2"/>
      <c r="C366" s="2"/>
      <c r="D366" s="49" t="s">
        <v>78</v>
      </c>
      <c r="E366" s="58">
        <v>0</v>
      </c>
      <c r="F366" s="58"/>
      <c r="G366" s="58">
        <v>0</v>
      </c>
      <c r="H366" s="58"/>
      <c r="I366" s="58">
        <v>0</v>
      </c>
      <c r="J366" s="58"/>
      <c r="K366" s="58">
        <v>0</v>
      </c>
      <c r="L366" s="58"/>
      <c r="M366" s="58">
        <v>0</v>
      </c>
      <c r="N366" s="58"/>
      <c r="O366" s="58">
        <v>0</v>
      </c>
      <c r="P366" s="40"/>
      <c r="Q366" s="37"/>
      <c r="T366" s="58"/>
      <c r="U366" s="58"/>
      <c r="V366" s="58"/>
      <c r="W366" s="58"/>
      <c r="X366" s="58"/>
      <c r="Y366" s="58"/>
      <c r="Z366" s="58">
        <v>0</v>
      </c>
    </row>
    <row r="367" spans="1:26" s="49" customFormat="1">
      <c r="A367" s="2"/>
      <c r="B367" s="2"/>
      <c r="C367" s="2"/>
      <c r="D367" s="59" t="s">
        <v>114</v>
      </c>
      <c r="E367" s="58">
        <v>0</v>
      </c>
      <c r="F367" s="58"/>
      <c r="G367" s="58">
        <v>0</v>
      </c>
      <c r="H367" s="58"/>
      <c r="I367" s="58">
        <v>0</v>
      </c>
      <c r="J367" s="58"/>
      <c r="K367" s="58">
        <v>0</v>
      </c>
      <c r="L367" s="58"/>
      <c r="M367" s="58">
        <v>0</v>
      </c>
      <c r="N367" s="58"/>
      <c r="O367" s="58">
        <v>0</v>
      </c>
      <c r="P367" s="40"/>
      <c r="Q367" s="40"/>
      <c r="R367" s="59"/>
      <c r="S367" s="59"/>
      <c r="T367" s="58"/>
      <c r="U367" s="58"/>
      <c r="V367" s="58"/>
      <c r="W367" s="58"/>
      <c r="X367" s="58"/>
      <c r="Y367" s="58"/>
      <c r="Z367" s="58">
        <v>0</v>
      </c>
    </row>
    <row r="368" spans="1:26" s="49" customFormat="1">
      <c r="A368" s="2"/>
      <c r="B368" s="2"/>
      <c r="C368" s="2"/>
      <c r="D368" s="49" t="s">
        <v>82</v>
      </c>
      <c r="E368" s="60">
        <v>0</v>
      </c>
      <c r="F368" s="58"/>
      <c r="G368" s="60">
        <v>0</v>
      </c>
      <c r="H368" s="58"/>
      <c r="I368" s="60">
        <v>0</v>
      </c>
      <c r="J368" s="58"/>
      <c r="K368" s="60">
        <v>0</v>
      </c>
      <c r="L368" s="58"/>
      <c r="M368" s="60">
        <v>0</v>
      </c>
      <c r="N368" s="58"/>
      <c r="O368" s="60">
        <v>0</v>
      </c>
      <c r="P368" s="40"/>
      <c r="Q368" s="37"/>
      <c r="T368" s="58"/>
      <c r="U368" s="58"/>
      <c r="V368" s="58"/>
      <c r="W368" s="58"/>
      <c r="X368" s="58"/>
      <c r="Y368" s="60"/>
      <c r="Z368" s="60">
        <v>0</v>
      </c>
    </row>
    <row r="369" spans="1:26" s="49" customFormat="1">
      <c r="A369" s="2"/>
      <c r="B369" s="2"/>
      <c r="C369" s="2"/>
      <c r="E369" s="58">
        <v>0</v>
      </c>
      <c r="F369" s="58"/>
      <c r="G369" s="58">
        <v>0</v>
      </c>
      <c r="H369" s="58"/>
      <c r="I369" s="58">
        <v>0</v>
      </c>
      <c r="J369" s="58"/>
      <c r="K369" s="58">
        <v>0</v>
      </c>
      <c r="L369" s="58"/>
      <c r="M369" s="58">
        <v>0</v>
      </c>
      <c r="N369" s="58"/>
      <c r="O369" s="58">
        <v>0</v>
      </c>
      <c r="P369" s="40"/>
      <c r="Q369" s="37"/>
      <c r="T369" s="58"/>
      <c r="U369" s="58"/>
      <c r="V369" s="58"/>
      <c r="W369" s="58"/>
      <c r="X369" s="58"/>
      <c r="Y369" s="58"/>
      <c r="Z369" s="58">
        <v>0</v>
      </c>
    </row>
    <row r="370" spans="1:26">
      <c r="D370" s="49"/>
      <c r="E370" s="58"/>
      <c r="F370" s="52"/>
      <c r="G370" s="58"/>
      <c r="H370" s="52"/>
      <c r="I370" s="58"/>
      <c r="J370" s="52"/>
      <c r="K370" s="58"/>
      <c r="L370" s="52"/>
      <c r="M370" s="58"/>
      <c r="N370" s="52"/>
      <c r="O370" s="58"/>
      <c r="P370" s="37"/>
      <c r="Q370" s="37"/>
      <c r="R370" s="49"/>
      <c r="S370" s="49"/>
      <c r="T370" s="58"/>
      <c r="U370" s="58"/>
      <c r="V370" s="58"/>
      <c r="W370" s="58"/>
      <c r="X370" s="58"/>
      <c r="Y370" s="58"/>
      <c r="Z370" s="58"/>
    </row>
    <row r="371" spans="1:26">
      <c r="D371" s="49"/>
      <c r="E371" s="52"/>
      <c r="F371" s="52"/>
      <c r="G371" s="52"/>
      <c r="H371" s="52"/>
      <c r="I371" s="52"/>
      <c r="J371" s="52"/>
      <c r="K371" s="52"/>
      <c r="L371" s="52"/>
      <c r="M371" s="52"/>
      <c r="N371" s="52"/>
      <c r="O371" s="52"/>
      <c r="P371" s="37"/>
      <c r="Q371" s="37"/>
      <c r="R371" s="49"/>
      <c r="S371" s="49"/>
      <c r="T371" s="52"/>
      <c r="U371" s="58"/>
      <c r="V371" s="58"/>
      <c r="W371" s="58"/>
      <c r="X371" s="52"/>
      <c r="Y371" s="52"/>
      <c r="Z371" s="52"/>
    </row>
    <row r="372" spans="1:26" ht="13.5" thickBot="1">
      <c r="D372" s="57" t="s">
        <v>119</v>
      </c>
      <c r="E372" s="61">
        <v>0</v>
      </c>
      <c r="F372" s="52"/>
      <c r="G372" s="61">
        <v>0</v>
      </c>
      <c r="H372" s="52"/>
      <c r="I372" s="61">
        <v>0</v>
      </c>
      <c r="J372" s="52"/>
      <c r="K372" s="61">
        <v>0</v>
      </c>
      <c r="L372" s="52"/>
      <c r="M372" s="61">
        <v>0</v>
      </c>
      <c r="N372" s="52"/>
      <c r="O372" s="61">
        <v>0</v>
      </c>
      <c r="P372" s="37"/>
      <c r="Q372" s="37"/>
      <c r="R372" s="49"/>
      <c r="S372" s="49"/>
      <c r="T372" s="52"/>
      <c r="U372" s="58"/>
      <c r="V372" s="58"/>
      <c r="W372" s="58"/>
      <c r="X372" s="52"/>
      <c r="Y372" s="61"/>
      <c r="Z372" s="61"/>
    </row>
    <row r="373" spans="1:26" ht="13.5" thickTop="1">
      <c r="T373" s="52"/>
      <c r="U373" s="58"/>
      <c r="V373" s="58"/>
      <c r="W373" s="58"/>
      <c r="X373" s="52"/>
      <c r="Y373" s="66">
        <v>0</v>
      </c>
      <c r="Z373" s="66">
        <v>0</v>
      </c>
    </row>
    <row r="374" spans="1:26">
      <c r="U374" s="232"/>
      <c r="V374" s="29"/>
      <c r="W374" s="232"/>
    </row>
  </sheetData>
  <pageMargins left="0.75" right="0.75" top="1" bottom="1" header="0.5" footer="0.5"/>
  <pageSetup scale="46" fitToHeight="0" orientation="landscape" r:id="rId1"/>
  <headerFooter alignWithMargins="0"/>
  <rowBreaks count="7" manualBreakCount="7">
    <brk id="46" min="3" max="16" man="1"/>
    <brk id="79" max="16383" man="1"/>
    <brk id="113" min="3" max="16" man="1"/>
    <brk id="149" max="16383" man="1"/>
    <brk id="179" max="16383" man="1"/>
    <brk id="255" max="16383" man="1"/>
    <brk id="29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V959"/>
  <sheetViews>
    <sheetView zoomScale="85" zoomScaleNormal="85" workbookViewId="0">
      <pane xSplit="6" ySplit="3" topLeftCell="G448" activePane="bottomRight" state="frozen"/>
      <selection activeCell="A52" sqref="A52"/>
      <selection pane="topRight" activeCell="A52" sqref="A52"/>
      <selection pane="bottomLeft" activeCell="A52" sqref="A52"/>
      <selection pane="bottomRight" activeCell="R576" sqref="R576"/>
    </sheetView>
  </sheetViews>
  <sheetFormatPr defaultColWidth="7.77734375" defaultRowHeight="15"/>
  <cols>
    <col min="1" max="1" width="5.21875" style="427" customWidth="1"/>
    <col min="2" max="3" width="4.21875" style="427" customWidth="1"/>
    <col min="4" max="4" width="6.44140625" style="427" customWidth="1"/>
    <col min="5" max="5" width="5.33203125" style="427" customWidth="1"/>
    <col min="6" max="6" width="48.44140625" style="758" bestFit="1" customWidth="1"/>
    <col min="7" max="7" width="11.6640625" style="426" customWidth="1"/>
    <col min="8" max="20" width="9.33203125" style="427" customWidth="1"/>
    <col min="21" max="21" width="12.21875" style="427" customWidth="1"/>
    <col min="22" max="22" width="7.77734375" style="235"/>
    <col min="23" max="24" width="10.33203125" style="235" bestFit="1" customWidth="1"/>
    <col min="25" max="16384" width="7.77734375" style="235"/>
  </cols>
  <sheetData>
    <row r="1" spans="1:21" s="400" customFormat="1" ht="18.75">
      <c r="A1" s="430"/>
      <c r="B1" s="431"/>
      <c r="C1" s="431"/>
      <c r="D1" s="431"/>
      <c r="E1" s="431"/>
      <c r="F1" s="754"/>
      <c r="G1" s="755"/>
      <c r="H1" s="431"/>
      <c r="I1" s="431"/>
      <c r="J1" s="431"/>
      <c r="K1" s="431"/>
      <c r="L1" s="431"/>
      <c r="M1" s="431"/>
      <c r="N1" s="431"/>
      <c r="O1" s="431"/>
      <c r="P1" s="431"/>
      <c r="Q1" s="431"/>
      <c r="R1" s="431"/>
      <c r="S1" s="431"/>
      <c r="T1" s="431"/>
      <c r="U1" s="431"/>
    </row>
    <row r="2" spans="1:21" s="431" customFormat="1" ht="30">
      <c r="A2" s="431" t="s">
        <v>1719</v>
      </c>
      <c r="B2" s="431" t="s">
        <v>1720</v>
      </c>
      <c r="C2" s="431" t="s">
        <v>3429</v>
      </c>
      <c r="D2" s="431" t="s">
        <v>3430</v>
      </c>
      <c r="E2" s="431" t="s">
        <v>1721</v>
      </c>
      <c r="F2" s="756" t="s">
        <v>2528</v>
      </c>
      <c r="G2" s="757" t="s">
        <v>3431</v>
      </c>
      <c r="H2" s="431" t="s">
        <v>2501</v>
      </c>
      <c r="I2" s="431" t="s">
        <v>2471</v>
      </c>
      <c r="J2" s="431" t="s">
        <v>2472</v>
      </c>
      <c r="K2" s="431" t="s">
        <v>2473</v>
      </c>
      <c r="L2" s="431" t="s">
        <v>2474</v>
      </c>
      <c r="M2" s="431" t="s">
        <v>2475</v>
      </c>
      <c r="N2" s="431" t="s">
        <v>2476</v>
      </c>
      <c r="O2" s="431" t="s">
        <v>2398</v>
      </c>
      <c r="P2" s="431" t="s">
        <v>2399</v>
      </c>
      <c r="Q2" s="431" t="s">
        <v>2400</v>
      </c>
      <c r="R2" s="431" t="s">
        <v>2401</v>
      </c>
      <c r="S2" s="431" t="s">
        <v>2402</v>
      </c>
      <c r="T2" s="431" t="s">
        <v>2403</v>
      </c>
      <c r="U2" s="431" t="s">
        <v>2502</v>
      </c>
    </row>
    <row r="3" spans="1:21" s="431" customFormat="1">
      <c r="F3" s="756" t="s">
        <v>2543</v>
      </c>
      <c r="G3" s="755"/>
    </row>
    <row r="4" spans="1:21" s="427" customFormat="1">
      <c r="F4" s="758"/>
      <c r="G4" s="426"/>
    </row>
    <row r="5" spans="1:21" s="427" customFormat="1">
      <c r="F5" s="759" t="s">
        <v>1722</v>
      </c>
      <c r="G5" s="760"/>
    </row>
    <row r="6" spans="1:21" s="427" customFormat="1">
      <c r="A6" s="427" t="str">
        <f t="shared" ref="A6:A69" si="0">MID($F6,4,2)</f>
        <v>KU</v>
      </c>
      <c r="B6" s="427" t="str">
        <f t="shared" ref="B6:B65" si="1">IF(MID($F6,12,2)="- ","KY",IF(MID($F6,12,2)="SY","KY",MID($F6,12,2)))</f>
        <v>KY</v>
      </c>
      <c r="C6" s="427" t="str">
        <f>IF(ISTEXT(MID($F6,SEARCH("FUTURE USE",$F6),3)),"F",IF(MID($F6,7,1)="1","E",IF(MID($F6,7,1)="2","G",IF(MID($F6,7,1)="3","C",""))))</f>
        <v>E</v>
      </c>
      <c r="D6" s="427" t="s">
        <v>3418</v>
      </c>
      <c r="E6" s="427" t="str">
        <f t="shared" ref="E6:E69" si="2">MID($F6,8,3)</f>
        <v>301</v>
      </c>
      <c r="F6" s="756" t="s">
        <v>1723</v>
      </c>
      <c r="G6" s="426" t="str">
        <f t="shared" ref="G6:G19" si="3">IF(ISTEXT(MID($F6,SEARCH("FUTURE USE",$F6),3)),"FUTURE USE",IF(ISTEXT(MID($F6,SEARCH("ECR",$F6),3)),"ECR",IF(ISTEXT(MID($F6,SEARCH("ARO",$F6),3)),"ARO",IF(ISTEXT(MID($F6,SEARCH("DSM",$F6),3)),"DSM",""))))</f>
        <v/>
      </c>
      <c r="H6" s="427">
        <v>39.116889999999998</v>
      </c>
      <c r="I6" s="427">
        <v>39.116889999999998</v>
      </c>
      <c r="J6" s="427">
        <v>39.116889999999998</v>
      </c>
      <c r="K6" s="427">
        <v>39.116889999999998</v>
      </c>
      <c r="L6" s="427">
        <v>39.116889999999998</v>
      </c>
      <c r="M6" s="427">
        <v>39.116889999999998</v>
      </c>
      <c r="N6" s="427">
        <v>39.116889999999998</v>
      </c>
      <c r="O6" s="427">
        <v>39.116889999999998</v>
      </c>
      <c r="P6" s="427">
        <v>39.116889999999998</v>
      </c>
      <c r="Q6" s="427">
        <v>39.116889999999998</v>
      </c>
      <c r="R6" s="427">
        <v>39.116889999999998</v>
      </c>
      <c r="S6" s="427">
        <v>39.116889999999998</v>
      </c>
      <c r="T6" s="427">
        <v>39.116889999999998</v>
      </c>
    </row>
    <row r="7" spans="1:21" s="427" customFormat="1">
      <c r="A7" s="427" t="str">
        <f t="shared" si="0"/>
        <v>KU</v>
      </c>
      <c r="B7" s="427" t="str">
        <f t="shared" si="1"/>
        <v>VA</v>
      </c>
      <c r="C7" s="427" t="str">
        <f t="shared" ref="C7:C70" si="4">IF(ISTEXT(MID($F7,SEARCH("FUTURE USE",$F7),3)),"F",IF(MID($F7,7,1)="1","E",IF(MID($F7,7,1)="2","G",IF(MID($F7,7,1)="3","C",""))))</f>
        <v>E</v>
      </c>
      <c r="D7" s="427" t="s">
        <v>3418</v>
      </c>
      <c r="E7" s="427" t="str">
        <f t="shared" si="2"/>
        <v>301</v>
      </c>
      <c r="F7" s="756" t="s">
        <v>1724</v>
      </c>
      <c r="G7" s="426" t="str">
        <f t="shared" si="3"/>
        <v/>
      </c>
      <c r="H7" s="427">
        <v>5.3386899999999997</v>
      </c>
      <c r="I7" s="427">
        <v>5.3386899999999997</v>
      </c>
      <c r="J7" s="427">
        <v>5.3386899999999997</v>
      </c>
      <c r="K7" s="427">
        <v>5.3386899999999997</v>
      </c>
      <c r="L7" s="427">
        <v>5.3386899999999997</v>
      </c>
      <c r="M7" s="427">
        <v>5.3386899999999997</v>
      </c>
      <c r="N7" s="427">
        <v>5.3386899999999997</v>
      </c>
      <c r="O7" s="427">
        <v>5.3386899999999997</v>
      </c>
      <c r="P7" s="427">
        <v>5.3386899999999997</v>
      </c>
      <c r="Q7" s="427">
        <v>5.3386899999999997</v>
      </c>
      <c r="R7" s="427">
        <v>5.3386899999999997</v>
      </c>
      <c r="S7" s="427">
        <v>5.3386899999999997</v>
      </c>
      <c r="T7" s="427">
        <v>5.3386899999999997</v>
      </c>
    </row>
    <row r="8" spans="1:21" s="427" customFormat="1">
      <c r="A8" s="427" t="str">
        <f t="shared" si="0"/>
        <v>KU</v>
      </c>
      <c r="B8" s="427" t="str">
        <f t="shared" si="1"/>
        <v>KY</v>
      </c>
      <c r="C8" s="427" t="str">
        <f t="shared" si="4"/>
        <v>E</v>
      </c>
      <c r="D8" s="427" t="s">
        <v>3418</v>
      </c>
      <c r="E8" s="427" t="str">
        <f t="shared" si="2"/>
        <v>302</v>
      </c>
      <c r="F8" s="756" t="s">
        <v>1725</v>
      </c>
      <c r="G8" s="426" t="str">
        <f t="shared" si="3"/>
        <v/>
      </c>
      <c r="H8" s="427">
        <v>55.91883</v>
      </c>
      <c r="I8" s="427">
        <v>55.91883</v>
      </c>
      <c r="J8" s="427">
        <v>55.91883</v>
      </c>
      <c r="K8" s="427">
        <v>55.91883</v>
      </c>
      <c r="L8" s="427">
        <v>55.91883</v>
      </c>
      <c r="M8" s="427">
        <v>55.91883</v>
      </c>
      <c r="N8" s="427">
        <v>55.91883</v>
      </c>
      <c r="O8" s="427">
        <v>55.91883</v>
      </c>
      <c r="P8" s="427">
        <v>55.91883</v>
      </c>
      <c r="Q8" s="427">
        <v>55.91883</v>
      </c>
      <c r="R8" s="427">
        <v>55.91883</v>
      </c>
      <c r="S8" s="427">
        <v>55.91883</v>
      </c>
      <c r="T8" s="427">
        <v>55.91883</v>
      </c>
    </row>
    <row r="9" spans="1:21" s="427" customFormat="1">
      <c r="A9" s="427" t="str">
        <f t="shared" si="0"/>
        <v>KU</v>
      </c>
      <c r="B9" s="427" t="str">
        <f t="shared" si="1"/>
        <v>KY</v>
      </c>
      <c r="C9" s="427" t="str">
        <f t="shared" si="4"/>
        <v>E</v>
      </c>
      <c r="D9" s="427" t="s">
        <v>3418</v>
      </c>
      <c r="E9" s="427" t="str">
        <f t="shared" si="2"/>
        <v>303</v>
      </c>
      <c r="F9" s="756" t="s">
        <v>1726</v>
      </c>
      <c r="G9" s="426" t="str">
        <f t="shared" si="3"/>
        <v/>
      </c>
      <c r="H9" s="427">
        <v>63093.99596</v>
      </c>
      <c r="I9" s="427">
        <v>62874.341260000001</v>
      </c>
      <c r="J9" s="427">
        <v>62121.557520000002</v>
      </c>
      <c r="K9" s="427">
        <v>62051.825250000002</v>
      </c>
      <c r="L9" s="427">
        <v>61746.027220000004</v>
      </c>
      <c r="M9" s="427">
        <v>61713.510320000001</v>
      </c>
      <c r="N9" s="427">
        <v>60742.317580000003</v>
      </c>
      <c r="O9" s="427">
        <v>64262.640629061003</v>
      </c>
      <c r="P9" s="427">
        <v>64610.301531451303</v>
      </c>
      <c r="Q9" s="427">
        <v>64067.8693693573</v>
      </c>
      <c r="R9" s="427">
        <v>70131.218557043307</v>
      </c>
      <c r="S9" s="427">
        <v>71536.277750935304</v>
      </c>
      <c r="T9" s="427">
        <v>75532.601309877296</v>
      </c>
    </row>
    <row r="10" spans="1:21" s="427" customFormat="1">
      <c r="A10" s="427" t="str">
        <f t="shared" si="0"/>
        <v>KU</v>
      </c>
      <c r="B10" s="427" t="str">
        <f t="shared" si="1"/>
        <v>KY</v>
      </c>
      <c r="C10" s="427" t="str">
        <f t="shared" si="4"/>
        <v>E</v>
      </c>
      <c r="D10" s="427" t="s">
        <v>3418</v>
      </c>
      <c r="E10" s="427" t="str">
        <f t="shared" si="2"/>
        <v>303</v>
      </c>
      <c r="F10" s="756" t="s">
        <v>1727</v>
      </c>
      <c r="G10" s="426" t="str">
        <f t="shared" si="3"/>
        <v/>
      </c>
      <c r="H10" s="427">
        <v>55494.363989999998</v>
      </c>
      <c r="I10" s="427">
        <v>55494.363989999998</v>
      </c>
      <c r="J10" s="427">
        <v>55494.363989999998</v>
      </c>
      <c r="K10" s="427">
        <v>55494.363989999998</v>
      </c>
      <c r="L10" s="427">
        <v>55494.363989999998</v>
      </c>
      <c r="M10" s="427">
        <v>55494.363989999998</v>
      </c>
      <c r="N10" s="427">
        <v>55494.363989999998</v>
      </c>
      <c r="O10" s="427">
        <v>55494.363989999998</v>
      </c>
      <c r="P10" s="427">
        <v>55494.363989999998</v>
      </c>
      <c r="Q10" s="427">
        <v>55811.557712100002</v>
      </c>
      <c r="R10" s="427">
        <v>55823.542957199999</v>
      </c>
      <c r="S10" s="427">
        <v>55830.466599927</v>
      </c>
      <c r="T10" s="427">
        <v>55964.050854326997</v>
      </c>
    </row>
    <row r="11" spans="1:21" s="427" customFormat="1">
      <c r="A11" s="427" t="str">
        <f t="shared" si="0"/>
        <v>KU</v>
      </c>
      <c r="B11" s="427" t="str">
        <f t="shared" si="1"/>
        <v>KY</v>
      </c>
      <c r="C11" s="427" t="str">
        <f t="shared" si="4"/>
        <v>E</v>
      </c>
      <c r="D11" s="427" t="s">
        <v>3418</v>
      </c>
      <c r="E11" s="427" t="str">
        <f t="shared" si="2"/>
        <v>310</v>
      </c>
      <c r="F11" s="756" t="s">
        <v>1728</v>
      </c>
      <c r="G11" s="426" t="str">
        <f t="shared" si="3"/>
        <v>ECR</v>
      </c>
      <c r="H11" s="427">
        <v>11554.118199999901</v>
      </c>
      <c r="I11" s="427">
        <v>11554.118199999901</v>
      </c>
      <c r="J11" s="427">
        <v>11554.118199999901</v>
      </c>
      <c r="K11" s="427">
        <v>11554.118199999901</v>
      </c>
      <c r="L11" s="427">
        <v>11554.118199999901</v>
      </c>
      <c r="M11" s="427">
        <v>11554.118199999901</v>
      </c>
      <c r="N11" s="427">
        <v>11554.118199999901</v>
      </c>
      <c r="O11" s="427">
        <v>11557.3881799999</v>
      </c>
      <c r="P11" s="427">
        <v>11606.6685599999</v>
      </c>
      <c r="Q11" s="427">
        <v>11621.0685599999</v>
      </c>
      <c r="R11" s="427">
        <v>11621.0685599999</v>
      </c>
      <c r="S11" s="427">
        <v>11621.0685599999</v>
      </c>
      <c r="T11" s="427">
        <v>11621.0685599999</v>
      </c>
    </row>
    <row r="12" spans="1:21" s="427" customFormat="1">
      <c r="A12" s="427" t="str">
        <f t="shared" si="0"/>
        <v>KU</v>
      </c>
      <c r="B12" s="427" t="str">
        <f t="shared" si="1"/>
        <v>KY</v>
      </c>
      <c r="C12" s="427" t="str">
        <f t="shared" si="4"/>
        <v>E</v>
      </c>
      <c r="D12" s="427" t="s">
        <v>3418</v>
      </c>
      <c r="E12" s="427" t="str">
        <f t="shared" si="2"/>
        <v>310</v>
      </c>
      <c r="F12" s="756" t="s">
        <v>1729</v>
      </c>
      <c r="G12" s="426" t="str">
        <f t="shared" si="3"/>
        <v>ECR</v>
      </c>
      <c r="H12" s="427">
        <v>1406.9974500000001</v>
      </c>
      <c r="I12" s="427">
        <v>1406.9974500000001</v>
      </c>
      <c r="J12" s="427">
        <v>1406.9974500000001</v>
      </c>
      <c r="K12" s="427">
        <v>1406.9974500000001</v>
      </c>
      <c r="L12" s="427">
        <v>1406.9974500000001</v>
      </c>
      <c r="M12" s="427">
        <v>1406.9974500000001</v>
      </c>
      <c r="N12" s="427">
        <v>1406.9974500000001</v>
      </c>
      <c r="O12" s="427">
        <v>1406.9974500000001</v>
      </c>
      <c r="P12" s="427">
        <v>1406.9974500000001</v>
      </c>
      <c r="Q12" s="427">
        <v>1406.9974500000001</v>
      </c>
      <c r="R12" s="427">
        <v>1406.9974500000001</v>
      </c>
      <c r="S12" s="427">
        <v>1406.9974500000001</v>
      </c>
      <c r="T12" s="427">
        <v>1406.9974500000001</v>
      </c>
    </row>
    <row r="13" spans="1:21" s="427" customFormat="1">
      <c r="A13" s="427" t="str">
        <f t="shared" si="0"/>
        <v>KU</v>
      </c>
      <c r="B13" s="427" t="str">
        <f t="shared" si="1"/>
        <v>KY</v>
      </c>
      <c r="C13" s="427" t="str">
        <f t="shared" si="4"/>
        <v>E</v>
      </c>
      <c r="D13" s="427" t="s">
        <v>3418</v>
      </c>
      <c r="E13" s="427" t="str">
        <f t="shared" si="2"/>
        <v>310</v>
      </c>
      <c r="F13" s="756" t="s">
        <v>2503</v>
      </c>
      <c r="G13" s="426" t="str">
        <f t="shared" si="3"/>
        <v>ECR</v>
      </c>
      <c r="H13" s="427">
        <v>0</v>
      </c>
      <c r="I13" s="427">
        <v>0</v>
      </c>
      <c r="J13" s="427">
        <v>0</v>
      </c>
      <c r="K13" s="427">
        <v>0</v>
      </c>
      <c r="L13" s="427">
        <v>0</v>
      </c>
      <c r="M13" s="427">
        <v>0</v>
      </c>
      <c r="N13" s="427">
        <v>0</v>
      </c>
      <c r="O13" s="427">
        <v>0</v>
      </c>
      <c r="P13" s="427">
        <v>0</v>
      </c>
      <c r="Q13" s="427">
        <v>0</v>
      </c>
      <c r="R13" s="427">
        <v>0</v>
      </c>
      <c r="S13" s="427">
        <v>0</v>
      </c>
      <c r="T13" s="427">
        <v>12.94003</v>
      </c>
    </row>
    <row r="14" spans="1:21" s="427" customFormat="1">
      <c r="A14" s="427" t="str">
        <f t="shared" si="0"/>
        <v>KU</v>
      </c>
      <c r="B14" s="427" t="str">
        <f t="shared" si="1"/>
        <v>KY</v>
      </c>
      <c r="C14" s="427" t="str">
        <f t="shared" si="4"/>
        <v>E</v>
      </c>
      <c r="D14" s="427" t="s">
        <v>3418</v>
      </c>
      <c r="E14" s="427" t="str">
        <f t="shared" si="2"/>
        <v>310</v>
      </c>
      <c r="F14" s="756" t="s">
        <v>1730</v>
      </c>
      <c r="G14" s="426" t="str">
        <f t="shared" si="3"/>
        <v/>
      </c>
      <c r="H14" s="427">
        <v>11210.270270000001</v>
      </c>
      <c r="I14" s="427">
        <v>11210.270270000001</v>
      </c>
      <c r="J14" s="427">
        <v>11210.270270000001</v>
      </c>
      <c r="K14" s="427">
        <v>11210.270270000001</v>
      </c>
      <c r="L14" s="427">
        <v>11210.270270000001</v>
      </c>
      <c r="M14" s="427">
        <v>11210.270270000001</v>
      </c>
      <c r="N14" s="427">
        <v>11210.270270000001</v>
      </c>
      <c r="O14" s="427">
        <v>11311.717360799999</v>
      </c>
      <c r="P14" s="427">
        <v>11311.717360799999</v>
      </c>
      <c r="Q14" s="427">
        <v>11405.4677904</v>
      </c>
      <c r="R14" s="427">
        <v>11405.4677904</v>
      </c>
      <c r="S14" s="427">
        <v>11405.4677904</v>
      </c>
      <c r="T14" s="427">
        <v>11405.4677904</v>
      </c>
    </row>
    <row r="15" spans="1:21" s="427" customFormat="1">
      <c r="A15" s="427" t="str">
        <f t="shared" si="0"/>
        <v>KU</v>
      </c>
      <c r="B15" s="427" t="str">
        <f t="shared" si="1"/>
        <v>KY</v>
      </c>
      <c r="C15" s="427" t="str">
        <f t="shared" si="4"/>
        <v>E</v>
      </c>
      <c r="D15" s="427" t="s">
        <v>3418</v>
      </c>
      <c r="E15" s="427" t="str">
        <f t="shared" si="2"/>
        <v>311</v>
      </c>
      <c r="F15" s="756" t="s">
        <v>1731</v>
      </c>
      <c r="G15" s="426" t="str">
        <f t="shared" si="3"/>
        <v>ECR</v>
      </c>
      <c r="H15" s="427">
        <v>10539.653910000001</v>
      </c>
      <c r="I15" s="427">
        <v>10539.653910000001</v>
      </c>
      <c r="J15" s="427">
        <v>10539.653910000001</v>
      </c>
      <c r="K15" s="427">
        <v>10539.653910000001</v>
      </c>
      <c r="L15" s="427">
        <v>10539.653910000001</v>
      </c>
      <c r="M15" s="427">
        <v>10539.653910000001</v>
      </c>
      <c r="N15" s="427">
        <v>10539.653910000001</v>
      </c>
      <c r="O15" s="427">
        <v>10539.653910000001</v>
      </c>
      <c r="P15" s="427">
        <v>10539.653910000001</v>
      </c>
      <c r="Q15" s="427">
        <v>10539.653910000001</v>
      </c>
      <c r="R15" s="427">
        <v>10539.653910000001</v>
      </c>
      <c r="S15" s="427">
        <v>10539.653910000001</v>
      </c>
      <c r="T15" s="427">
        <v>10539.653910000001</v>
      </c>
    </row>
    <row r="16" spans="1:21" s="427" customFormat="1">
      <c r="A16" s="427" t="str">
        <f t="shared" si="0"/>
        <v>KU</v>
      </c>
      <c r="B16" s="427" t="str">
        <f t="shared" si="1"/>
        <v>KY</v>
      </c>
      <c r="C16" s="427" t="str">
        <f t="shared" si="4"/>
        <v>E</v>
      </c>
      <c r="D16" s="427" t="s">
        <v>3418</v>
      </c>
      <c r="E16" s="427" t="str">
        <f t="shared" si="2"/>
        <v>311</v>
      </c>
      <c r="F16" s="756" t="s">
        <v>2193</v>
      </c>
      <c r="G16" s="426" t="str">
        <f t="shared" si="3"/>
        <v>ECR</v>
      </c>
      <c r="H16" s="427">
        <v>14263.553749999999</v>
      </c>
      <c r="I16" s="427">
        <v>14263.553749999999</v>
      </c>
      <c r="J16" s="427">
        <v>14263.553749999999</v>
      </c>
      <c r="K16" s="427">
        <v>14263.553749999999</v>
      </c>
      <c r="L16" s="427">
        <v>14263.553749999999</v>
      </c>
      <c r="M16" s="427">
        <v>14263.553749999999</v>
      </c>
      <c r="N16" s="427">
        <v>14263.553749999999</v>
      </c>
      <c r="O16" s="427">
        <v>14263.553749999999</v>
      </c>
      <c r="P16" s="427">
        <v>14263.553749999999</v>
      </c>
      <c r="Q16" s="427">
        <v>14263.553749999999</v>
      </c>
      <c r="R16" s="427">
        <v>14263.553749999999</v>
      </c>
      <c r="S16" s="427">
        <v>14263.553749999999</v>
      </c>
      <c r="T16" s="427">
        <v>14263.553749999999</v>
      </c>
    </row>
    <row r="17" spans="1:20" s="427" customFormat="1">
      <c r="A17" s="427" t="str">
        <f t="shared" si="0"/>
        <v>KU</v>
      </c>
      <c r="B17" s="427" t="str">
        <f t="shared" si="1"/>
        <v>KY</v>
      </c>
      <c r="C17" s="427" t="str">
        <f t="shared" si="4"/>
        <v>E</v>
      </c>
      <c r="D17" s="427" t="s">
        <v>3418</v>
      </c>
      <c r="E17" s="427" t="str">
        <f t="shared" si="2"/>
        <v>311</v>
      </c>
      <c r="F17" s="756" t="s">
        <v>1732</v>
      </c>
      <c r="G17" s="426" t="str">
        <f t="shared" si="3"/>
        <v/>
      </c>
      <c r="H17" s="427">
        <v>326953.90307</v>
      </c>
      <c r="I17" s="427">
        <v>327241.21591000003</v>
      </c>
      <c r="J17" s="427">
        <v>327222.23891000001</v>
      </c>
      <c r="K17" s="427">
        <v>327420.51780999999</v>
      </c>
      <c r="L17" s="427">
        <v>327420.16661999997</v>
      </c>
      <c r="M17" s="427">
        <v>330151.04126000003</v>
      </c>
      <c r="N17" s="427">
        <v>330763.75571999903</v>
      </c>
      <c r="O17" s="427">
        <v>330782.19167484902</v>
      </c>
      <c r="P17" s="427">
        <v>331580.10599981202</v>
      </c>
      <c r="Q17" s="427">
        <v>331980.35699241201</v>
      </c>
      <c r="R17" s="427">
        <v>332368.03616329201</v>
      </c>
      <c r="S17" s="427">
        <v>332368.03616329201</v>
      </c>
      <c r="T17" s="427">
        <v>332620.72447011399</v>
      </c>
    </row>
    <row r="18" spans="1:20" s="427" customFormat="1">
      <c r="A18" s="427" t="str">
        <f t="shared" si="0"/>
        <v>KU</v>
      </c>
      <c r="B18" s="427" t="str">
        <f t="shared" si="1"/>
        <v>KY</v>
      </c>
      <c r="C18" s="427" t="str">
        <f t="shared" si="4"/>
        <v>E</v>
      </c>
      <c r="D18" s="427" t="s">
        <v>3418</v>
      </c>
      <c r="E18" s="427" t="str">
        <f t="shared" si="2"/>
        <v>312</v>
      </c>
      <c r="F18" s="756" t="s">
        <v>1733</v>
      </c>
      <c r="G18" s="426" t="str">
        <f t="shared" si="3"/>
        <v/>
      </c>
      <c r="H18" s="427">
        <v>2699077.4495599899</v>
      </c>
      <c r="I18" s="427">
        <v>2698571.6349599902</v>
      </c>
      <c r="J18" s="427">
        <v>2693422.5730799902</v>
      </c>
      <c r="K18" s="427">
        <v>2696871.1416799901</v>
      </c>
      <c r="L18" s="427">
        <v>2698154.3623799901</v>
      </c>
      <c r="M18" s="427">
        <v>2701899.5095399902</v>
      </c>
      <c r="N18" s="427">
        <v>2710320.16753999</v>
      </c>
      <c r="O18" s="427">
        <v>2710848.5840932098</v>
      </c>
      <c r="P18" s="427">
        <v>2712748.9340875298</v>
      </c>
      <c r="Q18" s="427">
        <v>2713662.24017643</v>
      </c>
      <c r="R18" s="427">
        <v>2717578.42963323</v>
      </c>
      <c r="S18" s="427">
        <v>2736729.38998177</v>
      </c>
      <c r="T18" s="427">
        <v>2750610.3986023399</v>
      </c>
    </row>
    <row r="19" spans="1:20" s="427" customFormat="1">
      <c r="A19" s="427" t="str">
        <f t="shared" si="0"/>
        <v>KU</v>
      </c>
      <c r="B19" s="427" t="str">
        <f t="shared" si="1"/>
        <v>KY</v>
      </c>
      <c r="C19" s="427" t="str">
        <f t="shared" si="4"/>
        <v>E</v>
      </c>
      <c r="D19" s="427" t="s">
        <v>3418</v>
      </c>
      <c r="E19" s="427" t="str">
        <f t="shared" si="2"/>
        <v>312</v>
      </c>
      <c r="F19" s="756" t="s">
        <v>1734</v>
      </c>
      <c r="G19" s="426" t="str">
        <f t="shared" si="3"/>
        <v>ECR</v>
      </c>
      <c r="H19" s="427">
        <v>448564.20075000002</v>
      </c>
      <c r="I19" s="427">
        <v>448553.01264999999</v>
      </c>
      <c r="J19" s="427">
        <v>448553.01264999999</v>
      </c>
      <c r="K19" s="427">
        <v>448553.01264999999</v>
      </c>
      <c r="L19" s="427">
        <v>448553.01264999999</v>
      </c>
      <c r="M19" s="427">
        <v>448553.01264999999</v>
      </c>
      <c r="N19" s="427">
        <v>448553.01264999999</v>
      </c>
      <c r="O19" s="427">
        <v>451070.89649999997</v>
      </c>
      <c r="P19" s="427">
        <v>483857.73844999901</v>
      </c>
      <c r="Q19" s="427">
        <v>512142.41482999898</v>
      </c>
      <c r="R19" s="427">
        <v>513890.54743999901</v>
      </c>
      <c r="S19" s="427">
        <v>515471.04132999899</v>
      </c>
      <c r="T19" s="427">
        <v>516904.654979999</v>
      </c>
    </row>
    <row r="20" spans="1:20" s="427" customFormat="1">
      <c r="A20" s="427" t="str">
        <f t="shared" si="0"/>
        <v>KU</v>
      </c>
      <c r="B20" s="427" t="str">
        <f t="shared" si="1"/>
        <v>KY</v>
      </c>
      <c r="C20" s="427" t="str">
        <f t="shared" si="4"/>
        <v>E</v>
      </c>
      <c r="D20" s="427" t="s">
        <v>3418</v>
      </c>
      <c r="E20" s="427" t="str">
        <f t="shared" si="2"/>
        <v>312</v>
      </c>
      <c r="F20" s="756" t="s">
        <v>1735</v>
      </c>
      <c r="G20" s="426" t="str">
        <f>IF(ISTEXT(MID($F20,SEARCH("FUTURE USE",$F20),3)),"FUTURE USE",IF(ISTEXT(MID($F20,SEARCH("ECR",$F20),3)),"ECR",IF(ISTEXT(MID($F20,SEARCH("ARO",$F20),3)),"ARO",IF(ISTEXT(MID($F20,SEARCH("DSM",$F20),3)),"DSM",""))))</f>
        <v>ECR</v>
      </c>
      <c r="H20" s="427">
        <v>817827.56720000005</v>
      </c>
      <c r="I20" s="427">
        <v>817827.56720000005</v>
      </c>
      <c r="J20" s="427">
        <v>817827.56720000005</v>
      </c>
      <c r="K20" s="427">
        <v>817827.56720000005</v>
      </c>
      <c r="L20" s="427">
        <v>817824.85479999997</v>
      </c>
      <c r="M20" s="427">
        <v>817824.85479999997</v>
      </c>
      <c r="N20" s="427">
        <v>821997.38549999997</v>
      </c>
      <c r="O20" s="427">
        <v>824950.25812999997</v>
      </c>
      <c r="P20" s="427">
        <v>824950.25812999997</v>
      </c>
      <c r="Q20" s="427">
        <v>824950.25812999997</v>
      </c>
      <c r="R20" s="427">
        <v>824950.25812999997</v>
      </c>
      <c r="S20" s="427">
        <v>824950.25812999997</v>
      </c>
      <c r="T20" s="427">
        <v>824950.25812999997</v>
      </c>
    </row>
    <row r="21" spans="1:20" s="427" customFormat="1">
      <c r="A21" s="427" t="str">
        <f t="shared" si="0"/>
        <v>KU</v>
      </c>
      <c r="B21" s="427" t="str">
        <f t="shared" si="1"/>
        <v>KY</v>
      </c>
      <c r="C21" s="427" t="str">
        <f t="shared" si="4"/>
        <v>E</v>
      </c>
      <c r="D21" s="427" t="s">
        <v>3418</v>
      </c>
      <c r="E21" s="427" t="str">
        <f t="shared" si="2"/>
        <v>312</v>
      </c>
      <c r="F21" s="756" t="s">
        <v>2194</v>
      </c>
      <c r="G21" s="426" t="str">
        <f t="shared" ref="G21:G85" si="5">IF(ISTEXT(MID($F21,SEARCH("FUTURE USE",$F21),3)),"FUTURE USE",IF(ISTEXT(MID($F21,SEARCH("ECR",$F21),3)),"ECR",IF(ISTEXT(MID($F21,SEARCH("ARO",$F21),3)),"ARO",IF(ISTEXT(MID($F21,SEARCH("DSM",$F21),3)),"DSM",""))))</f>
        <v>ECR</v>
      </c>
      <c r="H21" s="427">
        <v>3427.2674699999998</v>
      </c>
      <c r="I21" s="427">
        <v>6618.6804300000003</v>
      </c>
      <c r="J21" s="427">
        <v>6618.6804300000003</v>
      </c>
      <c r="K21" s="427">
        <v>6618.6804300000003</v>
      </c>
      <c r="L21" s="427">
        <v>6618.6804300000003</v>
      </c>
      <c r="M21" s="427">
        <v>6618.6804300000003</v>
      </c>
      <c r="N21" s="427">
        <v>6618.6804300000003</v>
      </c>
      <c r="O21" s="427">
        <v>6711.7506899999998</v>
      </c>
      <c r="P21" s="427">
        <v>6711.7506899999998</v>
      </c>
      <c r="Q21" s="427">
        <v>6711.7506899999998</v>
      </c>
      <c r="R21" s="427">
        <v>6711.7506899999998</v>
      </c>
      <c r="S21" s="427">
        <v>6711.7506899999998</v>
      </c>
      <c r="T21" s="427">
        <v>6711.7506899999998</v>
      </c>
    </row>
    <row r="22" spans="1:20" s="427" customFormat="1">
      <c r="A22" s="427" t="str">
        <f t="shared" si="0"/>
        <v>KU</v>
      </c>
      <c r="B22" s="427" t="str">
        <f t="shared" si="1"/>
        <v>KY</v>
      </c>
      <c r="C22" s="427" t="str">
        <f t="shared" si="4"/>
        <v>E</v>
      </c>
      <c r="D22" s="427" t="s">
        <v>3418</v>
      </c>
      <c r="E22" s="427" t="str">
        <f t="shared" si="2"/>
        <v>314</v>
      </c>
      <c r="F22" s="756" t="s">
        <v>1737</v>
      </c>
      <c r="G22" s="426" t="str">
        <f t="shared" si="5"/>
        <v/>
      </c>
      <c r="H22" s="427">
        <v>337507.66561000003</v>
      </c>
      <c r="I22" s="427">
        <v>337884.98684000003</v>
      </c>
      <c r="J22" s="427">
        <v>337883.88493</v>
      </c>
      <c r="K22" s="427">
        <v>338238.97216</v>
      </c>
      <c r="L22" s="427">
        <v>338316.42495999997</v>
      </c>
      <c r="M22" s="427">
        <v>339328.15019000001</v>
      </c>
      <c r="N22" s="427">
        <v>342440.00678</v>
      </c>
      <c r="O22" s="427">
        <v>343157.417552019</v>
      </c>
      <c r="P22" s="427">
        <v>343584.75331596902</v>
      </c>
      <c r="Q22" s="427">
        <v>343587.32206702698</v>
      </c>
      <c r="R22" s="427">
        <v>343768.59213887103</v>
      </c>
      <c r="S22" s="427">
        <v>352079.90728977101</v>
      </c>
      <c r="T22" s="427">
        <v>354107.14654847101</v>
      </c>
    </row>
    <row r="23" spans="1:20" s="427" customFormat="1">
      <c r="A23" s="427" t="str">
        <f t="shared" si="0"/>
        <v>KU</v>
      </c>
      <c r="B23" s="427" t="str">
        <f t="shared" si="1"/>
        <v>KY</v>
      </c>
      <c r="C23" s="427" t="str">
        <f t="shared" si="4"/>
        <v>E</v>
      </c>
      <c r="D23" s="427" t="s">
        <v>3418</v>
      </c>
      <c r="E23" s="427" t="str">
        <f t="shared" si="2"/>
        <v>315</v>
      </c>
      <c r="F23" s="756" t="s">
        <v>1738</v>
      </c>
      <c r="G23" s="426" t="str">
        <f t="shared" si="5"/>
        <v/>
      </c>
      <c r="H23" s="427">
        <v>215623.68127</v>
      </c>
      <c r="I23" s="427">
        <v>215656.51001</v>
      </c>
      <c r="J23" s="427">
        <v>215656.51001</v>
      </c>
      <c r="K23" s="427">
        <v>215656.51001</v>
      </c>
      <c r="L23" s="427">
        <v>215656.51001</v>
      </c>
      <c r="M23" s="427">
        <v>215152.51324999999</v>
      </c>
      <c r="N23" s="427">
        <v>215757.42246999999</v>
      </c>
      <c r="O23" s="427">
        <v>215790.95744</v>
      </c>
      <c r="P23" s="427">
        <v>216008.74426384</v>
      </c>
      <c r="Q23" s="427">
        <v>216352.081594966</v>
      </c>
      <c r="R23" s="427">
        <v>216415.84166004599</v>
      </c>
      <c r="S23" s="427">
        <v>216855.40904253599</v>
      </c>
      <c r="T23" s="427">
        <v>217245.943378136</v>
      </c>
    </row>
    <row r="24" spans="1:20" s="427" customFormat="1">
      <c r="A24" s="427" t="str">
        <f t="shared" si="0"/>
        <v>KU</v>
      </c>
      <c r="B24" s="427" t="str">
        <f t="shared" si="1"/>
        <v>KY</v>
      </c>
      <c r="C24" s="427" t="str">
        <f t="shared" si="4"/>
        <v>E</v>
      </c>
      <c r="D24" s="427" t="s">
        <v>3418</v>
      </c>
      <c r="E24" s="427" t="str">
        <f t="shared" si="2"/>
        <v>315</v>
      </c>
      <c r="F24" s="756" t="s">
        <v>2195</v>
      </c>
      <c r="G24" s="426" t="str">
        <f t="shared" si="5"/>
        <v>ECR</v>
      </c>
      <c r="H24" s="427">
        <v>21548.085609999998</v>
      </c>
      <c r="I24" s="427">
        <v>21548.085609999998</v>
      </c>
      <c r="J24" s="427">
        <v>21548.085609999998</v>
      </c>
      <c r="K24" s="427">
        <v>21548.085609999998</v>
      </c>
      <c r="L24" s="427">
        <v>21548.085609999998</v>
      </c>
      <c r="M24" s="427">
        <v>21548.085609999998</v>
      </c>
      <c r="N24" s="427">
        <v>21548.085609999998</v>
      </c>
      <c r="O24" s="427">
        <v>21548.085609999998</v>
      </c>
      <c r="P24" s="427">
        <v>21548.085609999998</v>
      </c>
      <c r="Q24" s="427">
        <v>21548.085609999998</v>
      </c>
      <c r="R24" s="427">
        <v>21548.085609999998</v>
      </c>
      <c r="S24" s="427">
        <v>21548.085609999998</v>
      </c>
      <c r="T24" s="427">
        <v>21548.085609999998</v>
      </c>
    </row>
    <row r="25" spans="1:20" s="427" customFormat="1">
      <c r="A25" s="427" t="str">
        <f t="shared" si="0"/>
        <v>KU</v>
      </c>
      <c r="B25" s="427" t="str">
        <f t="shared" si="1"/>
        <v>KY</v>
      </c>
      <c r="C25" s="427" t="str">
        <f t="shared" si="4"/>
        <v>E</v>
      </c>
      <c r="D25" s="427" t="s">
        <v>3418</v>
      </c>
      <c r="E25" s="427" t="str">
        <f t="shared" si="2"/>
        <v>315</v>
      </c>
      <c r="F25" s="756" t="s">
        <v>1739</v>
      </c>
      <c r="G25" s="426" t="str">
        <f t="shared" si="5"/>
        <v>ECR</v>
      </c>
      <c r="H25" s="427">
        <v>14695.661179999999</v>
      </c>
      <c r="I25" s="427">
        <v>14695.661179999999</v>
      </c>
      <c r="J25" s="427">
        <v>14695.661179999999</v>
      </c>
      <c r="K25" s="427">
        <v>14695.661179999999</v>
      </c>
      <c r="L25" s="427">
        <v>14695.661179999999</v>
      </c>
      <c r="M25" s="427">
        <v>14695.661179999999</v>
      </c>
      <c r="N25" s="427">
        <v>14764.05416</v>
      </c>
      <c r="O25" s="427">
        <v>14764.05416</v>
      </c>
      <c r="P25" s="427">
        <v>14764.05416</v>
      </c>
      <c r="Q25" s="427">
        <v>14764.05416</v>
      </c>
      <c r="R25" s="427">
        <v>14764.05416</v>
      </c>
      <c r="S25" s="427">
        <v>14764.05416</v>
      </c>
      <c r="T25" s="427">
        <v>14764.05416</v>
      </c>
    </row>
    <row r="26" spans="1:20" s="427" customFormat="1">
      <c r="A26" s="427" t="str">
        <f t="shared" si="0"/>
        <v>KU</v>
      </c>
      <c r="B26" s="427" t="str">
        <f t="shared" si="1"/>
        <v>KY</v>
      </c>
      <c r="C26" s="427" t="str">
        <f t="shared" si="4"/>
        <v>E</v>
      </c>
      <c r="D26" s="427" t="s">
        <v>3418</v>
      </c>
      <c r="E26" s="427" t="str">
        <f t="shared" si="2"/>
        <v>316</v>
      </c>
      <c r="F26" s="756" t="s">
        <v>2196</v>
      </c>
      <c r="G26" s="426" t="str">
        <f t="shared" si="5"/>
        <v>ECR</v>
      </c>
      <c r="H26" s="427">
        <v>824.92337999999995</v>
      </c>
      <c r="I26" s="427">
        <v>824.92337999999995</v>
      </c>
      <c r="J26" s="427">
        <v>824.92337999999995</v>
      </c>
      <c r="K26" s="427">
        <v>824.92337999999995</v>
      </c>
      <c r="L26" s="427">
        <v>824.92337999999995</v>
      </c>
      <c r="M26" s="427">
        <v>824.92337999999995</v>
      </c>
      <c r="N26" s="427">
        <v>824.92337999999995</v>
      </c>
      <c r="O26" s="427">
        <v>824.92337999999995</v>
      </c>
      <c r="P26" s="427">
        <v>824.92337999999995</v>
      </c>
      <c r="Q26" s="427">
        <v>824.92337999999995</v>
      </c>
      <c r="R26" s="427">
        <v>824.92337999999995</v>
      </c>
      <c r="S26" s="427">
        <v>824.92337999999995</v>
      </c>
      <c r="T26" s="427">
        <v>824.92337999999995</v>
      </c>
    </row>
    <row r="27" spans="1:20" s="427" customFormat="1">
      <c r="A27" s="427" t="str">
        <f t="shared" si="0"/>
        <v>KU</v>
      </c>
      <c r="B27" s="427" t="str">
        <f t="shared" si="1"/>
        <v>KY</v>
      </c>
      <c r="C27" s="427" t="str">
        <f t="shared" si="4"/>
        <v>E</v>
      </c>
      <c r="D27" s="427" t="s">
        <v>3418</v>
      </c>
      <c r="E27" s="427" t="str">
        <f t="shared" si="2"/>
        <v>316</v>
      </c>
      <c r="F27" s="756" t="s">
        <v>1740</v>
      </c>
      <c r="G27" s="426" t="str">
        <f t="shared" si="5"/>
        <v/>
      </c>
      <c r="H27" s="427">
        <v>35776.662340000003</v>
      </c>
      <c r="I27" s="427">
        <v>36112.245730000002</v>
      </c>
      <c r="J27" s="427">
        <v>35972.205499999996</v>
      </c>
      <c r="K27" s="427">
        <v>36018.859979999899</v>
      </c>
      <c r="L27" s="427">
        <v>36086.397169999997</v>
      </c>
      <c r="M27" s="427">
        <v>35579.5498899999</v>
      </c>
      <c r="N27" s="427">
        <v>35841.932589999997</v>
      </c>
      <c r="O27" s="427">
        <v>36196.301383200996</v>
      </c>
      <c r="P27" s="427">
        <v>36496.936818741</v>
      </c>
      <c r="Q27" s="427">
        <v>36549.538240741</v>
      </c>
      <c r="R27" s="427">
        <v>37058.151718440997</v>
      </c>
      <c r="S27" s="427">
        <v>37058.151718440997</v>
      </c>
      <c r="T27" s="427">
        <v>37398.735726626997</v>
      </c>
    </row>
    <row r="28" spans="1:20" s="427" customFormat="1">
      <c r="A28" s="427" t="str">
        <f t="shared" si="0"/>
        <v>KU</v>
      </c>
      <c r="B28" s="427" t="str">
        <f t="shared" si="1"/>
        <v>KY</v>
      </c>
      <c r="C28" s="427" t="str">
        <f t="shared" si="4"/>
        <v>E</v>
      </c>
      <c r="D28" s="427" t="s">
        <v>3418</v>
      </c>
      <c r="E28" s="427" t="str">
        <f t="shared" si="2"/>
        <v>317</v>
      </c>
      <c r="F28" s="756" t="s">
        <v>1741</v>
      </c>
      <c r="G28" s="426" t="str">
        <f t="shared" si="5"/>
        <v>ARO</v>
      </c>
      <c r="H28" s="427">
        <v>34938.3271199999</v>
      </c>
      <c r="I28" s="427">
        <v>34938.3271199999</v>
      </c>
      <c r="J28" s="427">
        <v>34938.3271199999</v>
      </c>
      <c r="K28" s="427">
        <v>32701.839459999999</v>
      </c>
      <c r="L28" s="427">
        <v>32701.839459999999</v>
      </c>
      <c r="M28" s="427">
        <v>32701.839459999999</v>
      </c>
      <c r="N28" s="427">
        <v>32810.029009999998</v>
      </c>
      <c r="O28" s="427">
        <v>32810.029009999998</v>
      </c>
      <c r="P28" s="427">
        <v>32810.029009999998</v>
      </c>
      <c r="Q28" s="427">
        <v>32810.029009999998</v>
      </c>
      <c r="R28" s="427">
        <v>32810.029009999998</v>
      </c>
      <c r="S28" s="427">
        <v>32810.029009999998</v>
      </c>
      <c r="T28" s="427">
        <v>32810.029009999998</v>
      </c>
    </row>
    <row r="29" spans="1:20" s="427" customFormat="1">
      <c r="A29" s="427" t="str">
        <f t="shared" si="0"/>
        <v>KU</v>
      </c>
      <c r="B29" s="427" t="str">
        <f t="shared" si="1"/>
        <v>KY</v>
      </c>
      <c r="C29" s="427" t="str">
        <f t="shared" si="4"/>
        <v>E</v>
      </c>
      <c r="D29" s="427" t="s">
        <v>3418</v>
      </c>
      <c r="E29" s="427" t="str">
        <f t="shared" si="2"/>
        <v>317</v>
      </c>
      <c r="F29" s="756" t="s">
        <v>2504</v>
      </c>
      <c r="G29" s="426" t="str">
        <f t="shared" si="5"/>
        <v>ARO</v>
      </c>
      <c r="H29" s="427">
        <v>167063.2366</v>
      </c>
      <c r="I29" s="427">
        <v>167063.2366</v>
      </c>
      <c r="J29" s="427">
        <v>167063.2366</v>
      </c>
      <c r="K29" s="427">
        <v>164595.529099999</v>
      </c>
      <c r="L29" s="427">
        <v>173030.591599999</v>
      </c>
      <c r="M29" s="427">
        <v>173030.591599999</v>
      </c>
      <c r="N29" s="427">
        <v>164566.70180000001</v>
      </c>
      <c r="O29" s="427">
        <v>164566.70180000001</v>
      </c>
      <c r="P29" s="427">
        <v>164566.70180000001</v>
      </c>
      <c r="Q29" s="427">
        <v>164566.70180000001</v>
      </c>
      <c r="R29" s="427">
        <v>164566.70180000001</v>
      </c>
      <c r="S29" s="427">
        <v>164566.70180000001</v>
      </c>
      <c r="T29" s="427">
        <v>164566.70180000001</v>
      </c>
    </row>
    <row r="30" spans="1:20" s="427" customFormat="1">
      <c r="A30" s="427" t="str">
        <f t="shared" si="0"/>
        <v>KU</v>
      </c>
      <c r="B30" s="427" t="str">
        <f t="shared" si="1"/>
        <v>KY</v>
      </c>
      <c r="C30" s="427" t="str">
        <f t="shared" si="4"/>
        <v>E</v>
      </c>
      <c r="D30" s="427" t="s">
        <v>3418</v>
      </c>
      <c r="E30" s="427" t="str">
        <f t="shared" si="2"/>
        <v>330</v>
      </c>
      <c r="F30" s="756" t="s">
        <v>1742</v>
      </c>
      <c r="G30" s="426" t="str">
        <f t="shared" si="5"/>
        <v/>
      </c>
      <c r="H30" s="427">
        <v>855.63647000000003</v>
      </c>
      <c r="I30" s="427">
        <v>855.63647000000003</v>
      </c>
      <c r="J30" s="427">
        <v>855.63647000000003</v>
      </c>
      <c r="K30" s="427">
        <v>855.63647000000003</v>
      </c>
      <c r="L30" s="427">
        <v>855.63647000000003</v>
      </c>
      <c r="M30" s="427">
        <v>855.63647000000003</v>
      </c>
      <c r="N30" s="427">
        <v>855.63647000000003</v>
      </c>
      <c r="O30" s="427">
        <v>855.63647000000003</v>
      </c>
      <c r="P30" s="427">
        <v>855.63647000000003</v>
      </c>
      <c r="Q30" s="427">
        <v>855.63647000000003</v>
      </c>
      <c r="R30" s="427">
        <v>855.63647000000003</v>
      </c>
      <c r="S30" s="427">
        <v>855.63647000000003</v>
      </c>
      <c r="T30" s="427">
        <v>855.63647000000003</v>
      </c>
    </row>
    <row r="31" spans="1:20" s="427" customFormat="1">
      <c r="A31" s="427" t="str">
        <f t="shared" si="0"/>
        <v>KU</v>
      </c>
      <c r="B31" s="427" t="str">
        <f t="shared" si="1"/>
        <v>KY</v>
      </c>
      <c r="C31" s="427" t="str">
        <f t="shared" si="4"/>
        <v>E</v>
      </c>
      <c r="D31" s="427" t="s">
        <v>3418</v>
      </c>
      <c r="E31" s="427" t="str">
        <f t="shared" si="2"/>
        <v>331</v>
      </c>
      <c r="F31" s="756" t="s">
        <v>1743</v>
      </c>
      <c r="G31" s="426" t="str">
        <f t="shared" si="5"/>
        <v/>
      </c>
      <c r="H31" s="427">
        <v>2999.3905399999999</v>
      </c>
      <c r="I31" s="427">
        <v>2999.3905399999999</v>
      </c>
      <c r="J31" s="427">
        <v>2999.3905399999999</v>
      </c>
      <c r="K31" s="427">
        <v>2999.3905399999999</v>
      </c>
      <c r="L31" s="427">
        <v>2999.3905399999999</v>
      </c>
      <c r="M31" s="427">
        <v>2999.3905399999999</v>
      </c>
      <c r="N31" s="427">
        <v>2999.3905399999999</v>
      </c>
      <c r="O31" s="427">
        <v>2999.3905399999999</v>
      </c>
      <c r="P31" s="427">
        <v>4009.08347</v>
      </c>
      <c r="Q31" s="427">
        <v>4009.08347</v>
      </c>
      <c r="R31" s="427">
        <v>4009.08347</v>
      </c>
      <c r="S31" s="427">
        <v>4393.1914699999998</v>
      </c>
      <c r="T31" s="427">
        <v>4393.1914699999998</v>
      </c>
    </row>
    <row r="32" spans="1:20" s="427" customFormat="1">
      <c r="A32" s="427" t="str">
        <f t="shared" si="0"/>
        <v>KU</v>
      </c>
      <c r="B32" s="427" t="str">
        <f t="shared" si="1"/>
        <v>KY</v>
      </c>
      <c r="C32" s="427" t="str">
        <f t="shared" si="4"/>
        <v>E</v>
      </c>
      <c r="D32" s="427" t="s">
        <v>3418</v>
      </c>
      <c r="E32" s="427" t="str">
        <f t="shared" si="2"/>
        <v>332</v>
      </c>
      <c r="F32" s="756" t="s">
        <v>1744</v>
      </c>
      <c r="G32" s="426" t="str">
        <f t="shared" si="5"/>
        <v/>
      </c>
      <c r="H32" s="427">
        <v>21885.646369999999</v>
      </c>
      <c r="I32" s="427">
        <v>21885.646369999999</v>
      </c>
      <c r="J32" s="427">
        <v>21885.646369999999</v>
      </c>
      <c r="K32" s="427">
        <v>21885.646369999999</v>
      </c>
      <c r="L32" s="427">
        <v>21885.646369999999</v>
      </c>
      <c r="M32" s="427">
        <v>21885.646369999999</v>
      </c>
      <c r="N32" s="427">
        <v>21885.646369999999</v>
      </c>
      <c r="O32" s="427">
        <v>21885.646369999999</v>
      </c>
      <c r="P32" s="427">
        <v>21885.646369999999</v>
      </c>
      <c r="Q32" s="427">
        <v>21885.646369999999</v>
      </c>
      <c r="R32" s="427">
        <v>21885.646369999999</v>
      </c>
      <c r="S32" s="427">
        <v>21885.646369999999</v>
      </c>
      <c r="T32" s="427">
        <v>21885.646369999999</v>
      </c>
    </row>
    <row r="33" spans="1:20" s="427" customFormat="1">
      <c r="A33" s="427" t="str">
        <f t="shared" si="0"/>
        <v>KU</v>
      </c>
      <c r="B33" s="427" t="str">
        <f t="shared" si="1"/>
        <v>KY</v>
      </c>
      <c r="C33" s="427" t="str">
        <f t="shared" si="4"/>
        <v>E</v>
      </c>
      <c r="D33" s="427" t="s">
        <v>3418</v>
      </c>
      <c r="E33" s="427" t="str">
        <f t="shared" si="2"/>
        <v>333</v>
      </c>
      <c r="F33" s="756" t="s">
        <v>1745</v>
      </c>
      <c r="G33" s="426" t="str">
        <f t="shared" si="5"/>
        <v/>
      </c>
      <c r="H33" s="427">
        <v>14046.74158</v>
      </c>
      <c r="I33" s="427">
        <v>14046.74158</v>
      </c>
      <c r="J33" s="427">
        <v>14046.74158</v>
      </c>
      <c r="K33" s="427">
        <v>14046.74158</v>
      </c>
      <c r="L33" s="427">
        <v>14046.74158</v>
      </c>
      <c r="M33" s="427">
        <v>14046.74158</v>
      </c>
      <c r="N33" s="427">
        <v>14046.74158</v>
      </c>
      <c r="O33" s="427">
        <v>14046.74158</v>
      </c>
      <c r="P33" s="427">
        <v>14046.74158</v>
      </c>
      <c r="Q33" s="427">
        <v>14046.74158</v>
      </c>
      <c r="R33" s="427">
        <v>14046.74158</v>
      </c>
      <c r="S33" s="427">
        <v>14046.74158</v>
      </c>
      <c r="T33" s="427">
        <v>14046.74158</v>
      </c>
    </row>
    <row r="34" spans="1:20" s="427" customFormat="1">
      <c r="A34" s="427" t="str">
        <f t="shared" si="0"/>
        <v>KU</v>
      </c>
      <c r="B34" s="427" t="str">
        <f t="shared" si="1"/>
        <v>KY</v>
      </c>
      <c r="C34" s="427" t="str">
        <f t="shared" si="4"/>
        <v>E</v>
      </c>
      <c r="D34" s="427" t="s">
        <v>3418</v>
      </c>
      <c r="E34" s="427" t="str">
        <f t="shared" si="2"/>
        <v>334</v>
      </c>
      <c r="F34" s="756" t="s">
        <v>1746</v>
      </c>
      <c r="G34" s="426" t="str">
        <f t="shared" si="5"/>
        <v/>
      </c>
      <c r="H34" s="427">
        <v>1381.87067</v>
      </c>
      <c r="I34" s="427">
        <v>1381.87067</v>
      </c>
      <c r="J34" s="427">
        <v>1381.87067</v>
      </c>
      <c r="K34" s="427">
        <v>1381.87067</v>
      </c>
      <c r="L34" s="427">
        <v>1381.87067</v>
      </c>
      <c r="M34" s="427">
        <v>1381.87067</v>
      </c>
      <c r="N34" s="427">
        <v>1381.87067</v>
      </c>
      <c r="O34" s="427">
        <v>1381.87067</v>
      </c>
      <c r="P34" s="427">
        <v>1381.87067</v>
      </c>
      <c r="Q34" s="427">
        <v>1381.87067</v>
      </c>
      <c r="R34" s="427">
        <v>1381.87067</v>
      </c>
      <c r="S34" s="427">
        <v>1381.87067</v>
      </c>
      <c r="T34" s="427">
        <v>1381.87067</v>
      </c>
    </row>
    <row r="35" spans="1:20" s="427" customFormat="1">
      <c r="A35" s="427" t="str">
        <f t="shared" si="0"/>
        <v>KU</v>
      </c>
      <c r="B35" s="427" t="str">
        <f t="shared" si="1"/>
        <v>KY</v>
      </c>
      <c r="C35" s="427" t="str">
        <f t="shared" si="4"/>
        <v>E</v>
      </c>
      <c r="D35" s="427" t="s">
        <v>3418</v>
      </c>
      <c r="E35" s="427" t="str">
        <f t="shared" si="2"/>
        <v>335</v>
      </c>
      <c r="F35" s="756" t="s">
        <v>1747</v>
      </c>
      <c r="G35" s="426" t="str">
        <f t="shared" si="5"/>
        <v/>
      </c>
      <c r="H35" s="427">
        <v>329.37418000000002</v>
      </c>
      <c r="I35" s="427">
        <v>329.37418000000002</v>
      </c>
      <c r="J35" s="427">
        <v>329.37418000000002</v>
      </c>
      <c r="K35" s="427">
        <v>329.37418000000002</v>
      </c>
      <c r="L35" s="427">
        <v>329.37418000000002</v>
      </c>
      <c r="M35" s="427">
        <v>329.37418000000002</v>
      </c>
      <c r="N35" s="427">
        <v>329.37418000000002</v>
      </c>
      <c r="O35" s="427">
        <v>329.37418000000002</v>
      </c>
      <c r="P35" s="427">
        <v>329.37418000000002</v>
      </c>
      <c r="Q35" s="427">
        <v>329.37418000000002</v>
      </c>
      <c r="R35" s="427">
        <v>329.37418000000002</v>
      </c>
      <c r="S35" s="427">
        <v>329.37418000000002</v>
      </c>
      <c r="T35" s="427">
        <v>329.37418000000002</v>
      </c>
    </row>
    <row r="36" spans="1:20" s="427" customFormat="1">
      <c r="A36" s="427" t="str">
        <f t="shared" si="0"/>
        <v>KU</v>
      </c>
      <c r="B36" s="427" t="str">
        <f t="shared" si="1"/>
        <v>KY</v>
      </c>
      <c r="C36" s="427" t="str">
        <f t="shared" si="4"/>
        <v>E</v>
      </c>
      <c r="D36" s="427" t="s">
        <v>3418</v>
      </c>
      <c r="E36" s="427" t="str">
        <f t="shared" si="2"/>
        <v>336</v>
      </c>
      <c r="F36" s="756" t="s">
        <v>1748</v>
      </c>
      <c r="G36" s="426" t="str">
        <f t="shared" si="5"/>
        <v/>
      </c>
      <c r="H36" s="427">
        <v>234.50913</v>
      </c>
      <c r="I36" s="427">
        <v>234.50913</v>
      </c>
      <c r="J36" s="427">
        <v>234.50913</v>
      </c>
      <c r="K36" s="427">
        <v>234.50913</v>
      </c>
      <c r="L36" s="427">
        <v>234.50913</v>
      </c>
      <c r="M36" s="427">
        <v>234.50913</v>
      </c>
      <c r="N36" s="427">
        <v>234.50913</v>
      </c>
      <c r="O36" s="427">
        <v>234.50913</v>
      </c>
      <c r="P36" s="427">
        <v>234.50913</v>
      </c>
      <c r="Q36" s="427">
        <v>234.50913</v>
      </c>
      <c r="R36" s="427">
        <v>234.50913</v>
      </c>
      <c r="S36" s="427">
        <v>234.50913</v>
      </c>
      <c r="T36" s="427">
        <v>234.50913</v>
      </c>
    </row>
    <row r="37" spans="1:20" s="427" customFormat="1">
      <c r="A37" s="427" t="str">
        <f t="shared" si="0"/>
        <v>KU</v>
      </c>
      <c r="B37" s="427" t="str">
        <f t="shared" si="1"/>
        <v>KY</v>
      </c>
      <c r="C37" s="427" t="str">
        <f t="shared" si="4"/>
        <v>E</v>
      </c>
      <c r="D37" s="427" t="s">
        <v>3418</v>
      </c>
      <c r="E37" s="427" t="str">
        <f t="shared" si="2"/>
        <v>337</v>
      </c>
      <c r="F37" s="756" t="s">
        <v>1749</v>
      </c>
      <c r="G37" s="426" t="str">
        <f t="shared" si="5"/>
        <v>ARO</v>
      </c>
      <c r="H37" s="427">
        <v>645.78799000000004</v>
      </c>
      <c r="I37" s="427">
        <v>645.78799000000004</v>
      </c>
      <c r="J37" s="427">
        <v>645.78799000000004</v>
      </c>
      <c r="K37" s="427">
        <v>645.78799000000004</v>
      </c>
      <c r="L37" s="427">
        <v>645.78799000000004</v>
      </c>
      <c r="M37" s="427">
        <v>645.78799000000004</v>
      </c>
      <c r="N37" s="427">
        <v>645.78799000000004</v>
      </c>
      <c r="O37" s="427">
        <v>645.78799000000004</v>
      </c>
      <c r="P37" s="427">
        <v>645.78799000000004</v>
      </c>
      <c r="Q37" s="427">
        <v>645.78799000000004</v>
      </c>
      <c r="R37" s="427">
        <v>645.78799000000004</v>
      </c>
      <c r="S37" s="427">
        <v>645.78799000000004</v>
      </c>
      <c r="T37" s="427">
        <v>645.78799000000004</v>
      </c>
    </row>
    <row r="38" spans="1:20" s="427" customFormat="1">
      <c r="A38" s="427" t="str">
        <f t="shared" si="0"/>
        <v>KU</v>
      </c>
      <c r="B38" s="427" t="str">
        <f t="shared" si="1"/>
        <v>KY</v>
      </c>
      <c r="C38" s="427" t="str">
        <f t="shared" si="4"/>
        <v>F</v>
      </c>
      <c r="D38" s="427" t="s">
        <v>3418</v>
      </c>
      <c r="E38" s="427" t="str">
        <f t="shared" si="2"/>
        <v>340</v>
      </c>
      <c r="F38" s="756" t="s">
        <v>2197</v>
      </c>
      <c r="G38" s="426" t="str">
        <f t="shared" si="5"/>
        <v>FUTURE USE</v>
      </c>
      <c r="H38" s="427">
        <v>309.54084999999998</v>
      </c>
      <c r="I38" s="427">
        <v>309.54084999999998</v>
      </c>
      <c r="J38" s="427">
        <v>309.54084999999998</v>
      </c>
      <c r="K38" s="427">
        <v>309.54084999999998</v>
      </c>
      <c r="L38" s="427">
        <v>309.54084999999998</v>
      </c>
      <c r="M38" s="427">
        <v>309.54084999999998</v>
      </c>
      <c r="N38" s="427">
        <v>309.54084999999998</v>
      </c>
      <c r="O38" s="427">
        <v>309.54084999999998</v>
      </c>
      <c r="P38" s="427">
        <v>309.54084999999998</v>
      </c>
      <c r="Q38" s="427">
        <v>309.54084999999998</v>
      </c>
      <c r="R38" s="427">
        <v>309.54084999999998</v>
      </c>
      <c r="S38" s="427">
        <v>309.54084999999998</v>
      </c>
      <c r="T38" s="427">
        <v>309.54084999999998</v>
      </c>
    </row>
    <row r="39" spans="1:20" s="427" customFormat="1">
      <c r="A39" s="427" t="str">
        <f t="shared" si="0"/>
        <v>KU</v>
      </c>
      <c r="B39" s="427" t="str">
        <f t="shared" si="1"/>
        <v>KY</v>
      </c>
      <c r="C39" s="427" t="str">
        <f t="shared" si="4"/>
        <v>E</v>
      </c>
      <c r="D39" s="427" t="s">
        <v>3418</v>
      </c>
      <c r="E39" s="427" t="str">
        <f t="shared" si="2"/>
        <v>340</v>
      </c>
      <c r="F39" s="756" t="s">
        <v>2198</v>
      </c>
      <c r="G39" s="426" t="str">
        <f t="shared" si="5"/>
        <v/>
      </c>
      <c r="H39" s="427">
        <v>176.40931</v>
      </c>
      <c r="I39" s="427">
        <v>176.40931</v>
      </c>
      <c r="J39" s="427">
        <v>176.40931</v>
      </c>
      <c r="K39" s="427">
        <v>176.40931</v>
      </c>
      <c r="L39" s="427">
        <v>176.40931</v>
      </c>
      <c r="M39" s="427">
        <v>176.40931</v>
      </c>
      <c r="N39" s="427">
        <v>176.40931</v>
      </c>
      <c r="O39" s="427">
        <v>236.73195999999999</v>
      </c>
      <c r="P39" s="427">
        <v>236.73195999999999</v>
      </c>
      <c r="Q39" s="427">
        <v>236.73195999999999</v>
      </c>
      <c r="R39" s="427">
        <v>236.73195999999999</v>
      </c>
      <c r="S39" s="427">
        <v>236.73195999999999</v>
      </c>
      <c r="T39" s="427">
        <v>236.73195999999999</v>
      </c>
    </row>
    <row r="40" spans="1:20" s="427" customFormat="1">
      <c r="A40" s="427" t="str">
        <f t="shared" si="0"/>
        <v>KU</v>
      </c>
      <c r="B40" s="427" t="str">
        <f t="shared" si="1"/>
        <v>KY</v>
      </c>
      <c r="C40" s="427" t="str">
        <f t="shared" si="4"/>
        <v>E</v>
      </c>
      <c r="D40" s="427" t="s">
        <v>3418</v>
      </c>
      <c r="E40" s="427" t="str">
        <f t="shared" si="2"/>
        <v>340</v>
      </c>
      <c r="F40" s="756" t="s">
        <v>1750</v>
      </c>
      <c r="G40" s="426" t="str">
        <f t="shared" si="5"/>
        <v/>
      </c>
      <c r="H40" s="427">
        <v>297.16921000000002</v>
      </c>
      <c r="I40" s="427">
        <v>297.16921000000002</v>
      </c>
      <c r="J40" s="427">
        <v>297.16921000000002</v>
      </c>
      <c r="K40" s="427">
        <v>297.16921000000002</v>
      </c>
      <c r="L40" s="427">
        <v>297.16921000000002</v>
      </c>
      <c r="M40" s="427">
        <v>297.16921000000002</v>
      </c>
      <c r="N40" s="427">
        <v>297.16921000000002</v>
      </c>
      <c r="O40" s="427">
        <v>666.06949799999995</v>
      </c>
      <c r="P40" s="427">
        <v>666.06949799999995</v>
      </c>
      <c r="Q40" s="427">
        <v>666.06949799999995</v>
      </c>
      <c r="R40" s="427">
        <v>666.06949799999995</v>
      </c>
      <c r="S40" s="427">
        <v>666.06949799999995</v>
      </c>
      <c r="T40" s="427">
        <v>666.06949799999995</v>
      </c>
    </row>
    <row r="41" spans="1:20" s="427" customFormat="1">
      <c r="A41" s="427" t="str">
        <f t="shared" si="0"/>
        <v>KU</v>
      </c>
      <c r="B41" s="427" t="str">
        <f t="shared" si="1"/>
        <v>KY</v>
      </c>
      <c r="C41" s="427" t="str">
        <f t="shared" si="4"/>
        <v>E</v>
      </c>
      <c r="D41" s="427" t="s">
        <v>3418</v>
      </c>
      <c r="E41" s="427" t="str">
        <f t="shared" si="2"/>
        <v>341</v>
      </c>
      <c r="F41" s="756" t="s">
        <v>1751</v>
      </c>
      <c r="G41" s="426" t="str">
        <f t="shared" si="5"/>
        <v/>
      </c>
      <c r="H41" s="427">
        <v>36431.623090000001</v>
      </c>
      <c r="I41" s="427">
        <v>36479.26139</v>
      </c>
      <c r="J41" s="427">
        <v>36479.26139</v>
      </c>
      <c r="K41" s="427">
        <v>36479.26139</v>
      </c>
      <c r="L41" s="427">
        <v>36479.26139</v>
      </c>
      <c r="M41" s="427">
        <v>36479.26139</v>
      </c>
      <c r="N41" s="427">
        <v>36479.26139</v>
      </c>
      <c r="O41" s="427">
        <v>36498.366358400002</v>
      </c>
      <c r="P41" s="427">
        <v>36498.366358400002</v>
      </c>
      <c r="Q41" s="427">
        <v>36498.366358400002</v>
      </c>
      <c r="R41" s="427">
        <v>36520.731565249996</v>
      </c>
      <c r="S41" s="427">
        <v>36520.731565249996</v>
      </c>
      <c r="T41" s="427">
        <v>36520.731565249996</v>
      </c>
    </row>
    <row r="42" spans="1:20" s="427" customFormat="1">
      <c r="A42" s="427" t="str">
        <f t="shared" si="0"/>
        <v>KU</v>
      </c>
      <c r="B42" s="427" t="str">
        <f t="shared" si="1"/>
        <v>KY</v>
      </c>
      <c r="C42" s="427" t="str">
        <f t="shared" si="4"/>
        <v>E</v>
      </c>
      <c r="D42" s="427" t="s">
        <v>3418</v>
      </c>
      <c r="E42" s="427" t="str">
        <f t="shared" si="2"/>
        <v>341</v>
      </c>
      <c r="F42" s="756" t="s">
        <v>2199</v>
      </c>
      <c r="G42" s="426" t="str">
        <f t="shared" si="5"/>
        <v/>
      </c>
      <c r="H42" s="427">
        <v>47831.9764</v>
      </c>
      <c r="I42" s="427">
        <v>48155.46746</v>
      </c>
      <c r="J42" s="427">
        <v>48155.46746</v>
      </c>
      <c r="K42" s="427">
        <v>48155.46746</v>
      </c>
      <c r="L42" s="427">
        <v>48156.571470000003</v>
      </c>
      <c r="M42" s="427">
        <v>48156.571470000003</v>
      </c>
      <c r="N42" s="427">
        <v>48736.745729999901</v>
      </c>
      <c r="O42" s="427">
        <v>49123.487612641999</v>
      </c>
      <c r="P42" s="427">
        <v>49123.487612641999</v>
      </c>
      <c r="Q42" s="427">
        <v>49163.321359932001</v>
      </c>
      <c r="R42" s="427">
        <v>49180.174098431999</v>
      </c>
      <c r="S42" s="427">
        <v>49180.174098431999</v>
      </c>
      <c r="T42" s="427">
        <v>49180.174098431999</v>
      </c>
    </row>
    <row r="43" spans="1:20" s="427" customFormat="1">
      <c r="A43" s="427" t="str">
        <f t="shared" si="0"/>
        <v>KU</v>
      </c>
      <c r="B43" s="427" t="str">
        <f t="shared" si="1"/>
        <v>KY</v>
      </c>
      <c r="C43" s="427" t="str">
        <f t="shared" si="4"/>
        <v>E</v>
      </c>
      <c r="D43" s="427" t="s">
        <v>3418</v>
      </c>
      <c r="E43" s="427" t="str">
        <f t="shared" si="2"/>
        <v>341</v>
      </c>
      <c r="F43" s="756" t="s">
        <v>2200</v>
      </c>
      <c r="G43" s="426" t="str">
        <f t="shared" si="5"/>
        <v/>
      </c>
      <c r="H43" s="427">
        <v>1443.8100400000001</v>
      </c>
      <c r="I43" s="427">
        <v>1443.8100400000001</v>
      </c>
      <c r="J43" s="427">
        <v>1443.8100400000001</v>
      </c>
      <c r="K43" s="427">
        <v>1443.8100400000001</v>
      </c>
      <c r="L43" s="427">
        <v>1443.8100400000001</v>
      </c>
      <c r="M43" s="427">
        <v>1443.8100400000001</v>
      </c>
      <c r="N43" s="427">
        <v>1443.8100400000001</v>
      </c>
      <c r="O43" s="427">
        <v>1443.8100400000001</v>
      </c>
      <c r="P43" s="427">
        <v>1443.8100400000001</v>
      </c>
      <c r="Q43" s="427">
        <v>1443.8100400000001</v>
      </c>
      <c r="R43" s="427">
        <v>1443.8100400000001</v>
      </c>
      <c r="S43" s="427">
        <v>1443.8100400000001</v>
      </c>
      <c r="T43" s="427">
        <v>1443.8100400000001</v>
      </c>
    </row>
    <row r="44" spans="1:20" s="427" customFormat="1">
      <c r="A44" s="427" t="str">
        <f t="shared" si="0"/>
        <v>KU</v>
      </c>
      <c r="B44" s="427" t="str">
        <f t="shared" si="1"/>
        <v>KY</v>
      </c>
      <c r="C44" s="427" t="str">
        <f t="shared" si="4"/>
        <v>E</v>
      </c>
      <c r="D44" s="427" t="s">
        <v>3418</v>
      </c>
      <c r="E44" s="427" t="str">
        <f t="shared" si="2"/>
        <v>342</v>
      </c>
      <c r="F44" s="756" t="s">
        <v>1752</v>
      </c>
      <c r="G44" s="426" t="str">
        <f t="shared" si="5"/>
        <v/>
      </c>
      <c r="H44" s="427">
        <v>12016.672409999999</v>
      </c>
      <c r="I44" s="427">
        <v>12016.672409999999</v>
      </c>
      <c r="J44" s="427">
        <v>12016.672409999999</v>
      </c>
      <c r="K44" s="427">
        <v>12043.72467</v>
      </c>
      <c r="L44" s="427">
        <v>12043.72467</v>
      </c>
      <c r="M44" s="427">
        <v>12043.72467</v>
      </c>
      <c r="N44" s="427">
        <v>12043.72467</v>
      </c>
      <c r="O44" s="427">
        <v>12082.78234</v>
      </c>
      <c r="P44" s="427">
        <v>12082.78234</v>
      </c>
      <c r="Q44" s="427">
        <v>12159.603940000001</v>
      </c>
      <c r="R44" s="427">
        <v>12293.3835342</v>
      </c>
      <c r="S44" s="427">
        <v>12293.3835342</v>
      </c>
      <c r="T44" s="427">
        <v>12293.3835342</v>
      </c>
    </row>
    <row r="45" spans="1:20" s="427" customFormat="1">
      <c r="A45" s="427" t="str">
        <f t="shared" si="0"/>
        <v>KU</v>
      </c>
      <c r="B45" s="427" t="str">
        <f t="shared" si="1"/>
        <v>KY</v>
      </c>
      <c r="C45" s="427" t="str">
        <f t="shared" si="4"/>
        <v>E</v>
      </c>
      <c r="D45" s="427" t="s">
        <v>3418</v>
      </c>
      <c r="E45" s="427" t="str">
        <f t="shared" si="2"/>
        <v>342</v>
      </c>
      <c r="F45" s="756" t="s">
        <v>2201</v>
      </c>
      <c r="G45" s="426" t="str">
        <f t="shared" si="5"/>
        <v/>
      </c>
      <c r="H45" s="427">
        <v>6319.3980999999903</v>
      </c>
      <c r="I45" s="427">
        <v>6319.3980999999903</v>
      </c>
      <c r="J45" s="427">
        <v>6319.3980999999903</v>
      </c>
      <c r="K45" s="427">
        <v>6319.3980999999903</v>
      </c>
      <c r="L45" s="427">
        <v>6319.3980999999903</v>
      </c>
      <c r="M45" s="427">
        <v>6319.3980999999903</v>
      </c>
      <c r="N45" s="427">
        <v>6319.3980999999903</v>
      </c>
      <c r="O45" s="427">
        <v>6319.3980999999903</v>
      </c>
      <c r="P45" s="427">
        <v>6319.3980999999903</v>
      </c>
      <c r="Q45" s="427">
        <v>6319.3980999999903</v>
      </c>
      <c r="R45" s="427">
        <v>6319.3980999999903</v>
      </c>
      <c r="S45" s="427">
        <v>6319.3980999999903</v>
      </c>
      <c r="T45" s="427">
        <v>6319.3980999999903</v>
      </c>
    </row>
    <row r="46" spans="1:20" s="427" customFormat="1">
      <c r="A46" s="427" t="str">
        <f t="shared" si="0"/>
        <v>KU</v>
      </c>
      <c r="B46" s="427" t="str">
        <f t="shared" si="1"/>
        <v>KY</v>
      </c>
      <c r="C46" s="427" t="str">
        <f t="shared" si="4"/>
        <v>E</v>
      </c>
      <c r="D46" s="427" t="s">
        <v>3418</v>
      </c>
      <c r="E46" s="427" t="str">
        <f t="shared" si="2"/>
        <v>342</v>
      </c>
      <c r="F46" s="756" t="s">
        <v>2202</v>
      </c>
      <c r="G46" s="426" t="str">
        <f t="shared" si="5"/>
        <v/>
      </c>
      <c r="H46" s="427">
        <v>44250.578119999998</v>
      </c>
      <c r="I46" s="427">
        <v>44250.578119999998</v>
      </c>
      <c r="J46" s="427">
        <v>44250.578119999998</v>
      </c>
      <c r="K46" s="427">
        <v>44250.578119999998</v>
      </c>
      <c r="L46" s="427">
        <v>44250.578119999998</v>
      </c>
      <c r="M46" s="427">
        <v>44250.578119999998</v>
      </c>
      <c r="N46" s="427">
        <v>44250.578119999998</v>
      </c>
      <c r="O46" s="427">
        <v>44250.578119999998</v>
      </c>
      <c r="P46" s="427">
        <v>44250.578119999998</v>
      </c>
      <c r="Q46" s="427">
        <v>44250.578119999998</v>
      </c>
      <c r="R46" s="427">
        <v>44483.6130999999</v>
      </c>
      <c r="S46" s="427">
        <v>44483.6130999999</v>
      </c>
      <c r="T46" s="427">
        <v>44483.6130999999</v>
      </c>
    </row>
    <row r="47" spans="1:20" s="427" customFormat="1">
      <c r="A47" s="427" t="str">
        <f t="shared" si="0"/>
        <v>KU</v>
      </c>
      <c r="B47" s="427" t="str">
        <f t="shared" si="1"/>
        <v>KY</v>
      </c>
      <c r="C47" s="427" t="str">
        <f t="shared" si="4"/>
        <v>E</v>
      </c>
      <c r="D47" s="427" t="s">
        <v>3418</v>
      </c>
      <c r="E47" s="427" t="str">
        <f t="shared" si="2"/>
        <v>343</v>
      </c>
      <c r="F47" s="756" t="s">
        <v>1753</v>
      </c>
      <c r="G47" s="426" t="str">
        <f t="shared" si="5"/>
        <v/>
      </c>
      <c r="H47" s="427">
        <v>391978.04872000002</v>
      </c>
      <c r="I47" s="427">
        <v>392274.13162</v>
      </c>
      <c r="J47" s="427">
        <v>390952.64263999998</v>
      </c>
      <c r="K47" s="427">
        <v>390992.73197999998</v>
      </c>
      <c r="L47" s="427">
        <v>391131.20009999903</v>
      </c>
      <c r="M47" s="427">
        <v>391131.19406000001</v>
      </c>
      <c r="N47" s="427">
        <v>391146.77692999999</v>
      </c>
      <c r="O47" s="427">
        <v>391439.30336999998</v>
      </c>
      <c r="P47" s="427">
        <v>391552.33176152001</v>
      </c>
      <c r="Q47" s="427">
        <v>391552.33176152001</v>
      </c>
      <c r="R47" s="427">
        <v>391807.66365990002</v>
      </c>
      <c r="S47" s="427">
        <v>400092.37195389997</v>
      </c>
      <c r="T47" s="427">
        <v>403178.25501288997</v>
      </c>
    </row>
    <row r="48" spans="1:20" s="427" customFormat="1">
      <c r="A48" s="427" t="str">
        <f t="shared" si="0"/>
        <v>KU</v>
      </c>
      <c r="B48" s="427" t="str">
        <f t="shared" si="1"/>
        <v>KY</v>
      </c>
      <c r="C48" s="427" t="str">
        <f t="shared" si="4"/>
        <v>E</v>
      </c>
      <c r="D48" s="427" t="s">
        <v>3418</v>
      </c>
      <c r="E48" s="427" t="str">
        <f t="shared" si="2"/>
        <v>343</v>
      </c>
      <c r="F48" s="756" t="s">
        <v>2203</v>
      </c>
      <c r="G48" s="426" t="str">
        <f t="shared" si="5"/>
        <v/>
      </c>
      <c r="H48" s="427">
        <v>266009.50890000002</v>
      </c>
      <c r="I48" s="427">
        <v>265149.50186000002</v>
      </c>
      <c r="J48" s="427">
        <v>256597.21580000001</v>
      </c>
      <c r="K48" s="427">
        <v>256610.71369999999</v>
      </c>
      <c r="L48" s="427">
        <v>256611.40719999999</v>
      </c>
      <c r="M48" s="427">
        <v>256609.91940000001</v>
      </c>
      <c r="N48" s="427">
        <v>256608.97560000001</v>
      </c>
      <c r="O48" s="427">
        <v>257476.32986519701</v>
      </c>
      <c r="P48" s="427">
        <v>257476.32986519701</v>
      </c>
      <c r="Q48" s="427">
        <v>257519.336891927</v>
      </c>
      <c r="R48" s="427">
        <v>261488.19698407699</v>
      </c>
      <c r="S48" s="427">
        <v>261488.19698407699</v>
      </c>
      <c r="T48" s="427">
        <v>261817.52898427701</v>
      </c>
    </row>
    <row r="49" spans="1:20" s="427" customFormat="1">
      <c r="A49" s="427" t="str">
        <f t="shared" si="0"/>
        <v>KU</v>
      </c>
      <c r="B49" s="427" t="str">
        <f t="shared" si="1"/>
        <v>KY</v>
      </c>
      <c r="C49" s="427" t="str">
        <f t="shared" si="4"/>
        <v>E</v>
      </c>
      <c r="D49" s="427" t="s">
        <v>3418</v>
      </c>
      <c r="E49" s="427" t="str">
        <f t="shared" si="2"/>
        <v>344</v>
      </c>
      <c r="F49" s="756" t="s">
        <v>1754</v>
      </c>
      <c r="G49" s="426" t="str">
        <f t="shared" si="5"/>
        <v/>
      </c>
      <c r="H49" s="427">
        <v>60311.136319999998</v>
      </c>
      <c r="I49" s="427">
        <v>60311.136319999998</v>
      </c>
      <c r="J49" s="427">
        <v>60311.136319999998</v>
      </c>
      <c r="K49" s="427">
        <v>60323.695529999997</v>
      </c>
      <c r="L49" s="427">
        <v>60323.695529999997</v>
      </c>
      <c r="M49" s="427">
        <v>60323.695529999997</v>
      </c>
      <c r="N49" s="427">
        <v>60323.695529999997</v>
      </c>
      <c r="O49" s="427">
        <v>60323.695529999997</v>
      </c>
      <c r="P49" s="427">
        <v>60323.695529999997</v>
      </c>
      <c r="Q49" s="427">
        <v>60467.486511519899</v>
      </c>
      <c r="R49" s="427">
        <v>60882.642510349899</v>
      </c>
      <c r="S49" s="427">
        <v>60882.642510349899</v>
      </c>
      <c r="T49" s="427">
        <v>61098.011865949898</v>
      </c>
    </row>
    <row r="50" spans="1:20" s="427" customFormat="1">
      <c r="A50" s="427" t="str">
        <f t="shared" si="0"/>
        <v>KU</v>
      </c>
      <c r="B50" s="427" t="str">
        <f t="shared" si="1"/>
        <v>KY</v>
      </c>
      <c r="C50" s="427" t="str">
        <f t="shared" si="4"/>
        <v>E</v>
      </c>
      <c r="D50" s="427" t="s">
        <v>3418</v>
      </c>
      <c r="E50" s="427" t="str">
        <f t="shared" si="2"/>
        <v>344</v>
      </c>
      <c r="F50" s="756" t="s">
        <v>2204</v>
      </c>
      <c r="G50" s="426" t="str">
        <f t="shared" si="5"/>
        <v/>
      </c>
      <c r="H50" s="427">
        <v>58191.409489999998</v>
      </c>
      <c r="I50" s="427">
        <v>58193.405639999997</v>
      </c>
      <c r="J50" s="427">
        <v>58194.056089999998</v>
      </c>
      <c r="K50" s="427">
        <v>58194.056089999998</v>
      </c>
      <c r="L50" s="427">
        <v>58194.056089999998</v>
      </c>
      <c r="M50" s="427">
        <v>58194.056089999998</v>
      </c>
      <c r="N50" s="427">
        <v>58194.056089999998</v>
      </c>
      <c r="O50" s="427">
        <v>58194.056089999998</v>
      </c>
      <c r="P50" s="427">
        <v>58194.056089999998</v>
      </c>
      <c r="Q50" s="427">
        <v>58194.056089999998</v>
      </c>
      <c r="R50" s="427">
        <v>58194.056089999998</v>
      </c>
      <c r="S50" s="427">
        <v>58194.056089999998</v>
      </c>
      <c r="T50" s="427">
        <v>58194.056089999998</v>
      </c>
    </row>
    <row r="51" spans="1:20" s="427" customFormat="1">
      <c r="A51" s="427" t="str">
        <f t="shared" si="0"/>
        <v>KU</v>
      </c>
      <c r="B51" s="427" t="str">
        <f t="shared" si="1"/>
        <v>KY</v>
      </c>
      <c r="C51" s="427" t="str">
        <f t="shared" si="4"/>
        <v>E</v>
      </c>
      <c r="D51" s="427" t="s">
        <v>3418</v>
      </c>
      <c r="E51" s="427" t="str">
        <f t="shared" si="2"/>
        <v>344</v>
      </c>
      <c r="F51" s="756" t="s">
        <v>2205</v>
      </c>
      <c r="G51" s="426" t="str">
        <f t="shared" si="5"/>
        <v/>
      </c>
      <c r="H51" s="427">
        <v>13068.659229999999</v>
      </c>
      <c r="I51" s="427">
        <v>13068.659229999999</v>
      </c>
      <c r="J51" s="427">
        <v>13068.659229999999</v>
      </c>
      <c r="K51" s="427">
        <v>13068.659229999999</v>
      </c>
      <c r="L51" s="427">
        <v>13068.659229999999</v>
      </c>
      <c r="M51" s="427">
        <v>13068.659229999999</v>
      </c>
      <c r="N51" s="427">
        <v>13068.659229999999</v>
      </c>
      <c r="O51" s="427">
        <v>13068.659229999999</v>
      </c>
      <c r="P51" s="427">
        <v>13068.659229999999</v>
      </c>
      <c r="Q51" s="427">
        <v>13068.659229999999</v>
      </c>
      <c r="R51" s="427">
        <v>13068.659229999999</v>
      </c>
      <c r="S51" s="427">
        <v>13068.659229999999</v>
      </c>
      <c r="T51" s="427">
        <v>13068.659229999999</v>
      </c>
    </row>
    <row r="52" spans="1:20" s="427" customFormat="1">
      <c r="A52" s="427" t="str">
        <f t="shared" si="0"/>
        <v>KU</v>
      </c>
      <c r="B52" s="427" t="str">
        <f t="shared" si="1"/>
        <v>KY</v>
      </c>
      <c r="C52" s="427" t="str">
        <f t="shared" si="4"/>
        <v>E</v>
      </c>
      <c r="D52" s="427" t="s">
        <v>3418</v>
      </c>
      <c r="E52" s="427" t="str">
        <f t="shared" si="2"/>
        <v>345</v>
      </c>
      <c r="F52" s="756" t="s">
        <v>1755</v>
      </c>
      <c r="G52" s="426" t="str">
        <f t="shared" si="5"/>
        <v/>
      </c>
      <c r="H52" s="427">
        <v>51987.738519999999</v>
      </c>
      <c r="I52" s="427">
        <v>51991.765569999901</v>
      </c>
      <c r="J52" s="427">
        <v>51993.295019999998</v>
      </c>
      <c r="K52" s="427">
        <v>51992.819559999902</v>
      </c>
      <c r="L52" s="427">
        <v>51992.819559999902</v>
      </c>
      <c r="M52" s="427">
        <v>51993.000589999901</v>
      </c>
      <c r="N52" s="427">
        <v>51992.812749999997</v>
      </c>
      <c r="O52" s="427">
        <v>51992.812749999997</v>
      </c>
      <c r="P52" s="427">
        <v>51992.812749999997</v>
      </c>
      <c r="Q52" s="427">
        <v>51992.812749999997</v>
      </c>
      <c r="R52" s="427">
        <v>51992.812749999997</v>
      </c>
      <c r="S52" s="427">
        <v>51992.812749999997</v>
      </c>
      <c r="T52" s="427">
        <v>51992.812749999997</v>
      </c>
    </row>
    <row r="53" spans="1:20" s="427" customFormat="1">
      <c r="A53" s="427" t="str">
        <f t="shared" si="0"/>
        <v>KU</v>
      </c>
      <c r="B53" s="427" t="str">
        <f t="shared" si="1"/>
        <v>KY</v>
      </c>
      <c r="C53" s="427" t="str">
        <f t="shared" si="4"/>
        <v>E</v>
      </c>
      <c r="D53" s="427" t="s">
        <v>3418</v>
      </c>
      <c r="E53" s="427" t="str">
        <f t="shared" si="2"/>
        <v>345</v>
      </c>
      <c r="F53" s="756" t="s">
        <v>2206</v>
      </c>
      <c r="G53" s="426" t="str">
        <f t="shared" si="5"/>
        <v/>
      </c>
      <c r="H53" s="427">
        <v>26172.461360000001</v>
      </c>
      <c r="I53" s="427">
        <v>26384.573039999999</v>
      </c>
      <c r="J53" s="427">
        <v>26384.616020000001</v>
      </c>
      <c r="K53" s="427">
        <v>26384.616020000001</v>
      </c>
      <c r="L53" s="427">
        <v>26384.875199999999</v>
      </c>
      <c r="M53" s="427">
        <v>26384.89457</v>
      </c>
      <c r="N53" s="427">
        <v>26384.477739999998</v>
      </c>
      <c r="O53" s="427">
        <v>26384.477739999998</v>
      </c>
      <c r="P53" s="427">
        <v>26384.477739999998</v>
      </c>
      <c r="Q53" s="427">
        <v>26384.477739999998</v>
      </c>
      <c r="R53" s="427">
        <v>26411.208507109899</v>
      </c>
      <c r="S53" s="427">
        <v>26411.208507109899</v>
      </c>
      <c r="T53" s="427">
        <v>26411.208507109899</v>
      </c>
    </row>
    <row r="54" spans="1:20" s="427" customFormat="1">
      <c r="A54" s="427" t="str">
        <f t="shared" si="0"/>
        <v>KU</v>
      </c>
      <c r="B54" s="427" t="str">
        <f t="shared" si="1"/>
        <v>KY</v>
      </c>
      <c r="C54" s="427" t="str">
        <f t="shared" si="4"/>
        <v>E</v>
      </c>
      <c r="D54" s="427" t="s">
        <v>3418</v>
      </c>
      <c r="E54" s="427" t="str">
        <f t="shared" si="2"/>
        <v>345</v>
      </c>
      <c r="F54" s="756" t="s">
        <v>2207</v>
      </c>
      <c r="G54" s="426" t="str">
        <f t="shared" si="5"/>
        <v/>
      </c>
      <c r="H54" s="427">
        <v>445.46972</v>
      </c>
      <c r="I54" s="427">
        <v>445.46972</v>
      </c>
      <c r="J54" s="427">
        <v>445.46972</v>
      </c>
      <c r="K54" s="427">
        <v>445.46972</v>
      </c>
      <c r="L54" s="427">
        <v>445.46972</v>
      </c>
      <c r="M54" s="427">
        <v>445.46972</v>
      </c>
      <c r="N54" s="427">
        <v>445.46972</v>
      </c>
      <c r="O54" s="427">
        <v>445.46972</v>
      </c>
      <c r="P54" s="427">
        <v>445.46972</v>
      </c>
      <c r="Q54" s="427">
        <v>445.46972</v>
      </c>
      <c r="R54" s="427">
        <v>445.46972</v>
      </c>
      <c r="S54" s="427">
        <v>445.46972</v>
      </c>
      <c r="T54" s="427">
        <v>445.46972</v>
      </c>
    </row>
    <row r="55" spans="1:20" s="427" customFormat="1">
      <c r="A55" s="427" t="str">
        <f t="shared" si="0"/>
        <v>KU</v>
      </c>
      <c r="B55" s="427" t="str">
        <f t="shared" si="1"/>
        <v>KY</v>
      </c>
      <c r="C55" s="427" t="str">
        <f t="shared" si="4"/>
        <v>E</v>
      </c>
      <c r="D55" s="427" t="s">
        <v>3418</v>
      </c>
      <c r="E55" s="427" t="str">
        <f t="shared" si="2"/>
        <v>346</v>
      </c>
      <c r="F55" s="756" t="s">
        <v>1756</v>
      </c>
      <c r="G55" s="426" t="str">
        <f t="shared" si="5"/>
        <v/>
      </c>
      <c r="H55" s="427">
        <v>5592.7315699999999</v>
      </c>
      <c r="I55" s="427">
        <v>5592.7315699999999</v>
      </c>
      <c r="J55" s="427">
        <v>5599.8355700000002</v>
      </c>
      <c r="K55" s="427">
        <v>5599.8355700000002</v>
      </c>
      <c r="L55" s="427">
        <v>5599.8355700000002</v>
      </c>
      <c r="M55" s="427">
        <v>5599.8355700000002</v>
      </c>
      <c r="N55" s="427">
        <v>5599.8355700000002</v>
      </c>
      <c r="O55" s="427">
        <v>5599.8355700000002</v>
      </c>
      <c r="P55" s="427">
        <v>5599.8355700000002</v>
      </c>
      <c r="Q55" s="427">
        <v>5599.8355700000002</v>
      </c>
      <c r="R55" s="427">
        <v>5599.8355700000002</v>
      </c>
      <c r="S55" s="427">
        <v>5629.2500805099999</v>
      </c>
      <c r="T55" s="427">
        <v>5629.2500805099999</v>
      </c>
    </row>
    <row r="56" spans="1:20" s="427" customFormat="1">
      <c r="A56" s="427" t="str">
        <f t="shared" si="0"/>
        <v>KU</v>
      </c>
      <c r="B56" s="427" t="str">
        <f t="shared" si="1"/>
        <v>KY</v>
      </c>
      <c r="C56" s="427" t="str">
        <f t="shared" si="4"/>
        <v>E</v>
      </c>
      <c r="D56" s="427" t="s">
        <v>3418</v>
      </c>
      <c r="E56" s="427" t="str">
        <f t="shared" si="2"/>
        <v>346</v>
      </c>
      <c r="F56" s="756" t="s">
        <v>2208</v>
      </c>
      <c r="G56" s="426" t="str">
        <f t="shared" si="5"/>
        <v/>
      </c>
      <c r="H56" s="427">
        <v>3059.6657799999998</v>
      </c>
      <c r="I56" s="427">
        <v>3059.6657799999998</v>
      </c>
      <c r="J56" s="427">
        <v>3059.6657799999998</v>
      </c>
      <c r="K56" s="427">
        <v>3059.6657799999998</v>
      </c>
      <c r="L56" s="427">
        <v>3059.6657799999998</v>
      </c>
      <c r="M56" s="427">
        <v>3059.6657799999998</v>
      </c>
      <c r="N56" s="427">
        <v>3059.6657799999998</v>
      </c>
      <c r="O56" s="427">
        <v>3059.6657799999998</v>
      </c>
      <c r="P56" s="427">
        <v>3059.6657799999998</v>
      </c>
      <c r="Q56" s="427">
        <v>3078.3910354</v>
      </c>
      <c r="R56" s="427">
        <v>3078.3910354</v>
      </c>
      <c r="S56" s="427">
        <v>3531.9596397</v>
      </c>
      <c r="T56" s="427">
        <v>3685.1323074000002</v>
      </c>
    </row>
    <row r="57" spans="1:20" s="427" customFormat="1">
      <c r="A57" s="427" t="str">
        <f t="shared" si="0"/>
        <v>KU</v>
      </c>
      <c r="B57" s="427" t="str">
        <f t="shared" si="1"/>
        <v>KY</v>
      </c>
      <c r="C57" s="427" t="str">
        <f t="shared" si="4"/>
        <v>E</v>
      </c>
      <c r="D57" s="427" t="s">
        <v>3418</v>
      </c>
      <c r="E57" s="427" t="str">
        <f t="shared" si="2"/>
        <v>346</v>
      </c>
      <c r="F57" s="756" t="s">
        <v>2209</v>
      </c>
      <c r="G57" s="426" t="str">
        <f t="shared" si="5"/>
        <v/>
      </c>
      <c r="H57" s="427">
        <v>424.77828</v>
      </c>
      <c r="I57" s="427">
        <v>424.77828</v>
      </c>
      <c r="J57" s="427">
        <v>424.77828</v>
      </c>
      <c r="K57" s="427">
        <v>424.77828</v>
      </c>
      <c r="L57" s="427">
        <v>424.77828</v>
      </c>
      <c r="M57" s="427">
        <v>424.77828</v>
      </c>
      <c r="N57" s="427">
        <v>424.77828</v>
      </c>
      <c r="O57" s="427">
        <v>424.77828</v>
      </c>
      <c r="P57" s="427">
        <v>424.77828</v>
      </c>
      <c r="Q57" s="427">
        <v>424.77828</v>
      </c>
      <c r="R57" s="427">
        <v>424.77828</v>
      </c>
      <c r="S57" s="427">
        <v>424.77828</v>
      </c>
      <c r="T57" s="427">
        <v>424.77828</v>
      </c>
    </row>
    <row r="58" spans="1:20" s="427" customFormat="1">
      <c r="A58" s="427" t="str">
        <f t="shared" si="0"/>
        <v>KU</v>
      </c>
      <c r="B58" s="427" t="str">
        <f t="shared" si="1"/>
        <v>KY</v>
      </c>
      <c r="C58" s="427" t="str">
        <f t="shared" si="4"/>
        <v>E</v>
      </c>
      <c r="D58" s="427" t="s">
        <v>3418</v>
      </c>
      <c r="E58" s="427" t="str">
        <f t="shared" si="2"/>
        <v>347</v>
      </c>
      <c r="F58" s="756" t="s">
        <v>2210</v>
      </c>
      <c r="G58" s="426" t="str">
        <f t="shared" si="5"/>
        <v>ARO</v>
      </c>
      <c r="H58" s="427">
        <v>406.99112000000002</v>
      </c>
      <c r="I58" s="427">
        <v>406.99112000000002</v>
      </c>
      <c r="J58" s="427">
        <v>406.99112000000002</v>
      </c>
      <c r="K58" s="427">
        <v>406.99112000000002</v>
      </c>
      <c r="L58" s="427">
        <v>406.99112000000002</v>
      </c>
      <c r="M58" s="427">
        <v>406.99112000000002</v>
      </c>
      <c r="N58" s="427">
        <v>406.99112000000002</v>
      </c>
      <c r="O58" s="427">
        <v>406.99112000000002</v>
      </c>
      <c r="P58" s="427">
        <v>406.99112000000002</v>
      </c>
      <c r="Q58" s="427">
        <v>406.99112000000002</v>
      </c>
      <c r="R58" s="427">
        <v>406.99112000000002</v>
      </c>
      <c r="S58" s="427">
        <v>406.99112000000002</v>
      </c>
      <c r="T58" s="427">
        <v>406.99112000000002</v>
      </c>
    </row>
    <row r="59" spans="1:20" s="427" customFormat="1">
      <c r="A59" s="427" t="str">
        <f t="shared" si="0"/>
        <v>KU</v>
      </c>
      <c r="B59" s="427" t="str">
        <f t="shared" si="1"/>
        <v>KY</v>
      </c>
      <c r="C59" s="427" t="str">
        <f t="shared" si="4"/>
        <v>E</v>
      </c>
      <c r="D59" s="427" t="s">
        <v>3418</v>
      </c>
      <c r="E59" s="427" t="str">
        <f t="shared" si="2"/>
        <v>350</v>
      </c>
      <c r="F59" s="756" t="s">
        <v>1757</v>
      </c>
      <c r="G59" s="426" t="str">
        <f t="shared" si="5"/>
        <v/>
      </c>
      <c r="H59" s="427">
        <v>29624.494119999999</v>
      </c>
      <c r="I59" s="427">
        <v>29624.494119999999</v>
      </c>
      <c r="J59" s="427">
        <v>29624.494119999999</v>
      </c>
      <c r="K59" s="427">
        <v>29624.494119999999</v>
      </c>
      <c r="L59" s="427">
        <v>29626.73342</v>
      </c>
      <c r="M59" s="427">
        <v>29626.73342</v>
      </c>
      <c r="N59" s="427">
        <v>29626.73342</v>
      </c>
      <c r="O59" s="427">
        <v>29761.602749999998</v>
      </c>
      <c r="P59" s="427">
        <v>29761.602749999998</v>
      </c>
      <c r="Q59" s="427">
        <v>29761.602749999998</v>
      </c>
      <c r="R59" s="427">
        <v>29761.602749999998</v>
      </c>
      <c r="S59" s="427">
        <v>29761.602749999998</v>
      </c>
      <c r="T59" s="427">
        <v>29761.602978327901</v>
      </c>
    </row>
    <row r="60" spans="1:20" s="427" customFormat="1">
      <c r="A60" s="427" t="str">
        <f t="shared" si="0"/>
        <v>KU</v>
      </c>
      <c r="B60" s="427" t="str">
        <f t="shared" si="1"/>
        <v>TN</v>
      </c>
      <c r="C60" s="427" t="str">
        <f t="shared" si="4"/>
        <v>E</v>
      </c>
      <c r="D60" s="427" t="s">
        <v>3418</v>
      </c>
      <c r="E60" s="427" t="str">
        <f t="shared" si="2"/>
        <v>350</v>
      </c>
      <c r="F60" s="756" t="s">
        <v>1758</v>
      </c>
      <c r="G60" s="426" t="str">
        <f t="shared" si="5"/>
        <v/>
      </c>
      <c r="H60" s="427">
        <v>0.43952999999999998</v>
      </c>
      <c r="I60" s="427">
        <v>0.43952999999999998</v>
      </c>
      <c r="J60" s="427">
        <v>0.43952999999999998</v>
      </c>
      <c r="K60" s="427">
        <v>0.43952999999999998</v>
      </c>
      <c r="L60" s="427">
        <v>0.43952999999999998</v>
      </c>
      <c r="M60" s="427">
        <v>0.43952999999999998</v>
      </c>
      <c r="N60" s="427">
        <v>0.43952999999999998</v>
      </c>
      <c r="O60" s="427">
        <v>0.43952999999999998</v>
      </c>
      <c r="P60" s="427">
        <v>0.43952999999999998</v>
      </c>
      <c r="Q60" s="427">
        <v>0.43952999999999998</v>
      </c>
      <c r="R60" s="427">
        <v>0.43952999999999998</v>
      </c>
      <c r="S60" s="427">
        <v>0.43952999999999998</v>
      </c>
      <c r="T60" s="427">
        <v>0.43952999999999998</v>
      </c>
    </row>
    <row r="61" spans="1:20" s="427" customFormat="1">
      <c r="A61" s="427" t="str">
        <f t="shared" si="0"/>
        <v>KU</v>
      </c>
      <c r="B61" s="427" t="str">
        <f t="shared" si="1"/>
        <v>VA</v>
      </c>
      <c r="C61" s="427" t="str">
        <f t="shared" si="4"/>
        <v>E</v>
      </c>
      <c r="D61" s="427" t="s">
        <v>3418</v>
      </c>
      <c r="E61" s="427" t="str">
        <f t="shared" si="2"/>
        <v>350</v>
      </c>
      <c r="F61" s="756" t="s">
        <v>1759</v>
      </c>
      <c r="G61" s="426" t="str">
        <f t="shared" si="5"/>
        <v/>
      </c>
      <c r="H61" s="427">
        <v>2265.1761000000001</v>
      </c>
      <c r="I61" s="427">
        <v>2265.1761000000001</v>
      </c>
      <c r="J61" s="427">
        <v>2265.1761000000001</v>
      </c>
      <c r="K61" s="427">
        <v>2265.1761000000001</v>
      </c>
      <c r="L61" s="427">
        <v>2265.1761000000001</v>
      </c>
      <c r="M61" s="427">
        <v>2265.1761000000001</v>
      </c>
      <c r="N61" s="427">
        <v>2265.1761000000001</v>
      </c>
      <c r="O61" s="427">
        <v>2265.1761000000001</v>
      </c>
      <c r="P61" s="427">
        <v>2265.1761000000001</v>
      </c>
      <c r="Q61" s="427">
        <v>2265.1761000000001</v>
      </c>
      <c r="R61" s="427">
        <v>2265.1761000000001</v>
      </c>
      <c r="S61" s="427">
        <v>2265.1761000000001</v>
      </c>
      <c r="T61" s="427">
        <v>2265.1761000000001</v>
      </c>
    </row>
    <row r="62" spans="1:20" s="427" customFormat="1">
      <c r="A62" s="427" t="str">
        <f t="shared" si="0"/>
        <v>KU</v>
      </c>
      <c r="B62" s="427" t="str">
        <f t="shared" si="1"/>
        <v>KY</v>
      </c>
      <c r="C62" s="427" t="str">
        <f t="shared" si="4"/>
        <v>E</v>
      </c>
      <c r="D62" s="427" t="s">
        <v>3418</v>
      </c>
      <c r="E62" s="427" t="str">
        <f t="shared" si="2"/>
        <v>352</v>
      </c>
      <c r="F62" s="756" t="s">
        <v>1760</v>
      </c>
      <c r="G62" s="426" t="str">
        <f t="shared" si="5"/>
        <v/>
      </c>
      <c r="H62" s="427">
        <v>1338.27811</v>
      </c>
      <c r="I62" s="427">
        <v>1338.27811</v>
      </c>
      <c r="J62" s="427">
        <v>1332.49217</v>
      </c>
      <c r="K62" s="427">
        <v>1332.49217</v>
      </c>
      <c r="L62" s="427">
        <v>1332.49217</v>
      </c>
      <c r="M62" s="427">
        <v>1332.49217</v>
      </c>
      <c r="N62" s="427">
        <v>1332.49217</v>
      </c>
      <c r="O62" s="427">
        <v>1332.49217</v>
      </c>
      <c r="P62" s="427">
        <v>1332.49217</v>
      </c>
      <c r="Q62" s="427">
        <v>1332.49217</v>
      </c>
      <c r="R62" s="427">
        <v>1332.49217</v>
      </c>
      <c r="S62" s="427">
        <v>1332.49217</v>
      </c>
      <c r="T62" s="427">
        <v>1332.49217</v>
      </c>
    </row>
    <row r="63" spans="1:20" s="427" customFormat="1">
      <c r="A63" s="427" t="str">
        <f t="shared" si="0"/>
        <v>KU</v>
      </c>
      <c r="B63" s="427" t="str">
        <f t="shared" si="1"/>
        <v>KY</v>
      </c>
      <c r="C63" s="427" t="str">
        <f t="shared" si="4"/>
        <v>E</v>
      </c>
      <c r="D63" s="427" t="s">
        <v>3418</v>
      </c>
      <c r="E63" s="427" t="str">
        <f t="shared" si="2"/>
        <v>352</v>
      </c>
      <c r="F63" s="756" t="s">
        <v>1761</v>
      </c>
      <c r="G63" s="426" t="str">
        <f t="shared" si="5"/>
        <v/>
      </c>
      <c r="H63" s="427">
        <v>26425.314429999999</v>
      </c>
      <c r="I63" s="427">
        <v>26425.4548</v>
      </c>
      <c r="J63" s="427">
        <v>26433.76137</v>
      </c>
      <c r="K63" s="427">
        <v>26433.76137</v>
      </c>
      <c r="L63" s="427">
        <v>26433.027399999999</v>
      </c>
      <c r="M63" s="427">
        <v>26550.76816</v>
      </c>
      <c r="N63" s="427">
        <v>26550.403569999999</v>
      </c>
      <c r="O63" s="427">
        <v>26550.403569999999</v>
      </c>
      <c r="P63" s="427">
        <v>26550.403569999999</v>
      </c>
      <c r="Q63" s="427">
        <v>26550.403569999999</v>
      </c>
      <c r="R63" s="427">
        <v>26550.403569999999</v>
      </c>
      <c r="S63" s="427">
        <v>26550.403569999999</v>
      </c>
      <c r="T63" s="427">
        <v>26550.403569999999</v>
      </c>
    </row>
    <row r="64" spans="1:20" s="427" customFormat="1">
      <c r="A64" s="427" t="str">
        <f t="shared" si="0"/>
        <v>KU</v>
      </c>
      <c r="B64" s="427" t="str">
        <f t="shared" si="1"/>
        <v>VA</v>
      </c>
      <c r="C64" s="427" t="str">
        <f t="shared" si="4"/>
        <v>E</v>
      </c>
      <c r="D64" s="427" t="s">
        <v>3418</v>
      </c>
      <c r="E64" s="427" t="str">
        <f t="shared" si="2"/>
        <v>352</v>
      </c>
      <c r="F64" s="756" t="s">
        <v>1762</v>
      </c>
      <c r="G64" s="426" t="str">
        <f t="shared" si="5"/>
        <v/>
      </c>
      <c r="H64" s="427">
        <v>1743.1988799999999</v>
      </c>
      <c r="I64" s="427">
        <v>1743.1988799999999</v>
      </c>
      <c r="J64" s="427">
        <v>1743.1988799999999</v>
      </c>
      <c r="K64" s="427">
        <v>1743.1988799999999</v>
      </c>
      <c r="L64" s="427">
        <v>1743.1988799999999</v>
      </c>
      <c r="M64" s="427">
        <v>1743.1988799999999</v>
      </c>
      <c r="N64" s="427">
        <v>1743.1988799999999</v>
      </c>
      <c r="O64" s="427">
        <v>1743.1988799999999</v>
      </c>
      <c r="P64" s="427">
        <v>1743.1988799999999</v>
      </c>
      <c r="Q64" s="427">
        <v>1743.1988799999999</v>
      </c>
      <c r="R64" s="427">
        <v>1743.1988799999999</v>
      </c>
      <c r="S64" s="427">
        <v>1743.1988799999999</v>
      </c>
      <c r="T64" s="427">
        <v>1743.1988799999999</v>
      </c>
    </row>
    <row r="65" spans="1:20" s="427" customFormat="1">
      <c r="A65" s="427" t="str">
        <f t="shared" si="0"/>
        <v>KU</v>
      </c>
      <c r="B65" s="427" t="str">
        <f t="shared" si="1"/>
        <v>KY</v>
      </c>
      <c r="C65" s="427" t="str">
        <f t="shared" si="4"/>
        <v>E</v>
      </c>
      <c r="D65" s="427" t="s">
        <v>3418</v>
      </c>
      <c r="E65" s="427" t="str">
        <f t="shared" si="2"/>
        <v>353</v>
      </c>
      <c r="F65" s="756" t="s">
        <v>1763</v>
      </c>
      <c r="G65" s="426" t="str">
        <f t="shared" si="5"/>
        <v/>
      </c>
      <c r="H65" s="427">
        <v>262381.91680000001</v>
      </c>
      <c r="I65" s="427">
        <v>262477.9976</v>
      </c>
      <c r="J65" s="427">
        <v>262334.08399999997</v>
      </c>
      <c r="K65" s="427">
        <v>262390.39659999998</v>
      </c>
      <c r="L65" s="427">
        <v>261959.88800000001</v>
      </c>
      <c r="M65" s="427">
        <v>267668.36609999998</v>
      </c>
      <c r="N65" s="427">
        <v>268627.61910000001</v>
      </c>
      <c r="O65" s="427">
        <v>310435.92560407799</v>
      </c>
      <c r="P65" s="427">
        <v>313478.06489070301</v>
      </c>
      <c r="Q65" s="427">
        <v>317097.50999409601</v>
      </c>
      <c r="R65" s="427">
        <v>317556.86887690099</v>
      </c>
      <c r="S65" s="427">
        <v>317582.43580638099</v>
      </c>
      <c r="T65" s="427">
        <v>325024.63432030397</v>
      </c>
    </row>
    <row r="66" spans="1:20" s="427" customFormat="1">
      <c r="A66" s="427" t="str">
        <f t="shared" si="0"/>
        <v>KU</v>
      </c>
      <c r="B66" s="427" t="str">
        <f>IF(MID($F66,12,2)="- ","KY",IF(MID($F66,12,2)="SY","KY",MID($F66,12,2)))</f>
        <v>KY</v>
      </c>
      <c r="C66" s="427" t="str">
        <f t="shared" si="4"/>
        <v>E</v>
      </c>
      <c r="D66" s="427" t="s">
        <v>3418</v>
      </c>
      <c r="E66" s="427" t="str">
        <f t="shared" si="2"/>
        <v>353</v>
      </c>
      <c r="F66" s="756" t="s">
        <v>1764</v>
      </c>
      <c r="G66" s="426" t="str">
        <f t="shared" si="5"/>
        <v/>
      </c>
      <c r="H66" s="427">
        <v>2624.0704500000002</v>
      </c>
      <c r="I66" s="427">
        <v>2624.0704500000002</v>
      </c>
      <c r="J66" s="427">
        <v>2624.0704500000002</v>
      </c>
      <c r="K66" s="427">
        <v>2624.0704500000002</v>
      </c>
      <c r="L66" s="427">
        <v>2624.0704500000002</v>
      </c>
      <c r="M66" s="427">
        <v>2624.0704500000002</v>
      </c>
      <c r="N66" s="427">
        <v>2624.0704500000002</v>
      </c>
      <c r="O66" s="427">
        <v>3176.7257659520001</v>
      </c>
      <c r="P66" s="427">
        <v>3160.7372704519998</v>
      </c>
      <c r="Q66" s="427">
        <v>3160.7372704519998</v>
      </c>
      <c r="R66" s="427">
        <v>3160.7372704519998</v>
      </c>
      <c r="S66" s="427">
        <v>3160.7372704519998</v>
      </c>
      <c r="T66" s="427">
        <v>3160.7372704519998</v>
      </c>
    </row>
    <row r="67" spans="1:20" s="427" customFormat="1">
      <c r="A67" s="427" t="str">
        <f t="shared" si="0"/>
        <v>KU</v>
      </c>
      <c r="B67" s="427" t="str">
        <f t="shared" ref="B67:B131" si="6">IF(MID($F67,12,2)="- ","KY",IF(MID($F67,12,2)="SY","KY",MID($F67,12,2)))</f>
        <v>VA</v>
      </c>
      <c r="C67" s="427" t="str">
        <f t="shared" si="4"/>
        <v>E</v>
      </c>
      <c r="D67" s="427" t="s">
        <v>3418</v>
      </c>
      <c r="E67" s="427" t="str">
        <f t="shared" si="2"/>
        <v>353</v>
      </c>
      <c r="F67" s="756" t="s">
        <v>1765</v>
      </c>
      <c r="G67" s="426" t="str">
        <f t="shared" si="5"/>
        <v/>
      </c>
      <c r="H67" s="427">
        <v>22833.884269999999</v>
      </c>
      <c r="I67" s="427">
        <v>22827.815200000001</v>
      </c>
      <c r="J67" s="427">
        <v>22834.151549999999</v>
      </c>
      <c r="K67" s="427">
        <v>22834.151549999999</v>
      </c>
      <c r="L67" s="427">
        <v>22865.581269999999</v>
      </c>
      <c r="M67" s="427">
        <v>22955.441320000002</v>
      </c>
      <c r="N67" s="427">
        <v>22952.135109999999</v>
      </c>
      <c r="O67" s="427">
        <v>22952.135109999999</v>
      </c>
      <c r="P67" s="427">
        <v>22952.135109999999</v>
      </c>
      <c r="Q67" s="427">
        <v>22952.135109999999</v>
      </c>
      <c r="R67" s="427">
        <v>22952.135109999999</v>
      </c>
      <c r="S67" s="427">
        <v>22952.135109999999</v>
      </c>
      <c r="T67" s="427">
        <v>22952.135109999999</v>
      </c>
    </row>
    <row r="68" spans="1:20" s="427" customFormat="1">
      <c r="A68" s="427" t="str">
        <f t="shared" si="0"/>
        <v>KU</v>
      </c>
      <c r="B68" s="427" t="str">
        <f t="shared" si="6"/>
        <v>KY</v>
      </c>
      <c r="C68" s="427" t="str">
        <f t="shared" si="4"/>
        <v>E</v>
      </c>
      <c r="D68" s="427" t="s">
        <v>3418</v>
      </c>
      <c r="E68" s="427" t="str">
        <f t="shared" si="2"/>
        <v>354</v>
      </c>
      <c r="F68" s="756" t="s">
        <v>1766</v>
      </c>
      <c r="G68" s="426" t="str">
        <f t="shared" si="5"/>
        <v/>
      </c>
      <c r="H68" s="427">
        <v>70852.012849999999</v>
      </c>
      <c r="I68" s="427">
        <v>70852.012849999999</v>
      </c>
      <c r="J68" s="427">
        <v>70852.012849999999</v>
      </c>
      <c r="K68" s="427">
        <v>70852.012849999999</v>
      </c>
      <c r="L68" s="427">
        <v>70852.012849999999</v>
      </c>
      <c r="M68" s="427">
        <v>70852.012849999999</v>
      </c>
      <c r="N68" s="427">
        <v>70852.012849999999</v>
      </c>
      <c r="O68" s="427">
        <v>70852.012849999999</v>
      </c>
      <c r="P68" s="427">
        <v>70852.012849999999</v>
      </c>
      <c r="Q68" s="427">
        <v>70852.012849999999</v>
      </c>
      <c r="R68" s="427">
        <v>70852.012849999999</v>
      </c>
      <c r="S68" s="427">
        <v>70852.012849999999</v>
      </c>
      <c r="T68" s="427">
        <v>70852.012849999999</v>
      </c>
    </row>
    <row r="69" spans="1:20" s="427" customFormat="1">
      <c r="A69" s="427" t="str">
        <f t="shared" si="0"/>
        <v>KU</v>
      </c>
      <c r="B69" s="427" t="str">
        <f t="shared" si="6"/>
        <v>VA</v>
      </c>
      <c r="C69" s="427" t="str">
        <f t="shared" si="4"/>
        <v>E</v>
      </c>
      <c r="D69" s="427" t="s">
        <v>3418</v>
      </c>
      <c r="E69" s="427" t="str">
        <f t="shared" si="2"/>
        <v>354</v>
      </c>
      <c r="F69" s="756" t="s">
        <v>1767</v>
      </c>
      <c r="G69" s="426" t="str">
        <f t="shared" si="5"/>
        <v/>
      </c>
      <c r="H69" s="427">
        <v>7181.0812999999998</v>
      </c>
      <c r="I69" s="427">
        <v>7181.0812999999998</v>
      </c>
      <c r="J69" s="427">
        <v>7181.0812999999998</v>
      </c>
      <c r="K69" s="427">
        <v>7181.0812999999998</v>
      </c>
      <c r="L69" s="427">
        <v>7181.0812999999998</v>
      </c>
      <c r="M69" s="427">
        <v>7181.0812999999998</v>
      </c>
      <c r="N69" s="427">
        <v>7181.0812999999998</v>
      </c>
      <c r="O69" s="427">
        <v>7181.0812999999998</v>
      </c>
      <c r="P69" s="427">
        <v>7181.0812999999998</v>
      </c>
      <c r="Q69" s="427">
        <v>7181.0812999999998</v>
      </c>
      <c r="R69" s="427">
        <v>7181.0812999999998</v>
      </c>
      <c r="S69" s="427">
        <v>7181.0812999999998</v>
      </c>
      <c r="T69" s="427">
        <v>7181.0812999999998</v>
      </c>
    </row>
    <row r="70" spans="1:20" s="427" customFormat="1">
      <c r="A70" s="427" t="str">
        <f t="shared" ref="A70:A134" si="7">MID($F70,4,2)</f>
        <v>KU</v>
      </c>
      <c r="B70" s="427" t="str">
        <f t="shared" si="6"/>
        <v>KY</v>
      </c>
      <c r="C70" s="427" t="str">
        <f t="shared" si="4"/>
        <v>E</v>
      </c>
      <c r="D70" s="427" t="s">
        <v>3418</v>
      </c>
      <c r="E70" s="427" t="str">
        <f t="shared" ref="E70:E157" si="8">MID($F70,8,3)</f>
        <v>355</v>
      </c>
      <c r="F70" s="756" t="s">
        <v>1768</v>
      </c>
      <c r="G70" s="426" t="str">
        <f t="shared" si="5"/>
        <v/>
      </c>
      <c r="H70" s="427">
        <v>293544.88059999997</v>
      </c>
      <c r="I70" s="427">
        <v>294294.85389999999</v>
      </c>
      <c r="J70" s="427">
        <v>295322.04129999998</v>
      </c>
      <c r="K70" s="427">
        <v>299406.36660000001</v>
      </c>
      <c r="L70" s="427">
        <v>300764.23540000001</v>
      </c>
      <c r="M70" s="427">
        <v>304711.83289999998</v>
      </c>
      <c r="N70" s="427">
        <v>308941.3444</v>
      </c>
      <c r="O70" s="427">
        <v>331222.66074175102</v>
      </c>
      <c r="P70" s="427">
        <v>341036.08335867099</v>
      </c>
      <c r="Q70" s="427">
        <v>352236.303405696</v>
      </c>
      <c r="R70" s="427">
        <v>355653.45850745699</v>
      </c>
      <c r="S70" s="427">
        <v>360359.09856592503</v>
      </c>
      <c r="T70" s="427">
        <v>379078.22134112997</v>
      </c>
    </row>
    <row r="71" spans="1:20" s="427" customFormat="1">
      <c r="A71" s="427" t="str">
        <f t="shared" si="7"/>
        <v>KU</v>
      </c>
      <c r="B71" s="427" t="str">
        <f t="shared" si="6"/>
        <v>TN</v>
      </c>
      <c r="C71" s="427" t="str">
        <f t="shared" ref="C71:C135" si="9">IF(ISTEXT(MID($F71,SEARCH("FUTURE USE",$F71),3)),"F",IF(MID($F71,7,1)="1","E",IF(MID($F71,7,1)="2","G",IF(MID($F71,7,1)="3","C",""))))</f>
        <v>E</v>
      </c>
      <c r="D71" s="427" t="s">
        <v>3418</v>
      </c>
      <c r="E71" s="427" t="str">
        <f t="shared" si="8"/>
        <v>355</v>
      </c>
      <c r="F71" s="756" t="s">
        <v>1769</v>
      </c>
      <c r="G71" s="426" t="str">
        <f t="shared" si="5"/>
        <v/>
      </c>
      <c r="H71" s="427">
        <v>125.979</v>
      </c>
      <c r="I71" s="427">
        <v>125.979</v>
      </c>
      <c r="J71" s="427">
        <v>125.979</v>
      </c>
      <c r="K71" s="427">
        <v>128.75153</v>
      </c>
      <c r="L71" s="427">
        <v>128.75153</v>
      </c>
      <c r="M71" s="427">
        <v>128.75153</v>
      </c>
      <c r="N71" s="427">
        <v>128.75153</v>
      </c>
      <c r="O71" s="427">
        <v>128.75153</v>
      </c>
      <c r="P71" s="427">
        <v>128.75153</v>
      </c>
      <c r="Q71" s="427">
        <v>128.75153</v>
      </c>
      <c r="R71" s="427">
        <v>128.75153</v>
      </c>
      <c r="S71" s="427">
        <v>128.75153</v>
      </c>
      <c r="T71" s="427">
        <v>128.75153</v>
      </c>
    </row>
    <row r="72" spans="1:20" s="427" customFormat="1">
      <c r="A72" s="427" t="str">
        <f t="shared" si="7"/>
        <v>KU</v>
      </c>
      <c r="B72" s="427" t="str">
        <f t="shared" si="6"/>
        <v>VA</v>
      </c>
      <c r="C72" s="427" t="str">
        <f t="shared" si="9"/>
        <v>E</v>
      </c>
      <c r="D72" s="427" t="s">
        <v>3418</v>
      </c>
      <c r="E72" s="427" t="str">
        <f t="shared" si="8"/>
        <v>355</v>
      </c>
      <c r="F72" s="756" t="s">
        <v>1770</v>
      </c>
      <c r="G72" s="426" t="str">
        <f t="shared" si="5"/>
        <v/>
      </c>
      <c r="H72" s="427">
        <v>13335.497009999999</v>
      </c>
      <c r="I72" s="427">
        <v>12455.837960000001</v>
      </c>
      <c r="J72" s="427">
        <v>12691.33885</v>
      </c>
      <c r="K72" s="427">
        <v>12746.173359999901</v>
      </c>
      <c r="L72" s="427">
        <v>12746.171119999901</v>
      </c>
      <c r="M72" s="427">
        <v>12756.091490000001</v>
      </c>
      <c r="N72" s="427">
        <v>12756.091490000001</v>
      </c>
      <c r="O72" s="427">
        <v>12762.974042774</v>
      </c>
      <c r="P72" s="427">
        <v>13039.549828073999</v>
      </c>
      <c r="Q72" s="427">
        <v>14024.1617279739</v>
      </c>
      <c r="R72" s="427">
        <v>14194.875100422099</v>
      </c>
      <c r="S72" s="427">
        <v>14195.087953870299</v>
      </c>
      <c r="T72" s="427">
        <v>14195.087953870299</v>
      </c>
    </row>
    <row r="73" spans="1:20" s="427" customFormat="1">
      <c r="A73" s="427" t="str">
        <f t="shared" si="7"/>
        <v>KU</v>
      </c>
      <c r="B73" s="427" t="str">
        <f t="shared" si="6"/>
        <v>KY</v>
      </c>
      <c r="C73" s="427" t="str">
        <f t="shared" si="9"/>
        <v>E</v>
      </c>
      <c r="D73" s="427" t="s">
        <v>3418</v>
      </c>
      <c r="E73" s="427" t="str">
        <f t="shared" si="8"/>
        <v>356</v>
      </c>
      <c r="F73" s="756" t="s">
        <v>1771</v>
      </c>
      <c r="G73" s="426" t="str">
        <f t="shared" si="5"/>
        <v/>
      </c>
      <c r="H73" s="427">
        <v>170106.3014</v>
      </c>
      <c r="I73" s="427">
        <v>170121.03909999999</v>
      </c>
      <c r="J73" s="427">
        <v>169042.89050000001</v>
      </c>
      <c r="K73" s="427">
        <v>168989.99979999999</v>
      </c>
      <c r="L73" s="427">
        <v>169821.85509999999</v>
      </c>
      <c r="M73" s="427">
        <v>170195.5649</v>
      </c>
      <c r="N73" s="427">
        <v>170534.6618</v>
      </c>
      <c r="O73" s="427">
        <v>170534.6618</v>
      </c>
      <c r="P73" s="427">
        <v>170794.7890933</v>
      </c>
      <c r="Q73" s="427">
        <v>170901.21485710001</v>
      </c>
      <c r="R73" s="427">
        <v>170901.21485710001</v>
      </c>
      <c r="S73" s="427">
        <v>170901.21485710001</v>
      </c>
      <c r="T73" s="427">
        <v>170901.21485710001</v>
      </c>
    </row>
    <row r="74" spans="1:20" s="427" customFormat="1">
      <c r="A74" s="427" t="str">
        <f t="shared" si="7"/>
        <v>KU</v>
      </c>
      <c r="B74" s="427" t="str">
        <f t="shared" si="6"/>
        <v>TN</v>
      </c>
      <c r="C74" s="427" t="str">
        <f t="shared" si="9"/>
        <v>E</v>
      </c>
      <c r="D74" s="427" t="s">
        <v>3418</v>
      </c>
      <c r="E74" s="427" t="str">
        <f t="shared" si="8"/>
        <v>356</v>
      </c>
      <c r="F74" s="756" t="s">
        <v>1772</v>
      </c>
      <c r="G74" s="426" t="str">
        <f t="shared" si="5"/>
        <v/>
      </c>
      <c r="H74" s="427">
        <v>78.061729999999997</v>
      </c>
      <c r="I74" s="427">
        <v>78.061729999999997</v>
      </c>
      <c r="J74" s="427">
        <v>78.061729999999997</v>
      </c>
      <c r="K74" s="427">
        <v>80.691329999999994</v>
      </c>
      <c r="L74" s="427">
        <v>80.691329999999994</v>
      </c>
      <c r="M74" s="427">
        <v>80.691329999999994</v>
      </c>
      <c r="N74" s="427">
        <v>80.691329999999994</v>
      </c>
      <c r="O74" s="427">
        <v>80.691329999999994</v>
      </c>
      <c r="P74" s="427">
        <v>80.691329999999994</v>
      </c>
      <c r="Q74" s="427">
        <v>80.691329999999994</v>
      </c>
      <c r="R74" s="427">
        <v>80.691329999999994</v>
      </c>
      <c r="S74" s="427">
        <v>80.691329999999994</v>
      </c>
      <c r="T74" s="427">
        <v>80.691329999999994</v>
      </c>
    </row>
    <row r="75" spans="1:20" s="427" customFormat="1">
      <c r="A75" s="427" t="str">
        <f t="shared" si="7"/>
        <v>KU</v>
      </c>
      <c r="B75" s="427" t="str">
        <f t="shared" si="6"/>
        <v>VA</v>
      </c>
      <c r="C75" s="427" t="str">
        <f t="shared" si="9"/>
        <v>E</v>
      </c>
      <c r="D75" s="427" t="s">
        <v>3418</v>
      </c>
      <c r="E75" s="427" t="str">
        <f t="shared" si="8"/>
        <v>356</v>
      </c>
      <c r="F75" s="756" t="s">
        <v>1773</v>
      </c>
      <c r="G75" s="426" t="str">
        <f t="shared" si="5"/>
        <v/>
      </c>
      <c r="H75" s="427">
        <v>17926.354179999998</v>
      </c>
      <c r="I75" s="427">
        <v>18827.75693</v>
      </c>
      <c r="J75" s="427">
        <v>18675.84721</v>
      </c>
      <c r="K75" s="427">
        <v>18692.065589999998</v>
      </c>
      <c r="L75" s="427">
        <v>18692.064640000001</v>
      </c>
      <c r="M75" s="427">
        <v>18696.27954</v>
      </c>
      <c r="N75" s="427">
        <v>18696.27954</v>
      </c>
      <c r="O75" s="427">
        <v>18696.501291008499</v>
      </c>
      <c r="P75" s="427">
        <v>18696.501291008499</v>
      </c>
      <c r="Q75" s="427">
        <v>18696.501291008499</v>
      </c>
      <c r="R75" s="427">
        <v>18696.501291008499</v>
      </c>
      <c r="S75" s="427">
        <v>18696.501291008499</v>
      </c>
      <c r="T75" s="427">
        <v>18696.501291008499</v>
      </c>
    </row>
    <row r="76" spans="1:20" s="427" customFormat="1">
      <c r="A76" s="427" t="str">
        <f t="shared" si="7"/>
        <v>KU</v>
      </c>
      <c r="B76" s="427" t="str">
        <f t="shared" si="6"/>
        <v>KY</v>
      </c>
      <c r="C76" s="427" t="str">
        <f t="shared" si="9"/>
        <v>E</v>
      </c>
      <c r="D76" s="427" t="s">
        <v>3418</v>
      </c>
      <c r="E76" s="427" t="str">
        <f t="shared" si="8"/>
        <v>357</v>
      </c>
      <c r="F76" s="756" t="s">
        <v>1774</v>
      </c>
      <c r="G76" s="426" t="str">
        <f t="shared" si="5"/>
        <v/>
      </c>
      <c r="H76" s="427">
        <v>448.76026000000002</v>
      </c>
      <c r="I76" s="427">
        <v>448.76026000000002</v>
      </c>
      <c r="J76" s="427">
        <v>448.76026000000002</v>
      </c>
      <c r="K76" s="427">
        <v>448.76026000000002</v>
      </c>
      <c r="L76" s="427">
        <v>448.76026000000002</v>
      </c>
      <c r="M76" s="427">
        <v>448.76026000000002</v>
      </c>
      <c r="N76" s="427">
        <v>448.76026000000002</v>
      </c>
      <c r="O76" s="427">
        <v>448.76026000000002</v>
      </c>
      <c r="P76" s="427">
        <v>448.76026000000002</v>
      </c>
      <c r="Q76" s="427">
        <v>448.76026000000002</v>
      </c>
      <c r="R76" s="427">
        <v>448.76026000000002</v>
      </c>
      <c r="S76" s="427">
        <v>448.76026000000002</v>
      </c>
      <c r="T76" s="427">
        <v>448.76026000000002</v>
      </c>
    </row>
    <row r="77" spans="1:20" s="427" customFormat="1">
      <c r="A77" s="427" t="str">
        <f t="shared" si="7"/>
        <v>KU</v>
      </c>
      <c r="B77" s="427" t="str">
        <f t="shared" si="6"/>
        <v>KY</v>
      </c>
      <c r="C77" s="427" t="str">
        <f t="shared" si="9"/>
        <v>E</v>
      </c>
      <c r="D77" s="427" t="s">
        <v>3418</v>
      </c>
      <c r="E77" s="427" t="str">
        <f t="shared" si="8"/>
        <v>358</v>
      </c>
      <c r="F77" s="756" t="s">
        <v>1775</v>
      </c>
      <c r="G77" s="426" t="str">
        <f t="shared" si="5"/>
        <v/>
      </c>
      <c r="H77" s="427">
        <v>1299.0944</v>
      </c>
      <c r="I77" s="427">
        <v>1299.0944</v>
      </c>
      <c r="J77" s="427">
        <v>1299.0944</v>
      </c>
      <c r="K77" s="427">
        <v>1299.5925500000001</v>
      </c>
      <c r="L77" s="427">
        <v>1299.5925500000001</v>
      </c>
      <c r="M77" s="427">
        <v>1299.5925500000001</v>
      </c>
      <c r="N77" s="427">
        <v>1299.5925500000001</v>
      </c>
      <c r="O77" s="427">
        <v>1299.5925500000001</v>
      </c>
      <c r="P77" s="427">
        <v>1299.5925500000001</v>
      </c>
      <c r="Q77" s="427">
        <v>1299.5925500000001</v>
      </c>
      <c r="R77" s="427">
        <v>1299.5925500000001</v>
      </c>
      <c r="S77" s="427">
        <v>1299.5925500000001</v>
      </c>
      <c r="T77" s="427">
        <v>1299.5925500000001</v>
      </c>
    </row>
    <row r="78" spans="1:20" s="427" customFormat="1">
      <c r="A78" s="427" t="str">
        <f t="shared" si="7"/>
        <v>KU</v>
      </c>
      <c r="B78" s="427" t="str">
        <f t="shared" si="6"/>
        <v>KY</v>
      </c>
      <c r="C78" s="427" t="str">
        <f t="shared" si="9"/>
        <v>E</v>
      </c>
      <c r="D78" s="427" t="s">
        <v>3418</v>
      </c>
      <c r="E78" s="427" t="str">
        <f t="shared" si="8"/>
        <v>359</v>
      </c>
      <c r="F78" s="756" t="s">
        <v>1776</v>
      </c>
      <c r="G78" s="426" t="str">
        <f t="shared" si="5"/>
        <v>ARO</v>
      </c>
      <c r="H78" s="427">
        <v>556.85762</v>
      </c>
      <c r="I78" s="427">
        <v>556.85762</v>
      </c>
      <c r="J78" s="427">
        <v>556.85762</v>
      </c>
      <c r="K78" s="427">
        <v>556.85762</v>
      </c>
      <c r="L78" s="427">
        <v>556.85762</v>
      </c>
      <c r="M78" s="427">
        <v>551.32388000000003</v>
      </c>
      <c r="N78" s="427">
        <v>551.32388000000003</v>
      </c>
      <c r="O78" s="427">
        <v>551.32388000000003</v>
      </c>
      <c r="P78" s="427">
        <v>551.32388000000003</v>
      </c>
      <c r="Q78" s="427">
        <v>551.32388000000003</v>
      </c>
      <c r="R78" s="427">
        <v>551.32388000000003</v>
      </c>
      <c r="S78" s="427">
        <v>551.32388000000003</v>
      </c>
      <c r="T78" s="427">
        <v>551.32388000000003</v>
      </c>
    </row>
    <row r="79" spans="1:20" s="427" customFormat="1">
      <c r="A79" s="427" t="str">
        <f t="shared" si="7"/>
        <v>KU</v>
      </c>
      <c r="B79" s="427" t="str">
        <f t="shared" si="6"/>
        <v>KY</v>
      </c>
      <c r="C79" s="427" t="str">
        <f t="shared" si="9"/>
        <v>F</v>
      </c>
      <c r="D79" s="427" t="s">
        <v>3418</v>
      </c>
      <c r="E79" s="427" t="str">
        <f t="shared" si="8"/>
        <v>360</v>
      </c>
      <c r="F79" s="756" t="s">
        <v>1777</v>
      </c>
      <c r="G79" s="426" t="str">
        <f t="shared" si="5"/>
        <v>FUTURE USE</v>
      </c>
      <c r="H79" s="427">
        <f>1471.42259-H80</f>
        <v>1147.33475</v>
      </c>
      <c r="I79" s="427">
        <f t="shared" ref="I79:N79" si="10">1471.42259-I80</f>
        <v>1147.33475</v>
      </c>
      <c r="J79" s="427">
        <f t="shared" si="10"/>
        <v>1147.33475</v>
      </c>
      <c r="K79" s="427">
        <f t="shared" si="10"/>
        <v>1147.33475</v>
      </c>
      <c r="L79" s="427">
        <f t="shared" si="10"/>
        <v>1147.33475</v>
      </c>
      <c r="M79" s="427">
        <f t="shared" si="10"/>
        <v>1147.33475</v>
      </c>
      <c r="N79" s="427">
        <f t="shared" si="10"/>
        <v>1147.33475</v>
      </c>
      <c r="O79" s="427">
        <v>1147.33475</v>
      </c>
      <c r="P79" s="427">
        <v>1147.33475</v>
      </c>
      <c r="Q79" s="427">
        <v>1147.33475</v>
      </c>
      <c r="R79" s="427">
        <v>1147.33475</v>
      </c>
      <c r="S79" s="427">
        <v>1147.33475</v>
      </c>
      <c r="T79" s="427">
        <v>1147.33475</v>
      </c>
    </row>
    <row r="80" spans="1:20" s="427" customFormat="1">
      <c r="A80" s="427" t="str">
        <f t="shared" si="7"/>
        <v>KU</v>
      </c>
      <c r="B80" s="427" t="str">
        <f t="shared" si="6"/>
        <v>VA</v>
      </c>
      <c r="C80" s="427" t="str">
        <f t="shared" si="9"/>
        <v>F</v>
      </c>
      <c r="D80" s="427" t="s">
        <v>3418</v>
      </c>
      <c r="E80" s="427" t="str">
        <f t="shared" si="8"/>
        <v>360</v>
      </c>
      <c r="F80" s="756" t="s">
        <v>3432</v>
      </c>
      <c r="G80" s="426" t="str">
        <f t="shared" si="5"/>
        <v>FUTURE USE</v>
      </c>
      <c r="H80" s="427">
        <v>324.08784000000003</v>
      </c>
      <c r="I80" s="427">
        <v>324.08784000000003</v>
      </c>
      <c r="J80" s="427">
        <v>324.08784000000003</v>
      </c>
      <c r="K80" s="427">
        <v>324.08784000000003</v>
      </c>
      <c r="L80" s="427">
        <v>324.08784000000003</v>
      </c>
      <c r="M80" s="427">
        <v>324.08784000000003</v>
      </c>
      <c r="N80" s="427">
        <v>324.08784000000003</v>
      </c>
      <c r="O80" s="427">
        <v>324.08784000000003</v>
      </c>
      <c r="P80" s="427">
        <v>324.08784000000003</v>
      </c>
      <c r="Q80" s="427">
        <v>324.08784000000003</v>
      </c>
      <c r="R80" s="427">
        <v>324.08784000000003</v>
      </c>
      <c r="S80" s="427">
        <v>324.08784000000003</v>
      </c>
      <c r="T80" s="427">
        <v>324.08784000000003</v>
      </c>
    </row>
    <row r="81" spans="1:20" s="427" customFormat="1">
      <c r="A81" s="427" t="str">
        <f t="shared" si="7"/>
        <v>KU</v>
      </c>
      <c r="B81" s="427" t="str">
        <f t="shared" si="6"/>
        <v>KY</v>
      </c>
      <c r="C81" s="427" t="str">
        <f t="shared" si="9"/>
        <v>E</v>
      </c>
      <c r="D81" s="427" t="s">
        <v>3418</v>
      </c>
      <c r="E81" s="427" t="str">
        <f t="shared" si="8"/>
        <v>360</v>
      </c>
      <c r="F81" s="756" t="s">
        <v>1778</v>
      </c>
      <c r="G81" s="426" t="str">
        <f t="shared" si="5"/>
        <v/>
      </c>
      <c r="H81" s="427">
        <v>7525.7050799999897</v>
      </c>
      <c r="I81" s="427">
        <v>7525.7050799999897</v>
      </c>
      <c r="J81" s="427">
        <v>7525.7050799999897</v>
      </c>
      <c r="K81" s="427">
        <v>7525.7050799999897</v>
      </c>
      <c r="L81" s="427">
        <v>7760.18515999999</v>
      </c>
      <c r="M81" s="427">
        <v>7777.0431799999897</v>
      </c>
      <c r="N81" s="427">
        <v>7777.0431799999897</v>
      </c>
      <c r="O81" s="427">
        <v>7777.0431799999897</v>
      </c>
      <c r="P81" s="427">
        <v>7777.0431799999897</v>
      </c>
      <c r="Q81" s="427">
        <v>7777.0431799999897</v>
      </c>
      <c r="R81" s="427">
        <v>7777.0431799999897</v>
      </c>
      <c r="S81" s="427">
        <v>7777.0431799999897</v>
      </c>
      <c r="T81" s="427">
        <v>9123.7510063599893</v>
      </c>
    </row>
    <row r="82" spans="1:20" s="427" customFormat="1">
      <c r="A82" s="427" t="str">
        <f t="shared" si="7"/>
        <v>KU</v>
      </c>
      <c r="B82" s="427" t="str">
        <f t="shared" si="6"/>
        <v>TN</v>
      </c>
      <c r="C82" s="427" t="str">
        <f t="shared" si="9"/>
        <v>E</v>
      </c>
      <c r="D82" s="427" t="s">
        <v>3418</v>
      </c>
      <c r="E82" s="427" t="str">
        <f t="shared" si="8"/>
        <v>360</v>
      </c>
      <c r="F82" s="756" t="s">
        <v>1779</v>
      </c>
      <c r="G82" s="426" t="str">
        <f t="shared" si="5"/>
        <v/>
      </c>
      <c r="H82" s="427">
        <v>5.0402300000000002</v>
      </c>
      <c r="I82" s="427">
        <v>5.0402300000000002</v>
      </c>
      <c r="J82" s="427">
        <v>5.0402300000000002</v>
      </c>
      <c r="K82" s="427">
        <v>5.0402300000000002</v>
      </c>
      <c r="L82" s="427">
        <v>5.0402300000000002</v>
      </c>
      <c r="M82" s="427">
        <v>5.0402300000000002</v>
      </c>
      <c r="N82" s="427">
        <v>5.0402300000000002</v>
      </c>
      <c r="O82" s="427">
        <v>5.0402300000000002</v>
      </c>
      <c r="P82" s="427">
        <v>5.0402300000000002</v>
      </c>
      <c r="Q82" s="427">
        <v>5.0402300000000002</v>
      </c>
      <c r="R82" s="427">
        <v>5.0402300000000002</v>
      </c>
      <c r="S82" s="427">
        <v>5.0402300000000002</v>
      </c>
      <c r="T82" s="427">
        <v>475.57252999999997</v>
      </c>
    </row>
    <row r="83" spans="1:20" s="427" customFormat="1">
      <c r="A83" s="427" t="str">
        <f t="shared" si="7"/>
        <v>KU</v>
      </c>
      <c r="B83" s="427" t="str">
        <f t="shared" si="6"/>
        <v>VA</v>
      </c>
      <c r="C83" s="427" t="str">
        <f t="shared" si="9"/>
        <v>E</v>
      </c>
      <c r="D83" s="427" t="s">
        <v>3418</v>
      </c>
      <c r="E83" s="427" t="str">
        <f t="shared" si="8"/>
        <v>360</v>
      </c>
      <c r="F83" s="756" t="s">
        <v>1780</v>
      </c>
      <c r="G83" s="426" t="str">
        <f t="shared" si="5"/>
        <v/>
      </c>
      <c r="H83" s="427">
        <v>193.25044</v>
      </c>
      <c r="I83" s="427">
        <v>193.25044</v>
      </c>
      <c r="J83" s="427">
        <v>193.25044</v>
      </c>
      <c r="K83" s="427">
        <v>193.25044</v>
      </c>
      <c r="L83" s="427">
        <v>193.25044</v>
      </c>
      <c r="M83" s="427">
        <v>193.25044</v>
      </c>
      <c r="N83" s="427">
        <v>193.25044</v>
      </c>
      <c r="O83" s="427">
        <v>193.25044</v>
      </c>
      <c r="P83" s="427">
        <v>193.25044</v>
      </c>
      <c r="Q83" s="427">
        <v>193.25044</v>
      </c>
      <c r="R83" s="427">
        <v>193.25044</v>
      </c>
      <c r="S83" s="427">
        <v>193.25044</v>
      </c>
      <c r="T83" s="427">
        <v>313.284189999999</v>
      </c>
    </row>
    <row r="84" spans="1:20" s="427" customFormat="1">
      <c r="A84" s="427" t="str">
        <f t="shared" si="7"/>
        <v>KU</v>
      </c>
      <c r="B84" s="427" t="str">
        <f t="shared" si="6"/>
        <v>KY</v>
      </c>
      <c r="C84" s="427" t="str">
        <f t="shared" si="9"/>
        <v>E</v>
      </c>
      <c r="D84" s="427" t="s">
        <v>3418</v>
      </c>
      <c r="E84" s="427" t="str">
        <f t="shared" si="8"/>
        <v>361</v>
      </c>
      <c r="F84" s="756" t="s">
        <v>1781</v>
      </c>
      <c r="G84" s="426" t="str">
        <f t="shared" si="5"/>
        <v/>
      </c>
      <c r="H84" s="427">
        <v>13839.201209999999</v>
      </c>
      <c r="I84" s="427">
        <v>13891.23402</v>
      </c>
      <c r="J84" s="427">
        <v>14034.49632</v>
      </c>
      <c r="K84" s="427">
        <v>14370.495800000001</v>
      </c>
      <c r="L84" s="427">
        <v>13598.827670000001</v>
      </c>
      <c r="M84" s="427">
        <v>13590.514499999999</v>
      </c>
      <c r="N84" s="427">
        <v>13590.514499999999</v>
      </c>
      <c r="O84" s="427">
        <v>14580.836604820001</v>
      </c>
      <c r="P84" s="427">
        <v>15396.728387472</v>
      </c>
      <c r="Q84" s="427">
        <v>16307.481699372</v>
      </c>
      <c r="R84" s="427">
        <v>17499.944601372001</v>
      </c>
      <c r="S84" s="427">
        <v>18691.447233372</v>
      </c>
      <c r="T84" s="427">
        <v>19952.952210812</v>
      </c>
    </row>
    <row r="85" spans="1:20" s="427" customFormat="1">
      <c r="A85" s="427" t="str">
        <f t="shared" si="7"/>
        <v>KU</v>
      </c>
      <c r="B85" s="427" t="str">
        <f t="shared" si="6"/>
        <v>TN</v>
      </c>
      <c r="C85" s="427" t="str">
        <f t="shared" si="9"/>
        <v>E</v>
      </c>
      <c r="D85" s="427" t="s">
        <v>3418</v>
      </c>
      <c r="E85" s="427" t="str">
        <f t="shared" si="8"/>
        <v>361</v>
      </c>
      <c r="F85" s="756" t="s">
        <v>1782</v>
      </c>
      <c r="G85" s="426" t="str">
        <f t="shared" si="5"/>
        <v/>
      </c>
      <c r="H85" s="427">
        <v>2.5451299999999999</v>
      </c>
      <c r="I85" s="427">
        <v>2.5451299999999999</v>
      </c>
      <c r="J85" s="427">
        <v>2.5451299999999999</v>
      </c>
      <c r="K85" s="427">
        <v>2.5451299999999999</v>
      </c>
      <c r="L85" s="427">
        <v>2.5451299999999999</v>
      </c>
      <c r="M85" s="427">
        <v>2.5451299999999999</v>
      </c>
      <c r="N85" s="427">
        <v>2.5451299999999999</v>
      </c>
      <c r="O85" s="427">
        <v>2.5451299999999999</v>
      </c>
      <c r="P85" s="427">
        <v>2.5451299999999999</v>
      </c>
      <c r="Q85" s="427">
        <v>2.5451299999999999</v>
      </c>
      <c r="R85" s="427">
        <v>2.5451299999999999</v>
      </c>
      <c r="S85" s="427">
        <v>2.5451299999999999</v>
      </c>
      <c r="T85" s="427">
        <v>2.5451299999999999</v>
      </c>
    </row>
    <row r="86" spans="1:20" s="427" customFormat="1">
      <c r="A86" s="427" t="str">
        <f t="shared" si="7"/>
        <v>KU</v>
      </c>
      <c r="B86" s="427" t="str">
        <f t="shared" si="6"/>
        <v>VA</v>
      </c>
      <c r="C86" s="427" t="str">
        <f t="shared" si="9"/>
        <v>E</v>
      </c>
      <c r="D86" s="427" t="s">
        <v>3418</v>
      </c>
      <c r="E86" s="427" t="str">
        <f t="shared" si="8"/>
        <v>361</v>
      </c>
      <c r="F86" s="756" t="s">
        <v>1783</v>
      </c>
      <c r="G86" s="426" t="str">
        <f t="shared" ref="G86:G153" si="11">IF(ISTEXT(MID($F86,SEARCH("FUTURE USE",$F86),3)),"FUTURE USE",IF(ISTEXT(MID($F86,SEARCH("ECR",$F86),3)),"ECR",IF(ISTEXT(MID($F86,SEARCH("ARO",$F86),3)),"ARO",IF(ISTEXT(MID($F86,SEARCH("DSM",$F86),3)),"DSM",""))))</f>
        <v/>
      </c>
      <c r="H86" s="427">
        <v>570.18737999999996</v>
      </c>
      <c r="I86" s="427">
        <v>570.18737999999996</v>
      </c>
      <c r="J86" s="427">
        <v>570.18737999999996</v>
      </c>
      <c r="K86" s="427">
        <v>570.18737999999996</v>
      </c>
      <c r="L86" s="427">
        <v>570.18737999999996</v>
      </c>
      <c r="M86" s="427">
        <v>591.02211</v>
      </c>
      <c r="N86" s="427">
        <v>591.02211</v>
      </c>
      <c r="O86" s="427">
        <v>604.46588999999994</v>
      </c>
      <c r="P86" s="427">
        <v>604.46588999999994</v>
      </c>
      <c r="Q86" s="427">
        <v>642.87668999999903</v>
      </c>
      <c r="R86" s="427">
        <v>657.4247805</v>
      </c>
      <c r="S86" s="427">
        <v>657.4247805</v>
      </c>
      <c r="T86" s="427">
        <v>767.59402317000001</v>
      </c>
    </row>
    <row r="87" spans="1:20" s="427" customFormat="1">
      <c r="A87" s="427" t="str">
        <f t="shared" si="7"/>
        <v>KU</v>
      </c>
      <c r="B87" s="427" t="str">
        <f t="shared" si="6"/>
        <v>KY</v>
      </c>
      <c r="C87" s="427" t="str">
        <f t="shared" si="9"/>
        <v>E</v>
      </c>
      <c r="D87" s="427" t="s">
        <v>3418</v>
      </c>
      <c r="E87" s="427" t="str">
        <f t="shared" si="8"/>
        <v>362</v>
      </c>
      <c r="F87" s="756" t="s">
        <v>1784</v>
      </c>
      <c r="G87" s="426" t="str">
        <f t="shared" si="11"/>
        <v/>
      </c>
      <c r="H87" s="427">
        <v>189587.1268</v>
      </c>
      <c r="I87" s="427">
        <v>190010.59299999999</v>
      </c>
      <c r="J87" s="427">
        <v>189868.9057</v>
      </c>
      <c r="K87" s="427">
        <v>190019.90900000001</v>
      </c>
      <c r="L87" s="427">
        <v>191911.71900000001</v>
      </c>
      <c r="M87" s="427">
        <v>192565.33189999999</v>
      </c>
      <c r="N87" s="427">
        <v>193422.4774</v>
      </c>
      <c r="O87" s="427">
        <v>202446.997802247</v>
      </c>
      <c r="P87" s="427">
        <v>203014.539448831</v>
      </c>
      <c r="Q87" s="427">
        <v>203444.78316963901</v>
      </c>
      <c r="R87" s="427">
        <v>207430.847732519</v>
      </c>
      <c r="S87" s="427">
        <v>208162.40526201899</v>
      </c>
      <c r="T87" s="427">
        <v>231274.26722590401</v>
      </c>
    </row>
    <row r="88" spans="1:20" s="427" customFormat="1">
      <c r="A88" s="427" t="str">
        <f t="shared" si="7"/>
        <v>KU</v>
      </c>
      <c r="B88" s="427" t="str">
        <f t="shared" si="6"/>
        <v>TN</v>
      </c>
      <c r="C88" s="427" t="str">
        <f t="shared" si="9"/>
        <v>E</v>
      </c>
      <c r="D88" s="427" t="s">
        <v>3418</v>
      </c>
      <c r="E88" s="427" t="str">
        <f t="shared" si="8"/>
        <v>362</v>
      </c>
      <c r="F88" s="756" t="s">
        <v>1785</v>
      </c>
      <c r="G88" s="426" t="str">
        <f t="shared" si="11"/>
        <v/>
      </c>
      <c r="H88" s="427">
        <v>66.88015</v>
      </c>
      <c r="I88" s="427">
        <v>66.88015</v>
      </c>
      <c r="J88" s="427">
        <v>66.88015</v>
      </c>
      <c r="K88" s="427">
        <v>66.88015</v>
      </c>
      <c r="L88" s="427">
        <v>66.88015</v>
      </c>
      <c r="M88" s="427">
        <v>66.88015</v>
      </c>
      <c r="N88" s="427">
        <v>66.88015</v>
      </c>
      <c r="O88" s="427">
        <v>66.88015</v>
      </c>
      <c r="P88" s="427">
        <v>66.88015</v>
      </c>
      <c r="Q88" s="427">
        <v>66.88015</v>
      </c>
      <c r="R88" s="427">
        <v>66.88015</v>
      </c>
      <c r="S88" s="427">
        <v>66.88015</v>
      </c>
      <c r="T88" s="427">
        <v>66.88015</v>
      </c>
    </row>
    <row r="89" spans="1:20" s="427" customFormat="1">
      <c r="A89" s="427" t="str">
        <f t="shared" si="7"/>
        <v>KU</v>
      </c>
      <c r="B89" s="427" t="str">
        <f t="shared" si="6"/>
        <v>VA</v>
      </c>
      <c r="C89" s="427" t="str">
        <f t="shared" si="9"/>
        <v>E</v>
      </c>
      <c r="D89" s="427" t="s">
        <v>3418</v>
      </c>
      <c r="E89" s="427" t="str">
        <f t="shared" si="8"/>
        <v>362</v>
      </c>
      <c r="F89" s="756" t="s">
        <v>1786</v>
      </c>
      <c r="G89" s="426" t="str">
        <f t="shared" si="11"/>
        <v/>
      </c>
      <c r="H89" s="427">
        <v>8381.4852900000005</v>
      </c>
      <c r="I89" s="427">
        <v>8376.9513200000001</v>
      </c>
      <c r="J89" s="427">
        <v>8376.9513200000001</v>
      </c>
      <c r="K89" s="427">
        <v>8376.9513200000001</v>
      </c>
      <c r="L89" s="427">
        <v>8376.9513200000001</v>
      </c>
      <c r="M89" s="427">
        <v>8405.7806299999993</v>
      </c>
      <c r="N89" s="427">
        <v>8513.2319299999999</v>
      </c>
      <c r="O89" s="427">
        <v>8513.2319299999999</v>
      </c>
      <c r="P89" s="427">
        <v>8513.2319299999999</v>
      </c>
      <c r="Q89" s="427">
        <v>8513.2319299999999</v>
      </c>
      <c r="R89" s="427">
        <v>8513.2319299999999</v>
      </c>
      <c r="S89" s="427">
        <v>8513.2319299999999</v>
      </c>
      <c r="T89" s="427">
        <v>8513.2319299999999</v>
      </c>
    </row>
    <row r="90" spans="1:20" s="427" customFormat="1">
      <c r="A90" s="427" t="str">
        <f t="shared" si="7"/>
        <v>KU</v>
      </c>
      <c r="B90" s="427" t="str">
        <f t="shared" si="6"/>
        <v>KY</v>
      </c>
      <c r="C90" s="427" t="str">
        <f t="shared" si="9"/>
        <v>E</v>
      </c>
      <c r="D90" s="427" t="s">
        <v>3418</v>
      </c>
      <c r="E90" s="427" t="str">
        <f t="shared" si="8"/>
        <v>364</v>
      </c>
      <c r="F90" s="756" t="s">
        <v>2211</v>
      </c>
      <c r="G90" s="426" t="str">
        <f t="shared" si="11"/>
        <v>ECR</v>
      </c>
      <c r="H90" s="427">
        <v>26.531199999999998</v>
      </c>
      <c r="I90" s="427">
        <v>26.531199999999998</v>
      </c>
      <c r="J90" s="427">
        <v>26.531199999999998</v>
      </c>
      <c r="K90" s="427">
        <v>26.531199999999998</v>
      </c>
      <c r="L90" s="427">
        <v>26.531199999999998</v>
      </c>
      <c r="M90" s="427">
        <v>26.531199999999998</v>
      </c>
      <c r="N90" s="427">
        <v>26.531199999999998</v>
      </c>
      <c r="O90" s="427">
        <v>26.531199999999998</v>
      </c>
      <c r="P90" s="427">
        <v>26.531199999999998</v>
      </c>
      <c r="Q90" s="427">
        <v>26.531199999999998</v>
      </c>
      <c r="R90" s="427">
        <v>26.531199999999998</v>
      </c>
      <c r="S90" s="427">
        <v>26.531199999999998</v>
      </c>
      <c r="T90" s="427">
        <v>26.531199999999998</v>
      </c>
    </row>
    <row r="91" spans="1:20" s="427" customFormat="1">
      <c r="A91" s="427" t="str">
        <f t="shared" si="7"/>
        <v>KU</v>
      </c>
      <c r="B91" s="427" t="str">
        <f t="shared" si="6"/>
        <v>KY</v>
      </c>
      <c r="C91" s="427" t="str">
        <f t="shared" si="9"/>
        <v>E</v>
      </c>
      <c r="D91" s="427" t="s">
        <v>3418</v>
      </c>
      <c r="E91" s="427" t="str">
        <f t="shared" si="8"/>
        <v>364</v>
      </c>
      <c r="F91" s="756" t="s">
        <v>1787</v>
      </c>
      <c r="G91" s="426" t="str">
        <f t="shared" si="11"/>
        <v/>
      </c>
      <c r="H91" s="427">
        <v>360006.53200000001</v>
      </c>
      <c r="I91" s="427">
        <v>361520.32130000001</v>
      </c>
      <c r="J91" s="427">
        <v>366853.03749999998</v>
      </c>
      <c r="K91" s="427">
        <v>366985.7047</v>
      </c>
      <c r="L91" s="427">
        <v>368940.71039999998</v>
      </c>
      <c r="M91" s="427">
        <v>370656.06459999998</v>
      </c>
      <c r="N91" s="427">
        <v>371082.25760000001</v>
      </c>
      <c r="O91" s="427">
        <v>371881.727377214</v>
      </c>
      <c r="P91" s="427">
        <v>372932.961679272</v>
      </c>
      <c r="Q91" s="427">
        <v>373840.60002811498</v>
      </c>
      <c r="R91" s="427">
        <v>374423.79826685798</v>
      </c>
      <c r="S91" s="427">
        <v>375031.15713454102</v>
      </c>
      <c r="T91" s="427">
        <v>382221.66302387498</v>
      </c>
    </row>
    <row r="92" spans="1:20" s="427" customFormat="1">
      <c r="A92" s="427" t="str">
        <f t="shared" si="7"/>
        <v>KU</v>
      </c>
      <c r="B92" s="427" t="str">
        <f t="shared" si="6"/>
        <v>TN</v>
      </c>
      <c r="C92" s="427" t="str">
        <f t="shared" si="9"/>
        <v>E</v>
      </c>
      <c r="D92" s="427" t="s">
        <v>3418</v>
      </c>
      <c r="E92" s="427" t="str">
        <f t="shared" si="8"/>
        <v>364</v>
      </c>
      <c r="F92" s="756" t="s">
        <v>1788</v>
      </c>
      <c r="G92" s="426" t="str">
        <f t="shared" si="11"/>
        <v/>
      </c>
      <c r="H92" s="427">
        <v>47.785559999999997</v>
      </c>
      <c r="I92" s="427">
        <v>47.785559999999997</v>
      </c>
      <c r="J92" s="427">
        <v>47.785559999999997</v>
      </c>
      <c r="K92" s="427">
        <v>47.785559999999997</v>
      </c>
      <c r="L92" s="427">
        <v>47.785559999999997</v>
      </c>
      <c r="M92" s="427">
        <v>47.785559999999997</v>
      </c>
      <c r="N92" s="427">
        <v>47.785559999999997</v>
      </c>
      <c r="O92" s="427">
        <v>47.785559999999997</v>
      </c>
      <c r="P92" s="427">
        <v>47.785559999999997</v>
      </c>
      <c r="Q92" s="427">
        <v>47.785559999999997</v>
      </c>
      <c r="R92" s="427">
        <v>47.785559999999997</v>
      </c>
      <c r="S92" s="427">
        <v>47.785559999999997</v>
      </c>
      <c r="T92" s="427">
        <v>47.785559999999997</v>
      </c>
    </row>
    <row r="93" spans="1:20" s="427" customFormat="1">
      <c r="A93" s="427" t="str">
        <f t="shared" si="7"/>
        <v>KU</v>
      </c>
      <c r="B93" s="427" t="str">
        <f t="shared" si="6"/>
        <v>VA</v>
      </c>
      <c r="C93" s="427" t="str">
        <f t="shared" si="9"/>
        <v>E</v>
      </c>
      <c r="D93" s="427" t="s">
        <v>3418</v>
      </c>
      <c r="E93" s="427" t="str">
        <f t="shared" si="8"/>
        <v>364</v>
      </c>
      <c r="F93" s="756" t="s">
        <v>1789</v>
      </c>
      <c r="G93" s="426" t="str">
        <f t="shared" si="11"/>
        <v/>
      </c>
      <c r="H93" s="427">
        <v>29011.08799</v>
      </c>
      <c r="I93" s="427">
        <v>29084.003369999999</v>
      </c>
      <c r="J93" s="427">
        <v>29420.893800000002</v>
      </c>
      <c r="K93" s="427">
        <v>29391.72782</v>
      </c>
      <c r="L93" s="427">
        <v>29534.189320000001</v>
      </c>
      <c r="M93" s="427">
        <v>29640.20796</v>
      </c>
      <c r="N93" s="427">
        <v>29674.458429999999</v>
      </c>
      <c r="O93" s="427">
        <v>29695.58506532</v>
      </c>
      <c r="P93" s="427">
        <v>29711.522791345</v>
      </c>
      <c r="Q93" s="427">
        <v>29709.275461861002</v>
      </c>
      <c r="R93" s="427">
        <v>29706.9962033999</v>
      </c>
      <c r="S93" s="427">
        <v>29704.748873915902</v>
      </c>
      <c r="T93" s="427">
        <v>30404.8875634531</v>
      </c>
    </row>
    <row r="94" spans="1:20" s="427" customFormat="1">
      <c r="A94" s="427" t="str">
        <f t="shared" si="7"/>
        <v>KU</v>
      </c>
      <c r="B94" s="427" t="str">
        <f t="shared" si="6"/>
        <v>KY</v>
      </c>
      <c r="C94" s="427" t="str">
        <f t="shared" si="9"/>
        <v>E</v>
      </c>
      <c r="D94" s="427" t="s">
        <v>3418</v>
      </c>
      <c r="E94" s="427" t="str">
        <f t="shared" si="8"/>
        <v>365</v>
      </c>
      <c r="F94" s="756" t="s">
        <v>2212</v>
      </c>
      <c r="G94" s="426" t="str">
        <f t="shared" si="11"/>
        <v>ECR</v>
      </c>
      <c r="H94" s="427">
        <v>23.599409999999999</v>
      </c>
      <c r="I94" s="427">
        <v>23.599409999999999</v>
      </c>
      <c r="J94" s="427">
        <v>23.599409999999999</v>
      </c>
      <c r="K94" s="427">
        <v>23.599409999999999</v>
      </c>
      <c r="L94" s="427">
        <v>23.599409999999999</v>
      </c>
      <c r="M94" s="427">
        <v>23.599409999999999</v>
      </c>
      <c r="N94" s="427">
        <v>23.599409999999999</v>
      </c>
      <c r="O94" s="427">
        <v>23.599409999999999</v>
      </c>
      <c r="P94" s="427">
        <v>23.599409999999999</v>
      </c>
      <c r="Q94" s="427">
        <v>23.599409999999999</v>
      </c>
      <c r="R94" s="427">
        <v>23.599409999999999</v>
      </c>
      <c r="S94" s="427">
        <v>23.599409999999999</v>
      </c>
      <c r="T94" s="427">
        <v>23.599409999999999</v>
      </c>
    </row>
    <row r="95" spans="1:20" s="427" customFormat="1">
      <c r="A95" s="427" t="str">
        <f t="shared" si="7"/>
        <v>KU</v>
      </c>
      <c r="B95" s="427" t="str">
        <f t="shared" si="6"/>
        <v>KY</v>
      </c>
      <c r="C95" s="427" t="str">
        <f t="shared" si="9"/>
        <v>E</v>
      </c>
      <c r="D95" s="427" t="s">
        <v>3418</v>
      </c>
      <c r="E95" s="427" t="str">
        <f t="shared" si="8"/>
        <v>365</v>
      </c>
      <c r="F95" s="756" t="s">
        <v>1790</v>
      </c>
      <c r="G95" s="426" t="str">
        <f t="shared" si="11"/>
        <v/>
      </c>
      <c r="H95" s="427">
        <v>343945.88130000001</v>
      </c>
      <c r="I95" s="427">
        <v>345874.48089999898</v>
      </c>
      <c r="J95" s="427">
        <v>349883.43550000002</v>
      </c>
      <c r="K95" s="427">
        <v>350903.7402</v>
      </c>
      <c r="L95" s="427">
        <v>353911.51280000003</v>
      </c>
      <c r="M95" s="427">
        <v>354673.46029999998</v>
      </c>
      <c r="N95" s="427">
        <v>354662.12809999997</v>
      </c>
      <c r="O95" s="427">
        <v>361384.79676001001</v>
      </c>
      <c r="P95" s="427">
        <v>366276.38454312697</v>
      </c>
      <c r="Q95" s="427">
        <v>369903.12258090999</v>
      </c>
      <c r="R95" s="427">
        <v>372167.02344734001</v>
      </c>
      <c r="S95" s="427">
        <v>373964.39292735601</v>
      </c>
      <c r="T95" s="427">
        <v>380495.95368639199</v>
      </c>
    </row>
    <row r="96" spans="1:20" s="427" customFormat="1">
      <c r="A96" s="427" t="str">
        <f t="shared" si="7"/>
        <v>KU</v>
      </c>
      <c r="B96" s="427" t="str">
        <f t="shared" si="6"/>
        <v>TN</v>
      </c>
      <c r="C96" s="427" t="str">
        <f t="shared" si="9"/>
        <v>E</v>
      </c>
      <c r="D96" s="427" t="s">
        <v>3418</v>
      </c>
      <c r="E96" s="427" t="str">
        <f t="shared" si="8"/>
        <v>365</v>
      </c>
      <c r="F96" s="756" t="s">
        <v>1791</v>
      </c>
      <c r="G96" s="426" t="str">
        <f t="shared" si="11"/>
        <v/>
      </c>
      <c r="H96" s="427">
        <v>46.763219999999997</v>
      </c>
      <c r="I96" s="427">
        <v>46.763219999999997</v>
      </c>
      <c r="J96" s="427">
        <v>46.763219999999997</v>
      </c>
      <c r="K96" s="427">
        <v>46.763219999999997</v>
      </c>
      <c r="L96" s="427">
        <v>46.763219999999997</v>
      </c>
      <c r="M96" s="427">
        <v>46.763219999999997</v>
      </c>
      <c r="N96" s="427">
        <v>46.763219999999997</v>
      </c>
      <c r="O96" s="427">
        <v>46.763219999999997</v>
      </c>
      <c r="P96" s="427">
        <v>46.763219999999997</v>
      </c>
      <c r="Q96" s="427">
        <v>46.763219999999997</v>
      </c>
      <c r="R96" s="427">
        <v>46.763219999999997</v>
      </c>
      <c r="S96" s="427">
        <v>46.763219999999997</v>
      </c>
      <c r="T96" s="427">
        <v>46.763219999999997</v>
      </c>
    </row>
    <row r="97" spans="1:20" s="427" customFormat="1">
      <c r="A97" s="427" t="str">
        <f t="shared" si="7"/>
        <v>KU</v>
      </c>
      <c r="B97" s="427" t="str">
        <f t="shared" si="6"/>
        <v>VA</v>
      </c>
      <c r="C97" s="427" t="str">
        <f t="shared" si="9"/>
        <v>E</v>
      </c>
      <c r="D97" s="427" t="s">
        <v>3418</v>
      </c>
      <c r="E97" s="427" t="str">
        <f t="shared" si="8"/>
        <v>365</v>
      </c>
      <c r="F97" s="756" t="s">
        <v>1792</v>
      </c>
      <c r="G97" s="426" t="str">
        <f t="shared" si="11"/>
        <v/>
      </c>
      <c r="H97" s="427">
        <v>25545.123390000001</v>
      </c>
      <c r="I97" s="427">
        <v>25717.625700000001</v>
      </c>
      <c r="J97" s="427">
        <v>26245.514640000001</v>
      </c>
      <c r="K97" s="427">
        <v>26244.31367</v>
      </c>
      <c r="L97" s="427">
        <v>26638.157200000001</v>
      </c>
      <c r="M97" s="427">
        <v>26754.944729999999</v>
      </c>
      <c r="N97" s="427">
        <v>26766.630550000002</v>
      </c>
      <c r="O97" s="427">
        <v>27094.2671733522</v>
      </c>
      <c r="P97" s="427">
        <v>27401.960948684598</v>
      </c>
      <c r="Q97" s="427">
        <v>27584.207131695999</v>
      </c>
      <c r="R97" s="427">
        <v>27840.214537509</v>
      </c>
      <c r="S97" s="427">
        <v>27905.193329254798</v>
      </c>
      <c r="T97" s="427">
        <v>27973.849978205999</v>
      </c>
    </row>
    <row r="98" spans="1:20" s="427" customFormat="1">
      <c r="A98" s="427" t="str">
        <f t="shared" si="7"/>
        <v>KU</v>
      </c>
      <c r="B98" s="427" t="str">
        <f t="shared" si="6"/>
        <v>KY</v>
      </c>
      <c r="C98" s="427" t="str">
        <f t="shared" si="9"/>
        <v>E</v>
      </c>
      <c r="D98" s="427" t="s">
        <v>3418</v>
      </c>
      <c r="E98" s="427" t="str">
        <f t="shared" si="8"/>
        <v>366</v>
      </c>
      <c r="F98" s="756" t="s">
        <v>2213</v>
      </c>
      <c r="G98" s="426" t="str">
        <f t="shared" si="11"/>
        <v>ECR</v>
      </c>
      <c r="H98" s="427">
        <v>171.00252</v>
      </c>
      <c r="I98" s="427">
        <v>171.00252</v>
      </c>
      <c r="J98" s="427">
        <v>171.00252</v>
      </c>
      <c r="K98" s="427">
        <v>171.00252</v>
      </c>
      <c r="L98" s="427">
        <v>171.00252</v>
      </c>
      <c r="M98" s="427">
        <v>171.00252</v>
      </c>
      <c r="N98" s="427">
        <v>171.00252</v>
      </c>
      <c r="O98" s="427">
        <v>171.00252</v>
      </c>
      <c r="P98" s="427">
        <v>171.00252</v>
      </c>
      <c r="Q98" s="427">
        <v>171.00252</v>
      </c>
      <c r="R98" s="427">
        <v>171.00252</v>
      </c>
      <c r="S98" s="427">
        <v>171.00252</v>
      </c>
      <c r="T98" s="427">
        <v>171.00252</v>
      </c>
    </row>
    <row r="99" spans="1:20" s="427" customFormat="1">
      <c r="A99" s="427" t="str">
        <f t="shared" si="7"/>
        <v>KU</v>
      </c>
      <c r="B99" s="427" t="str">
        <f t="shared" si="6"/>
        <v>KY</v>
      </c>
      <c r="C99" s="427" t="str">
        <f t="shared" si="9"/>
        <v>E</v>
      </c>
      <c r="D99" s="427" t="s">
        <v>3418</v>
      </c>
      <c r="E99" s="427" t="str">
        <f t="shared" si="8"/>
        <v>366</v>
      </c>
      <c r="F99" s="756" t="s">
        <v>1793</v>
      </c>
      <c r="G99" s="426" t="str">
        <f t="shared" si="11"/>
        <v/>
      </c>
      <c r="H99" s="427">
        <v>2219.1685400000001</v>
      </c>
      <c r="I99" s="427">
        <v>2219.1685400000001</v>
      </c>
      <c r="J99" s="427">
        <v>2219.1685400000001</v>
      </c>
      <c r="K99" s="427">
        <v>2219.1035200000001</v>
      </c>
      <c r="L99" s="427">
        <v>2219.1035200000001</v>
      </c>
      <c r="M99" s="427">
        <v>2219.1035200000001</v>
      </c>
      <c r="N99" s="427">
        <v>2219.1035200000001</v>
      </c>
      <c r="O99" s="427">
        <v>2219.1035200000001</v>
      </c>
      <c r="P99" s="427">
        <v>2219.1035200000001</v>
      </c>
      <c r="Q99" s="427">
        <v>2219.1035200000001</v>
      </c>
      <c r="R99" s="427">
        <v>2219.1035200000001</v>
      </c>
      <c r="S99" s="427">
        <v>2219.1035200000001</v>
      </c>
      <c r="T99" s="427">
        <v>2219.1035200000001</v>
      </c>
    </row>
    <row r="100" spans="1:20" s="427" customFormat="1">
      <c r="A100" s="427" t="str">
        <f t="shared" si="7"/>
        <v>KU</v>
      </c>
      <c r="B100" s="427" t="str">
        <f t="shared" si="6"/>
        <v>KY</v>
      </c>
      <c r="C100" s="427" t="str">
        <f t="shared" si="9"/>
        <v>E</v>
      </c>
      <c r="D100" s="427" t="s">
        <v>3418</v>
      </c>
      <c r="E100" s="427" t="str">
        <f t="shared" si="8"/>
        <v>367</v>
      </c>
      <c r="F100" s="756" t="s">
        <v>2214</v>
      </c>
      <c r="G100" s="426" t="str">
        <f t="shared" si="11"/>
        <v>ECR</v>
      </c>
      <c r="H100" s="427">
        <v>1326.11537</v>
      </c>
      <c r="I100" s="427">
        <v>1326.11537</v>
      </c>
      <c r="J100" s="427">
        <v>1326.11537</v>
      </c>
      <c r="K100" s="427">
        <v>1326.11537</v>
      </c>
      <c r="L100" s="427">
        <v>1326.11537</v>
      </c>
      <c r="M100" s="427">
        <v>1326.11537</v>
      </c>
      <c r="N100" s="427">
        <v>1326.11537</v>
      </c>
      <c r="O100" s="427">
        <v>1326.11537</v>
      </c>
      <c r="P100" s="427">
        <v>1326.11537</v>
      </c>
      <c r="Q100" s="427">
        <v>1326.11537</v>
      </c>
      <c r="R100" s="427">
        <v>1326.11537</v>
      </c>
      <c r="S100" s="427">
        <v>1326.11537</v>
      </c>
      <c r="T100" s="427">
        <v>1326.11537</v>
      </c>
    </row>
    <row r="101" spans="1:20" s="427" customFormat="1">
      <c r="A101" s="427" t="str">
        <f t="shared" si="7"/>
        <v>KU</v>
      </c>
      <c r="B101" s="427" t="str">
        <f t="shared" si="6"/>
        <v>KY</v>
      </c>
      <c r="C101" s="427" t="str">
        <f t="shared" si="9"/>
        <v>E</v>
      </c>
      <c r="D101" s="427" t="s">
        <v>3418</v>
      </c>
      <c r="E101" s="427" t="str">
        <f t="shared" si="8"/>
        <v>367</v>
      </c>
      <c r="F101" s="756" t="s">
        <v>1794</v>
      </c>
      <c r="G101" s="426" t="str">
        <f t="shared" si="11"/>
        <v/>
      </c>
      <c r="H101" s="427">
        <v>188227.7531</v>
      </c>
      <c r="I101" s="427">
        <v>189308.87159999899</v>
      </c>
      <c r="J101" s="427">
        <v>190208.93409999899</v>
      </c>
      <c r="K101" s="427">
        <v>190223.1017</v>
      </c>
      <c r="L101" s="427">
        <v>192126.50219999999</v>
      </c>
      <c r="M101" s="427">
        <v>192761.54199999999</v>
      </c>
      <c r="N101" s="427">
        <v>192874.50750000001</v>
      </c>
      <c r="O101" s="427">
        <v>195285.31883914</v>
      </c>
      <c r="P101" s="427">
        <v>197141.802281248</v>
      </c>
      <c r="Q101" s="427">
        <v>198399.613457978</v>
      </c>
      <c r="R101" s="427">
        <v>199682.07549534299</v>
      </c>
      <c r="S101" s="427">
        <v>200817.602145218</v>
      </c>
      <c r="T101" s="427">
        <v>201808.389487429</v>
      </c>
    </row>
    <row r="102" spans="1:20" s="427" customFormat="1">
      <c r="A102" s="427" t="str">
        <f t="shared" si="7"/>
        <v>KU</v>
      </c>
      <c r="B102" s="427" t="str">
        <f t="shared" si="6"/>
        <v>VA</v>
      </c>
      <c r="C102" s="427" t="str">
        <f t="shared" si="9"/>
        <v>E</v>
      </c>
      <c r="D102" s="427" t="s">
        <v>3418</v>
      </c>
      <c r="E102" s="427" t="str">
        <f t="shared" si="8"/>
        <v>367</v>
      </c>
      <c r="F102" s="756" t="s">
        <v>1795</v>
      </c>
      <c r="G102" s="426" t="str">
        <f t="shared" si="11"/>
        <v/>
      </c>
      <c r="H102" s="427">
        <v>4698.48236</v>
      </c>
      <c r="I102" s="427">
        <v>4708.5523300000004</v>
      </c>
      <c r="J102" s="427">
        <v>4373.63724</v>
      </c>
      <c r="K102" s="427">
        <v>4373.63724</v>
      </c>
      <c r="L102" s="427">
        <v>4408.9042499999996</v>
      </c>
      <c r="M102" s="427">
        <v>4419.8111200000003</v>
      </c>
      <c r="N102" s="427">
        <v>4418.53143</v>
      </c>
      <c r="O102" s="427">
        <v>4495.6977828231002</v>
      </c>
      <c r="P102" s="427">
        <v>4574.3185735056004</v>
      </c>
      <c r="Q102" s="427">
        <v>4608.0882925635997</v>
      </c>
      <c r="R102" s="427">
        <v>4642.6155110129002</v>
      </c>
      <c r="S102" s="427">
        <v>4673.6498817708998</v>
      </c>
      <c r="T102" s="427">
        <v>4682.1835035775002</v>
      </c>
    </row>
    <row r="103" spans="1:20" s="427" customFormat="1">
      <c r="A103" s="427" t="str">
        <f t="shared" si="7"/>
        <v>KU</v>
      </c>
      <c r="B103" s="427" t="str">
        <f t="shared" si="6"/>
        <v>KY</v>
      </c>
      <c r="C103" s="427" t="str">
        <f t="shared" si="9"/>
        <v>E</v>
      </c>
      <c r="D103" s="427" t="s">
        <v>3418</v>
      </c>
      <c r="E103" s="427" t="str">
        <f t="shared" si="8"/>
        <v>368</v>
      </c>
      <c r="F103" s="756" t="s">
        <v>1796</v>
      </c>
      <c r="G103" s="426" t="str">
        <f t="shared" si="11"/>
        <v/>
      </c>
      <c r="H103" s="427">
        <v>302516.05699999997</v>
      </c>
      <c r="I103" s="427">
        <v>302738.36290000001</v>
      </c>
      <c r="J103" s="427">
        <v>302918.57659999997</v>
      </c>
      <c r="K103" s="427">
        <v>303345.91009999998</v>
      </c>
      <c r="L103" s="427">
        <v>303591.35009999998</v>
      </c>
      <c r="M103" s="427">
        <v>304247.95970000001</v>
      </c>
      <c r="N103" s="427">
        <v>304247.95970000001</v>
      </c>
      <c r="O103" s="427">
        <v>305852.50204460602</v>
      </c>
      <c r="P103" s="427">
        <v>306612.08980737202</v>
      </c>
      <c r="Q103" s="427">
        <v>307581.33854308003</v>
      </c>
      <c r="R103" s="427">
        <v>308572.78076055303</v>
      </c>
      <c r="S103" s="427">
        <v>309571.76404555398</v>
      </c>
      <c r="T103" s="427">
        <v>310271.24838298903</v>
      </c>
    </row>
    <row r="104" spans="1:20" s="427" customFormat="1">
      <c r="A104" s="427" t="str">
        <f t="shared" si="7"/>
        <v>KU</v>
      </c>
      <c r="B104" s="427" t="str">
        <f t="shared" si="6"/>
        <v>TN</v>
      </c>
      <c r="C104" s="427" t="str">
        <f t="shared" si="9"/>
        <v>E</v>
      </c>
      <c r="D104" s="427" t="s">
        <v>3418</v>
      </c>
      <c r="E104" s="427" t="str">
        <f t="shared" si="8"/>
        <v>368</v>
      </c>
      <c r="F104" s="756" t="s">
        <v>1797</v>
      </c>
      <c r="G104" s="426" t="str">
        <f t="shared" si="11"/>
        <v/>
      </c>
      <c r="H104" s="427">
        <v>3.1182799999999999</v>
      </c>
      <c r="I104" s="427">
        <v>3.1182799999999999</v>
      </c>
      <c r="J104" s="427">
        <v>3.1182799999999999</v>
      </c>
      <c r="K104" s="427">
        <v>3.1182799999999999</v>
      </c>
      <c r="L104" s="427">
        <v>3.1182799999999999</v>
      </c>
      <c r="M104" s="427">
        <v>3.1182799999999999</v>
      </c>
      <c r="N104" s="427">
        <v>3.1182799999999999</v>
      </c>
      <c r="O104" s="427">
        <v>3.1182799999999999</v>
      </c>
      <c r="P104" s="427">
        <v>3.1182799999999999</v>
      </c>
      <c r="Q104" s="427">
        <v>3.1182799999999999</v>
      </c>
      <c r="R104" s="427">
        <v>3.1182799999999999</v>
      </c>
      <c r="S104" s="427">
        <v>3.1182799999999999</v>
      </c>
      <c r="T104" s="427">
        <v>3.1182799999999999</v>
      </c>
    </row>
    <row r="105" spans="1:20" s="427" customFormat="1">
      <c r="A105" s="427" t="str">
        <f t="shared" si="7"/>
        <v>KU</v>
      </c>
      <c r="B105" s="427" t="str">
        <f t="shared" si="6"/>
        <v>VA</v>
      </c>
      <c r="C105" s="427" t="str">
        <f t="shared" si="9"/>
        <v>E</v>
      </c>
      <c r="D105" s="427" t="s">
        <v>3418</v>
      </c>
      <c r="E105" s="427" t="str">
        <f t="shared" si="8"/>
        <v>368</v>
      </c>
      <c r="F105" s="756" t="s">
        <v>1798</v>
      </c>
      <c r="G105" s="426" t="str">
        <f t="shared" si="11"/>
        <v/>
      </c>
      <c r="H105" s="427">
        <v>11127.499599999999</v>
      </c>
      <c r="I105" s="427">
        <v>11127.617819999999</v>
      </c>
      <c r="J105" s="427">
        <v>11127.573269999901</v>
      </c>
      <c r="K105" s="427">
        <v>11122.64525</v>
      </c>
      <c r="L105" s="427">
        <v>11063.31408</v>
      </c>
      <c r="M105" s="427">
        <v>11063.64271</v>
      </c>
      <c r="N105" s="427">
        <v>11063.64271</v>
      </c>
      <c r="O105" s="427">
        <v>11065.709657938</v>
      </c>
      <c r="P105" s="427">
        <v>11112.911326478001</v>
      </c>
      <c r="Q105" s="427">
        <v>11115.159107289001</v>
      </c>
      <c r="R105" s="427">
        <v>11118.618067048001</v>
      </c>
      <c r="S105" s="427">
        <v>11121.471432531</v>
      </c>
      <c r="T105" s="427">
        <v>11123.719213341999</v>
      </c>
    </row>
    <row r="106" spans="1:20" s="427" customFormat="1">
      <c r="A106" s="427" t="str">
        <f t="shared" si="7"/>
        <v>KU</v>
      </c>
      <c r="B106" s="427" t="str">
        <f t="shared" si="6"/>
        <v>KY</v>
      </c>
      <c r="C106" s="427" t="str">
        <f t="shared" si="9"/>
        <v>E</v>
      </c>
      <c r="D106" s="427" t="s">
        <v>3418</v>
      </c>
      <c r="E106" s="427" t="str">
        <f t="shared" si="8"/>
        <v>369</v>
      </c>
      <c r="F106" s="756" t="s">
        <v>1799</v>
      </c>
      <c r="G106" s="426" t="str">
        <f t="shared" si="11"/>
        <v/>
      </c>
      <c r="H106" s="427">
        <v>108515.0542</v>
      </c>
      <c r="I106" s="427">
        <v>108566.7577</v>
      </c>
      <c r="J106" s="427">
        <v>108584.3202</v>
      </c>
      <c r="K106" s="427">
        <v>108584.3202</v>
      </c>
      <c r="L106" s="427">
        <v>108624.6516</v>
      </c>
      <c r="M106" s="427">
        <v>108650.940099999</v>
      </c>
      <c r="N106" s="427">
        <v>108650.5497</v>
      </c>
      <c r="O106" s="427">
        <v>108650.5497</v>
      </c>
      <c r="P106" s="427">
        <v>108650.5497</v>
      </c>
      <c r="Q106" s="427">
        <v>108650.5497</v>
      </c>
      <c r="R106" s="427">
        <v>108650.5497</v>
      </c>
      <c r="S106" s="427">
        <v>108650.5497</v>
      </c>
      <c r="T106" s="427">
        <v>108650.5497</v>
      </c>
    </row>
    <row r="107" spans="1:20" s="427" customFormat="1">
      <c r="A107" s="427" t="str">
        <f t="shared" si="7"/>
        <v>KU</v>
      </c>
      <c r="B107" s="427" t="str">
        <f t="shared" si="6"/>
        <v>TN</v>
      </c>
      <c r="C107" s="427" t="str">
        <f t="shared" si="9"/>
        <v>E</v>
      </c>
      <c r="D107" s="427" t="s">
        <v>3418</v>
      </c>
      <c r="E107" s="427" t="str">
        <f t="shared" si="8"/>
        <v>369</v>
      </c>
      <c r="F107" s="756" t="s">
        <v>1800</v>
      </c>
      <c r="G107" s="426" t="str">
        <f t="shared" si="11"/>
        <v/>
      </c>
      <c r="H107" s="427">
        <v>0.25462000000000001</v>
      </c>
      <c r="I107" s="427">
        <v>0.25462000000000001</v>
      </c>
      <c r="J107" s="427">
        <v>0.25462000000000001</v>
      </c>
      <c r="K107" s="427">
        <v>0.25462000000000001</v>
      </c>
      <c r="L107" s="427">
        <v>0.25462000000000001</v>
      </c>
      <c r="M107" s="427">
        <v>0.25462000000000001</v>
      </c>
      <c r="N107" s="427">
        <v>0.25462000000000001</v>
      </c>
      <c r="O107" s="427">
        <v>0.25462000000000001</v>
      </c>
      <c r="P107" s="427">
        <v>0.25462000000000001</v>
      </c>
      <c r="Q107" s="427">
        <v>0.25462000000000001</v>
      </c>
      <c r="R107" s="427">
        <v>0.25462000000000001</v>
      </c>
      <c r="S107" s="427">
        <v>0.25462000000000001</v>
      </c>
      <c r="T107" s="427">
        <v>0.25462000000000001</v>
      </c>
    </row>
    <row r="108" spans="1:20" s="427" customFormat="1">
      <c r="A108" s="427" t="str">
        <f t="shared" si="7"/>
        <v>KU</v>
      </c>
      <c r="B108" s="427" t="str">
        <f t="shared" si="6"/>
        <v>VA</v>
      </c>
      <c r="C108" s="427" t="str">
        <f t="shared" si="9"/>
        <v>E</v>
      </c>
      <c r="D108" s="427" t="s">
        <v>3418</v>
      </c>
      <c r="E108" s="427" t="str">
        <f t="shared" si="8"/>
        <v>369</v>
      </c>
      <c r="F108" s="756" t="s">
        <v>1801</v>
      </c>
      <c r="G108" s="426" t="str">
        <f t="shared" si="11"/>
        <v/>
      </c>
      <c r="H108" s="427">
        <v>5852.9475300000004</v>
      </c>
      <c r="I108" s="427">
        <v>5852.9475300000004</v>
      </c>
      <c r="J108" s="427">
        <v>5852.9475300000004</v>
      </c>
      <c r="K108" s="427">
        <v>5852.9475300000004</v>
      </c>
      <c r="L108" s="427">
        <v>5852.9475300000004</v>
      </c>
      <c r="M108" s="427">
        <v>5852.9475300000004</v>
      </c>
      <c r="N108" s="427">
        <v>5852.9475300000004</v>
      </c>
      <c r="O108" s="427">
        <v>5852.9475300000004</v>
      </c>
      <c r="P108" s="427">
        <v>5852.9475300000004</v>
      </c>
      <c r="Q108" s="427">
        <v>5852.9475300000004</v>
      </c>
      <c r="R108" s="427">
        <v>5852.9475300000004</v>
      </c>
      <c r="S108" s="427">
        <v>5852.9475300000004</v>
      </c>
      <c r="T108" s="427">
        <v>5852.9475300000004</v>
      </c>
    </row>
    <row r="109" spans="1:20" s="427" customFormat="1">
      <c r="A109" s="427" t="str">
        <f t="shared" si="7"/>
        <v>KU</v>
      </c>
      <c r="B109" s="427" t="str">
        <f t="shared" si="6"/>
        <v>KY</v>
      </c>
      <c r="C109" s="427" t="str">
        <f t="shared" si="9"/>
        <v>E</v>
      </c>
      <c r="D109" s="427" t="s">
        <v>3418</v>
      </c>
      <c r="E109" s="427" t="str">
        <f t="shared" si="8"/>
        <v>370</v>
      </c>
      <c r="F109" s="756" t="s">
        <v>1802</v>
      </c>
      <c r="G109" s="426" t="str">
        <f t="shared" si="11"/>
        <v/>
      </c>
      <c r="H109" s="427">
        <v>73772.119449999998</v>
      </c>
      <c r="I109" s="427">
        <v>73862.823299999902</v>
      </c>
      <c r="J109" s="427">
        <v>73988.614009999903</v>
      </c>
      <c r="K109" s="427">
        <v>74224.419880000001</v>
      </c>
      <c r="L109" s="427">
        <v>74287.044779999997</v>
      </c>
      <c r="M109" s="427">
        <v>74380.658679999993</v>
      </c>
      <c r="N109" s="427">
        <v>74380.658679999993</v>
      </c>
      <c r="O109" s="427">
        <v>74503.215116399995</v>
      </c>
      <c r="P109" s="427">
        <v>74626.564400269999</v>
      </c>
      <c r="Q109" s="427">
        <v>74729.454449969999</v>
      </c>
      <c r="R109" s="427">
        <v>75683.343653970005</v>
      </c>
      <c r="S109" s="427">
        <v>75786.547788769996</v>
      </c>
      <c r="T109" s="427">
        <v>75888.913607869996</v>
      </c>
    </row>
    <row r="110" spans="1:20" s="427" customFormat="1">
      <c r="A110" s="427" t="str">
        <f t="shared" si="7"/>
        <v>KU</v>
      </c>
      <c r="B110" s="427" t="str">
        <f t="shared" si="6"/>
        <v>KY</v>
      </c>
      <c r="C110" s="427" t="str">
        <f t="shared" si="9"/>
        <v>E</v>
      </c>
      <c r="D110" s="427" t="s">
        <v>3418</v>
      </c>
      <c r="E110" s="427" t="str">
        <f t="shared" si="8"/>
        <v>370</v>
      </c>
      <c r="F110" s="756" t="s">
        <v>2505</v>
      </c>
      <c r="G110" s="426" t="str">
        <f t="shared" si="11"/>
        <v>DSM</v>
      </c>
      <c r="H110" s="427">
        <v>1169.6028699999999</v>
      </c>
      <c r="I110" s="427">
        <v>1169.6028699999999</v>
      </c>
      <c r="J110" s="427">
        <v>1171.75217</v>
      </c>
      <c r="K110" s="427">
        <v>1330.88122</v>
      </c>
      <c r="L110" s="427">
        <v>1330.88122</v>
      </c>
      <c r="M110" s="427">
        <v>1331.2583199999999</v>
      </c>
      <c r="N110" s="427">
        <v>1331.3335999999999</v>
      </c>
      <c r="O110" s="427">
        <v>1331.3335999999999</v>
      </c>
      <c r="P110" s="427">
        <v>1331.3335999999999</v>
      </c>
      <c r="Q110" s="427">
        <v>1331.3335999999999</v>
      </c>
      <c r="R110" s="427">
        <v>1331.3335999999999</v>
      </c>
      <c r="S110" s="427">
        <v>1331.3335999999999</v>
      </c>
      <c r="T110" s="427">
        <v>1331.3335999999999</v>
      </c>
    </row>
    <row r="111" spans="1:20" s="427" customFormat="1">
      <c r="A111" s="427" t="str">
        <f t="shared" si="7"/>
        <v>KU</v>
      </c>
      <c r="B111" s="427" t="str">
        <f t="shared" si="6"/>
        <v>TN</v>
      </c>
      <c r="C111" s="427" t="str">
        <f t="shared" si="9"/>
        <v>E</v>
      </c>
      <c r="D111" s="427" t="s">
        <v>3418</v>
      </c>
      <c r="E111" s="427" t="str">
        <f t="shared" si="8"/>
        <v>370</v>
      </c>
      <c r="F111" s="756" t="s">
        <v>1803</v>
      </c>
      <c r="G111" s="426" t="str">
        <f t="shared" si="11"/>
        <v/>
      </c>
      <c r="H111" s="427">
        <v>4.1992099999999999</v>
      </c>
      <c r="I111" s="427">
        <v>4.1992099999999999</v>
      </c>
      <c r="J111" s="427">
        <v>4.1992099999999999</v>
      </c>
      <c r="K111" s="427">
        <v>4.1992099999999999</v>
      </c>
      <c r="L111" s="427">
        <v>4.1992099999999999</v>
      </c>
      <c r="M111" s="427">
        <v>4.1992099999999999</v>
      </c>
      <c r="N111" s="427">
        <v>4.1992099999999999</v>
      </c>
      <c r="O111" s="427">
        <v>4.1992099999999999</v>
      </c>
      <c r="P111" s="427">
        <v>4.1992099999999999</v>
      </c>
      <c r="Q111" s="427">
        <v>4.1992099999999999</v>
      </c>
      <c r="R111" s="427">
        <v>4.1992099999999999</v>
      </c>
      <c r="S111" s="427">
        <v>4.1992099999999999</v>
      </c>
      <c r="T111" s="427">
        <v>4.1992099999999999</v>
      </c>
    </row>
    <row r="112" spans="1:20" s="427" customFormat="1">
      <c r="A112" s="427" t="str">
        <f t="shared" si="7"/>
        <v>KU</v>
      </c>
      <c r="B112" s="427" t="str">
        <f t="shared" si="6"/>
        <v>VA</v>
      </c>
      <c r="C112" s="427" t="str">
        <f t="shared" si="9"/>
        <v>E</v>
      </c>
      <c r="D112" s="427" t="s">
        <v>3418</v>
      </c>
      <c r="E112" s="427" t="str">
        <f t="shared" si="8"/>
        <v>370</v>
      </c>
      <c r="F112" s="756" t="s">
        <v>1804</v>
      </c>
      <c r="G112" s="426" t="str">
        <f t="shared" si="11"/>
        <v/>
      </c>
      <c r="H112" s="427">
        <v>3881.8475800000001</v>
      </c>
      <c r="I112" s="427">
        <v>3927.1995200000001</v>
      </c>
      <c r="J112" s="427">
        <v>3990.0948800000001</v>
      </c>
      <c r="K112" s="427">
        <v>3701.6954099999998</v>
      </c>
      <c r="L112" s="427">
        <v>3736.7382200000002</v>
      </c>
      <c r="M112" s="427">
        <v>3783.5452</v>
      </c>
      <c r="N112" s="427">
        <v>3783.5452</v>
      </c>
      <c r="O112" s="427">
        <v>3783.5452</v>
      </c>
      <c r="P112" s="427">
        <v>3783.5452</v>
      </c>
      <c r="Q112" s="427">
        <v>3783.5452</v>
      </c>
      <c r="R112" s="427">
        <v>3783.5452</v>
      </c>
      <c r="S112" s="427">
        <v>3783.5452</v>
      </c>
      <c r="T112" s="427">
        <v>3783.5452</v>
      </c>
    </row>
    <row r="113" spans="1:20" s="427" customFormat="1">
      <c r="A113" s="427" t="str">
        <f t="shared" si="7"/>
        <v>KU</v>
      </c>
      <c r="B113" s="427" t="str">
        <f t="shared" si="6"/>
        <v>KY</v>
      </c>
      <c r="C113" s="427" t="str">
        <f t="shared" si="9"/>
        <v>E</v>
      </c>
      <c r="D113" s="427" t="s">
        <v>3418</v>
      </c>
      <c r="E113" s="427" t="str">
        <f t="shared" si="8"/>
        <v>371</v>
      </c>
      <c r="F113" s="756" t="s">
        <v>1805</v>
      </c>
      <c r="G113" s="426" t="str">
        <f t="shared" si="11"/>
        <v/>
      </c>
      <c r="H113" s="427">
        <v>6.16411</v>
      </c>
      <c r="I113" s="427">
        <v>6.16411</v>
      </c>
      <c r="J113" s="427">
        <v>6.16411</v>
      </c>
      <c r="K113" s="427">
        <v>6.16411</v>
      </c>
      <c r="L113" s="427">
        <v>6.16411</v>
      </c>
      <c r="M113" s="427">
        <v>8.3373600000000003</v>
      </c>
      <c r="N113" s="427">
        <v>8.3373600000000003</v>
      </c>
      <c r="O113" s="427">
        <v>8.3373600000000003</v>
      </c>
      <c r="P113" s="427">
        <v>8.3373600000000003</v>
      </c>
      <c r="Q113" s="427">
        <v>8.3373600000000003</v>
      </c>
      <c r="R113" s="427">
        <v>8.3373600000000003</v>
      </c>
      <c r="S113" s="427">
        <v>8.3373600000000003</v>
      </c>
      <c r="T113" s="427">
        <v>8.3373600000000003</v>
      </c>
    </row>
    <row r="114" spans="1:20" s="427" customFormat="1">
      <c r="A114" s="427" t="str">
        <f t="shared" si="7"/>
        <v>KU</v>
      </c>
      <c r="B114" s="427" t="str">
        <f t="shared" si="6"/>
        <v>KY</v>
      </c>
      <c r="C114" s="427" t="str">
        <f t="shared" si="9"/>
        <v>E</v>
      </c>
      <c r="D114" s="427" t="s">
        <v>3418</v>
      </c>
      <c r="E114" s="427" t="str">
        <f t="shared" si="8"/>
        <v>371</v>
      </c>
      <c r="F114" s="756" t="s">
        <v>2669</v>
      </c>
      <c r="G114" s="426" t="str">
        <f t="shared" si="11"/>
        <v/>
      </c>
      <c r="H114" s="427">
        <v>0</v>
      </c>
      <c r="I114" s="427">
        <v>0</v>
      </c>
      <c r="J114" s="427">
        <v>0</v>
      </c>
      <c r="K114" s="427">
        <v>0</v>
      </c>
      <c r="L114" s="427">
        <v>0</v>
      </c>
      <c r="M114" s="427">
        <v>0</v>
      </c>
      <c r="N114" s="427">
        <v>0</v>
      </c>
      <c r="O114" s="427">
        <v>70.587059999999994</v>
      </c>
      <c r="P114" s="427">
        <v>77.496202649999901</v>
      </c>
      <c r="Q114" s="427">
        <v>84.405345299999993</v>
      </c>
      <c r="R114" s="427">
        <v>91.31448795</v>
      </c>
      <c r="S114" s="427">
        <v>98.223630600000007</v>
      </c>
      <c r="T114" s="427">
        <v>137.3226081</v>
      </c>
    </row>
    <row r="115" spans="1:20" s="427" customFormat="1">
      <c r="A115" s="427" t="str">
        <f t="shared" si="7"/>
        <v>KU</v>
      </c>
      <c r="B115" s="427" t="str">
        <f t="shared" si="6"/>
        <v>KY</v>
      </c>
      <c r="C115" s="427" t="str">
        <f t="shared" si="9"/>
        <v>E</v>
      </c>
      <c r="D115" s="427" t="s">
        <v>3418</v>
      </c>
      <c r="E115" s="427" t="str">
        <f t="shared" si="8"/>
        <v>373</v>
      </c>
      <c r="F115" s="756" t="s">
        <v>1806</v>
      </c>
      <c r="G115" s="426" t="str">
        <f t="shared" si="11"/>
        <v/>
      </c>
      <c r="H115" s="427">
        <v>117191.6501</v>
      </c>
      <c r="I115" s="427">
        <v>118106.1271</v>
      </c>
      <c r="J115" s="427">
        <v>118637.9455</v>
      </c>
      <c r="K115" s="427">
        <v>118640.4951</v>
      </c>
      <c r="L115" s="427">
        <v>119578.8104</v>
      </c>
      <c r="M115" s="427">
        <v>120172.5861</v>
      </c>
      <c r="N115" s="427">
        <v>120034.0998</v>
      </c>
      <c r="O115" s="427">
        <v>120923.910347242</v>
      </c>
      <c r="P115" s="427">
        <v>121636.90964107</v>
      </c>
      <c r="Q115" s="427">
        <v>122178.36143361</v>
      </c>
      <c r="R115" s="427">
        <v>122754.285728363</v>
      </c>
      <c r="S115" s="427">
        <v>123279.524360593</v>
      </c>
      <c r="T115" s="427">
        <v>123797.976879968</v>
      </c>
    </row>
    <row r="116" spans="1:20" s="427" customFormat="1">
      <c r="A116" s="427" t="str">
        <f t="shared" si="7"/>
        <v>KU</v>
      </c>
      <c r="B116" s="427" t="str">
        <f t="shared" si="6"/>
        <v>VA</v>
      </c>
      <c r="C116" s="427" t="str">
        <f t="shared" si="9"/>
        <v>E</v>
      </c>
      <c r="D116" s="427" t="s">
        <v>3418</v>
      </c>
      <c r="E116" s="427" t="str">
        <f t="shared" si="8"/>
        <v>373</v>
      </c>
      <c r="F116" s="756" t="s">
        <v>1807</v>
      </c>
      <c r="G116" s="426" t="str">
        <f t="shared" si="11"/>
        <v/>
      </c>
      <c r="H116" s="427">
        <v>3671.2980499999999</v>
      </c>
      <c r="I116" s="427">
        <v>3683.2236800000001</v>
      </c>
      <c r="J116" s="427">
        <v>3692.8969400000001</v>
      </c>
      <c r="K116" s="427">
        <v>3687.85961</v>
      </c>
      <c r="L116" s="427">
        <v>3709.1138099999998</v>
      </c>
      <c r="M116" s="427">
        <v>3687.9616999999998</v>
      </c>
      <c r="N116" s="427">
        <v>3685.8251599999999</v>
      </c>
      <c r="O116" s="427">
        <v>3691.7971395427999</v>
      </c>
      <c r="P116" s="427">
        <v>3773.4833521228002</v>
      </c>
      <c r="Q116" s="427">
        <v>3786.2638928388001</v>
      </c>
      <c r="R116" s="427">
        <v>3797.9589443467999</v>
      </c>
      <c r="S116" s="427">
        <v>3809.6780122077998</v>
      </c>
      <c r="T116" s="427">
        <v>3821.3472900697998</v>
      </c>
    </row>
    <row r="117" spans="1:20" s="427" customFormat="1">
      <c r="A117" s="427" t="str">
        <f t="shared" si="7"/>
        <v>KU</v>
      </c>
      <c r="B117" s="427" t="str">
        <f t="shared" si="6"/>
        <v>KY</v>
      </c>
      <c r="C117" s="427" t="str">
        <f t="shared" si="9"/>
        <v>E</v>
      </c>
      <c r="D117" s="427" t="s">
        <v>3418</v>
      </c>
      <c r="E117" s="427" t="str">
        <f t="shared" si="8"/>
        <v>374</v>
      </c>
      <c r="F117" s="756" t="s">
        <v>1808</v>
      </c>
      <c r="G117" s="426" t="str">
        <f t="shared" si="11"/>
        <v>ARO</v>
      </c>
      <c r="H117" s="427">
        <v>670.19036999999901</v>
      </c>
      <c r="I117" s="427">
        <v>670.19036999999901</v>
      </c>
      <c r="J117" s="427">
        <v>670.19036999999901</v>
      </c>
      <c r="K117" s="427">
        <v>670.19036999999901</v>
      </c>
      <c r="L117" s="427">
        <v>670.19036999999901</v>
      </c>
      <c r="M117" s="427">
        <v>668.01334999999995</v>
      </c>
      <c r="N117" s="427">
        <v>658.28719000000001</v>
      </c>
      <c r="O117" s="427">
        <v>658.28719000000001</v>
      </c>
      <c r="P117" s="427">
        <v>658.28719000000001</v>
      </c>
      <c r="Q117" s="427">
        <v>658.28719000000001</v>
      </c>
      <c r="R117" s="427">
        <v>658.28719000000001</v>
      </c>
      <c r="S117" s="427">
        <v>658.28719000000001</v>
      </c>
      <c r="T117" s="427">
        <v>658.28719000000001</v>
      </c>
    </row>
    <row r="118" spans="1:20" s="427" customFormat="1">
      <c r="A118" s="427" t="str">
        <f t="shared" si="7"/>
        <v>KU</v>
      </c>
      <c r="B118" s="427" t="str">
        <f t="shared" si="6"/>
        <v>KY</v>
      </c>
      <c r="C118" s="427" t="str">
        <f t="shared" si="9"/>
        <v>F</v>
      </c>
      <c r="D118" s="427" t="s">
        <v>3418</v>
      </c>
      <c r="E118" s="427" t="str">
        <f t="shared" si="8"/>
        <v>389</v>
      </c>
      <c r="F118" s="756" t="s">
        <v>2506</v>
      </c>
      <c r="G118" s="426" t="str">
        <f t="shared" si="11"/>
        <v>FUTURE USE</v>
      </c>
      <c r="H118" s="427">
        <v>131.95631</v>
      </c>
      <c r="I118" s="427">
        <v>131.95631</v>
      </c>
      <c r="J118" s="427">
        <v>131.95631</v>
      </c>
      <c r="K118" s="427">
        <v>131.95631</v>
      </c>
      <c r="L118" s="427">
        <v>131.95631</v>
      </c>
      <c r="M118" s="427">
        <v>131.95631</v>
      </c>
      <c r="N118" s="427">
        <v>131.95631</v>
      </c>
      <c r="O118" s="427">
        <v>131.95631</v>
      </c>
      <c r="P118" s="427">
        <v>131.95631</v>
      </c>
      <c r="Q118" s="427">
        <v>131.95631</v>
      </c>
      <c r="R118" s="427">
        <v>131.95631</v>
      </c>
      <c r="S118" s="427">
        <v>131.95631</v>
      </c>
      <c r="T118" s="427">
        <v>131.95631</v>
      </c>
    </row>
    <row r="119" spans="1:20" s="427" customFormat="1">
      <c r="A119" s="427" t="str">
        <f t="shared" si="7"/>
        <v>KU</v>
      </c>
      <c r="B119" s="427" t="str">
        <f t="shared" si="6"/>
        <v>KY</v>
      </c>
      <c r="C119" s="427" t="str">
        <f t="shared" si="9"/>
        <v>E</v>
      </c>
      <c r="D119" s="427" t="s">
        <v>3418</v>
      </c>
      <c r="E119" s="427" t="str">
        <f t="shared" si="8"/>
        <v>389</v>
      </c>
      <c r="F119" s="756" t="s">
        <v>1809</v>
      </c>
      <c r="G119" s="426" t="str">
        <f t="shared" si="11"/>
        <v/>
      </c>
      <c r="H119" s="427">
        <v>3017.0827599999998</v>
      </c>
      <c r="I119" s="427">
        <v>3017.0827599999998</v>
      </c>
      <c r="J119" s="427">
        <v>3017.0827599999998</v>
      </c>
      <c r="K119" s="427">
        <v>3017.0827599999998</v>
      </c>
      <c r="L119" s="427">
        <v>3017.0827599999998</v>
      </c>
      <c r="M119" s="427">
        <v>3017.0827599999998</v>
      </c>
      <c r="N119" s="427">
        <v>3017.0827599999998</v>
      </c>
      <c r="O119" s="427">
        <v>3127.4550698499902</v>
      </c>
      <c r="P119" s="427">
        <v>3127.4550698499902</v>
      </c>
      <c r="Q119" s="427">
        <v>3127.4550698499902</v>
      </c>
      <c r="R119" s="427">
        <v>3127.4550698499902</v>
      </c>
      <c r="S119" s="427">
        <v>3127.4550698499902</v>
      </c>
      <c r="T119" s="427">
        <v>3127.4550698499902</v>
      </c>
    </row>
    <row r="120" spans="1:20" s="427" customFormat="1">
      <c r="A120" s="427" t="str">
        <f t="shared" si="7"/>
        <v>KU</v>
      </c>
      <c r="B120" s="427" t="str">
        <f t="shared" si="6"/>
        <v>VA</v>
      </c>
      <c r="C120" s="427" t="str">
        <f t="shared" si="9"/>
        <v>E</v>
      </c>
      <c r="D120" s="427" t="s">
        <v>3418</v>
      </c>
      <c r="E120" s="427" t="str">
        <f t="shared" si="8"/>
        <v>389</v>
      </c>
      <c r="F120" s="756" t="s">
        <v>1810</v>
      </c>
      <c r="G120" s="426" t="str">
        <f t="shared" si="11"/>
        <v/>
      </c>
      <c r="H120" s="427">
        <v>380.62943999999999</v>
      </c>
      <c r="I120" s="427">
        <v>380.62943999999999</v>
      </c>
      <c r="J120" s="427">
        <v>380.62943999999999</v>
      </c>
      <c r="K120" s="427">
        <v>380.62943999999999</v>
      </c>
      <c r="L120" s="427">
        <v>380.62943999999999</v>
      </c>
      <c r="M120" s="427">
        <v>380.62943999999999</v>
      </c>
      <c r="N120" s="427">
        <v>380.62943999999999</v>
      </c>
      <c r="O120" s="427">
        <v>862.20189740000001</v>
      </c>
      <c r="P120" s="427">
        <v>862.20189740000001</v>
      </c>
      <c r="Q120" s="427">
        <v>987.24770290000004</v>
      </c>
      <c r="R120" s="427">
        <v>987.24770290000004</v>
      </c>
      <c r="S120" s="427">
        <v>987.24770290000004</v>
      </c>
      <c r="T120" s="427">
        <v>987.24770290000004</v>
      </c>
    </row>
    <row r="121" spans="1:20" s="427" customFormat="1">
      <c r="A121" s="427" t="str">
        <f t="shared" si="7"/>
        <v>KU</v>
      </c>
      <c r="B121" s="427" t="str">
        <f t="shared" si="6"/>
        <v>KY</v>
      </c>
      <c r="C121" s="427" t="str">
        <f t="shared" si="9"/>
        <v>E</v>
      </c>
      <c r="D121" s="427" t="s">
        <v>3418</v>
      </c>
      <c r="E121" s="427" t="str">
        <f t="shared" si="8"/>
        <v>390</v>
      </c>
      <c r="F121" s="756" t="s">
        <v>1811</v>
      </c>
      <c r="G121" s="426" t="str">
        <f t="shared" si="11"/>
        <v/>
      </c>
      <c r="H121" s="427">
        <v>2707.2935200000002</v>
      </c>
      <c r="I121" s="427">
        <v>2707.27963</v>
      </c>
      <c r="J121" s="427">
        <v>2717.80978</v>
      </c>
      <c r="K121" s="427">
        <v>3049.4499599999999</v>
      </c>
      <c r="L121" s="427">
        <v>3053.5099599999999</v>
      </c>
      <c r="M121" s="427">
        <v>3054.0232999999998</v>
      </c>
      <c r="N121" s="427">
        <v>3038.44877</v>
      </c>
      <c r="O121" s="427">
        <v>3037.8950975234002</v>
      </c>
      <c r="P121" s="427">
        <v>3097.0738104533998</v>
      </c>
      <c r="Q121" s="427">
        <v>3097.0738104533998</v>
      </c>
      <c r="R121" s="427">
        <v>3097.0738104533998</v>
      </c>
      <c r="S121" s="427">
        <v>3097.0738104533998</v>
      </c>
      <c r="T121" s="427">
        <v>3097.0738104533998</v>
      </c>
    </row>
    <row r="122" spans="1:20" s="427" customFormat="1">
      <c r="A122" s="427" t="str">
        <f t="shared" si="7"/>
        <v>KU</v>
      </c>
      <c r="B122" s="427" t="str">
        <f t="shared" si="6"/>
        <v>KY</v>
      </c>
      <c r="C122" s="427" t="str">
        <f t="shared" si="9"/>
        <v>E</v>
      </c>
      <c r="D122" s="427" t="s">
        <v>3418</v>
      </c>
      <c r="E122" s="427" t="str">
        <f t="shared" si="8"/>
        <v>390</v>
      </c>
      <c r="F122" s="756" t="s">
        <v>1812</v>
      </c>
      <c r="G122" s="426" t="str">
        <f t="shared" si="11"/>
        <v/>
      </c>
      <c r="H122" s="427">
        <v>59217.578840000002</v>
      </c>
      <c r="I122" s="427">
        <v>59642.221749999997</v>
      </c>
      <c r="J122" s="427">
        <v>60039.223279999998</v>
      </c>
      <c r="K122" s="427">
        <v>61343.667959999999</v>
      </c>
      <c r="L122" s="427">
        <v>61622.171040000001</v>
      </c>
      <c r="M122" s="427">
        <v>61825.460089999899</v>
      </c>
      <c r="N122" s="427">
        <v>61761.747159999999</v>
      </c>
      <c r="O122" s="427">
        <v>62241.043240148698</v>
      </c>
      <c r="P122" s="427">
        <v>62509.687062514698</v>
      </c>
      <c r="Q122" s="427">
        <v>62755.016263834703</v>
      </c>
      <c r="R122" s="427">
        <v>63528.621395456699</v>
      </c>
      <c r="S122" s="427">
        <v>64646.9954623167</v>
      </c>
      <c r="T122" s="427">
        <v>65257.8428484057</v>
      </c>
    </row>
    <row r="123" spans="1:20" s="427" customFormat="1">
      <c r="A123" s="427" t="str">
        <f t="shared" si="7"/>
        <v>KU</v>
      </c>
      <c r="B123" s="427" t="str">
        <f t="shared" si="6"/>
        <v>VA</v>
      </c>
      <c r="C123" s="427" t="str">
        <f t="shared" si="9"/>
        <v>E</v>
      </c>
      <c r="D123" s="427" t="s">
        <v>3418</v>
      </c>
      <c r="E123" s="427" t="str">
        <f t="shared" si="8"/>
        <v>390</v>
      </c>
      <c r="F123" s="756" t="s">
        <v>1813</v>
      </c>
      <c r="G123" s="426" t="str">
        <f t="shared" si="11"/>
        <v/>
      </c>
      <c r="H123" s="427">
        <v>1084.4556499999901</v>
      </c>
      <c r="I123" s="427">
        <v>1084.4556499999901</v>
      </c>
      <c r="J123" s="427">
        <v>1077.25989</v>
      </c>
      <c r="K123" s="427">
        <v>1094.7779</v>
      </c>
      <c r="L123" s="427">
        <v>1094.7779</v>
      </c>
      <c r="M123" s="427">
        <v>1094.7779</v>
      </c>
      <c r="N123" s="427">
        <v>1103.63246</v>
      </c>
      <c r="O123" s="427">
        <v>1103.63246</v>
      </c>
      <c r="P123" s="427">
        <v>1103.4818320478</v>
      </c>
      <c r="Q123" s="427">
        <v>1103.4818320478</v>
      </c>
      <c r="R123" s="427">
        <v>1103.4818320478</v>
      </c>
      <c r="S123" s="427">
        <v>1141.6977624878</v>
      </c>
      <c r="T123" s="427">
        <v>1154.1819158677999</v>
      </c>
    </row>
    <row r="124" spans="1:20" s="427" customFormat="1">
      <c r="A124" s="427" t="str">
        <f t="shared" si="7"/>
        <v>KU</v>
      </c>
      <c r="B124" s="427" t="str">
        <f t="shared" si="6"/>
        <v>KY</v>
      </c>
      <c r="C124" s="427" t="str">
        <f t="shared" si="9"/>
        <v>E</v>
      </c>
      <c r="D124" s="427" t="s">
        <v>3418</v>
      </c>
      <c r="E124" s="427" t="str">
        <f t="shared" si="8"/>
        <v>391</v>
      </c>
      <c r="F124" s="756" t="s">
        <v>1814</v>
      </c>
      <c r="G124" s="426" t="str">
        <f t="shared" si="11"/>
        <v/>
      </c>
      <c r="H124" s="427">
        <v>4582.2231599999996</v>
      </c>
      <c r="I124" s="427">
        <v>5581.1313799999998</v>
      </c>
      <c r="J124" s="427">
        <v>5527.3995699999996</v>
      </c>
      <c r="K124" s="427">
        <v>5540.0039500000003</v>
      </c>
      <c r="L124" s="427">
        <v>5540.2247500000003</v>
      </c>
      <c r="M124" s="427">
        <v>5540.2247500000003</v>
      </c>
      <c r="N124" s="427">
        <v>5618.1641900000004</v>
      </c>
      <c r="O124" s="427">
        <v>5757.1219916709997</v>
      </c>
      <c r="P124" s="427">
        <v>5664.5633416709998</v>
      </c>
      <c r="Q124" s="427">
        <v>5664.5633416709998</v>
      </c>
      <c r="R124" s="427">
        <v>5642.2233216710001</v>
      </c>
      <c r="S124" s="427">
        <v>6244.005898331</v>
      </c>
      <c r="T124" s="427">
        <v>6229.5969726610001</v>
      </c>
    </row>
    <row r="125" spans="1:20" s="427" customFormat="1">
      <c r="A125" s="427" t="str">
        <f t="shared" si="7"/>
        <v>KU</v>
      </c>
      <c r="B125" s="427" t="str">
        <f t="shared" si="6"/>
        <v>KY</v>
      </c>
      <c r="C125" s="427" t="str">
        <f t="shared" si="9"/>
        <v>E</v>
      </c>
      <c r="D125" s="427" t="s">
        <v>3418</v>
      </c>
      <c r="E125" s="427" t="str">
        <f t="shared" si="8"/>
        <v>391</v>
      </c>
      <c r="F125" s="756" t="s">
        <v>1815</v>
      </c>
      <c r="G125" s="426" t="str">
        <f t="shared" si="11"/>
        <v/>
      </c>
      <c r="H125" s="427">
        <v>33679.915090000002</v>
      </c>
      <c r="I125" s="427">
        <v>37651.790889999997</v>
      </c>
      <c r="J125" s="427">
        <v>37374.394769999999</v>
      </c>
      <c r="K125" s="427">
        <v>37671.595150000001</v>
      </c>
      <c r="L125" s="427">
        <v>37058.767440000003</v>
      </c>
      <c r="M125" s="427">
        <v>36513.650710000002</v>
      </c>
      <c r="N125" s="427">
        <v>36459.522060000003</v>
      </c>
      <c r="O125" s="427">
        <v>36613.269780431503</v>
      </c>
      <c r="P125" s="427">
        <v>36942.678346374501</v>
      </c>
      <c r="Q125" s="427">
        <v>38213.0504905985</v>
      </c>
      <c r="R125" s="427">
        <v>38628.040529677499</v>
      </c>
      <c r="S125" s="427">
        <v>39003.363242540501</v>
      </c>
      <c r="T125" s="427">
        <v>39930.4292621645</v>
      </c>
    </row>
    <row r="126" spans="1:20" s="427" customFormat="1">
      <c r="A126" s="427" t="str">
        <f t="shared" si="7"/>
        <v>KU</v>
      </c>
      <c r="B126" s="427" t="str">
        <f t="shared" si="6"/>
        <v>KY</v>
      </c>
      <c r="C126" s="427" t="str">
        <f t="shared" si="9"/>
        <v>E</v>
      </c>
      <c r="D126" s="427" t="s">
        <v>3418</v>
      </c>
      <c r="E126" s="427" t="str">
        <f t="shared" si="8"/>
        <v>392</v>
      </c>
      <c r="F126" s="756" t="s">
        <v>1817</v>
      </c>
      <c r="G126" s="426" t="str">
        <f t="shared" si="11"/>
        <v>ECR</v>
      </c>
      <c r="H126" s="427">
        <v>19.40382</v>
      </c>
      <c r="I126" s="427">
        <v>19.40382</v>
      </c>
      <c r="J126" s="427">
        <v>19.40382</v>
      </c>
      <c r="K126" s="427">
        <v>19.40382</v>
      </c>
      <c r="L126" s="427">
        <v>19.40382</v>
      </c>
      <c r="M126" s="427">
        <v>19.40382</v>
      </c>
      <c r="N126" s="427">
        <v>19.40382</v>
      </c>
      <c r="O126" s="427">
        <v>19.40382</v>
      </c>
      <c r="P126" s="427">
        <v>19.40382</v>
      </c>
      <c r="Q126" s="427">
        <v>19.40382</v>
      </c>
      <c r="R126" s="427">
        <v>19.40382</v>
      </c>
      <c r="S126" s="427">
        <v>19.40382</v>
      </c>
      <c r="T126" s="427">
        <v>19.40382</v>
      </c>
    </row>
    <row r="127" spans="1:20" s="427" customFormat="1">
      <c r="A127" s="427" t="str">
        <f t="shared" si="7"/>
        <v>KU</v>
      </c>
      <c r="B127" s="427" t="str">
        <f t="shared" si="6"/>
        <v>KY</v>
      </c>
      <c r="C127" s="427" t="str">
        <f t="shared" si="9"/>
        <v>E</v>
      </c>
      <c r="D127" s="427" t="s">
        <v>3418</v>
      </c>
      <c r="E127" s="427" t="str">
        <f t="shared" si="8"/>
        <v>392</v>
      </c>
      <c r="F127" s="756" t="s">
        <v>1818</v>
      </c>
      <c r="G127" s="426" t="str">
        <f t="shared" si="11"/>
        <v/>
      </c>
      <c r="H127" s="427">
        <v>7227.6188599999996</v>
      </c>
      <c r="I127" s="427">
        <v>7227.6188599999996</v>
      </c>
      <c r="J127" s="427">
        <v>7188.6918999999998</v>
      </c>
      <c r="K127" s="427">
        <v>7188.6918999999998</v>
      </c>
      <c r="L127" s="427">
        <v>7188.6918999999998</v>
      </c>
      <c r="M127" s="427">
        <v>7360.2863699999998</v>
      </c>
      <c r="N127" s="427">
        <v>7380.7355799999996</v>
      </c>
      <c r="O127" s="427">
        <v>7503.92148</v>
      </c>
      <c r="P127" s="427">
        <v>7503.92148</v>
      </c>
      <c r="Q127" s="427">
        <v>7503.92148</v>
      </c>
      <c r="R127" s="427">
        <v>7503.92148</v>
      </c>
      <c r="S127" s="427">
        <v>7503.92148</v>
      </c>
      <c r="T127" s="427">
        <v>7503.92148</v>
      </c>
    </row>
    <row r="128" spans="1:20" s="427" customFormat="1">
      <c r="A128" s="427" t="str">
        <f t="shared" si="7"/>
        <v>KU</v>
      </c>
      <c r="B128" s="427" t="str">
        <f t="shared" si="6"/>
        <v>VA</v>
      </c>
      <c r="C128" s="427" t="str">
        <f t="shared" si="9"/>
        <v>E</v>
      </c>
      <c r="D128" s="427" t="s">
        <v>3418</v>
      </c>
      <c r="E128" s="427" t="str">
        <f t="shared" si="8"/>
        <v>392</v>
      </c>
      <c r="F128" s="756" t="s">
        <v>2507</v>
      </c>
      <c r="G128" s="426" t="str">
        <f t="shared" si="11"/>
        <v/>
      </c>
      <c r="H128" s="427">
        <v>0</v>
      </c>
      <c r="I128" s="427">
        <v>0</v>
      </c>
      <c r="J128" s="427">
        <v>14.946400000000001</v>
      </c>
      <c r="K128" s="427">
        <v>14.946400000000001</v>
      </c>
      <c r="L128" s="427">
        <v>14.946400000000001</v>
      </c>
      <c r="M128" s="427">
        <v>14.946400000000001</v>
      </c>
      <c r="N128" s="427">
        <v>14.946400000000001</v>
      </c>
      <c r="O128" s="427">
        <v>14.946400000000001</v>
      </c>
      <c r="P128" s="427">
        <v>14.946400000000001</v>
      </c>
      <c r="Q128" s="427">
        <v>14.946400000000001</v>
      </c>
      <c r="R128" s="427">
        <v>14.946400000000001</v>
      </c>
      <c r="S128" s="427">
        <v>14.946400000000001</v>
      </c>
      <c r="T128" s="427">
        <v>14.946400000000001</v>
      </c>
    </row>
    <row r="129" spans="1:21" s="427" customFormat="1">
      <c r="A129" s="427" t="str">
        <f t="shared" si="7"/>
        <v>KU</v>
      </c>
      <c r="B129" s="427" t="str">
        <f t="shared" si="6"/>
        <v>KY</v>
      </c>
      <c r="C129" s="427" t="str">
        <f t="shared" si="9"/>
        <v>E</v>
      </c>
      <c r="D129" s="427" t="s">
        <v>3418</v>
      </c>
      <c r="E129" s="427" t="str">
        <f t="shared" si="8"/>
        <v>393</v>
      </c>
      <c r="F129" s="756" t="s">
        <v>1819</v>
      </c>
      <c r="G129" s="426" t="str">
        <f t="shared" si="11"/>
        <v/>
      </c>
      <c r="H129" s="427">
        <v>906.44457</v>
      </c>
      <c r="I129" s="427">
        <v>906.44457</v>
      </c>
      <c r="J129" s="427">
        <v>986.37067000000002</v>
      </c>
      <c r="K129" s="427">
        <v>986.37067000000002</v>
      </c>
      <c r="L129" s="427">
        <v>986.37067000000002</v>
      </c>
      <c r="M129" s="427">
        <v>906.44457</v>
      </c>
      <c r="N129" s="427">
        <v>906.44457</v>
      </c>
      <c r="O129" s="427">
        <v>906.44457</v>
      </c>
      <c r="P129" s="427">
        <v>906.44457</v>
      </c>
      <c r="Q129" s="427">
        <v>899.59613000000002</v>
      </c>
      <c r="R129" s="427">
        <v>948.63183742000001</v>
      </c>
      <c r="S129" s="427">
        <v>948.63183742000001</v>
      </c>
      <c r="T129" s="427">
        <v>948.63183742000001</v>
      </c>
    </row>
    <row r="130" spans="1:21" s="427" customFormat="1">
      <c r="A130" s="427" t="str">
        <f t="shared" si="7"/>
        <v>KU</v>
      </c>
      <c r="B130" s="427" t="str">
        <f t="shared" si="6"/>
        <v>VA</v>
      </c>
      <c r="C130" s="427" t="str">
        <f t="shared" si="9"/>
        <v>E</v>
      </c>
      <c r="D130" s="427" t="s">
        <v>3418</v>
      </c>
      <c r="E130" s="427" t="str">
        <f t="shared" si="8"/>
        <v>393</v>
      </c>
      <c r="F130" s="756" t="s">
        <v>1820</v>
      </c>
      <c r="G130" s="426" t="str">
        <f t="shared" si="11"/>
        <v/>
      </c>
      <c r="H130" s="427">
        <v>4.5262200000000004</v>
      </c>
      <c r="I130" s="427">
        <v>4.5262200000000004</v>
      </c>
      <c r="J130" s="427">
        <v>4.5262200000000004</v>
      </c>
      <c r="K130" s="427">
        <v>4.5262200000000004</v>
      </c>
      <c r="L130" s="427">
        <v>4.5262200000000004</v>
      </c>
      <c r="M130" s="427">
        <v>4.5262200000000004</v>
      </c>
      <c r="N130" s="427">
        <v>4.5262200000000004</v>
      </c>
      <c r="O130" s="427">
        <v>4.5262200000000004</v>
      </c>
      <c r="P130" s="427">
        <v>4.5262200000000004</v>
      </c>
      <c r="Q130" s="427">
        <v>0.87655000000000005</v>
      </c>
      <c r="R130" s="427">
        <v>0.87655000000000005</v>
      </c>
      <c r="S130" s="427">
        <v>0.87655000000000005</v>
      </c>
      <c r="T130" s="427">
        <v>0.87655000000000005</v>
      </c>
    </row>
    <row r="131" spans="1:21" s="427" customFormat="1">
      <c r="A131" s="427" t="str">
        <f t="shared" si="7"/>
        <v>KU</v>
      </c>
      <c r="B131" s="427" t="str">
        <f t="shared" si="6"/>
        <v>KY</v>
      </c>
      <c r="C131" s="427" t="str">
        <f t="shared" si="9"/>
        <v>E</v>
      </c>
      <c r="D131" s="427" t="s">
        <v>3418</v>
      </c>
      <c r="E131" s="427" t="str">
        <f t="shared" si="8"/>
        <v>394</v>
      </c>
      <c r="F131" s="756" t="s">
        <v>1821</v>
      </c>
      <c r="G131" s="426" t="str">
        <f t="shared" si="11"/>
        <v/>
      </c>
      <c r="H131" s="427">
        <v>12826.54938</v>
      </c>
      <c r="I131" s="427">
        <v>12826.54938</v>
      </c>
      <c r="J131" s="427">
        <v>12845.1569499999</v>
      </c>
      <c r="K131" s="427">
        <v>12873.57598</v>
      </c>
      <c r="L131" s="427">
        <v>12915.896430000001</v>
      </c>
      <c r="M131" s="427">
        <v>12982.83676</v>
      </c>
      <c r="N131" s="427">
        <v>13351.220209999999</v>
      </c>
      <c r="O131" s="427">
        <v>13639.4658367548</v>
      </c>
      <c r="P131" s="427">
        <v>13922.091994218799</v>
      </c>
      <c r="Q131" s="427">
        <v>14040.5674934943</v>
      </c>
      <c r="R131" s="427">
        <v>14586.7815530602</v>
      </c>
      <c r="S131" s="427">
        <v>14592.133022538201</v>
      </c>
      <c r="T131" s="427">
        <v>14723.9790977217</v>
      </c>
    </row>
    <row r="132" spans="1:21" s="427" customFormat="1">
      <c r="A132" s="427" t="str">
        <f t="shared" si="7"/>
        <v>KU</v>
      </c>
      <c r="B132" s="427" t="str">
        <f t="shared" ref="B132:B195" si="12">IF(MID($F132,12,2)="- ","KY",IF(MID($F132,12,2)="SY","KY",MID($F132,12,2)))</f>
        <v>VA</v>
      </c>
      <c r="C132" s="427" t="str">
        <f t="shared" si="9"/>
        <v>E</v>
      </c>
      <c r="D132" s="427" t="s">
        <v>3418</v>
      </c>
      <c r="E132" s="427" t="str">
        <f t="shared" si="8"/>
        <v>394</v>
      </c>
      <c r="F132" s="756" t="s">
        <v>1822</v>
      </c>
      <c r="G132" s="426" t="str">
        <f t="shared" si="11"/>
        <v/>
      </c>
      <c r="H132" s="427">
        <v>477.01717000000002</v>
      </c>
      <c r="I132" s="427">
        <v>477.01717000000002</v>
      </c>
      <c r="J132" s="427">
        <v>477.01717000000002</v>
      </c>
      <c r="K132" s="427">
        <v>477.01717000000002</v>
      </c>
      <c r="L132" s="427">
        <v>477.01717000000002</v>
      </c>
      <c r="M132" s="427">
        <v>477.01717000000002</v>
      </c>
      <c r="N132" s="427">
        <v>477.01717000000002</v>
      </c>
      <c r="O132" s="427">
        <v>529.65507788000002</v>
      </c>
      <c r="P132" s="427">
        <v>566.02136701999996</v>
      </c>
      <c r="Q132" s="427">
        <v>565.491183385</v>
      </c>
      <c r="R132" s="427">
        <v>620.24000755999998</v>
      </c>
      <c r="S132" s="427">
        <v>625.95313392499997</v>
      </c>
      <c r="T132" s="427">
        <v>625.99389738649995</v>
      </c>
    </row>
    <row r="133" spans="1:21" s="427" customFormat="1">
      <c r="A133" s="427" t="str">
        <f t="shared" si="7"/>
        <v>KU</v>
      </c>
      <c r="B133" s="427" t="str">
        <f t="shared" si="12"/>
        <v>KY</v>
      </c>
      <c r="C133" s="427" t="str">
        <f t="shared" si="9"/>
        <v>E</v>
      </c>
      <c r="D133" s="427" t="s">
        <v>3418</v>
      </c>
      <c r="E133" s="427" t="str">
        <f t="shared" si="8"/>
        <v>396</v>
      </c>
      <c r="F133" s="756" t="s">
        <v>1823</v>
      </c>
      <c r="G133" s="426" t="str">
        <f t="shared" si="11"/>
        <v/>
      </c>
      <c r="H133" s="427">
        <v>3175.7385599999998</v>
      </c>
      <c r="I133" s="427">
        <v>1394.22289</v>
      </c>
      <c r="J133" s="427">
        <v>623.32951000000003</v>
      </c>
      <c r="K133" s="427">
        <v>623.32951000000003</v>
      </c>
      <c r="L133" s="427">
        <v>623.32951000000003</v>
      </c>
      <c r="M133" s="427">
        <v>623.32951000000003</v>
      </c>
      <c r="N133" s="427">
        <v>623.32951000000003</v>
      </c>
      <c r="O133" s="427">
        <v>623.32951000000003</v>
      </c>
      <c r="P133" s="427">
        <v>623.32951000000003</v>
      </c>
      <c r="Q133" s="427">
        <v>623.32951000000003</v>
      </c>
      <c r="R133" s="427">
        <v>623.32951000000003</v>
      </c>
      <c r="S133" s="427">
        <v>623.32951000000003</v>
      </c>
      <c r="T133" s="427">
        <v>623.32951000000003</v>
      </c>
    </row>
    <row r="134" spans="1:21" s="427" customFormat="1">
      <c r="A134" s="427" t="str">
        <f t="shared" si="7"/>
        <v>KU</v>
      </c>
      <c r="B134" s="427" t="str">
        <f t="shared" si="12"/>
        <v>KY</v>
      </c>
      <c r="C134" s="427" t="str">
        <f t="shared" si="9"/>
        <v>E</v>
      </c>
      <c r="D134" s="427" t="s">
        <v>3418</v>
      </c>
      <c r="E134" s="427" t="str">
        <f t="shared" si="8"/>
        <v>396</v>
      </c>
      <c r="F134" s="756" t="s">
        <v>2508</v>
      </c>
      <c r="G134" s="426" t="str">
        <f t="shared" si="11"/>
        <v/>
      </c>
      <c r="H134" s="427">
        <v>0</v>
      </c>
      <c r="I134" s="427">
        <v>1781.51567</v>
      </c>
      <c r="J134" s="427">
        <v>2880.8340600000001</v>
      </c>
      <c r="K134" s="427">
        <v>2880.8340600000001</v>
      </c>
      <c r="L134" s="427">
        <v>2880.8340600000001</v>
      </c>
      <c r="M134" s="427">
        <v>2921.9160299999999</v>
      </c>
      <c r="N134" s="427">
        <v>3045.2810399999998</v>
      </c>
      <c r="O134" s="427">
        <v>3232.3006300000002</v>
      </c>
      <c r="P134" s="427">
        <v>3232.3006300000002</v>
      </c>
      <c r="Q134" s="427">
        <v>3232.3006300000002</v>
      </c>
      <c r="R134" s="427">
        <v>3232.3006300000002</v>
      </c>
      <c r="S134" s="427">
        <v>3232.3006300000002</v>
      </c>
      <c r="T134" s="427">
        <v>3232.3006300000002</v>
      </c>
    </row>
    <row r="135" spans="1:21" s="427" customFormat="1">
      <c r="A135" s="427" t="str">
        <f t="shared" ref="A135:A198" si="13">MID($F135,4,2)</f>
        <v>KU</v>
      </c>
      <c r="B135" s="427" t="str">
        <f t="shared" si="12"/>
        <v>VA</v>
      </c>
      <c r="C135" s="427" t="str">
        <f t="shared" si="9"/>
        <v>E</v>
      </c>
      <c r="D135" s="427" t="s">
        <v>3418</v>
      </c>
      <c r="E135" s="427" t="str">
        <f t="shared" si="8"/>
        <v>396</v>
      </c>
      <c r="F135" s="756" t="s">
        <v>1824</v>
      </c>
      <c r="G135" s="426" t="str">
        <f t="shared" si="11"/>
        <v/>
      </c>
      <c r="H135" s="427">
        <v>282.27726000000001</v>
      </c>
      <c r="I135" s="427">
        <v>0</v>
      </c>
      <c r="J135" s="427">
        <v>0</v>
      </c>
      <c r="K135" s="427">
        <v>0</v>
      </c>
      <c r="L135" s="427">
        <v>0</v>
      </c>
      <c r="M135" s="427">
        <v>0</v>
      </c>
      <c r="N135" s="427">
        <v>0</v>
      </c>
      <c r="O135" s="427">
        <v>0</v>
      </c>
      <c r="P135" s="427">
        <v>0</v>
      </c>
      <c r="Q135" s="427">
        <v>0</v>
      </c>
      <c r="R135" s="427">
        <v>0</v>
      </c>
      <c r="S135" s="427">
        <v>0</v>
      </c>
      <c r="T135" s="427">
        <v>0</v>
      </c>
    </row>
    <row r="136" spans="1:21" s="427" customFormat="1">
      <c r="A136" s="427" t="str">
        <f t="shared" si="13"/>
        <v>KU</v>
      </c>
      <c r="B136" s="427" t="str">
        <f t="shared" si="12"/>
        <v>VA</v>
      </c>
      <c r="C136" s="427" t="str">
        <f t="shared" ref="C136:C199" si="14">IF(ISTEXT(MID($F136,SEARCH("FUTURE USE",$F136),3)),"F",IF(MID($F136,7,1)="1","E",IF(MID($F136,7,1)="2","G",IF(MID($F136,7,1)="3","C",""))))</f>
        <v>E</v>
      </c>
      <c r="D136" s="427" t="s">
        <v>3418</v>
      </c>
      <c r="E136" s="427" t="str">
        <f t="shared" si="8"/>
        <v>396</v>
      </c>
      <c r="F136" s="756" t="s">
        <v>2509</v>
      </c>
      <c r="G136" s="426" t="str">
        <f t="shared" si="11"/>
        <v/>
      </c>
      <c r="H136" s="427">
        <v>0</v>
      </c>
      <c r="I136" s="427">
        <v>282.27726000000001</v>
      </c>
      <c r="J136" s="427">
        <v>282.27726000000001</v>
      </c>
      <c r="K136" s="427">
        <v>282.27726000000001</v>
      </c>
      <c r="L136" s="427">
        <v>282.27726000000001</v>
      </c>
      <c r="M136" s="427">
        <v>282.27726000000001</v>
      </c>
      <c r="N136" s="427">
        <v>282.27726000000001</v>
      </c>
      <c r="O136" s="427">
        <v>282.27726000000001</v>
      </c>
      <c r="P136" s="427">
        <v>282.27726000000001</v>
      </c>
      <c r="Q136" s="427">
        <v>282.27726000000001</v>
      </c>
      <c r="R136" s="427">
        <v>282.27726000000001</v>
      </c>
      <c r="S136" s="427">
        <v>282.27726000000001</v>
      </c>
      <c r="T136" s="427">
        <v>282.27726000000001</v>
      </c>
    </row>
    <row r="137" spans="1:21" s="427" customFormat="1">
      <c r="A137" s="427" t="str">
        <f t="shared" si="13"/>
        <v>KU</v>
      </c>
      <c r="B137" s="427" t="str">
        <f t="shared" si="12"/>
        <v>KY</v>
      </c>
      <c r="C137" s="427" t="str">
        <f t="shared" si="14"/>
        <v>E</v>
      </c>
      <c r="D137" s="427" t="s">
        <v>3418</v>
      </c>
      <c r="E137" s="427" t="str">
        <f t="shared" si="8"/>
        <v>397</v>
      </c>
      <c r="F137" s="756" t="s">
        <v>1825</v>
      </c>
      <c r="G137" s="426" t="str">
        <f t="shared" si="11"/>
        <v>DSM</v>
      </c>
      <c r="H137" s="427">
        <v>7584.82701</v>
      </c>
      <c r="I137" s="427">
        <v>7591.0984799999997</v>
      </c>
      <c r="J137" s="427">
        <v>7592.9562100000003</v>
      </c>
      <c r="K137" s="427">
        <v>7593.34022</v>
      </c>
      <c r="L137" s="427">
        <v>7594.8636500000002</v>
      </c>
      <c r="M137" s="427">
        <v>7595.6368199999997</v>
      </c>
      <c r="N137" s="427">
        <v>7601.0414899999996</v>
      </c>
      <c r="O137" s="427">
        <v>7606.0414899999996</v>
      </c>
      <c r="P137" s="427">
        <v>7610.3466500000004</v>
      </c>
      <c r="Q137" s="427">
        <v>7719.7331199999999</v>
      </c>
      <c r="R137" s="427">
        <v>7724.4831199999999</v>
      </c>
      <c r="S137" s="427">
        <v>7729.2331199999999</v>
      </c>
      <c r="T137" s="427">
        <v>7777.1903599999996</v>
      </c>
    </row>
    <row r="138" spans="1:21" s="427" customFormat="1">
      <c r="A138" s="427" t="str">
        <f t="shared" si="13"/>
        <v>KU</v>
      </c>
      <c r="B138" s="427" t="str">
        <f t="shared" si="12"/>
        <v>KY</v>
      </c>
      <c r="C138" s="427" t="str">
        <f t="shared" si="14"/>
        <v>E</v>
      </c>
      <c r="D138" s="427" t="s">
        <v>3418</v>
      </c>
      <c r="E138" s="427" t="str">
        <f t="shared" si="8"/>
        <v>397</v>
      </c>
      <c r="F138" s="756" t="s">
        <v>1826</v>
      </c>
      <c r="G138" s="426" t="str">
        <f t="shared" si="11"/>
        <v/>
      </c>
      <c r="H138" s="427">
        <v>48289.238400000002</v>
      </c>
      <c r="I138" s="427">
        <v>53138.153789999997</v>
      </c>
      <c r="J138" s="427">
        <v>53138.54724</v>
      </c>
      <c r="K138" s="427">
        <v>53139.584280000003</v>
      </c>
      <c r="L138" s="427">
        <v>53148.995790000001</v>
      </c>
      <c r="M138" s="427">
        <v>53149.55672</v>
      </c>
      <c r="N138" s="427">
        <v>53300.843179999902</v>
      </c>
      <c r="O138" s="427">
        <v>53420.627944999898</v>
      </c>
      <c r="P138" s="427">
        <v>53559.015700407399</v>
      </c>
      <c r="Q138" s="427">
        <v>53559.015700407399</v>
      </c>
      <c r="R138" s="427">
        <v>54071.3531566374</v>
      </c>
      <c r="S138" s="427">
        <v>55784.440894767497</v>
      </c>
      <c r="T138" s="427">
        <v>57215.159408516301</v>
      </c>
    </row>
    <row r="139" spans="1:21" s="427" customFormat="1">
      <c r="A139" s="427" t="str">
        <f t="shared" si="13"/>
        <v>KU</v>
      </c>
      <c r="B139" s="427" t="str">
        <f t="shared" si="12"/>
        <v>VA</v>
      </c>
      <c r="C139" s="427" t="str">
        <f t="shared" si="14"/>
        <v>E</v>
      </c>
      <c r="D139" s="427" t="s">
        <v>3418</v>
      </c>
      <c r="E139" s="427" t="str">
        <f t="shared" si="8"/>
        <v>397</v>
      </c>
      <c r="F139" s="756" t="s">
        <v>1827</v>
      </c>
      <c r="G139" s="426" t="str">
        <f t="shared" si="11"/>
        <v/>
      </c>
      <c r="H139" s="427">
        <v>980.09861000000001</v>
      </c>
      <c r="I139" s="427">
        <v>980.09861000000001</v>
      </c>
      <c r="J139" s="427">
        <v>980.09861000000001</v>
      </c>
      <c r="K139" s="427">
        <v>980.09861000000001</v>
      </c>
      <c r="L139" s="427">
        <v>980.09861000000001</v>
      </c>
      <c r="M139" s="427">
        <v>980.09861000000001</v>
      </c>
      <c r="N139" s="427">
        <v>980.09861000000001</v>
      </c>
      <c r="O139" s="427">
        <v>980.09861000000001</v>
      </c>
      <c r="P139" s="427">
        <v>980.09861000000001</v>
      </c>
      <c r="Q139" s="427">
        <v>980.09861000000001</v>
      </c>
      <c r="R139" s="427">
        <v>980.09861000000001</v>
      </c>
      <c r="S139" s="427">
        <v>980.09861000000001</v>
      </c>
      <c r="T139" s="427">
        <v>980.09861000000001</v>
      </c>
    </row>
    <row r="140" spans="1:21">
      <c r="A140" s="427" t="str">
        <f t="shared" si="13"/>
        <v>KU</v>
      </c>
      <c r="B140" s="427" t="str">
        <f t="shared" si="12"/>
        <v>KY</v>
      </c>
      <c r="C140" s="427" t="str">
        <f t="shared" si="14"/>
        <v>C</v>
      </c>
      <c r="D140" s="427" t="s">
        <v>3418</v>
      </c>
      <c r="E140" s="427" t="str">
        <f t="shared" si="8"/>
        <v>121</v>
      </c>
      <c r="F140" s="756" t="s">
        <v>1828</v>
      </c>
      <c r="G140" s="426" t="str">
        <f t="shared" si="11"/>
        <v/>
      </c>
      <c r="H140" s="427">
        <v>178.71388999999999</v>
      </c>
      <c r="I140" s="427">
        <v>178.71388999999999</v>
      </c>
      <c r="J140" s="427">
        <v>178.71388999999999</v>
      </c>
      <c r="K140" s="427">
        <v>178.71388999999999</v>
      </c>
      <c r="L140" s="427">
        <v>178.71388999999999</v>
      </c>
      <c r="M140" s="427">
        <v>178.71388999999999</v>
      </c>
      <c r="N140" s="427">
        <v>178.71388999999999</v>
      </c>
      <c r="O140" s="427">
        <v>178.71388999999999</v>
      </c>
      <c r="P140" s="427">
        <v>178.71388999999999</v>
      </c>
      <c r="Q140" s="427">
        <v>178.71388999999999</v>
      </c>
      <c r="R140" s="427">
        <v>178.71388999999999</v>
      </c>
      <c r="S140" s="427">
        <v>178.71388999999999</v>
      </c>
      <c r="T140" s="427">
        <v>178.71388999999999</v>
      </c>
    </row>
    <row r="141" spans="1:21">
      <c r="A141" s="427" t="str">
        <f t="shared" si="13"/>
        <v>KY</v>
      </c>
      <c r="B141" s="427" t="str">
        <f t="shared" si="12"/>
        <v xml:space="preserve"> A</v>
      </c>
      <c r="C141" s="427" t="str">
        <f t="shared" si="14"/>
        <v/>
      </c>
      <c r="F141" s="758" t="s">
        <v>1829</v>
      </c>
      <c r="H141" s="427">
        <f>SUM(H6:H140)</f>
        <v>9277362.6073599942</v>
      </c>
      <c r="I141" s="427">
        <f t="shared" ref="I141:N141" si="15">SUM(I6:I140)</f>
        <v>9298589.5020599943</v>
      </c>
      <c r="J141" s="427">
        <f t="shared" si="15"/>
        <v>9294738.3310399912</v>
      </c>
      <c r="K141" s="427">
        <f t="shared" si="15"/>
        <v>9302413.8276599944</v>
      </c>
      <c r="L141" s="427">
        <f t="shared" si="15"/>
        <v>9323700.1731899865</v>
      </c>
      <c r="M141" s="427">
        <f t="shared" si="15"/>
        <v>9345703.4848699886</v>
      </c>
      <c r="N141" s="427">
        <f t="shared" si="15"/>
        <v>9361757.1180599872</v>
      </c>
      <c r="O141" s="427">
        <v>9464638.3794002533</v>
      </c>
      <c r="P141" s="427">
        <v>9528308.1145815141</v>
      </c>
      <c r="Q141" s="427">
        <v>9585299.1217993237</v>
      </c>
      <c r="R141" s="427">
        <v>9621786.9918494001</v>
      </c>
      <c r="S141" s="427">
        <v>9677633.1169490628</v>
      </c>
      <c r="T141" s="427">
        <v>9776477.5745213665</v>
      </c>
    </row>
    <row r="142" spans="1:21">
      <c r="A142" s="427" t="str">
        <f t="shared" si="13"/>
        <v/>
      </c>
      <c r="B142" s="427" t="str">
        <f t="shared" si="12"/>
        <v/>
      </c>
      <c r="C142" s="427" t="str">
        <f t="shared" si="14"/>
        <v/>
      </c>
      <c r="G142" s="426" t="str">
        <f t="shared" si="11"/>
        <v/>
      </c>
    </row>
    <row r="143" spans="1:21">
      <c r="A143" s="427" t="str">
        <f t="shared" si="13"/>
        <v>it</v>
      </c>
      <c r="B143" s="427" t="str">
        <f t="shared" si="12"/>
        <v/>
      </c>
      <c r="C143" s="427" t="str">
        <f t="shared" si="14"/>
        <v/>
      </c>
      <c r="D143" s="427" t="s">
        <v>3419</v>
      </c>
      <c r="E143" s="427" t="str">
        <f t="shared" si="8"/>
        <v>ns</v>
      </c>
      <c r="F143" s="759" t="s">
        <v>7</v>
      </c>
      <c r="G143" s="426" t="str">
        <f t="shared" si="11"/>
        <v/>
      </c>
      <c r="U143" s="427">
        <f>SUM(I143:T143)</f>
        <v>0</v>
      </c>
    </row>
    <row r="144" spans="1:21">
      <c r="A144" s="427" t="str">
        <f t="shared" si="13"/>
        <v>KU</v>
      </c>
      <c r="B144" s="427" t="str">
        <f t="shared" si="12"/>
        <v>KY</v>
      </c>
      <c r="C144" s="427" t="str">
        <f t="shared" si="14"/>
        <v>E</v>
      </c>
      <c r="D144" s="427" t="s">
        <v>3419</v>
      </c>
      <c r="E144" s="427" t="str">
        <f t="shared" si="8"/>
        <v>303</v>
      </c>
      <c r="F144" s="756" t="s">
        <v>1726</v>
      </c>
      <c r="G144" s="426" t="str">
        <f t="shared" si="11"/>
        <v/>
      </c>
      <c r="H144" s="427">
        <v>4844.3078999999998</v>
      </c>
      <c r="I144" s="427">
        <v>-83.032260000002594</v>
      </c>
      <c r="J144" s="427">
        <v>90.113609999999994</v>
      </c>
      <c r="K144" s="427">
        <v>-69.73227</v>
      </c>
      <c r="L144" s="427">
        <v>58.409709999999997</v>
      </c>
      <c r="M144" s="427">
        <v>434.62723999999997</v>
      </c>
      <c r="N144" s="427">
        <v>148.64693</v>
      </c>
      <c r="O144" s="427">
        <v>4743.3839190609997</v>
      </c>
      <c r="P144" s="427">
        <v>861.48075239029902</v>
      </c>
      <c r="Q144" s="427">
        <v>616.28531790599902</v>
      </c>
      <c r="R144" s="427">
        <v>7350.2836276859998</v>
      </c>
      <c r="S144" s="427">
        <v>1417.3445938919899</v>
      </c>
      <c r="T144" s="427">
        <v>3996.3235589420001</v>
      </c>
      <c r="U144" s="427">
        <f t="shared" ref="U144:U208" si="16">SUM(I144:T144)</f>
        <v>19564.134729877285</v>
      </c>
    </row>
    <row r="145" spans="1:21">
      <c r="A145" s="427" t="str">
        <f t="shared" si="13"/>
        <v>KU</v>
      </c>
      <c r="B145" s="427" t="str">
        <f t="shared" si="12"/>
        <v>KY</v>
      </c>
      <c r="C145" s="427" t="str">
        <f t="shared" si="14"/>
        <v>E</v>
      </c>
      <c r="D145" s="427" t="s">
        <v>3419</v>
      </c>
      <c r="E145" s="427" t="str">
        <f t="shared" si="8"/>
        <v>303</v>
      </c>
      <c r="F145" s="756" t="s">
        <v>1727</v>
      </c>
      <c r="G145" s="426" t="str">
        <f t="shared" si="11"/>
        <v/>
      </c>
      <c r="H145" s="427">
        <v>0</v>
      </c>
      <c r="I145" s="427">
        <v>0</v>
      </c>
      <c r="J145" s="427">
        <v>0</v>
      </c>
      <c r="K145" s="427">
        <v>0</v>
      </c>
      <c r="L145" s="427">
        <v>0</v>
      </c>
      <c r="M145" s="427">
        <v>0</v>
      </c>
      <c r="N145" s="427">
        <v>0</v>
      </c>
      <c r="O145" s="427">
        <v>0</v>
      </c>
      <c r="P145" s="427">
        <v>0</v>
      </c>
      <c r="Q145" s="427">
        <v>317.1937221</v>
      </c>
      <c r="R145" s="427">
        <v>11.9852451</v>
      </c>
      <c r="S145" s="427">
        <v>6.9236427269999998</v>
      </c>
      <c r="T145" s="427">
        <v>133.58425439999999</v>
      </c>
      <c r="U145" s="427">
        <f t="shared" si="16"/>
        <v>469.68686432699997</v>
      </c>
    </row>
    <row r="146" spans="1:21">
      <c r="A146" s="427" t="str">
        <f t="shared" si="13"/>
        <v>KU</v>
      </c>
      <c r="B146" s="427" t="str">
        <f t="shared" si="12"/>
        <v>KY</v>
      </c>
      <c r="C146" s="427" t="str">
        <f t="shared" si="14"/>
        <v>E</v>
      </c>
      <c r="D146" s="427" t="s">
        <v>3419</v>
      </c>
      <c r="E146" s="427" t="str">
        <f t="shared" si="8"/>
        <v>310</v>
      </c>
      <c r="F146" s="756" t="s">
        <v>1728</v>
      </c>
      <c r="G146" s="426" t="str">
        <f t="shared" si="11"/>
        <v>ECR</v>
      </c>
      <c r="H146" s="427">
        <v>1147.8209299999901</v>
      </c>
      <c r="I146" s="427">
        <v>0</v>
      </c>
      <c r="J146" s="427">
        <v>0</v>
      </c>
      <c r="K146" s="427">
        <v>0</v>
      </c>
      <c r="L146" s="427">
        <v>0</v>
      </c>
      <c r="M146" s="427">
        <v>0</v>
      </c>
      <c r="N146" s="427">
        <v>0</v>
      </c>
      <c r="O146" s="427">
        <v>3.2699799999999999</v>
      </c>
      <c r="P146" s="427">
        <v>49.280380000000001</v>
      </c>
      <c r="Q146" s="427">
        <v>14.4</v>
      </c>
      <c r="R146" s="427">
        <v>0</v>
      </c>
      <c r="S146" s="427">
        <v>0</v>
      </c>
      <c r="T146" s="427">
        <v>0</v>
      </c>
      <c r="U146" s="427">
        <f t="shared" si="16"/>
        <v>66.950360000000003</v>
      </c>
    </row>
    <row r="147" spans="1:21">
      <c r="A147" s="427" t="str">
        <f t="shared" si="13"/>
        <v>KU</v>
      </c>
      <c r="B147" s="427" t="str">
        <f t="shared" si="12"/>
        <v>KY</v>
      </c>
      <c r="C147" s="427" t="str">
        <f t="shared" si="14"/>
        <v>E</v>
      </c>
      <c r="D147" s="427" t="s">
        <v>3419</v>
      </c>
      <c r="E147" s="427" t="str">
        <f t="shared" si="8"/>
        <v>310</v>
      </c>
      <c r="F147" s="756" t="s">
        <v>2503</v>
      </c>
      <c r="G147" s="426" t="str">
        <f t="shared" si="11"/>
        <v>ECR</v>
      </c>
      <c r="H147" s="427">
        <v>0</v>
      </c>
      <c r="I147" s="427">
        <v>0</v>
      </c>
      <c r="J147" s="427">
        <v>0</v>
      </c>
      <c r="K147" s="427">
        <v>0</v>
      </c>
      <c r="L147" s="427">
        <v>0</v>
      </c>
      <c r="M147" s="427">
        <v>0</v>
      </c>
      <c r="N147" s="427">
        <v>0</v>
      </c>
      <c r="O147" s="427">
        <v>0</v>
      </c>
      <c r="P147" s="427">
        <v>0</v>
      </c>
      <c r="Q147" s="427">
        <v>0</v>
      </c>
      <c r="R147" s="427">
        <v>0</v>
      </c>
      <c r="S147" s="427">
        <v>0</v>
      </c>
      <c r="T147" s="427">
        <v>12.94003</v>
      </c>
      <c r="U147" s="427">
        <f t="shared" si="16"/>
        <v>12.94003</v>
      </c>
    </row>
    <row r="148" spans="1:21" s="427" customFormat="1">
      <c r="A148" s="427" t="str">
        <f t="shared" si="13"/>
        <v>KU</v>
      </c>
      <c r="B148" s="427" t="str">
        <f t="shared" si="12"/>
        <v>KY</v>
      </c>
      <c r="C148" s="427" t="str">
        <f t="shared" si="14"/>
        <v>E</v>
      </c>
      <c r="D148" s="427" t="s">
        <v>3419</v>
      </c>
      <c r="E148" s="427" t="str">
        <f t="shared" si="8"/>
        <v>310</v>
      </c>
      <c r="F148" s="756" t="s">
        <v>1730</v>
      </c>
      <c r="G148" s="426" t="str">
        <f t="shared" si="11"/>
        <v/>
      </c>
      <c r="H148" s="427">
        <v>5.9952399999999999</v>
      </c>
      <c r="I148" s="427">
        <v>0</v>
      </c>
      <c r="J148" s="427">
        <v>0</v>
      </c>
      <c r="K148" s="427">
        <v>0</v>
      </c>
      <c r="L148" s="427">
        <v>0</v>
      </c>
      <c r="M148" s="427">
        <v>0</v>
      </c>
      <c r="N148" s="427">
        <v>0</v>
      </c>
      <c r="O148" s="427">
        <v>101.4470908</v>
      </c>
      <c r="P148" s="427">
        <v>0</v>
      </c>
      <c r="Q148" s="427">
        <v>93.750429600000004</v>
      </c>
      <c r="R148" s="427">
        <v>0</v>
      </c>
      <c r="S148" s="427">
        <v>0</v>
      </c>
      <c r="T148" s="427">
        <v>0</v>
      </c>
      <c r="U148" s="427">
        <f t="shared" si="16"/>
        <v>195.1975204</v>
      </c>
    </row>
    <row r="149" spans="1:21" s="427" customFormat="1">
      <c r="A149" s="427" t="str">
        <f t="shared" si="13"/>
        <v>KU</v>
      </c>
      <c r="B149" s="427" t="str">
        <f t="shared" si="12"/>
        <v>KY</v>
      </c>
      <c r="C149" s="427" t="str">
        <f t="shared" si="14"/>
        <v>E</v>
      </c>
      <c r="D149" s="427" t="s">
        <v>3419</v>
      </c>
      <c r="E149" s="427" t="str">
        <f t="shared" si="8"/>
        <v>311</v>
      </c>
      <c r="F149" s="756" t="s">
        <v>1732</v>
      </c>
      <c r="G149" s="426" t="str">
        <f t="shared" si="11"/>
        <v/>
      </c>
      <c r="H149" s="427">
        <v>2788.7201</v>
      </c>
      <c r="I149" s="427">
        <v>336.38574999999997</v>
      </c>
      <c r="J149" s="427">
        <v>-6.2316699999999896</v>
      </c>
      <c r="K149" s="427">
        <v>198.27889999999999</v>
      </c>
      <c r="L149" s="427">
        <v>-0.35119</v>
      </c>
      <c r="M149" s="427">
        <v>627.67520000000002</v>
      </c>
      <c r="N149" s="427">
        <v>622.49361999999996</v>
      </c>
      <c r="O149" s="427">
        <v>18.4359548497</v>
      </c>
      <c r="P149" s="427">
        <v>797.91432496300001</v>
      </c>
      <c r="Q149" s="427">
        <v>400.25099260000002</v>
      </c>
      <c r="R149" s="427">
        <v>387.67917088000002</v>
      </c>
      <c r="S149" s="427">
        <v>0</v>
      </c>
      <c r="T149" s="427">
        <v>252.68830682199999</v>
      </c>
      <c r="U149" s="427">
        <f t="shared" si="16"/>
        <v>3635.2193601146996</v>
      </c>
    </row>
    <row r="150" spans="1:21" s="427" customFormat="1">
      <c r="A150" s="427" t="str">
        <f t="shared" si="13"/>
        <v>KU</v>
      </c>
      <c r="B150" s="427" t="str">
        <f t="shared" si="12"/>
        <v>KY</v>
      </c>
      <c r="C150" s="427" t="str">
        <f t="shared" si="14"/>
        <v>E</v>
      </c>
      <c r="D150" s="427" t="s">
        <v>3419</v>
      </c>
      <c r="E150" s="427" t="str">
        <f t="shared" si="8"/>
        <v>312</v>
      </c>
      <c r="F150" s="756" t="s">
        <v>1733</v>
      </c>
      <c r="G150" s="426" t="str">
        <f t="shared" si="11"/>
        <v/>
      </c>
      <c r="H150" s="427">
        <v>16379.60448</v>
      </c>
      <c r="I150" s="427">
        <v>-149.10959001012799</v>
      </c>
      <c r="J150" s="427">
        <v>350.02301</v>
      </c>
      <c r="K150" s="427">
        <v>3448.5686999999998</v>
      </c>
      <c r="L150" s="427">
        <v>1283.22064</v>
      </c>
      <c r="M150" s="427">
        <v>4695.2311</v>
      </c>
      <c r="N150" s="427">
        <v>9696.8318999999992</v>
      </c>
      <c r="O150" s="427">
        <v>528.41655321149995</v>
      </c>
      <c r="P150" s="427">
        <v>1900.34999432</v>
      </c>
      <c r="Q150" s="427">
        <v>913.30608889999996</v>
      </c>
      <c r="R150" s="427">
        <v>3916.1894567999998</v>
      </c>
      <c r="S150" s="427">
        <v>19150.960348539898</v>
      </c>
      <c r="T150" s="427">
        <v>13881.008620574101</v>
      </c>
      <c r="U150" s="427">
        <f t="shared" si="16"/>
        <v>59614.996822335372</v>
      </c>
    </row>
    <row r="151" spans="1:21" s="427" customFormat="1">
      <c r="A151" s="427" t="str">
        <f t="shared" si="13"/>
        <v>KU</v>
      </c>
      <c r="B151" s="427" t="str">
        <f t="shared" si="12"/>
        <v>KY</v>
      </c>
      <c r="C151" s="427" t="str">
        <f t="shared" si="14"/>
        <v>E</v>
      </c>
      <c r="D151" s="427" t="s">
        <v>3419</v>
      </c>
      <c r="E151" s="427" t="str">
        <f t="shared" si="8"/>
        <v>312</v>
      </c>
      <c r="F151" s="756" t="s">
        <v>1734</v>
      </c>
      <c r="G151" s="426" t="str">
        <f t="shared" si="11"/>
        <v>ECR</v>
      </c>
      <c r="H151" s="427">
        <v>11.188090000000001</v>
      </c>
      <c r="I151" s="427">
        <v>0</v>
      </c>
      <c r="J151" s="427">
        <v>0</v>
      </c>
      <c r="K151" s="427">
        <v>0</v>
      </c>
      <c r="L151" s="427">
        <v>0</v>
      </c>
      <c r="M151" s="427">
        <v>0</v>
      </c>
      <c r="N151" s="427">
        <v>0</v>
      </c>
      <c r="O151" s="427">
        <v>2517.8838500000002</v>
      </c>
      <c r="P151" s="427">
        <v>32786.8419499999</v>
      </c>
      <c r="Q151" s="427">
        <v>28284.676380000001</v>
      </c>
      <c r="R151" s="427">
        <v>1748.1326100000001</v>
      </c>
      <c r="S151" s="427">
        <v>1580.49389</v>
      </c>
      <c r="T151" s="427">
        <v>1433.61365</v>
      </c>
      <c r="U151" s="427">
        <f t="shared" si="16"/>
        <v>68351.642329999901</v>
      </c>
    </row>
    <row r="152" spans="1:21" s="427" customFormat="1">
      <c r="A152" s="427" t="str">
        <f t="shared" si="13"/>
        <v>KU</v>
      </c>
      <c r="B152" s="427" t="str">
        <f t="shared" si="12"/>
        <v>KY</v>
      </c>
      <c r="C152" s="427" t="str">
        <f t="shared" si="14"/>
        <v>E</v>
      </c>
      <c r="D152" s="427" t="s">
        <v>3419</v>
      </c>
      <c r="E152" s="427" t="str">
        <f t="shared" si="8"/>
        <v>312</v>
      </c>
      <c r="F152" s="756" t="s">
        <v>1735</v>
      </c>
      <c r="G152" s="426" t="str">
        <f t="shared" si="11"/>
        <v>ECR</v>
      </c>
      <c r="H152" s="427">
        <v>393.58132000000001</v>
      </c>
      <c r="I152" s="427">
        <v>0</v>
      </c>
      <c r="J152" s="427">
        <v>0</v>
      </c>
      <c r="K152" s="427">
        <v>0</v>
      </c>
      <c r="L152" s="427">
        <v>-2.7123699999999999</v>
      </c>
      <c r="M152" s="427">
        <v>0</v>
      </c>
      <c r="N152" s="427">
        <v>4172.53071</v>
      </c>
      <c r="O152" s="427">
        <v>2952.8726299999998</v>
      </c>
      <c r="P152" s="427">
        <v>0</v>
      </c>
      <c r="Q152" s="427">
        <v>0</v>
      </c>
      <c r="R152" s="427">
        <v>0</v>
      </c>
      <c r="S152" s="427">
        <v>0</v>
      </c>
      <c r="T152" s="427">
        <v>0</v>
      </c>
      <c r="U152" s="427">
        <f t="shared" si="16"/>
        <v>7122.6909699999997</v>
      </c>
    </row>
    <row r="153" spans="1:21" s="427" customFormat="1">
      <c r="A153" s="427" t="str">
        <f t="shared" si="13"/>
        <v>KU</v>
      </c>
      <c r="B153" s="427" t="str">
        <f t="shared" si="12"/>
        <v>KY</v>
      </c>
      <c r="C153" s="427" t="str">
        <f t="shared" si="14"/>
        <v>E</v>
      </c>
      <c r="D153" s="427" t="s">
        <v>3419</v>
      </c>
      <c r="E153" s="427" t="str">
        <f t="shared" si="8"/>
        <v>312</v>
      </c>
      <c r="F153" s="756" t="s">
        <v>2194</v>
      </c>
      <c r="G153" s="426" t="str">
        <f t="shared" si="11"/>
        <v>ECR</v>
      </c>
      <c r="H153" s="427">
        <v>0</v>
      </c>
      <c r="I153" s="427">
        <v>3191.4129600000001</v>
      </c>
      <c r="J153" s="427">
        <v>0</v>
      </c>
      <c r="K153" s="427">
        <v>0</v>
      </c>
      <c r="L153" s="427">
        <v>0</v>
      </c>
      <c r="M153" s="427">
        <v>0</v>
      </c>
      <c r="N153" s="427">
        <v>0</v>
      </c>
      <c r="O153" s="427">
        <v>93.070260000000005</v>
      </c>
      <c r="P153" s="427">
        <v>0</v>
      </c>
      <c r="Q153" s="427">
        <v>0</v>
      </c>
      <c r="R153" s="427">
        <v>0</v>
      </c>
      <c r="S153" s="427">
        <v>0</v>
      </c>
      <c r="T153" s="427">
        <v>0</v>
      </c>
      <c r="U153" s="427">
        <f t="shared" si="16"/>
        <v>3284.4832200000001</v>
      </c>
    </row>
    <row r="154" spans="1:21" s="427" customFormat="1">
      <c r="A154" s="427" t="str">
        <f t="shared" si="13"/>
        <v>KU</v>
      </c>
      <c r="B154" s="427" t="str">
        <f t="shared" si="12"/>
        <v>KY</v>
      </c>
      <c r="C154" s="427" t="str">
        <f t="shared" si="14"/>
        <v>E</v>
      </c>
      <c r="D154" s="427" t="s">
        <v>3419</v>
      </c>
      <c r="E154" s="427" t="str">
        <f t="shared" si="8"/>
        <v>314</v>
      </c>
      <c r="F154" s="756" t="s">
        <v>1737</v>
      </c>
      <c r="G154" s="426" t="str">
        <f t="shared" ref="G154:G218" si="17">IF(ISTEXT(MID($F154,SEARCH("FUTURE USE",$F154),3)),"FUTURE USE",IF(ISTEXT(MID($F154,SEARCH("ECR",$F154),3)),"ECR",IF(ISTEXT(MID($F154,SEARCH("ARO",$F154),3)),"ARO",IF(ISTEXT(MID($F154,SEARCH("DSM",$F154),3)),"DSM",""))))</f>
        <v/>
      </c>
      <c r="H154" s="427">
        <v>2261.08446</v>
      </c>
      <c r="I154" s="427">
        <v>386.02618000000001</v>
      </c>
      <c r="J154" s="427">
        <v>-1.1019099999999999</v>
      </c>
      <c r="K154" s="427">
        <v>355.08722999999998</v>
      </c>
      <c r="L154" s="427">
        <v>77.452799999999996</v>
      </c>
      <c r="M154" s="427">
        <v>1176.2114899999999</v>
      </c>
      <c r="N154" s="427">
        <v>3428.9370100000001</v>
      </c>
      <c r="O154" s="427">
        <v>717.41077201919995</v>
      </c>
      <c r="P154" s="427">
        <v>427.33576395</v>
      </c>
      <c r="Q154" s="427">
        <v>2.5687510579999899</v>
      </c>
      <c r="R154" s="427">
        <v>181.270071844</v>
      </c>
      <c r="S154" s="427">
        <v>14400.509660899999</v>
      </c>
      <c r="T154" s="427">
        <v>2027.2392586999999</v>
      </c>
      <c r="U154" s="427">
        <f t="shared" si="16"/>
        <v>23178.947078471199</v>
      </c>
    </row>
    <row r="155" spans="1:21" s="427" customFormat="1">
      <c r="A155" s="427" t="str">
        <f t="shared" si="13"/>
        <v>KU</v>
      </c>
      <c r="B155" s="427" t="str">
        <f t="shared" si="12"/>
        <v>KY</v>
      </c>
      <c r="C155" s="427" t="str">
        <f t="shared" si="14"/>
        <v>E</v>
      </c>
      <c r="D155" s="427" t="s">
        <v>3419</v>
      </c>
      <c r="E155" s="427" t="str">
        <f t="shared" si="8"/>
        <v>315</v>
      </c>
      <c r="F155" s="756" t="s">
        <v>1738</v>
      </c>
      <c r="G155" s="426" t="str">
        <f t="shared" si="17"/>
        <v/>
      </c>
      <c r="H155" s="427">
        <v>142.85409999999999</v>
      </c>
      <c r="I155" s="427">
        <v>32.828740000000003</v>
      </c>
      <c r="J155" s="427">
        <v>0</v>
      </c>
      <c r="K155" s="427">
        <v>0</v>
      </c>
      <c r="L155" s="427">
        <v>0</v>
      </c>
      <c r="M155" s="427">
        <v>166.4203</v>
      </c>
      <c r="N155" s="427">
        <v>611.02482999999995</v>
      </c>
      <c r="O155" s="427">
        <v>33.534970000000001</v>
      </c>
      <c r="P155" s="427">
        <v>217.78682384000001</v>
      </c>
      <c r="Q155" s="427">
        <v>343.33733112599998</v>
      </c>
      <c r="R155" s="427">
        <v>63.760065079999997</v>
      </c>
      <c r="S155" s="427">
        <v>439.56738249</v>
      </c>
      <c r="T155" s="427">
        <v>390.534335599999</v>
      </c>
      <c r="U155" s="427">
        <f t="shared" si="16"/>
        <v>2298.794778135999</v>
      </c>
    </row>
    <row r="156" spans="1:21" s="427" customFormat="1">
      <c r="A156" s="427" t="str">
        <f t="shared" si="13"/>
        <v>KU</v>
      </c>
      <c r="B156" s="427" t="str">
        <f t="shared" si="12"/>
        <v>KY</v>
      </c>
      <c r="C156" s="427" t="str">
        <f t="shared" si="14"/>
        <v>E</v>
      </c>
      <c r="D156" s="427" t="s">
        <v>3419</v>
      </c>
      <c r="E156" s="427" t="str">
        <f t="shared" si="8"/>
        <v>315</v>
      </c>
      <c r="F156" s="756" t="s">
        <v>1739</v>
      </c>
      <c r="G156" s="426" t="str">
        <f t="shared" si="17"/>
        <v>ECR</v>
      </c>
      <c r="H156" s="427">
        <v>0</v>
      </c>
      <c r="I156" s="427">
        <v>0</v>
      </c>
      <c r="J156" s="427">
        <v>0</v>
      </c>
      <c r="K156" s="427">
        <v>0</v>
      </c>
      <c r="L156" s="427">
        <v>0</v>
      </c>
      <c r="M156" s="427">
        <v>0</v>
      </c>
      <c r="N156" s="427">
        <v>68.392979999999994</v>
      </c>
      <c r="O156" s="427">
        <v>0</v>
      </c>
      <c r="P156" s="427">
        <v>0</v>
      </c>
      <c r="Q156" s="427">
        <v>0</v>
      </c>
      <c r="R156" s="427">
        <v>0</v>
      </c>
      <c r="S156" s="427">
        <v>0</v>
      </c>
      <c r="T156" s="427">
        <v>0</v>
      </c>
      <c r="U156" s="427">
        <f t="shared" si="16"/>
        <v>68.392979999999994</v>
      </c>
    </row>
    <row r="157" spans="1:21" s="427" customFormat="1">
      <c r="A157" s="427" t="str">
        <f t="shared" si="13"/>
        <v>KU</v>
      </c>
      <c r="B157" s="427" t="str">
        <f t="shared" si="12"/>
        <v>KY</v>
      </c>
      <c r="C157" s="427" t="str">
        <f t="shared" si="14"/>
        <v>E</v>
      </c>
      <c r="D157" s="427" t="s">
        <v>3419</v>
      </c>
      <c r="E157" s="427" t="str">
        <f t="shared" si="8"/>
        <v>316</v>
      </c>
      <c r="F157" s="756" t="s">
        <v>1740</v>
      </c>
      <c r="G157" s="426" t="str">
        <f t="shared" si="17"/>
        <v/>
      </c>
      <c r="H157" s="427">
        <v>1126.8081400000001</v>
      </c>
      <c r="I157" s="427">
        <v>335.58339000000001</v>
      </c>
      <c r="J157" s="427">
        <v>-140.04023000000001</v>
      </c>
      <c r="K157" s="427">
        <v>46.65448</v>
      </c>
      <c r="L157" s="427">
        <v>67.537189999999995</v>
      </c>
      <c r="M157" s="427">
        <v>23.948969999999999</v>
      </c>
      <c r="N157" s="427">
        <v>297.81153999999998</v>
      </c>
      <c r="O157" s="427">
        <v>354.36879320099899</v>
      </c>
      <c r="P157" s="427">
        <v>300.63543554</v>
      </c>
      <c r="Q157" s="427">
        <v>52.601421999999999</v>
      </c>
      <c r="R157" s="427">
        <v>508.61347769999998</v>
      </c>
      <c r="S157" s="427">
        <v>0</v>
      </c>
      <c r="T157" s="427">
        <v>340.58400818599898</v>
      </c>
      <c r="U157" s="427">
        <f t="shared" si="16"/>
        <v>2188.2984766269979</v>
      </c>
    </row>
    <row r="158" spans="1:21" s="427" customFormat="1">
      <c r="A158" s="427" t="str">
        <f t="shared" si="13"/>
        <v>KU</v>
      </c>
      <c r="B158" s="427" t="str">
        <f t="shared" si="12"/>
        <v>KY</v>
      </c>
      <c r="C158" s="427" t="str">
        <f t="shared" si="14"/>
        <v>E</v>
      </c>
      <c r="D158" s="427" t="s">
        <v>3419</v>
      </c>
      <c r="E158" s="427" t="str">
        <f t="shared" ref="E158:E239" si="18">MID($F158,8,3)</f>
        <v>317</v>
      </c>
      <c r="F158" s="756" t="s">
        <v>1741</v>
      </c>
      <c r="G158" s="426" t="str">
        <f t="shared" si="17"/>
        <v>ARO</v>
      </c>
      <c r="H158" s="427">
        <v>1493.9928299999999</v>
      </c>
      <c r="I158" s="427">
        <v>0</v>
      </c>
      <c r="J158" s="427">
        <v>0</v>
      </c>
      <c r="K158" s="427">
        <v>0</v>
      </c>
      <c r="L158" s="427">
        <v>0</v>
      </c>
      <c r="M158" s="427">
        <v>0</v>
      </c>
      <c r="N158" s="427">
        <v>0</v>
      </c>
      <c r="O158" s="427">
        <v>0</v>
      </c>
      <c r="P158" s="427">
        <v>0</v>
      </c>
      <c r="Q158" s="427">
        <v>0</v>
      </c>
      <c r="R158" s="427">
        <v>0</v>
      </c>
      <c r="S158" s="427">
        <v>0</v>
      </c>
      <c r="T158" s="427">
        <v>0</v>
      </c>
      <c r="U158" s="427">
        <f t="shared" si="16"/>
        <v>0</v>
      </c>
    </row>
    <row r="159" spans="1:21" s="427" customFormat="1">
      <c r="A159" s="427" t="str">
        <f t="shared" si="13"/>
        <v>KU</v>
      </c>
      <c r="B159" s="427" t="str">
        <f t="shared" si="12"/>
        <v>KY</v>
      </c>
      <c r="C159" s="427" t="str">
        <f t="shared" si="14"/>
        <v>E</v>
      </c>
      <c r="D159" s="427" t="s">
        <v>3419</v>
      </c>
      <c r="E159" s="427" t="str">
        <f t="shared" si="18"/>
        <v>317</v>
      </c>
      <c r="F159" s="756" t="s">
        <v>2504</v>
      </c>
      <c r="G159" s="426" t="str">
        <f t="shared" si="17"/>
        <v>ARO</v>
      </c>
      <c r="H159" s="427">
        <v>3536.77214</v>
      </c>
      <c r="I159" s="427">
        <v>0</v>
      </c>
      <c r="J159" s="427">
        <v>0</v>
      </c>
      <c r="K159" s="427">
        <v>0</v>
      </c>
      <c r="L159" s="427">
        <v>0</v>
      </c>
      <c r="M159" s="427">
        <v>0</v>
      </c>
      <c r="N159" s="427">
        <v>0</v>
      </c>
      <c r="O159" s="427">
        <v>0</v>
      </c>
      <c r="P159" s="427">
        <v>0</v>
      </c>
      <c r="Q159" s="427">
        <v>0</v>
      </c>
      <c r="R159" s="427">
        <v>0</v>
      </c>
      <c r="S159" s="427">
        <v>0</v>
      </c>
      <c r="T159" s="427">
        <v>0</v>
      </c>
      <c r="U159" s="427">
        <f t="shared" si="16"/>
        <v>0</v>
      </c>
    </row>
    <row r="160" spans="1:21" s="427" customFormat="1">
      <c r="A160" s="427" t="str">
        <f t="shared" si="13"/>
        <v>KU</v>
      </c>
      <c r="B160" s="427" t="str">
        <f t="shared" si="12"/>
        <v>KY</v>
      </c>
      <c r="C160" s="427" t="str">
        <f t="shared" si="14"/>
        <v>E</v>
      </c>
      <c r="D160" s="427" t="s">
        <v>3419</v>
      </c>
      <c r="E160" s="427" t="str">
        <f t="shared" si="18"/>
        <v>331</v>
      </c>
      <c r="F160" s="756" t="s">
        <v>1743</v>
      </c>
      <c r="G160" s="426" t="str">
        <f t="shared" si="17"/>
        <v/>
      </c>
      <c r="H160" s="427">
        <v>0</v>
      </c>
      <c r="I160" s="427">
        <v>0</v>
      </c>
      <c r="J160" s="427">
        <v>0</v>
      </c>
      <c r="K160" s="427">
        <v>0</v>
      </c>
      <c r="L160" s="427">
        <v>0</v>
      </c>
      <c r="M160" s="427">
        <v>0</v>
      </c>
      <c r="N160" s="427">
        <v>0</v>
      </c>
      <c r="O160" s="427">
        <v>0</v>
      </c>
      <c r="P160" s="427">
        <v>1009.69293</v>
      </c>
      <c r="Q160" s="427">
        <v>0</v>
      </c>
      <c r="R160" s="427">
        <v>0</v>
      </c>
      <c r="S160" s="427">
        <v>384.108</v>
      </c>
      <c r="T160" s="427">
        <v>0</v>
      </c>
      <c r="U160" s="427">
        <f t="shared" si="16"/>
        <v>1393.8009300000001</v>
      </c>
    </row>
    <row r="161" spans="1:21" s="427" customFormat="1">
      <c r="A161" s="427" t="str">
        <f t="shared" si="13"/>
        <v>KU</v>
      </c>
      <c r="B161" s="427" t="str">
        <f t="shared" si="12"/>
        <v>KY</v>
      </c>
      <c r="C161" s="427" t="str">
        <f t="shared" si="14"/>
        <v>E</v>
      </c>
      <c r="D161" s="427" t="s">
        <v>3419</v>
      </c>
      <c r="E161" s="427" t="str">
        <f t="shared" si="18"/>
        <v>334</v>
      </c>
      <c r="F161" s="756" t="s">
        <v>1746</v>
      </c>
      <c r="G161" s="426" t="str">
        <f t="shared" si="17"/>
        <v/>
      </c>
      <c r="H161" s="427">
        <v>4.5048000000000004</v>
      </c>
      <c r="I161" s="427">
        <v>0</v>
      </c>
      <c r="J161" s="427">
        <v>0</v>
      </c>
      <c r="K161" s="427">
        <v>0</v>
      </c>
      <c r="L161" s="427">
        <v>0</v>
      </c>
      <c r="M161" s="427">
        <v>0</v>
      </c>
      <c r="N161" s="427">
        <v>0</v>
      </c>
      <c r="O161" s="427">
        <v>0</v>
      </c>
      <c r="P161" s="427">
        <v>0</v>
      </c>
      <c r="Q161" s="427">
        <v>0</v>
      </c>
      <c r="R161" s="427">
        <v>0</v>
      </c>
      <c r="S161" s="427">
        <v>0</v>
      </c>
      <c r="T161" s="427">
        <v>0</v>
      </c>
      <c r="U161" s="427">
        <f t="shared" si="16"/>
        <v>0</v>
      </c>
    </row>
    <row r="162" spans="1:21" s="427" customFormat="1">
      <c r="A162" s="427" t="str">
        <f t="shared" si="13"/>
        <v>KU</v>
      </c>
      <c r="B162" s="427" t="str">
        <f t="shared" si="12"/>
        <v>KY</v>
      </c>
      <c r="C162" s="427" t="str">
        <f t="shared" si="14"/>
        <v>E</v>
      </c>
      <c r="D162" s="427" t="s">
        <v>3419</v>
      </c>
      <c r="E162" s="427" t="str">
        <f t="shared" si="18"/>
        <v>340</v>
      </c>
      <c r="F162" s="756" t="s">
        <v>2198</v>
      </c>
      <c r="G162" s="426" t="str">
        <f t="shared" si="17"/>
        <v/>
      </c>
      <c r="H162" s="427">
        <v>0</v>
      </c>
      <c r="I162" s="427">
        <v>0</v>
      </c>
      <c r="J162" s="427">
        <v>0</v>
      </c>
      <c r="K162" s="427">
        <v>0</v>
      </c>
      <c r="L162" s="427">
        <v>0</v>
      </c>
      <c r="M162" s="427">
        <v>0</v>
      </c>
      <c r="N162" s="427">
        <v>0</v>
      </c>
      <c r="O162" s="427">
        <v>60.322650000000003</v>
      </c>
      <c r="P162" s="427">
        <v>0</v>
      </c>
      <c r="Q162" s="427">
        <v>0</v>
      </c>
      <c r="R162" s="427">
        <v>0</v>
      </c>
      <c r="S162" s="427">
        <v>0</v>
      </c>
      <c r="T162" s="427">
        <v>0</v>
      </c>
      <c r="U162" s="427">
        <f t="shared" si="16"/>
        <v>60.322650000000003</v>
      </c>
    </row>
    <row r="163" spans="1:21" s="427" customFormat="1">
      <c r="A163" s="427" t="str">
        <f t="shared" si="13"/>
        <v>KU</v>
      </c>
      <c r="B163" s="427" t="str">
        <f t="shared" si="12"/>
        <v>KY</v>
      </c>
      <c r="C163" s="427" t="str">
        <f t="shared" si="14"/>
        <v>E</v>
      </c>
      <c r="D163" s="427" t="s">
        <v>3419</v>
      </c>
      <c r="E163" s="427" t="str">
        <f t="shared" si="18"/>
        <v>340</v>
      </c>
      <c r="F163" s="756" t="s">
        <v>1750</v>
      </c>
      <c r="G163" s="426" t="str">
        <f t="shared" si="17"/>
        <v/>
      </c>
      <c r="H163" s="427">
        <v>0</v>
      </c>
      <c r="I163" s="427">
        <v>0</v>
      </c>
      <c r="J163" s="427">
        <v>0</v>
      </c>
      <c r="K163" s="427">
        <v>0</v>
      </c>
      <c r="L163" s="427">
        <v>0</v>
      </c>
      <c r="M163" s="427">
        <v>0</v>
      </c>
      <c r="N163" s="427">
        <v>0</v>
      </c>
      <c r="O163" s="427">
        <v>368.90028799999999</v>
      </c>
      <c r="P163" s="427">
        <v>0</v>
      </c>
      <c r="Q163" s="427">
        <v>0</v>
      </c>
      <c r="R163" s="427">
        <v>0</v>
      </c>
      <c r="S163" s="427">
        <v>0</v>
      </c>
      <c r="T163" s="427">
        <v>0</v>
      </c>
      <c r="U163" s="427">
        <f t="shared" si="16"/>
        <v>368.90028799999999</v>
      </c>
    </row>
    <row r="164" spans="1:21" s="427" customFormat="1">
      <c r="A164" s="427" t="str">
        <f t="shared" si="13"/>
        <v>KU</v>
      </c>
      <c r="B164" s="427" t="str">
        <f t="shared" si="12"/>
        <v>KY</v>
      </c>
      <c r="C164" s="427" t="str">
        <f t="shared" si="14"/>
        <v>E</v>
      </c>
      <c r="D164" s="427" t="s">
        <v>3419</v>
      </c>
      <c r="E164" s="427" t="str">
        <f t="shared" si="18"/>
        <v>341</v>
      </c>
      <c r="F164" s="756" t="s">
        <v>1751</v>
      </c>
      <c r="G164" s="426" t="str">
        <f t="shared" si="17"/>
        <v/>
      </c>
      <c r="H164" s="427">
        <v>0</v>
      </c>
      <c r="I164" s="427">
        <v>47.638300000000001</v>
      </c>
      <c r="J164" s="427">
        <v>0</v>
      </c>
      <c r="K164" s="427">
        <v>0</v>
      </c>
      <c r="L164" s="427">
        <v>0</v>
      </c>
      <c r="M164" s="427">
        <v>0</v>
      </c>
      <c r="N164" s="427">
        <v>0</v>
      </c>
      <c r="O164" s="427">
        <v>19.104968400000001</v>
      </c>
      <c r="P164" s="427">
        <v>0</v>
      </c>
      <c r="Q164" s="427">
        <v>0</v>
      </c>
      <c r="R164" s="427">
        <v>22.36520685</v>
      </c>
      <c r="S164" s="427">
        <v>0</v>
      </c>
      <c r="T164" s="427">
        <v>0</v>
      </c>
      <c r="U164" s="427">
        <f t="shared" si="16"/>
        <v>89.108475249999998</v>
      </c>
    </row>
    <row r="165" spans="1:21" s="427" customFormat="1">
      <c r="A165" s="427" t="str">
        <f t="shared" si="13"/>
        <v>KU</v>
      </c>
      <c r="B165" s="427" t="str">
        <f t="shared" si="12"/>
        <v>KY</v>
      </c>
      <c r="C165" s="427" t="str">
        <f t="shared" si="14"/>
        <v>E</v>
      </c>
      <c r="D165" s="427" t="s">
        <v>3419</v>
      </c>
      <c r="E165" s="427" t="str">
        <f t="shared" si="18"/>
        <v>341</v>
      </c>
      <c r="F165" s="756" t="s">
        <v>2199</v>
      </c>
      <c r="G165" s="426" t="str">
        <f t="shared" si="17"/>
        <v/>
      </c>
      <c r="H165" s="427">
        <v>0</v>
      </c>
      <c r="I165" s="427">
        <v>323.49106</v>
      </c>
      <c r="J165" s="427">
        <v>0</v>
      </c>
      <c r="K165" s="427">
        <v>0</v>
      </c>
      <c r="L165" s="427">
        <v>1.1040099999999999</v>
      </c>
      <c r="M165" s="427">
        <v>0</v>
      </c>
      <c r="N165" s="427">
        <v>580.17426</v>
      </c>
      <c r="O165" s="427">
        <v>386.74188264199898</v>
      </c>
      <c r="P165" s="427">
        <v>0</v>
      </c>
      <c r="Q165" s="427">
        <v>39.833747289999998</v>
      </c>
      <c r="R165" s="427">
        <v>16.852738500000001</v>
      </c>
      <c r="S165" s="427">
        <v>0</v>
      </c>
      <c r="T165" s="427">
        <v>0</v>
      </c>
      <c r="U165" s="427">
        <f t="shared" si="16"/>
        <v>1348.197698431999</v>
      </c>
    </row>
    <row r="166" spans="1:21" s="427" customFormat="1">
      <c r="A166" s="427" t="str">
        <f t="shared" si="13"/>
        <v>KU</v>
      </c>
      <c r="B166" s="427" t="str">
        <f t="shared" si="12"/>
        <v>KY</v>
      </c>
      <c r="C166" s="427" t="str">
        <f t="shared" si="14"/>
        <v>E</v>
      </c>
      <c r="D166" s="427" t="s">
        <v>3419</v>
      </c>
      <c r="E166" s="427" t="str">
        <f t="shared" si="18"/>
        <v>341</v>
      </c>
      <c r="F166" s="756" t="s">
        <v>2200</v>
      </c>
      <c r="G166" s="426" t="str">
        <f t="shared" si="17"/>
        <v/>
      </c>
      <c r="H166" s="427">
        <v>544.24334999999996</v>
      </c>
      <c r="I166" s="427">
        <v>0</v>
      </c>
      <c r="J166" s="427">
        <v>0</v>
      </c>
      <c r="K166" s="427">
        <v>0</v>
      </c>
      <c r="L166" s="427">
        <v>0</v>
      </c>
      <c r="M166" s="427">
        <v>0</v>
      </c>
      <c r="N166" s="427">
        <v>0</v>
      </c>
      <c r="O166" s="427">
        <v>0</v>
      </c>
      <c r="P166" s="427">
        <v>0</v>
      </c>
      <c r="Q166" s="427">
        <v>0</v>
      </c>
      <c r="R166" s="427">
        <v>0</v>
      </c>
      <c r="S166" s="427">
        <v>0</v>
      </c>
      <c r="T166" s="427">
        <v>0</v>
      </c>
      <c r="U166" s="427">
        <f t="shared" si="16"/>
        <v>0</v>
      </c>
    </row>
    <row r="167" spans="1:21" s="427" customFormat="1">
      <c r="A167" s="427" t="str">
        <f t="shared" si="13"/>
        <v>KU</v>
      </c>
      <c r="B167" s="427" t="str">
        <f t="shared" si="12"/>
        <v>KY</v>
      </c>
      <c r="C167" s="427" t="str">
        <f t="shared" si="14"/>
        <v>E</v>
      </c>
      <c r="D167" s="427" t="s">
        <v>3419</v>
      </c>
      <c r="E167" s="427" t="str">
        <f t="shared" si="18"/>
        <v>342</v>
      </c>
      <c r="F167" s="756" t="s">
        <v>1752</v>
      </c>
      <c r="G167" s="426" t="str">
        <f t="shared" si="17"/>
        <v/>
      </c>
      <c r="H167" s="427">
        <v>0</v>
      </c>
      <c r="I167" s="427">
        <v>0</v>
      </c>
      <c r="J167" s="427">
        <v>0</v>
      </c>
      <c r="K167" s="427">
        <v>27.05226</v>
      </c>
      <c r="L167" s="427">
        <v>0</v>
      </c>
      <c r="M167" s="427">
        <v>0</v>
      </c>
      <c r="N167" s="427">
        <v>0</v>
      </c>
      <c r="O167" s="427">
        <v>39.057670000000002</v>
      </c>
      <c r="P167" s="427">
        <v>0</v>
      </c>
      <c r="Q167" s="427">
        <v>76.821600000000004</v>
      </c>
      <c r="R167" s="427">
        <v>133.77959419999999</v>
      </c>
      <c r="S167" s="427">
        <v>0</v>
      </c>
      <c r="T167" s="427">
        <v>0</v>
      </c>
      <c r="U167" s="427">
        <f t="shared" si="16"/>
        <v>276.71112419999997</v>
      </c>
    </row>
    <row r="168" spans="1:21" s="427" customFormat="1">
      <c r="A168" s="427" t="str">
        <f t="shared" si="13"/>
        <v>KU</v>
      </c>
      <c r="B168" s="427" t="str">
        <f t="shared" si="12"/>
        <v>KY</v>
      </c>
      <c r="C168" s="427" t="str">
        <f t="shared" si="14"/>
        <v>E</v>
      </c>
      <c r="D168" s="427" t="s">
        <v>3419</v>
      </c>
      <c r="E168" s="427" t="str">
        <f t="shared" si="18"/>
        <v>342</v>
      </c>
      <c r="F168" s="756" t="s">
        <v>2202</v>
      </c>
      <c r="G168" s="426" t="str">
        <f t="shared" si="17"/>
        <v/>
      </c>
      <c r="H168" s="427">
        <v>0</v>
      </c>
      <c r="I168" s="427">
        <v>0</v>
      </c>
      <c r="J168" s="427">
        <v>0</v>
      </c>
      <c r="K168" s="427">
        <v>0</v>
      </c>
      <c r="L168" s="427">
        <v>0</v>
      </c>
      <c r="M168" s="427">
        <v>0</v>
      </c>
      <c r="N168" s="427">
        <v>0</v>
      </c>
      <c r="O168" s="427">
        <v>0</v>
      </c>
      <c r="P168" s="427">
        <v>0</v>
      </c>
      <c r="Q168" s="427">
        <v>0</v>
      </c>
      <c r="R168" s="427">
        <v>233.03497999999999</v>
      </c>
      <c r="S168" s="427">
        <v>0</v>
      </c>
      <c r="T168" s="427">
        <v>0</v>
      </c>
      <c r="U168" s="427">
        <f t="shared" si="16"/>
        <v>233.03497999999999</v>
      </c>
    </row>
    <row r="169" spans="1:21" s="427" customFormat="1">
      <c r="A169" s="427" t="str">
        <f t="shared" si="13"/>
        <v>KU</v>
      </c>
      <c r="B169" s="427" t="str">
        <f t="shared" si="12"/>
        <v>KY</v>
      </c>
      <c r="C169" s="427" t="str">
        <f t="shared" si="14"/>
        <v>E</v>
      </c>
      <c r="D169" s="427" t="s">
        <v>3419</v>
      </c>
      <c r="E169" s="427" t="str">
        <f t="shared" si="18"/>
        <v>343</v>
      </c>
      <c r="F169" s="756" t="s">
        <v>1753</v>
      </c>
      <c r="G169" s="426" t="str">
        <f t="shared" si="17"/>
        <v/>
      </c>
      <c r="H169" s="427">
        <v>3436.0952200000002</v>
      </c>
      <c r="I169" s="427">
        <v>296.0829</v>
      </c>
      <c r="J169" s="427">
        <v>158.27800999999999</v>
      </c>
      <c r="K169" s="427">
        <v>40.08934</v>
      </c>
      <c r="L169" s="427">
        <v>138.46812</v>
      </c>
      <c r="M169" s="427">
        <v>-6.0400000000000002E-3</v>
      </c>
      <c r="N169" s="427">
        <v>15.58287</v>
      </c>
      <c r="O169" s="427">
        <v>292.52643999999998</v>
      </c>
      <c r="P169" s="427">
        <v>113.02839152</v>
      </c>
      <c r="Q169" s="427">
        <v>0</v>
      </c>
      <c r="R169" s="427">
        <v>255.33189838000001</v>
      </c>
      <c r="S169" s="427">
        <v>8284.708294</v>
      </c>
      <c r="T169" s="427">
        <v>3085.8830589899999</v>
      </c>
      <c r="U169" s="427">
        <f t="shared" si="16"/>
        <v>12679.973282890001</v>
      </c>
    </row>
    <row r="170" spans="1:21" s="427" customFormat="1">
      <c r="A170" s="427" t="str">
        <f t="shared" si="13"/>
        <v>KU</v>
      </c>
      <c r="B170" s="427" t="str">
        <f t="shared" si="12"/>
        <v>KY</v>
      </c>
      <c r="C170" s="427" t="str">
        <f t="shared" si="14"/>
        <v>E</v>
      </c>
      <c r="D170" s="427" t="s">
        <v>3419</v>
      </c>
      <c r="E170" s="427" t="str">
        <f t="shared" si="18"/>
        <v>343</v>
      </c>
      <c r="F170" s="756" t="s">
        <v>2203</v>
      </c>
      <c r="G170" s="426" t="str">
        <f t="shared" si="17"/>
        <v/>
      </c>
      <c r="H170" s="427">
        <v>10474.291999999999</v>
      </c>
      <c r="I170" s="427">
        <v>-860.00703999999905</v>
      </c>
      <c r="J170" s="427">
        <v>-899.64125000000001</v>
      </c>
      <c r="K170" s="427">
        <v>13.4979</v>
      </c>
      <c r="L170" s="427">
        <v>0.69357999999999997</v>
      </c>
      <c r="M170" s="427">
        <v>-1.4878499999999999</v>
      </c>
      <c r="N170" s="427">
        <v>-0.94379000000000002</v>
      </c>
      <c r="O170" s="427">
        <v>867.35426519730004</v>
      </c>
      <c r="P170" s="427">
        <v>0</v>
      </c>
      <c r="Q170" s="427">
        <v>43.00702673</v>
      </c>
      <c r="R170" s="427">
        <v>3968.8600921500001</v>
      </c>
      <c r="S170" s="427">
        <v>0</v>
      </c>
      <c r="T170" s="427">
        <v>329.33200019999998</v>
      </c>
      <c r="U170" s="427">
        <f t="shared" si="16"/>
        <v>3460.6649342773012</v>
      </c>
    </row>
    <row r="171" spans="1:21" s="427" customFormat="1">
      <c r="A171" s="427" t="str">
        <f t="shared" si="13"/>
        <v>KU</v>
      </c>
      <c r="B171" s="427" t="str">
        <f t="shared" si="12"/>
        <v>KY</v>
      </c>
      <c r="C171" s="427" t="str">
        <f t="shared" si="14"/>
        <v>E</v>
      </c>
      <c r="D171" s="427" t="s">
        <v>3419</v>
      </c>
      <c r="E171" s="427" t="str">
        <f t="shared" si="18"/>
        <v>344</v>
      </c>
      <c r="F171" s="756" t="s">
        <v>1754</v>
      </c>
      <c r="G171" s="426" t="str">
        <f t="shared" si="17"/>
        <v/>
      </c>
      <c r="H171" s="427">
        <v>0</v>
      </c>
      <c r="I171" s="427">
        <v>0</v>
      </c>
      <c r="J171" s="427">
        <v>0</v>
      </c>
      <c r="K171" s="427">
        <v>12.55921</v>
      </c>
      <c r="L171" s="427">
        <v>0</v>
      </c>
      <c r="M171" s="427">
        <v>0</v>
      </c>
      <c r="N171" s="427">
        <v>0</v>
      </c>
      <c r="O171" s="427">
        <v>0</v>
      </c>
      <c r="P171" s="427">
        <v>0</v>
      </c>
      <c r="Q171" s="427">
        <v>143.79098152</v>
      </c>
      <c r="R171" s="427">
        <v>415.15599882999999</v>
      </c>
      <c r="S171" s="427">
        <v>0</v>
      </c>
      <c r="T171" s="427">
        <v>215.36935560000001</v>
      </c>
      <c r="U171" s="427">
        <f t="shared" si="16"/>
        <v>786.87554595000006</v>
      </c>
    </row>
    <row r="172" spans="1:21" s="427" customFormat="1">
      <c r="A172" s="427" t="str">
        <f t="shared" si="13"/>
        <v>KU</v>
      </c>
      <c r="B172" s="427" t="str">
        <f t="shared" si="12"/>
        <v>KY</v>
      </c>
      <c r="C172" s="427" t="str">
        <f t="shared" si="14"/>
        <v>E</v>
      </c>
      <c r="D172" s="427" t="s">
        <v>3419</v>
      </c>
      <c r="E172" s="427" t="str">
        <f t="shared" si="18"/>
        <v>344</v>
      </c>
      <c r="F172" s="756" t="s">
        <v>2204</v>
      </c>
      <c r="G172" s="426" t="str">
        <f t="shared" si="17"/>
        <v/>
      </c>
      <c r="H172" s="427">
        <v>236.67294999999999</v>
      </c>
      <c r="I172" s="427">
        <v>1.9961500000000001</v>
      </c>
      <c r="J172" s="427">
        <v>0.65044999999999997</v>
      </c>
      <c r="K172" s="427">
        <v>0</v>
      </c>
      <c r="L172" s="427">
        <v>0</v>
      </c>
      <c r="M172" s="427">
        <v>0</v>
      </c>
      <c r="N172" s="427">
        <v>0</v>
      </c>
      <c r="O172" s="427">
        <v>0</v>
      </c>
      <c r="P172" s="427">
        <v>0</v>
      </c>
      <c r="Q172" s="427">
        <v>0</v>
      </c>
      <c r="R172" s="427">
        <v>0</v>
      </c>
      <c r="S172" s="427">
        <v>0</v>
      </c>
      <c r="T172" s="427">
        <v>0</v>
      </c>
      <c r="U172" s="427">
        <f t="shared" si="16"/>
        <v>2.6466000000000003</v>
      </c>
    </row>
    <row r="173" spans="1:21" s="427" customFormat="1">
      <c r="A173" s="427" t="str">
        <f t="shared" si="13"/>
        <v>KU</v>
      </c>
      <c r="B173" s="427" t="str">
        <f t="shared" si="12"/>
        <v>KY</v>
      </c>
      <c r="C173" s="427" t="str">
        <f t="shared" si="14"/>
        <v>E</v>
      </c>
      <c r="D173" s="427" t="s">
        <v>3419</v>
      </c>
      <c r="E173" s="427" t="str">
        <f t="shared" si="18"/>
        <v>344</v>
      </c>
      <c r="F173" s="756" t="s">
        <v>2205</v>
      </c>
      <c r="G173" s="426" t="str">
        <f t="shared" si="17"/>
        <v/>
      </c>
      <c r="H173" s="427">
        <v>-411.77904999999998</v>
      </c>
      <c r="I173" s="427">
        <v>0</v>
      </c>
      <c r="J173" s="427">
        <v>0</v>
      </c>
      <c r="K173" s="427">
        <v>0</v>
      </c>
      <c r="L173" s="427">
        <v>0</v>
      </c>
      <c r="M173" s="427">
        <v>0</v>
      </c>
      <c r="N173" s="427">
        <v>0</v>
      </c>
      <c r="O173" s="427">
        <v>0</v>
      </c>
      <c r="P173" s="427">
        <v>0</v>
      </c>
      <c r="Q173" s="427">
        <v>0</v>
      </c>
      <c r="R173" s="427">
        <v>0</v>
      </c>
      <c r="S173" s="427">
        <v>0</v>
      </c>
      <c r="T173" s="427">
        <v>0</v>
      </c>
      <c r="U173" s="427">
        <f t="shared" si="16"/>
        <v>0</v>
      </c>
    </row>
    <row r="174" spans="1:21" s="427" customFormat="1">
      <c r="A174" s="427" t="str">
        <f t="shared" si="13"/>
        <v>KU</v>
      </c>
      <c r="B174" s="427" t="str">
        <f t="shared" si="12"/>
        <v>KY</v>
      </c>
      <c r="C174" s="427" t="str">
        <f t="shared" si="14"/>
        <v>E</v>
      </c>
      <c r="D174" s="427" t="s">
        <v>3419</v>
      </c>
      <c r="E174" s="427" t="str">
        <f t="shared" si="18"/>
        <v>345</v>
      </c>
      <c r="F174" s="756" t="s">
        <v>1755</v>
      </c>
      <c r="G174" s="426" t="str">
        <f t="shared" si="17"/>
        <v/>
      </c>
      <c r="H174" s="427">
        <v>4470.3850300000004</v>
      </c>
      <c r="I174" s="427">
        <v>4.02705</v>
      </c>
      <c r="J174" s="427">
        <v>1.52945</v>
      </c>
      <c r="K174" s="427">
        <v>-0.47545999999999999</v>
      </c>
      <c r="L174" s="427">
        <v>0</v>
      </c>
      <c r="M174" s="427">
        <v>0.18103</v>
      </c>
      <c r="N174" s="427">
        <v>-0.18784000000000001</v>
      </c>
      <c r="O174" s="427">
        <v>0</v>
      </c>
      <c r="P174" s="427">
        <v>0</v>
      </c>
      <c r="Q174" s="427">
        <v>0</v>
      </c>
      <c r="R174" s="427">
        <v>0</v>
      </c>
      <c r="S174" s="427">
        <v>0</v>
      </c>
      <c r="T174" s="427">
        <v>0</v>
      </c>
      <c r="U174" s="427">
        <f t="shared" si="16"/>
        <v>5.07423</v>
      </c>
    </row>
    <row r="175" spans="1:21" s="427" customFormat="1">
      <c r="A175" s="427" t="str">
        <f t="shared" si="13"/>
        <v>KU</v>
      </c>
      <c r="B175" s="427" t="str">
        <f t="shared" si="12"/>
        <v>KY</v>
      </c>
      <c r="C175" s="427" t="str">
        <f t="shared" si="14"/>
        <v>E</v>
      </c>
      <c r="D175" s="427" t="s">
        <v>3419</v>
      </c>
      <c r="E175" s="427" t="str">
        <f t="shared" si="18"/>
        <v>345</v>
      </c>
      <c r="F175" s="756" t="s">
        <v>2206</v>
      </c>
      <c r="G175" s="426" t="str">
        <f t="shared" si="17"/>
        <v/>
      </c>
      <c r="H175" s="427">
        <v>7976.8610699999999</v>
      </c>
      <c r="I175" s="427">
        <v>212.11168000000001</v>
      </c>
      <c r="J175" s="427">
        <v>4.2979999999999997E-2</v>
      </c>
      <c r="K175" s="427">
        <v>0</v>
      </c>
      <c r="L175" s="427">
        <v>0.25918000000000002</v>
      </c>
      <c r="M175" s="427">
        <v>1.9369999999999998E-2</v>
      </c>
      <c r="N175" s="427">
        <v>-0.41682999999999998</v>
      </c>
      <c r="O175" s="427">
        <v>0</v>
      </c>
      <c r="P175" s="427">
        <v>0</v>
      </c>
      <c r="Q175" s="427">
        <v>0</v>
      </c>
      <c r="R175" s="427">
        <v>26.730767109999999</v>
      </c>
      <c r="S175" s="427">
        <v>0</v>
      </c>
      <c r="T175" s="427">
        <v>0</v>
      </c>
      <c r="U175" s="427">
        <f t="shared" si="16"/>
        <v>238.74714710999999</v>
      </c>
    </row>
    <row r="176" spans="1:21" s="427" customFormat="1">
      <c r="A176" s="427" t="str">
        <f t="shared" si="13"/>
        <v>KU</v>
      </c>
      <c r="B176" s="427" t="str">
        <f t="shared" si="12"/>
        <v>KY</v>
      </c>
      <c r="C176" s="427" t="str">
        <f t="shared" si="14"/>
        <v>E</v>
      </c>
      <c r="D176" s="427" t="s">
        <v>3419</v>
      </c>
      <c r="E176" s="427" t="str">
        <f t="shared" si="18"/>
        <v>345</v>
      </c>
      <c r="F176" s="756" t="s">
        <v>2207</v>
      </c>
      <c r="G176" s="426" t="str">
        <f t="shared" si="17"/>
        <v/>
      </c>
      <c r="H176" s="427">
        <v>-250.44517999999999</v>
      </c>
      <c r="I176" s="427">
        <v>0</v>
      </c>
      <c r="J176" s="427">
        <v>0</v>
      </c>
      <c r="K176" s="427">
        <v>0</v>
      </c>
      <c r="L176" s="427">
        <v>0</v>
      </c>
      <c r="M176" s="427">
        <v>0</v>
      </c>
      <c r="N176" s="427">
        <v>0</v>
      </c>
      <c r="O176" s="427">
        <v>0</v>
      </c>
      <c r="P176" s="427">
        <v>0</v>
      </c>
      <c r="Q176" s="427">
        <v>0</v>
      </c>
      <c r="R176" s="427">
        <v>0</v>
      </c>
      <c r="S176" s="427">
        <v>0</v>
      </c>
      <c r="T176" s="427">
        <v>0</v>
      </c>
      <c r="U176" s="427">
        <f t="shared" si="16"/>
        <v>0</v>
      </c>
    </row>
    <row r="177" spans="1:21" s="427" customFormat="1">
      <c r="A177" s="427" t="str">
        <f t="shared" si="13"/>
        <v>KU</v>
      </c>
      <c r="B177" s="427" t="str">
        <f t="shared" si="12"/>
        <v>KY</v>
      </c>
      <c r="C177" s="427" t="str">
        <f t="shared" si="14"/>
        <v>E</v>
      </c>
      <c r="D177" s="427" t="s">
        <v>3419</v>
      </c>
      <c r="E177" s="427" t="str">
        <f t="shared" si="18"/>
        <v>346</v>
      </c>
      <c r="F177" s="756" t="s">
        <v>1756</v>
      </c>
      <c r="G177" s="426" t="str">
        <f t="shared" si="17"/>
        <v/>
      </c>
      <c r="H177" s="427">
        <v>0</v>
      </c>
      <c r="I177" s="427">
        <v>0</v>
      </c>
      <c r="J177" s="427">
        <v>7.1040000000000001</v>
      </c>
      <c r="K177" s="427">
        <v>0</v>
      </c>
      <c r="L177" s="427">
        <v>0</v>
      </c>
      <c r="M177" s="427">
        <v>0</v>
      </c>
      <c r="N177" s="427">
        <v>0</v>
      </c>
      <c r="O177" s="427">
        <v>0</v>
      </c>
      <c r="P177" s="427">
        <v>0</v>
      </c>
      <c r="Q177" s="427">
        <v>0</v>
      </c>
      <c r="R177" s="427">
        <v>0</v>
      </c>
      <c r="S177" s="427">
        <v>29.414510509999999</v>
      </c>
      <c r="T177" s="427">
        <v>0</v>
      </c>
      <c r="U177" s="427">
        <f t="shared" si="16"/>
        <v>36.518510509999999</v>
      </c>
    </row>
    <row r="178" spans="1:21" s="427" customFormat="1">
      <c r="A178" s="427" t="str">
        <f t="shared" si="13"/>
        <v>KU</v>
      </c>
      <c r="B178" s="427" t="str">
        <f t="shared" si="12"/>
        <v>KY</v>
      </c>
      <c r="C178" s="427" t="str">
        <f t="shared" si="14"/>
        <v>E</v>
      </c>
      <c r="D178" s="427" t="s">
        <v>3419</v>
      </c>
      <c r="E178" s="427" t="str">
        <f t="shared" si="18"/>
        <v>346</v>
      </c>
      <c r="F178" s="756" t="s">
        <v>2208</v>
      </c>
      <c r="G178" s="426" t="str">
        <f t="shared" si="17"/>
        <v/>
      </c>
      <c r="H178" s="427">
        <v>0</v>
      </c>
      <c r="I178" s="427">
        <v>0</v>
      </c>
      <c r="J178" s="427">
        <v>0</v>
      </c>
      <c r="K178" s="427">
        <v>0</v>
      </c>
      <c r="L178" s="427">
        <v>0</v>
      </c>
      <c r="M178" s="427">
        <v>0</v>
      </c>
      <c r="N178" s="427">
        <v>0</v>
      </c>
      <c r="O178" s="427">
        <v>0</v>
      </c>
      <c r="P178" s="427">
        <v>0</v>
      </c>
      <c r="Q178" s="427">
        <v>18.725255399999899</v>
      </c>
      <c r="R178" s="427">
        <v>0</v>
      </c>
      <c r="S178" s="427">
        <v>453.5686043</v>
      </c>
      <c r="T178" s="427">
        <v>153.17266770000001</v>
      </c>
      <c r="U178" s="427">
        <f t="shared" si="16"/>
        <v>625.4665273999999</v>
      </c>
    </row>
    <row r="179" spans="1:21" s="427" customFormat="1">
      <c r="A179" s="427" t="str">
        <f t="shared" si="13"/>
        <v>KU</v>
      </c>
      <c r="B179" s="427" t="str">
        <f t="shared" si="12"/>
        <v>KY</v>
      </c>
      <c r="C179" s="427" t="str">
        <f t="shared" si="14"/>
        <v>E</v>
      </c>
      <c r="D179" s="427" t="s">
        <v>3419</v>
      </c>
      <c r="E179" s="427" t="str">
        <f t="shared" si="18"/>
        <v>346</v>
      </c>
      <c r="F179" s="756" t="s">
        <v>2209</v>
      </c>
      <c r="G179" s="426" t="str">
        <f t="shared" si="17"/>
        <v/>
      </c>
      <c r="H179" s="427">
        <v>117.98088</v>
      </c>
      <c r="I179" s="427">
        <v>0</v>
      </c>
      <c r="J179" s="427">
        <v>0</v>
      </c>
      <c r="K179" s="427">
        <v>0</v>
      </c>
      <c r="L179" s="427">
        <v>0</v>
      </c>
      <c r="M179" s="427">
        <v>0</v>
      </c>
      <c r="N179" s="427">
        <v>0</v>
      </c>
      <c r="O179" s="427">
        <v>0</v>
      </c>
      <c r="P179" s="427">
        <v>0</v>
      </c>
      <c r="Q179" s="427">
        <v>0</v>
      </c>
      <c r="R179" s="427">
        <v>0</v>
      </c>
      <c r="S179" s="427">
        <v>0</v>
      </c>
      <c r="T179" s="427">
        <v>0</v>
      </c>
      <c r="U179" s="427">
        <f t="shared" si="16"/>
        <v>0</v>
      </c>
    </row>
    <row r="180" spans="1:21" s="427" customFormat="1">
      <c r="A180" s="427" t="str">
        <f t="shared" si="13"/>
        <v>KU</v>
      </c>
      <c r="B180" s="427" t="str">
        <f t="shared" si="12"/>
        <v>KY</v>
      </c>
      <c r="C180" s="427" t="str">
        <f t="shared" si="14"/>
        <v>E</v>
      </c>
      <c r="D180" s="427" t="s">
        <v>3419</v>
      </c>
      <c r="E180" s="427" t="str">
        <f t="shared" si="18"/>
        <v>350</v>
      </c>
      <c r="F180" s="756" t="s">
        <v>1757</v>
      </c>
      <c r="G180" s="426" t="str">
        <f t="shared" si="17"/>
        <v/>
      </c>
      <c r="H180" s="427">
        <v>0</v>
      </c>
      <c r="I180" s="427">
        <v>0</v>
      </c>
      <c r="J180" s="427">
        <v>0</v>
      </c>
      <c r="K180" s="427">
        <v>0</v>
      </c>
      <c r="L180" s="427">
        <v>2.2393000000000001</v>
      </c>
      <c r="M180" s="427">
        <v>0</v>
      </c>
      <c r="N180" s="427">
        <v>0</v>
      </c>
      <c r="O180" s="427">
        <v>134.86932999999999</v>
      </c>
      <c r="P180" s="427">
        <v>0</v>
      </c>
      <c r="Q180" s="427">
        <v>0</v>
      </c>
      <c r="R180" s="427">
        <v>0</v>
      </c>
      <c r="S180" s="427">
        <v>0</v>
      </c>
      <c r="T180" s="427">
        <v>2.2832789999999999E-4</v>
      </c>
      <c r="U180" s="427">
        <f t="shared" si="16"/>
        <v>137.10885832790001</v>
      </c>
    </row>
    <row r="181" spans="1:21" s="427" customFormat="1">
      <c r="A181" s="427" t="str">
        <f t="shared" si="13"/>
        <v>KU</v>
      </c>
      <c r="B181" s="427" t="str">
        <f t="shared" si="12"/>
        <v>VA</v>
      </c>
      <c r="C181" s="427" t="str">
        <f t="shared" si="14"/>
        <v>E</v>
      </c>
      <c r="D181" s="427" t="s">
        <v>3419</v>
      </c>
      <c r="E181" s="427" t="str">
        <f t="shared" si="18"/>
        <v>350</v>
      </c>
      <c r="F181" s="756" t="s">
        <v>1759</v>
      </c>
      <c r="G181" s="426" t="str">
        <f t="shared" si="17"/>
        <v/>
      </c>
      <c r="H181" s="427">
        <v>0</v>
      </c>
      <c r="I181" s="427">
        <v>0</v>
      </c>
      <c r="J181" s="427">
        <v>0</v>
      </c>
      <c r="K181" s="427">
        <v>0</v>
      </c>
      <c r="L181" s="427">
        <v>0</v>
      </c>
      <c r="M181" s="427">
        <v>0</v>
      </c>
      <c r="N181" s="427">
        <v>0</v>
      </c>
      <c r="O181" s="427">
        <v>0</v>
      </c>
      <c r="P181" s="427">
        <v>0</v>
      </c>
      <c r="Q181" s="427">
        <v>0</v>
      </c>
      <c r="R181" s="427">
        <v>0</v>
      </c>
      <c r="S181" s="427">
        <v>0</v>
      </c>
      <c r="T181" s="427">
        <v>0</v>
      </c>
      <c r="U181" s="427">
        <f t="shared" si="16"/>
        <v>0</v>
      </c>
    </row>
    <row r="182" spans="1:21" s="427" customFormat="1">
      <c r="A182" s="427" t="str">
        <f t="shared" si="13"/>
        <v>KU</v>
      </c>
      <c r="B182" s="427" t="str">
        <f t="shared" si="12"/>
        <v>KY</v>
      </c>
      <c r="C182" s="427" t="str">
        <f t="shared" si="14"/>
        <v>E</v>
      </c>
      <c r="D182" s="427" t="s">
        <v>3419</v>
      </c>
      <c r="E182" s="427" t="str">
        <f t="shared" si="18"/>
        <v>352</v>
      </c>
      <c r="F182" s="756" t="s">
        <v>1760</v>
      </c>
      <c r="G182" s="426" t="str">
        <f t="shared" si="17"/>
        <v/>
      </c>
      <c r="H182" s="427">
        <v>0</v>
      </c>
      <c r="I182" s="427">
        <v>0</v>
      </c>
      <c r="J182" s="427">
        <v>-5.7859400000000001</v>
      </c>
      <c r="K182" s="427">
        <v>0</v>
      </c>
      <c r="L182" s="427">
        <v>0</v>
      </c>
      <c r="M182" s="427">
        <v>0</v>
      </c>
      <c r="N182" s="427">
        <v>0</v>
      </c>
      <c r="O182" s="427">
        <v>0</v>
      </c>
      <c r="P182" s="427">
        <v>0</v>
      </c>
      <c r="Q182" s="427">
        <v>0</v>
      </c>
      <c r="R182" s="427">
        <v>0</v>
      </c>
      <c r="S182" s="427">
        <v>0</v>
      </c>
      <c r="T182" s="427">
        <v>0</v>
      </c>
      <c r="U182" s="427">
        <f t="shared" si="16"/>
        <v>-5.7859400000000001</v>
      </c>
    </row>
    <row r="183" spans="1:21" s="427" customFormat="1">
      <c r="A183" s="427" t="str">
        <f t="shared" si="13"/>
        <v>KU</v>
      </c>
      <c r="B183" s="427" t="str">
        <f t="shared" si="12"/>
        <v>KY</v>
      </c>
      <c r="C183" s="427" t="str">
        <f t="shared" si="14"/>
        <v>E</v>
      </c>
      <c r="D183" s="427" t="s">
        <v>3419</v>
      </c>
      <c r="E183" s="427" t="str">
        <f t="shared" si="18"/>
        <v>352</v>
      </c>
      <c r="F183" s="756" t="s">
        <v>1761</v>
      </c>
      <c r="G183" s="426" t="str">
        <f t="shared" si="17"/>
        <v/>
      </c>
      <c r="H183" s="427">
        <v>0</v>
      </c>
      <c r="I183" s="427">
        <v>0.14036999999999999</v>
      </c>
      <c r="J183" s="427">
        <v>13.847709999999999</v>
      </c>
      <c r="K183" s="427">
        <v>0</v>
      </c>
      <c r="L183" s="427">
        <v>0</v>
      </c>
      <c r="M183" s="427">
        <v>117.83664</v>
      </c>
      <c r="N183" s="427">
        <v>0</v>
      </c>
      <c r="O183" s="427">
        <v>0</v>
      </c>
      <c r="P183" s="427">
        <v>0</v>
      </c>
      <c r="Q183" s="427">
        <v>0</v>
      </c>
      <c r="R183" s="427">
        <v>0</v>
      </c>
      <c r="S183" s="427">
        <v>0</v>
      </c>
      <c r="T183" s="427">
        <v>0</v>
      </c>
      <c r="U183" s="427">
        <f t="shared" si="16"/>
        <v>131.82472000000001</v>
      </c>
    </row>
    <row r="184" spans="1:21" s="427" customFormat="1">
      <c r="A184" s="427" t="str">
        <f t="shared" si="13"/>
        <v>KU</v>
      </c>
      <c r="B184" s="427" t="str">
        <f t="shared" si="12"/>
        <v>KY</v>
      </c>
      <c r="C184" s="427" t="str">
        <f t="shared" si="14"/>
        <v>E</v>
      </c>
      <c r="D184" s="427" t="s">
        <v>3419</v>
      </c>
      <c r="E184" s="427" t="str">
        <f t="shared" si="18"/>
        <v>353</v>
      </c>
      <c r="F184" s="756" t="s">
        <v>1763</v>
      </c>
      <c r="G184" s="426" t="str">
        <f t="shared" si="17"/>
        <v/>
      </c>
      <c r="H184" s="427">
        <v>84.189430000000002</v>
      </c>
      <c r="I184" s="427">
        <v>627.41851999999994</v>
      </c>
      <c r="J184" s="427">
        <v>82.734080000000006</v>
      </c>
      <c r="K184" s="427">
        <v>142.36868999999999</v>
      </c>
      <c r="L184" s="427">
        <v>373.37529999999998</v>
      </c>
      <c r="M184" s="427">
        <v>5848.00288</v>
      </c>
      <c r="N184" s="427">
        <v>1071.1608799999999</v>
      </c>
      <c r="O184" s="427">
        <v>41808.306504078697</v>
      </c>
      <c r="P184" s="427">
        <v>3042.1392866243</v>
      </c>
      <c r="Q184" s="427">
        <v>3619.4451033933901</v>
      </c>
      <c r="R184" s="427">
        <v>459.35888280500001</v>
      </c>
      <c r="S184" s="427">
        <v>25.566929479999999</v>
      </c>
      <c r="T184" s="427">
        <v>7442.1985139230001</v>
      </c>
      <c r="U184" s="427">
        <f t="shared" si="16"/>
        <v>64542.075570304383</v>
      </c>
    </row>
    <row r="185" spans="1:21" s="427" customFormat="1">
      <c r="A185" s="427" t="str">
        <f t="shared" si="13"/>
        <v>KU</v>
      </c>
      <c r="B185" s="427" t="str">
        <f t="shared" si="12"/>
        <v>KY</v>
      </c>
      <c r="C185" s="427" t="str">
        <f t="shared" si="14"/>
        <v>E</v>
      </c>
      <c r="D185" s="427" t="s">
        <v>3419</v>
      </c>
      <c r="E185" s="427" t="str">
        <f t="shared" si="18"/>
        <v>353</v>
      </c>
      <c r="F185" s="756" t="s">
        <v>1764</v>
      </c>
      <c r="G185" s="426" t="str">
        <f t="shared" si="17"/>
        <v/>
      </c>
      <c r="H185" s="427">
        <v>32.182049999999997</v>
      </c>
      <c r="I185" s="427">
        <v>0</v>
      </c>
      <c r="J185" s="427">
        <v>0</v>
      </c>
      <c r="K185" s="427">
        <v>0</v>
      </c>
      <c r="L185" s="427">
        <v>0</v>
      </c>
      <c r="M185" s="427">
        <v>0</v>
      </c>
      <c r="N185" s="427">
        <v>0</v>
      </c>
      <c r="O185" s="427">
        <v>552.65531595200002</v>
      </c>
      <c r="P185" s="427">
        <v>-15.988495500000001</v>
      </c>
      <c r="Q185" s="427">
        <v>0</v>
      </c>
      <c r="R185" s="427">
        <v>0</v>
      </c>
      <c r="S185" s="427">
        <v>0</v>
      </c>
      <c r="T185" s="427">
        <v>0</v>
      </c>
      <c r="U185" s="427">
        <f t="shared" si="16"/>
        <v>536.66682045200002</v>
      </c>
    </row>
    <row r="186" spans="1:21" s="427" customFormat="1">
      <c r="A186" s="427" t="str">
        <f t="shared" si="13"/>
        <v>KU</v>
      </c>
      <c r="B186" s="427" t="str">
        <f t="shared" si="12"/>
        <v>VA</v>
      </c>
      <c r="C186" s="427" t="str">
        <f t="shared" si="14"/>
        <v>E</v>
      </c>
      <c r="D186" s="427" t="s">
        <v>3419</v>
      </c>
      <c r="E186" s="427" t="str">
        <f t="shared" si="18"/>
        <v>353</v>
      </c>
      <c r="F186" s="756" t="s">
        <v>1765</v>
      </c>
      <c r="G186" s="426" t="str">
        <f t="shared" si="17"/>
        <v/>
      </c>
      <c r="H186" s="427">
        <v>15.41685</v>
      </c>
      <c r="I186" s="427">
        <v>0</v>
      </c>
      <c r="J186" s="427">
        <v>8.62929999999999</v>
      </c>
      <c r="K186" s="427">
        <v>0</v>
      </c>
      <c r="L186" s="427">
        <v>31.42972</v>
      </c>
      <c r="M186" s="427">
        <v>94.935360000000003</v>
      </c>
      <c r="N186" s="427">
        <v>-3.3062100000000001</v>
      </c>
      <c r="O186" s="427">
        <v>0</v>
      </c>
      <c r="P186" s="427">
        <v>0</v>
      </c>
      <c r="Q186" s="427">
        <v>0</v>
      </c>
      <c r="R186" s="427">
        <v>0</v>
      </c>
      <c r="S186" s="427">
        <v>0</v>
      </c>
      <c r="T186" s="427">
        <v>0</v>
      </c>
      <c r="U186" s="427">
        <f t="shared" si="16"/>
        <v>131.68816999999999</v>
      </c>
    </row>
    <row r="187" spans="1:21" s="427" customFormat="1">
      <c r="A187" s="427" t="str">
        <f t="shared" si="13"/>
        <v>KU</v>
      </c>
      <c r="B187" s="427" t="str">
        <f t="shared" si="12"/>
        <v>KY</v>
      </c>
      <c r="C187" s="427" t="str">
        <f t="shared" si="14"/>
        <v>E</v>
      </c>
      <c r="D187" s="427" t="s">
        <v>3419</v>
      </c>
      <c r="E187" s="427" t="str">
        <f t="shared" si="18"/>
        <v>355</v>
      </c>
      <c r="F187" s="756" t="s">
        <v>1768</v>
      </c>
      <c r="G187" s="426" t="str">
        <f t="shared" si="17"/>
        <v/>
      </c>
      <c r="H187" s="427">
        <v>3980.1838299999999</v>
      </c>
      <c r="I187" s="427">
        <v>775.56527000000006</v>
      </c>
      <c r="J187" s="427">
        <v>1791.00496</v>
      </c>
      <c r="K187" s="427">
        <v>4682.0848999999998</v>
      </c>
      <c r="L187" s="427">
        <v>1540.4430600000001</v>
      </c>
      <c r="M187" s="427">
        <v>4138.3393999999998</v>
      </c>
      <c r="N187" s="427">
        <v>4329.6040499999999</v>
      </c>
      <c r="O187" s="427">
        <v>22281.316341751801</v>
      </c>
      <c r="P187" s="427">
        <v>9813.4226169199992</v>
      </c>
      <c r="Q187" s="427">
        <v>11200.220047024401</v>
      </c>
      <c r="R187" s="427">
        <v>3417.1551017607999</v>
      </c>
      <c r="S187" s="427">
        <v>4705.6400584686999</v>
      </c>
      <c r="T187" s="427">
        <v>18719.1227752052</v>
      </c>
      <c r="U187" s="427">
        <f t="shared" si="16"/>
        <v>87393.918581130914</v>
      </c>
    </row>
    <row r="188" spans="1:21" s="427" customFormat="1">
      <c r="A188" s="427" t="str">
        <f t="shared" si="13"/>
        <v>KU</v>
      </c>
      <c r="B188" s="427" t="str">
        <f t="shared" si="12"/>
        <v>TN</v>
      </c>
      <c r="C188" s="427" t="str">
        <f t="shared" si="14"/>
        <v>E</v>
      </c>
      <c r="D188" s="427" t="s">
        <v>3419</v>
      </c>
      <c r="E188" s="427" t="str">
        <f t="shared" si="18"/>
        <v>355</v>
      </c>
      <c r="F188" s="756" t="s">
        <v>1769</v>
      </c>
      <c r="G188" s="426" t="str">
        <f t="shared" si="17"/>
        <v/>
      </c>
      <c r="H188" s="427">
        <v>0</v>
      </c>
      <c r="I188" s="427">
        <v>0</v>
      </c>
      <c r="J188" s="427">
        <v>0</v>
      </c>
      <c r="K188" s="427">
        <v>2.8109899999999999</v>
      </c>
      <c r="L188" s="427">
        <v>0</v>
      </c>
      <c r="M188" s="427">
        <v>0</v>
      </c>
      <c r="N188" s="427">
        <v>0</v>
      </c>
      <c r="O188" s="427">
        <v>0</v>
      </c>
      <c r="P188" s="427">
        <v>0</v>
      </c>
      <c r="Q188" s="427">
        <v>0</v>
      </c>
      <c r="R188" s="427">
        <v>0</v>
      </c>
      <c r="S188" s="427">
        <v>0</v>
      </c>
      <c r="T188" s="427">
        <v>0</v>
      </c>
      <c r="U188" s="427">
        <f t="shared" si="16"/>
        <v>2.8109899999999999</v>
      </c>
    </row>
    <row r="189" spans="1:21" s="427" customFormat="1">
      <c r="A189" s="427" t="str">
        <f t="shared" si="13"/>
        <v>KU</v>
      </c>
      <c r="B189" s="427" t="str">
        <f t="shared" si="12"/>
        <v>VA</v>
      </c>
      <c r="C189" s="427" t="str">
        <f t="shared" si="14"/>
        <v>E</v>
      </c>
      <c r="D189" s="427" t="s">
        <v>3419</v>
      </c>
      <c r="E189" s="427" t="str">
        <f t="shared" si="18"/>
        <v>355</v>
      </c>
      <c r="F189" s="756" t="s">
        <v>1770</v>
      </c>
      <c r="G189" s="426" t="str">
        <f t="shared" si="17"/>
        <v/>
      </c>
      <c r="H189" s="427">
        <v>950.81137999999999</v>
      </c>
      <c r="I189" s="427">
        <v>-880.43551000000002</v>
      </c>
      <c r="J189" s="427">
        <v>245.39669000000001</v>
      </c>
      <c r="K189" s="427">
        <v>55.635390000000001</v>
      </c>
      <c r="L189" s="427">
        <v>-2.2399999999999998E-3</v>
      </c>
      <c r="M189" s="427">
        <v>9.9203700000000001</v>
      </c>
      <c r="N189" s="427">
        <v>0</v>
      </c>
      <c r="O189" s="427">
        <v>6.8825527739999997</v>
      </c>
      <c r="P189" s="427">
        <v>276.57578530000001</v>
      </c>
      <c r="Q189" s="427">
        <v>984.61189990000003</v>
      </c>
      <c r="R189" s="427">
        <v>170.7133724482</v>
      </c>
      <c r="S189" s="427">
        <v>0.21285344819999999</v>
      </c>
      <c r="T189" s="427">
        <v>0</v>
      </c>
      <c r="U189" s="427">
        <f t="shared" si="16"/>
        <v>869.51116387040008</v>
      </c>
    </row>
    <row r="190" spans="1:21" s="427" customFormat="1">
      <c r="A190" s="427" t="str">
        <f t="shared" si="13"/>
        <v>KU</v>
      </c>
      <c r="B190" s="427" t="str">
        <f t="shared" si="12"/>
        <v>KY</v>
      </c>
      <c r="C190" s="427" t="str">
        <f t="shared" si="14"/>
        <v>E</v>
      </c>
      <c r="D190" s="427" t="s">
        <v>3419</v>
      </c>
      <c r="E190" s="427" t="str">
        <f t="shared" si="18"/>
        <v>356</v>
      </c>
      <c r="F190" s="756" t="s">
        <v>1771</v>
      </c>
      <c r="G190" s="426" t="str">
        <f t="shared" si="17"/>
        <v/>
      </c>
      <c r="H190" s="427">
        <v>3477.2200499999999</v>
      </c>
      <c r="I190" s="427">
        <v>73.063280000000006</v>
      </c>
      <c r="J190" s="427">
        <v>-863.63031000000001</v>
      </c>
      <c r="K190" s="427">
        <v>294.94358999999997</v>
      </c>
      <c r="L190" s="427">
        <v>888.30501000000004</v>
      </c>
      <c r="M190" s="427">
        <v>643.61234000000002</v>
      </c>
      <c r="N190" s="427">
        <v>632.83609000000001</v>
      </c>
      <c r="O190" s="427">
        <v>0</v>
      </c>
      <c r="P190" s="427">
        <v>260.12729330000002</v>
      </c>
      <c r="Q190" s="427">
        <v>106.4257638</v>
      </c>
      <c r="R190" s="427">
        <v>0</v>
      </c>
      <c r="S190" s="427">
        <v>0</v>
      </c>
      <c r="T190" s="427">
        <v>0</v>
      </c>
      <c r="U190" s="427">
        <f t="shared" si="16"/>
        <v>2035.6830570999998</v>
      </c>
    </row>
    <row r="191" spans="1:21" s="427" customFormat="1">
      <c r="A191" s="427" t="str">
        <f t="shared" si="13"/>
        <v>KU</v>
      </c>
      <c r="B191" s="427" t="str">
        <f t="shared" si="12"/>
        <v>TN</v>
      </c>
      <c r="C191" s="427" t="str">
        <f t="shared" si="14"/>
        <v>E</v>
      </c>
      <c r="D191" s="427" t="s">
        <v>3419</v>
      </c>
      <c r="E191" s="427" t="str">
        <f t="shared" si="18"/>
        <v>356</v>
      </c>
      <c r="F191" s="756" t="s">
        <v>1772</v>
      </c>
      <c r="G191" s="426" t="str">
        <f t="shared" si="17"/>
        <v/>
      </c>
      <c r="H191" s="427">
        <v>0</v>
      </c>
      <c r="I191" s="427">
        <v>0</v>
      </c>
      <c r="J191" s="427">
        <v>0</v>
      </c>
      <c r="K191" s="427">
        <v>2.6651799999999999</v>
      </c>
      <c r="L191" s="427">
        <v>0</v>
      </c>
      <c r="M191" s="427">
        <v>0</v>
      </c>
      <c r="N191" s="427">
        <v>0</v>
      </c>
      <c r="O191" s="427">
        <v>0</v>
      </c>
      <c r="P191" s="427">
        <v>0</v>
      </c>
      <c r="Q191" s="427">
        <v>0</v>
      </c>
      <c r="R191" s="427">
        <v>0</v>
      </c>
      <c r="S191" s="427">
        <v>0</v>
      </c>
      <c r="T191" s="427">
        <v>0</v>
      </c>
      <c r="U191" s="427">
        <f t="shared" si="16"/>
        <v>2.6651799999999999</v>
      </c>
    </row>
    <row r="192" spans="1:21" s="427" customFormat="1">
      <c r="A192" s="427" t="str">
        <f t="shared" si="13"/>
        <v>KU</v>
      </c>
      <c r="B192" s="427" t="str">
        <f t="shared" si="12"/>
        <v>VA</v>
      </c>
      <c r="C192" s="427" t="str">
        <f t="shared" si="14"/>
        <v>E</v>
      </c>
      <c r="D192" s="427" t="s">
        <v>3419</v>
      </c>
      <c r="E192" s="427" t="str">
        <f t="shared" si="18"/>
        <v>356</v>
      </c>
      <c r="F192" s="756" t="s">
        <v>1773</v>
      </c>
      <c r="G192" s="426" t="str">
        <f t="shared" si="17"/>
        <v/>
      </c>
      <c r="H192" s="427">
        <v>396.58526999999998</v>
      </c>
      <c r="I192" s="427">
        <v>925.86361999999997</v>
      </c>
      <c r="J192" s="427">
        <v>-126.8292</v>
      </c>
      <c r="K192" s="427">
        <v>16.86599</v>
      </c>
      <c r="L192" s="427">
        <v>-9.5E-4</v>
      </c>
      <c r="M192" s="427">
        <v>4.2149000000000001</v>
      </c>
      <c r="N192" s="427">
        <v>0</v>
      </c>
      <c r="O192" s="427">
        <v>0.22175100850000001</v>
      </c>
      <c r="P192" s="427">
        <v>0</v>
      </c>
      <c r="Q192" s="427">
        <v>0</v>
      </c>
      <c r="R192" s="427">
        <v>0</v>
      </c>
      <c r="S192" s="427">
        <v>0</v>
      </c>
      <c r="T192" s="427">
        <v>0</v>
      </c>
      <c r="U192" s="427">
        <f t="shared" si="16"/>
        <v>820.33611100849998</v>
      </c>
    </row>
    <row r="193" spans="1:21" s="427" customFormat="1">
      <c r="A193" s="427" t="str">
        <f t="shared" si="13"/>
        <v>KU</v>
      </c>
      <c r="B193" s="427" t="str">
        <f t="shared" si="12"/>
        <v>KY</v>
      </c>
      <c r="C193" s="427" t="str">
        <f t="shared" si="14"/>
        <v>E</v>
      </c>
      <c r="D193" s="427" t="s">
        <v>3419</v>
      </c>
      <c r="E193" s="427" t="str">
        <f t="shared" si="18"/>
        <v>358</v>
      </c>
      <c r="F193" s="756" t="s">
        <v>1775</v>
      </c>
      <c r="G193" s="426" t="str">
        <f t="shared" si="17"/>
        <v/>
      </c>
      <c r="H193" s="427">
        <v>29.488599999999899</v>
      </c>
      <c r="I193" s="427">
        <v>0</v>
      </c>
      <c r="J193" s="427">
        <v>0</v>
      </c>
      <c r="K193" s="427">
        <v>0.49814999999999998</v>
      </c>
      <c r="L193" s="427">
        <v>0</v>
      </c>
      <c r="M193" s="427">
        <v>0</v>
      </c>
      <c r="N193" s="427">
        <v>0</v>
      </c>
      <c r="O193" s="427">
        <v>0</v>
      </c>
      <c r="P193" s="427">
        <v>0</v>
      </c>
      <c r="Q193" s="427">
        <v>0</v>
      </c>
      <c r="R193" s="427">
        <v>0</v>
      </c>
      <c r="S193" s="427">
        <v>0</v>
      </c>
      <c r="T193" s="427">
        <v>0</v>
      </c>
      <c r="U193" s="427">
        <f t="shared" si="16"/>
        <v>0.49814999999999998</v>
      </c>
    </row>
    <row r="194" spans="1:21" s="427" customFormat="1">
      <c r="A194" s="427" t="str">
        <f t="shared" si="13"/>
        <v>KU</v>
      </c>
      <c r="B194" s="427" t="str">
        <f t="shared" si="12"/>
        <v>KY</v>
      </c>
      <c r="C194" s="427" t="str">
        <f t="shared" si="14"/>
        <v>E</v>
      </c>
      <c r="D194" s="427" t="s">
        <v>3419</v>
      </c>
      <c r="E194" s="427" t="str">
        <f t="shared" si="18"/>
        <v>360</v>
      </c>
      <c r="F194" s="756" t="s">
        <v>1778</v>
      </c>
      <c r="G194" s="426" t="str">
        <f t="shared" si="17"/>
        <v/>
      </c>
      <c r="H194" s="427">
        <v>0</v>
      </c>
      <c r="I194" s="427">
        <v>0</v>
      </c>
      <c r="J194" s="427">
        <v>0</v>
      </c>
      <c r="K194" s="427">
        <v>0</v>
      </c>
      <c r="L194" s="427">
        <v>234.48007999999999</v>
      </c>
      <c r="M194" s="427">
        <v>16.85802</v>
      </c>
      <c r="N194" s="427">
        <v>0</v>
      </c>
      <c r="O194" s="427">
        <v>0</v>
      </c>
      <c r="P194" s="427">
        <v>0</v>
      </c>
      <c r="Q194" s="427">
        <v>0</v>
      </c>
      <c r="R194" s="427">
        <v>0</v>
      </c>
      <c r="S194" s="427">
        <v>0</v>
      </c>
      <c r="T194" s="427">
        <v>1346.7078263599999</v>
      </c>
      <c r="U194" s="427">
        <f t="shared" si="16"/>
        <v>1598.0459263599998</v>
      </c>
    </row>
    <row r="195" spans="1:21" s="427" customFormat="1">
      <c r="A195" s="427" t="str">
        <f t="shared" si="13"/>
        <v>KU</v>
      </c>
      <c r="B195" s="427" t="str">
        <f t="shared" si="12"/>
        <v>TN</v>
      </c>
      <c r="C195" s="427" t="str">
        <f t="shared" si="14"/>
        <v>E</v>
      </c>
      <c r="D195" s="427" t="s">
        <v>3419</v>
      </c>
      <c r="E195" s="427" t="str">
        <f t="shared" si="18"/>
        <v>360</v>
      </c>
      <c r="F195" s="756" t="s">
        <v>1779</v>
      </c>
      <c r="G195" s="426" t="str">
        <f t="shared" si="17"/>
        <v/>
      </c>
      <c r="H195" s="427">
        <v>0</v>
      </c>
      <c r="I195" s="427">
        <v>0</v>
      </c>
      <c r="J195" s="427">
        <v>0</v>
      </c>
      <c r="K195" s="427">
        <v>0</v>
      </c>
      <c r="L195" s="427">
        <v>0</v>
      </c>
      <c r="M195" s="427">
        <v>0</v>
      </c>
      <c r="N195" s="427">
        <v>0</v>
      </c>
      <c r="O195" s="427">
        <v>0</v>
      </c>
      <c r="P195" s="427">
        <v>0</v>
      </c>
      <c r="Q195" s="427">
        <v>0</v>
      </c>
      <c r="R195" s="427">
        <v>0</v>
      </c>
      <c r="S195" s="427">
        <v>0</v>
      </c>
      <c r="T195" s="427">
        <v>470.53230000000002</v>
      </c>
      <c r="U195" s="427">
        <f t="shared" si="16"/>
        <v>470.53230000000002</v>
      </c>
    </row>
    <row r="196" spans="1:21" s="427" customFormat="1">
      <c r="A196" s="427" t="str">
        <f t="shared" si="13"/>
        <v>KU</v>
      </c>
      <c r="B196" s="427" t="str">
        <f t="shared" ref="B196:B259" si="19">IF(MID($F196,12,2)="- ","KY",IF(MID($F196,12,2)="SY","KY",MID($F196,12,2)))</f>
        <v>VA</v>
      </c>
      <c r="C196" s="427" t="str">
        <f t="shared" si="14"/>
        <v>E</v>
      </c>
      <c r="D196" s="427" t="s">
        <v>3419</v>
      </c>
      <c r="E196" s="427" t="str">
        <f t="shared" si="18"/>
        <v>360</v>
      </c>
      <c r="F196" s="756" t="s">
        <v>1780</v>
      </c>
      <c r="G196" s="426" t="str">
        <f t="shared" si="17"/>
        <v/>
      </c>
      <c r="H196" s="427">
        <v>0</v>
      </c>
      <c r="I196" s="427">
        <v>0</v>
      </c>
      <c r="J196" s="427">
        <v>0</v>
      </c>
      <c r="K196" s="427">
        <v>0</v>
      </c>
      <c r="L196" s="427">
        <v>0</v>
      </c>
      <c r="M196" s="427">
        <v>0</v>
      </c>
      <c r="N196" s="427">
        <v>0</v>
      </c>
      <c r="O196" s="427">
        <v>0</v>
      </c>
      <c r="P196" s="427">
        <v>0</v>
      </c>
      <c r="Q196" s="427">
        <v>0</v>
      </c>
      <c r="R196" s="427">
        <v>0</v>
      </c>
      <c r="S196" s="427">
        <v>0</v>
      </c>
      <c r="T196" s="427">
        <v>120.03375</v>
      </c>
      <c r="U196" s="427">
        <f t="shared" si="16"/>
        <v>120.03375</v>
      </c>
    </row>
    <row r="197" spans="1:21" s="427" customFormat="1">
      <c r="A197" s="427" t="str">
        <f t="shared" si="13"/>
        <v>KU</v>
      </c>
      <c r="B197" s="427" t="str">
        <f t="shared" si="19"/>
        <v>KY</v>
      </c>
      <c r="C197" s="427" t="str">
        <f t="shared" si="14"/>
        <v>E</v>
      </c>
      <c r="D197" s="427" t="s">
        <v>3419</v>
      </c>
      <c r="E197" s="427" t="str">
        <f t="shared" si="18"/>
        <v>361</v>
      </c>
      <c r="F197" s="756" t="s">
        <v>1781</v>
      </c>
      <c r="G197" s="426" t="str">
        <f t="shared" si="17"/>
        <v/>
      </c>
      <c r="H197" s="427">
        <v>0</v>
      </c>
      <c r="I197" s="427">
        <v>52.032809999999998</v>
      </c>
      <c r="J197" s="427">
        <v>143.26229999999899</v>
      </c>
      <c r="K197" s="427">
        <v>335.99948000000001</v>
      </c>
      <c r="L197" s="427">
        <v>-772.52833999999996</v>
      </c>
      <c r="M197" s="427">
        <v>46.201769999999897</v>
      </c>
      <c r="N197" s="427">
        <v>0</v>
      </c>
      <c r="O197" s="427">
        <v>990.32210482000005</v>
      </c>
      <c r="P197" s="427">
        <v>815.89178265199996</v>
      </c>
      <c r="Q197" s="427">
        <v>910.75331189999997</v>
      </c>
      <c r="R197" s="427">
        <v>1192.462902</v>
      </c>
      <c r="S197" s="427">
        <v>1191.5026319999999</v>
      </c>
      <c r="T197" s="427">
        <v>1261.5049774399999</v>
      </c>
      <c r="U197" s="427">
        <f t="shared" si="16"/>
        <v>6167.4057308119991</v>
      </c>
    </row>
    <row r="198" spans="1:21" s="427" customFormat="1">
      <c r="A198" s="427" t="str">
        <f t="shared" si="13"/>
        <v>KU</v>
      </c>
      <c r="B198" s="427" t="str">
        <f t="shared" si="19"/>
        <v>VA</v>
      </c>
      <c r="C198" s="427" t="str">
        <f t="shared" si="14"/>
        <v>E</v>
      </c>
      <c r="D198" s="427" t="s">
        <v>3419</v>
      </c>
      <c r="E198" s="427" t="str">
        <f t="shared" si="18"/>
        <v>361</v>
      </c>
      <c r="F198" s="756" t="s">
        <v>1783</v>
      </c>
      <c r="G198" s="426" t="str">
        <f t="shared" si="17"/>
        <v/>
      </c>
      <c r="H198" s="427">
        <v>0</v>
      </c>
      <c r="I198" s="427">
        <v>0</v>
      </c>
      <c r="J198" s="427">
        <v>0</v>
      </c>
      <c r="K198" s="427">
        <v>0</v>
      </c>
      <c r="L198" s="427">
        <v>0</v>
      </c>
      <c r="M198" s="427">
        <v>20.83473</v>
      </c>
      <c r="N198" s="427">
        <v>0</v>
      </c>
      <c r="O198" s="427">
        <v>13.44378</v>
      </c>
      <c r="P198" s="427">
        <v>0</v>
      </c>
      <c r="Q198" s="427">
        <v>38.410800000000002</v>
      </c>
      <c r="R198" s="427">
        <v>14.548090500000001</v>
      </c>
      <c r="S198" s="427">
        <v>0</v>
      </c>
      <c r="T198" s="427">
        <v>110.16924267</v>
      </c>
      <c r="U198" s="427">
        <f t="shared" si="16"/>
        <v>197.40664317</v>
      </c>
    </row>
    <row r="199" spans="1:21" s="427" customFormat="1">
      <c r="A199" s="427" t="str">
        <f t="shared" ref="A199:A262" si="20">MID($F199,4,2)</f>
        <v>KU</v>
      </c>
      <c r="B199" s="427" t="str">
        <f t="shared" si="19"/>
        <v>KY</v>
      </c>
      <c r="C199" s="427" t="str">
        <f t="shared" si="14"/>
        <v>E</v>
      </c>
      <c r="D199" s="427" t="s">
        <v>3419</v>
      </c>
      <c r="E199" s="427" t="str">
        <f t="shared" si="18"/>
        <v>362</v>
      </c>
      <c r="F199" s="756" t="s">
        <v>1784</v>
      </c>
      <c r="G199" s="426" t="str">
        <f t="shared" si="17"/>
        <v/>
      </c>
      <c r="H199" s="427">
        <v>6416.0907699999998</v>
      </c>
      <c r="I199" s="427">
        <v>539.40337999999997</v>
      </c>
      <c r="J199" s="427">
        <v>607.05409999999995</v>
      </c>
      <c r="K199" s="427">
        <v>213.50941</v>
      </c>
      <c r="L199" s="427">
        <v>1894.29754</v>
      </c>
      <c r="M199" s="427">
        <v>1068.1451299999901</v>
      </c>
      <c r="N199" s="427">
        <v>889.88666000000001</v>
      </c>
      <c r="O199" s="427">
        <v>9024.5204022475991</v>
      </c>
      <c r="P199" s="427">
        <v>567.54164658399998</v>
      </c>
      <c r="Q199" s="427">
        <v>430.24372080799998</v>
      </c>
      <c r="R199" s="427">
        <v>3986.0645628799998</v>
      </c>
      <c r="S199" s="427">
        <v>731.55752949999999</v>
      </c>
      <c r="T199" s="427">
        <v>23111.861963884901</v>
      </c>
      <c r="U199" s="427">
        <f t="shared" si="16"/>
        <v>43064.086045904492</v>
      </c>
    </row>
    <row r="200" spans="1:21" s="427" customFormat="1">
      <c r="A200" s="427" t="str">
        <f t="shared" si="20"/>
        <v>KU</v>
      </c>
      <c r="B200" s="427" t="str">
        <f t="shared" si="19"/>
        <v>VA</v>
      </c>
      <c r="C200" s="427" t="str">
        <f t="shared" ref="C200:C263" si="21">IF(ISTEXT(MID($F200,SEARCH("FUTURE USE",$F200),3)),"F",IF(MID($F200,7,1)="1","E",IF(MID($F200,7,1)="2","G",IF(MID($F200,7,1)="3","C",""))))</f>
        <v>E</v>
      </c>
      <c r="D200" s="427" t="s">
        <v>3419</v>
      </c>
      <c r="E200" s="427" t="str">
        <f t="shared" si="18"/>
        <v>362</v>
      </c>
      <c r="F200" s="756" t="s">
        <v>1786</v>
      </c>
      <c r="G200" s="426" t="str">
        <f t="shared" si="17"/>
        <v/>
      </c>
      <c r="H200" s="427">
        <v>3.2274499999999899</v>
      </c>
      <c r="I200" s="427">
        <v>0</v>
      </c>
      <c r="J200" s="427">
        <v>0</v>
      </c>
      <c r="K200" s="427">
        <v>0</v>
      </c>
      <c r="L200" s="427">
        <v>0</v>
      </c>
      <c r="M200" s="427">
        <v>42.06794</v>
      </c>
      <c r="N200" s="427">
        <v>107.4513</v>
      </c>
      <c r="O200" s="427">
        <v>0</v>
      </c>
      <c r="P200" s="427">
        <v>0</v>
      </c>
      <c r="Q200" s="427">
        <v>0</v>
      </c>
      <c r="R200" s="427">
        <v>0</v>
      </c>
      <c r="S200" s="427">
        <v>0</v>
      </c>
      <c r="T200" s="427">
        <v>0</v>
      </c>
      <c r="U200" s="427">
        <f t="shared" si="16"/>
        <v>149.51924</v>
      </c>
    </row>
    <row r="201" spans="1:21" s="427" customFormat="1">
      <c r="A201" s="427" t="str">
        <f t="shared" si="20"/>
        <v>KU</v>
      </c>
      <c r="B201" s="427" t="str">
        <f t="shared" si="19"/>
        <v>KY</v>
      </c>
      <c r="C201" s="427" t="str">
        <f t="shared" si="21"/>
        <v>E</v>
      </c>
      <c r="D201" s="427" t="s">
        <v>3419</v>
      </c>
      <c r="E201" s="427" t="str">
        <f t="shared" si="18"/>
        <v>364</v>
      </c>
      <c r="F201" s="756" t="s">
        <v>1787</v>
      </c>
      <c r="G201" s="426" t="str">
        <f t="shared" si="17"/>
        <v/>
      </c>
      <c r="H201" s="427">
        <v>1356.0536999999999</v>
      </c>
      <c r="I201" s="427">
        <v>1522.6277399999999</v>
      </c>
      <c r="J201" s="427">
        <v>5391.60725</v>
      </c>
      <c r="K201" s="427">
        <v>164.47824</v>
      </c>
      <c r="L201" s="427">
        <v>2075.9350599999998</v>
      </c>
      <c r="M201" s="427">
        <v>2130.8575599999999</v>
      </c>
      <c r="N201" s="427">
        <v>936.21347000000003</v>
      </c>
      <c r="O201" s="427">
        <v>799.46977721439998</v>
      </c>
      <c r="P201" s="427">
        <v>1051.2343020584001</v>
      </c>
      <c r="Q201" s="427">
        <v>907.6383488427</v>
      </c>
      <c r="R201" s="427">
        <v>583.19823874300005</v>
      </c>
      <c r="S201" s="427">
        <v>607.35886768299997</v>
      </c>
      <c r="T201" s="427">
        <v>7190.5058893343903</v>
      </c>
      <c r="U201" s="427">
        <f t="shared" si="16"/>
        <v>23361.124743875895</v>
      </c>
    </row>
    <row r="202" spans="1:21" s="427" customFormat="1">
      <c r="A202" s="427" t="str">
        <f t="shared" si="20"/>
        <v>KU</v>
      </c>
      <c r="B202" s="427" t="str">
        <f t="shared" si="19"/>
        <v>VA</v>
      </c>
      <c r="C202" s="427" t="str">
        <f t="shared" si="21"/>
        <v>E</v>
      </c>
      <c r="D202" s="427" t="s">
        <v>3419</v>
      </c>
      <c r="E202" s="427" t="str">
        <f t="shared" si="18"/>
        <v>364</v>
      </c>
      <c r="F202" s="756" t="s">
        <v>1789</v>
      </c>
      <c r="G202" s="426" t="str">
        <f t="shared" si="17"/>
        <v/>
      </c>
      <c r="H202" s="427">
        <v>3.2907199999999999</v>
      </c>
      <c r="I202" s="427">
        <v>72.915379999999999</v>
      </c>
      <c r="J202" s="427">
        <v>336.89042999999998</v>
      </c>
      <c r="K202" s="427">
        <v>-25.462579999999999</v>
      </c>
      <c r="L202" s="427">
        <v>156.39877999999999</v>
      </c>
      <c r="M202" s="427">
        <v>133.95392999999899</v>
      </c>
      <c r="N202" s="427">
        <v>80.254220000000004</v>
      </c>
      <c r="O202" s="427">
        <v>21.126635319999998</v>
      </c>
      <c r="P202" s="427">
        <v>15.937726025</v>
      </c>
      <c r="Q202" s="427">
        <v>-2.24732948399999</v>
      </c>
      <c r="R202" s="427">
        <v>-2.2792584611</v>
      </c>
      <c r="S202" s="427">
        <v>-2.24732948399999</v>
      </c>
      <c r="T202" s="427">
        <v>700.13868953719998</v>
      </c>
      <c r="U202" s="427">
        <f t="shared" si="16"/>
        <v>1485.3792934530989</v>
      </c>
    </row>
    <row r="203" spans="1:21" s="427" customFormat="1">
      <c r="A203" s="427" t="str">
        <f t="shared" si="20"/>
        <v>KU</v>
      </c>
      <c r="B203" s="427" t="str">
        <f t="shared" si="19"/>
        <v>KY</v>
      </c>
      <c r="C203" s="427" t="str">
        <f t="shared" si="21"/>
        <v>E</v>
      </c>
      <c r="D203" s="427" t="s">
        <v>3419</v>
      </c>
      <c r="E203" s="427" t="str">
        <f t="shared" si="18"/>
        <v>365</v>
      </c>
      <c r="F203" s="756" t="s">
        <v>1790</v>
      </c>
      <c r="G203" s="426" t="str">
        <f t="shared" si="17"/>
        <v/>
      </c>
      <c r="H203" s="427">
        <v>3044.49314</v>
      </c>
      <c r="I203" s="427">
        <v>2106.3732399999999</v>
      </c>
      <c r="J203" s="427">
        <v>4192.5811800000001</v>
      </c>
      <c r="K203" s="427">
        <v>1180.70669</v>
      </c>
      <c r="L203" s="427">
        <v>3927.4468099999999</v>
      </c>
      <c r="M203" s="427">
        <v>3253.6243599999998</v>
      </c>
      <c r="N203" s="427">
        <v>1737.1236100000001</v>
      </c>
      <c r="O203" s="427">
        <v>6722.6686600102003</v>
      </c>
      <c r="P203" s="427">
        <v>4891.5877831171902</v>
      </c>
      <c r="Q203" s="427">
        <v>3626.7380377831901</v>
      </c>
      <c r="R203" s="427">
        <v>2263.9008664303001</v>
      </c>
      <c r="S203" s="427">
        <v>1797.3694800155999</v>
      </c>
      <c r="T203" s="427">
        <v>6531.5607590356904</v>
      </c>
      <c r="U203" s="427">
        <f t="shared" si="16"/>
        <v>42231.681476392172</v>
      </c>
    </row>
    <row r="204" spans="1:21" s="427" customFormat="1">
      <c r="A204" s="427" t="str">
        <f t="shared" si="20"/>
        <v>KU</v>
      </c>
      <c r="B204" s="427" t="str">
        <f t="shared" si="19"/>
        <v>VA</v>
      </c>
      <c r="C204" s="427" t="str">
        <f t="shared" si="21"/>
        <v>E</v>
      </c>
      <c r="D204" s="427" t="s">
        <v>3419</v>
      </c>
      <c r="E204" s="427" t="str">
        <f t="shared" si="18"/>
        <v>365</v>
      </c>
      <c r="F204" s="756" t="s">
        <v>1792</v>
      </c>
      <c r="G204" s="426" t="str">
        <f t="shared" si="17"/>
        <v/>
      </c>
      <c r="H204" s="427">
        <v>109.55097000000001</v>
      </c>
      <c r="I204" s="427">
        <v>172.50230999999999</v>
      </c>
      <c r="J204" s="427">
        <v>528.88851</v>
      </c>
      <c r="K204" s="427">
        <v>25.13645</v>
      </c>
      <c r="L204" s="427">
        <v>506.46231999999998</v>
      </c>
      <c r="M204" s="427">
        <v>225.87275</v>
      </c>
      <c r="N204" s="427">
        <v>69.923720000000003</v>
      </c>
      <c r="O204" s="427">
        <v>327.63662335219999</v>
      </c>
      <c r="P204" s="427">
        <v>307.69377533239998</v>
      </c>
      <c r="Q204" s="427">
        <v>182.24618301140001</v>
      </c>
      <c r="R204" s="427">
        <v>256.00740581299999</v>
      </c>
      <c r="S204" s="427">
        <v>64.978791745799995</v>
      </c>
      <c r="T204" s="427">
        <v>68.656648951199898</v>
      </c>
      <c r="U204" s="427">
        <f t="shared" si="16"/>
        <v>2736.0054882059994</v>
      </c>
    </row>
    <row r="205" spans="1:21" s="427" customFormat="1">
      <c r="A205" s="427" t="str">
        <f t="shared" si="20"/>
        <v>KU</v>
      </c>
      <c r="B205" s="427" t="str">
        <f t="shared" si="19"/>
        <v>KY</v>
      </c>
      <c r="C205" s="427" t="str">
        <f t="shared" si="21"/>
        <v>E</v>
      </c>
      <c r="D205" s="427" t="s">
        <v>3419</v>
      </c>
      <c r="E205" s="427" t="str">
        <f t="shared" si="18"/>
        <v>366</v>
      </c>
      <c r="F205" s="756" t="s">
        <v>1793</v>
      </c>
      <c r="G205" s="426" t="str">
        <f t="shared" si="17"/>
        <v/>
      </c>
      <c r="H205" s="427">
        <v>0</v>
      </c>
      <c r="I205" s="427">
        <v>0</v>
      </c>
      <c r="J205" s="427">
        <v>0</v>
      </c>
      <c r="K205" s="427">
        <v>-6.5019999999999994E-2</v>
      </c>
      <c r="L205" s="427">
        <v>0</v>
      </c>
      <c r="M205" s="427">
        <v>0</v>
      </c>
      <c r="N205" s="427">
        <v>0</v>
      </c>
      <c r="O205" s="427">
        <v>0</v>
      </c>
      <c r="P205" s="427">
        <v>0</v>
      </c>
      <c r="Q205" s="427">
        <v>0</v>
      </c>
      <c r="R205" s="427">
        <v>0</v>
      </c>
      <c r="S205" s="427">
        <v>0</v>
      </c>
      <c r="T205" s="427">
        <v>0</v>
      </c>
      <c r="U205" s="427">
        <f t="shared" si="16"/>
        <v>-6.5019999999999994E-2</v>
      </c>
    </row>
    <row r="206" spans="1:21" s="427" customFormat="1">
      <c r="A206" s="427" t="str">
        <f t="shared" si="20"/>
        <v>KU</v>
      </c>
      <c r="B206" s="427" t="str">
        <f t="shared" si="19"/>
        <v>KY</v>
      </c>
      <c r="C206" s="427" t="str">
        <f t="shared" si="21"/>
        <v>E</v>
      </c>
      <c r="D206" s="427" t="s">
        <v>3419</v>
      </c>
      <c r="E206" s="427" t="str">
        <f t="shared" si="18"/>
        <v>367</v>
      </c>
      <c r="F206" s="756" t="s">
        <v>1794</v>
      </c>
      <c r="G206" s="426" t="str">
        <f t="shared" si="17"/>
        <v/>
      </c>
      <c r="H206" s="427">
        <v>778.00757999999996</v>
      </c>
      <c r="I206" s="427">
        <v>1152.2609499999901</v>
      </c>
      <c r="J206" s="427">
        <v>898.29444000000001</v>
      </c>
      <c r="K206" s="427">
        <v>14.167619999999999</v>
      </c>
      <c r="L206" s="427">
        <v>2030.4098899999999</v>
      </c>
      <c r="M206" s="427">
        <v>847.54694999999901</v>
      </c>
      <c r="N206" s="427">
        <v>165.36184</v>
      </c>
      <c r="O206" s="427">
        <v>2410.8113391403999</v>
      </c>
      <c r="P206" s="427">
        <v>1856.4834421081</v>
      </c>
      <c r="Q206" s="427">
        <v>1257.8111767294999</v>
      </c>
      <c r="R206" s="427">
        <v>1282.4620373654</v>
      </c>
      <c r="S206" s="427">
        <v>1135.526649875</v>
      </c>
      <c r="T206" s="427">
        <v>990.78734221069999</v>
      </c>
      <c r="U206" s="427">
        <f t="shared" si="16"/>
        <v>14041.923677429089</v>
      </c>
    </row>
    <row r="207" spans="1:21" s="427" customFormat="1">
      <c r="A207" s="427" t="str">
        <f t="shared" si="20"/>
        <v>KU</v>
      </c>
      <c r="B207" s="427" t="str">
        <f t="shared" si="19"/>
        <v>VA</v>
      </c>
      <c r="C207" s="427" t="str">
        <f t="shared" si="21"/>
        <v>E</v>
      </c>
      <c r="D207" s="427" t="s">
        <v>3419</v>
      </c>
      <c r="E207" s="427" t="str">
        <f t="shared" si="18"/>
        <v>367</v>
      </c>
      <c r="F207" s="756" t="s">
        <v>1795</v>
      </c>
      <c r="G207" s="426" t="str">
        <f t="shared" si="17"/>
        <v/>
      </c>
      <c r="H207" s="427">
        <v>7.4923799999999998</v>
      </c>
      <c r="I207" s="427">
        <v>10.06997</v>
      </c>
      <c r="J207" s="427">
        <v>-334.91509000000002</v>
      </c>
      <c r="K207" s="427">
        <v>0</v>
      </c>
      <c r="L207" s="427">
        <v>36.259300000000003</v>
      </c>
      <c r="M207" s="427">
        <v>14.96321</v>
      </c>
      <c r="N207" s="427">
        <v>-1.27969</v>
      </c>
      <c r="O207" s="427">
        <v>77.166352823099999</v>
      </c>
      <c r="P207" s="427">
        <v>78.620790682500001</v>
      </c>
      <c r="Q207" s="427">
        <v>33.769719058</v>
      </c>
      <c r="R207" s="427">
        <v>34.527218449300001</v>
      </c>
      <c r="S207" s="427">
        <v>31.034370757999898</v>
      </c>
      <c r="T207" s="427">
        <v>8.5336218065999994</v>
      </c>
      <c r="U207" s="427">
        <f t="shared" si="16"/>
        <v>-11.250226422500134</v>
      </c>
    </row>
    <row r="208" spans="1:21" s="427" customFormat="1">
      <c r="A208" s="427" t="str">
        <f t="shared" si="20"/>
        <v>KU</v>
      </c>
      <c r="B208" s="427" t="str">
        <f t="shared" si="19"/>
        <v>KY</v>
      </c>
      <c r="C208" s="427" t="str">
        <f t="shared" si="21"/>
        <v>E</v>
      </c>
      <c r="D208" s="427" t="s">
        <v>3419</v>
      </c>
      <c r="E208" s="427" t="str">
        <f t="shared" si="18"/>
        <v>368</v>
      </c>
      <c r="F208" s="756" t="s">
        <v>1796</v>
      </c>
      <c r="G208" s="426" t="str">
        <f t="shared" si="17"/>
        <v/>
      </c>
      <c r="H208" s="427">
        <v>1569.16806</v>
      </c>
      <c r="I208" s="427">
        <v>222.30596</v>
      </c>
      <c r="J208" s="427">
        <v>181.94798</v>
      </c>
      <c r="K208" s="427">
        <v>530.08876999999995</v>
      </c>
      <c r="L208" s="427">
        <v>473.19092999999998</v>
      </c>
      <c r="M208" s="427">
        <v>656.60963000000004</v>
      </c>
      <c r="N208" s="427">
        <v>0</v>
      </c>
      <c r="O208" s="427">
        <v>1604.5423446059999</v>
      </c>
      <c r="P208" s="427">
        <v>759.58776276599997</v>
      </c>
      <c r="Q208" s="427">
        <v>969.24873570800003</v>
      </c>
      <c r="R208" s="427">
        <v>991.44221747300003</v>
      </c>
      <c r="S208" s="427">
        <v>998.98328500100001</v>
      </c>
      <c r="T208" s="427">
        <v>699.48433743500004</v>
      </c>
      <c r="U208" s="427">
        <f t="shared" si="16"/>
        <v>8087.4319529889999</v>
      </c>
    </row>
    <row r="209" spans="1:21" s="427" customFormat="1">
      <c r="A209" s="427" t="str">
        <f t="shared" si="20"/>
        <v>KU</v>
      </c>
      <c r="B209" s="427" t="str">
        <f t="shared" si="19"/>
        <v>VA</v>
      </c>
      <c r="C209" s="427" t="str">
        <f t="shared" si="21"/>
        <v>E</v>
      </c>
      <c r="D209" s="427" t="s">
        <v>3419</v>
      </c>
      <c r="E209" s="427" t="str">
        <f t="shared" si="18"/>
        <v>368</v>
      </c>
      <c r="F209" s="756" t="s">
        <v>1798</v>
      </c>
      <c r="G209" s="426" t="str">
        <f t="shared" si="17"/>
        <v/>
      </c>
      <c r="H209" s="427">
        <v>0.59807999999999995</v>
      </c>
      <c r="I209" s="427">
        <v>0.11822000000000001</v>
      </c>
      <c r="J209" s="427">
        <v>-4.4549999999999999E-2</v>
      </c>
      <c r="K209" s="427">
        <v>5.0937799999999998</v>
      </c>
      <c r="L209" s="427">
        <v>0.30235000000000001</v>
      </c>
      <c r="M209" s="427">
        <v>0.32862999999999998</v>
      </c>
      <c r="N209" s="427">
        <v>0</v>
      </c>
      <c r="O209" s="427">
        <v>2.06694793799999</v>
      </c>
      <c r="P209" s="427">
        <v>47.20166854</v>
      </c>
      <c r="Q209" s="427">
        <v>2.2477808110000002</v>
      </c>
      <c r="R209" s="427">
        <v>3.4589597589999999</v>
      </c>
      <c r="S209" s="427">
        <v>2.8533654830000001</v>
      </c>
      <c r="T209" s="427">
        <v>2.2477808110000002</v>
      </c>
      <c r="U209" s="427">
        <f t="shared" ref="U209:U272" si="22">SUM(I209:T209)</f>
        <v>65.874933341999991</v>
      </c>
    </row>
    <row r="210" spans="1:21" s="427" customFormat="1">
      <c r="A210" s="427" t="str">
        <f t="shared" si="20"/>
        <v>KU</v>
      </c>
      <c r="B210" s="427" t="str">
        <f t="shared" si="19"/>
        <v>KY</v>
      </c>
      <c r="C210" s="427" t="str">
        <f t="shared" si="21"/>
        <v>E</v>
      </c>
      <c r="D210" s="427" t="s">
        <v>3419</v>
      </c>
      <c r="E210" s="427" t="str">
        <f t="shared" si="18"/>
        <v>369</v>
      </c>
      <c r="F210" s="756" t="s">
        <v>1799</v>
      </c>
      <c r="G210" s="426" t="str">
        <f t="shared" si="17"/>
        <v/>
      </c>
      <c r="H210" s="427">
        <v>1.0000000000000001E-5</v>
      </c>
      <c r="I210" s="427">
        <v>51.703569999999999</v>
      </c>
      <c r="J210" s="427">
        <v>17.562470000000001</v>
      </c>
      <c r="K210" s="427">
        <v>0</v>
      </c>
      <c r="L210" s="427">
        <v>40.331440000000001</v>
      </c>
      <c r="M210" s="427">
        <v>26.28847</v>
      </c>
      <c r="N210" s="427">
        <v>-0.39038</v>
      </c>
      <c r="O210" s="427">
        <v>0</v>
      </c>
      <c r="P210" s="427">
        <v>0</v>
      </c>
      <c r="Q210" s="427">
        <v>0</v>
      </c>
      <c r="R210" s="427">
        <v>0</v>
      </c>
      <c r="S210" s="427">
        <v>0</v>
      </c>
      <c r="T210" s="427">
        <v>0</v>
      </c>
      <c r="U210" s="427">
        <f t="shared" si="22"/>
        <v>135.49557000000001</v>
      </c>
    </row>
    <row r="211" spans="1:21" s="427" customFormat="1">
      <c r="A211" s="427" t="str">
        <f t="shared" si="20"/>
        <v>KU</v>
      </c>
      <c r="B211" s="427" t="str">
        <f t="shared" si="19"/>
        <v>KY</v>
      </c>
      <c r="C211" s="427" t="str">
        <f t="shared" si="21"/>
        <v>E</v>
      </c>
      <c r="D211" s="427" t="s">
        <v>3419</v>
      </c>
      <c r="E211" s="427" t="str">
        <f t="shared" si="18"/>
        <v>370</v>
      </c>
      <c r="F211" s="756" t="s">
        <v>1802</v>
      </c>
      <c r="G211" s="426" t="str">
        <f t="shared" si="17"/>
        <v/>
      </c>
      <c r="H211" s="427">
        <v>244.53748999999999</v>
      </c>
      <c r="I211" s="427">
        <v>90.703850000000003</v>
      </c>
      <c r="J211" s="427">
        <v>125.79071</v>
      </c>
      <c r="K211" s="427">
        <v>350.99941000000001</v>
      </c>
      <c r="L211" s="427">
        <v>70.085619999999906</v>
      </c>
      <c r="M211" s="427">
        <v>93.613900000000001</v>
      </c>
      <c r="N211" s="427">
        <v>0</v>
      </c>
      <c r="O211" s="427">
        <v>122.5564364</v>
      </c>
      <c r="P211" s="427">
        <v>123.34928386999999</v>
      </c>
      <c r="Q211" s="427">
        <v>102.89004970000001</v>
      </c>
      <c r="R211" s="427">
        <v>953.88920399999995</v>
      </c>
      <c r="S211" s="427">
        <v>103.20413480000001</v>
      </c>
      <c r="T211" s="427">
        <v>102.3658191</v>
      </c>
      <c r="U211" s="427">
        <f t="shared" si="22"/>
        <v>2239.4484178699995</v>
      </c>
    </row>
    <row r="212" spans="1:21" s="427" customFormat="1">
      <c r="A212" s="427" t="str">
        <f t="shared" si="20"/>
        <v>KU</v>
      </c>
      <c r="B212" s="427" t="str">
        <f t="shared" si="19"/>
        <v>KY</v>
      </c>
      <c r="C212" s="427" t="str">
        <f t="shared" si="21"/>
        <v>E</v>
      </c>
      <c r="D212" s="427" t="s">
        <v>3419</v>
      </c>
      <c r="E212" s="427" t="str">
        <f t="shared" si="18"/>
        <v>370</v>
      </c>
      <c r="F212" s="756" t="s">
        <v>2505</v>
      </c>
      <c r="G212" s="426" t="str">
        <f t="shared" si="17"/>
        <v>DSM</v>
      </c>
      <c r="H212" s="427">
        <v>80.787530000000004</v>
      </c>
      <c r="I212" s="427">
        <v>0</v>
      </c>
      <c r="J212" s="427">
        <v>2.1493000000000002</v>
      </c>
      <c r="K212" s="427">
        <v>159.12904999999901</v>
      </c>
      <c r="L212" s="427">
        <v>0</v>
      </c>
      <c r="M212" s="427">
        <v>0.37709999999999999</v>
      </c>
      <c r="N212" s="427">
        <v>7.528E-2</v>
      </c>
      <c r="O212" s="427">
        <v>0</v>
      </c>
      <c r="P212" s="427">
        <v>0</v>
      </c>
      <c r="Q212" s="427">
        <v>0</v>
      </c>
      <c r="R212" s="427">
        <v>0</v>
      </c>
      <c r="S212" s="427">
        <v>0</v>
      </c>
      <c r="T212" s="427">
        <v>0</v>
      </c>
      <c r="U212" s="427">
        <f t="shared" si="22"/>
        <v>161.73072999999903</v>
      </c>
    </row>
    <row r="213" spans="1:21" s="427" customFormat="1">
      <c r="A213" s="427" t="str">
        <f t="shared" si="20"/>
        <v>KU</v>
      </c>
      <c r="B213" s="427" t="str">
        <f t="shared" si="19"/>
        <v>VA</v>
      </c>
      <c r="C213" s="427" t="str">
        <f t="shared" si="21"/>
        <v>E</v>
      </c>
      <c r="D213" s="427" t="s">
        <v>3419</v>
      </c>
      <c r="E213" s="427" t="str">
        <f t="shared" si="18"/>
        <v>370</v>
      </c>
      <c r="F213" s="756" t="s">
        <v>1804</v>
      </c>
      <c r="G213" s="426" t="str">
        <f t="shared" si="17"/>
        <v/>
      </c>
      <c r="H213" s="427">
        <v>109.26831</v>
      </c>
      <c r="I213" s="427">
        <v>45.351939999999999</v>
      </c>
      <c r="J213" s="427">
        <v>62.895359999999997</v>
      </c>
      <c r="K213" s="427">
        <v>-280.566969999999</v>
      </c>
      <c r="L213" s="427">
        <v>35.042809999999903</v>
      </c>
      <c r="M213" s="427">
        <v>46.806980000000003</v>
      </c>
      <c r="N213" s="427">
        <v>0</v>
      </c>
      <c r="O213" s="427">
        <v>0</v>
      </c>
      <c r="P213" s="427">
        <v>0</v>
      </c>
      <c r="Q213" s="427">
        <v>0</v>
      </c>
      <c r="R213" s="427">
        <v>0</v>
      </c>
      <c r="S213" s="427">
        <v>0</v>
      </c>
      <c r="T213" s="427">
        <v>0</v>
      </c>
      <c r="U213" s="427">
        <f t="shared" si="22"/>
        <v>-90.46987999999908</v>
      </c>
    </row>
    <row r="214" spans="1:21" s="427" customFormat="1">
      <c r="A214" s="427" t="str">
        <f t="shared" si="20"/>
        <v>KU</v>
      </c>
      <c r="B214" s="427" t="str">
        <f t="shared" si="19"/>
        <v>KY</v>
      </c>
      <c r="C214" s="427" t="str">
        <f t="shared" si="21"/>
        <v>E</v>
      </c>
      <c r="D214" s="427" t="s">
        <v>3419</v>
      </c>
      <c r="E214" s="427" t="str">
        <f t="shared" si="18"/>
        <v>371</v>
      </c>
      <c r="F214" s="756" t="s">
        <v>1805</v>
      </c>
      <c r="G214" s="426" t="str">
        <f t="shared" si="17"/>
        <v/>
      </c>
      <c r="H214" s="427">
        <v>0</v>
      </c>
      <c r="I214" s="427">
        <v>0</v>
      </c>
      <c r="J214" s="427">
        <v>0</v>
      </c>
      <c r="K214" s="427">
        <v>0</v>
      </c>
      <c r="L214" s="427">
        <v>0</v>
      </c>
      <c r="M214" s="427">
        <v>2.1732499999999999</v>
      </c>
      <c r="N214" s="427">
        <v>0</v>
      </c>
      <c r="O214" s="427">
        <v>0</v>
      </c>
      <c r="P214" s="427">
        <v>0</v>
      </c>
      <c r="Q214" s="427">
        <v>0</v>
      </c>
      <c r="R214" s="427">
        <v>0</v>
      </c>
      <c r="S214" s="427">
        <v>0</v>
      </c>
      <c r="T214" s="427">
        <v>0</v>
      </c>
      <c r="U214" s="427">
        <f t="shared" si="22"/>
        <v>2.1732499999999999</v>
      </c>
    </row>
    <row r="215" spans="1:21" s="427" customFormat="1">
      <c r="A215" s="427" t="str">
        <f t="shared" si="20"/>
        <v>KU</v>
      </c>
      <c r="B215" s="427" t="str">
        <f t="shared" si="19"/>
        <v>KY</v>
      </c>
      <c r="C215" s="427" t="str">
        <f t="shared" si="21"/>
        <v>E</v>
      </c>
      <c r="D215" s="427" t="s">
        <v>3419</v>
      </c>
      <c r="E215" s="427" t="str">
        <f t="shared" si="18"/>
        <v>371</v>
      </c>
      <c r="F215" s="756" t="s">
        <v>2669</v>
      </c>
      <c r="G215" s="426" t="str">
        <f t="shared" si="17"/>
        <v/>
      </c>
      <c r="H215" s="427">
        <v>0</v>
      </c>
      <c r="I215" s="427">
        <v>0</v>
      </c>
      <c r="J215" s="427">
        <v>0</v>
      </c>
      <c r="K215" s="427">
        <v>0</v>
      </c>
      <c r="L215" s="427">
        <v>0</v>
      </c>
      <c r="M215" s="427">
        <v>0</v>
      </c>
      <c r="N215" s="427">
        <v>0</v>
      </c>
      <c r="O215" s="427">
        <v>70.587059999999994</v>
      </c>
      <c r="P215" s="427">
        <v>6.9091426499999997</v>
      </c>
      <c r="Q215" s="427">
        <v>6.9091426499999997</v>
      </c>
      <c r="R215" s="427">
        <v>6.9091426499999997</v>
      </c>
      <c r="S215" s="427">
        <v>6.9091426499999997</v>
      </c>
      <c r="T215" s="427">
        <v>39.098977499999997</v>
      </c>
      <c r="U215" s="427">
        <f t="shared" si="22"/>
        <v>137.3226081</v>
      </c>
    </row>
    <row r="216" spans="1:21" s="427" customFormat="1">
      <c r="A216" s="427" t="str">
        <f t="shared" si="20"/>
        <v>KU</v>
      </c>
      <c r="B216" s="427" t="str">
        <f t="shared" si="19"/>
        <v>KY</v>
      </c>
      <c r="C216" s="427" t="str">
        <f t="shared" si="21"/>
        <v>E</v>
      </c>
      <c r="D216" s="427" t="s">
        <v>3419</v>
      </c>
      <c r="E216" s="427" t="str">
        <f t="shared" si="18"/>
        <v>373</v>
      </c>
      <c r="F216" s="756" t="s">
        <v>1806</v>
      </c>
      <c r="G216" s="426" t="str">
        <f t="shared" si="17"/>
        <v/>
      </c>
      <c r="H216" s="427">
        <v>607.19605999999999</v>
      </c>
      <c r="I216" s="427">
        <v>914.47699999999998</v>
      </c>
      <c r="J216" s="427">
        <v>535.01090999999997</v>
      </c>
      <c r="K216" s="427">
        <v>2.5495700000000001</v>
      </c>
      <c r="L216" s="427">
        <v>982.63878</v>
      </c>
      <c r="M216" s="427">
        <v>611.32826999999997</v>
      </c>
      <c r="N216" s="427">
        <v>-124.86203</v>
      </c>
      <c r="O216" s="427">
        <v>889.81054724199998</v>
      </c>
      <c r="P216" s="427">
        <v>712.99929382899995</v>
      </c>
      <c r="Q216" s="427">
        <v>541.45179254000004</v>
      </c>
      <c r="R216" s="427">
        <v>575.92429475300003</v>
      </c>
      <c r="S216" s="427">
        <v>525.23863223000001</v>
      </c>
      <c r="T216" s="427">
        <v>518.45251937499995</v>
      </c>
      <c r="U216" s="427">
        <f t="shared" si="22"/>
        <v>6685.019579969</v>
      </c>
    </row>
    <row r="217" spans="1:21" s="427" customFormat="1">
      <c r="A217" s="427" t="str">
        <f t="shared" si="20"/>
        <v>KU</v>
      </c>
      <c r="B217" s="427" t="str">
        <f t="shared" si="19"/>
        <v>VA</v>
      </c>
      <c r="C217" s="427" t="str">
        <f t="shared" si="21"/>
        <v>E</v>
      </c>
      <c r="D217" s="427" t="s">
        <v>3419</v>
      </c>
      <c r="E217" s="427" t="str">
        <f t="shared" si="18"/>
        <v>373</v>
      </c>
      <c r="F217" s="756" t="s">
        <v>1807</v>
      </c>
      <c r="G217" s="426" t="str">
        <f t="shared" si="17"/>
        <v/>
      </c>
      <c r="H217" s="427">
        <v>12.53857</v>
      </c>
      <c r="I217" s="427">
        <v>11.92563</v>
      </c>
      <c r="J217" s="427">
        <v>9.6732600000000009</v>
      </c>
      <c r="K217" s="427">
        <v>-4.7676499999999997</v>
      </c>
      <c r="L217" s="427">
        <v>21.254200000000001</v>
      </c>
      <c r="M217" s="427">
        <v>1.31951</v>
      </c>
      <c r="N217" s="427">
        <v>-1.25719</v>
      </c>
      <c r="O217" s="427">
        <v>5.9719795427999998</v>
      </c>
      <c r="P217" s="427">
        <v>81.686212580000003</v>
      </c>
      <c r="Q217" s="427">
        <v>12.780540716000001</v>
      </c>
      <c r="R217" s="427">
        <v>11.695051507999899</v>
      </c>
      <c r="S217" s="427">
        <v>11.719067860999999</v>
      </c>
      <c r="T217" s="427">
        <v>11.669277862</v>
      </c>
      <c r="U217" s="427">
        <f t="shared" si="22"/>
        <v>173.66989006979992</v>
      </c>
    </row>
    <row r="218" spans="1:21" s="427" customFormat="1">
      <c r="A218" s="427" t="str">
        <f t="shared" si="20"/>
        <v>KU</v>
      </c>
      <c r="B218" s="427" t="str">
        <f t="shared" si="19"/>
        <v>KY</v>
      </c>
      <c r="C218" s="427" t="str">
        <f t="shared" si="21"/>
        <v>E</v>
      </c>
      <c r="D218" s="427" t="s">
        <v>3419</v>
      </c>
      <c r="E218" s="427" t="str">
        <f t="shared" si="18"/>
        <v>389</v>
      </c>
      <c r="F218" s="756" t="s">
        <v>1809</v>
      </c>
      <c r="G218" s="426" t="str">
        <f t="shared" si="17"/>
        <v/>
      </c>
      <c r="H218" s="427">
        <v>0</v>
      </c>
      <c r="I218" s="427">
        <v>0</v>
      </c>
      <c r="J218" s="427">
        <v>0</v>
      </c>
      <c r="K218" s="427">
        <v>0</v>
      </c>
      <c r="L218" s="427">
        <v>0</v>
      </c>
      <c r="M218" s="427">
        <v>0</v>
      </c>
      <c r="N218" s="427">
        <v>0</v>
      </c>
      <c r="O218" s="427">
        <v>110.37230984999999</v>
      </c>
      <c r="P218" s="427">
        <v>0</v>
      </c>
      <c r="Q218" s="427">
        <v>0</v>
      </c>
      <c r="R218" s="427">
        <v>0</v>
      </c>
      <c r="S218" s="427">
        <v>0</v>
      </c>
      <c r="T218" s="427">
        <v>0</v>
      </c>
      <c r="U218" s="427">
        <f t="shared" si="22"/>
        <v>110.37230984999999</v>
      </c>
    </row>
    <row r="219" spans="1:21" s="427" customFormat="1">
      <c r="A219" s="427" t="str">
        <f t="shared" si="20"/>
        <v>KU</v>
      </c>
      <c r="B219" s="427" t="str">
        <f t="shared" si="19"/>
        <v>VA</v>
      </c>
      <c r="C219" s="427" t="str">
        <f t="shared" si="21"/>
        <v>E</v>
      </c>
      <c r="D219" s="427" t="s">
        <v>3419</v>
      </c>
      <c r="E219" s="427" t="str">
        <f t="shared" si="18"/>
        <v>389</v>
      </c>
      <c r="F219" s="756" t="s">
        <v>1810</v>
      </c>
      <c r="G219" s="426" t="str">
        <f t="shared" ref="G219:G282" si="23">IF(ISTEXT(MID($F219,SEARCH("FUTURE USE",$F219),3)),"FUTURE USE",IF(ISTEXT(MID($F219,SEARCH("ECR",$F219),3)),"ECR",IF(ISTEXT(MID($F219,SEARCH("ARO",$F219),3)),"ARO",IF(ISTEXT(MID($F219,SEARCH("DSM",$F219),3)),"DSM",""))))</f>
        <v/>
      </c>
      <c r="H219" s="427">
        <v>0</v>
      </c>
      <c r="I219" s="427">
        <v>0</v>
      </c>
      <c r="J219" s="427">
        <v>0</v>
      </c>
      <c r="K219" s="427">
        <v>0</v>
      </c>
      <c r="L219" s="427">
        <v>0</v>
      </c>
      <c r="M219" s="427">
        <v>0</v>
      </c>
      <c r="N219" s="427">
        <v>0</v>
      </c>
      <c r="O219" s="427">
        <v>481.57245740000002</v>
      </c>
      <c r="P219" s="427">
        <v>0</v>
      </c>
      <c r="Q219" s="427">
        <v>125.0458055</v>
      </c>
      <c r="R219" s="427">
        <v>0</v>
      </c>
      <c r="S219" s="427">
        <v>0</v>
      </c>
      <c r="T219" s="427">
        <v>0</v>
      </c>
      <c r="U219" s="427">
        <f t="shared" si="22"/>
        <v>606.61826289999999</v>
      </c>
    </row>
    <row r="220" spans="1:21" s="427" customFormat="1">
      <c r="A220" s="427" t="str">
        <f t="shared" si="20"/>
        <v>KU</v>
      </c>
      <c r="B220" s="427" t="str">
        <f t="shared" si="19"/>
        <v>KY</v>
      </c>
      <c r="C220" s="427" t="str">
        <f t="shared" si="21"/>
        <v>E</v>
      </c>
      <c r="D220" s="427" t="s">
        <v>3419</v>
      </c>
      <c r="E220" s="427" t="str">
        <f t="shared" si="18"/>
        <v>390</v>
      </c>
      <c r="F220" s="756" t="s">
        <v>1811</v>
      </c>
      <c r="G220" s="426" t="str">
        <f t="shared" si="23"/>
        <v/>
      </c>
      <c r="H220" s="427">
        <v>129.39690999999999</v>
      </c>
      <c r="I220" s="427">
        <v>-1.389E-2</v>
      </c>
      <c r="J220" s="427">
        <v>10.5301499999999</v>
      </c>
      <c r="K220" s="427">
        <v>331.64017999999999</v>
      </c>
      <c r="L220" s="427">
        <v>4.0599999999999996</v>
      </c>
      <c r="M220" s="427">
        <v>0.51334000000000002</v>
      </c>
      <c r="N220" s="427">
        <v>0</v>
      </c>
      <c r="O220" s="427">
        <v>-0.55367247659999996</v>
      </c>
      <c r="P220" s="427">
        <v>59.178712930000003</v>
      </c>
      <c r="Q220" s="427">
        <v>0</v>
      </c>
      <c r="R220" s="427">
        <v>0</v>
      </c>
      <c r="S220" s="427">
        <v>0</v>
      </c>
      <c r="T220" s="427">
        <v>0</v>
      </c>
      <c r="U220" s="427">
        <f t="shared" si="22"/>
        <v>405.3548204533999</v>
      </c>
    </row>
    <row r="221" spans="1:21" s="427" customFormat="1">
      <c r="A221" s="427" t="str">
        <f t="shared" si="20"/>
        <v>KU</v>
      </c>
      <c r="B221" s="427" t="str">
        <f t="shared" si="19"/>
        <v>KY</v>
      </c>
      <c r="C221" s="427" t="str">
        <f t="shared" si="21"/>
        <v>E</v>
      </c>
      <c r="D221" s="427" t="s">
        <v>3419</v>
      </c>
      <c r="E221" s="427" t="str">
        <f t="shared" si="18"/>
        <v>390</v>
      </c>
      <c r="F221" s="756" t="s">
        <v>1812</v>
      </c>
      <c r="G221" s="426" t="str">
        <f t="shared" si="23"/>
        <v/>
      </c>
      <c r="H221" s="427">
        <v>492.39589999999998</v>
      </c>
      <c r="I221" s="427">
        <v>433.85172</v>
      </c>
      <c r="J221" s="427">
        <v>418.68317999999999</v>
      </c>
      <c r="K221" s="427">
        <v>1319.4114199999999</v>
      </c>
      <c r="L221" s="427">
        <v>316.45443999999998</v>
      </c>
      <c r="M221" s="427">
        <v>221.71167</v>
      </c>
      <c r="N221" s="427">
        <v>101.328229999999</v>
      </c>
      <c r="O221" s="427">
        <v>479.29608014870001</v>
      </c>
      <c r="P221" s="427">
        <v>268.64382236599999</v>
      </c>
      <c r="Q221" s="427">
        <v>245.32920131999899</v>
      </c>
      <c r="R221" s="427">
        <v>773.60513162200004</v>
      </c>
      <c r="S221" s="427">
        <v>1118.3740668600001</v>
      </c>
      <c r="T221" s="427">
        <v>610.84738608899897</v>
      </c>
      <c r="U221" s="427">
        <f t="shared" si="22"/>
        <v>6307.5363484056979</v>
      </c>
    </row>
    <row r="222" spans="1:21" s="427" customFormat="1">
      <c r="A222" s="427" t="str">
        <f t="shared" si="20"/>
        <v>KU</v>
      </c>
      <c r="B222" s="427" t="str">
        <f t="shared" si="19"/>
        <v>VA</v>
      </c>
      <c r="C222" s="427" t="str">
        <f t="shared" si="21"/>
        <v>E</v>
      </c>
      <c r="D222" s="427" t="s">
        <v>3419</v>
      </c>
      <c r="E222" s="427" t="str">
        <f t="shared" si="18"/>
        <v>390</v>
      </c>
      <c r="F222" s="756" t="s">
        <v>1813</v>
      </c>
      <c r="G222" s="426" t="str">
        <f t="shared" si="23"/>
        <v/>
      </c>
      <c r="H222" s="427">
        <v>0</v>
      </c>
      <c r="I222" s="427">
        <v>0</v>
      </c>
      <c r="J222" s="427">
        <v>0</v>
      </c>
      <c r="K222" s="427">
        <v>17.51801</v>
      </c>
      <c r="L222" s="427">
        <v>0</v>
      </c>
      <c r="M222" s="427">
        <v>0</v>
      </c>
      <c r="N222" s="427">
        <v>8.8545599999999993</v>
      </c>
      <c r="O222" s="427">
        <v>0</v>
      </c>
      <c r="P222" s="427">
        <v>-0.1506279522</v>
      </c>
      <c r="Q222" s="427">
        <v>0</v>
      </c>
      <c r="R222" s="427">
        <v>0</v>
      </c>
      <c r="S222" s="427">
        <v>38.215930439999902</v>
      </c>
      <c r="T222" s="427">
        <v>12.48415338</v>
      </c>
      <c r="U222" s="427">
        <f t="shared" si="22"/>
        <v>76.922025867799888</v>
      </c>
    </row>
    <row r="223" spans="1:21" s="427" customFormat="1">
      <c r="A223" s="427" t="str">
        <f t="shared" si="20"/>
        <v>KU</v>
      </c>
      <c r="B223" s="427" t="str">
        <f t="shared" si="19"/>
        <v>KY</v>
      </c>
      <c r="C223" s="427" t="str">
        <f t="shared" si="21"/>
        <v>E</v>
      </c>
      <c r="D223" s="427" t="s">
        <v>3419</v>
      </c>
      <c r="E223" s="427" t="str">
        <f t="shared" si="18"/>
        <v>391</v>
      </c>
      <c r="F223" s="756" t="s">
        <v>1814</v>
      </c>
      <c r="G223" s="426" t="str">
        <f t="shared" si="23"/>
        <v/>
      </c>
      <c r="H223" s="427">
        <v>9.2777700000000003</v>
      </c>
      <c r="I223" s="427">
        <v>998.90822000000003</v>
      </c>
      <c r="J223" s="427">
        <v>21.914249999999999</v>
      </c>
      <c r="K223" s="427">
        <v>12.6043799999999</v>
      </c>
      <c r="L223" s="427">
        <v>0.2208</v>
      </c>
      <c r="M223" s="427">
        <v>0</v>
      </c>
      <c r="N223" s="427">
        <v>77.939440000000005</v>
      </c>
      <c r="O223" s="427">
        <v>186.59806167099899</v>
      </c>
      <c r="P223" s="427">
        <v>0</v>
      </c>
      <c r="Q223" s="427">
        <v>0</v>
      </c>
      <c r="R223" s="427">
        <v>0</v>
      </c>
      <c r="S223" s="427">
        <v>1370.6189466599999</v>
      </c>
      <c r="T223" s="427">
        <v>92.276454330000007</v>
      </c>
      <c r="U223" s="427">
        <f t="shared" si="22"/>
        <v>2761.0805526609993</v>
      </c>
    </row>
    <row r="224" spans="1:21" s="427" customFormat="1">
      <c r="A224" s="427" t="str">
        <f t="shared" si="20"/>
        <v>KU</v>
      </c>
      <c r="B224" s="427" t="str">
        <f t="shared" si="19"/>
        <v>KY</v>
      </c>
      <c r="C224" s="427" t="str">
        <f t="shared" si="21"/>
        <v>E</v>
      </c>
      <c r="D224" s="427" t="s">
        <v>3419</v>
      </c>
      <c r="E224" s="427" t="str">
        <f t="shared" si="18"/>
        <v>391</v>
      </c>
      <c r="F224" s="756" t="s">
        <v>1815</v>
      </c>
      <c r="G224" s="426" t="str">
        <f t="shared" si="23"/>
        <v/>
      </c>
      <c r="H224" s="427">
        <v>-14.4541</v>
      </c>
      <c r="I224" s="427">
        <v>4127.8815199999999</v>
      </c>
      <c r="J224" s="427">
        <v>121.62560999999999</v>
      </c>
      <c r="K224" s="427">
        <v>445.43297999999999</v>
      </c>
      <c r="L224" s="427">
        <v>308.67482000000001</v>
      </c>
      <c r="M224" s="427">
        <v>-26.081620000000001</v>
      </c>
      <c r="N224" s="427">
        <v>17.124490000000002</v>
      </c>
      <c r="O224" s="427">
        <v>789.084280431499</v>
      </c>
      <c r="P224" s="427">
        <v>362.134805943</v>
      </c>
      <c r="Q224" s="427">
        <v>1295.463754224</v>
      </c>
      <c r="R224" s="427">
        <v>998.58089907900001</v>
      </c>
      <c r="S224" s="427">
        <v>375.32271286299999</v>
      </c>
      <c r="T224" s="427">
        <v>927.06601962399998</v>
      </c>
      <c r="U224" s="427">
        <f t="shared" si="22"/>
        <v>9742.3102721644991</v>
      </c>
    </row>
    <row r="225" spans="1:21" s="427" customFormat="1">
      <c r="A225" s="427" t="str">
        <f t="shared" si="20"/>
        <v>KU</v>
      </c>
      <c r="B225" s="427" t="str">
        <f t="shared" si="19"/>
        <v>KY</v>
      </c>
      <c r="C225" s="427" t="str">
        <f t="shared" si="21"/>
        <v>E</v>
      </c>
      <c r="D225" s="427" t="s">
        <v>3419</v>
      </c>
      <c r="E225" s="427" t="str">
        <f t="shared" si="18"/>
        <v>392</v>
      </c>
      <c r="F225" s="756" t="s">
        <v>1818</v>
      </c>
      <c r="G225" s="426" t="str">
        <f t="shared" si="23"/>
        <v/>
      </c>
      <c r="H225" s="427">
        <v>0</v>
      </c>
      <c r="I225" s="427">
        <v>0</v>
      </c>
      <c r="J225" s="427">
        <v>175.85469000000001</v>
      </c>
      <c r="K225" s="427">
        <v>0</v>
      </c>
      <c r="L225" s="427">
        <v>0</v>
      </c>
      <c r="M225" s="427">
        <v>171.59447</v>
      </c>
      <c r="N225" s="427">
        <v>20.449210000000001</v>
      </c>
      <c r="O225" s="427">
        <v>123.1859</v>
      </c>
      <c r="P225" s="427">
        <v>0</v>
      </c>
      <c r="Q225" s="427">
        <v>0</v>
      </c>
      <c r="R225" s="427">
        <v>0</v>
      </c>
      <c r="S225" s="427">
        <v>0</v>
      </c>
      <c r="T225" s="427">
        <v>0</v>
      </c>
      <c r="U225" s="427">
        <f t="shared" si="22"/>
        <v>491.08427</v>
      </c>
    </row>
    <row r="226" spans="1:21" s="427" customFormat="1">
      <c r="A226" s="427" t="str">
        <f t="shared" si="20"/>
        <v>KU</v>
      </c>
      <c r="B226" s="427" t="str">
        <f t="shared" si="19"/>
        <v>VA</v>
      </c>
      <c r="C226" s="427" t="str">
        <f t="shared" si="21"/>
        <v>E</v>
      </c>
      <c r="D226" s="427" t="s">
        <v>3419</v>
      </c>
      <c r="E226" s="427" t="str">
        <f t="shared" si="18"/>
        <v>392</v>
      </c>
      <c r="F226" s="756" t="s">
        <v>2507</v>
      </c>
      <c r="G226" s="426" t="str">
        <f t="shared" si="23"/>
        <v/>
      </c>
      <c r="H226" s="427">
        <v>0</v>
      </c>
      <c r="I226" s="427">
        <v>0</v>
      </c>
      <c r="J226" s="427">
        <v>14.946400000000001</v>
      </c>
      <c r="K226" s="427">
        <v>0</v>
      </c>
      <c r="L226" s="427">
        <v>0</v>
      </c>
      <c r="M226" s="427">
        <v>0</v>
      </c>
      <c r="N226" s="427">
        <v>0</v>
      </c>
      <c r="O226" s="427">
        <v>0</v>
      </c>
      <c r="P226" s="427">
        <v>0</v>
      </c>
      <c r="Q226" s="427">
        <v>0</v>
      </c>
      <c r="R226" s="427">
        <v>0</v>
      </c>
      <c r="S226" s="427">
        <v>0</v>
      </c>
      <c r="T226" s="427">
        <v>0</v>
      </c>
      <c r="U226" s="427">
        <f t="shared" si="22"/>
        <v>14.946400000000001</v>
      </c>
    </row>
    <row r="227" spans="1:21" s="427" customFormat="1">
      <c r="A227" s="427" t="str">
        <f t="shared" si="20"/>
        <v>KU</v>
      </c>
      <c r="B227" s="427" t="str">
        <f t="shared" si="19"/>
        <v>KY</v>
      </c>
      <c r="C227" s="427" t="str">
        <f t="shared" si="21"/>
        <v>E</v>
      </c>
      <c r="D227" s="427" t="s">
        <v>3419</v>
      </c>
      <c r="E227" s="427" t="str">
        <f t="shared" si="18"/>
        <v>393</v>
      </c>
      <c r="F227" s="756" t="s">
        <v>1819</v>
      </c>
      <c r="G227" s="426" t="str">
        <f t="shared" si="23"/>
        <v/>
      </c>
      <c r="H227" s="427">
        <v>0</v>
      </c>
      <c r="I227" s="427">
        <v>0</v>
      </c>
      <c r="J227" s="427">
        <v>79.926100000000005</v>
      </c>
      <c r="K227" s="427">
        <v>0</v>
      </c>
      <c r="L227" s="427">
        <v>0</v>
      </c>
      <c r="M227" s="427">
        <v>-79.926100000000005</v>
      </c>
      <c r="N227" s="427">
        <v>0</v>
      </c>
      <c r="O227" s="427">
        <v>0</v>
      </c>
      <c r="P227" s="427">
        <v>0</v>
      </c>
      <c r="Q227" s="427">
        <v>0</v>
      </c>
      <c r="R227" s="427">
        <v>49.035707420000001</v>
      </c>
      <c r="S227" s="427">
        <v>0</v>
      </c>
      <c r="T227" s="427">
        <v>0</v>
      </c>
      <c r="U227" s="427">
        <f t="shared" si="22"/>
        <v>49.035707420000001</v>
      </c>
    </row>
    <row r="228" spans="1:21" s="427" customFormat="1">
      <c r="A228" s="427" t="str">
        <f t="shared" si="20"/>
        <v>KU</v>
      </c>
      <c r="B228" s="427" t="str">
        <f t="shared" si="19"/>
        <v>KY</v>
      </c>
      <c r="C228" s="427" t="str">
        <f t="shared" si="21"/>
        <v>E</v>
      </c>
      <c r="D228" s="427" t="s">
        <v>3419</v>
      </c>
      <c r="E228" s="427" t="str">
        <f t="shared" si="18"/>
        <v>394</v>
      </c>
      <c r="F228" s="756" t="s">
        <v>1821</v>
      </c>
      <c r="G228" s="426" t="str">
        <f t="shared" si="23"/>
        <v/>
      </c>
      <c r="H228" s="427">
        <v>19.79908</v>
      </c>
      <c r="I228" s="427">
        <v>0</v>
      </c>
      <c r="J228" s="427">
        <v>23.53191</v>
      </c>
      <c r="K228" s="427">
        <v>30.332000000000001</v>
      </c>
      <c r="L228" s="427">
        <v>44.501609999999999</v>
      </c>
      <c r="M228" s="427">
        <v>80.346059999999994</v>
      </c>
      <c r="N228" s="427">
        <v>373.24907999999999</v>
      </c>
      <c r="O228" s="427">
        <v>298.79949675479997</v>
      </c>
      <c r="P228" s="427">
        <v>282.62615746400002</v>
      </c>
      <c r="Q228" s="427">
        <v>130.7719692755</v>
      </c>
      <c r="R228" s="427">
        <v>546.21405956590002</v>
      </c>
      <c r="S228" s="427">
        <v>5.3514694780000003</v>
      </c>
      <c r="T228" s="427">
        <v>136.57114518349999</v>
      </c>
      <c r="U228" s="427">
        <f t="shared" si="22"/>
        <v>1952.2949577216998</v>
      </c>
    </row>
    <row r="229" spans="1:21" s="427" customFormat="1">
      <c r="A229" s="427" t="str">
        <f t="shared" si="20"/>
        <v>KU</v>
      </c>
      <c r="B229" s="427" t="str">
        <f t="shared" si="19"/>
        <v>VA</v>
      </c>
      <c r="C229" s="427" t="str">
        <f t="shared" si="21"/>
        <v>E</v>
      </c>
      <c r="D229" s="427" t="s">
        <v>3419</v>
      </c>
      <c r="E229" s="427" t="str">
        <f t="shared" si="18"/>
        <v>394</v>
      </c>
      <c r="F229" s="756" t="s">
        <v>1822</v>
      </c>
      <c r="G229" s="426" t="str">
        <f t="shared" si="23"/>
        <v/>
      </c>
      <c r="H229" s="427">
        <v>0</v>
      </c>
      <c r="I229" s="427">
        <v>0</v>
      </c>
      <c r="J229" s="427">
        <v>0</v>
      </c>
      <c r="K229" s="427">
        <v>0</v>
      </c>
      <c r="L229" s="427">
        <v>0</v>
      </c>
      <c r="M229" s="427">
        <v>0</v>
      </c>
      <c r="N229" s="427">
        <v>0</v>
      </c>
      <c r="O229" s="427">
        <v>52.63790788</v>
      </c>
      <c r="P229" s="427">
        <v>36.366289139999999</v>
      </c>
      <c r="Q229" s="427">
        <v>5.7131263649999999</v>
      </c>
      <c r="R229" s="427">
        <v>54.748824175000003</v>
      </c>
      <c r="S229" s="427">
        <v>5.7131263649999999</v>
      </c>
      <c r="T229" s="427">
        <v>4.0763461500000001E-2</v>
      </c>
      <c r="U229" s="427">
        <f t="shared" si="22"/>
        <v>155.2200373865</v>
      </c>
    </row>
    <row r="230" spans="1:21" s="427" customFormat="1">
      <c r="A230" s="427" t="str">
        <f t="shared" si="20"/>
        <v>KU</v>
      </c>
      <c r="B230" s="427" t="str">
        <f t="shared" si="19"/>
        <v>KY</v>
      </c>
      <c r="C230" s="427" t="str">
        <f t="shared" si="21"/>
        <v>E</v>
      </c>
      <c r="D230" s="427" t="s">
        <v>3419</v>
      </c>
      <c r="E230" s="427" t="str">
        <f t="shared" si="18"/>
        <v>396</v>
      </c>
      <c r="F230" s="756" t="s">
        <v>1823</v>
      </c>
      <c r="G230" s="426" t="str">
        <f t="shared" si="23"/>
        <v/>
      </c>
      <c r="H230" s="427">
        <v>0</v>
      </c>
      <c r="I230" s="427">
        <v>0</v>
      </c>
      <c r="J230" s="427">
        <v>-770.89337999999998</v>
      </c>
      <c r="K230" s="427">
        <v>0</v>
      </c>
      <c r="L230" s="427">
        <v>0</v>
      </c>
      <c r="M230" s="427">
        <v>0</v>
      </c>
      <c r="N230" s="427">
        <v>0</v>
      </c>
      <c r="O230" s="427">
        <v>0</v>
      </c>
      <c r="P230" s="427">
        <v>0</v>
      </c>
      <c r="Q230" s="427">
        <v>0</v>
      </c>
      <c r="R230" s="427">
        <v>0</v>
      </c>
      <c r="S230" s="427">
        <v>0</v>
      </c>
      <c r="T230" s="427">
        <v>0</v>
      </c>
      <c r="U230" s="427">
        <f t="shared" si="22"/>
        <v>-770.89337999999998</v>
      </c>
    </row>
    <row r="231" spans="1:21" s="427" customFormat="1">
      <c r="A231" s="427" t="str">
        <f t="shared" si="20"/>
        <v>KU</v>
      </c>
      <c r="B231" s="427" t="str">
        <f t="shared" si="19"/>
        <v>KY</v>
      </c>
      <c r="C231" s="427" t="str">
        <f t="shared" si="21"/>
        <v>E</v>
      </c>
      <c r="D231" s="427" t="s">
        <v>3419</v>
      </c>
      <c r="E231" s="427" t="str">
        <f t="shared" si="18"/>
        <v>396</v>
      </c>
      <c r="F231" s="756" t="s">
        <v>2508</v>
      </c>
      <c r="G231" s="426" t="str">
        <f t="shared" si="23"/>
        <v/>
      </c>
      <c r="H231" s="427">
        <v>0</v>
      </c>
      <c r="I231" s="427">
        <v>0</v>
      </c>
      <c r="J231" s="427">
        <v>1099.3183899999999</v>
      </c>
      <c r="K231" s="427">
        <v>0</v>
      </c>
      <c r="L231" s="427">
        <v>0</v>
      </c>
      <c r="M231" s="427">
        <v>41.081969999999998</v>
      </c>
      <c r="N231" s="427">
        <v>123.36501</v>
      </c>
      <c r="O231" s="427">
        <v>187.01958999999999</v>
      </c>
      <c r="P231" s="427">
        <v>0</v>
      </c>
      <c r="Q231" s="427">
        <v>0</v>
      </c>
      <c r="R231" s="427">
        <v>0</v>
      </c>
      <c r="S231" s="427">
        <v>0</v>
      </c>
      <c r="T231" s="427">
        <v>0</v>
      </c>
      <c r="U231" s="427">
        <f t="shared" si="22"/>
        <v>1450.78496</v>
      </c>
    </row>
    <row r="232" spans="1:21" s="427" customFormat="1">
      <c r="A232" s="427" t="str">
        <f t="shared" si="20"/>
        <v>KU</v>
      </c>
      <c r="B232" s="427" t="str">
        <f t="shared" si="19"/>
        <v>KY</v>
      </c>
      <c r="C232" s="427" t="str">
        <f t="shared" si="21"/>
        <v>E</v>
      </c>
      <c r="D232" s="427" t="s">
        <v>3419</v>
      </c>
      <c r="E232" s="427" t="str">
        <f t="shared" si="18"/>
        <v>397</v>
      </c>
      <c r="F232" s="756" t="s">
        <v>1825</v>
      </c>
      <c r="G232" s="426" t="str">
        <f t="shared" si="23"/>
        <v>DSM</v>
      </c>
      <c r="H232" s="427">
        <v>0.91054999999999997</v>
      </c>
      <c r="I232" s="427">
        <v>6.2714699999999999</v>
      </c>
      <c r="J232" s="427">
        <v>1.8577300000000001</v>
      </c>
      <c r="K232" s="427">
        <v>0.38401000000000002</v>
      </c>
      <c r="L232" s="427">
        <v>1.5234300000000001</v>
      </c>
      <c r="M232" s="427">
        <v>0.77317000000000002</v>
      </c>
      <c r="N232" s="427">
        <v>5.4046700000000003</v>
      </c>
      <c r="O232" s="427">
        <v>5</v>
      </c>
      <c r="P232" s="427">
        <v>4.3051599999999999</v>
      </c>
      <c r="Q232" s="427">
        <v>109.38647</v>
      </c>
      <c r="R232" s="427">
        <v>4.75</v>
      </c>
      <c r="S232" s="427">
        <v>4.75</v>
      </c>
      <c r="T232" s="427">
        <v>47.957239999999999</v>
      </c>
      <c r="U232" s="427">
        <f t="shared" si="22"/>
        <v>192.36335000000003</v>
      </c>
    </row>
    <row r="233" spans="1:21" s="427" customFormat="1">
      <c r="A233" s="427" t="str">
        <f t="shared" si="20"/>
        <v>KU</v>
      </c>
      <c r="B233" s="427" t="str">
        <f t="shared" si="19"/>
        <v>KY</v>
      </c>
      <c r="C233" s="427" t="str">
        <f t="shared" si="21"/>
        <v>E</v>
      </c>
      <c r="D233" s="427" t="s">
        <v>3419</v>
      </c>
      <c r="E233" s="427" t="str">
        <f t="shared" si="18"/>
        <v>397</v>
      </c>
      <c r="F233" s="756" t="s">
        <v>1826</v>
      </c>
      <c r="G233" s="426" t="str">
        <f t="shared" si="23"/>
        <v/>
      </c>
      <c r="H233" s="427">
        <v>0</v>
      </c>
      <c r="I233" s="427">
        <v>4848.9153900000001</v>
      </c>
      <c r="J233" s="427">
        <v>0.39344999999999902</v>
      </c>
      <c r="K233" s="427">
        <v>1.03704</v>
      </c>
      <c r="L233" s="427">
        <v>9.4115099999999892</v>
      </c>
      <c r="M233" s="427">
        <v>0.56093000000000004</v>
      </c>
      <c r="N233" s="427">
        <v>151.28646000000001</v>
      </c>
      <c r="O233" s="427">
        <v>119.78476499999999</v>
      </c>
      <c r="P233" s="427">
        <v>138.38775540750001</v>
      </c>
      <c r="Q233" s="427">
        <v>0</v>
      </c>
      <c r="R233" s="427">
        <v>512.33745623000004</v>
      </c>
      <c r="S233" s="427">
        <v>1713.0877381299999</v>
      </c>
      <c r="T233" s="427">
        <v>1430.71851374889</v>
      </c>
      <c r="U233" s="427">
        <f t="shared" si="22"/>
        <v>8925.9210085163904</v>
      </c>
    </row>
    <row r="234" spans="1:21" s="427" customFormat="1">
      <c r="A234" s="427" t="str">
        <f t="shared" si="20"/>
        <v>KY</v>
      </c>
      <c r="B234" s="427" t="str">
        <f t="shared" si="19"/>
        <v xml:space="preserve"> A</v>
      </c>
      <c r="C234" s="427" t="str">
        <f t="shared" si="21"/>
        <v/>
      </c>
      <c r="F234" s="758" t="s">
        <v>1829</v>
      </c>
      <c r="G234" s="426" t="str">
        <f t="shared" si="23"/>
        <v/>
      </c>
      <c r="H234" s="427">
        <f t="shared" ref="H234:N234" si="24">SUM(H144:H233)</f>
        <v>84677.245190000016</v>
      </c>
      <c r="I234" s="427">
        <f t="shared" si="24"/>
        <v>22977.637199989862</v>
      </c>
      <c r="J234" s="427">
        <f t="shared" si="24"/>
        <v>14602.430779999999</v>
      </c>
      <c r="K234" s="427">
        <f t="shared" si="24"/>
        <v>14098.809440000001</v>
      </c>
      <c r="L234" s="427">
        <f t="shared" si="24"/>
        <v>16856.725050000001</v>
      </c>
      <c r="M234" s="427">
        <f t="shared" si="24"/>
        <v>27630.028679999989</v>
      </c>
      <c r="N234" s="427">
        <f t="shared" si="24"/>
        <v>30408.674959999993</v>
      </c>
      <c r="O234" s="427">
        <v>104797.85290026282</v>
      </c>
      <c r="P234" s="427">
        <v>64308.839921260398</v>
      </c>
      <c r="Q234" s="427">
        <v>58203.85419780606</v>
      </c>
      <c r="R234" s="427">
        <v>38380.735370078823</v>
      </c>
      <c r="S234" s="427">
        <v>62716.441379670207</v>
      </c>
      <c r="T234" s="427">
        <v>98955.868022300783</v>
      </c>
      <c r="U234" s="427">
        <f t="shared" si="22"/>
        <v>553937.89790136891</v>
      </c>
    </row>
    <row r="235" spans="1:21" s="427" customFormat="1">
      <c r="A235" s="427" t="str">
        <f t="shared" si="20"/>
        <v/>
      </c>
      <c r="B235" s="427" t="str">
        <f t="shared" si="19"/>
        <v/>
      </c>
      <c r="C235" s="427" t="str">
        <f t="shared" si="21"/>
        <v/>
      </c>
      <c r="E235" s="427" t="str">
        <f t="shared" si="18"/>
        <v/>
      </c>
      <c r="F235" s="758"/>
      <c r="G235" s="426" t="str">
        <f t="shared" si="23"/>
        <v/>
      </c>
      <c r="U235" s="427">
        <f t="shared" si="22"/>
        <v>0</v>
      </c>
    </row>
    <row r="236" spans="1:21" s="427" customFormat="1">
      <c r="A236" s="427" t="str">
        <f t="shared" si="20"/>
        <v>s:</v>
      </c>
      <c r="B236" s="427" t="str">
        <f t="shared" si="19"/>
        <v>em</v>
      </c>
      <c r="C236" s="427" t="str">
        <f t="shared" si="21"/>
        <v/>
      </c>
      <c r="E236" s="427" t="str">
        <f t="shared" si="18"/>
        <v>eti</v>
      </c>
      <c r="F236" s="759" t="s">
        <v>1830</v>
      </c>
      <c r="G236" s="426" t="str">
        <f t="shared" si="23"/>
        <v/>
      </c>
      <c r="U236" s="427">
        <f t="shared" si="22"/>
        <v>0</v>
      </c>
    </row>
    <row r="237" spans="1:21" s="427" customFormat="1">
      <c r="A237" s="427" t="str">
        <f t="shared" si="20"/>
        <v>KU</v>
      </c>
      <c r="B237" s="427" t="str">
        <f t="shared" si="19"/>
        <v>KY</v>
      </c>
      <c r="C237" s="427" t="str">
        <f t="shared" si="21"/>
        <v>E</v>
      </c>
      <c r="D237" s="427" t="s">
        <v>3420</v>
      </c>
      <c r="E237" s="427" t="str">
        <f t="shared" si="18"/>
        <v>303</v>
      </c>
      <c r="F237" s="756" t="s">
        <v>1726</v>
      </c>
      <c r="G237" s="426" t="str">
        <f t="shared" si="23"/>
        <v/>
      </c>
      <c r="H237" s="427">
        <v>32.030810000000002</v>
      </c>
      <c r="I237" s="427">
        <v>136.62244000000001</v>
      </c>
      <c r="J237" s="427">
        <v>842.89734999999996</v>
      </c>
      <c r="K237" s="427">
        <v>0</v>
      </c>
      <c r="L237" s="427">
        <v>364.20774</v>
      </c>
      <c r="M237" s="427">
        <v>467.14413999999999</v>
      </c>
      <c r="N237" s="427">
        <v>1119.8396699999901</v>
      </c>
      <c r="O237" s="427">
        <v>1223.06087</v>
      </c>
      <c r="P237" s="427">
        <v>513.81984999999997</v>
      </c>
      <c r="Q237" s="427">
        <v>1158.71748</v>
      </c>
      <c r="R237" s="427">
        <v>1286.93444</v>
      </c>
      <c r="S237" s="427">
        <v>12.285399999999999</v>
      </c>
      <c r="T237" s="427">
        <v>0</v>
      </c>
      <c r="U237" s="427">
        <f t="shared" si="22"/>
        <v>7125.5293799999899</v>
      </c>
    </row>
    <row r="238" spans="1:21">
      <c r="A238" s="427" t="str">
        <f t="shared" si="20"/>
        <v>KU</v>
      </c>
      <c r="B238" s="427" t="str">
        <f t="shared" si="19"/>
        <v>KY</v>
      </c>
      <c r="C238" s="427" t="str">
        <f t="shared" si="21"/>
        <v>E</v>
      </c>
      <c r="D238" s="427" t="s">
        <v>3420</v>
      </c>
      <c r="E238" s="427" t="str">
        <f t="shared" si="18"/>
        <v>303</v>
      </c>
      <c r="F238" s="756" t="s">
        <v>1727</v>
      </c>
      <c r="G238" s="426" t="str">
        <f t="shared" si="23"/>
        <v/>
      </c>
      <c r="H238" s="427">
        <v>0</v>
      </c>
      <c r="I238" s="427">
        <v>0</v>
      </c>
      <c r="J238" s="427">
        <v>0</v>
      </c>
      <c r="K238" s="427">
        <v>0</v>
      </c>
      <c r="L238" s="427">
        <v>0</v>
      </c>
      <c r="M238" s="427">
        <v>0</v>
      </c>
      <c r="N238" s="427">
        <v>0</v>
      </c>
      <c r="O238" s="427">
        <v>0</v>
      </c>
      <c r="P238" s="427">
        <v>0</v>
      </c>
      <c r="Q238" s="427">
        <v>0</v>
      </c>
      <c r="R238" s="427">
        <v>0</v>
      </c>
      <c r="S238" s="427">
        <v>0</v>
      </c>
      <c r="T238" s="427">
        <v>0</v>
      </c>
      <c r="U238" s="427">
        <f t="shared" si="22"/>
        <v>0</v>
      </c>
    </row>
    <row r="239" spans="1:21">
      <c r="A239" s="427" t="str">
        <f t="shared" si="20"/>
        <v>KU</v>
      </c>
      <c r="B239" s="427" t="str">
        <f t="shared" si="19"/>
        <v>KY</v>
      </c>
      <c r="C239" s="427" t="str">
        <f t="shared" si="21"/>
        <v>E</v>
      </c>
      <c r="D239" s="427" t="s">
        <v>3420</v>
      </c>
      <c r="E239" s="427" t="str">
        <f t="shared" si="18"/>
        <v>311</v>
      </c>
      <c r="F239" s="756" t="s">
        <v>1732</v>
      </c>
      <c r="G239" s="426" t="str">
        <f t="shared" si="23"/>
        <v/>
      </c>
      <c r="H239" s="427">
        <v>107.886929999999</v>
      </c>
      <c r="I239" s="427">
        <v>12.17187</v>
      </c>
      <c r="J239" s="427">
        <v>12.745329999999999</v>
      </c>
      <c r="K239" s="427">
        <v>0</v>
      </c>
      <c r="L239" s="427">
        <v>0</v>
      </c>
      <c r="M239" s="427">
        <v>0</v>
      </c>
      <c r="N239" s="427">
        <v>9.7791599999999992</v>
      </c>
      <c r="O239" s="427">
        <v>0</v>
      </c>
      <c r="P239" s="427">
        <v>0</v>
      </c>
      <c r="Q239" s="427">
        <v>0</v>
      </c>
      <c r="R239" s="427">
        <v>0</v>
      </c>
      <c r="S239" s="427">
        <v>0</v>
      </c>
      <c r="T239" s="427">
        <v>0</v>
      </c>
      <c r="U239" s="427">
        <f t="shared" si="22"/>
        <v>34.696359999999999</v>
      </c>
    </row>
    <row r="240" spans="1:21">
      <c r="A240" s="427" t="str">
        <f t="shared" si="20"/>
        <v>KU</v>
      </c>
      <c r="B240" s="427" t="str">
        <f t="shared" si="19"/>
        <v>KY</v>
      </c>
      <c r="C240" s="427" t="str">
        <f t="shared" si="21"/>
        <v>E</v>
      </c>
      <c r="D240" s="427" t="s">
        <v>3420</v>
      </c>
      <c r="E240" s="427" t="str">
        <f t="shared" ref="E240:E303" si="25">MID($F240,8,3)</f>
        <v>312</v>
      </c>
      <c r="F240" s="756" t="s">
        <v>1733</v>
      </c>
      <c r="G240" s="426" t="str">
        <f t="shared" si="23"/>
        <v/>
      </c>
      <c r="H240" s="427">
        <v>221.23400000000001</v>
      </c>
      <c r="I240" s="427">
        <v>404.794139999999</v>
      </c>
      <c r="J240" s="427">
        <v>5499.0848799999903</v>
      </c>
      <c r="K240" s="427">
        <v>0</v>
      </c>
      <c r="L240" s="427">
        <v>0</v>
      </c>
      <c r="M240" s="427">
        <v>207.05719999999999</v>
      </c>
      <c r="N240" s="427">
        <v>1276.17401</v>
      </c>
      <c r="O240" s="427">
        <v>0</v>
      </c>
      <c r="P240" s="427">
        <v>0</v>
      </c>
      <c r="Q240" s="427">
        <v>0</v>
      </c>
      <c r="R240" s="427">
        <v>0</v>
      </c>
      <c r="S240" s="427">
        <v>0</v>
      </c>
      <c r="T240" s="427">
        <v>0</v>
      </c>
      <c r="U240" s="427">
        <f t="shared" si="22"/>
        <v>7387.1102299999893</v>
      </c>
    </row>
    <row r="241" spans="1:21">
      <c r="A241" s="427" t="str">
        <f t="shared" si="20"/>
        <v>KU</v>
      </c>
      <c r="B241" s="427" t="str">
        <f t="shared" si="19"/>
        <v>KY</v>
      </c>
      <c r="C241" s="427" t="str">
        <f t="shared" si="21"/>
        <v>E</v>
      </c>
      <c r="D241" s="427" t="s">
        <v>3420</v>
      </c>
      <c r="E241" s="427" t="str">
        <f t="shared" si="25"/>
        <v>312</v>
      </c>
      <c r="F241" s="756" t="s">
        <v>1734</v>
      </c>
      <c r="G241" s="426" t="str">
        <f t="shared" si="23"/>
        <v>ECR</v>
      </c>
      <c r="H241" s="427">
        <v>0</v>
      </c>
      <c r="I241" s="427">
        <v>0</v>
      </c>
      <c r="J241" s="427">
        <v>0</v>
      </c>
      <c r="K241" s="427">
        <v>0</v>
      </c>
      <c r="L241" s="427">
        <v>0</v>
      </c>
      <c r="M241" s="427">
        <v>0</v>
      </c>
      <c r="N241" s="427">
        <v>0</v>
      </c>
      <c r="O241" s="427">
        <v>0</v>
      </c>
      <c r="P241" s="427">
        <v>0</v>
      </c>
      <c r="Q241" s="427">
        <v>0</v>
      </c>
      <c r="R241" s="427">
        <v>0</v>
      </c>
      <c r="S241" s="427">
        <v>0</v>
      </c>
      <c r="T241" s="427">
        <v>0</v>
      </c>
      <c r="U241" s="427">
        <f t="shared" si="22"/>
        <v>0</v>
      </c>
    </row>
    <row r="242" spans="1:21">
      <c r="A242" s="427" t="str">
        <f t="shared" si="20"/>
        <v>KU</v>
      </c>
      <c r="B242" s="427" t="str">
        <f t="shared" si="19"/>
        <v>KY</v>
      </c>
      <c r="C242" s="427" t="str">
        <f t="shared" si="21"/>
        <v>E</v>
      </c>
      <c r="D242" s="427" t="s">
        <v>3420</v>
      </c>
      <c r="E242" s="427" t="str">
        <f t="shared" si="25"/>
        <v>312</v>
      </c>
      <c r="F242" s="756" t="s">
        <v>1735</v>
      </c>
      <c r="G242" s="426" t="str">
        <f t="shared" si="23"/>
        <v>ECR</v>
      </c>
      <c r="H242" s="427">
        <v>0</v>
      </c>
      <c r="I242" s="427">
        <v>0</v>
      </c>
      <c r="J242" s="427">
        <v>0</v>
      </c>
      <c r="K242" s="427">
        <v>0</v>
      </c>
      <c r="L242" s="427">
        <v>0</v>
      </c>
      <c r="M242" s="427">
        <v>0</v>
      </c>
      <c r="N242" s="427">
        <v>0</v>
      </c>
      <c r="O242" s="427">
        <v>0</v>
      </c>
      <c r="P242" s="427">
        <v>0</v>
      </c>
      <c r="Q242" s="427">
        <v>0</v>
      </c>
      <c r="R242" s="427">
        <v>0</v>
      </c>
      <c r="S242" s="427">
        <v>0</v>
      </c>
      <c r="T242" s="427">
        <v>0</v>
      </c>
      <c r="U242" s="427">
        <f t="shared" si="22"/>
        <v>0</v>
      </c>
    </row>
    <row r="243" spans="1:21" s="427" customFormat="1">
      <c r="A243" s="427" t="str">
        <f t="shared" si="20"/>
        <v>KU</v>
      </c>
      <c r="B243" s="427" t="str">
        <f t="shared" si="19"/>
        <v>KY</v>
      </c>
      <c r="C243" s="427" t="str">
        <f t="shared" si="21"/>
        <v>E</v>
      </c>
      <c r="D243" s="427" t="s">
        <v>3420</v>
      </c>
      <c r="E243" s="427" t="str">
        <f t="shared" si="25"/>
        <v>314</v>
      </c>
      <c r="F243" s="756" t="s">
        <v>1737</v>
      </c>
      <c r="G243" s="426" t="str">
        <f t="shared" si="23"/>
        <v/>
      </c>
      <c r="H243" s="427">
        <v>89.95787</v>
      </c>
      <c r="I243" s="427">
        <v>8.7049500000000002</v>
      </c>
      <c r="J243" s="427">
        <v>0</v>
      </c>
      <c r="K243" s="427">
        <v>0</v>
      </c>
      <c r="L243" s="427">
        <v>0</v>
      </c>
      <c r="M243" s="427">
        <v>0</v>
      </c>
      <c r="N243" s="427">
        <v>317.08042</v>
      </c>
      <c r="O243" s="427">
        <v>0</v>
      </c>
      <c r="P243" s="427">
        <v>0</v>
      </c>
      <c r="Q243" s="427">
        <v>0</v>
      </c>
      <c r="R243" s="427">
        <v>0</v>
      </c>
      <c r="S243" s="427">
        <v>6089.1945100000003</v>
      </c>
      <c r="T243" s="427">
        <v>0</v>
      </c>
      <c r="U243" s="427">
        <f t="shared" si="22"/>
        <v>6414.9798799999999</v>
      </c>
    </row>
    <row r="244" spans="1:21" s="427" customFormat="1">
      <c r="A244" s="427" t="str">
        <f t="shared" si="20"/>
        <v>KU</v>
      </c>
      <c r="B244" s="427" t="str">
        <f t="shared" si="19"/>
        <v>KY</v>
      </c>
      <c r="C244" s="427" t="str">
        <f t="shared" si="21"/>
        <v>E</v>
      </c>
      <c r="D244" s="427" t="s">
        <v>3420</v>
      </c>
      <c r="E244" s="427" t="str">
        <f t="shared" si="25"/>
        <v>315</v>
      </c>
      <c r="F244" s="756" t="s">
        <v>1738</v>
      </c>
      <c r="G244" s="426" t="str">
        <f t="shared" si="23"/>
        <v/>
      </c>
      <c r="H244" s="427">
        <v>0</v>
      </c>
      <c r="I244" s="427">
        <v>0</v>
      </c>
      <c r="J244" s="427">
        <v>0</v>
      </c>
      <c r="K244" s="427">
        <v>0</v>
      </c>
      <c r="L244" s="427">
        <v>0</v>
      </c>
      <c r="M244" s="427">
        <v>0</v>
      </c>
      <c r="N244" s="427">
        <v>6.1156100000000002</v>
      </c>
      <c r="O244" s="427">
        <v>0</v>
      </c>
      <c r="P244" s="427">
        <v>0</v>
      </c>
      <c r="Q244" s="427">
        <v>0</v>
      </c>
      <c r="R244" s="427">
        <v>0</v>
      </c>
      <c r="S244" s="427">
        <v>0</v>
      </c>
      <c r="T244" s="427">
        <v>0</v>
      </c>
      <c r="U244" s="427">
        <f t="shared" si="22"/>
        <v>6.1156100000000002</v>
      </c>
    </row>
    <row r="245" spans="1:21" s="427" customFormat="1">
      <c r="A245" s="427" t="str">
        <f t="shared" si="20"/>
        <v>KU</v>
      </c>
      <c r="B245" s="427" t="str">
        <f t="shared" si="19"/>
        <v>KY</v>
      </c>
      <c r="C245" s="427" t="str">
        <f t="shared" si="21"/>
        <v>E</v>
      </c>
      <c r="D245" s="427" t="s">
        <v>3420</v>
      </c>
      <c r="E245" s="427" t="str">
        <f t="shared" si="25"/>
        <v>316</v>
      </c>
      <c r="F245" s="756" t="s">
        <v>1740</v>
      </c>
      <c r="G245" s="426" t="str">
        <f t="shared" si="23"/>
        <v/>
      </c>
      <c r="H245" s="427">
        <v>0</v>
      </c>
      <c r="I245" s="427">
        <v>0</v>
      </c>
      <c r="J245" s="427">
        <v>0</v>
      </c>
      <c r="K245" s="427">
        <v>0</v>
      </c>
      <c r="L245" s="427">
        <v>0</v>
      </c>
      <c r="M245" s="427">
        <v>5.52677</v>
      </c>
      <c r="N245" s="427">
        <v>35.428839999999902</v>
      </c>
      <c r="O245" s="427">
        <v>0</v>
      </c>
      <c r="P245" s="427">
        <v>0</v>
      </c>
      <c r="Q245" s="427">
        <v>0</v>
      </c>
      <c r="R245" s="427">
        <v>0</v>
      </c>
      <c r="S245" s="427">
        <v>0</v>
      </c>
      <c r="T245" s="427">
        <v>0</v>
      </c>
      <c r="U245" s="427">
        <f t="shared" si="22"/>
        <v>40.955609999999901</v>
      </c>
    </row>
    <row r="246" spans="1:21" s="427" customFormat="1">
      <c r="A246" s="427" t="str">
        <f t="shared" si="20"/>
        <v>KU</v>
      </c>
      <c r="B246" s="427" t="str">
        <f t="shared" si="19"/>
        <v>KY</v>
      </c>
      <c r="C246" s="427" t="str">
        <f t="shared" si="21"/>
        <v>E</v>
      </c>
      <c r="D246" s="427" t="s">
        <v>3420</v>
      </c>
      <c r="E246" s="427" t="str">
        <f t="shared" si="25"/>
        <v>317</v>
      </c>
      <c r="F246" s="756" t="s">
        <v>1741</v>
      </c>
      <c r="G246" s="426" t="str">
        <f t="shared" si="23"/>
        <v>ARO</v>
      </c>
      <c r="H246" s="427">
        <v>0</v>
      </c>
      <c r="I246" s="427">
        <v>0</v>
      </c>
      <c r="J246" s="427">
        <v>0</v>
      </c>
      <c r="K246" s="427">
        <v>0</v>
      </c>
      <c r="L246" s="427">
        <v>0</v>
      </c>
      <c r="M246" s="427">
        <v>0</v>
      </c>
      <c r="N246" s="427">
        <v>0</v>
      </c>
      <c r="O246" s="427">
        <v>0</v>
      </c>
      <c r="P246" s="427">
        <v>0</v>
      </c>
      <c r="Q246" s="427">
        <v>0</v>
      </c>
      <c r="R246" s="427">
        <v>0</v>
      </c>
      <c r="S246" s="427">
        <v>0</v>
      </c>
      <c r="T246" s="427">
        <v>0</v>
      </c>
      <c r="U246" s="427">
        <f t="shared" si="22"/>
        <v>0</v>
      </c>
    </row>
    <row r="247" spans="1:21" s="427" customFormat="1">
      <c r="A247" s="427" t="str">
        <f t="shared" si="20"/>
        <v>KU</v>
      </c>
      <c r="B247" s="427" t="str">
        <f t="shared" si="19"/>
        <v>KY</v>
      </c>
      <c r="C247" s="427" t="str">
        <f t="shared" si="21"/>
        <v>E</v>
      </c>
      <c r="D247" s="427" t="s">
        <v>3420</v>
      </c>
      <c r="E247" s="427" t="str">
        <f t="shared" si="25"/>
        <v>317</v>
      </c>
      <c r="F247" s="756" t="s">
        <v>2504</v>
      </c>
      <c r="G247" s="426" t="str">
        <f t="shared" si="23"/>
        <v>ARO</v>
      </c>
      <c r="H247" s="427">
        <v>0</v>
      </c>
      <c r="I247" s="427">
        <v>0</v>
      </c>
      <c r="J247" s="427">
        <v>0</v>
      </c>
      <c r="K247" s="427">
        <v>0</v>
      </c>
      <c r="L247" s="427">
        <v>0</v>
      </c>
      <c r="M247" s="427">
        <v>0</v>
      </c>
      <c r="N247" s="427">
        <v>0</v>
      </c>
      <c r="O247" s="427">
        <v>0</v>
      </c>
      <c r="P247" s="427">
        <v>0</v>
      </c>
      <c r="Q247" s="427">
        <v>0</v>
      </c>
      <c r="R247" s="427">
        <v>0</v>
      </c>
      <c r="S247" s="427">
        <v>0</v>
      </c>
      <c r="T247" s="427">
        <v>0</v>
      </c>
      <c r="U247" s="427">
        <f t="shared" si="22"/>
        <v>0</v>
      </c>
    </row>
    <row r="248" spans="1:21" s="427" customFormat="1">
      <c r="A248" s="427" t="str">
        <f t="shared" si="20"/>
        <v>KU</v>
      </c>
      <c r="B248" s="427" t="str">
        <f t="shared" si="19"/>
        <v>KY</v>
      </c>
      <c r="C248" s="427" t="str">
        <f t="shared" si="21"/>
        <v>E</v>
      </c>
      <c r="D248" s="427" t="s">
        <v>3420</v>
      </c>
      <c r="E248" s="427" t="str">
        <f t="shared" si="25"/>
        <v>343</v>
      </c>
      <c r="F248" s="756" t="s">
        <v>1753</v>
      </c>
      <c r="G248" s="426" t="str">
        <f t="shared" si="23"/>
        <v/>
      </c>
      <c r="H248" s="427">
        <v>0</v>
      </c>
      <c r="I248" s="427">
        <v>0</v>
      </c>
      <c r="J248" s="427">
        <v>1479.7669900000001</v>
      </c>
      <c r="K248" s="427">
        <v>0</v>
      </c>
      <c r="L248" s="427">
        <v>0</v>
      </c>
      <c r="M248" s="427">
        <v>0</v>
      </c>
      <c r="N248" s="427">
        <v>0</v>
      </c>
      <c r="O248" s="427">
        <v>0</v>
      </c>
      <c r="P248" s="427">
        <v>0</v>
      </c>
      <c r="Q248" s="427">
        <v>0</v>
      </c>
      <c r="R248" s="427">
        <v>0</v>
      </c>
      <c r="S248" s="427">
        <v>0</v>
      </c>
      <c r="T248" s="427">
        <v>0</v>
      </c>
      <c r="U248" s="427">
        <f t="shared" si="22"/>
        <v>1479.7669900000001</v>
      </c>
    </row>
    <row r="249" spans="1:21" s="427" customFormat="1">
      <c r="A249" s="427" t="str">
        <f t="shared" si="20"/>
        <v>KU</v>
      </c>
      <c r="B249" s="427" t="str">
        <f t="shared" si="19"/>
        <v>KY</v>
      </c>
      <c r="C249" s="427" t="str">
        <f t="shared" si="21"/>
        <v>E</v>
      </c>
      <c r="D249" s="427" t="s">
        <v>3420</v>
      </c>
      <c r="E249" s="427" t="str">
        <f t="shared" si="25"/>
        <v>343</v>
      </c>
      <c r="F249" s="756" t="s">
        <v>2203</v>
      </c>
      <c r="G249" s="426" t="str">
        <f t="shared" si="23"/>
        <v/>
      </c>
      <c r="H249" s="427">
        <v>0</v>
      </c>
      <c r="I249" s="427">
        <v>0</v>
      </c>
      <c r="J249" s="427">
        <v>7652.6448600000003</v>
      </c>
      <c r="K249" s="427">
        <v>0</v>
      </c>
      <c r="L249" s="427">
        <v>0</v>
      </c>
      <c r="M249" s="427">
        <v>0</v>
      </c>
      <c r="N249" s="427">
        <v>0</v>
      </c>
      <c r="O249" s="427">
        <v>0</v>
      </c>
      <c r="P249" s="427">
        <v>0</v>
      </c>
      <c r="Q249" s="427">
        <v>0</v>
      </c>
      <c r="R249" s="427">
        <v>0</v>
      </c>
      <c r="S249" s="427">
        <v>0</v>
      </c>
      <c r="T249" s="427">
        <v>0</v>
      </c>
      <c r="U249" s="427">
        <f t="shared" si="22"/>
        <v>7652.6448600000003</v>
      </c>
    </row>
    <row r="250" spans="1:21" s="427" customFormat="1">
      <c r="A250" s="427" t="str">
        <f t="shared" si="20"/>
        <v>KU</v>
      </c>
      <c r="B250" s="427" t="str">
        <f t="shared" si="19"/>
        <v>KY</v>
      </c>
      <c r="C250" s="427" t="str">
        <f t="shared" si="21"/>
        <v>E</v>
      </c>
      <c r="D250" s="427" t="s">
        <v>3420</v>
      </c>
      <c r="E250" s="427" t="str">
        <f t="shared" si="25"/>
        <v>352</v>
      </c>
      <c r="F250" s="756" t="s">
        <v>1761</v>
      </c>
      <c r="G250" s="426" t="str">
        <f t="shared" si="23"/>
        <v/>
      </c>
      <c r="H250" s="427">
        <v>6.5880799999999997</v>
      </c>
      <c r="I250" s="427">
        <v>0</v>
      </c>
      <c r="J250" s="427">
        <v>5.5411400000000004</v>
      </c>
      <c r="K250" s="427">
        <v>0</v>
      </c>
      <c r="L250" s="427">
        <v>0.73397000000000001</v>
      </c>
      <c r="M250" s="427">
        <v>9.5879999999999896E-2</v>
      </c>
      <c r="N250" s="427">
        <v>0.36458999999999903</v>
      </c>
      <c r="O250" s="427">
        <v>0</v>
      </c>
      <c r="P250" s="427">
        <v>0</v>
      </c>
      <c r="Q250" s="427">
        <v>0</v>
      </c>
      <c r="R250" s="427">
        <v>0</v>
      </c>
      <c r="S250" s="427">
        <v>0</v>
      </c>
      <c r="T250" s="427">
        <v>0</v>
      </c>
      <c r="U250" s="427">
        <f t="shared" si="22"/>
        <v>6.7355799999999997</v>
      </c>
    </row>
    <row r="251" spans="1:21" s="427" customFormat="1">
      <c r="A251" s="427" t="str">
        <f t="shared" si="20"/>
        <v>KU</v>
      </c>
      <c r="B251" s="427" t="str">
        <f t="shared" si="19"/>
        <v>KY</v>
      </c>
      <c r="C251" s="427" t="str">
        <f t="shared" si="21"/>
        <v>E</v>
      </c>
      <c r="D251" s="427" t="s">
        <v>3420</v>
      </c>
      <c r="E251" s="427" t="str">
        <f t="shared" si="25"/>
        <v>353</v>
      </c>
      <c r="F251" s="756" t="s">
        <v>1763</v>
      </c>
      <c r="G251" s="426" t="str">
        <f t="shared" si="23"/>
        <v/>
      </c>
      <c r="H251" s="427">
        <v>144.79727</v>
      </c>
      <c r="I251" s="427">
        <v>531.33780000000002</v>
      </c>
      <c r="J251" s="427">
        <v>226.64762999999999</v>
      </c>
      <c r="K251" s="427">
        <v>86.056119999999893</v>
      </c>
      <c r="L251" s="427">
        <v>803.88388999999995</v>
      </c>
      <c r="M251" s="427">
        <v>139.52477999999999</v>
      </c>
      <c r="N251" s="427">
        <v>111.90785</v>
      </c>
      <c r="O251" s="427">
        <v>0</v>
      </c>
      <c r="P251" s="427">
        <v>0</v>
      </c>
      <c r="Q251" s="427">
        <v>0</v>
      </c>
      <c r="R251" s="427">
        <v>0</v>
      </c>
      <c r="S251" s="427">
        <v>0</v>
      </c>
      <c r="T251" s="427">
        <v>0</v>
      </c>
      <c r="U251" s="427">
        <f t="shared" si="22"/>
        <v>1899.3580699999998</v>
      </c>
    </row>
    <row r="252" spans="1:21" s="427" customFormat="1">
      <c r="A252" s="427" t="str">
        <f t="shared" si="20"/>
        <v>KU</v>
      </c>
      <c r="B252" s="427" t="str">
        <f t="shared" si="19"/>
        <v>KY</v>
      </c>
      <c r="C252" s="427" t="str">
        <f t="shared" si="21"/>
        <v>E</v>
      </c>
      <c r="D252" s="427" t="s">
        <v>3420</v>
      </c>
      <c r="E252" s="427" t="str">
        <f t="shared" si="25"/>
        <v>353</v>
      </c>
      <c r="F252" s="756" t="s">
        <v>1764</v>
      </c>
      <c r="G252" s="426" t="str">
        <f t="shared" si="23"/>
        <v/>
      </c>
      <c r="H252" s="427">
        <v>233.10624999999999</v>
      </c>
      <c r="I252" s="427">
        <v>0</v>
      </c>
      <c r="J252" s="427">
        <v>0</v>
      </c>
      <c r="K252" s="427">
        <v>0</v>
      </c>
      <c r="L252" s="427">
        <v>0</v>
      </c>
      <c r="M252" s="427">
        <v>0</v>
      </c>
      <c r="N252" s="427">
        <v>0</v>
      </c>
      <c r="O252" s="427">
        <v>0</v>
      </c>
      <c r="P252" s="427">
        <v>0</v>
      </c>
      <c r="Q252" s="427">
        <v>0</v>
      </c>
      <c r="R252" s="427">
        <v>0</v>
      </c>
      <c r="S252" s="427">
        <v>0</v>
      </c>
      <c r="T252" s="427">
        <v>0</v>
      </c>
      <c r="U252" s="427">
        <f t="shared" si="22"/>
        <v>0</v>
      </c>
    </row>
    <row r="253" spans="1:21" s="427" customFormat="1">
      <c r="A253" s="427" t="str">
        <f t="shared" si="20"/>
        <v>KU</v>
      </c>
      <c r="B253" s="427" t="str">
        <f t="shared" si="19"/>
        <v>VA</v>
      </c>
      <c r="C253" s="427" t="str">
        <f t="shared" si="21"/>
        <v>E</v>
      </c>
      <c r="D253" s="427" t="s">
        <v>3420</v>
      </c>
      <c r="E253" s="427" t="str">
        <f t="shared" si="25"/>
        <v>353</v>
      </c>
      <c r="F253" s="756" t="s">
        <v>1765</v>
      </c>
      <c r="G253" s="426" t="str">
        <f t="shared" si="23"/>
        <v/>
      </c>
      <c r="H253" s="427">
        <v>64.366540000000001</v>
      </c>
      <c r="I253" s="427">
        <v>6.06907</v>
      </c>
      <c r="J253" s="427">
        <v>2.2929499999999998</v>
      </c>
      <c r="K253" s="427">
        <v>0</v>
      </c>
      <c r="L253" s="427">
        <v>0</v>
      </c>
      <c r="M253" s="427">
        <v>5.07531</v>
      </c>
      <c r="N253" s="427">
        <v>0</v>
      </c>
      <c r="O253" s="427">
        <v>0</v>
      </c>
      <c r="P253" s="427">
        <v>0</v>
      </c>
      <c r="Q253" s="427">
        <v>0</v>
      </c>
      <c r="R253" s="427">
        <v>0</v>
      </c>
      <c r="S253" s="427">
        <v>0</v>
      </c>
      <c r="T253" s="427">
        <v>0</v>
      </c>
      <c r="U253" s="427">
        <f t="shared" si="22"/>
        <v>13.437329999999999</v>
      </c>
    </row>
    <row r="254" spans="1:21" s="427" customFormat="1">
      <c r="A254" s="427" t="str">
        <f t="shared" si="20"/>
        <v>KU</v>
      </c>
      <c r="B254" s="427" t="str">
        <f t="shared" si="19"/>
        <v>KY</v>
      </c>
      <c r="C254" s="427" t="str">
        <f t="shared" si="21"/>
        <v>E</v>
      </c>
      <c r="D254" s="427" t="s">
        <v>3420</v>
      </c>
      <c r="E254" s="427" t="str">
        <f t="shared" si="25"/>
        <v>355</v>
      </c>
      <c r="F254" s="756" t="s">
        <v>1768</v>
      </c>
      <c r="G254" s="426" t="str">
        <f t="shared" si="23"/>
        <v/>
      </c>
      <c r="H254" s="427">
        <v>87.632769999999994</v>
      </c>
      <c r="I254" s="427">
        <v>25.591939999999902</v>
      </c>
      <c r="J254" s="427">
        <v>763.81754000000001</v>
      </c>
      <c r="K254" s="427">
        <v>597.75960999999995</v>
      </c>
      <c r="L254" s="427">
        <v>182.57422</v>
      </c>
      <c r="M254" s="427">
        <v>190.74189999999999</v>
      </c>
      <c r="N254" s="427">
        <v>100.09256000000001</v>
      </c>
      <c r="O254" s="427">
        <v>0</v>
      </c>
      <c r="P254" s="427">
        <v>0</v>
      </c>
      <c r="Q254" s="427">
        <v>0</v>
      </c>
      <c r="R254" s="427">
        <v>0</v>
      </c>
      <c r="S254" s="427">
        <v>0</v>
      </c>
      <c r="T254" s="427">
        <v>0</v>
      </c>
      <c r="U254" s="427">
        <f t="shared" si="22"/>
        <v>1860.5777699999999</v>
      </c>
    </row>
    <row r="255" spans="1:21" s="427" customFormat="1">
      <c r="A255" s="427" t="str">
        <f t="shared" si="20"/>
        <v>KU</v>
      </c>
      <c r="B255" s="427" t="str">
        <f t="shared" si="19"/>
        <v>TN</v>
      </c>
      <c r="C255" s="427" t="str">
        <f t="shared" si="21"/>
        <v>E</v>
      </c>
      <c r="D255" s="427" t="s">
        <v>3420</v>
      </c>
      <c r="E255" s="427" t="str">
        <f t="shared" si="25"/>
        <v>355</v>
      </c>
      <c r="F255" s="756" t="s">
        <v>1769</v>
      </c>
      <c r="G255" s="426" t="str">
        <f t="shared" si="23"/>
        <v/>
      </c>
      <c r="H255" s="427">
        <v>0</v>
      </c>
      <c r="I255" s="427">
        <v>0</v>
      </c>
      <c r="J255" s="427">
        <v>0</v>
      </c>
      <c r="K255" s="427">
        <v>3.8460000000000001E-2</v>
      </c>
      <c r="L255" s="427">
        <v>0</v>
      </c>
      <c r="M255" s="427">
        <v>0</v>
      </c>
      <c r="N255" s="427">
        <v>0</v>
      </c>
      <c r="O255" s="427">
        <v>0</v>
      </c>
      <c r="P255" s="427">
        <v>0</v>
      </c>
      <c r="Q255" s="427">
        <v>0</v>
      </c>
      <c r="R255" s="427">
        <v>0</v>
      </c>
      <c r="S255" s="427">
        <v>0</v>
      </c>
      <c r="T255" s="427">
        <v>0</v>
      </c>
      <c r="U255" s="427">
        <f t="shared" si="22"/>
        <v>3.8460000000000001E-2</v>
      </c>
    </row>
    <row r="256" spans="1:21" s="427" customFormat="1">
      <c r="A256" s="427" t="str">
        <f t="shared" si="20"/>
        <v>KU</v>
      </c>
      <c r="B256" s="427" t="str">
        <f t="shared" si="19"/>
        <v>VA</v>
      </c>
      <c r="C256" s="427" t="str">
        <f t="shared" si="21"/>
        <v>E</v>
      </c>
      <c r="D256" s="427" t="s">
        <v>3420</v>
      </c>
      <c r="E256" s="427" t="str">
        <f t="shared" si="25"/>
        <v>355</v>
      </c>
      <c r="F256" s="756" t="s">
        <v>1770</v>
      </c>
      <c r="G256" s="426" t="str">
        <f t="shared" si="23"/>
        <v/>
      </c>
      <c r="H256" s="427">
        <v>0</v>
      </c>
      <c r="I256" s="427">
        <v>-0.77646000000000004</v>
      </c>
      <c r="J256" s="427">
        <v>9.8957999999999995</v>
      </c>
      <c r="K256" s="427">
        <v>0.80088000000000004</v>
      </c>
      <c r="L256" s="427">
        <v>0</v>
      </c>
      <c r="M256" s="427">
        <v>0</v>
      </c>
      <c r="N256" s="427">
        <v>0</v>
      </c>
      <c r="O256" s="427">
        <v>0</v>
      </c>
      <c r="P256" s="427">
        <v>0</v>
      </c>
      <c r="Q256" s="427">
        <v>0</v>
      </c>
      <c r="R256" s="427">
        <v>0</v>
      </c>
      <c r="S256" s="427">
        <v>0</v>
      </c>
      <c r="T256" s="427">
        <v>0</v>
      </c>
      <c r="U256" s="427">
        <f t="shared" si="22"/>
        <v>9.9202199999999987</v>
      </c>
    </row>
    <row r="257" spans="1:21" s="427" customFormat="1">
      <c r="A257" s="427" t="str">
        <f t="shared" si="20"/>
        <v>KU</v>
      </c>
      <c r="B257" s="427" t="str">
        <f t="shared" si="19"/>
        <v>KY</v>
      </c>
      <c r="C257" s="427" t="str">
        <f t="shared" si="21"/>
        <v>E</v>
      </c>
      <c r="D257" s="427" t="s">
        <v>3420</v>
      </c>
      <c r="E257" s="427" t="str">
        <f t="shared" si="25"/>
        <v>356</v>
      </c>
      <c r="F257" s="756" t="s">
        <v>1771</v>
      </c>
      <c r="G257" s="426" t="str">
        <f t="shared" si="23"/>
        <v/>
      </c>
      <c r="H257" s="427">
        <v>3.1988599999999998</v>
      </c>
      <c r="I257" s="427">
        <v>58.325559999999903</v>
      </c>
      <c r="J257" s="427">
        <v>214.51829999999899</v>
      </c>
      <c r="K257" s="427">
        <v>347.83433000000002</v>
      </c>
      <c r="L257" s="427">
        <v>56.449669999999998</v>
      </c>
      <c r="M257" s="427">
        <v>269.90257000000003</v>
      </c>
      <c r="N257" s="427">
        <v>293.73917999999998</v>
      </c>
      <c r="O257" s="427">
        <v>0</v>
      </c>
      <c r="P257" s="427">
        <v>0</v>
      </c>
      <c r="Q257" s="427">
        <v>0</v>
      </c>
      <c r="R257" s="427">
        <v>0</v>
      </c>
      <c r="S257" s="427">
        <v>0</v>
      </c>
      <c r="T257" s="427">
        <v>0</v>
      </c>
      <c r="U257" s="427">
        <f t="shared" si="22"/>
        <v>1240.7696099999989</v>
      </c>
    </row>
    <row r="258" spans="1:21" s="427" customFormat="1">
      <c r="A258" s="427" t="str">
        <f t="shared" si="20"/>
        <v>KU</v>
      </c>
      <c r="B258" s="427" t="str">
        <f t="shared" si="19"/>
        <v>TN</v>
      </c>
      <c r="C258" s="427" t="str">
        <f t="shared" si="21"/>
        <v>E</v>
      </c>
      <c r="D258" s="427" t="s">
        <v>3420</v>
      </c>
      <c r="E258" s="427" t="str">
        <f t="shared" si="25"/>
        <v>356</v>
      </c>
      <c r="F258" s="756" t="s">
        <v>1772</v>
      </c>
      <c r="G258" s="426" t="str">
        <f t="shared" si="23"/>
        <v/>
      </c>
      <c r="H258" s="427">
        <v>0</v>
      </c>
      <c r="I258" s="427">
        <v>0</v>
      </c>
      <c r="J258" s="427">
        <v>0</v>
      </c>
      <c r="K258" s="427">
        <v>3.5580000000000001E-2</v>
      </c>
      <c r="L258" s="427">
        <v>0</v>
      </c>
      <c r="M258" s="427">
        <v>0</v>
      </c>
      <c r="N258" s="427">
        <v>0</v>
      </c>
      <c r="O258" s="427">
        <v>0</v>
      </c>
      <c r="P258" s="427">
        <v>0</v>
      </c>
      <c r="Q258" s="427">
        <v>0</v>
      </c>
      <c r="R258" s="427">
        <v>0</v>
      </c>
      <c r="S258" s="427">
        <v>0</v>
      </c>
      <c r="T258" s="427">
        <v>0</v>
      </c>
      <c r="U258" s="427">
        <f t="shared" si="22"/>
        <v>3.5580000000000001E-2</v>
      </c>
    </row>
    <row r="259" spans="1:21" s="427" customFormat="1">
      <c r="A259" s="427" t="str">
        <f t="shared" si="20"/>
        <v>KU</v>
      </c>
      <c r="B259" s="427" t="str">
        <f t="shared" si="19"/>
        <v>VA</v>
      </c>
      <c r="C259" s="427" t="str">
        <f t="shared" si="21"/>
        <v>E</v>
      </c>
      <c r="D259" s="427" t="s">
        <v>3420</v>
      </c>
      <c r="E259" s="427" t="str">
        <f t="shared" si="25"/>
        <v>356</v>
      </c>
      <c r="F259" s="756" t="s">
        <v>1773</v>
      </c>
      <c r="G259" s="426" t="str">
        <f t="shared" si="23"/>
        <v/>
      </c>
      <c r="H259" s="427">
        <v>0</v>
      </c>
      <c r="I259" s="427">
        <v>24.46087</v>
      </c>
      <c r="J259" s="427">
        <v>25.08052</v>
      </c>
      <c r="K259" s="427">
        <v>0.64761000000000002</v>
      </c>
      <c r="L259" s="427">
        <v>0</v>
      </c>
      <c r="M259" s="427">
        <v>0</v>
      </c>
      <c r="N259" s="427">
        <v>0</v>
      </c>
      <c r="O259" s="427">
        <v>0</v>
      </c>
      <c r="P259" s="427">
        <v>0</v>
      </c>
      <c r="Q259" s="427">
        <v>0</v>
      </c>
      <c r="R259" s="427">
        <v>0</v>
      </c>
      <c r="S259" s="427">
        <v>0</v>
      </c>
      <c r="T259" s="427">
        <v>0</v>
      </c>
      <c r="U259" s="427">
        <f t="shared" si="22"/>
        <v>50.189</v>
      </c>
    </row>
    <row r="260" spans="1:21" s="427" customFormat="1">
      <c r="A260" s="427" t="str">
        <f t="shared" si="20"/>
        <v>KU</v>
      </c>
      <c r="B260" s="427" t="str">
        <f t="shared" ref="B260:B342" si="26">IF(MID($F260,12,2)="- ","KY",IF(MID($F260,12,2)="SY","KY",MID($F260,12,2)))</f>
        <v>KY</v>
      </c>
      <c r="C260" s="427" t="str">
        <f t="shared" si="21"/>
        <v>E</v>
      </c>
      <c r="D260" s="427" t="s">
        <v>3420</v>
      </c>
      <c r="E260" s="427" t="str">
        <f t="shared" si="25"/>
        <v>359</v>
      </c>
      <c r="F260" s="756" t="s">
        <v>1776</v>
      </c>
      <c r="G260" s="426" t="str">
        <f t="shared" si="23"/>
        <v>ARO</v>
      </c>
      <c r="H260" s="427">
        <v>0</v>
      </c>
      <c r="I260" s="427">
        <v>0</v>
      </c>
      <c r="J260" s="427">
        <v>0</v>
      </c>
      <c r="K260" s="427">
        <v>0</v>
      </c>
      <c r="L260" s="427">
        <v>0</v>
      </c>
      <c r="M260" s="427">
        <v>5.5337399999999999</v>
      </c>
      <c r="N260" s="427">
        <v>0</v>
      </c>
      <c r="O260" s="427">
        <v>0</v>
      </c>
      <c r="P260" s="427">
        <v>0</v>
      </c>
      <c r="Q260" s="427">
        <v>0</v>
      </c>
      <c r="R260" s="427">
        <v>0</v>
      </c>
      <c r="S260" s="427">
        <v>0</v>
      </c>
      <c r="T260" s="427">
        <v>0</v>
      </c>
      <c r="U260" s="427">
        <f t="shared" si="22"/>
        <v>5.5337399999999999</v>
      </c>
    </row>
    <row r="261" spans="1:21" s="427" customFormat="1">
      <c r="A261" s="427" t="str">
        <f t="shared" si="20"/>
        <v>KU</v>
      </c>
      <c r="B261" s="427" t="str">
        <f t="shared" si="26"/>
        <v>KY</v>
      </c>
      <c r="C261" s="427" t="str">
        <f t="shared" si="21"/>
        <v>E</v>
      </c>
      <c r="D261" s="427" t="s">
        <v>3420</v>
      </c>
      <c r="E261" s="427" t="str">
        <f t="shared" si="25"/>
        <v>361</v>
      </c>
      <c r="F261" s="756" t="s">
        <v>1781</v>
      </c>
      <c r="G261" s="426" t="str">
        <f t="shared" si="23"/>
        <v/>
      </c>
      <c r="H261" s="427">
        <v>0</v>
      </c>
      <c r="I261" s="427">
        <v>0</v>
      </c>
      <c r="J261" s="427">
        <v>0</v>
      </c>
      <c r="K261" s="427">
        <v>0</v>
      </c>
      <c r="L261" s="427">
        <v>0</v>
      </c>
      <c r="M261" s="427">
        <v>54.514940000000003</v>
      </c>
      <c r="N261" s="427">
        <v>0</v>
      </c>
      <c r="O261" s="427">
        <v>0</v>
      </c>
      <c r="P261" s="427">
        <v>0</v>
      </c>
      <c r="Q261" s="427">
        <v>0</v>
      </c>
      <c r="R261" s="427">
        <v>0</v>
      </c>
      <c r="S261" s="427">
        <v>0</v>
      </c>
      <c r="T261" s="427">
        <v>0</v>
      </c>
      <c r="U261" s="427">
        <f t="shared" si="22"/>
        <v>54.514940000000003</v>
      </c>
    </row>
    <row r="262" spans="1:21" s="427" customFormat="1">
      <c r="A262" s="427" t="str">
        <f t="shared" si="20"/>
        <v>KU</v>
      </c>
      <c r="B262" s="427" t="str">
        <f t="shared" si="26"/>
        <v>KY</v>
      </c>
      <c r="C262" s="427" t="str">
        <f t="shared" si="21"/>
        <v>E</v>
      </c>
      <c r="D262" s="427" t="s">
        <v>3420</v>
      </c>
      <c r="E262" s="427" t="str">
        <f t="shared" si="25"/>
        <v>362</v>
      </c>
      <c r="F262" s="756" t="s">
        <v>1784</v>
      </c>
      <c r="G262" s="426" t="str">
        <f t="shared" si="23"/>
        <v/>
      </c>
      <c r="H262" s="427">
        <v>0.94482999999999995</v>
      </c>
      <c r="I262" s="427">
        <v>115.93715</v>
      </c>
      <c r="J262" s="427">
        <v>748.74143000000004</v>
      </c>
      <c r="K262" s="427">
        <v>62.506099999999897</v>
      </c>
      <c r="L262" s="427">
        <v>2.4874700000000001</v>
      </c>
      <c r="M262" s="427">
        <v>414.53231</v>
      </c>
      <c r="N262" s="427">
        <v>32.741160000000001</v>
      </c>
      <c r="O262" s="427">
        <v>0</v>
      </c>
      <c r="P262" s="427">
        <v>0</v>
      </c>
      <c r="Q262" s="427">
        <v>0</v>
      </c>
      <c r="R262" s="427">
        <v>0</v>
      </c>
      <c r="S262" s="427">
        <v>0</v>
      </c>
      <c r="T262" s="427">
        <v>0</v>
      </c>
      <c r="U262" s="427">
        <f t="shared" si="22"/>
        <v>1376.94562</v>
      </c>
    </row>
    <row r="263" spans="1:21" s="427" customFormat="1">
      <c r="A263" s="427" t="str">
        <f t="shared" ref="A263:A329" si="27">MID($F263,4,2)</f>
        <v>KU</v>
      </c>
      <c r="B263" s="427" t="str">
        <f t="shared" si="26"/>
        <v>VA</v>
      </c>
      <c r="C263" s="427" t="str">
        <f t="shared" si="21"/>
        <v>E</v>
      </c>
      <c r="D263" s="427" t="s">
        <v>3420</v>
      </c>
      <c r="E263" s="427" t="str">
        <f t="shared" si="25"/>
        <v>362</v>
      </c>
      <c r="F263" s="756" t="s">
        <v>1786</v>
      </c>
      <c r="G263" s="426" t="str">
        <f t="shared" si="23"/>
        <v/>
      </c>
      <c r="H263" s="427">
        <v>13.62879</v>
      </c>
      <c r="I263" s="427">
        <v>4.5339700000000001</v>
      </c>
      <c r="J263" s="427">
        <v>0</v>
      </c>
      <c r="K263" s="427">
        <v>0</v>
      </c>
      <c r="L263" s="427">
        <v>0</v>
      </c>
      <c r="M263" s="427">
        <v>13.238629999999899</v>
      </c>
      <c r="N263" s="427">
        <v>0</v>
      </c>
      <c r="O263" s="427">
        <v>0</v>
      </c>
      <c r="P263" s="427">
        <v>0</v>
      </c>
      <c r="Q263" s="427">
        <v>0</v>
      </c>
      <c r="R263" s="427">
        <v>0</v>
      </c>
      <c r="S263" s="427">
        <v>0</v>
      </c>
      <c r="T263" s="427">
        <v>0</v>
      </c>
      <c r="U263" s="427">
        <f t="shared" si="22"/>
        <v>17.772599999999898</v>
      </c>
    </row>
    <row r="264" spans="1:21" s="427" customFormat="1">
      <c r="A264" s="427" t="str">
        <f t="shared" si="27"/>
        <v>KU</v>
      </c>
      <c r="B264" s="427" t="str">
        <f t="shared" si="26"/>
        <v>KY</v>
      </c>
      <c r="C264" s="427" t="str">
        <f t="shared" ref="C264:C346" si="28">IF(ISTEXT(MID($F264,SEARCH("FUTURE USE",$F264),3)),"F",IF(MID($F264,7,1)="1","E",IF(MID($F264,7,1)="2","G",IF(MID($F264,7,1)="3","C",""))))</f>
        <v>E</v>
      </c>
      <c r="D264" s="427" t="s">
        <v>3420</v>
      </c>
      <c r="E264" s="427" t="str">
        <f t="shared" si="25"/>
        <v>364</v>
      </c>
      <c r="F264" s="756" t="s">
        <v>1787</v>
      </c>
      <c r="G264" s="426" t="str">
        <f t="shared" si="23"/>
        <v/>
      </c>
      <c r="H264" s="427">
        <v>6.5412699999999999</v>
      </c>
      <c r="I264" s="427">
        <v>8.8384</v>
      </c>
      <c r="J264" s="427">
        <v>58.891120000000001</v>
      </c>
      <c r="K264" s="427">
        <v>31.811</v>
      </c>
      <c r="L264" s="427">
        <v>120.9294</v>
      </c>
      <c r="M264" s="427">
        <v>415.50335999999999</v>
      </c>
      <c r="N264" s="427">
        <v>510.02039000000002</v>
      </c>
      <c r="O264" s="427">
        <v>0</v>
      </c>
      <c r="P264" s="427">
        <v>0</v>
      </c>
      <c r="Q264" s="427">
        <v>0</v>
      </c>
      <c r="R264" s="427">
        <v>0</v>
      </c>
      <c r="S264" s="427">
        <v>0</v>
      </c>
      <c r="T264" s="427">
        <v>0</v>
      </c>
      <c r="U264" s="427">
        <f t="shared" si="22"/>
        <v>1145.9936699999998</v>
      </c>
    </row>
    <row r="265" spans="1:21" s="427" customFormat="1">
      <c r="A265" s="427" t="str">
        <f t="shared" si="27"/>
        <v>KU</v>
      </c>
      <c r="B265" s="427" t="str">
        <f t="shared" si="26"/>
        <v>VA</v>
      </c>
      <c r="C265" s="427" t="str">
        <f t="shared" si="28"/>
        <v>E</v>
      </c>
      <c r="D265" s="427" t="s">
        <v>3420</v>
      </c>
      <c r="E265" s="427" t="str">
        <f t="shared" si="25"/>
        <v>364</v>
      </c>
      <c r="F265" s="756" t="s">
        <v>1789</v>
      </c>
      <c r="G265" s="426" t="str">
        <f t="shared" si="23"/>
        <v/>
      </c>
      <c r="H265" s="427">
        <v>13.5007</v>
      </c>
      <c r="I265" s="427">
        <v>0</v>
      </c>
      <c r="J265" s="427">
        <v>0</v>
      </c>
      <c r="K265" s="427">
        <v>3.7033999999999998</v>
      </c>
      <c r="L265" s="427">
        <v>13.937279999999999</v>
      </c>
      <c r="M265" s="427">
        <v>27.935289999999998</v>
      </c>
      <c r="N265" s="427">
        <v>46.003749999999997</v>
      </c>
      <c r="O265" s="427">
        <v>0</v>
      </c>
      <c r="P265" s="427">
        <v>0</v>
      </c>
      <c r="Q265" s="427">
        <v>0</v>
      </c>
      <c r="R265" s="427">
        <v>0</v>
      </c>
      <c r="S265" s="427">
        <v>0</v>
      </c>
      <c r="T265" s="427">
        <v>0</v>
      </c>
      <c r="U265" s="427">
        <f t="shared" si="22"/>
        <v>91.579719999999995</v>
      </c>
    </row>
    <row r="266" spans="1:21" s="427" customFormat="1">
      <c r="A266" s="427" t="str">
        <f t="shared" si="27"/>
        <v>KU</v>
      </c>
      <c r="B266" s="427" t="str">
        <f t="shared" si="26"/>
        <v>KY</v>
      </c>
      <c r="C266" s="427" t="str">
        <f t="shared" si="28"/>
        <v>E</v>
      </c>
      <c r="D266" s="427" t="s">
        <v>3420</v>
      </c>
      <c r="E266" s="427" t="str">
        <f t="shared" si="25"/>
        <v>365</v>
      </c>
      <c r="F266" s="756" t="s">
        <v>1790</v>
      </c>
      <c r="G266" s="426" t="str">
        <f t="shared" si="23"/>
        <v/>
      </c>
      <c r="H266" s="427">
        <v>30.942910000000001</v>
      </c>
      <c r="I266" s="427">
        <v>177.77372</v>
      </c>
      <c r="J266" s="427">
        <v>183.62656000000001</v>
      </c>
      <c r="K266" s="427">
        <v>160.40197000000001</v>
      </c>
      <c r="L266" s="427">
        <v>919.67421000000002</v>
      </c>
      <c r="M266" s="427">
        <v>2491.6768299999999</v>
      </c>
      <c r="N266" s="427">
        <v>1748.4558500000001</v>
      </c>
      <c r="O266" s="427">
        <v>0</v>
      </c>
      <c r="P266" s="427">
        <v>0</v>
      </c>
      <c r="Q266" s="427">
        <v>0</v>
      </c>
      <c r="R266" s="427">
        <v>0</v>
      </c>
      <c r="S266" s="427">
        <v>0</v>
      </c>
      <c r="T266" s="427">
        <v>0</v>
      </c>
      <c r="U266" s="427">
        <f t="shared" si="22"/>
        <v>5681.6091399999996</v>
      </c>
    </row>
    <row r="267" spans="1:21" s="427" customFormat="1">
      <c r="A267" s="427" t="str">
        <f t="shared" si="27"/>
        <v>KU</v>
      </c>
      <c r="B267" s="427" t="str">
        <f t="shared" si="26"/>
        <v>VA</v>
      </c>
      <c r="C267" s="427" t="str">
        <f t="shared" si="28"/>
        <v>E</v>
      </c>
      <c r="D267" s="427" t="s">
        <v>3420</v>
      </c>
      <c r="E267" s="427" t="str">
        <f t="shared" si="25"/>
        <v>365</v>
      </c>
      <c r="F267" s="756" t="s">
        <v>1792</v>
      </c>
      <c r="G267" s="426" t="str">
        <f t="shared" si="23"/>
        <v/>
      </c>
      <c r="H267" s="427">
        <v>71.728789999999904</v>
      </c>
      <c r="I267" s="427">
        <v>0</v>
      </c>
      <c r="J267" s="427">
        <v>0.99956999999999996</v>
      </c>
      <c r="K267" s="427">
        <v>26.337419999999899</v>
      </c>
      <c r="L267" s="427">
        <v>112.618789999999</v>
      </c>
      <c r="M267" s="427">
        <v>109.08522000000001</v>
      </c>
      <c r="N267" s="427">
        <v>58.237900000000003</v>
      </c>
      <c r="O267" s="427">
        <v>0</v>
      </c>
      <c r="P267" s="427">
        <v>0</v>
      </c>
      <c r="Q267" s="427">
        <v>0</v>
      </c>
      <c r="R267" s="427">
        <v>0</v>
      </c>
      <c r="S267" s="427">
        <v>0</v>
      </c>
      <c r="T267" s="427">
        <v>0</v>
      </c>
      <c r="U267" s="427">
        <f t="shared" si="22"/>
        <v>307.27889999999894</v>
      </c>
    </row>
    <row r="268" spans="1:21" s="427" customFormat="1">
      <c r="A268" s="427" t="str">
        <f t="shared" si="27"/>
        <v>KU</v>
      </c>
      <c r="B268" s="427" t="str">
        <f t="shared" si="26"/>
        <v>KY</v>
      </c>
      <c r="C268" s="427" t="str">
        <f t="shared" si="28"/>
        <v>E</v>
      </c>
      <c r="D268" s="427" t="s">
        <v>3420</v>
      </c>
      <c r="E268" s="427" t="str">
        <f t="shared" si="25"/>
        <v>367</v>
      </c>
      <c r="F268" s="756" t="s">
        <v>1794</v>
      </c>
      <c r="G268" s="426" t="str">
        <f t="shared" si="23"/>
        <v/>
      </c>
      <c r="H268" s="427">
        <v>10.217040000000001</v>
      </c>
      <c r="I268" s="427">
        <v>71.142390000000006</v>
      </c>
      <c r="J268" s="427">
        <v>-1.7680100000000001</v>
      </c>
      <c r="K268" s="427">
        <v>0</v>
      </c>
      <c r="L268" s="427">
        <v>127.00945</v>
      </c>
      <c r="M268" s="427">
        <v>212.50706</v>
      </c>
      <c r="N268" s="427">
        <v>52.396419999999999</v>
      </c>
      <c r="O268" s="427">
        <v>0</v>
      </c>
      <c r="P268" s="427">
        <v>0</v>
      </c>
      <c r="Q268" s="427">
        <v>0</v>
      </c>
      <c r="R268" s="427">
        <v>0</v>
      </c>
      <c r="S268" s="427">
        <v>0</v>
      </c>
      <c r="T268" s="427">
        <v>0</v>
      </c>
      <c r="U268" s="427">
        <f t="shared" si="22"/>
        <v>461.28730999999999</v>
      </c>
    </row>
    <row r="269" spans="1:21" s="427" customFormat="1">
      <c r="A269" s="427" t="str">
        <f t="shared" si="27"/>
        <v>KU</v>
      </c>
      <c r="B269" s="427" t="str">
        <f t="shared" si="26"/>
        <v>VA</v>
      </c>
      <c r="C269" s="427" t="str">
        <f t="shared" si="28"/>
        <v>E</v>
      </c>
      <c r="D269" s="427" t="s">
        <v>3420</v>
      </c>
      <c r="E269" s="427" t="str">
        <f t="shared" si="25"/>
        <v>367</v>
      </c>
      <c r="F269" s="756" t="s">
        <v>1795</v>
      </c>
      <c r="G269" s="426" t="str">
        <f t="shared" si="23"/>
        <v/>
      </c>
      <c r="H269" s="427">
        <v>0</v>
      </c>
      <c r="I269" s="427">
        <v>0</v>
      </c>
      <c r="J269" s="427">
        <v>0</v>
      </c>
      <c r="K269" s="427">
        <v>0</v>
      </c>
      <c r="L269" s="427">
        <v>0.99229000000000001</v>
      </c>
      <c r="M269" s="427">
        <v>4.0563399999999996</v>
      </c>
      <c r="N269" s="427">
        <v>0</v>
      </c>
      <c r="O269" s="427">
        <v>0</v>
      </c>
      <c r="P269" s="427">
        <v>0</v>
      </c>
      <c r="Q269" s="427">
        <v>0</v>
      </c>
      <c r="R269" s="427">
        <v>0</v>
      </c>
      <c r="S269" s="427">
        <v>0</v>
      </c>
      <c r="T269" s="427">
        <v>0</v>
      </c>
      <c r="U269" s="427">
        <f t="shared" si="22"/>
        <v>5.0486299999999993</v>
      </c>
    </row>
    <row r="270" spans="1:21" s="427" customFormat="1">
      <c r="A270" s="427" t="str">
        <f t="shared" si="27"/>
        <v>KU</v>
      </c>
      <c r="B270" s="427" t="str">
        <f t="shared" si="26"/>
        <v>KY</v>
      </c>
      <c r="C270" s="427" t="str">
        <f t="shared" si="28"/>
        <v>E</v>
      </c>
      <c r="D270" s="427" t="s">
        <v>3420</v>
      </c>
      <c r="E270" s="427" t="str">
        <f t="shared" si="25"/>
        <v>368</v>
      </c>
      <c r="F270" s="756" t="s">
        <v>1796</v>
      </c>
      <c r="G270" s="426" t="str">
        <f t="shared" si="23"/>
        <v/>
      </c>
      <c r="H270" s="427">
        <v>0</v>
      </c>
      <c r="I270" s="427">
        <v>0</v>
      </c>
      <c r="J270" s="427">
        <v>1.73434</v>
      </c>
      <c r="K270" s="427">
        <v>102.75529</v>
      </c>
      <c r="L270" s="427">
        <v>227.75089</v>
      </c>
      <c r="M270" s="427">
        <v>0</v>
      </c>
      <c r="N270" s="427">
        <v>0</v>
      </c>
      <c r="O270" s="427">
        <v>0</v>
      </c>
      <c r="P270" s="427">
        <v>0</v>
      </c>
      <c r="Q270" s="427">
        <v>0</v>
      </c>
      <c r="R270" s="427">
        <v>0</v>
      </c>
      <c r="S270" s="427">
        <v>0</v>
      </c>
      <c r="T270" s="427">
        <v>0</v>
      </c>
      <c r="U270" s="427">
        <f t="shared" si="22"/>
        <v>332.24052</v>
      </c>
    </row>
    <row r="271" spans="1:21" s="427" customFormat="1">
      <c r="A271" s="427" t="str">
        <f t="shared" si="27"/>
        <v>KU</v>
      </c>
      <c r="B271" s="427" t="str">
        <f t="shared" si="26"/>
        <v>VA</v>
      </c>
      <c r="C271" s="427" t="str">
        <f t="shared" si="28"/>
        <v>E</v>
      </c>
      <c r="D271" s="427" t="s">
        <v>3420</v>
      </c>
      <c r="E271" s="427" t="str">
        <f t="shared" si="25"/>
        <v>368</v>
      </c>
      <c r="F271" s="756" t="s">
        <v>1798</v>
      </c>
      <c r="G271" s="426" t="str">
        <f t="shared" si="23"/>
        <v/>
      </c>
      <c r="H271" s="427">
        <v>0</v>
      </c>
      <c r="I271" s="427">
        <v>0</v>
      </c>
      <c r="J271" s="427">
        <v>0</v>
      </c>
      <c r="K271" s="427">
        <v>10.021799999999899</v>
      </c>
      <c r="L271" s="427">
        <v>59.633519999999997</v>
      </c>
      <c r="M271" s="427">
        <v>0</v>
      </c>
      <c r="N271" s="427">
        <v>0</v>
      </c>
      <c r="O271" s="427">
        <v>0</v>
      </c>
      <c r="P271" s="427">
        <v>0</v>
      </c>
      <c r="Q271" s="427">
        <v>0</v>
      </c>
      <c r="R271" s="427">
        <v>0</v>
      </c>
      <c r="S271" s="427">
        <v>0</v>
      </c>
      <c r="T271" s="427">
        <v>0</v>
      </c>
      <c r="U271" s="427">
        <f t="shared" si="22"/>
        <v>69.655319999999904</v>
      </c>
    </row>
    <row r="272" spans="1:21" s="427" customFormat="1">
      <c r="A272" s="427" t="str">
        <f t="shared" si="27"/>
        <v>KU</v>
      </c>
      <c r="B272" s="427" t="str">
        <f t="shared" si="26"/>
        <v>KY</v>
      </c>
      <c r="C272" s="427" t="str">
        <f t="shared" si="28"/>
        <v>E</v>
      </c>
      <c r="D272" s="427" t="s">
        <v>3420</v>
      </c>
      <c r="E272" s="427" t="str">
        <f t="shared" si="25"/>
        <v>370</v>
      </c>
      <c r="F272" s="756" t="s">
        <v>1802</v>
      </c>
      <c r="G272" s="426" t="str">
        <f t="shared" si="23"/>
        <v/>
      </c>
      <c r="H272" s="427">
        <v>0</v>
      </c>
      <c r="I272" s="427">
        <v>0</v>
      </c>
      <c r="J272" s="427">
        <v>0</v>
      </c>
      <c r="K272" s="427">
        <v>115.19354</v>
      </c>
      <c r="L272" s="427">
        <v>7.4607200000000002</v>
      </c>
      <c r="M272" s="427">
        <v>0</v>
      </c>
      <c r="N272" s="427">
        <v>0</v>
      </c>
      <c r="O272" s="427">
        <v>0</v>
      </c>
      <c r="P272" s="427">
        <v>0</v>
      </c>
      <c r="Q272" s="427">
        <v>0</v>
      </c>
      <c r="R272" s="427">
        <v>0</v>
      </c>
      <c r="S272" s="427">
        <v>0</v>
      </c>
      <c r="T272" s="427">
        <v>0</v>
      </c>
      <c r="U272" s="427">
        <f t="shared" si="22"/>
        <v>122.65425999999999</v>
      </c>
    </row>
    <row r="273" spans="1:21" s="427" customFormat="1">
      <c r="A273" s="427" t="str">
        <f t="shared" si="27"/>
        <v>KU</v>
      </c>
      <c r="B273" s="427" t="str">
        <f t="shared" si="26"/>
        <v>VA</v>
      </c>
      <c r="C273" s="427" t="str">
        <f t="shared" si="28"/>
        <v>E</v>
      </c>
      <c r="D273" s="427" t="s">
        <v>3420</v>
      </c>
      <c r="E273" s="427" t="str">
        <f t="shared" si="25"/>
        <v>370</v>
      </c>
      <c r="F273" s="756" t="s">
        <v>1804</v>
      </c>
      <c r="G273" s="426" t="str">
        <f t="shared" si="23"/>
        <v/>
      </c>
      <c r="H273" s="427">
        <v>0</v>
      </c>
      <c r="I273" s="427">
        <v>0</v>
      </c>
      <c r="J273" s="427">
        <v>0</v>
      </c>
      <c r="K273" s="427">
        <v>7.8324999999999996</v>
      </c>
      <c r="L273" s="427">
        <v>0</v>
      </c>
      <c r="M273" s="427">
        <v>0</v>
      </c>
      <c r="N273" s="427">
        <v>0</v>
      </c>
      <c r="O273" s="427">
        <v>0</v>
      </c>
      <c r="P273" s="427">
        <v>0</v>
      </c>
      <c r="Q273" s="427">
        <v>0</v>
      </c>
      <c r="R273" s="427">
        <v>0</v>
      </c>
      <c r="S273" s="427">
        <v>0</v>
      </c>
      <c r="T273" s="427">
        <v>0</v>
      </c>
      <c r="U273" s="427">
        <f t="shared" ref="U273:U305" si="29">SUM(I273:T273)</f>
        <v>7.8324999999999996</v>
      </c>
    </row>
    <row r="274" spans="1:21" s="427" customFormat="1">
      <c r="A274" s="427" t="str">
        <f t="shared" si="27"/>
        <v>KU</v>
      </c>
      <c r="B274" s="427" t="str">
        <f t="shared" si="26"/>
        <v>KY</v>
      </c>
      <c r="C274" s="427" t="str">
        <f t="shared" si="28"/>
        <v>E</v>
      </c>
      <c r="D274" s="427" t="s">
        <v>3420</v>
      </c>
      <c r="E274" s="427" t="str">
        <f t="shared" si="25"/>
        <v>373</v>
      </c>
      <c r="F274" s="756" t="s">
        <v>1806</v>
      </c>
      <c r="G274" s="426" t="str">
        <f t="shared" si="23"/>
        <v/>
      </c>
      <c r="H274" s="427">
        <v>10.001989999999999</v>
      </c>
      <c r="I274" s="427">
        <v>0</v>
      </c>
      <c r="J274" s="427">
        <v>3.1924699999999899</v>
      </c>
      <c r="K274" s="427">
        <v>0</v>
      </c>
      <c r="L274" s="427">
        <v>44.323480000000004</v>
      </c>
      <c r="M274" s="427">
        <v>17.552610000000001</v>
      </c>
      <c r="N274" s="427">
        <v>13.6242</v>
      </c>
      <c r="O274" s="427">
        <v>0</v>
      </c>
      <c r="P274" s="427">
        <v>0</v>
      </c>
      <c r="Q274" s="427">
        <v>0</v>
      </c>
      <c r="R274" s="427">
        <v>0</v>
      </c>
      <c r="S274" s="427">
        <v>0</v>
      </c>
      <c r="T274" s="427">
        <v>0</v>
      </c>
      <c r="U274" s="427">
        <f t="shared" si="29"/>
        <v>78.692759999999993</v>
      </c>
    </row>
    <row r="275" spans="1:21" s="427" customFormat="1">
      <c r="A275" s="427" t="str">
        <f t="shared" si="27"/>
        <v>KU</v>
      </c>
      <c r="B275" s="427" t="str">
        <f t="shared" si="26"/>
        <v>VA</v>
      </c>
      <c r="C275" s="427" t="str">
        <f t="shared" si="28"/>
        <v>E</v>
      </c>
      <c r="D275" s="427" t="s">
        <v>3420</v>
      </c>
      <c r="E275" s="427" t="str">
        <f t="shared" si="25"/>
        <v>373</v>
      </c>
      <c r="F275" s="756" t="s">
        <v>1807</v>
      </c>
      <c r="G275" s="426" t="str">
        <f t="shared" si="23"/>
        <v/>
      </c>
      <c r="H275" s="427">
        <v>0</v>
      </c>
      <c r="I275" s="427">
        <v>0</v>
      </c>
      <c r="J275" s="427">
        <v>0</v>
      </c>
      <c r="K275" s="427">
        <v>0.26967999999999998</v>
      </c>
      <c r="L275" s="427">
        <v>0</v>
      </c>
      <c r="M275" s="427">
        <v>22.471619999999898</v>
      </c>
      <c r="N275" s="427">
        <v>0.87934999999999997</v>
      </c>
      <c r="O275" s="427">
        <v>0</v>
      </c>
      <c r="P275" s="427">
        <v>0</v>
      </c>
      <c r="Q275" s="427">
        <v>0</v>
      </c>
      <c r="R275" s="427">
        <v>0</v>
      </c>
      <c r="S275" s="427">
        <v>0</v>
      </c>
      <c r="T275" s="427">
        <v>0</v>
      </c>
      <c r="U275" s="427">
        <f t="shared" si="29"/>
        <v>23.620649999999898</v>
      </c>
    </row>
    <row r="276" spans="1:21" s="427" customFormat="1">
      <c r="A276" s="427" t="str">
        <f t="shared" si="27"/>
        <v>KU</v>
      </c>
      <c r="B276" s="427" t="str">
        <f t="shared" si="26"/>
        <v>KY</v>
      </c>
      <c r="C276" s="427" t="str">
        <f t="shared" si="28"/>
        <v>E</v>
      </c>
      <c r="D276" s="427" t="s">
        <v>3420</v>
      </c>
      <c r="E276" s="427" t="str">
        <f t="shared" si="25"/>
        <v>374</v>
      </c>
      <c r="F276" s="756" t="s">
        <v>1808</v>
      </c>
      <c r="G276" s="426" t="str">
        <f t="shared" si="23"/>
        <v>ARO</v>
      </c>
      <c r="H276" s="427">
        <v>0</v>
      </c>
      <c r="I276" s="427">
        <v>0</v>
      </c>
      <c r="J276" s="427">
        <v>0</v>
      </c>
      <c r="K276" s="427">
        <v>0</v>
      </c>
      <c r="L276" s="427">
        <v>0</v>
      </c>
      <c r="M276" s="427">
        <v>2.1770200000000002</v>
      </c>
      <c r="N276" s="427">
        <v>9.7261600000000001</v>
      </c>
      <c r="O276" s="427">
        <v>0</v>
      </c>
      <c r="P276" s="427">
        <v>0</v>
      </c>
      <c r="Q276" s="427">
        <v>0</v>
      </c>
      <c r="R276" s="427">
        <v>0</v>
      </c>
      <c r="S276" s="427">
        <v>0</v>
      </c>
      <c r="T276" s="427">
        <v>0</v>
      </c>
      <c r="U276" s="427">
        <f t="shared" si="29"/>
        <v>11.903180000000001</v>
      </c>
    </row>
    <row r="277" spans="1:21" s="427" customFormat="1">
      <c r="A277" s="427" t="str">
        <f t="shared" si="27"/>
        <v>KU</v>
      </c>
      <c r="B277" s="427" t="str">
        <f t="shared" si="26"/>
        <v>KY</v>
      </c>
      <c r="C277" s="427" t="str">
        <f t="shared" si="28"/>
        <v>E</v>
      </c>
      <c r="D277" s="427" t="s">
        <v>3420</v>
      </c>
      <c r="E277" s="427" t="str">
        <f t="shared" si="25"/>
        <v>390</v>
      </c>
      <c r="F277" s="756" t="s">
        <v>1811</v>
      </c>
      <c r="G277" s="426" t="str">
        <f t="shared" si="23"/>
        <v/>
      </c>
      <c r="H277" s="427">
        <v>0</v>
      </c>
      <c r="I277" s="427">
        <v>0</v>
      </c>
      <c r="J277" s="427">
        <v>0</v>
      </c>
      <c r="K277" s="427">
        <v>0</v>
      </c>
      <c r="L277" s="427">
        <v>0</v>
      </c>
      <c r="M277" s="427">
        <v>0</v>
      </c>
      <c r="N277" s="427">
        <v>15.574529999999999</v>
      </c>
      <c r="O277" s="427">
        <v>0</v>
      </c>
      <c r="P277" s="427">
        <v>0</v>
      </c>
      <c r="Q277" s="427">
        <v>0</v>
      </c>
      <c r="R277" s="427">
        <v>0</v>
      </c>
      <c r="S277" s="427">
        <v>0</v>
      </c>
      <c r="T277" s="427">
        <v>0</v>
      </c>
      <c r="U277" s="427">
        <f t="shared" si="29"/>
        <v>15.574529999999999</v>
      </c>
    </row>
    <row r="278" spans="1:21" s="427" customFormat="1">
      <c r="A278" s="427" t="str">
        <f t="shared" si="27"/>
        <v>KU</v>
      </c>
      <c r="B278" s="427" t="str">
        <f t="shared" si="26"/>
        <v>KY</v>
      </c>
      <c r="C278" s="427" t="str">
        <f t="shared" si="28"/>
        <v>E</v>
      </c>
      <c r="D278" s="427" t="s">
        <v>3420</v>
      </c>
      <c r="E278" s="427" t="str">
        <f t="shared" si="25"/>
        <v>390</v>
      </c>
      <c r="F278" s="756" t="s">
        <v>1812</v>
      </c>
      <c r="G278" s="426" t="str">
        <f t="shared" si="23"/>
        <v/>
      </c>
      <c r="H278" s="427">
        <v>12.92381</v>
      </c>
      <c r="I278" s="427">
        <v>9.2088099999999997</v>
      </c>
      <c r="J278" s="427">
        <v>21.681650000000001</v>
      </c>
      <c r="K278" s="427">
        <v>14.96674</v>
      </c>
      <c r="L278" s="427">
        <v>37.091149999999999</v>
      </c>
      <c r="M278" s="427">
        <v>18.422619999999998</v>
      </c>
      <c r="N278" s="427">
        <v>165.04115999999999</v>
      </c>
      <c r="O278" s="427">
        <v>0</v>
      </c>
      <c r="P278" s="427">
        <v>0</v>
      </c>
      <c r="Q278" s="427">
        <v>0</v>
      </c>
      <c r="R278" s="427">
        <v>0</v>
      </c>
      <c r="S278" s="427">
        <v>0</v>
      </c>
      <c r="T278" s="427">
        <v>0</v>
      </c>
      <c r="U278" s="427">
        <f t="shared" si="29"/>
        <v>266.41212999999999</v>
      </c>
    </row>
    <row r="279" spans="1:21" s="427" customFormat="1">
      <c r="A279" s="427" t="str">
        <f t="shared" si="27"/>
        <v>KU</v>
      </c>
      <c r="B279" s="427" t="str">
        <f t="shared" si="26"/>
        <v>VA</v>
      </c>
      <c r="C279" s="427" t="str">
        <f t="shared" si="28"/>
        <v>E</v>
      </c>
      <c r="D279" s="427" t="s">
        <v>3420</v>
      </c>
      <c r="E279" s="427" t="str">
        <f t="shared" si="25"/>
        <v>390</v>
      </c>
      <c r="F279" s="756" t="s">
        <v>1813</v>
      </c>
      <c r="G279" s="426" t="str">
        <f t="shared" si="23"/>
        <v/>
      </c>
      <c r="H279" s="427">
        <v>0</v>
      </c>
      <c r="I279" s="427">
        <v>0</v>
      </c>
      <c r="J279" s="427">
        <v>7.1957599999999999</v>
      </c>
      <c r="K279" s="427">
        <v>0</v>
      </c>
      <c r="L279" s="427">
        <v>0</v>
      </c>
      <c r="M279" s="427">
        <v>0</v>
      </c>
      <c r="N279" s="427">
        <v>0</v>
      </c>
      <c r="O279" s="427">
        <v>0</v>
      </c>
      <c r="P279" s="427">
        <v>0</v>
      </c>
      <c r="Q279" s="427">
        <v>0</v>
      </c>
      <c r="R279" s="427">
        <v>0</v>
      </c>
      <c r="S279" s="427">
        <v>0</v>
      </c>
      <c r="T279" s="427">
        <v>0</v>
      </c>
      <c r="U279" s="427">
        <f t="shared" si="29"/>
        <v>7.1957599999999999</v>
      </c>
    </row>
    <row r="280" spans="1:21" s="427" customFormat="1">
      <c r="A280" s="427" t="str">
        <f t="shared" si="27"/>
        <v>KU</v>
      </c>
      <c r="B280" s="427" t="str">
        <f t="shared" si="26"/>
        <v>KY</v>
      </c>
      <c r="C280" s="427" t="str">
        <f t="shared" si="28"/>
        <v>E</v>
      </c>
      <c r="D280" s="427" t="s">
        <v>3420</v>
      </c>
      <c r="E280" s="427" t="str">
        <f t="shared" si="25"/>
        <v>391</v>
      </c>
      <c r="F280" s="756" t="s">
        <v>1814</v>
      </c>
      <c r="G280" s="426" t="str">
        <f t="shared" si="23"/>
        <v/>
      </c>
      <c r="H280" s="427">
        <v>0</v>
      </c>
      <c r="I280" s="427">
        <v>0</v>
      </c>
      <c r="J280" s="427">
        <v>75.646060000000006</v>
      </c>
      <c r="K280" s="427">
        <v>0</v>
      </c>
      <c r="L280" s="427">
        <v>0</v>
      </c>
      <c r="M280" s="427">
        <v>0</v>
      </c>
      <c r="N280" s="427">
        <v>0</v>
      </c>
      <c r="O280" s="427">
        <v>47.640259999999998</v>
      </c>
      <c r="P280" s="427">
        <v>92.55865</v>
      </c>
      <c r="Q280" s="427">
        <v>0</v>
      </c>
      <c r="R280" s="427">
        <v>22.340019999999999</v>
      </c>
      <c r="S280" s="427">
        <v>768.83636999999999</v>
      </c>
      <c r="T280" s="427">
        <v>106.68537999999999</v>
      </c>
      <c r="U280" s="427">
        <f t="shared" si="29"/>
        <v>1113.7067399999999</v>
      </c>
    </row>
    <row r="281" spans="1:21" s="427" customFormat="1">
      <c r="A281" s="427" t="str">
        <f t="shared" si="27"/>
        <v>KU</v>
      </c>
      <c r="B281" s="427" t="str">
        <f t="shared" si="26"/>
        <v>KY</v>
      </c>
      <c r="C281" s="427" t="str">
        <f t="shared" si="28"/>
        <v>E</v>
      </c>
      <c r="D281" s="427" t="s">
        <v>3420</v>
      </c>
      <c r="E281" s="427" t="str">
        <f t="shared" si="25"/>
        <v>391</v>
      </c>
      <c r="F281" s="756" t="s">
        <v>1815</v>
      </c>
      <c r="G281" s="426" t="str">
        <f t="shared" si="23"/>
        <v/>
      </c>
      <c r="H281" s="427">
        <v>88.152050000000003</v>
      </c>
      <c r="I281" s="427">
        <v>156.00572</v>
      </c>
      <c r="J281" s="427">
        <v>399.02172999999999</v>
      </c>
      <c r="K281" s="427">
        <v>148.23259999999999</v>
      </c>
      <c r="L281" s="427">
        <v>921.50252999999998</v>
      </c>
      <c r="M281" s="427">
        <v>519.03511000000003</v>
      </c>
      <c r="N281" s="427">
        <v>71.253140000000002</v>
      </c>
      <c r="O281" s="427">
        <v>635.33655999999996</v>
      </c>
      <c r="P281" s="427">
        <v>32.726239999999997</v>
      </c>
      <c r="Q281" s="427">
        <v>25.091609999999999</v>
      </c>
      <c r="R281" s="427">
        <v>583.59086000000002</v>
      </c>
      <c r="S281" s="427">
        <v>0</v>
      </c>
      <c r="T281" s="427">
        <v>0</v>
      </c>
      <c r="U281" s="427">
        <f t="shared" si="29"/>
        <v>3491.7960999999996</v>
      </c>
    </row>
    <row r="282" spans="1:21" s="427" customFormat="1">
      <c r="A282" s="427" t="str">
        <f t="shared" si="27"/>
        <v>KU</v>
      </c>
      <c r="B282" s="427" t="str">
        <f t="shared" si="26"/>
        <v>KY</v>
      </c>
      <c r="C282" s="427" t="str">
        <f t="shared" si="28"/>
        <v>E</v>
      </c>
      <c r="D282" s="427" t="s">
        <v>3420</v>
      </c>
      <c r="E282" s="427" t="str">
        <f t="shared" si="25"/>
        <v>392</v>
      </c>
      <c r="F282" s="756" t="s">
        <v>1818</v>
      </c>
      <c r="G282" s="426" t="str">
        <f t="shared" si="23"/>
        <v/>
      </c>
      <c r="H282" s="427">
        <v>0</v>
      </c>
      <c r="I282" s="427">
        <v>0</v>
      </c>
      <c r="J282" s="427">
        <v>214.78165000000001</v>
      </c>
      <c r="K282" s="427">
        <v>0</v>
      </c>
      <c r="L282" s="427">
        <v>0</v>
      </c>
      <c r="M282" s="427">
        <v>0</v>
      </c>
      <c r="N282" s="427">
        <v>0</v>
      </c>
      <c r="O282" s="427">
        <v>0</v>
      </c>
      <c r="P282" s="427">
        <v>0</v>
      </c>
      <c r="Q282" s="427">
        <v>0</v>
      </c>
      <c r="R282" s="427">
        <v>0</v>
      </c>
      <c r="S282" s="427">
        <v>0</v>
      </c>
      <c r="T282" s="427">
        <v>0</v>
      </c>
      <c r="U282" s="427">
        <f t="shared" si="29"/>
        <v>214.78165000000001</v>
      </c>
    </row>
    <row r="283" spans="1:21" s="427" customFormat="1">
      <c r="A283" s="427" t="str">
        <f t="shared" si="27"/>
        <v>KU</v>
      </c>
      <c r="B283" s="427" t="str">
        <f t="shared" si="26"/>
        <v>KY</v>
      </c>
      <c r="C283" s="427" t="str">
        <f t="shared" si="28"/>
        <v>E</v>
      </c>
      <c r="D283" s="427" t="s">
        <v>3420</v>
      </c>
      <c r="E283" s="427" t="str">
        <f t="shared" si="25"/>
        <v>393</v>
      </c>
      <c r="F283" s="756" t="s">
        <v>1819</v>
      </c>
      <c r="G283" s="426" t="str">
        <f t="shared" ref="G283:G349" si="30">IF(ISTEXT(MID($F283,SEARCH("FUTURE USE",$F283),3)),"FUTURE USE",IF(ISTEXT(MID($F283,SEARCH("ECR",$F283),3)),"ECR",IF(ISTEXT(MID($F283,SEARCH("ARO",$F283),3)),"ARO",IF(ISTEXT(MID($F283,SEARCH("DSM",$F283),3)),"DSM",""))))</f>
        <v/>
      </c>
      <c r="H283" s="427">
        <v>0</v>
      </c>
      <c r="I283" s="427">
        <v>0</v>
      </c>
      <c r="J283" s="427">
        <v>0</v>
      </c>
      <c r="K283" s="427">
        <v>0</v>
      </c>
      <c r="L283" s="427">
        <v>0</v>
      </c>
      <c r="M283" s="427">
        <v>0</v>
      </c>
      <c r="N283" s="427">
        <v>0</v>
      </c>
      <c r="O283" s="427">
        <v>0</v>
      </c>
      <c r="P283" s="427">
        <v>0</v>
      </c>
      <c r="Q283" s="427">
        <v>6.8484400000000001</v>
      </c>
      <c r="R283" s="427">
        <v>0</v>
      </c>
      <c r="S283" s="427">
        <v>0</v>
      </c>
      <c r="T283" s="427">
        <v>0</v>
      </c>
      <c r="U283" s="427">
        <f t="shared" si="29"/>
        <v>6.8484400000000001</v>
      </c>
    </row>
    <row r="284" spans="1:21" s="427" customFormat="1">
      <c r="A284" s="427" t="str">
        <f t="shared" si="27"/>
        <v>KU</v>
      </c>
      <c r="B284" s="427" t="str">
        <f t="shared" si="26"/>
        <v>VA</v>
      </c>
      <c r="C284" s="427" t="str">
        <f t="shared" si="28"/>
        <v>E</v>
      </c>
      <c r="D284" s="427" t="s">
        <v>3420</v>
      </c>
      <c r="E284" s="427" t="str">
        <f t="shared" si="25"/>
        <v>393</v>
      </c>
      <c r="F284" s="756" t="s">
        <v>1820</v>
      </c>
      <c r="G284" s="426" t="str">
        <f t="shared" si="30"/>
        <v/>
      </c>
      <c r="H284" s="427">
        <v>0</v>
      </c>
      <c r="I284" s="427">
        <v>0</v>
      </c>
      <c r="J284" s="427">
        <v>0</v>
      </c>
      <c r="K284" s="427">
        <v>0</v>
      </c>
      <c r="L284" s="427">
        <v>0</v>
      </c>
      <c r="M284" s="427">
        <v>0</v>
      </c>
      <c r="N284" s="427">
        <v>0</v>
      </c>
      <c r="O284" s="427">
        <v>0</v>
      </c>
      <c r="P284" s="427">
        <v>0</v>
      </c>
      <c r="Q284" s="427">
        <v>3.64967</v>
      </c>
      <c r="R284" s="427">
        <v>0</v>
      </c>
      <c r="S284" s="427">
        <v>0</v>
      </c>
      <c r="T284" s="427">
        <v>0</v>
      </c>
      <c r="U284" s="427">
        <f t="shared" si="29"/>
        <v>3.64967</v>
      </c>
    </row>
    <row r="285" spans="1:21" s="427" customFormat="1">
      <c r="A285" s="427" t="str">
        <f t="shared" si="27"/>
        <v>KU</v>
      </c>
      <c r="B285" s="427" t="str">
        <f t="shared" si="26"/>
        <v>KY</v>
      </c>
      <c r="C285" s="427" t="str">
        <f t="shared" si="28"/>
        <v>E</v>
      </c>
      <c r="D285" s="427" t="s">
        <v>3420</v>
      </c>
      <c r="E285" s="427" t="str">
        <f t="shared" si="25"/>
        <v>394</v>
      </c>
      <c r="F285" s="756" t="s">
        <v>1821</v>
      </c>
      <c r="G285" s="426" t="str">
        <f t="shared" si="30"/>
        <v/>
      </c>
      <c r="H285" s="427">
        <v>7.7416999999999998</v>
      </c>
      <c r="I285" s="427">
        <v>0</v>
      </c>
      <c r="J285" s="427">
        <v>4.9243399999999999</v>
      </c>
      <c r="K285" s="427">
        <v>1.9129700000000001</v>
      </c>
      <c r="L285" s="427">
        <v>2.18115999999999</v>
      </c>
      <c r="M285" s="427">
        <v>13.40573</v>
      </c>
      <c r="N285" s="427">
        <v>4.8656300000000003</v>
      </c>
      <c r="O285" s="427">
        <v>10.55387</v>
      </c>
      <c r="P285" s="427">
        <v>0</v>
      </c>
      <c r="Q285" s="427">
        <v>12.296469999999999</v>
      </c>
      <c r="R285" s="427">
        <v>0</v>
      </c>
      <c r="S285" s="427">
        <v>0</v>
      </c>
      <c r="T285" s="427">
        <v>4.7250699999999997</v>
      </c>
      <c r="U285" s="427">
        <f t="shared" si="29"/>
        <v>54.865239999999993</v>
      </c>
    </row>
    <row r="286" spans="1:21" s="427" customFormat="1">
      <c r="A286" s="427" t="str">
        <f t="shared" si="27"/>
        <v>KU</v>
      </c>
      <c r="B286" s="427" t="str">
        <f t="shared" si="26"/>
        <v>VA</v>
      </c>
      <c r="C286" s="427" t="str">
        <f t="shared" si="28"/>
        <v>E</v>
      </c>
      <c r="D286" s="427" t="s">
        <v>3420</v>
      </c>
      <c r="E286" s="427" t="str">
        <f t="shared" si="25"/>
        <v>394</v>
      </c>
      <c r="F286" s="756" t="s">
        <v>1822</v>
      </c>
      <c r="G286" s="426" t="str">
        <f t="shared" si="30"/>
        <v/>
      </c>
      <c r="H286" s="427">
        <v>0</v>
      </c>
      <c r="I286" s="427">
        <v>0</v>
      </c>
      <c r="J286" s="427">
        <v>0</v>
      </c>
      <c r="K286" s="427">
        <v>0</v>
      </c>
      <c r="L286" s="427">
        <v>0</v>
      </c>
      <c r="M286" s="427">
        <v>0</v>
      </c>
      <c r="N286" s="427">
        <v>0</v>
      </c>
      <c r="O286" s="427">
        <v>0</v>
      </c>
      <c r="P286" s="427">
        <v>0</v>
      </c>
      <c r="Q286" s="427">
        <v>6.2433100000000001</v>
      </c>
      <c r="R286" s="427">
        <v>0</v>
      </c>
      <c r="S286" s="427">
        <v>0</v>
      </c>
      <c r="T286" s="427">
        <v>0</v>
      </c>
      <c r="U286" s="427">
        <f t="shared" si="29"/>
        <v>6.2433100000000001</v>
      </c>
    </row>
    <row r="287" spans="1:21" s="427" customFormat="1">
      <c r="A287" s="427" t="str">
        <f t="shared" si="27"/>
        <v>KY</v>
      </c>
      <c r="B287" s="427" t="str">
        <f t="shared" si="26"/>
        <v xml:space="preserve"> A</v>
      </c>
      <c r="C287" s="427" t="str">
        <f t="shared" si="28"/>
        <v/>
      </c>
      <c r="E287" s="427" t="str">
        <f t="shared" si="25"/>
        <v>lan</v>
      </c>
      <c r="F287" s="758" t="s">
        <v>1829</v>
      </c>
      <c r="G287" s="426" t="str">
        <f t="shared" si="30"/>
        <v/>
      </c>
      <c r="H287" s="427">
        <f>SUM(H237:H286)</f>
        <v>1257.1232599999987</v>
      </c>
      <c r="I287" s="427">
        <f t="shared" ref="I287:N287" si="31">SUM(I237:I286)</f>
        <v>1750.7423399999989</v>
      </c>
      <c r="J287" s="427">
        <f t="shared" si="31"/>
        <v>18453.601959999989</v>
      </c>
      <c r="K287" s="427">
        <f t="shared" si="31"/>
        <v>1719.1175999999998</v>
      </c>
      <c r="L287" s="427">
        <f t="shared" si="31"/>
        <v>4005.4418299999988</v>
      </c>
      <c r="M287" s="427">
        <f t="shared" si="31"/>
        <v>5626.7169800000001</v>
      </c>
      <c r="N287" s="427">
        <f t="shared" si="31"/>
        <v>5999.3415299999906</v>
      </c>
      <c r="O287" s="427">
        <v>1916.5915599999998</v>
      </c>
      <c r="P287" s="427">
        <v>639.10473999999999</v>
      </c>
      <c r="Q287" s="427">
        <v>1212.84698</v>
      </c>
      <c r="R287" s="427">
        <v>1892.8653200000001</v>
      </c>
      <c r="S287" s="427">
        <v>6870.31628</v>
      </c>
      <c r="T287" s="427">
        <v>111.41045</v>
      </c>
      <c r="U287" s="427">
        <f t="shared" si="29"/>
        <v>50198.097569999984</v>
      </c>
    </row>
    <row r="288" spans="1:21" s="427" customFormat="1">
      <c r="A288" s="427" t="str">
        <f t="shared" si="27"/>
        <v/>
      </c>
      <c r="B288" s="427" t="str">
        <f t="shared" si="26"/>
        <v/>
      </c>
      <c r="C288" s="427" t="str">
        <f t="shared" si="28"/>
        <v/>
      </c>
      <c r="E288" s="427" t="str">
        <f t="shared" si="25"/>
        <v/>
      </c>
      <c r="F288" s="758"/>
      <c r="G288" s="426" t="str">
        <f t="shared" si="30"/>
        <v/>
      </c>
      <c r="U288" s="427">
        <f t="shared" si="29"/>
        <v>0</v>
      </c>
    </row>
    <row r="289" spans="1:21" s="427" customFormat="1">
      <c r="A289" s="427" t="str">
        <f t="shared" si="27"/>
        <v xml:space="preserve">: </v>
      </c>
      <c r="B289" s="427" t="str">
        <f t="shared" si="26"/>
        <v>er</v>
      </c>
      <c r="C289" s="427" t="str">
        <f t="shared" si="28"/>
        <v/>
      </c>
      <c r="E289" s="427" t="str">
        <f t="shared" si="25"/>
        <v>ans</v>
      </c>
      <c r="F289" s="759" t="s">
        <v>3433</v>
      </c>
      <c r="G289" s="426" t="str">
        <f t="shared" si="30"/>
        <v/>
      </c>
      <c r="U289" s="427">
        <f t="shared" si="29"/>
        <v>0</v>
      </c>
    </row>
    <row r="290" spans="1:21" s="427" customFormat="1">
      <c r="A290" s="427" t="str">
        <f t="shared" si="27"/>
        <v>KU</v>
      </c>
      <c r="B290" s="427" t="str">
        <f t="shared" si="26"/>
        <v>KY</v>
      </c>
      <c r="C290" s="427" t="str">
        <f t="shared" si="28"/>
        <v>E</v>
      </c>
      <c r="D290" s="427" t="s">
        <v>3421</v>
      </c>
      <c r="E290" s="427" t="str">
        <f t="shared" si="25"/>
        <v>311</v>
      </c>
      <c r="F290" s="756" t="s">
        <v>1732</v>
      </c>
      <c r="G290" s="426" t="str">
        <f t="shared" si="30"/>
        <v/>
      </c>
      <c r="H290" s="427">
        <v>0</v>
      </c>
      <c r="I290" s="427">
        <v>-36.901040000000002</v>
      </c>
      <c r="J290" s="427">
        <v>0</v>
      </c>
      <c r="K290" s="427">
        <v>0</v>
      </c>
      <c r="L290" s="427">
        <v>0</v>
      </c>
      <c r="M290" s="427">
        <v>2103.1994399999999</v>
      </c>
      <c r="N290" s="427">
        <v>0</v>
      </c>
      <c r="O290" s="427">
        <v>0</v>
      </c>
      <c r="P290" s="427">
        <v>0</v>
      </c>
      <c r="Q290" s="427">
        <v>0</v>
      </c>
      <c r="R290" s="427">
        <v>0</v>
      </c>
      <c r="S290" s="427">
        <v>0</v>
      </c>
      <c r="T290" s="427">
        <v>0</v>
      </c>
      <c r="U290" s="427">
        <f t="shared" si="29"/>
        <v>2066.2983999999997</v>
      </c>
    </row>
    <row r="291" spans="1:21" s="427" customFormat="1">
      <c r="A291" s="427" t="str">
        <f t="shared" si="27"/>
        <v>KU</v>
      </c>
      <c r="B291" s="427" t="str">
        <f t="shared" si="26"/>
        <v>KY</v>
      </c>
      <c r="C291" s="427" t="str">
        <f t="shared" si="28"/>
        <v>E</v>
      </c>
      <c r="D291" s="427" t="s">
        <v>3421</v>
      </c>
      <c r="E291" s="427" t="str">
        <f t="shared" si="25"/>
        <v>312</v>
      </c>
      <c r="F291" s="756" t="s">
        <v>1733</v>
      </c>
      <c r="G291" s="426" t="str">
        <f t="shared" si="30"/>
        <v/>
      </c>
      <c r="H291" s="427">
        <v>0</v>
      </c>
      <c r="I291" s="427">
        <v>48.089129999999997</v>
      </c>
      <c r="J291" s="427">
        <v>0</v>
      </c>
      <c r="K291" s="427">
        <v>0</v>
      </c>
      <c r="L291" s="427">
        <v>0</v>
      </c>
      <c r="M291" s="427">
        <v>-743.02664000000004</v>
      </c>
      <c r="N291" s="427">
        <v>0</v>
      </c>
      <c r="O291" s="427">
        <v>0</v>
      </c>
      <c r="P291" s="427">
        <v>0</v>
      </c>
      <c r="Q291" s="427">
        <v>0</v>
      </c>
      <c r="R291" s="427">
        <v>0</v>
      </c>
      <c r="S291" s="427">
        <v>0</v>
      </c>
      <c r="T291" s="427">
        <v>0</v>
      </c>
      <c r="U291" s="427">
        <f t="shared" si="29"/>
        <v>-694.93751000000009</v>
      </c>
    </row>
    <row r="292" spans="1:21" s="427" customFormat="1">
      <c r="A292" s="427" t="str">
        <f t="shared" si="27"/>
        <v>KU</v>
      </c>
      <c r="B292" s="427" t="str">
        <f t="shared" si="26"/>
        <v>KY</v>
      </c>
      <c r="C292" s="427" t="str">
        <f t="shared" si="28"/>
        <v>E</v>
      </c>
      <c r="D292" s="427" t="s">
        <v>3421</v>
      </c>
      <c r="E292" s="427" t="str">
        <f t="shared" si="25"/>
        <v>312</v>
      </c>
      <c r="F292" s="756" t="s">
        <v>1734</v>
      </c>
      <c r="G292" s="426" t="str">
        <f t="shared" si="30"/>
        <v>ECR</v>
      </c>
      <c r="H292" s="427">
        <v>0</v>
      </c>
      <c r="I292" s="427">
        <v>-11.188090000000001</v>
      </c>
      <c r="J292" s="427">
        <v>0</v>
      </c>
      <c r="K292" s="427">
        <v>0</v>
      </c>
      <c r="L292" s="427">
        <v>0</v>
      </c>
      <c r="M292" s="427">
        <v>0</v>
      </c>
      <c r="N292" s="427">
        <v>0</v>
      </c>
      <c r="O292" s="427">
        <v>0</v>
      </c>
      <c r="P292" s="427">
        <v>0</v>
      </c>
      <c r="Q292" s="427">
        <v>0</v>
      </c>
      <c r="R292" s="427">
        <v>0</v>
      </c>
      <c r="S292" s="427">
        <v>0</v>
      </c>
      <c r="T292" s="427">
        <v>0</v>
      </c>
      <c r="U292" s="427">
        <f t="shared" si="29"/>
        <v>-11.188090000000001</v>
      </c>
    </row>
    <row r="293" spans="1:21" s="427" customFormat="1">
      <c r="A293" s="427" t="str">
        <f t="shared" si="27"/>
        <v>KU</v>
      </c>
      <c r="B293" s="427" t="str">
        <f t="shared" si="26"/>
        <v>KY</v>
      </c>
      <c r="C293" s="427" t="str">
        <f t="shared" si="28"/>
        <v>E</v>
      </c>
      <c r="D293" s="427" t="s">
        <v>3421</v>
      </c>
      <c r="E293" s="427" t="str">
        <f t="shared" si="25"/>
        <v>314</v>
      </c>
      <c r="F293" s="756" t="s">
        <v>1737</v>
      </c>
      <c r="G293" s="426" t="str">
        <f t="shared" si="30"/>
        <v/>
      </c>
      <c r="H293" s="427">
        <v>0</v>
      </c>
      <c r="I293" s="427">
        <v>0</v>
      </c>
      <c r="J293" s="427">
        <v>0</v>
      </c>
      <c r="K293" s="427">
        <v>0</v>
      </c>
      <c r="L293" s="427">
        <v>0</v>
      </c>
      <c r="M293" s="427">
        <v>-164.48625999999999</v>
      </c>
      <c r="N293" s="427">
        <v>0</v>
      </c>
      <c r="O293" s="427">
        <v>0</v>
      </c>
      <c r="P293" s="427">
        <v>0</v>
      </c>
      <c r="Q293" s="427">
        <v>0</v>
      </c>
      <c r="R293" s="427">
        <v>0</v>
      </c>
      <c r="S293" s="427">
        <v>0</v>
      </c>
      <c r="T293" s="427">
        <v>0</v>
      </c>
      <c r="U293" s="427">
        <f t="shared" si="29"/>
        <v>-164.48625999999999</v>
      </c>
    </row>
    <row r="294" spans="1:21" s="427" customFormat="1">
      <c r="A294" s="427" t="str">
        <f t="shared" si="27"/>
        <v>KU</v>
      </c>
      <c r="B294" s="427" t="str">
        <f t="shared" si="26"/>
        <v>KY</v>
      </c>
      <c r="C294" s="427" t="str">
        <f t="shared" si="28"/>
        <v>E</v>
      </c>
      <c r="D294" s="427" t="s">
        <v>3421</v>
      </c>
      <c r="E294" s="427" t="str">
        <f t="shared" si="25"/>
        <v>315</v>
      </c>
      <c r="F294" s="756" t="s">
        <v>1738</v>
      </c>
      <c r="G294" s="426" t="str">
        <f t="shared" si="30"/>
        <v/>
      </c>
      <c r="H294" s="427">
        <v>0</v>
      </c>
      <c r="I294" s="427">
        <v>0</v>
      </c>
      <c r="J294" s="427">
        <v>0</v>
      </c>
      <c r="K294" s="427">
        <v>0</v>
      </c>
      <c r="L294" s="427">
        <v>0</v>
      </c>
      <c r="M294" s="427">
        <v>-670.41705999999999</v>
      </c>
      <c r="N294" s="427">
        <v>0</v>
      </c>
      <c r="O294" s="427">
        <v>0</v>
      </c>
      <c r="P294" s="427">
        <v>0</v>
      </c>
      <c r="Q294" s="427">
        <v>0</v>
      </c>
      <c r="R294" s="427">
        <v>0</v>
      </c>
      <c r="S294" s="427">
        <v>0</v>
      </c>
      <c r="T294" s="427">
        <v>0</v>
      </c>
      <c r="U294" s="427">
        <f t="shared" si="29"/>
        <v>-670.41705999999999</v>
      </c>
    </row>
    <row r="295" spans="1:21" s="427" customFormat="1">
      <c r="A295" s="427" t="str">
        <f t="shared" si="27"/>
        <v>KU</v>
      </c>
      <c r="B295" s="427" t="str">
        <f t="shared" si="26"/>
        <v>KY</v>
      </c>
      <c r="C295" s="427" t="str">
        <f t="shared" si="28"/>
        <v>E</v>
      </c>
      <c r="D295" s="427" t="s">
        <v>3421</v>
      </c>
      <c r="E295" s="427" t="str">
        <f t="shared" si="25"/>
        <v>316</v>
      </c>
      <c r="F295" s="756" t="s">
        <v>1740</v>
      </c>
      <c r="G295" s="426" t="str">
        <f t="shared" si="30"/>
        <v/>
      </c>
      <c r="H295" s="427">
        <v>0</v>
      </c>
      <c r="I295" s="427">
        <v>0</v>
      </c>
      <c r="J295" s="427">
        <v>0</v>
      </c>
      <c r="K295" s="427">
        <v>0</v>
      </c>
      <c r="L295" s="427">
        <v>0</v>
      </c>
      <c r="M295" s="427">
        <v>-525.26948000000004</v>
      </c>
      <c r="N295" s="427">
        <v>0</v>
      </c>
      <c r="O295" s="427">
        <v>0</v>
      </c>
      <c r="P295" s="427">
        <v>0</v>
      </c>
      <c r="Q295" s="427">
        <v>0</v>
      </c>
      <c r="R295" s="427">
        <v>0</v>
      </c>
      <c r="S295" s="427">
        <v>0</v>
      </c>
      <c r="T295" s="427">
        <v>0</v>
      </c>
      <c r="U295" s="427">
        <f t="shared" si="29"/>
        <v>-525.26948000000004</v>
      </c>
    </row>
    <row r="296" spans="1:21" s="427" customFormat="1">
      <c r="A296" s="427" t="str">
        <f t="shared" si="27"/>
        <v>KU</v>
      </c>
      <c r="B296" s="427" t="str">
        <f t="shared" si="26"/>
        <v>KY</v>
      </c>
      <c r="C296" s="427" t="str">
        <f t="shared" si="28"/>
        <v>E</v>
      </c>
      <c r="D296" s="427" t="s">
        <v>3421</v>
      </c>
      <c r="E296" s="427" t="str">
        <f t="shared" si="25"/>
        <v>317</v>
      </c>
      <c r="F296" s="756" t="s">
        <v>1741</v>
      </c>
      <c r="G296" s="426" t="str">
        <f t="shared" si="30"/>
        <v>ARO</v>
      </c>
      <c r="H296" s="427">
        <v>0</v>
      </c>
      <c r="I296" s="427">
        <v>0</v>
      </c>
      <c r="J296" s="427">
        <v>0</v>
      </c>
      <c r="K296" s="427">
        <v>-2236.4876599999998</v>
      </c>
      <c r="L296" s="427">
        <v>0</v>
      </c>
      <c r="M296" s="427">
        <v>0</v>
      </c>
      <c r="N296" s="427">
        <v>108.18955</v>
      </c>
      <c r="O296" s="427">
        <v>0</v>
      </c>
      <c r="P296" s="427">
        <v>0</v>
      </c>
      <c r="Q296" s="427">
        <v>0</v>
      </c>
      <c r="R296" s="427">
        <v>0</v>
      </c>
      <c r="S296" s="427">
        <v>0</v>
      </c>
      <c r="T296" s="427">
        <v>0</v>
      </c>
      <c r="U296" s="427">
        <f t="shared" si="29"/>
        <v>-2128.2981099999997</v>
      </c>
    </row>
    <row r="297" spans="1:21" s="427" customFormat="1">
      <c r="A297" s="427" t="str">
        <f t="shared" si="27"/>
        <v>KU</v>
      </c>
      <c r="B297" s="427" t="str">
        <f t="shared" si="26"/>
        <v>KY</v>
      </c>
      <c r="C297" s="427" t="str">
        <f t="shared" si="28"/>
        <v>E</v>
      </c>
      <c r="D297" s="427" t="s">
        <v>3421</v>
      </c>
      <c r="E297" s="427" t="str">
        <f t="shared" si="25"/>
        <v>317</v>
      </c>
      <c r="F297" s="756" t="s">
        <v>2504</v>
      </c>
      <c r="G297" s="426" t="str">
        <f t="shared" si="30"/>
        <v>ARO</v>
      </c>
      <c r="H297" s="427">
        <v>0</v>
      </c>
      <c r="I297" s="427">
        <v>0</v>
      </c>
      <c r="J297" s="427">
        <v>0</v>
      </c>
      <c r="K297" s="427">
        <v>-2467.7075299999901</v>
      </c>
      <c r="L297" s="427">
        <v>8435.0625199999995</v>
      </c>
      <c r="M297" s="427">
        <v>0</v>
      </c>
      <c r="N297" s="427">
        <v>-8463.8898499999996</v>
      </c>
      <c r="O297" s="427">
        <v>0</v>
      </c>
      <c r="P297" s="427">
        <v>0</v>
      </c>
      <c r="Q297" s="427">
        <v>0</v>
      </c>
      <c r="R297" s="427">
        <v>0</v>
      </c>
      <c r="S297" s="427">
        <v>0</v>
      </c>
      <c r="T297" s="427">
        <v>0</v>
      </c>
      <c r="U297" s="427">
        <f t="shared" si="29"/>
        <v>-2496.5348599999907</v>
      </c>
    </row>
    <row r="298" spans="1:21" s="427" customFormat="1">
      <c r="A298" s="427" t="str">
        <f t="shared" si="27"/>
        <v>KU</v>
      </c>
      <c r="B298" s="427" t="str">
        <f t="shared" si="26"/>
        <v>KY</v>
      </c>
      <c r="C298" s="427" t="str">
        <f t="shared" si="28"/>
        <v>E</v>
      </c>
      <c r="D298" s="427" t="s">
        <v>3421</v>
      </c>
      <c r="E298" s="427" t="str">
        <f t="shared" si="25"/>
        <v>361</v>
      </c>
      <c r="F298" s="756" t="s">
        <v>1781</v>
      </c>
      <c r="G298" s="426" t="str">
        <f t="shared" si="30"/>
        <v/>
      </c>
      <c r="H298" s="427">
        <v>0</v>
      </c>
      <c r="I298" s="427">
        <v>0</v>
      </c>
      <c r="J298" s="427">
        <v>0</v>
      </c>
      <c r="K298" s="427">
        <v>0</v>
      </c>
      <c r="L298" s="427">
        <v>0.86021000000000003</v>
      </c>
      <c r="M298" s="427">
        <v>0</v>
      </c>
      <c r="N298" s="427">
        <v>0</v>
      </c>
      <c r="O298" s="427">
        <v>0</v>
      </c>
      <c r="P298" s="427">
        <v>0</v>
      </c>
      <c r="Q298" s="427">
        <v>0</v>
      </c>
      <c r="R298" s="427">
        <v>0</v>
      </c>
      <c r="S298" s="427">
        <v>0</v>
      </c>
      <c r="T298" s="427">
        <v>0</v>
      </c>
      <c r="U298" s="427">
        <f t="shared" si="29"/>
        <v>0.86021000000000003</v>
      </c>
    </row>
    <row r="299" spans="1:21" s="427" customFormat="1">
      <c r="A299" s="427" t="str">
        <f t="shared" si="27"/>
        <v>KU</v>
      </c>
      <c r="B299" s="427" t="str">
        <f t="shared" si="26"/>
        <v>KY</v>
      </c>
      <c r="C299" s="427" t="str">
        <f t="shared" si="28"/>
        <v>E</v>
      </c>
      <c r="D299" s="427" t="s">
        <v>3421</v>
      </c>
      <c r="E299" s="427" t="str">
        <f t="shared" si="25"/>
        <v>390</v>
      </c>
      <c r="F299" s="756" t="s">
        <v>1812</v>
      </c>
      <c r="G299" s="426" t="str">
        <f t="shared" si="30"/>
        <v/>
      </c>
      <c r="H299" s="427">
        <v>0</v>
      </c>
      <c r="I299" s="427">
        <v>0</v>
      </c>
      <c r="J299" s="427">
        <v>0</v>
      </c>
      <c r="K299" s="427">
        <v>0</v>
      </c>
      <c r="L299" s="427">
        <v>-0.86021000000000003</v>
      </c>
      <c r="M299" s="427">
        <v>0</v>
      </c>
      <c r="N299" s="427">
        <v>0</v>
      </c>
      <c r="O299" s="427">
        <v>0</v>
      </c>
      <c r="P299" s="427">
        <v>0</v>
      </c>
      <c r="Q299" s="427">
        <v>0</v>
      </c>
      <c r="R299" s="427">
        <v>0</v>
      </c>
      <c r="S299" s="427">
        <v>0</v>
      </c>
      <c r="T299" s="427">
        <v>0</v>
      </c>
      <c r="U299" s="427">
        <f t="shared" si="29"/>
        <v>-0.86021000000000003</v>
      </c>
    </row>
    <row r="300" spans="1:21">
      <c r="A300" s="427" t="str">
        <f t="shared" si="27"/>
        <v>KU</v>
      </c>
      <c r="B300" s="427" t="str">
        <f t="shared" si="26"/>
        <v>KY</v>
      </c>
      <c r="C300" s="427" t="str">
        <f t="shared" si="28"/>
        <v>E</v>
      </c>
      <c r="D300" s="427" t="s">
        <v>3421</v>
      </c>
      <c r="E300" s="427" t="str">
        <f t="shared" si="25"/>
        <v>396</v>
      </c>
      <c r="F300" s="756" t="s">
        <v>1823</v>
      </c>
      <c r="G300" s="426" t="str">
        <f t="shared" si="30"/>
        <v/>
      </c>
      <c r="H300" s="427">
        <v>0</v>
      </c>
      <c r="I300" s="427">
        <v>-1781.51567</v>
      </c>
      <c r="J300" s="427">
        <v>0</v>
      </c>
      <c r="K300" s="427">
        <v>0</v>
      </c>
      <c r="L300" s="427">
        <v>0</v>
      </c>
      <c r="M300" s="427">
        <v>0</v>
      </c>
      <c r="N300" s="427">
        <v>0</v>
      </c>
      <c r="O300" s="427">
        <v>0</v>
      </c>
      <c r="P300" s="427">
        <v>0</v>
      </c>
      <c r="Q300" s="427">
        <v>0</v>
      </c>
      <c r="R300" s="427">
        <v>0</v>
      </c>
      <c r="S300" s="427">
        <v>0</v>
      </c>
      <c r="T300" s="427">
        <v>0</v>
      </c>
      <c r="U300" s="427">
        <f t="shared" si="29"/>
        <v>-1781.51567</v>
      </c>
    </row>
    <row r="301" spans="1:21">
      <c r="A301" s="427" t="str">
        <f t="shared" si="27"/>
        <v>KU</v>
      </c>
      <c r="B301" s="427" t="str">
        <f t="shared" si="26"/>
        <v>KY</v>
      </c>
      <c r="C301" s="427" t="str">
        <f t="shared" si="28"/>
        <v>E</v>
      </c>
      <c r="D301" s="427" t="s">
        <v>3421</v>
      </c>
      <c r="E301" s="427" t="str">
        <f t="shared" si="25"/>
        <v>396</v>
      </c>
      <c r="F301" s="756" t="s">
        <v>2508</v>
      </c>
      <c r="H301" s="427">
        <v>0</v>
      </c>
      <c r="I301" s="427">
        <v>1781.51567</v>
      </c>
      <c r="J301" s="427">
        <v>0</v>
      </c>
      <c r="K301" s="427">
        <v>0</v>
      </c>
      <c r="L301" s="427">
        <v>0</v>
      </c>
      <c r="M301" s="427">
        <v>0</v>
      </c>
      <c r="N301" s="427">
        <v>0</v>
      </c>
      <c r="O301" s="427">
        <v>0</v>
      </c>
      <c r="P301" s="427">
        <v>0</v>
      </c>
      <c r="Q301" s="427">
        <v>0</v>
      </c>
      <c r="R301" s="427">
        <v>0</v>
      </c>
      <c r="S301" s="427">
        <v>0</v>
      </c>
      <c r="T301" s="427">
        <v>0</v>
      </c>
      <c r="U301" s="427">
        <f t="shared" si="29"/>
        <v>1781.51567</v>
      </c>
    </row>
    <row r="302" spans="1:21">
      <c r="A302" s="427" t="str">
        <f t="shared" si="27"/>
        <v>KU</v>
      </c>
      <c r="B302" s="427" t="str">
        <f t="shared" si="26"/>
        <v>VA</v>
      </c>
      <c r="C302" s="427" t="str">
        <f t="shared" si="28"/>
        <v>E</v>
      </c>
      <c r="D302" s="427" t="s">
        <v>3421</v>
      </c>
      <c r="E302" s="427" t="str">
        <f t="shared" si="25"/>
        <v>396</v>
      </c>
      <c r="F302" s="756" t="s">
        <v>1824</v>
      </c>
      <c r="G302" s="426" t="str">
        <f t="shared" si="30"/>
        <v/>
      </c>
      <c r="H302" s="427">
        <v>0</v>
      </c>
      <c r="I302" s="427">
        <v>-282.27726000000001</v>
      </c>
      <c r="J302" s="427">
        <v>0</v>
      </c>
      <c r="K302" s="427">
        <v>0</v>
      </c>
      <c r="L302" s="427">
        <v>0</v>
      </c>
      <c r="M302" s="427">
        <v>0</v>
      </c>
      <c r="N302" s="427">
        <v>0</v>
      </c>
      <c r="O302" s="427">
        <v>0</v>
      </c>
      <c r="P302" s="427">
        <v>0</v>
      </c>
      <c r="Q302" s="427">
        <v>0</v>
      </c>
      <c r="R302" s="427">
        <v>0</v>
      </c>
      <c r="S302" s="427">
        <v>0</v>
      </c>
      <c r="T302" s="427">
        <v>0</v>
      </c>
      <c r="U302" s="427">
        <f t="shared" si="29"/>
        <v>-282.27726000000001</v>
      </c>
    </row>
    <row r="303" spans="1:21" s="427" customFormat="1">
      <c r="A303" s="427" t="str">
        <f t="shared" si="27"/>
        <v>KU</v>
      </c>
      <c r="B303" s="427" t="str">
        <f t="shared" si="26"/>
        <v>VA</v>
      </c>
      <c r="C303" s="427" t="str">
        <f t="shared" si="28"/>
        <v>E</v>
      </c>
      <c r="D303" s="427" t="s">
        <v>3421</v>
      </c>
      <c r="E303" s="427" t="str">
        <f t="shared" si="25"/>
        <v>396</v>
      </c>
      <c r="F303" s="756" t="s">
        <v>2509</v>
      </c>
      <c r="G303" s="426" t="str">
        <f t="shared" si="30"/>
        <v/>
      </c>
      <c r="H303" s="427">
        <v>0</v>
      </c>
      <c r="I303" s="427">
        <v>282.27726000000001</v>
      </c>
      <c r="J303" s="427">
        <v>0</v>
      </c>
      <c r="K303" s="427">
        <v>0</v>
      </c>
      <c r="L303" s="427">
        <v>0</v>
      </c>
      <c r="M303" s="427">
        <v>0</v>
      </c>
      <c r="N303" s="427">
        <v>0</v>
      </c>
      <c r="O303" s="427">
        <v>0</v>
      </c>
      <c r="P303" s="427">
        <v>0</v>
      </c>
      <c r="Q303" s="427">
        <v>0</v>
      </c>
      <c r="R303" s="427">
        <v>0</v>
      </c>
      <c r="S303" s="427">
        <v>0</v>
      </c>
      <c r="T303" s="427">
        <v>0</v>
      </c>
      <c r="U303" s="427">
        <f t="shared" si="29"/>
        <v>282.27726000000001</v>
      </c>
    </row>
    <row r="304" spans="1:21" s="427" customFormat="1">
      <c r="A304" s="427" t="str">
        <f t="shared" si="27"/>
        <v>KY</v>
      </c>
      <c r="B304" s="427" t="str">
        <f t="shared" si="26"/>
        <v xml:space="preserve"> A</v>
      </c>
      <c r="C304" s="427" t="str">
        <f t="shared" si="28"/>
        <v/>
      </c>
      <c r="E304" s="427" t="str">
        <f t="shared" ref="E304:E370" si="32">MID($F304,8,3)</f>
        <v>lan</v>
      </c>
      <c r="F304" s="758" t="s">
        <v>1829</v>
      </c>
      <c r="G304" s="426" t="str">
        <f t="shared" si="30"/>
        <v/>
      </c>
      <c r="H304" s="427">
        <f t="shared" ref="H304:N304" si="33">SUM(H290:H303)</f>
        <v>0</v>
      </c>
      <c r="I304" s="427">
        <f t="shared" si="33"/>
        <v>0</v>
      </c>
      <c r="J304" s="427">
        <f t="shared" si="33"/>
        <v>0</v>
      </c>
      <c r="K304" s="427">
        <f t="shared" si="33"/>
        <v>-4704.1951899999895</v>
      </c>
      <c r="L304" s="427">
        <f t="shared" si="33"/>
        <v>8435.0625199999995</v>
      </c>
      <c r="M304" s="427">
        <f t="shared" si="33"/>
        <v>-1.1368683772161603E-13</v>
      </c>
      <c r="N304" s="427">
        <f t="shared" si="33"/>
        <v>-8355.7003000000004</v>
      </c>
      <c r="O304" s="427">
        <v>0</v>
      </c>
      <c r="P304" s="427">
        <v>0</v>
      </c>
      <c r="Q304" s="427">
        <v>0</v>
      </c>
      <c r="R304" s="427">
        <v>0</v>
      </c>
      <c r="S304" s="427">
        <v>0</v>
      </c>
      <c r="T304" s="427">
        <v>0</v>
      </c>
      <c r="U304" s="427">
        <f t="shared" si="29"/>
        <v>-4624.8329699999904</v>
      </c>
    </row>
    <row r="305" spans="1:21" s="427" customFormat="1">
      <c r="A305" s="427" t="str">
        <f t="shared" si="27"/>
        <v/>
      </c>
      <c r="B305" s="427" t="str">
        <f t="shared" si="26"/>
        <v/>
      </c>
      <c r="C305" s="427" t="str">
        <f t="shared" si="28"/>
        <v/>
      </c>
      <c r="E305" s="427" t="str">
        <f t="shared" si="32"/>
        <v/>
      </c>
      <c r="F305" s="758"/>
      <c r="G305" s="426" t="str">
        <f t="shared" si="30"/>
        <v/>
      </c>
      <c r="U305" s="427">
        <f t="shared" si="29"/>
        <v>0</v>
      </c>
    </row>
    <row r="306" spans="1:21" s="427" customFormat="1">
      <c r="A306" s="427" t="str">
        <f t="shared" si="27"/>
        <v>in</v>
      </c>
      <c r="B306" s="427" t="str">
        <f t="shared" si="26"/>
        <v xml:space="preserve">m </v>
      </c>
      <c r="C306" s="427" t="str">
        <f t="shared" si="28"/>
        <v/>
      </c>
      <c r="E306" s="427" t="str">
        <f t="shared" si="32"/>
        <v>Acc</v>
      </c>
      <c r="F306" s="759" t="s">
        <v>1831</v>
      </c>
      <c r="G306" s="426" t="str">
        <f t="shared" si="30"/>
        <v/>
      </c>
    </row>
    <row r="307" spans="1:21" s="427" customFormat="1">
      <c r="A307" s="427" t="str">
        <f t="shared" si="27"/>
        <v>KU</v>
      </c>
      <c r="B307" s="427" t="str">
        <f t="shared" si="26"/>
        <v>KY</v>
      </c>
      <c r="C307" s="427" t="str">
        <f t="shared" si="28"/>
        <v>E</v>
      </c>
      <c r="D307" s="427" t="s">
        <v>3422</v>
      </c>
      <c r="E307" s="427" t="str">
        <f t="shared" si="32"/>
        <v>302</v>
      </c>
      <c r="F307" s="756" t="s">
        <v>1725</v>
      </c>
      <c r="G307" s="426" t="str">
        <f t="shared" si="30"/>
        <v/>
      </c>
      <c r="H307" s="427">
        <v>69.345470000000006</v>
      </c>
      <c r="I307" s="427">
        <v>69.514619999999994</v>
      </c>
      <c r="J307" s="427">
        <v>69.683769999999996</v>
      </c>
      <c r="K307" s="427">
        <v>69.852919999999997</v>
      </c>
      <c r="L307" s="427">
        <v>70.022069999999999</v>
      </c>
      <c r="M307" s="427">
        <v>70.191220000000001</v>
      </c>
      <c r="N307" s="427">
        <v>70.360370000000003</v>
      </c>
      <c r="O307" s="427">
        <v>70.529520000000005</v>
      </c>
      <c r="P307" s="427">
        <v>70.698670000000007</v>
      </c>
      <c r="Q307" s="427">
        <v>70.867819999999995</v>
      </c>
      <c r="R307" s="427">
        <v>71.036969999999997</v>
      </c>
      <c r="S307" s="427">
        <v>71.206119999999999</v>
      </c>
      <c r="T307" s="427">
        <v>71.37527</v>
      </c>
    </row>
    <row r="308" spans="1:21" s="427" customFormat="1">
      <c r="A308" s="427" t="str">
        <f t="shared" si="27"/>
        <v>KU</v>
      </c>
      <c r="B308" s="427" t="str">
        <f t="shared" si="26"/>
        <v>KY</v>
      </c>
      <c r="C308" s="427" t="str">
        <f t="shared" si="28"/>
        <v>E</v>
      </c>
      <c r="D308" s="427" t="s">
        <v>3422</v>
      </c>
      <c r="E308" s="427" t="str">
        <f t="shared" si="32"/>
        <v>303</v>
      </c>
      <c r="F308" s="756" t="s">
        <v>1726</v>
      </c>
      <c r="G308" s="426" t="str">
        <f t="shared" si="30"/>
        <v/>
      </c>
      <c r="H308" s="427">
        <v>22964.374250000001</v>
      </c>
      <c r="I308" s="427">
        <v>23886.955539999999</v>
      </c>
      <c r="J308" s="427">
        <v>24135.689040000001</v>
      </c>
      <c r="K308" s="427">
        <v>25220.136579999999</v>
      </c>
      <c r="L308" s="427">
        <v>25937.096750000001</v>
      </c>
      <c r="M308" s="427">
        <v>26548.1659</v>
      </c>
      <c r="N308" s="427">
        <v>26497.773789999999</v>
      </c>
      <c r="O308" s="427">
        <v>26366.4228899999</v>
      </c>
      <c r="P308" s="427">
        <v>26978.0933999999</v>
      </c>
      <c r="Q308" s="427">
        <v>26943.165279999899</v>
      </c>
      <c r="R308" s="427">
        <v>26828.236209999901</v>
      </c>
      <c r="S308" s="427">
        <v>28053.180279999899</v>
      </c>
      <c r="T308" s="427">
        <v>29337.581819999901</v>
      </c>
    </row>
    <row r="309" spans="1:21" s="427" customFormat="1">
      <c r="A309" s="427" t="str">
        <f t="shared" si="27"/>
        <v>KU</v>
      </c>
      <c r="B309" s="427" t="str">
        <f t="shared" si="26"/>
        <v>KY</v>
      </c>
      <c r="C309" s="427" t="str">
        <f t="shared" si="28"/>
        <v>E</v>
      </c>
      <c r="D309" s="427" t="s">
        <v>3422</v>
      </c>
      <c r="E309" s="427" t="str">
        <f t="shared" si="32"/>
        <v>303</v>
      </c>
      <c r="F309" s="756" t="s">
        <v>1727</v>
      </c>
      <c r="G309" s="426" t="str">
        <f t="shared" si="30"/>
        <v/>
      </c>
      <c r="H309" s="427">
        <v>35670.939509999997</v>
      </c>
      <c r="I309" s="427">
        <v>36136.167260000002</v>
      </c>
      <c r="J309" s="427">
        <v>36601.39501</v>
      </c>
      <c r="K309" s="427">
        <v>37066.622759999998</v>
      </c>
      <c r="L309" s="427">
        <v>37531.850509999997</v>
      </c>
      <c r="M309" s="427">
        <v>37997.078260000002</v>
      </c>
      <c r="N309" s="427">
        <v>38462.30601</v>
      </c>
      <c r="O309" s="427">
        <v>38927.533759999998</v>
      </c>
      <c r="P309" s="427">
        <v>39392.761509999997</v>
      </c>
      <c r="Q309" s="427">
        <v>39859.318829999997</v>
      </c>
      <c r="R309" s="427">
        <v>40327.2559599999</v>
      </c>
      <c r="S309" s="427">
        <v>40795.272349999897</v>
      </c>
      <c r="T309" s="427">
        <v>41263.877699999903</v>
      </c>
    </row>
    <row r="310" spans="1:21" s="427" customFormat="1">
      <c r="A310" s="427" t="str">
        <f t="shared" si="27"/>
        <v>KU</v>
      </c>
      <c r="B310" s="427" t="str">
        <f t="shared" si="26"/>
        <v>KY</v>
      </c>
      <c r="C310" s="427" t="str">
        <f t="shared" si="28"/>
        <v>E</v>
      </c>
      <c r="D310" s="427" t="s">
        <v>3422</v>
      </c>
      <c r="E310" s="427" t="str">
        <f t="shared" si="32"/>
        <v>311</v>
      </c>
      <c r="F310" s="756" t="s">
        <v>1731</v>
      </c>
      <c r="G310" s="426" t="str">
        <f t="shared" si="30"/>
        <v>ECR</v>
      </c>
      <c r="H310" s="427">
        <v>280.31319999999999</v>
      </c>
      <c r="I310" s="427">
        <v>301.98405999999898</v>
      </c>
      <c r="J310" s="427">
        <v>323.65492</v>
      </c>
      <c r="K310" s="427">
        <v>345.32577999999899</v>
      </c>
      <c r="L310" s="427">
        <v>366.99663999999899</v>
      </c>
      <c r="M310" s="427">
        <v>388.667499999999</v>
      </c>
      <c r="N310" s="427">
        <v>410.338359999999</v>
      </c>
      <c r="O310" s="427">
        <v>432.00922704247</v>
      </c>
      <c r="P310" s="427">
        <v>453.68009408493998</v>
      </c>
      <c r="Q310" s="427">
        <v>475.35096112741002</v>
      </c>
      <c r="R310" s="427">
        <v>497.02182816988</v>
      </c>
      <c r="S310" s="427">
        <v>518.69269521235003</v>
      </c>
      <c r="T310" s="427">
        <v>540.36356225481995</v>
      </c>
    </row>
    <row r="311" spans="1:21" s="427" customFormat="1">
      <c r="A311" s="427" t="str">
        <f t="shared" si="27"/>
        <v>KU</v>
      </c>
      <c r="B311" s="427" t="str">
        <f t="shared" si="26"/>
        <v>KY</v>
      </c>
      <c r="C311" s="427" t="str">
        <f t="shared" si="28"/>
        <v>E</v>
      </c>
      <c r="D311" s="427" t="s">
        <v>3422</v>
      </c>
      <c r="E311" s="427" t="str">
        <f t="shared" si="32"/>
        <v>311</v>
      </c>
      <c r="F311" s="756" t="s">
        <v>2193</v>
      </c>
      <c r="G311" s="426" t="str">
        <f t="shared" si="30"/>
        <v>ECR</v>
      </c>
      <c r="H311" s="427">
        <v>369.03888999999998</v>
      </c>
      <c r="I311" s="427">
        <v>387.95927</v>
      </c>
      <c r="J311" s="427">
        <v>406.87965000000003</v>
      </c>
      <c r="K311" s="427">
        <v>425.80002999999999</v>
      </c>
      <c r="L311" s="427">
        <v>444.72041000000002</v>
      </c>
      <c r="M311" s="427">
        <v>463.64078999999998</v>
      </c>
      <c r="N311" s="427">
        <v>482.56117</v>
      </c>
      <c r="O311" s="427">
        <v>501.48155435149999</v>
      </c>
      <c r="P311" s="427">
        <v>520.40193870300004</v>
      </c>
      <c r="Q311" s="427">
        <v>539.32232305449998</v>
      </c>
      <c r="R311" s="427">
        <v>558.242707405999</v>
      </c>
      <c r="S311" s="427">
        <v>577.16309175749905</v>
      </c>
      <c r="T311" s="427">
        <v>596.08347610899898</v>
      </c>
    </row>
    <row r="312" spans="1:21" s="427" customFormat="1">
      <c r="A312" s="427" t="str">
        <f t="shared" si="27"/>
        <v>KU</v>
      </c>
      <c r="B312" s="427" t="str">
        <f t="shared" si="26"/>
        <v>KY</v>
      </c>
      <c r="C312" s="427" t="str">
        <f t="shared" si="28"/>
        <v>E</v>
      </c>
      <c r="D312" s="427" t="s">
        <v>3422</v>
      </c>
      <c r="E312" s="427" t="str">
        <f t="shared" si="32"/>
        <v>311</v>
      </c>
      <c r="F312" s="756" t="s">
        <v>1732</v>
      </c>
      <c r="G312" s="426" t="str">
        <f t="shared" si="30"/>
        <v/>
      </c>
      <c r="H312" s="427">
        <v>180398.38271000001</v>
      </c>
      <c r="I312" s="427">
        <v>180938.56254000001</v>
      </c>
      <c r="J312" s="427">
        <v>181474.43002999999</v>
      </c>
      <c r="K312" s="427">
        <v>182028.60553999999</v>
      </c>
      <c r="L312" s="427">
        <v>182582.97868999999</v>
      </c>
      <c r="M312" s="427">
        <v>187464.7934</v>
      </c>
      <c r="N312" s="427">
        <v>188010.73045999999</v>
      </c>
      <c r="O312" s="427">
        <v>188363.168460885</v>
      </c>
      <c r="P312" s="427">
        <v>188891.36140468501</v>
      </c>
      <c r="Q312" s="427">
        <v>189449.139224685</v>
      </c>
      <c r="R312" s="427">
        <v>189980.58890807701</v>
      </c>
      <c r="S312" s="427">
        <v>190539.67118807699</v>
      </c>
      <c r="T312" s="427">
        <v>191055.05119789499</v>
      </c>
    </row>
    <row r="313" spans="1:21" s="427" customFormat="1">
      <c r="A313" s="427" t="str">
        <f t="shared" si="27"/>
        <v>KU</v>
      </c>
      <c r="B313" s="427" t="str">
        <f t="shared" si="26"/>
        <v>KY</v>
      </c>
      <c r="C313" s="427" t="str">
        <f t="shared" si="28"/>
        <v>E</v>
      </c>
      <c r="D313" s="427" t="s">
        <v>3422</v>
      </c>
      <c r="E313" s="427" t="str">
        <f t="shared" si="32"/>
        <v>312</v>
      </c>
      <c r="F313" s="756" t="s">
        <v>1733</v>
      </c>
      <c r="G313" s="426" t="str">
        <f t="shared" si="30"/>
        <v/>
      </c>
      <c r="H313" s="427">
        <v>1119310.1274900001</v>
      </c>
      <c r="I313" s="427">
        <v>1125501.8794499999</v>
      </c>
      <c r="J313" s="427">
        <v>1126670.0556000001</v>
      </c>
      <c r="K313" s="427">
        <v>1133340.9315899999</v>
      </c>
      <c r="L313" s="427">
        <v>1140017.2543599999</v>
      </c>
      <c r="M313" s="427">
        <v>1144608.3824499999</v>
      </c>
      <c r="N313" s="427">
        <v>1149454.23826</v>
      </c>
      <c r="O313" s="427">
        <v>1153103.57629136</v>
      </c>
      <c r="P313" s="427">
        <v>1159720.29687303</v>
      </c>
      <c r="Q313" s="427">
        <v>1166414.09852537</v>
      </c>
      <c r="R313" s="427">
        <v>1172825.15676181</v>
      </c>
      <c r="S313" s="427">
        <v>1177317.95989413</v>
      </c>
      <c r="T313" s="427">
        <v>1182292.79286247</v>
      </c>
    </row>
    <row r="314" spans="1:21" s="427" customFormat="1">
      <c r="A314" s="427" t="str">
        <f t="shared" si="27"/>
        <v>KU</v>
      </c>
      <c r="B314" s="427" t="str">
        <f t="shared" si="26"/>
        <v>KY</v>
      </c>
      <c r="C314" s="427" t="str">
        <f t="shared" si="28"/>
        <v>E</v>
      </c>
      <c r="D314" s="427" t="s">
        <v>3422</v>
      </c>
      <c r="E314" s="427" t="str">
        <f t="shared" si="32"/>
        <v>312</v>
      </c>
      <c r="F314" s="428" t="s">
        <v>1734</v>
      </c>
      <c r="G314" s="426" t="str">
        <f t="shared" si="30"/>
        <v>ECR</v>
      </c>
      <c r="H314" s="427">
        <v>38088.166089999904</v>
      </c>
      <c r="I314" s="427">
        <v>39052.059050000003</v>
      </c>
      <c r="J314" s="427">
        <v>40016.022970000005</v>
      </c>
      <c r="K314" s="427">
        <v>40979.98689</v>
      </c>
      <c r="L314" s="427">
        <v>41943.950810000002</v>
      </c>
      <c r="M314" s="427">
        <v>42907.914730000004</v>
      </c>
      <c r="N314" s="427">
        <v>43871.878650000006</v>
      </c>
      <c r="O314" s="427">
        <v>44838.570275043101</v>
      </c>
      <c r="P314" s="427">
        <v>45840.418432447099</v>
      </c>
      <c r="Q314" s="427">
        <v>46902.745678064101</v>
      </c>
      <c r="R314" s="427">
        <v>47994.880613699104</v>
      </c>
      <c r="S314" s="427">
        <v>49090.386657380099</v>
      </c>
      <c r="T314" s="427">
        <v>50188.922075662005</v>
      </c>
    </row>
    <row r="315" spans="1:21" s="427" customFormat="1">
      <c r="A315" s="427" t="str">
        <f t="shared" si="27"/>
        <v>KU</v>
      </c>
      <c r="B315" s="427" t="str">
        <f t="shared" si="26"/>
        <v>KY</v>
      </c>
      <c r="C315" s="427" t="str">
        <f t="shared" si="28"/>
        <v>E</v>
      </c>
      <c r="D315" s="427" t="s">
        <v>3422</v>
      </c>
      <c r="E315" s="427" t="str">
        <f t="shared" si="32"/>
        <v>312</v>
      </c>
      <c r="F315" s="428" t="s">
        <v>1735</v>
      </c>
      <c r="G315" s="426" t="str">
        <f t="shared" si="30"/>
        <v>ECR</v>
      </c>
      <c r="H315" s="427">
        <v>46117.700039999901</v>
      </c>
      <c r="I315" s="427">
        <v>47779.107069999998</v>
      </c>
      <c r="J315" s="427">
        <v>49440.5141</v>
      </c>
      <c r="K315" s="427">
        <v>51101.921130000002</v>
      </c>
      <c r="L315" s="427">
        <v>52763.325169999996</v>
      </c>
      <c r="M315" s="427">
        <v>54424.726219999997</v>
      </c>
      <c r="N315" s="427">
        <v>56091.221230000003</v>
      </c>
      <c r="O315" s="427">
        <v>57765.563076373001</v>
      </c>
      <c r="P315" s="427">
        <v>59442.657795020998</v>
      </c>
      <c r="Q315" s="427">
        <v>61119.752513668995</v>
      </c>
      <c r="R315" s="427">
        <v>62796.847232316999</v>
      </c>
      <c r="S315" s="427">
        <v>64473.941950964996</v>
      </c>
      <c r="T315" s="427">
        <v>66151.036669613008</v>
      </c>
    </row>
    <row r="316" spans="1:21" s="427" customFormat="1">
      <c r="A316" s="427" t="str">
        <f t="shared" si="27"/>
        <v>KU</v>
      </c>
      <c r="B316" s="427" t="str">
        <f t="shared" si="26"/>
        <v>KY</v>
      </c>
      <c r="C316" s="427" t="str">
        <f t="shared" si="28"/>
        <v>E</v>
      </c>
      <c r="D316" s="427" t="s">
        <v>3422</v>
      </c>
      <c r="E316" s="427" t="str">
        <f t="shared" si="32"/>
        <v>312</v>
      </c>
      <c r="F316" s="428" t="s">
        <v>2559</v>
      </c>
      <c r="G316" s="426" t="str">
        <f t="shared" si="30"/>
        <v/>
      </c>
      <c r="H316" s="427">
        <v>-6.6878099999999998</v>
      </c>
      <c r="I316" s="427">
        <v>-6.6878099999999998</v>
      </c>
      <c r="J316" s="427">
        <v>-6.6878099999999998</v>
      </c>
      <c r="K316" s="427">
        <v>-6.6878099999999998</v>
      </c>
      <c r="L316" s="427">
        <v>-6.6878099999999998</v>
      </c>
      <c r="M316" s="427">
        <v>-6.6878099999999998</v>
      </c>
      <c r="N316" s="427">
        <v>-6.6878099999999998</v>
      </c>
      <c r="O316" s="427">
        <v>-36.445779999999999</v>
      </c>
      <c r="P316" s="427">
        <v>-36.445779999999999</v>
      </c>
      <c r="Q316" s="427">
        <v>-36.445779999999999</v>
      </c>
      <c r="R316" s="427">
        <v>-36.445779999999999</v>
      </c>
      <c r="S316" s="427">
        <v>-36.445779999999999</v>
      </c>
      <c r="T316" s="427">
        <v>-36.445779999999999</v>
      </c>
    </row>
    <row r="317" spans="1:21" s="427" customFormat="1">
      <c r="A317" s="427" t="str">
        <f t="shared" si="27"/>
        <v>KU</v>
      </c>
      <c r="B317" s="427" t="str">
        <f t="shared" si="26"/>
        <v>KY</v>
      </c>
      <c r="C317" s="427" t="str">
        <f t="shared" si="28"/>
        <v>E</v>
      </c>
      <c r="D317" s="427" t="s">
        <v>3422</v>
      </c>
      <c r="E317" s="427" t="str">
        <f t="shared" si="32"/>
        <v>312</v>
      </c>
      <c r="F317" s="428" t="s">
        <v>2560</v>
      </c>
      <c r="G317" s="426" t="str">
        <f t="shared" si="30"/>
        <v/>
      </c>
      <c r="O317" s="427">
        <v>-12031.50655</v>
      </c>
      <c r="P317" s="427">
        <v>-12031.50655</v>
      </c>
      <c r="Q317" s="427">
        <v>-12031.50655</v>
      </c>
      <c r="R317" s="427">
        <v>-12031.50655</v>
      </c>
      <c r="S317" s="427">
        <v>-12031.50655</v>
      </c>
      <c r="T317" s="427">
        <v>-12031.50655</v>
      </c>
    </row>
    <row r="318" spans="1:21" s="427" customFormat="1">
      <c r="A318" s="427" t="str">
        <f t="shared" si="27"/>
        <v>KU</v>
      </c>
      <c r="B318" s="427" t="str">
        <f t="shared" si="26"/>
        <v>KY</v>
      </c>
      <c r="C318" s="427" t="str">
        <f t="shared" si="28"/>
        <v>E</v>
      </c>
      <c r="D318" s="427" t="s">
        <v>3422</v>
      </c>
      <c r="E318" s="427" t="str">
        <f t="shared" si="32"/>
        <v>312</v>
      </c>
      <c r="F318" s="756" t="s">
        <v>2194</v>
      </c>
      <c r="G318" s="426" t="str">
        <f t="shared" si="30"/>
        <v>ECR</v>
      </c>
      <c r="H318" s="427">
        <v>62.120060000000002</v>
      </c>
      <c r="I318" s="427">
        <v>77.541030000000006</v>
      </c>
      <c r="J318" s="427">
        <v>93.853309999999993</v>
      </c>
      <c r="K318" s="427">
        <v>110.16558999999999</v>
      </c>
      <c r="L318" s="427">
        <v>126.47787</v>
      </c>
      <c r="M318" s="427">
        <v>142.79015000000001</v>
      </c>
      <c r="N318" s="427">
        <v>159.10243</v>
      </c>
      <c r="O318" s="427">
        <v>175.599685185157</v>
      </c>
      <c r="P318" s="427">
        <v>192.28191491761399</v>
      </c>
      <c r="Q318" s="427">
        <v>208.96414465007101</v>
      </c>
      <c r="R318" s="427">
        <v>225.64637438252799</v>
      </c>
      <c r="S318" s="427">
        <v>242.32860411498501</v>
      </c>
      <c r="T318" s="427">
        <v>259.01083384744197</v>
      </c>
    </row>
    <row r="319" spans="1:21" s="427" customFormat="1">
      <c r="A319" s="427" t="str">
        <f t="shared" si="27"/>
        <v>KU</v>
      </c>
      <c r="B319" s="427" t="str">
        <f t="shared" si="26"/>
        <v>KY</v>
      </c>
      <c r="C319" s="427" t="str">
        <f t="shared" si="28"/>
        <v>E</v>
      </c>
      <c r="D319" s="427" t="s">
        <v>3422</v>
      </c>
      <c r="E319" s="427" t="str">
        <f t="shared" si="32"/>
        <v>314</v>
      </c>
      <c r="F319" s="756" t="s">
        <v>1737</v>
      </c>
      <c r="G319" s="426" t="str">
        <f t="shared" si="30"/>
        <v/>
      </c>
      <c r="H319" s="427">
        <v>167489.484839999</v>
      </c>
      <c r="I319" s="427">
        <v>168099.25424999901</v>
      </c>
      <c r="J319" s="427">
        <v>168724.39020999899</v>
      </c>
      <c r="K319" s="427">
        <v>169349.87607999999</v>
      </c>
      <c r="L319" s="427">
        <v>169975.78907999999</v>
      </c>
      <c r="M319" s="427">
        <v>169298.44167999999</v>
      </c>
      <c r="N319" s="427">
        <v>169610.38438</v>
      </c>
      <c r="O319" s="427">
        <v>169977.61361999999</v>
      </c>
      <c r="P319" s="427">
        <v>170575.84369360801</v>
      </c>
      <c r="Q319" s="427">
        <v>171212.58631360799</v>
      </c>
      <c r="R319" s="427">
        <v>171844.88020985501</v>
      </c>
      <c r="S319" s="427">
        <v>165406.43012052</v>
      </c>
      <c r="T319" s="427">
        <v>166056.30461051999</v>
      </c>
    </row>
    <row r="320" spans="1:21" s="427" customFormat="1">
      <c r="A320" s="427" t="str">
        <f t="shared" si="27"/>
        <v>KU</v>
      </c>
      <c r="B320" s="427" t="str">
        <f t="shared" si="26"/>
        <v>KY</v>
      </c>
      <c r="C320" s="427" t="str">
        <f t="shared" si="28"/>
        <v>E</v>
      </c>
      <c r="D320" s="427" t="s">
        <v>3422</v>
      </c>
      <c r="E320" s="427" t="str">
        <f t="shared" si="32"/>
        <v>315</v>
      </c>
      <c r="F320" s="756" t="s">
        <v>1738</v>
      </c>
      <c r="G320" s="426" t="str">
        <f t="shared" si="30"/>
        <v/>
      </c>
      <c r="H320" s="427">
        <v>109440.378759999</v>
      </c>
      <c r="I320" s="427">
        <v>109894.66389</v>
      </c>
      <c r="J320" s="427">
        <v>110348.97902</v>
      </c>
      <c r="K320" s="427">
        <v>110803.29415</v>
      </c>
      <c r="L320" s="427">
        <v>111257.60928</v>
      </c>
      <c r="M320" s="427">
        <v>110870.66168999999</v>
      </c>
      <c r="N320" s="427">
        <v>111319.49956</v>
      </c>
      <c r="O320" s="427">
        <v>111731.81945</v>
      </c>
      <c r="P320" s="427">
        <v>112168.19554457899</v>
      </c>
      <c r="Q320" s="427">
        <v>112579.75527782099</v>
      </c>
      <c r="R320" s="427">
        <v>113030.82972782099</v>
      </c>
      <c r="S320" s="427">
        <v>113466.718884407</v>
      </c>
      <c r="T320" s="427">
        <v>113923.485734407</v>
      </c>
    </row>
    <row r="321" spans="1:20" s="427" customFormat="1">
      <c r="A321" s="427" t="str">
        <f t="shared" si="27"/>
        <v>KU</v>
      </c>
      <c r="B321" s="427" t="str">
        <f t="shared" si="26"/>
        <v>KY</v>
      </c>
      <c r="C321" s="427" t="str">
        <f t="shared" si="28"/>
        <v>E</v>
      </c>
      <c r="D321" s="427" t="s">
        <v>3422</v>
      </c>
      <c r="E321" s="427" t="str">
        <f t="shared" si="32"/>
        <v>315</v>
      </c>
      <c r="F321" s="428" t="s">
        <v>2195</v>
      </c>
      <c r="G321" s="426" t="str">
        <f t="shared" si="30"/>
        <v>ECR</v>
      </c>
      <c r="H321" s="427">
        <v>111.85887999999998</v>
      </c>
      <c r="I321" s="427">
        <v>142.38401999999999</v>
      </c>
      <c r="J321" s="427">
        <v>172.90916000000001</v>
      </c>
      <c r="K321" s="427">
        <v>203.43430000000001</v>
      </c>
      <c r="L321" s="427">
        <v>233.95944</v>
      </c>
      <c r="M321" s="427">
        <v>264.48457999999999</v>
      </c>
      <c r="N321" s="427">
        <v>295.00971999999996</v>
      </c>
      <c r="O321" s="427">
        <v>325.53485731802999</v>
      </c>
      <c r="P321" s="427">
        <v>356.05999463605997</v>
      </c>
      <c r="Q321" s="427">
        <v>386.58513195408995</v>
      </c>
      <c r="R321" s="427">
        <v>417.11026927211998</v>
      </c>
      <c r="S321" s="427">
        <v>447.63540659014996</v>
      </c>
      <c r="T321" s="427">
        <v>478.16054390817999</v>
      </c>
    </row>
    <row r="322" spans="1:20" s="427" customFormat="1">
      <c r="A322" s="427" t="str">
        <f t="shared" si="27"/>
        <v>KU</v>
      </c>
      <c r="B322" s="427" t="str">
        <f t="shared" si="26"/>
        <v>KY</v>
      </c>
      <c r="C322" s="427" t="str">
        <f t="shared" si="28"/>
        <v>E</v>
      </c>
      <c r="D322" s="427" t="s">
        <v>3422</v>
      </c>
      <c r="E322" s="427" t="str">
        <f t="shared" si="32"/>
        <v>315</v>
      </c>
      <c r="F322" s="428" t="s">
        <v>2561</v>
      </c>
      <c r="G322" s="426" t="str">
        <f t="shared" si="30"/>
        <v/>
      </c>
      <c r="H322" s="427">
        <v>-2.19457999999999</v>
      </c>
      <c r="I322" s="427">
        <v>-2.19457999999999</v>
      </c>
      <c r="J322" s="427">
        <v>-2.19457999999999</v>
      </c>
      <c r="K322" s="427">
        <v>-2.19457999999999</v>
      </c>
      <c r="L322" s="427">
        <v>-2.19457999999999</v>
      </c>
      <c r="M322" s="427">
        <v>-2.19457999999999</v>
      </c>
      <c r="N322" s="427">
        <v>-2.19457999999999</v>
      </c>
      <c r="O322" s="427">
        <v>-2.19457999999999</v>
      </c>
      <c r="P322" s="427">
        <v>-2.19457999999999</v>
      </c>
      <c r="Q322" s="427">
        <v>-2.19457999999999</v>
      </c>
      <c r="R322" s="427">
        <v>-2.19457999999999</v>
      </c>
      <c r="S322" s="427">
        <v>-2.19457999999999</v>
      </c>
      <c r="T322" s="427">
        <v>-2.19457999999999</v>
      </c>
    </row>
    <row r="323" spans="1:20" s="427" customFormat="1">
      <c r="A323" s="427" t="str">
        <f t="shared" si="27"/>
        <v>KU</v>
      </c>
      <c r="B323" s="427" t="str">
        <f t="shared" si="26"/>
        <v>KY</v>
      </c>
      <c r="C323" s="427" t="str">
        <f t="shared" si="28"/>
        <v>E</v>
      </c>
      <c r="D323" s="427" t="s">
        <v>3422</v>
      </c>
      <c r="E323" s="427" t="str">
        <f t="shared" si="32"/>
        <v>315</v>
      </c>
      <c r="F323" s="756" t="s">
        <v>1739</v>
      </c>
      <c r="G323" s="426" t="str">
        <f t="shared" si="30"/>
        <v>ECR</v>
      </c>
      <c r="H323" s="427">
        <v>324.99011000000002</v>
      </c>
      <c r="I323" s="427">
        <v>340.83891999999997</v>
      </c>
      <c r="J323" s="427">
        <v>356.68772999999999</v>
      </c>
      <c r="K323" s="427">
        <v>372.53654</v>
      </c>
      <c r="L323" s="427">
        <v>388.38535000000002</v>
      </c>
      <c r="M323" s="427">
        <v>404.23415999999997</v>
      </c>
      <c r="N323" s="427">
        <v>420.10007000000002</v>
      </c>
      <c r="O323" s="427">
        <v>435.98307908520002</v>
      </c>
      <c r="P323" s="427">
        <v>451.86608817040002</v>
      </c>
      <c r="Q323" s="427">
        <v>467.74909725560002</v>
      </c>
      <c r="R323" s="427">
        <v>483.63210634080002</v>
      </c>
      <c r="S323" s="427">
        <v>499.51511542600002</v>
      </c>
      <c r="T323" s="427">
        <v>515.39812451119997</v>
      </c>
    </row>
    <row r="324" spans="1:20" s="427" customFormat="1">
      <c r="A324" s="427" t="str">
        <f t="shared" si="27"/>
        <v>KU</v>
      </c>
      <c r="B324" s="427" t="str">
        <f t="shared" si="26"/>
        <v>KY</v>
      </c>
      <c r="C324" s="427" t="str">
        <f t="shared" si="28"/>
        <v>E</v>
      </c>
      <c r="D324" s="427" t="s">
        <v>3422</v>
      </c>
      <c r="E324" s="427" t="str">
        <f t="shared" si="32"/>
        <v>316</v>
      </c>
      <c r="F324" s="756" t="s">
        <v>2196</v>
      </c>
      <c r="G324" s="426" t="str">
        <f t="shared" si="30"/>
        <v>ECR</v>
      </c>
      <c r="H324" s="427">
        <v>25.17436</v>
      </c>
      <c r="I324" s="427">
        <v>25.999289999999998</v>
      </c>
      <c r="J324" s="427">
        <v>26.82422</v>
      </c>
      <c r="K324" s="427">
        <v>27.649149999999999</v>
      </c>
      <c r="L324" s="427">
        <v>28.474080000000001</v>
      </c>
      <c r="M324" s="427">
        <v>29.299009999999999</v>
      </c>
      <c r="N324" s="427">
        <v>30.123940000000001</v>
      </c>
      <c r="O324" s="427">
        <v>30.948863379999999</v>
      </c>
      <c r="P324" s="427">
        <v>31.77378676</v>
      </c>
      <c r="Q324" s="427">
        <v>32.598710140000001</v>
      </c>
      <c r="R324" s="427">
        <v>33.423633520000003</v>
      </c>
      <c r="S324" s="427">
        <v>34.248556899999997</v>
      </c>
      <c r="T324" s="427">
        <v>35.073480279999998</v>
      </c>
    </row>
    <row r="325" spans="1:20" s="427" customFormat="1">
      <c r="A325" s="427" t="str">
        <f t="shared" si="27"/>
        <v>KU</v>
      </c>
      <c r="B325" s="427" t="str">
        <f t="shared" si="26"/>
        <v>KY</v>
      </c>
      <c r="C325" s="427" t="str">
        <f t="shared" si="28"/>
        <v>E</v>
      </c>
      <c r="D325" s="427" t="s">
        <v>3422</v>
      </c>
      <c r="E325" s="427" t="str">
        <f t="shared" si="32"/>
        <v>316</v>
      </c>
      <c r="F325" s="756" t="s">
        <v>1740</v>
      </c>
      <c r="G325" s="426" t="str">
        <f t="shared" si="30"/>
        <v/>
      </c>
      <c r="H325" s="427">
        <v>16575.124199999998</v>
      </c>
      <c r="I325" s="427">
        <v>16644.18506</v>
      </c>
      <c r="J325" s="427">
        <v>16713.383969999999</v>
      </c>
      <c r="K325" s="427">
        <v>16782.431479999999</v>
      </c>
      <c r="L325" s="427">
        <v>16851.611649999999</v>
      </c>
      <c r="M325" s="427">
        <v>16630.30832</v>
      </c>
      <c r="N325" s="427">
        <v>16661.0120399999</v>
      </c>
      <c r="O325" s="427">
        <v>16719.527154999902</v>
      </c>
      <c r="P325" s="427">
        <v>16790.2235699999</v>
      </c>
      <c r="Q325" s="427">
        <v>16861.826079999901</v>
      </c>
      <c r="R325" s="427">
        <v>16934.0007899999</v>
      </c>
      <c r="S325" s="427">
        <v>17006.681299999898</v>
      </c>
      <c r="T325" s="427">
        <v>17077.804364402898</v>
      </c>
    </row>
    <row r="326" spans="1:20" s="427" customFormat="1">
      <c r="A326" s="427" t="str">
        <f t="shared" si="27"/>
        <v>KU</v>
      </c>
      <c r="B326" s="427" t="str">
        <f t="shared" si="26"/>
        <v>KY</v>
      </c>
      <c r="C326" s="427" t="str">
        <f t="shared" si="28"/>
        <v>E</v>
      </c>
      <c r="D326" s="427" t="s">
        <v>3422</v>
      </c>
      <c r="E326" s="427" t="str">
        <f t="shared" si="32"/>
        <v>317</v>
      </c>
      <c r="F326" s="756" t="s">
        <v>1741</v>
      </c>
      <c r="G326" s="426" t="str">
        <f t="shared" si="30"/>
        <v>ARO</v>
      </c>
      <c r="H326" s="427">
        <v>6941.4481799999903</v>
      </c>
      <c r="I326" s="427">
        <v>7397.8747100000001</v>
      </c>
      <c r="J326" s="427">
        <v>7854.3012699999999</v>
      </c>
      <c r="K326" s="427">
        <v>8308.4533599999995</v>
      </c>
      <c r="L326" s="427">
        <v>8760.3935399999991</v>
      </c>
      <c r="M326" s="427">
        <v>9212.3337499999998</v>
      </c>
      <c r="N326" s="427">
        <v>9665.4517799999994</v>
      </c>
      <c r="O326" s="427">
        <v>10117.391960000001</v>
      </c>
      <c r="P326" s="427">
        <v>10569.33214</v>
      </c>
      <c r="Q326" s="427">
        <v>11021.27232</v>
      </c>
      <c r="R326" s="427">
        <v>11473.2125</v>
      </c>
      <c r="S326" s="427">
        <v>11925.152679999999</v>
      </c>
      <c r="T326" s="427">
        <v>12377.092860000001</v>
      </c>
    </row>
    <row r="327" spans="1:20" s="427" customFormat="1">
      <c r="A327" s="427" t="str">
        <f t="shared" si="27"/>
        <v>KU</v>
      </c>
      <c r="B327" s="427" t="str">
        <f t="shared" si="26"/>
        <v>KY</v>
      </c>
      <c r="C327" s="427" t="str">
        <f t="shared" si="28"/>
        <v>E</v>
      </c>
      <c r="D327" s="427" t="s">
        <v>3422</v>
      </c>
      <c r="E327" s="427" t="str">
        <f t="shared" si="32"/>
        <v>317</v>
      </c>
      <c r="F327" s="756" t="s">
        <v>2504</v>
      </c>
      <c r="G327" s="426" t="str">
        <f t="shared" si="30"/>
        <v>ARO</v>
      </c>
      <c r="H327" s="427">
        <v>107043.8431</v>
      </c>
      <c r="I327" s="427">
        <v>107950.388599999</v>
      </c>
      <c r="J327" s="427">
        <v>108856.9339</v>
      </c>
      <c r="K327" s="427">
        <v>109760.42</v>
      </c>
      <c r="L327" s="427">
        <v>113563.2105</v>
      </c>
      <c r="M327" s="427">
        <v>114740.2641</v>
      </c>
      <c r="N327" s="427">
        <v>115589.8982</v>
      </c>
      <c r="O327" s="427">
        <v>116625.2611</v>
      </c>
      <c r="P327" s="427">
        <v>117660.624</v>
      </c>
      <c r="Q327" s="427">
        <v>118695.9869</v>
      </c>
      <c r="R327" s="427">
        <v>119731.3498</v>
      </c>
      <c r="S327" s="427">
        <v>120766.7127</v>
      </c>
      <c r="T327" s="427">
        <v>121802.0756</v>
      </c>
    </row>
    <row r="328" spans="1:20" s="427" customFormat="1">
      <c r="A328" s="427" t="str">
        <f t="shared" si="27"/>
        <v>KU</v>
      </c>
      <c r="B328" s="427" t="str">
        <f t="shared" si="26"/>
        <v>KY</v>
      </c>
      <c r="C328" s="427" t="str">
        <f t="shared" si="28"/>
        <v>E</v>
      </c>
      <c r="D328" s="427" t="s">
        <v>3422</v>
      </c>
      <c r="E328" s="427" t="str">
        <f t="shared" si="32"/>
        <v>330</v>
      </c>
      <c r="F328" s="756" t="s">
        <v>1742</v>
      </c>
      <c r="G328" s="426" t="str">
        <f t="shared" si="30"/>
        <v/>
      </c>
      <c r="H328" s="427">
        <v>912.33259999999996</v>
      </c>
      <c r="I328" s="427">
        <v>912.33259999999996</v>
      </c>
      <c r="J328" s="427">
        <v>912.33259999999996</v>
      </c>
      <c r="K328" s="427">
        <v>912.33259999999996</v>
      </c>
      <c r="L328" s="427">
        <v>912.33259999999996</v>
      </c>
      <c r="M328" s="427">
        <v>912.33259999999996</v>
      </c>
      <c r="N328" s="427">
        <v>912.33259999999996</v>
      </c>
      <c r="O328" s="427">
        <v>912.33259999999996</v>
      </c>
      <c r="P328" s="427">
        <v>912.33259999999996</v>
      </c>
      <c r="Q328" s="427">
        <v>912.33259999999996</v>
      </c>
      <c r="R328" s="427">
        <v>912.33259999999996</v>
      </c>
      <c r="S328" s="427">
        <v>912.33259999999996</v>
      </c>
      <c r="T328" s="427">
        <v>912.33259999999996</v>
      </c>
    </row>
    <row r="329" spans="1:20" s="427" customFormat="1">
      <c r="A329" s="427" t="str">
        <f t="shared" si="27"/>
        <v>KU</v>
      </c>
      <c r="B329" s="427" t="str">
        <f t="shared" si="26"/>
        <v>KY</v>
      </c>
      <c r="C329" s="427" t="str">
        <f t="shared" si="28"/>
        <v>E</v>
      </c>
      <c r="D329" s="427" t="s">
        <v>3422</v>
      </c>
      <c r="E329" s="427" t="str">
        <f t="shared" si="32"/>
        <v>331</v>
      </c>
      <c r="F329" s="756" t="s">
        <v>1743</v>
      </c>
      <c r="G329" s="426" t="str">
        <f t="shared" si="30"/>
        <v/>
      </c>
      <c r="H329" s="427">
        <v>422.36700999999999</v>
      </c>
      <c r="I329" s="427">
        <v>428.56574999999998</v>
      </c>
      <c r="J329" s="427">
        <v>434.76449000000002</v>
      </c>
      <c r="K329" s="427">
        <v>440.96323000000001</v>
      </c>
      <c r="L329" s="427">
        <v>447.16197</v>
      </c>
      <c r="M329" s="427">
        <v>453.36070999999998</v>
      </c>
      <c r="N329" s="427">
        <v>459.55945000000003</v>
      </c>
      <c r="O329" s="427">
        <v>465.75819000000001</v>
      </c>
      <c r="P329" s="427">
        <v>341.01486999999997</v>
      </c>
      <c r="Q329" s="427">
        <v>349.30031000000002</v>
      </c>
      <c r="R329" s="427">
        <v>357.58575000000002</v>
      </c>
      <c r="S329" s="427">
        <v>318.25459999999998</v>
      </c>
      <c r="T329" s="427">
        <v>327.33385999999899</v>
      </c>
    </row>
    <row r="330" spans="1:20" s="427" customFormat="1">
      <c r="A330" s="427" t="str">
        <f t="shared" ref="A330:A393" si="34">MID($F330,4,2)</f>
        <v>KU</v>
      </c>
      <c r="B330" s="427" t="str">
        <f t="shared" si="26"/>
        <v>KY</v>
      </c>
      <c r="C330" s="427" t="str">
        <f t="shared" si="28"/>
        <v>E</v>
      </c>
      <c r="D330" s="427" t="s">
        <v>3422</v>
      </c>
      <c r="E330" s="427" t="str">
        <f t="shared" si="32"/>
        <v>332</v>
      </c>
      <c r="F330" s="756" t="s">
        <v>1744</v>
      </c>
      <c r="G330" s="426" t="str">
        <f t="shared" si="30"/>
        <v/>
      </c>
      <c r="H330" s="427">
        <v>9316.3740500000004</v>
      </c>
      <c r="I330" s="427">
        <v>9363.9753299999993</v>
      </c>
      <c r="J330" s="427">
        <v>9411.5766100000001</v>
      </c>
      <c r="K330" s="427">
        <v>9459.1778900000008</v>
      </c>
      <c r="L330" s="427">
        <v>9506.7791699999998</v>
      </c>
      <c r="M330" s="427">
        <v>9554.3804499999897</v>
      </c>
      <c r="N330" s="427">
        <v>9601.9817299999995</v>
      </c>
      <c r="O330" s="427">
        <v>9649.5830100000003</v>
      </c>
      <c r="P330" s="427">
        <v>9697.1842899999992</v>
      </c>
      <c r="Q330" s="427">
        <v>9744.7855699999891</v>
      </c>
      <c r="R330" s="427">
        <v>9792.3868499999899</v>
      </c>
      <c r="S330" s="427">
        <v>9839.9881299999906</v>
      </c>
      <c r="T330" s="427">
        <v>9887.5894099999896</v>
      </c>
    </row>
    <row r="331" spans="1:20" s="427" customFormat="1">
      <c r="A331" s="427" t="str">
        <f t="shared" si="34"/>
        <v>KU</v>
      </c>
      <c r="B331" s="427" t="str">
        <f t="shared" si="26"/>
        <v>KY</v>
      </c>
      <c r="C331" s="427" t="str">
        <f t="shared" si="28"/>
        <v>E</v>
      </c>
      <c r="D331" s="427" t="s">
        <v>3422</v>
      </c>
      <c r="E331" s="427" t="str">
        <f t="shared" si="32"/>
        <v>333</v>
      </c>
      <c r="F331" s="756" t="s">
        <v>1745</v>
      </c>
      <c r="G331" s="426" t="str">
        <f t="shared" si="30"/>
        <v/>
      </c>
      <c r="H331" s="427">
        <v>1847.2081499999999</v>
      </c>
      <c r="I331" s="427">
        <v>1892.39184</v>
      </c>
      <c r="J331" s="427">
        <v>1937.5755300000001</v>
      </c>
      <c r="K331" s="427">
        <v>1982.7592199999999</v>
      </c>
      <c r="L331" s="427">
        <v>2027.94291</v>
      </c>
      <c r="M331" s="427">
        <v>2073.1266000000001</v>
      </c>
      <c r="N331" s="427">
        <v>2118.3102899999999</v>
      </c>
      <c r="O331" s="427">
        <v>2163.4939799999902</v>
      </c>
      <c r="P331" s="427">
        <v>2208.67766999999</v>
      </c>
      <c r="Q331" s="427">
        <v>2253.8613599999899</v>
      </c>
      <c r="R331" s="427">
        <v>2299.0450499999902</v>
      </c>
      <c r="S331" s="427">
        <v>2344.22873999999</v>
      </c>
      <c r="T331" s="427">
        <v>2389.4124299999899</v>
      </c>
    </row>
    <row r="332" spans="1:20" s="427" customFormat="1">
      <c r="A332" s="427" t="str">
        <f t="shared" si="34"/>
        <v>KU</v>
      </c>
      <c r="B332" s="427" t="str">
        <f t="shared" si="26"/>
        <v>KY</v>
      </c>
      <c r="C332" s="427" t="str">
        <f t="shared" si="28"/>
        <v>E</v>
      </c>
      <c r="D332" s="427" t="s">
        <v>3422</v>
      </c>
      <c r="E332" s="427" t="str">
        <f t="shared" si="32"/>
        <v>334</v>
      </c>
      <c r="F332" s="756" t="s">
        <v>1746</v>
      </c>
      <c r="G332" s="426" t="str">
        <f t="shared" si="30"/>
        <v/>
      </c>
      <c r="H332" s="427">
        <v>318.30932999999999</v>
      </c>
      <c r="I332" s="427">
        <v>322.69677000000001</v>
      </c>
      <c r="J332" s="427">
        <v>327.08420999999998</v>
      </c>
      <c r="K332" s="427">
        <v>331.47165000000001</v>
      </c>
      <c r="L332" s="427">
        <v>335.85908999999998</v>
      </c>
      <c r="M332" s="427">
        <v>340.24653000000001</v>
      </c>
      <c r="N332" s="427">
        <v>344.63396999999998</v>
      </c>
      <c r="O332" s="427">
        <v>349.02140999999898</v>
      </c>
      <c r="P332" s="427">
        <v>353.40884999999901</v>
      </c>
      <c r="Q332" s="427">
        <v>357.79628999999898</v>
      </c>
      <c r="R332" s="427">
        <v>362.183729999999</v>
      </c>
      <c r="S332" s="427">
        <v>366.57116999999897</v>
      </c>
      <c r="T332" s="427">
        <v>370.958609999999</v>
      </c>
    </row>
    <row r="333" spans="1:20" s="427" customFormat="1">
      <c r="A333" s="427" t="str">
        <f t="shared" si="34"/>
        <v>KU</v>
      </c>
      <c r="B333" s="427" t="str">
        <f t="shared" si="26"/>
        <v>KY</v>
      </c>
      <c r="C333" s="427" t="str">
        <f t="shared" si="28"/>
        <v>E</v>
      </c>
      <c r="D333" s="427" t="s">
        <v>3422</v>
      </c>
      <c r="E333" s="427" t="str">
        <f t="shared" si="32"/>
        <v>335</v>
      </c>
      <c r="F333" s="756" t="s">
        <v>1747</v>
      </c>
      <c r="G333" s="426" t="str">
        <f t="shared" si="30"/>
        <v/>
      </c>
      <c r="H333" s="427">
        <v>143.55381</v>
      </c>
      <c r="I333" s="427">
        <v>144.58584999999999</v>
      </c>
      <c r="J333" s="427">
        <v>145.61788999999999</v>
      </c>
      <c r="K333" s="427">
        <v>146.64992999999899</v>
      </c>
      <c r="L333" s="427">
        <v>147.68197000000001</v>
      </c>
      <c r="M333" s="427">
        <v>148.71401</v>
      </c>
      <c r="N333" s="427">
        <v>149.74605</v>
      </c>
      <c r="O333" s="427">
        <v>150.77808999999999</v>
      </c>
      <c r="P333" s="427">
        <v>151.81012999999999</v>
      </c>
      <c r="Q333" s="427">
        <v>152.84216999999899</v>
      </c>
      <c r="R333" s="427">
        <v>153.87420999999901</v>
      </c>
      <c r="S333" s="427">
        <v>154.90624999999901</v>
      </c>
      <c r="T333" s="427">
        <v>155.938289999999</v>
      </c>
    </row>
    <row r="334" spans="1:20" s="427" customFormat="1">
      <c r="A334" s="427" t="str">
        <f t="shared" si="34"/>
        <v>KU</v>
      </c>
      <c r="B334" s="427" t="str">
        <f t="shared" si="26"/>
        <v>KY</v>
      </c>
      <c r="C334" s="427" t="str">
        <f t="shared" si="28"/>
        <v>E</v>
      </c>
      <c r="D334" s="427" t="s">
        <v>3422</v>
      </c>
      <c r="E334" s="427" t="str">
        <f t="shared" si="32"/>
        <v>336</v>
      </c>
      <c r="F334" s="756" t="s">
        <v>1748</v>
      </c>
      <c r="G334" s="426" t="str">
        <f t="shared" si="30"/>
        <v/>
      </c>
      <c r="H334" s="427">
        <v>88.014799999999994</v>
      </c>
      <c r="I334" s="427">
        <v>88.665559999999999</v>
      </c>
      <c r="J334" s="427">
        <v>89.316320000000005</v>
      </c>
      <c r="K334" s="427">
        <v>89.967079999999996</v>
      </c>
      <c r="L334" s="427">
        <v>90.617840000000001</v>
      </c>
      <c r="M334" s="427">
        <v>91.268600000000006</v>
      </c>
      <c r="N334" s="427">
        <v>91.919359999999998</v>
      </c>
      <c r="O334" s="427">
        <v>92.570120000000003</v>
      </c>
      <c r="P334" s="427">
        <v>93.220879999999994</v>
      </c>
      <c r="Q334" s="427">
        <v>93.871639999999999</v>
      </c>
      <c r="R334" s="427">
        <v>94.522400000000005</v>
      </c>
      <c r="S334" s="427">
        <v>95.173159999999996</v>
      </c>
      <c r="T334" s="427">
        <v>95.823920000000001</v>
      </c>
    </row>
    <row r="335" spans="1:20" s="427" customFormat="1">
      <c r="A335" s="427" t="str">
        <f t="shared" si="34"/>
        <v>KU</v>
      </c>
      <c r="B335" s="427" t="str">
        <f t="shared" si="26"/>
        <v>KY</v>
      </c>
      <c r="C335" s="427" t="str">
        <f t="shared" si="28"/>
        <v>E</v>
      </c>
      <c r="D335" s="427" t="s">
        <v>3422</v>
      </c>
      <c r="E335" s="427" t="str">
        <f t="shared" si="32"/>
        <v>337</v>
      </c>
      <c r="F335" s="756" t="s">
        <v>1749</v>
      </c>
      <c r="G335" s="426" t="str">
        <f t="shared" si="30"/>
        <v>ARO</v>
      </c>
      <c r="H335" s="427">
        <v>37.589949999999902</v>
      </c>
      <c r="I335" s="427">
        <v>39.080629999999999</v>
      </c>
      <c r="J335" s="427">
        <v>40.571309999999997</v>
      </c>
      <c r="K335" s="427">
        <v>42.061990000000002</v>
      </c>
      <c r="L335" s="427">
        <v>43.552669999999999</v>
      </c>
      <c r="M335" s="427">
        <v>45.043349999999997</v>
      </c>
      <c r="N335" s="427">
        <v>46.534030000000001</v>
      </c>
      <c r="O335" s="427">
        <v>48.024709999999999</v>
      </c>
      <c r="P335" s="427">
        <v>49.515389999999996</v>
      </c>
      <c r="Q335" s="427">
        <v>51.006069999999902</v>
      </c>
      <c r="R335" s="427">
        <v>52.496749999999899</v>
      </c>
      <c r="S335" s="427">
        <v>53.987429999999897</v>
      </c>
      <c r="T335" s="427">
        <v>55.478109999999901</v>
      </c>
    </row>
    <row r="336" spans="1:20" s="427" customFormat="1">
      <c r="A336" s="427" t="str">
        <f t="shared" si="34"/>
        <v>KU</v>
      </c>
      <c r="B336" s="427" t="str">
        <f t="shared" si="26"/>
        <v>KY</v>
      </c>
      <c r="C336" s="427" t="str">
        <f t="shared" si="28"/>
        <v>E</v>
      </c>
      <c r="D336" s="427" t="s">
        <v>3422</v>
      </c>
      <c r="E336" s="427" t="str">
        <f t="shared" si="32"/>
        <v>340</v>
      </c>
      <c r="F336" s="756" t="s">
        <v>2198</v>
      </c>
      <c r="G336" s="426" t="str">
        <f t="shared" si="30"/>
        <v/>
      </c>
      <c r="H336" s="427">
        <v>124.39149999999999</v>
      </c>
      <c r="I336" s="427">
        <v>124.71344999999999</v>
      </c>
      <c r="J336" s="427">
        <v>125.0354</v>
      </c>
      <c r="K336" s="427">
        <v>125.35735</v>
      </c>
      <c r="L336" s="427">
        <v>125.6793</v>
      </c>
      <c r="M336" s="427">
        <v>126.00125</v>
      </c>
      <c r="N336" s="427">
        <v>126.3232</v>
      </c>
      <c r="O336" s="427">
        <v>126.70019000000001</v>
      </c>
      <c r="P336" s="427">
        <v>127.13223000000001</v>
      </c>
      <c r="Q336" s="427">
        <v>127.56426999999999</v>
      </c>
      <c r="R336" s="427">
        <v>127.99630999999999</v>
      </c>
      <c r="S336" s="427">
        <v>128.42834999999999</v>
      </c>
      <c r="T336" s="427">
        <v>128.86039</v>
      </c>
    </row>
    <row r="337" spans="1:20" s="427" customFormat="1">
      <c r="A337" s="427" t="str">
        <f t="shared" si="34"/>
        <v>KU</v>
      </c>
      <c r="B337" s="427" t="str">
        <f t="shared" si="26"/>
        <v>KY</v>
      </c>
      <c r="C337" s="427" t="str">
        <f t="shared" si="28"/>
        <v>E</v>
      </c>
      <c r="D337" s="427" t="s">
        <v>3422</v>
      </c>
      <c r="E337" s="427" t="str">
        <f t="shared" si="32"/>
        <v>341</v>
      </c>
      <c r="F337" s="756" t="s">
        <v>1751</v>
      </c>
      <c r="G337" s="426" t="str">
        <f t="shared" si="30"/>
        <v/>
      </c>
      <c r="H337" s="427">
        <v>20378.857329999999</v>
      </c>
      <c r="I337" s="427">
        <v>20495.063300000002</v>
      </c>
      <c r="J337" s="427">
        <v>20611.351839999999</v>
      </c>
      <c r="K337" s="427">
        <v>20727.640380000001</v>
      </c>
      <c r="L337" s="427">
        <v>20843.928919999998</v>
      </c>
      <c r="M337" s="427">
        <v>20960.21746</v>
      </c>
      <c r="N337" s="427">
        <v>21076.506000000001</v>
      </c>
      <c r="O337" s="427">
        <v>21192.824710000001</v>
      </c>
      <c r="P337" s="427">
        <v>21309.173589999999</v>
      </c>
      <c r="Q337" s="427">
        <v>21425.52247</v>
      </c>
      <c r="R337" s="427">
        <v>21541.91012</v>
      </c>
      <c r="S337" s="427">
        <v>21658.33654</v>
      </c>
      <c r="T337" s="427">
        <v>21774.76296</v>
      </c>
    </row>
    <row r="338" spans="1:20" s="427" customFormat="1">
      <c r="A338" s="427" t="str">
        <f t="shared" si="34"/>
        <v>KU</v>
      </c>
      <c r="B338" s="427" t="str">
        <f t="shared" si="26"/>
        <v>KY</v>
      </c>
      <c r="C338" s="427" t="str">
        <f t="shared" si="28"/>
        <v>E</v>
      </c>
      <c r="D338" s="427" t="s">
        <v>3422</v>
      </c>
      <c r="E338" s="427" t="str">
        <f t="shared" si="32"/>
        <v>341</v>
      </c>
      <c r="F338" s="756" t="s">
        <v>2199</v>
      </c>
      <c r="G338" s="426" t="str">
        <f t="shared" si="30"/>
        <v/>
      </c>
      <c r="H338" s="427">
        <v>3252.1544600000002</v>
      </c>
      <c r="I338" s="427">
        <v>3373.3386099999998</v>
      </c>
      <c r="J338" s="427">
        <v>3494.9311699999998</v>
      </c>
      <c r="K338" s="427">
        <v>3616.5237299999999</v>
      </c>
      <c r="L338" s="427">
        <v>3738.1176799999998</v>
      </c>
      <c r="M338" s="427">
        <v>3859.7130200000001</v>
      </c>
      <c r="N338" s="427">
        <v>3982.0408299999999</v>
      </c>
      <c r="O338" s="427">
        <v>4105.0934399999996</v>
      </c>
      <c r="P338" s="427">
        <v>4229.1302500000002</v>
      </c>
      <c r="Q338" s="427">
        <v>4353.2173499999999</v>
      </c>
      <c r="R338" s="427">
        <v>4466.6515517899998</v>
      </c>
      <c r="S338" s="427">
        <v>4590.8314917899997</v>
      </c>
      <c r="T338" s="427">
        <v>4715.0114317899997</v>
      </c>
    </row>
    <row r="339" spans="1:20" s="427" customFormat="1">
      <c r="A339" s="427" t="str">
        <f t="shared" si="34"/>
        <v>KU</v>
      </c>
      <c r="B339" s="427" t="str">
        <f t="shared" si="26"/>
        <v>KY</v>
      </c>
      <c r="C339" s="427" t="str">
        <f t="shared" si="28"/>
        <v>E</v>
      </c>
      <c r="D339" s="427" t="s">
        <v>3422</v>
      </c>
      <c r="E339" s="427" t="str">
        <f t="shared" si="32"/>
        <v>341</v>
      </c>
      <c r="F339" s="756" t="s">
        <v>2200</v>
      </c>
      <c r="G339" s="426" t="str">
        <f t="shared" si="30"/>
        <v/>
      </c>
      <c r="H339" s="427">
        <v>59.173209999999997</v>
      </c>
      <c r="I339" s="427">
        <v>64.274680000000004</v>
      </c>
      <c r="J339" s="427">
        <v>69.376149999999996</v>
      </c>
      <c r="K339" s="427">
        <v>74.477620000000002</v>
      </c>
      <c r="L339" s="427">
        <v>79.579089999999994</v>
      </c>
      <c r="M339" s="427">
        <v>84.68056</v>
      </c>
      <c r="N339" s="427">
        <v>89.782030000000006</v>
      </c>
      <c r="O339" s="427">
        <v>94.883499999999998</v>
      </c>
      <c r="P339" s="427">
        <v>99.984970000000004</v>
      </c>
      <c r="Q339" s="427">
        <v>105.08644</v>
      </c>
      <c r="R339" s="427">
        <v>110.18791</v>
      </c>
      <c r="S339" s="427">
        <v>115.28937999999999</v>
      </c>
      <c r="T339" s="427">
        <v>120.39085</v>
      </c>
    </row>
    <row r="340" spans="1:20" s="427" customFormat="1">
      <c r="A340" s="427" t="str">
        <f t="shared" si="34"/>
        <v>KU</v>
      </c>
      <c r="B340" s="427" t="str">
        <f t="shared" si="26"/>
        <v>KY</v>
      </c>
      <c r="C340" s="427" t="str">
        <f t="shared" si="28"/>
        <v>E</v>
      </c>
      <c r="D340" s="427" t="s">
        <v>3422</v>
      </c>
      <c r="E340" s="427" t="str">
        <f t="shared" si="32"/>
        <v>342</v>
      </c>
      <c r="F340" s="756" t="s">
        <v>1752</v>
      </c>
      <c r="G340" s="426" t="str">
        <f t="shared" si="30"/>
        <v/>
      </c>
      <c r="H340" s="427">
        <v>5410.6946699999999</v>
      </c>
      <c r="I340" s="427">
        <v>5463.6846999999998</v>
      </c>
      <c r="J340" s="427">
        <v>5516.6747299999997</v>
      </c>
      <c r="K340" s="427">
        <v>5569.7432099999996</v>
      </c>
      <c r="L340" s="427">
        <v>5622.8901400000004</v>
      </c>
      <c r="M340" s="427">
        <v>5676.0370700000003</v>
      </c>
      <c r="N340" s="427">
        <v>5729.1839999999902</v>
      </c>
      <c r="O340" s="427">
        <v>5782.4441999999899</v>
      </c>
      <c r="P340" s="427">
        <v>5835.8176699999904</v>
      </c>
      <c r="Q340" s="427">
        <v>5880.0922599999903</v>
      </c>
      <c r="R340" s="427">
        <v>5934.8613299999897</v>
      </c>
      <c r="S340" s="427">
        <v>5990.01835999999</v>
      </c>
      <c r="T340" s="427">
        <v>6045.1753899999903</v>
      </c>
    </row>
    <row r="341" spans="1:20" s="427" customFormat="1">
      <c r="A341" s="427" t="str">
        <f t="shared" si="34"/>
        <v>KU</v>
      </c>
      <c r="B341" s="427" t="str">
        <f t="shared" si="26"/>
        <v>KY</v>
      </c>
      <c r="C341" s="427" t="str">
        <f t="shared" si="28"/>
        <v>E</v>
      </c>
      <c r="D341" s="427" t="s">
        <v>3422</v>
      </c>
      <c r="E341" s="427" t="str">
        <f t="shared" si="32"/>
        <v>342</v>
      </c>
      <c r="F341" s="756" t="s">
        <v>2201</v>
      </c>
      <c r="G341" s="426" t="str">
        <f t="shared" si="30"/>
        <v/>
      </c>
      <c r="H341" s="427">
        <v>3556.5837000000001</v>
      </c>
      <c r="I341" s="427">
        <v>3572.9088099999999</v>
      </c>
      <c r="J341" s="427">
        <v>3589.2339200000001</v>
      </c>
      <c r="K341" s="427">
        <v>3605.5590299999999</v>
      </c>
      <c r="L341" s="427">
        <v>3621.8841400000001</v>
      </c>
      <c r="M341" s="427">
        <v>3638.2092499999999</v>
      </c>
      <c r="N341" s="427">
        <v>3654.5343600000001</v>
      </c>
      <c r="O341" s="427">
        <v>3670.8594699999999</v>
      </c>
      <c r="P341" s="427">
        <v>3687.1845800000001</v>
      </c>
      <c r="Q341" s="427">
        <v>3703.5096899999999</v>
      </c>
      <c r="R341" s="427">
        <v>3719.8348000000001</v>
      </c>
      <c r="S341" s="427">
        <v>3736.1599099999999</v>
      </c>
      <c r="T341" s="427">
        <v>3752.4850200000001</v>
      </c>
    </row>
    <row r="342" spans="1:20" s="427" customFormat="1">
      <c r="A342" s="427" t="str">
        <f t="shared" si="34"/>
        <v>KU</v>
      </c>
      <c r="B342" s="427" t="str">
        <f t="shared" si="26"/>
        <v>KY</v>
      </c>
      <c r="C342" s="427" t="str">
        <f t="shared" si="28"/>
        <v>E</v>
      </c>
      <c r="D342" s="427" t="s">
        <v>3422</v>
      </c>
      <c r="E342" s="427" t="str">
        <f t="shared" si="32"/>
        <v>342</v>
      </c>
      <c r="F342" s="756" t="s">
        <v>2202</v>
      </c>
      <c r="G342" s="426" t="str">
        <f t="shared" si="30"/>
        <v/>
      </c>
      <c r="H342" s="427">
        <v>10205.36117</v>
      </c>
      <c r="I342" s="427">
        <v>10321.20991</v>
      </c>
      <c r="J342" s="427">
        <v>10437.058650000001</v>
      </c>
      <c r="K342" s="427">
        <v>10552.90739</v>
      </c>
      <c r="L342" s="427">
        <v>10668.75613</v>
      </c>
      <c r="M342" s="427">
        <v>10784.604869999999</v>
      </c>
      <c r="N342" s="427">
        <v>10900.45361</v>
      </c>
      <c r="O342" s="427">
        <v>11016.30235</v>
      </c>
      <c r="P342" s="427">
        <v>11132.151089999999</v>
      </c>
      <c r="Q342" s="427">
        <v>11247.999830000001</v>
      </c>
      <c r="R342" s="427">
        <v>11364.14278</v>
      </c>
      <c r="S342" s="427">
        <v>11480.57993</v>
      </c>
      <c r="T342" s="427">
        <v>11597.01708</v>
      </c>
    </row>
    <row r="343" spans="1:20" s="427" customFormat="1">
      <c r="A343" s="427" t="str">
        <f t="shared" si="34"/>
        <v>KU</v>
      </c>
      <c r="B343" s="427" t="str">
        <f t="shared" ref="B343:B406" si="35">IF(MID($F343,12,2)="- ","KY",IF(MID($F343,12,2)="SY","KY",MID($F343,12,2)))</f>
        <v>KY</v>
      </c>
      <c r="C343" s="427" t="str">
        <f t="shared" si="28"/>
        <v>E</v>
      </c>
      <c r="D343" s="427" t="s">
        <v>3422</v>
      </c>
      <c r="E343" s="427" t="str">
        <f t="shared" si="32"/>
        <v>343</v>
      </c>
      <c r="F343" s="756" t="s">
        <v>1753</v>
      </c>
      <c r="G343" s="426" t="str">
        <f t="shared" si="30"/>
        <v/>
      </c>
      <c r="H343" s="427">
        <v>189430.06419</v>
      </c>
      <c r="I343" s="427">
        <v>191021.00482999999</v>
      </c>
      <c r="J343" s="427">
        <v>191130.38918</v>
      </c>
      <c r="K343" s="427">
        <v>192717.21881999899</v>
      </c>
      <c r="L343" s="427">
        <v>194304.38673</v>
      </c>
      <c r="M343" s="427">
        <v>195891.81372999999</v>
      </c>
      <c r="N343" s="427">
        <v>197479.27168000001</v>
      </c>
      <c r="O343" s="427">
        <v>198755.61696000001</v>
      </c>
      <c r="P343" s="427">
        <v>200344.47870000001</v>
      </c>
      <c r="Q343" s="427">
        <v>201933.55771999899</v>
      </c>
      <c r="R343" s="427">
        <v>203523.12826999999</v>
      </c>
      <c r="S343" s="427">
        <v>204776.031635288</v>
      </c>
      <c r="T343" s="427">
        <v>206405.152935288</v>
      </c>
    </row>
    <row r="344" spans="1:20" s="427" customFormat="1">
      <c r="A344" s="427" t="str">
        <f t="shared" si="34"/>
        <v>KU</v>
      </c>
      <c r="B344" s="427" t="str">
        <f t="shared" si="35"/>
        <v>KY</v>
      </c>
      <c r="C344" s="427" t="str">
        <f t="shared" si="28"/>
        <v>E</v>
      </c>
      <c r="D344" s="427" t="s">
        <v>3422</v>
      </c>
      <c r="E344" s="427" t="str">
        <f t="shared" si="32"/>
        <v>343</v>
      </c>
      <c r="F344" s="756" t="s">
        <v>2203</v>
      </c>
      <c r="G344" s="426" t="str">
        <f t="shared" si="30"/>
        <v/>
      </c>
      <c r="H344" s="427">
        <v>13874.81623</v>
      </c>
      <c r="I344" s="427">
        <v>14649.331319999999</v>
      </c>
      <c r="J344" s="427">
        <v>7772.7847099999999</v>
      </c>
      <c r="K344" s="427">
        <v>8536.1815000000006</v>
      </c>
      <c r="L344" s="427">
        <v>9299.5994100000007</v>
      </c>
      <c r="M344" s="427">
        <v>10063.01613</v>
      </c>
      <c r="N344" s="427">
        <v>10826.42923</v>
      </c>
      <c r="O344" s="427">
        <v>10965.3818548</v>
      </c>
      <c r="P344" s="427">
        <v>11731.3739348</v>
      </c>
      <c r="Q344" s="427">
        <v>12489.661832620999</v>
      </c>
      <c r="R344" s="427">
        <v>13253.448115771</v>
      </c>
      <c r="S344" s="427">
        <v>14031.3755057709</v>
      </c>
      <c r="T344" s="427">
        <v>14809.7927757709</v>
      </c>
    </row>
    <row r="345" spans="1:20" s="427" customFormat="1">
      <c r="A345" s="427" t="str">
        <f t="shared" si="34"/>
        <v>KU</v>
      </c>
      <c r="B345" s="427" t="str">
        <f t="shared" si="35"/>
        <v>KY</v>
      </c>
      <c r="C345" s="427" t="str">
        <f t="shared" si="28"/>
        <v>E</v>
      </c>
      <c r="D345" s="427" t="s">
        <v>3422</v>
      </c>
      <c r="E345" s="427" t="str">
        <f t="shared" si="32"/>
        <v>344</v>
      </c>
      <c r="F345" s="756" t="s">
        <v>1754</v>
      </c>
      <c r="G345" s="426" t="str">
        <f t="shared" si="30"/>
        <v/>
      </c>
      <c r="H345" s="427">
        <v>33951.203589999997</v>
      </c>
      <c r="I345" s="427">
        <v>34150.376819999998</v>
      </c>
      <c r="J345" s="427">
        <v>34349.550049999998</v>
      </c>
      <c r="K345" s="427">
        <v>34548.745309999998</v>
      </c>
      <c r="L345" s="427">
        <v>34747.962599999999</v>
      </c>
      <c r="M345" s="427">
        <v>34947.179889999999</v>
      </c>
      <c r="N345" s="427">
        <v>35146.39718</v>
      </c>
      <c r="O345" s="427">
        <v>35294.224139999998</v>
      </c>
      <c r="P345" s="427">
        <v>35493.441429999999</v>
      </c>
      <c r="Q345" s="427">
        <v>35690.557503099997</v>
      </c>
      <c r="R345" s="427">
        <v>35866.798561000003</v>
      </c>
      <c r="S345" s="427">
        <v>36067.977331000002</v>
      </c>
      <c r="T345" s="427">
        <v>36269.492620999998</v>
      </c>
    </row>
    <row r="346" spans="1:20" s="427" customFormat="1">
      <c r="A346" s="427" t="str">
        <f t="shared" si="34"/>
        <v>KU</v>
      </c>
      <c r="B346" s="427" t="str">
        <f t="shared" si="35"/>
        <v>KY</v>
      </c>
      <c r="C346" s="427" t="str">
        <f t="shared" si="28"/>
        <v>E</v>
      </c>
      <c r="D346" s="427" t="s">
        <v>3422</v>
      </c>
      <c r="E346" s="427" t="str">
        <f t="shared" si="32"/>
        <v>344</v>
      </c>
      <c r="F346" s="756" t="s">
        <v>2204</v>
      </c>
      <c r="G346" s="426" t="str">
        <f t="shared" si="30"/>
        <v/>
      </c>
      <c r="H346" s="427">
        <v>6376.1373100000001</v>
      </c>
      <c r="I346" s="427">
        <v>6516.2840299999998</v>
      </c>
      <c r="J346" s="427">
        <v>6656.4339300000001</v>
      </c>
      <c r="K346" s="427">
        <v>6796.5846199999996</v>
      </c>
      <c r="L346" s="427">
        <v>6936.73531</v>
      </c>
      <c r="M346" s="427">
        <v>7076.8860000000004</v>
      </c>
      <c r="N346" s="427">
        <v>7217.0366899999999</v>
      </c>
      <c r="O346" s="427">
        <v>7357.1873800000003</v>
      </c>
      <c r="P346" s="427">
        <v>7497.3380699999998</v>
      </c>
      <c r="Q346" s="427">
        <v>7637.4887600000002</v>
      </c>
      <c r="R346" s="427">
        <v>7777.6394499999997</v>
      </c>
      <c r="S346" s="427">
        <v>7917.7901400000001</v>
      </c>
      <c r="T346" s="427">
        <v>8057.9408299999996</v>
      </c>
    </row>
    <row r="347" spans="1:20" s="427" customFormat="1">
      <c r="A347" s="427" t="str">
        <f t="shared" si="34"/>
        <v>KU</v>
      </c>
      <c r="B347" s="427" t="str">
        <f t="shared" si="35"/>
        <v>KY</v>
      </c>
      <c r="C347" s="427" t="str">
        <f t="shared" ref="C347:C410" si="36">IF(ISTEXT(MID($F347,SEARCH("FUTURE USE",$F347),3)),"F",IF(MID($F347,7,1)="1","E",IF(MID($F347,7,1)="2","G",IF(MID($F347,7,1)="3","C",""))))</f>
        <v>E</v>
      </c>
      <c r="D347" s="427" t="s">
        <v>3422</v>
      </c>
      <c r="E347" s="427" t="str">
        <f t="shared" si="32"/>
        <v>344</v>
      </c>
      <c r="F347" s="756" t="s">
        <v>2205</v>
      </c>
      <c r="G347" s="426" t="str">
        <f t="shared" si="30"/>
        <v/>
      </c>
      <c r="H347" s="427">
        <v>947.66246000000001</v>
      </c>
      <c r="I347" s="427">
        <v>997.86788999999999</v>
      </c>
      <c r="J347" s="427">
        <v>1048.07332</v>
      </c>
      <c r="K347" s="427">
        <v>1098.2787499999999</v>
      </c>
      <c r="L347" s="427">
        <v>1148.4841799999999</v>
      </c>
      <c r="M347" s="427">
        <v>1198.6896099999999</v>
      </c>
      <c r="N347" s="427">
        <v>1248.8950400000001</v>
      </c>
      <c r="O347" s="427">
        <v>1299.1004700000001</v>
      </c>
      <c r="P347" s="427">
        <v>1349.3059000000001</v>
      </c>
      <c r="Q347" s="427">
        <v>1399.51133</v>
      </c>
      <c r="R347" s="427">
        <v>1449.71676</v>
      </c>
      <c r="S347" s="427">
        <v>1499.92219</v>
      </c>
      <c r="T347" s="427">
        <v>1550.12762</v>
      </c>
    </row>
    <row r="348" spans="1:20" s="427" customFormat="1">
      <c r="A348" s="427" t="str">
        <f t="shared" si="34"/>
        <v>KU</v>
      </c>
      <c r="B348" s="427" t="str">
        <f t="shared" si="35"/>
        <v>KY</v>
      </c>
      <c r="C348" s="427" t="str">
        <f t="shared" si="36"/>
        <v>E</v>
      </c>
      <c r="D348" s="427" t="s">
        <v>3422</v>
      </c>
      <c r="E348" s="427" t="str">
        <f t="shared" si="32"/>
        <v>345</v>
      </c>
      <c r="F348" s="756" t="s">
        <v>1755</v>
      </c>
      <c r="G348" s="426" t="str">
        <f t="shared" si="30"/>
        <v/>
      </c>
      <c r="H348" s="427">
        <v>23834.813849999999</v>
      </c>
      <c r="I348" s="427">
        <v>24028.568220000001</v>
      </c>
      <c r="J348" s="427">
        <v>24222.33194</v>
      </c>
      <c r="K348" s="427">
        <v>24416.0974299999</v>
      </c>
      <c r="L348" s="427">
        <v>24609.8621199999</v>
      </c>
      <c r="M348" s="427">
        <v>24803.627110000001</v>
      </c>
      <c r="N348" s="427">
        <v>24997.392089999899</v>
      </c>
      <c r="O348" s="427">
        <v>25191.1567599999</v>
      </c>
      <c r="P348" s="427">
        <v>25384.9214299999</v>
      </c>
      <c r="Q348" s="427">
        <v>25578.686099999901</v>
      </c>
      <c r="R348" s="427">
        <v>25772.450769999901</v>
      </c>
      <c r="S348" s="427">
        <v>25966.215439999902</v>
      </c>
      <c r="T348" s="427">
        <v>26159.980109999899</v>
      </c>
    </row>
    <row r="349" spans="1:20" s="427" customFormat="1">
      <c r="A349" s="427" t="str">
        <f t="shared" si="34"/>
        <v>KU</v>
      </c>
      <c r="B349" s="427" t="str">
        <f t="shared" si="35"/>
        <v>KY</v>
      </c>
      <c r="C349" s="427" t="str">
        <f t="shared" si="36"/>
        <v>E</v>
      </c>
      <c r="D349" s="427" t="s">
        <v>3422</v>
      </c>
      <c r="E349" s="427" t="str">
        <f t="shared" si="32"/>
        <v>345</v>
      </c>
      <c r="F349" s="756" t="s">
        <v>2206</v>
      </c>
      <c r="G349" s="426" t="str">
        <f t="shared" si="30"/>
        <v/>
      </c>
      <c r="H349" s="427">
        <v>1640.2660000000001</v>
      </c>
      <c r="I349" s="427">
        <v>1705.0863400000001</v>
      </c>
      <c r="J349" s="427">
        <v>1770.1683399999999</v>
      </c>
      <c r="K349" s="427">
        <v>1835.2503999999999</v>
      </c>
      <c r="L349" s="427">
        <v>1900.33277</v>
      </c>
      <c r="M349" s="427">
        <v>1965.4154900000001</v>
      </c>
      <c r="N349" s="427">
        <v>2030.4977200000001</v>
      </c>
      <c r="O349" s="427">
        <v>2095.5794299999998</v>
      </c>
      <c r="P349" s="427">
        <v>2160.6611400000002</v>
      </c>
      <c r="Q349" s="427">
        <v>2225.7428500000001</v>
      </c>
      <c r="R349" s="427">
        <v>2290.85752</v>
      </c>
      <c r="S349" s="427">
        <v>2356.0051699999999</v>
      </c>
      <c r="T349" s="427">
        <v>2421.1528199999998</v>
      </c>
    </row>
    <row r="350" spans="1:20" s="427" customFormat="1">
      <c r="A350" s="427" t="str">
        <f t="shared" si="34"/>
        <v>KU</v>
      </c>
      <c r="B350" s="427" t="str">
        <f t="shared" si="35"/>
        <v>KY</v>
      </c>
      <c r="C350" s="427" t="str">
        <f t="shared" si="36"/>
        <v>E</v>
      </c>
      <c r="D350" s="427" t="s">
        <v>3422</v>
      </c>
      <c r="E350" s="427" t="str">
        <f t="shared" si="32"/>
        <v>345</v>
      </c>
      <c r="F350" s="756" t="s">
        <v>2207</v>
      </c>
      <c r="G350" s="426" t="str">
        <f t="shared" ref="G350:G424" si="37">IF(ISTEXT(MID($F350,SEARCH("FUTURE USE",$F350),3)),"FUTURE USE",IF(ISTEXT(MID($F350,SEARCH("ECR",$F350),3)),"ECR",IF(ISTEXT(MID($F350,SEARCH("ARO",$F350),3)),"ARO",IF(ISTEXT(MID($F350,SEARCH("DSM",$F350),3)),"DSM",""))))</f>
        <v/>
      </c>
      <c r="H350" s="427">
        <v>45.852820000000001</v>
      </c>
      <c r="I350" s="427">
        <v>47.471359999999997</v>
      </c>
      <c r="J350" s="427">
        <v>49.0899</v>
      </c>
      <c r="K350" s="427">
        <v>50.708440000000003</v>
      </c>
      <c r="L350" s="427">
        <v>52.326979999999999</v>
      </c>
      <c r="M350" s="427">
        <v>53.945519999999902</v>
      </c>
      <c r="N350" s="427">
        <v>55.564059999999998</v>
      </c>
      <c r="O350" s="427">
        <v>57.182599999999901</v>
      </c>
      <c r="P350" s="427">
        <v>58.801139999999897</v>
      </c>
      <c r="Q350" s="427">
        <v>60.4196799999999</v>
      </c>
      <c r="R350" s="427">
        <v>62.038219999999903</v>
      </c>
      <c r="S350" s="427">
        <v>63.656759999999899</v>
      </c>
      <c r="T350" s="427">
        <v>65.275299999999902</v>
      </c>
    </row>
    <row r="351" spans="1:20" s="427" customFormat="1">
      <c r="A351" s="427" t="str">
        <f t="shared" si="34"/>
        <v>KU</v>
      </c>
      <c r="B351" s="427" t="str">
        <f t="shared" si="35"/>
        <v>KY</v>
      </c>
      <c r="C351" s="427" t="str">
        <f t="shared" si="36"/>
        <v>E</v>
      </c>
      <c r="D351" s="427" t="s">
        <v>3422</v>
      </c>
      <c r="E351" s="427" t="str">
        <f t="shared" si="32"/>
        <v>346</v>
      </c>
      <c r="F351" s="756" t="s">
        <v>1756</v>
      </c>
      <c r="G351" s="426" t="str">
        <f t="shared" si="37"/>
        <v/>
      </c>
      <c r="H351" s="427">
        <v>3230.5982100000001</v>
      </c>
      <c r="I351" s="427">
        <v>3250.9888799999999</v>
      </c>
      <c r="J351" s="427">
        <v>3271.43209999999</v>
      </c>
      <c r="K351" s="427">
        <v>3291.92785</v>
      </c>
      <c r="L351" s="427">
        <v>3312.4236000000001</v>
      </c>
      <c r="M351" s="427">
        <v>3332.9193499999901</v>
      </c>
      <c r="N351" s="427">
        <v>3353.4151000000002</v>
      </c>
      <c r="O351" s="427">
        <v>3373.9108500000002</v>
      </c>
      <c r="P351" s="427">
        <v>3394.4065999999998</v>
      </c>
      <c r="Q351" s="427">
        <v>3414.9023499999998</v>
      </c>
      <c r="R351" s="427">
        <v>3435.3980999999999</v>
      </c>
      <c r="S351" s="427">
        <v>3455.9430000000002</v>
      </c>
      <c r="T351" s="427">
        <v>3476.5370499999999</v>
      </c>
    </row>
    <row r="352" spans="1:20" s="427" customFormat="1">
      <c r="A352" s="427" t="str">
        <f t="shared" si="34"/>
        <v>KU</v>
      </c>
      <c r="B352" s="427" t="str">
        <f t="shared" si="35"/>
        <v>KY</v>
      </c>
      <c r="C352" s="427" t="str">
        <f t="shared" si="36"/>
        <v>E</v>
      </c>
      <c r="D352" s="427" t="s">
        <v>3422</v>
      </c>
      <c r="E352" s="427" t="str">
        <f t="shared" si="32"/>
        <v>346</v>
      </c>
      <c r="F352" s="756" t="s">
        <v>2208</v>
      </c>
      <c r="G352" s="426" t="str">
        <f t="shared" si="37"/>
        <v/>
      </c>
      <c r="H352" s="427">
        <v>134.13354999999899</v>
      </c>
      <c r="I352" s="427">
        <v>142.59863000000001</v>
      </c>
      <c r="J352" s="427">
        <v>151.06370999999999</v>
      </c>
      <c r="K352" s="427">
        <v>159.52878999999999</v>
      </c>
      <c r="L352" s="427">
        <v>167.99386999999999</v>
      </c>
      <c r="M352" s="427">
        <v>176.45894999999999</v>
      </c>
      <c r="N352" s="427">
        <v>184.92402999999999</v>
      </c>
      <c r="O352" s="427">
        <v>193.38910999999999</v>
      </c>
      <c r="P352" s="427">
        <v>201.85418999999999</v>
      </c>
      <c r="Q352" s="427">
        <v>210.34517</v>
      </c>
      <c r="R352" s="427">
        <v>218.86205000000001</v>
      </c>
      <c r="S352" s="427">
        <v>228.00637</v>
      </c>
      <c r="T352" s="427">
        <v>237.99001000000001</v>
      </c>
    </row>
    <row r="353" spans="1:20" s="427" customFormat="1">
      <c r="A353" s="427" t="str">
        <f t="shared" si="34"/>
        <v>KU</v>
      </c>
      <c r="B353" s="427" t="str">
        <f t="shared" si="35"/>
        <v>KY</v>
      </c>
      <c r="C353" s="427" t="str">
        <f t="shared" si="36"/>
        <v>E</v>
      </c>
      <c r="D353" s="427" t="s">
        <v>3422</v>
      </c>
      <c r="E353" s="427" t="str">
        <f t="shared" si="32"/>
        <v>346</v>
      </c>
      <c r="F353" s="756" t="s">
        <v>2209</v>
      </c>
      <c r="G353" s="426" t="str">
        <f t="shared" si="37"/>
        <v/>
      </c>
      <c r="H353" s="427">
        <v>20.108830000000001</v>
      </c>
      <c r="I353" s="427">
        <v>21.613250000000001</v>
      </c>
      <c r="J353" s="427">
        <v>23.11767</v>
      </c>
      <c r="K353" s="427">
        <v>24.62209</v>
      </c>
      <c r="L353" s="427">
        <v>26.12651</v>
      </c>
      <c r="M353" s="427">
        <v>27.630929999999999</v>
      </c>
      <c r="N353" s="427">
        <v>29.135349999999999</v>
      </c>
      <c r="O353" s="427">
        <v>30.639769999999999</v>
      </c>
      <c r="P353" s="427">
        <v>32.144190000000002</v>
      </c>
      <c r="Q353" s="427">
        <v>33.648609999999998</v>
      </c>
      <c r="R353" s="427">
        <v>35.153030000000001</v>
      </c>
      <c r="S353" s="427">
        <v>36.657449999999997</v>
      </c>
      <c r="T353" s="427">
        <v>38.16187</v>
      </c>
    </row>
    <row r="354" spans="1:20" s="427" customFormat="1">
      <c r="A354" s="427" t="str">
        <f t="shared" si="34"/>
        <v>KU</v>
      </c>
      <c r="B354" s="427" t="str">
        <f t="shared" si="35"/>
        <v>KY</v>
      </c>
      <c r="C354" s="427" t="str">
        <f t="shared" si="36"/>
        <v>E</v>
      </c>
      <c r="D354" s="427" t="s">
        <v>3422</v>
      </c>
      <c r="E354" s="427" t="str">
        <f t="shared" si="32"/>
        <v>347</v>
      </c>
      <c r="F354" s="756" t="s">
        <v>2210</v>
      </c>
      <c r="G354" s="426" t="str">
        <f t="shared" si="37"/>
        <v>ARO</v>
      </c>
      <c r="H354" s="427">
        <v>53.377580000000002</v>
      </c>
      <c r="I354" s="427">
        <v>55.056699999999999</v>
      </c>
      <c r="J354" s="427">
        <v>56.735819999999997</v>
      </c>
      <c r="K354" s="427">
        <v>58.414940000000001</v>
      </c>
      <c r="L354" s="427">
        <v>60.094059999999999</v>
      </c>
      <c r="M354" s="427">
        <v>61.773180000000004</v>
      </c>
      <c r="N354" s="427">
        <v>63.452300000000001</v>
      </c>
      <c r="O354" s="427">
        <v>65.131420000000006</v>
      </c>
      <c r="P354" s="427">
        <v>66.810540000000003</v>
      </c>
      <c r="Q354" s="427">
        <v>68.489660000000001</v>
      </c>
      <c r="R354" s="427">
        <v>70.168779999999998</v>
      </c>
      <c r="S354" s="427">
        <v>71.847899999999996</v>
      </c>
      <c r="T354" s="427">
        <v>73.527019999999993</v>
      </c>
    </row>
    <row r="355" spans="1:20" s="427" customFormat="1">
      <c r="A355" s="427" t="str">
        <f t="shared" si="34"/>
        <v>KU</v>
      </c>
      <c r="B355" s="427" t="str">
        <f t="shared" si="35"/>
        <v>KY</v>
      </c>
      <c r="C355" s="427" t="str">
        <f t="shared" si="36"/>
        <v>E</v>
      </c>
      <c r="D355" s="427" t="s">
        <v>3422</v>
      </c>
      <c r="E355" s="427" t="str">
        <f t="shared" si="32"/>
        <v>350</v>
      </c>
      <c r="F355" s="756" t="s">
        <v>1757</v>
      </c>
      <c r="G355" s="426" t="str">
        <f t="shared" si="37"/>
        <v/>
      </c>
      <c r="H355" s="427">
        <v>15649.26123</v>
      </c>
      <c r="I355" s="427">
        <v>15668.833339999999</v>
      </c>
      <c r="J355" s="427">
        <v>15688.40545</v>
      </c>
      <c r="K355" s="427">
        <v>15707.977559999999</v>
      </c>
      <c r="L355" s="427">
        <v>15727.54967</v>
      </c>
      <c r="M355" s="427">
        <v>15747.121779999999</v>
      </c>
      <c r="N355" s="427">
        <v>15766.69389</v>
      </c>
      <c r="O355" s="427">
        <v>15786.314329999999</v>
      </c>
      <c r="P355" s="427">
        <v>15805.983099999999</v>
      </c>
      <c r="Q355" s="427">
        <v>15825.65187</v>
      </c>
      <c r="R355" s="427">
        <v>15845.32064</v>
      </c>
      <c r="S355" s="427">
        <v>15864.98941</v>
      </c>
      <c r="T355" s="427">
        <v>15884.65818</v>
      </c>
    </row>
    <row r="356" spans="1:20" s="427" customFormat="1">
      <c r="A356" s="427" t="str">
        <f t="shared" si="34"/>
        <v>KU</v>
      </c>
      <c r="B356" s="427" t="str">
        <f t="shared" si="35"/>
        <v>TN</v>
      </c>
      <c r="C356" s="427" t="str">
        <f t="shared" si="36"/>
        <v>E</v>
      </c>
      <c r="D356" s="427" t="s">
        <v>3422</v>
      </c>
      <c r="E356" s="427" t="str">
        <f t="shared" si="32"/>
        <v>350</v>
      </c>
      <c r="F356" s="756" t="s">
        <v>1758</v>
      </c>
      <c r="G356" s="426" t="str">
        <f t="shared" si="37"/>
        <v/>
      </c>
      <c r="H356" s="427">
        <v>0.36921999999999999</v>
      </c>
      <c r="I356" s="427">
        <v>0.36952999999999903</v>
      </c>
      <c r="J356" s="427">
        <v>0.36984</v>
      </c>
      <c r="K356" s="427">
        <v>0.37014999999999998</v>
      </c>
      <c r="L356" s="427">
        <v>0.37046000000000001</v>
      </c>
      <c r="M356" s="427">
        <v>0.37076999999999999</v>
      </c>
      <c r="N356" s="427">
        <v>0.37107999999999902</v>
      </c>
      <c r="O356" s="427">
        <v>0.371389999999999</v>
      </c>
      <c r="P356" s="427">
        <v>0.37169999999999898</v>
      </c>
      <c r="Q356" s="427">
        <v>0.37200999999999901</v>
      </c>
      <c r="R356" s="427">
        <v>0.37231999999999899</v>
      </c>
      <c r="S356" s="427">
        <v>0.37262999999999902</v>
      </c>
      <c r="T356" s="427">
        <v>0.37293999999999899</v>
      </c>
    </row>
    <row r="357" spans="1:20" s="427" customFormat="1">
      <c r="A357" s="427" t="str">
        <f t="shared" si="34"/>
        <v>KU</v>
      </c>
      <c r="B357" s="427" t="str">
        <f t="shared" si="35"/>
        <v>VA</v>
      </c>
      <c r="C357" s="427" t="str">
        <f t="shared" si="36"/>
        <v>E</v>
      </c>
      <c r="D357" s="427" t="s">
        <v>3422</v>
      </c>
      <c r="E357" s="427" t="str">
        <f t="shared" si="32"/>
        <v>350</v>
      </c>
      <c r="F357" s="756" t="s">
        <v>1759</v>
      </c>
      <c r="G357" s="426" t="str">
        <f t="shared" si="37"/>
        <v/>
      </c>
      <c r="H357" s="427">
        <v>1945.86897</v>
      </c>
      <c r="I357" s="427">
        <v>1947.4595899999999</v>
      </c>
      <c r="J357" s="427">
        <v>1949.0502100000001</v>
      </c>
      <c r="K357" s="427">
        <v>1950.6408300000001</v>
      </c>
      <c r="L357" s="427">
        <v>1952.23145</v>
      </c>
      <c r="M357" s="427">
        <v>1953.8220699999999</v>
      </c>
      <c r="N357" s="427">
        <v>1955.4126899999901</v>
      </c>
      <c r="O357" s="427">
        <v>1957.0033099999901</v>
      </c>
      <c r="P357" s="427">
        <v>1958.59392999999</v>
      </c>
      <c r="Q357" s="427">
        <v>1960.1845499999899</v>
      </c>
      <c r="R357" s="427">
        <v>1961.7751699999901</v>
      </c>
      <c r="S357" s="427">
        <v>1963.3657899999901</v>
      </c>
      <c r="T357" s="427">
        <v>1964.95640999999</v>
      </c>
    </row>
    <row r="358" spans="1:20" s="427" customFormat="1">
      <c r="A358" s="427" t="str">
        <f t="shared" si="34"/>
        <v>KU</v>
      </c>
      <c r="B358" s="427" t="str">
        <f t="shared" si="35"/>
        <v>KY</v>
      </c>
      <c r="C358" s="427" t="str">
        <f t="shared" si="36"/>
        <v>E</v>
      </c>
      <c r="D358" s="427" t="s">
        <v>3422</v>
      </c>
      <c r="E358" s="427" t="str">
        <f t="shared" si="32"/>
        <v>352</v>
      </c>
      <c r="F358" s="756" t="s">
        <v>1760</v>
      </c>
      <c r="G358" s="426" t="str">
        <f t="shared" si="37"/>
        <v/>
      </c>
      <c r="H358" s="427">
        <v>895.83158000000003</v>
      </c>
      <c r="I358" s="427">
        <v>897.69542999999999</v>
      </c>
      <c r="J358" s="427">
        <v>899.55488000000003</v>
      </c>
      <c r="K358" s="427">
        <v>901.40992000000006</v>
      </c>
      <c r="L358" s="427">
        <v>903.26495999999997</v>
      </c>
      <c r="M358" s="427">
        <v>905.12</v>
      </c>
      <c r="N358" s="427">
        <v>906.97504000000004</v>
      </c>
      <c r="O358" s="427">
        <v>908.83007999999995</v>
      </c>
      <c r="P358" s="427">
        <v>910.68511999999998</v>
      </c>
      <c r="Q358" s="427">
        <v>912.54016000000001</v>
      </c>
      <c r="R358" s="427">
        <v>914.39520000000005</v>
      </c>
      <c r="S358" s="427">
        <v>916.25023999999996</v>
      </c>
      <c r="T358" s="427">
        <v>918.10527999999999</v>
      </c>
    </row>
    <row r="359" spans="1:20" s="427" customFormat="1">
      <c r="A359" s="427" t="str">
        <f t="shared" si="34"/>
        <v>KU</v>
      </c>
      <c r="B359" s="427" t="str">
        <f t="shared" si="35"/>
        <v>KY</v>
      </c>
      <c r="C359" s="427" t="str">
        <f t="shared" si="36"/>
        <v>E</v>
      </c>
      <c r="D359" s="427" t="s">
        <v>3422</v>
      </c>
      <c r="E359" s="427" t="str">
        <f t="shared" si="32"/>
        <v>352</v>
      </c>
      <c r="F359" s="756" t="s">
        <v>1761</v>
      </c>
      <c r="G359" s="426" t="str">
        <f t="shared" si="37"/>
        <v/>
      </c>
      <c r="H359" s="427">
        <v>5509.3015500000001</v>
      </c>
      <c r="I359" s="427">
        <v>5545.8566600000004</v>
      </c>
      <c r="J359" s="427">
        <v>5576.8764799999999</v>
      </c>
      <c r="K359" s="427">
        <v>5613.4431800000002</v>
      </c>
      <c r="L359" s="427">
        <v>5648.4856300000001</v>
      </c>
      <c r="M359" s="427">
        <v>5662.4275699999998</v>
      </c>
      <c r="N359" s="427">
        <v>5698.7912900000001</v>
      </c>
      <c r="O359" s="427">
        <v>5735.5193499999996</v>
      </c>
      <c r="P359" s="427">
        <v>5772.2474099999999</v>
      </c>
      <c r="Q359" s="427">
        <v>5808.9754700000003</v>
      </c>
      <c r="R359" s="427">
        <v>5845.7035299999998</v>
      </c>
      <c r="S359" s="427">
        <v>5882.4315900000001</v>
      </c>
      <c r="T359" s="427">
        <v>5919.1596499999996</v>
      </c>
    </row>
    <row r="360" spans="1:20" s="427" customFormat="1">
      <c r="A360" s="427" t="str">
        <f t="shared" si="34"/>
        <v>KU</v>
      </c>
      <c r="B360" s="427" t="str">
        <f t="shared" si="35"/>
        <v>VA</v>
      </c>
      <c r="C360" s="427" t="str">
        <f t="shared" si="36"/>
        <v>E</v>
      </c>
      <c r="D360" s="427" t="s">
        <v>3422</v>
      </c>
      <c r="E360" s="427" t="str">
        <f t="shared" si="32"/>
        <v>352</v>
      </c>
      <c r="F360" s="756" t="s">
        <v>1762</v>
      </c>
      <c r="G360" s="426" t="str">
        <f t="shared" si="37"/>
        <v/>
      </c>
      <c r="H360" s="427">
        <v>786.91732000000002</v>
      </c>
      <c r="I360" s="427">
        <v>789.32875000000001</v>
      </c>
      <c r="J360" s="427">
        <v>791.74018000000001</v>
      </c>
      <c r="K360" s="427">
        <v>794.15161000000001</v>
      </c>
      <c r="L360" s="427">
        <v>796.56304</v>
      </c>
      <c r="M360" s="427">
        <v>798.97447</v>
      </c>
      <c r="N360" s="427">
        <v>801.38589999999999</v>
      </c>
      <c r="O360" s="427">
        <v>803.79732999999999</v>
      </c>
      <c r="P360" s="427">
        <v>806.20875999999998</v>
      </c>
      <c r="Q360" s="427">
        <v>808.62018999999998</v>
      </c>
      <c r="R360" s="427">
        <v>811.03161999999998</v>
      </c>
      <c r="S360" s="427">
        <v>813.44304999999997</v>
      </c>
      <c r="T360" s="427">
        <v>815.85447999999997</v>
      </c>
    </row>
    <row r="361" spans="1:20" s="427" customFormat="1">
      <c r="A361" s="427" t="str">
        <f t="shared" si="34"/>
        <v>KU</v>
      </c>
      <c r="B361" s="427" t="str">
        <f t="shared" si="35"/>
        <v>KY</v>
      </c>
      <c r="C361" s="427" t="str">
        <f t="shared" si="36"/>
        <v>E</v>
      </c>
      <c r="D361" s="427" t="s">
        <v>3422</v>
      </c>
      <c r="E361" s="427" t="str">
        <f t="shared" si="32"/>
        <v>353</v>
      </c>
      <c r="F361" s="756" t="s">
        <v>1763</v>
      </c>
      <c r="G361" s="426" t="str">
        <f t="shared" si="37"/>
        <v/>
      </c>
      <c r="H361" s="427">
        <v>65655.461460000006</v>
      </c>
      <c r="I361" s="427">
        <v>65468.785159999999</v>
      </c>
      <c r="J361" s="427">
        <v>65546.745739999998</v>
      </c>
      <c r="K361" s="427">
        <v>65875.582949999996</v>
      </c>
      <c r="L361" s="427">
        <v>65446.023229999999</v>
      </c>
      <c r="M361" s="427">
        <v>65619.490479999993</v>
      </c>
      <c r="N361" s="427">
        <v>65862.303060000006</v>
      </c>
      <c r="O361" s="427">
        <v>65493.051364054001</v>
      </c>
      <c r="P361" s="427">
        <v>65907.311784742007</v>
      </c>
      <c r="Q361" s="427">
        <v>66332.125463977995</v>
      </c>
      <c r="R361" s="427">
        <v>66833.48824418</v>
      </c>
      <c r="S361" s="427">
        <v>67336.306854180002</v>
      </c>
      <c r="T361" s="427">
        <v>67911.156325916105</v>
      </c>
    </row>
    <row r="362" spans="1:20" s="427" customFormat="1">
      <c r="A362" s="427" t="str">
        <f t="shared" si="34"/>
        <v>KU</v>
      </c>
      <c r="B362" s="427" t="str">
        <f t="shared" si="35"/>
        <v>KY</v>
      </c>
      <c r="C362" s="427" t="str">
        <f t="shared" si="36"/>
        <v>E</v>
      </c>
      <c r="D362" s="427" t="s">
        <v>3422</v>
      </c>
      <c r="E362" s="427" t="str">
        <f t="shared" si="32"/>
        <v>353</v>
      </c>
      <c r="F362" s="756" t="s">
        <v>1764</v>
      </c>
      <c r="G362" s="426" t="str">
        <f t="shared" si="37"/>
        <v/>
      </c>
      <c r="H362" s="427">
        <v>5726.20802</v>
      </c>
      <c r="I362" s="427">
        <v>5726.20802</v>
      </c>
      <c r="J362" s="427">
        <v>5726.20802</v>
      </c>
      <c r="K362" s="427">
        <v>5726.20802</v>
      </c>
      <c r="L362" s="427">
        <v>5726.20802</v>
      </c>
      <c r="M362" s="427">
        <v>5726.20802</v>
      </c>
      <c r="N362" s="427">
        <v>5726.20802</v>
      </c>
      <c r="O362" s="427">
        <v>5685.8793900000001</v>
      </c>
      <c r="P362" s="427">
        <v>5685.8793900000001</v>
      </c>
      <c r="Q362" s="427">
        <v>5685.8793900000001</v>
      </c>
      <c r="R362" s="427">
        <v>5685.8793900000001</v>
      </c>
      <c r="S362" s="427">
        <v>5685.8793900000001</v>
      </c>
      <c r="T362" s="427">
        <v>5685.8793900000001</v>
      </c>
    </row>
    <row r="363" spans="1:20" s="427" customFormat="1">
      <c r="A363" s="427" t="str">
        <f t="shared" si="34"/>
        <v>KU</v>
      </c>
      <c r="B363" s="427" t="str">
        <f t="shared" si="35"/>
        <v>VA</v>
      </c>
      <c r="C363" s="427" t="str">
        <f t="shared" si="36"/>
        <v>E</v>
      </c>
      <c r="D363" s="427" t="s">
        <v>3422</v>
      </c>
      <c r="E363" s="427" t="str">
        <f t="shared" si="32"/>
        <v>353</v>
      </c>
      <c r="F363" s="756" t="s">
        <v>1765</v>
      </c>
      <c r="G363" s="426" t="str">
        <f t="shared" si="37"/>
        <v/>
      </c>
      <c r="H363" s="427">
        <v>7897.2542199999998</v>
      </c>
      <c r="I363" s="427">
        <v>7926.5246999999999</v>
      </c>
      <c r="J363" s="427">
        <v>7959.9119300000002</v>
      </c>
      <c r="K363" s="427">
        <v>7996.0660099999996</v>
      </c>
      <c r="L363" s="427">
        <v>8032.2449699999997</v>
      </c>
      <c r="M363" s="427">
        <v>8062.82485</v>
      </c>
      <c r="N363" s="427">
        <v>8099.1683499999999</v>
      </c>
      <c r="O363" s="427">
        <v>8135.5092299999997</v>
      </c>
      <c r="P363" s="427">
        <v>8171.8501100000003</v>
      </c>
      <c r="Q363" s="427">
        <v>8208.1909899999991</v>
      </c>
      <c r="R363" s="427">
        <v>8244.5318700000007</v>
      </c>
      <c r="S363" s="427">
        <v>8280.8727500000005</v>
      </c>
      <c r="T363" s="427">
        <v>8317.2136300000002</v>
      </c>
    </row>
    <row r="364" spans="1:20" s="427" customFormat="1">
      <c r="A364" s="427" t="str">
        <f t="shared" si="34"/>
        <v>KU</v>
      </c>
      <c r="B364" s="427" t="str">
        <f t="shared" si="35"/>
        <v>KY</v>
      </c>
      <c r="C364" s="427" t="str">
        <f t="shared" si="36"/>
        <v>E</v>
      </c>
      <c r="D364" s="427" t="s">
        <v>3422</v>
      </c>
      <c r="E364" s="427" t="str">
        <f t="shared" si="32"/>
        <v>354</v>
      </c>
      <c r="F364" s="756" t="s">
        <v>1766</v>
      </c>
      <c r="G364" s="426" t="str">
        <f t="shared" si="37"/>
        <v/>
      </c>
      <c r="H364" s="427">
        <v>46116.981919999998</v>
      </c>
      <c r="I364" s="427">
        <v>46216.765180000002</v>
      </c>
      <c r="J364" s="427">
        <v>46316.548439999999</v>
      </c>
      <c r="K364" s="427">
        <v>46416.331700000002</v>
      </c>
      <c r="L364" s="427">
        <v>46516.114959999999</v>
      </c>
      <c r="M364" s="427">
        <v>46615.898220000003</v>
      </c>
      <c r="N364" s="427">
        <v>46715.681479999999</v>
      </c>
      <c r="O364" s="427">
        <v>46815.464740000003</v>
      </c>
      <c r="P364" s="427">
        <v>46915.248</v>
      </c>
      <c r="Q364" s="427">
        <v>47015.031260000003</v>
      </c>
      <c r="R364" s="427">
        <v>47114.81452</v>
      </c>
      <c r="S364" s="427">
        <v>47214.597779999996</v>
      </c>
      <c r="T364" s="427">
        <v>47314.38104</v>
      </c>
    </row>
    <row r="365" spans="1:20" s="427" customFormat="1">
      <c r="A365" s="427" t="str">
        <f t="shared" si="34"/>
        <v>KU</v>
      </c>
      <c r="B365" s="427" t="str">
        <f t="shared" si="35"/>
        <v>VA</v>
      </c>
      <c r="C365" s="427" t="str">
        <f t="shared" si="36"/>
        <v>E</v>
      </c>
      <c r="D365" s="427" t="s">
        <v>3422</v>
      </c>
      <c r="E365" s="427" t="str">
        <f t="shared" si="32"/>
        <v>354</v>
      </c>
      <c r="F365" s="756" t="s">
        <v>1767</v>
      </c>
      <c r="G365" s="426" t="str">
        <f t="shared" si="37"/>
        <v/>
      </c>
      <c r="H365" s="427">
        <v>5034.5622100000001</v>
      </c>
      <c r="I365" s="427">
        <v>5044.6755700000003</v>
      </c>
      <c r="J365" s="427">
        <v>5054.7889299999997</v>
      </c>
      <c r="K365" s="427">
        <v>5064.90229</v>
      </c>
      <c r="L365" s="427">
        <v>5075.0156500000003</v>
      </c>
      <c r="M365" s="427">
        <v>5085.1290099999997</v>
      </c>
      <c r="N365" s="427">
        <v>5095.2423699999999</v>
      </c>
      <c r="O365" s="427">
        <v>5105.3557300000002</v>
      </c>
      <c r="P365" s="427">
        <v>5115.4690899999996</v>
      </c>
      <c r="Q365" s="427">
        <v>5125.5824499999999</v>
      </c>
      <c r="R365" s="427">
        <v>5135.6958100000002</v>
      </c>
      <c r="S365" s="427">
        <v>5145.8091700000004</v>
      </c>
      <c r="T365" s="427">
        <v>5155.9225299999998</v>
      </c>
    </row>
    <row r="366" spans="1:20" s="427" customFormat="1">
      <c r="A366" s="427" t="str">
        <f t="shared" si="34"/>
        <v>KU</v>
      </c>
      <c r="B366" s="427" t="str">
        <f t="shared" si="35"/>
        <v>KY</v>
      </c>
      <c r="C366" s="427" t="str">
        <f t="shared" si="36"/>
        <v>E</v>
      </c>
      <c r="D366" s="427" t="s">
        <v>3422</v>
      </c>
      <c r="E366" s="427" t="str">
        <f t="shared" si="32"/>
        <v>355</v>
      </c>
      <c r="F366" s="756" t="s">
        <v>1768</v>
      </c>
      <c r="G366" s="426" t="str">
        <f t="shared" si="37"/>
        <v/>
      </c>
      <c r="H366" s="427">
        <v>68041.208329999994</v>
      </c>
      <c r="I366" s="427">
        <v>68680.139920000001</v>
      </c>
      <c r="J366" s="427">
        <v>68307.766940000001</v>
      </c>
      <c r="K366" s="427">
        <v>68157.626879999996</v>
      </c>
      <c r="L366" s="427">
        <v>68446.33021</v>
      </c>
      <c r="M366" s="427">
        <v>68870.965129999997</v>
      </c>
      <c r="N366" s="427">
        <v>69349.452869999994</v>
      </c>
      <c r="O366" s="427">
        <v>66784.490014081501</v>
      </c>
      <c r="P366" s="427">
        <v>67324.3854881515</v>
      </c>
      <c r="Q366" s="427">
        <v>67675.511063361497</v>
      </c>
      <c r="R366" s="427">
        <v>68437.110217859794</v>
      </c>
      <c r="S366" s="427">
        <v>68857.090774552795</v>
      </c>
      <c r="T366" s="427">
        <v>68955.081668778002</v>
      </c>
    </row>
    <row r="367" spans="1:20" s="427" customFormat="1">
      <c r="A367" s="427" t="str">
        <f t="shared" si="34"/>
        <v>KU</v>
      </c>
      <c r="B367" s="427" t="str">
        <f t="shared" si="35"/>
        <v>TN</v>
      </c>
      <c r="C367" s="427" t="str">
        <f t="shared" si="36"/>
        <v>E</v>
      </c>
      <c r="D367" s="427" t="s">
        <v>3422</v>
      </c>
      <c r="E367" s="427" t="str">
        <f t="shared" si="32"/>
        <v>355</v>
      </c>
      <c r="F367" s="756" t="s">
        <v>1769</v>
      </c>
      <c r="G367" s="426" t="str">
        <f t="shared" si="37"/>
        <v/>
      </c>
      <c r="H367" s="427">
        <v>89.515050000000002</v>
      </c>
      <c r="I367" s="427">
        <v>89.822649999999996</v>
      </c>
      <c r="J367" s="427">
        <v>90.130250000000004</v>
      </c>
      <c r="K367" s="427">
        <v>89.141440000000003</v>
      </c>
      <c r="L367" s="427">
        <v>89.45581</v>
      </c>
      <c r="M367" s="427">
        <v>89.770179999999996</v>
      </c>
      <c r="N367" s="427">
        <v>90.084549999999993</v>
      </c>
      <c r="O367" s="427">
        <v>90.398920000000004</v>
      </c>
      <c r="P367" s="427">
        <v>90.713290000000001</v>
      </c>
      <c r="Q367" s="427">
        <v>91.027659999999997</v>
      </c>
      <c r="R367" s="427">
        <v>91.342029999999994</v>
      </c>
      <c r="S367" s="427">
        <v>91.656399999999906</v>
      </c>
      <c r="T367" s="427">
        <v>91.970769999999902</v>
      </c>
    </row>
    <row r="368" spans="1:20" s="427" customFormat="1">
      <c r="A368" s="427" t="str">
        <f t="shared" si="34"/>
        <v>KU</v>
      </c>
      <c r="B368" s="427" t="str">
        <f t="shared" si="35"/>
        <v>VA</v>
      </c>
      <c r="C368" s="427" t="str">
        <f t="shared" si="36"/>
        <v>E</v>
      </c>
      <c r="D368" s="427" t="s">
        <v>3422</v>
      </c>
      <c r="E368" s="427" t="str">
        <f t="shared" si="32"/>
        <v>355</v>
      </c>
      <c r="F368" s="756" t="s">
        <v>1770</v>
      </c>
      <c r="G368" s="426" t="str">
        <f t="shared" si="37"/>
        <v/>
      </c>
      <c r="H368" s="427">
        <v>4569.5294299999996</v>
      </c>
      <c r="I368" s="427">
        <v>4601.7928000000002</v>
      </c>
      <c r="J368" s="427">
        <v>4618.0853099999904</v>
      </c>
      <c r="K368" s="427">
        <v>4642.3939700000001</v>
      </c>
      <c r="L368" s="427">
        <v>4673.5158700000002</v>
      </c>
      <c r="M368" s="427">
        <v>4704.6498799999999</v>
      </c>
      <c r="N368" s="427">
        <v>4735.79601</v>
      </c>
      <c r="O368" s="427">
        <v>4685.0492400000003</v>
      </c>
      <c r="P368" s="427">
        <v>4693.4238488499996</v>
      </c>
      <c r="Q368" s="427">
        <v>4594.2717478000004</v>
      </c>
      <c r="R368" s="427">
        <v>4628.7224877999997</v>
      </c>
      <c r="S368" s="427">
        <v>4663.3818878000002</v>
      </c>
      <c r="T368" s="427">
        <v>4698.0415578000002</v>
      </c>
    </row>
    <row r="369" spans="1:20" s="427" customFormat="1">
      <c r="A369" s="427" t="str">
        <f t="shared" si="34"/>
        <v>KU</v>
      </c>
      <c r="B369" s="427" t="str">
        <f t="shared" si="35"/>
        <v>KY</v>
      </c>
      <c r="C369" s="427" t="str">
        <f t="shared" si="36"/>
        <v>E</v>
      </c>
      <c r="D369" s="427" t="s">
        <v>3422</v>
      </c>
      <c r="E369" s="427" t="str">
        <f t="shared" si="32"/>
        <v>356</v>
      </c>
      <c r="F369" s="756" t="s">
        <v>1771</v>
      </c>
      <c r="G369" s="426" t="str">
        <f t="shared" si="37"/>
        <v/>
      </c>
      <c r="H369" s="427">
        <v>103360.7934</v>
      </c>
      <c r="I369" s="427">
        <v>103602.69130000001</v>
      </c>
      <c r="J369" s="427">
        <v>103599.49069999999</v>
      </c>
      <c r="K369" s="427">
        <v>103363.31909999999</v>
      </c>
      <c r="L369" s="427">
        <v>103636.28109999999</v>
      </c>
      <c r="M369" s="427">
        <v>103546.7154</v>
      </c>
      <c r="N369" s="427">
        <v>103364.2518</v>
      </c>
      <c r="O369" s="427">
        <v>103540.94803</v>
      </c>
      <c r="P369" s="427">
        <v>103902.18836</v>
      </c>
      <c r="Q369" s="427">
        <v>104263.81663</v>
      </c>
      <c r="R369" s="427">
        <v>104625.55753999999</v>
      </c>
      <c r="S369" s="427">
        <v>104987.29845</v>
      </c>
      <c r="T369" s="427">
        <v>105349.03936</v>
      </c>
    </row>
    <row r="370" spans="1:20" s="427" customFormat="1">
      <c r="A370" s="427" t="str">
        <f t="shared" si="34"/>
        <v>KU</v>
      </c>
      <c r="B370" s="427" t="str">
        <f t="shared" si="35"/>
        <v>TN</v>
      </c>
      <c r="C370" s="427" t="str">
        <f t="shared" si="36"/>
        <v>E</v>
      </c>
      <c r="D370" s="427" t="s">
        <v>3422</v>
      </c>
      <c r="E370" s="427" t="str">
        <f t="shared" si="32"/>
        <v>356</v>
      </c>
      <c r="F370" s="756" t="s">
        <v>1772</v>
      </c>
      <c r="G370" s="426" t="str">
        <f t="shared" si="37"/>
        <v/>
      </c>
      <c r="H370" s="427">
        <v>53.818350000000002</v>
      </c>
      <c r="I370" s="427">
        <v>53.983580000000003</v>
      </c>
      <c r="J370" s="427">
        <v>54.148809999999997</v>
      </c>
      <c r="K370" s="427">
        <v>53.114359999999998</v>
      </c>
      <c r="L370" s="427">
        <v>53.285150000000002</v>
      </c>
      <c r="M370" s="427">
        <v>53.455939999999998</v>
      </c>
      <c r="N370" s="427">
        <v>53.626730000000002</v>
      </c>
      <c r="O370" s="427">
        <v>53.797519999999999</v>
      </c>
      <c r="P370" s="427">
        <v>53.968310000000002</v>
      </c>
      <c r="Q370" s="427">
        <v>54.139099999999999</v>
      </c>
      <c r="R370" s="427">
        <v>54.309890000000003</v>
      </c>
      <c r="S370" s="427">
        <v>54.48068</v>
      </c>
      <c r="T370" s="427">
        <v>54.651470000000003</v>
      </c>
    </row>
    <row r="371" spans="1:20" s="427" customFormat="1">
      <c r="A371" s="427" t="str">
        <f t="shared" si="34"/>
        <v>KU</v>
      </c>
      <c r="B371" s="427" t="str">
        <f t="shared" si="35"/>
        <v>VA</v>
      </c>
      <c r="C371" s="427" t="str">
        <f t="shared" si="36"/>
        <v>E</v>
      </c>
      <c r="D371" s="427" t="s">
        <v>3422</v>
      </c>
      <c r="E371" s="427" t="str">
        <f t="shared" ref="E371:E429" si="38">MID($F371,8,3)</f>
        <v>356</v>
      </c>
      <c r="F371" s="756" t="s">
        <v>1773</v>
      </c>
      <c r="G371" s="426" t="str">
        <f t="shared" si="37"/>
        <v/>
      </c>
      <c r="H371" s="427">
        <v>10468.93563</v>
      </c>
      <c r="I371" s="427">
        <v>10159.117899999999</v>
      </c>
      <c r="J371" s="427">
        <v>10139.782149999999</v>
      </c>
      <c r="K371" s="427">
        <v>10173.874659999999</v>
      </c>
      <c r="L371" s="427">
        <v>10213.43953</v>
      </c>
      <c r="M371" s="427">
        <v>10253.00887</v>
      </c>
      <c r="N371" s="427">
        <v>10292.58267</v>
      </c>
      <c r="O371" s="427">
        <v>10332.1567</v>
      </c>
      <c r="P371" s="427">
        <v>10371.730959999901</v>
      </c>
      <c r="Q371" s="427">
        <v>10411.3052199999</v>
      </c>
      <c r="R371" s="427">
        <v>10450.8794799999</v>
      </c>
      <c r="S371" s="427">
        <v>10490.453739999901</v>
      </c>
      <c r="T371" s="427">
        <v>10530.0279999999</v>
      </c>
    </row>
    <row r="372" spans="1:20" s="427" customFormat="1">
      <c r="A372" s="427" t="str">
        <f t="shared" si="34"/>
        <v>KU</v>
      </c>
      <c r="B372" s="427" t="str">
        <f t="shared" si="35"/>
        <v>KY</v>
      </c>
      <c r="C372" s="427" t="str">
        <f t="shared" si="36"/>
        <v>E</v>
      </c>
      <c r="D372" s="427" t="s">
        <v>3422</v>
      </c>
      <c r="E372" s="427" t="str">
        <f t="shared" si="38"/>
        <v>357</v>
      </c>
      <c r="F372" s="756" t="s">
        <v>1774</v>
      </c>
      <c r="G372" s="426" t="str">
        <f t="shared" si="37"/>
        <v/>
      </c>
      <c r="H372" s="427">
        <v>248.74043</v>
      </c>
      <c r="I372" s="427">
        <v>249.37617</v>
      </c>
      <c r="J372" s="427">
        <v>250.01191</v>
      </c>
      <c r="K372" s="427">
        <v>250.64765</v>
      </c>
      <c r="L372" s="427">
        <v>251.28339</v>
      </c>
      <c r="M372" s="427">
        <v>251.91913</v>
      </c>
      <c r="N372" s="427">
        <v>252.55486999999999</v>
      </c>
      <c r="O372" s="427">
        <v>253.19060999999999</v>
      </c>
      <c r="P372" s="427">
        <v>253.82634999999999</v>
      </c>
      <c r="Q372" s="427">
        <v>254.46208999999999</v>
      </c>
      <c r="R372" s="427">
        <v>255.09782999999999</v>
      </c>
      <c r="S372" s="427">
        <v>255.73356999999999</v>
      </c>
      <c r="T372" s="427">
        <v>256.36930999999998</v>
      </c>
    </row>
    <row r="373" spans="1:20" s="427" customFormat="1">
      <c r="A373" s="427" t="str">
        <f t="shared" si="34"/>
        <v>KU</v>
      </c>
      <c r="B373" s="427" t="str">
        <f t="shared" si="35"/>
        <v>KY</v>
      </c>
      <c r="C373" s="427" t="str">
        <f t="shared" si="36"/>
        <v>E</v>
      </c>
      <c r="D373" s="427" t="s">
        <v>3422</v>
      </c>
      <c r="E373" s="427" t="str">
        <f t="shared" si="38"/>
        <v>358</v>
      </c>
      <c r="F373" s="756" t="s">
        <v>1775</v>
      </c>
      <c r="G373" s="426" t="str">
        <f t="shared" si="37"/>
        <v/>
      </c>
      <c r="H373" s="427">
        <v>948.75397999999996</v>
      </c>
      <c r="I373" s="427">
        <v>949.55508999999995</v>
      </c>
      <c r="J373" s="427">
        <v>950.35619999999994</v>
      </c>
      <c r="K373" s="427">
        <v>951.15746000000001</v>
      </c>
      <c r="L373" s="427">
        <v>951.95888000000002</v>
      </c>
      <c r="M373" s="427">
        <v>952.76030000000003</v>
      </c>
      <c r="N373" s="427">
        <v>953.56172000000004</v>
      </c>
      <c r="O373" s="427">
        <v>954.36314000000004</v>
      </c>
      <c r="P373" s="427">
        <v>955.16456000000005</v>
      </c>
      <c r="Q373" s="427">
        <v>955.96597999999994</v>
      </c>
      <c r="R373" s="427">
        <v>956.76739999999995</v>
      </c>
      <c r="S373" s="427">
        <v>957.56881999999996</v>
      </c>
      <c r="T373" s="427">
        <v>958.37023999999997</v>
      </c>
    </row>
    <row r="374" spans="1:20" s="427" customFormat="1">
      <c r="A374" s="427" t="str">
        <f t="shared" si="34"/>
        <v>KU</v>
      </c>
      <c r="B374" s="427" t="str">
        <f t="shared" si="35"/>
        <v>KY</v>
      </c>
      <c r="C374" s="427" t="str">
        <f t="shared" si="36"/>
        <v>E</v>
      </c>
      <c r="D374" s="427" t="s">
        <v>3422</v>
      </c>
      <c r="E374" s="427" t="str">
        <f t="shared" si="38"/>
        <v>359</v>
      </c>
      <c r="F374" s="756" t="s">
        <v>1776</v>
      </c>
      <c r="G374" s="426" t="str">
        <f t="shared" si="37"/>
        <v>ARO</v>
      </c>
      <c r="H374" s="427">
        <v>72.967680000000001</v>
      </c>
      <c r="I374" s="427">
        <v>74.560319999999905</v>
      </c>
      <c r="J374" s="427">
        <v>76.152959999999993</v>
      </c>
      <c r="K374" s="427">
        <v>77.745609999999999</v>
      </c>
      <c r="L374" s="427">
        <v>79.338249999999903</v>
      </c>
      <c r="M374" s="427">
        <v>80.087609999999998</v>
      </c>
      <c r="N374" s="427">
        <v>81.662949999999995</v>
      </c>
      <c r="O374" s="427">
        <v>83.255589999999998</v>
      </c>
      <c r="P374" s="427">
        <v>84.848229999999901</v>
      </c>
      <c r="Q374" s="427">
        <v>86.440869999999904</v>
      </c>
      <c r="R374" s="427">
        <v>88.033509999999893</v>
      </c>
      <c r="S374" s="427">
        <v>89.626149999999896</v>
      </c>
      <c r="T374" s="427">
        <v>91.218789999999899</v>
      </c>
    </row>
    <row r="375" spans="1:20" s="427" customFormat="1">
      <c r="A375" s="427" t="str">
        <f t="shared" si="34"/>
        <v>KU</v>
      </c>
      <c r="B375" s="427" t="str">
        <f t="shared" si="35"/>
        <v>KY</v>
      </c>
      <c r="C375" s="427" t="str">
        <f t="shared" si="36"/>
        <v>E</v>
      </c>
      <c r="D375" s="427" t="s">
        <v>3422</v>
      </c>
      <c r="E375" s="427" t="str">
        <f t="shared" si="38"/>
        <v>360</v>
      </c>
      <c r="F375" s="756" t="s">
        <v>1778</v>
      </c>
      <c r="G375" s="426" t="str">
        <f t="shared" si="37"/>
        <v/>
      </c>
      <c r="H375" s="427">
        <v>1412.3568499999999</v>
      </c>
      <c r="I375" s="427">
        <v>1413.4636800000001</v>
      </c>
      <c r="J375" s="427">
        <v>1414.57051</v>
      </c>
      <c r="K375" s="427">
        <v>1415.67734</v>
      </c>
      <c r="L375" s="427">
        <v>1416.7841699999999</v>
      </c>
      <c r="M375" s="427">
        <v>1417.8910000000001</v>
      </c>
      <c r="N375" s="427">
        <v>1418.99783</v>
      </c>
      <c r="O375" s="427">
        <v>1420.10466</v>
      </c>
      <c r="P375" s="427">
        <v>1421.2114899999999</v>
      </c>
      <c r="Q375" s="427">
        <v>1422.3183199999901</v>
      </c>
      <c r="R375" s="427">
        <v>1423.42514999999</v>
      </c>
      <c r="S375" s="427">
        <v>1424.53197999999</v>
      </c>
      <c r="T375" s="427">
        <v>1425.6388099999899</v>
      </c>
    </row>
    <row r="376" spans="1:20" s="427" customFormat="1">
      <c r="A376" s="427" t="str">
        <f t="shared" si="34"/>
        <v>KU</v>
      </c>
      <c r="B376" s="427" t="str">
        <f t="shared" si="35"/>
        <v>TN</v>
      </c>
      <c r="C376" s="427" t="str">
        <f t="shared" si="36"/>
        <v>E</v>
      </c>
      <c r="D376" s="427" t="s">
        <v>3422</v>
      </c>
      <c r="E376" s="427" t="str">
        <f t="shared" si="38"/>
        <v>360</v>
      </c>
      <c r="F376" s="756" t="s">
        <v>1779</v>
      </c>
      <c r="G376" s="426" t="str">
        <f t="shared" si="37"/>
        <v/>
      </c>
      <c r="H376" s="427">
        <v>2.46915</v>
      </c>
      <c r="I376" s="427">
        <v>2.4705499999999998</v>
      </c>
      <c r="J376" s="427">
        <v>2.4719499999999899</v>
      </c>
      <c r="K376" s="427">
        <v>2.4733499999999999</v>
      </c>
      <c r="L376" s="427">
        <v>2.4747499999999998</v>
      </c>
      <c r="M376" s="427">
        <v>2.4761500000000001</v>
      </c>
      <c r="N376" s="427">
        <v>2.4775499999999999</v>
      </c>
      <c r="O376" s="427">
        <v>2.4789500000000002</v>
      </c>
      <c r="P376" s="427">
        <v>2.4803500000000001</v>
      </c>
      <c r="Q376" s="427">
        <v>2.4817499999999999</v>
      </c>
      <c r="R376" s="427">
        <v>2.48314999999999</v>
      </c>
      <c r="S376" s="427">
        <v>2.4845499999999898</v>
      </c>
      <c r="T376" s="427">
        <v>2.4859499999999901</v>
      </c>
    </row>
    <row r="377" spans="1:20" s="427" customFormat="1">
      <c r="A377" s="427" t="str">
        <f t="shared" si="34"/>
        <v>KU</v>
      </c>
      <c r="B377" s="427" t="str">
        <f t="shared" si="35"/>
        <v>VA</v>
      </c>
      <c r="C377" s="427" t="str">
        <f t="shared" si="36"/>
        <v>E</v>
      </c>
      <c r="D377" s="427" t="s">
        <v>3422</v>
      </c>
      <c r="E377" s="427" t="str">
        <f t="shared" si="38"/>
        <v>360</v>
      </c>
      <c r="F377" s="756" t="s">
        <v>1780</v>
      </c>
      <c r="G377" s="426" t="str">
        <f t="shared" si="37"/>
        <v/>
      </c>
      <c r="H377" s="427">
        <v>69.089119999999994</v>
      </c>
      <c r="I377" s="427">
        <v>69.137649999999994</v>
      </c>
      <c r="J377" s="427">
        <v>69.186179999999993</v>
      </c>
      <c r="K377" s="427">
        <v>69.234710000000007</v>
      </c>
      <c r="L377" s="427">
        <v>69.283240000000006</v>
      </c>
      <c r="M377" s="427">
        <v>69.331770000000006</v>
      </c>
      <c r="N377" s="427">
        <v>69.380300000000005</v>
      </c>
      <c r="O377" s="427">
        <v>69.428830000000005</v>
      </c>
      <c r="P377" s="427">
        <v>69.477360000000004</v>
      </c>
      <c r="Q377" s="427">
        <v>69.525890000000004</v>
      </c>
      <c r="R377" s="427">
        <v>69.574420000000003</v>
      </c>
      <c r="S377" s="427">
        <v>69.622950000000003</v>
      </c>
      <c r="T377" s="427">
        <v>69.671480000000003</v>
      </c>
    </row>
    <row r="378" spans="1:20" s="427" customFormat="1">
      <c r="A378" s="427" t="str">
        <f t="shared" si="34"/>
        <v>KU</v>
      </c>
      <c r="B378" s="427" t="str">
        <f t="shared" si="35"/>
        <v>KY</v>
      </c>
      <c r="C378" s="427" t="str">
        <f t="shared" si="36"/>
        <v>E</v>
      </c>
      <c r="D378" s="427" t="s">
        <v>3422</v>
      </c>
      <c r="E378" s="427" t="str">
        <f t="shared" si="38"/>
        <v>361</v>
      </c>
      <c r="F378" s="756" t="s">
        <v>1781</v>
      </c>
      <c r="G378" s="426" t="str">
        <f t="shared" si="37"/>
        <v/>
      </c>
      <c r="H378" s="427">
        <v>2465.8693499999999</v>
      </c>
      <c r="I378" s="427">
        <v>2490.7112000000002</v>
      </c>
      <c r="J378" s="427">
        <v>2515.7280000000001</v>
      </c>
      <c r="K378" s="427">
        <v>2541.1741400000001</v>
      </c>
      <c r="L378" s="427">
        <v>2566.7260499999902</v>
      </c>
      <c r="M378" s="427">
        <v>2446.1262400000001</v>
      </c>
      <c r="N378" s="427">
        <v>2470.4759100000001</v>
      </c>
      <c r="O378" s="427">
        <v>2402.37202634599</v>
      </c>
      <c r="P378" s="427">
        <v>2428.1213770979998</v>
      </c>
      <c r="Q378" s="427">
        <v>2456.52306709799</v>
      </c>
      <c r="R378" s="427">
        <v>2486.80888709799</v>
      </c>
      <c r="S378" s="427">
        <v>2519.2303370979898</v>
      </c>
      <c r="T378" s="427">
        <v>2543.95695006299</v>
      </c>
    </row>
    <row r="379" spans="1:20" s="427" customFormat="1">
      <c r="A379" s="427" t="str">
        <f t="shared" si="34"/>
        <v>KU</v>
      </c>
      <c r="B379" s="427" t="str">
        <f t="shared" si="35"/>
        <v>TN</v>
      </c>
      <c r="C379" s="427" t="str">
        <f t="shared" si="36"/>
        <v>E</v>
      </c>
      <c r="D379" s="427" t="s">
        <v>3422</v>
      </c>
      <c r="E379" s="427" t="str">
        <f t="shared" si="38"/>
        <v>361</v>
      </c>
      <c r="F379" s="756" t="s">
        <v>1782</v>
      </c>
      <c r="G379" s="426" t="str">
        <f t="shared" si="37"/>
        <v/>
      </c>
      <c r="H379" s="427">
        <v>2.4578600000000002</v>
      </c>
      <c r="I379" s="427">
        <v>2.4624199999999998</v>
      </c>
      <c r="J379" s="427">
        <v>2.46698</v>
      </c>
      <c r="K379" s="427">
        <v>2.4715400000000001</v>
      </c>
      <c r="L379" s="427">
        <v>2.47609999999999</v>
      </c>
      <c r="M379" s="427">
        <v>2.4806599999999999</v>
      </c>
      <c r="N379" s="427">
        <v>2.48522</v>
      </c>
      <c r="O379" s="427">
        <v>2.4897800000000001</v>
      </c>
      <c r="P379" s="427">
        <v>2.4943399999999998</v>
      </c>
      <c r="Q379" s="427">
        <v>2.4988999999999999</v>
      </c>
      <c r="R379" s="427">
        <v>2.50346</v>
      </c>
      <c r="S379" s="427">
        <v>2.5080200000000001</v>
      </c>
      <c r="T379" s="427">
        <v>2.5125799999999998</v>
      </c>
    </row>
    <row r="380" spans="1:20" s="427" customFormat="1">
      <c r="A380" s="427" t="str">
        <f t="shared" si="34"/>
        <v>KU</v>
      </c>
      <c r="B380" s="427" t="str">
        <f t="shared" si="35"/>
        <v>VA</v>
      </c>
      <c r="C380" s="427" t="str">
        <f t="shared" si="36"/>
        <v>E</v>
      </c>
      <c r="D380" s="427" t="s">
        <v>3422</v>
      </c>
      <c r="E380" s="427" t="str">
        <f t="shared" si="38"/>
        <v>361</v>
      </c>
      <c r="F380" s="756" t="s">
        <v>1783</v>
      </c>
      <c r="G380" s="426" t="str">
        <f t="shared" si="37"/>
        <v/>
      </c>
      <c r="H380" s="427">
        <v>133.81453999999999</v>
      </c>
      <c r="I380" s="427">
        <v>134.83613</v>
      </c>
      <c r="J380" s="427">
        <v>135.85772</v>
      </c>
      <c r="K380" s="427">
        <v>136.87931</v>
      </c>
      <c r="L380" s="427">
        <v>137.90090000000001</v>
      </c>
      <c r="M380" s="427">
        <v>138.94114999999999</v>
      </c>
      <c r="N380" s="427">
        <v>140.00005999999999</v>
      </c>
      <c r="O380" s="427">
        <v>141.07102</v>
      </c>
      <c r="P380" s="427">
        <v>142.15402</v>
      </c>
      <c r="Q380" s="427">
        <v>143.27143000000001</v>
      </c>
      <c r="R380" s="427">
        <v>144.43628000000001</v>
      </c>
      <c r="S380" s="427">
        <v>145.61417</v>
      </c>
      <c r="T380" s="427">
        <v>146.89075</v>
      </c>
    </row>
    <row r="381" spans="1:20" s="427" customFormat="1">
      <c r="A381" s="427" t="str">
        <f t="shared" si="34"/>
        <v>KU</v>
      </c>
      <c r="B381" s="427" t="str">
        <f t="shared" si="35"/>
        <v>KY</v>
      </c>
      <c r="C381" s="427" t="str">
        <f t="shared" si="36"/>
        <v>E</v>
      </c>
      <c r="D381" s="427" t="s">
        <v>3422</v>
      </c>
      <c r="E381" s="427" t="str">
        <f t="shared" si="38"/>
        <v>362</v>
      </c>
      <c r="F381" s="756" t="s">
        <v>1784</v>
      </c>
      <c r="G381" s="426" t="str">
        <f t="shared" si="37"/>
        <v/>
      </c>
      <c r="H381" s="427">
        <v>49017.509440000002</v>
      </c>
      <c r="I381" s="427">
        <v>49243.59463</v>
      </c>
      <c r="J381" s="427">
        <v>48825.044990000002</v>
      </c>
      <c r="K381" s="427">
        <v>49108.517549999997</v>
      </c>
      <c r="L381" s="427">
        <v>49470.933559999998</v>
      </c>
      <c r="M381" s="427">
        <v>49385.111770000003</v>
      </c>
      <c r="N381" s="427">
        <v>49714.011760000001</v>
      </c>
      <c r="O381" s="427">
        <v>49339.416535823097</v>
      </c>
      <c r="P381" s="427">
        <v>49697.550145367102</v>
      </c>
      <c r="Q381" s="427">
        <v>50054.617653465</v>
      </c>
      <c r="R381" s="427">
        <v>50252.813996805096</v>
      </c>
      <c r="S381" s="427">
        <v>50617.491235655099</v>
      </c>
      <c r="T381" s="427">
        <v>49950.261039866098</v>
      </c>
    </row>
    <row r="382" spans="1:20" s="427" customFormat="1">
      <c r="A382" s="427" t="str">
        <f t="shared" si="34"/>
        <v>KU</v>
      </c>
      <c r="B382" s="427" t="str">
        <f t="shared" si="35"/>
        <v>TN</v>
      </c>
      <c r="C382" s="427" t="str">
        <f t="shared" si="36"/>
        <v>E</v>
      </c>
      <c r="D382" s="427" t="s">
        <v>3422</v>
      </c>
      <c r="E382" s="427" t="str">
        <f t="shared" si="38"/>
        <v>362</v>
      </c>
      <c r="F382" s="756" t="s">
        <v>1785</v>
      </c>
      <c r="G382" s="426" t="str">
        <f t="shared" si="37"/>
        <v/>
      </c>
      <c r="H382" s="427">
        <v>34.447209999999998</v>
      </c>
      <c r="I382" s="427">
        <v>34.574839999999902</v>
      </c>
      <c r="J382" s="427">
        <v>34.702469999999998</v>
      </c>
      <c r="K382" s="427">
        <v>34.830100000000002</v>
      </c>
      <c r="L382" s="427">
        <v>34.957729999999998</v>
      </c>
      <c r="M382" s="427">
        <v>35.085360000000001</v>
      </c>
      <c r="N382" s="427">
        <v>35.212989999999998</v>
      </c>
      <c r="O382" s="427">
        <v>35.340620000000001</v>
      </c>
      <c r="P382" s="427">
        <v>35.468249999999998</v>
      </c>
      <c r="Q382" s="427">
        <v>35.595880000000001</v>
      </c>
      <c r="R382" s="427">
        <v>35.723509999999997</v>
      </c>
      <c r="S382" s="427">
        <v>35.851140000000001</v>
      </c>
      <c r="T382" s="427">
        <v>35.978769999999997</v>
      </c>
    </row>
    <row r="383" spans="1:20" s="427" customFormat="1">
      <c r="A383" s="427" t="str">
        <f t="shared" si="34"/>
        <v>KU</v>
      </c>
      <c r="B383" s="427" t="str">
        <f t="shared" si="35"/>
        <v>VA</v>
      </c>
      <c r="C383" s="427" t="str">
        <f t="shared" si="36"/>
        <v>E</v>
      </c>
      <c r="D383" s="427" t="s">
        <v>3422</v>
      </c>
      <c r="E383" s="427" t="str">
        <f t="shared" si="38"/>
        <v>362</v>
      </c>
      <c r="F383" s="756" t="s">
        <v>1786</v>
      </c>
      <c r="G383" s="426" t="str">
        <f t="shared" si="37"/>
        <v/>
      </c>
      <c r="H383" s="427">
        <v>3174.5445199999999</v>
      </c>
      <c r="I383" s="427">
        <v>3184.1563099999998</v>
      </c>
      <c r="J383" s="427">
        <v>3200.1423199999999</v>
      </c>
      <c r="K383" s="427">
        <v>3216.12833</v>
      </c>
      <c r="L383" s="427">
        <v>3232.1143400000001</v>
      </c>
      <c r="M383" s="427">
        <v>3197.36276</v>
      </c>
      <c r="N383" s="427">
        <v>3213.5063100000002</v>
      </c>
      <c r="O383" s="427">
        <v>3229.7523999999999</v>
      </c>
      <c r="P383" s="427">
        <v>3245.9984899999899</v>
      </c>
      <c r="Q383" s="427">
        <v>3262.24457999999</v>
      </c>
      <c r="R383" s="427">
        <v>3278.4906699999901</v>
      </c>
      <c r="S383" s="427">
        <v>3294.7367599999902</v>
      </c>
      <c r="T383" s="427">
        <v>3310.9828499999899</v>
      </c>
    </row>
    <row r="384" spans="1:20" s="427" customFormat="1">
      <c r="A384" s="427" t="str">
        <f t="shared" si="34"/>
        <v>KU</v>
      </c>
      <c r="B384" s="427" t="str">
        <f t="shared" si="35"/>
        <v>KY</v>
      </c>
      <c r="C384" s="427" t="str">
        <f t="shared" si="36"/>
        <v>E</v>
      </c>
      <c r="D384" s="427" t="s">
        <v>3422</v>
      </c>
      <c r="E384" s="427" t="str">
        <f t="shared" si="38"/>
        <v>364</v>
      </c>
      <c r="F384" s="756" t="s">
        <v>2211</v>
      </c>
      <c r="G384" s="426" t="str">
        <f t="shared" si="37"/>
        <v>ECR</v>
      </c>
      <c r="H384" s="427">
        <v>2.0800999999999998</v>
      </c>
      <c r="I384" s="427">
        <v>2.1391300000000002</v>
      </c>
      <c r="J384" s="427">
        <v>2.1981600000000001</v>
      </c>
      <c r="K384" s="427">
        <v>2.25719</v>
      </c>
      <c r="L384" s="427">
        <v>2.3162199999999999</v>
      </c>
      <c r="M384" s="427">
        <v>2.3752499999999999</v>
      </c>
      <c r="N384" s="427">
        <v>2.4342800000000002</v>
      </c>
      <c r="O384" s="427">
        <v>2.49331192</v>
      </c>
      <c r="P384" s="427">
        <v>2.5523438399999998</v>
      </c>
      <c r="Q384" s="427">
        <v>2.6113757599999898</v>
      </c>
      <c r="R384" s="427">
        <v>2.6704076799999901</v>
      </c>
      <c r="S384" s="427">
        <v>2.7294395999999899</v>
      </c>
      <c r="T384" s="427">
        <v>2.7884715199999901</v>
      </c>
    </row>
    <row r="385" spans="1:20" s="427" customFormat="1">
      <c r="A385" s="427" t="str">
        <f t="shared" si="34"/>
        <v>KU</v>
      </c>
      <c r="B385" s="427" t="str">
        <f t="shared" si="35"/>
        <v>KY</v>
      </c>
      <c r="C385" s="427" t="str">
        <f t="shared" si="36"/>
        <v>E</v>
      </c>
      <c r="D385" s="427" t="s">
        <v>3422</v>
      </c>
      <c r="E385" s="427" t="str">
        <f t="shared" si="38"/>
        <v>364</v>
      </c>
      <c r="F385" s="756" t="s">
        <v>1787</v>
      </c>
      <c r="G385" s="426" t="str">
        <f t="shared" si="37"/>
        <v/>
      </c>
      <c r="H385" s="427">
        <v>151265.43268999999</v>
      </c>
      <c r="I385" s="427">
        <v>152045.45329</v>
      </c>
      <c r="J385" s="427">
        <v>152752.50878999999</v>
      </c>
      <c r="K385" s="427">
        <v>153508.97589</v>
      </c>
      <c r="L385" s="427">
        <v>154174.42718999999</v>
      </c>
      <c r="M385" s="427">
        <v>154499.84669000001</v>
      </c>
      <c r="N385" s="427">
        <v>154563.97419000001</v>
      </c>
      <c r="O385" s="427">
        <v>154607.528347591</v>
      </c>
      <c r="P385" s="427">
        <v>155352.78439466</v>
      </c>
      <c r="Q385" s="427">
        <v>156142.24196865899</v>
      </c>
      <c r="R385" s="427">
        <v>156934.35149291801</v>
      </c>
      <c r="S385" s="427">
        <v>157750.34282686</v>
      </c>
      <c r="T385" s="427">
        <v>158147.77988717801</v>
      </c>
    </row>
    <row r="386" spans="1:20" s="427" customFormat="1">
      <c r="A386" s="427" t="str">
        <f t="shared" si="34"/>
        <v>KU</v>
      </c>
      <c r="B386" s="427" t="str">
        <f t="shared" si="35"/>
        <v>TN</v>
      </c>
      <c r="C386" s="427" t="str">
        <f t="shared" si="36"/>
        <v>E</v>
      </c>
      <c r="D386" s="427" t="s">
        <v>3422</v>
      </c>
      <c r="E386" s="427" t="str">
        <f t="shared" si="38"/>
        <v>364</v>
      </c>
      <c r="F386" s="756" t="s">
        <v>1788</v>
      </c>
      <c r="G386" s="426" t="str">
        <f t="shared" si="37"/>
        <v/>
      </c>
      <c r="H386" s="427">
        <v>47.64349</v>
      </c>
      <c r="I386" s="427">
        <v>47.749809999999997</v>
      </c>
      <c r="J386" s="427">
        <v>47.85613</v>
      </c>
      <c r="K386" s="427">
        <v>47.962449999999997</v>
      </c>
      <c r="L386" s="427">
        <v>48.068770000000001</v>
      </c>
      <c r="M386" s="427">
        <v>48.175089999999997</v>
      </c>
      <c r="N386" s="427">
        <v>48.281410000000001</v>
      </c>
      <c r="O386" s="427">
        <v>48.387729999999998</v>
      </c>
      <c r="P386" s="427">
        <v>48.494050000000001</v>
      </c>
      <c r="Q386" s="427">
        <v>48.600369999999998</v>
      </c>
      <c r="R386" s="427">
        <v>48.706690000000002</v>
      </c>
      <c r="S386" s="427">
        <v>48.813009999999998</v>
      </c>
      <c r="T386" s="427">
        <v>48.919330000000002</v>
      </c>
    </row>
    <row r="387" spans="1:20" s="427" customFormat="1">
      <c r="A387" s="427" t="str">
        <f t="shared" si="34"/>
        <v>KU</v>
      </c>
      <c r="B387" s="427" t="str">
        <f t="shared" si="35"/>
        <v>VA</v>
      </c>
      <c r="C387" s="427" t="str">
        <f t="shared" si="36"/>
        <v>E</v>
      </c>
      <c r="D387" s="427" t="s">
        <v>3422</v>
      </c>
      <c r="E387" s="427" t="str">
        <f t="shared" si="38"/>
        <v>364</v>
      </c>
      <c r="F387" s="756" t="s">
        <v>1789</v>
      </c>
      <c r="G387" s="426" t="str">
        <f t="shared" si="37"/>
        <v/>
      </c>
      <c r="H387" s="427">
        <v>12544.81439</v>
      </c>
      <c r="I387" s="427">
        <v>12609.445180000001</v>
      </c>
      <c r="J387" s="427">
        <v>12674.531869999901</v>
      </c>
      <c r="K387" s="427">
        <v>12733.388300000001</v>
      </c>
      <c r="L387" s="427">
        <v>12772.453299999999</v>
      </c>
      <c r="M387" s="427">
        <v>12779.301519999901</v>
      </c>
      <c r="N387" s="427">
        <v>12791.45434</v>
      </c>
      <c r="O387" s="427">
        <v>12837.650857212901</v>
      </c>
      <c r="P387" s="427">
        <v>12901.493486402</v>
      </c>
      <c r="Q387" s="427">
        <v>12965.351345591</v>
      </c>
      <c r="R387" s="427">
        <v>13029.20416478</v>
      </c>
      <c r="S387" s="427">
        <v>13093.051953968999</v>
      </c>
      <c r="T387" s="427">
        <v>13111.448359668</v>
      </c>
    </row>
    <row r="388" spans="1:20" s="427" customFormat="1">
      <c r="A388" s="427" t="str">
        <f t="shared" si="34"/>
        <v>KU</v>
      </c>
      <c r="B388" s="427" t="str">
        <f t="shared" si="35"/>
        <v>KY</v>
      </c>
      <c r="C388" s="427" t="str">
        <f t="shared" si="36"/>
        <v>E</v>
      </c>
      <c r="D388" s="427" t="s">
        <v>3422</v>
      </c>
      <c r="E388" s="427" t="str">
        <f t="shared" si="38"/>
        <v>365</v>
      </c>
      <c r="F388" s="756" t="s">
        <v>2212</v>
      </c>
      <c r="G388" s="426" t="str">
        <f t="shared" si="37"/>
        <v>ECR</v>
      </c>
      <c r="H388" s="427">
        <v>2.4197299999999999</v>
      </c>
      <c r="I388" s="427">
        <v>2.4683099999999998</v>
      </c>
      <c r="J388" s="427">
        <v>2.5168900000000001</v>
      </c>
      <c r="K388" s="427">
        <v>2.5654699999999999</v>
      </c>
      <c r="L388" s="427">
        <v>2.6140500000000002</v>
      </c>
      <c r="M388" s="427">
        <v>2.6626300000000001</v>
      </c>
      <c r="N388" s="427">
        <v>2.7112099999999999</v>
      </c>
      <c r="O388" s="427">
        <v>2.75978545225</v>
      </c>
      <c r="P388" s="427">
        <v>2.8083609045000002</v>
      </c>
      <c r="Q388" s="427">
        <v>2.8569363567499999</v>
      </c>
      <c r="R388" s="427">
        <v>2.9055118090000001</v>
      </c>
      <c r="S388" s="427">
        <v>2.9540872612500002</v>
      </c>
      <c r="T388" s="427">
        <v>3.0026627134999999</v>
      </c>
    </row>
    <row r="389" spans="1:20" s="427" customFormat="1">
      <c r="A389" s="427" t="str">
        <f t="shared" si="34"/>
        <v>KU</v>
      </c>
      <c r="B389" s="427" t="str">
        <f t="shared" si="35"/>
        <v>KY</v>
      </c>
      <c r="C389" s="427" t="str">
        <f t="shared" si="36"/>
        <v>E</v>
      </c>
      <c r="D389" s="427" t="s">
        <v>3422</v>
      </c>
      <c r="E389" s="427" t="str">
        <f t="shared" si="38"/>
        <v>365</v>
      </c>
      <c r="F389" s="756" t="s">
        <v>1790</v>
      </c>
      <c r="G389" s="426" t="str">
        <f t="shared" si="37"/>
        <v/>
      </c>
      <c r="H389" s="427">
        <v>108884.16739</v>
      </c>
      <c r="I389" s="427">
        <v>109362.09129</v>
      </c>
      <c r="J389" s="427">
        <v>109789.99269</v>
      </c>
      <c r="K389" s="427">
        <v>110262.31009</v>
      </c>
      <c r="L389" s="427">
        <v>109920.03268999999</v>
      </c>
      <c r="M389" s="427">
        <v>107818.54939</v>
      </c>
      <c r="N389" s="427">
        <v>106335.23379</v>
      </c>
      <c r="O389" s="427">
        <v>106099.105645642</v>
      </c>
      <c r="P389" s="427">
        <v>106407.390105363</v>
      </c>
      <c r="Q389" s="427">
        <v>107014.53225457801</v>
      </c>
      <c r="R389" s="427">
        <v>107657.81833080501</v>
      </c>
      <c r="S389" s="427">
        <v>108355.35161233399</v>
      </c>
      <c r="T389" s="427">
        <v>108862.02145794099</v>
      </c>
    </row>
    <row r="390" spans="1:20" s="427" customFormat="1">
      <c r="A390" s="427" t="str">
        <f t="shared" si="34"/>
        <v>KU</v>
      </c>
      <c r="B390" s="427" t="str">
        <f t="shared" si="35"/>
        <v>TN</v>
      </c>
      <c r="C390" s="427" t="str">
        <f t="shared" si="36"/>
        <v>E</v>
      </c>
      <c r="D390" s="427" t="s">
        <v>3422</v>
      </c>
      <c r="E390" s="427" t="str">
        <f t="shared" si="38"/>
        <v>365</v>
      </c>
      <c r="F390" s="756" t="s">
        <v>1791</v>
      </c>
      <c r="G390" s="426" t="str">
        <f t="shared" si="37"/>
        <v/>
      </c>
      <c r="H390" s="427">
        <v>52.663220000000003</v>
      </c>
      <c r="I390" s="427">
        <v>52.75947</v>
      </c>
      <c r="J390" s="427">
        <v>52.855719999999998</v>
      </c>
      <c r="K390" s="427">
        <v>52.951970000000003</v>
      </c>
      <c r="L390" s="427">
        <v>53.048220000000001</v>
      </c>
      <c r="M390" s="427">
        <v>53.144469999999998</v>
      </c>
      <c r="N390" s="427">
        <v>53.240720000000003</v>
      </c>
      <c r="O390" s="427">
        <v>53.336969999999901</v>
      </c>
      <c r="P390" s="427">
        <v>53.433219999999899</v>
      </c>
      <c r="Q390" s="427">
        <v>53.529469999999897</v>
      </c>
      <c r="R390" s="427">
        <v>53.625719999999902</v>
      </c>
      <c r="S390" s="427">
        <v>53.721969999999899</v>
      </c>
      <c r="T390" s="427">
        <v>53.818219999999897</v>
      </c>
    </row>
    <row r="391" spans="1:20" s="427" customFormat="1">
      <c r="A391" s="427" t="str">
        <f t="shared" si="34"/>
        <v>KU</v>
      </c>
      <c r="B391" s="427" t="str">
        <f t="shared" si="35"/>
        <v>VA</v>
      </c>
      <c r="C391" s="427" t="str">
        <f t="shared" si="36"/>
        <v>E</v>
      </c>
      <c r="D391" s="427" t="s">
        <v>3422</v>
      </c>
      <c r="E391" s="427" t="str">
        <f t="shared" si="38"/>
        <v>365</v>
      </c>
      <c r="F391" s="756" t="s">
        <v>1792</v>
      </c>
      <c r="G391" s="426" t="str">
        <f t="shared" si="37"/>
        <v/>
      </c>
      <c r="H391" s="427">
        <v>8992.4189900000001</v>
      </c>
      <c r="I391" s="427">
        <v>9045.1769100000001</v>
      </c>
      <c r="J391" s="427">
        <v>9096.8116199999895</v>
      </c>
      <c r="K391" s="427">
        <v>9114.1314899999998</v>
      </c>
      <c r="L391" s="427">
        <v>9009.7890599999992</v>
      </c>
      <c r="M391" s="427">
        <v>8897.0136399999992</v>
      </c>
      <c r="N391" s="427">
        <v>8859.9664100000009</v>
      </c>
      <c r="O391" s="427">
        <v>8415.6687281521008</v>
      </c>
      <c r="P391" s="427">
        <v>8462.7999872221008</v>
      </c>
      <c r="Q391" s="427">
        <v>8498.3111168730993</v>
      </c>
      <c r="R391" s="427">
        <v>8529.2015436981001</v>
      </c>
      <c r="S391" s="427">
        <v>8580.3147168890991</v>
      </c>
      <c r="T391" s="427">
        <v>8629.9144182661003</v>
      </c>
    </row>
    <row r="392" spans="1:20" s="427" customFormat="1">
      <c r="A392" s="427" t="str">
        <f t="shared" si="34"/>
        <v>KU</v>
      </c>
      <c r="B392" s="427" t="str">
        <f t="shared" si="35"/>
        <v>KY</v>
      </c>
      <c r="C392" s="427" t="str">
        <f t="shared" si="36"/>
        <v>E</v>
      </c>
      <c r="D392" s="427" t="s">
        <v>3422</v>
      </c>
      <c r="E392" s="427" t="str">
        <f t="shared" si="38"/>
        <v>366</v>
      </c>
      <c r="F392" s="756" t="s">
        <v>2213</v>
      </c>
      <c r="G392" s="426" t="str">
        <f t="shared" si="37"/>
        <v>ECR</v>
      </c>
      <c r="H392" s="427">
        <v>14.873060000000001</v>
      </c>
      <c r="I392" s="427">
        <v>15.203659999999999</v>
      </c>
      <c r="J392" s="427">
        <v>15.53426</v>
      </c>
      <c r="K392" s="427">
        <v>15.86486</v>
      </c>
      <c r="L392" s="427">
        <v>16.195460000000001</v>
      </c>
      <c r="M392" s="427">
        <v>16.526060000000001</v>
      </c>
      <c r="N392" s="427">
        <v>16.856660000000002</v>
      </c>
      <c r="O392" s="427">
        <v>17.187264872</v>
      </c>
      <c r="P392" s="427">
        <v>17.517869743999999</v>
      </c>
      <c r="Q392" s="427">
        <v>17.848474615999901</v>
      </c>
      <c r="R392" s="427">
        <v>18.1790794879999</v>
      </c>
      <c r="S392" s="427">
        <v>18.509684359999898</v>
      </c>
      <c r="T392" s="427">
        <v>18.8402892319999</v>
      </c>
    </row>
    <row r="393" spans="1:20" s="427" customFormat="1">
      <c r="A393" s="427" t="str">
        <f t="shared" si="34"/>
        <v>KU</v>
      </c>
      <c r="B393" s="427" t="str">
        <f t="shared" si="35"/>
        <v>KY</v>
      </c>
      <c r="C393" s="427" t="str">
        <f t="shared" si="36"/>
        <v>E</v>
      </c>
      <c r="D393" s="427" t="s">
        <v>3422</v>
      </c>
      <c r="E393" s="427" t="str">
        <f t="shared" si="38"/>
        <v>366</v>
      </c>
      <c r="F393" s="756" t="s">
        <v>1793</v>
      </c>
      <c r="G393" s="426" t="str">
        <f t="shared" si="37"/>
        <v/>
      </c>
      <c r="H393" s="427">
        <v>936.23725000000002</v>
      </c>
      <c r="I393" s="427">
        <v>940.52764000000002</v>
      </c>
      <c r="J393" s="427">
        <v>944.81803000000002</v>
      </c>
      <c r="K393" s="427">
        <v>949.10835999999995</v>
      </c>
      <c r="L393" s="427">
        <v>953.39863000000003</v>
      </c>
      <c r="M393" s="427">
        <v>957.68889999999999</v>
      </c>
      <c r="N393" s="427">
        <v>961.97916999999995</v>
      </c>
      <c r="O393" s="427">
        <v>966.26944000000003</v>
      </c>
      <c r="P393" s="427">
        <v>970.55971</v>
      </c>
      <c r="Q393" s="427">
        <v>974.84997999999996</v>
      </c>
      <c r="R393" s="427">
        <v>979.14024999999901</v>
      </c>
      <c r="S393" s="427">
        <v>983.43051999999898</v>
      </c>
      <c r="T393" s="427">
        <v>987.72078999999906</v>
      </c>
    </row>
    <row r="394" spans="1:20" s="427" customFormat="1">
      <c r="A394" s="427" t="str">
        <f t="shared" ref="A394:A457" si="39">MID($F394,4,2)</f>
        <v>KU</v>
      </c>
      <c r="B394" s="427" t="str">
        <f t="shared" si="35"/>
        <v>KY</v>
      </c>
      <c r="C394" s="427" t="str">
        <f t="shared" si="36"/>
        <v>E</v>
      </c>
      <c r="D394" s="427" t="s">
        <v>3422</v>
      </c>
      <c r="E394" s="427" t="str">
        <f t="shared" si="38"/>
        <v>367</v>
      </c>
      <c r="F394" s="756" t="s">
        <v>2214</v>
      </c>
      <c r="G394" s="426" t="str">
        <f t="shared" si="37"/>
        <v>ECR</v>
      </c>
      <c r="H394" s="427">
        <v>103.85146</v>
      </c>
      <c r="I394" s="427">
        <v>106.53684</v>
      </c>
      <c r="J394" s="427">
        <v>109.22221999999999</v>
      </c>
      <c r="K394" s="427">
        <v>111.9076</v>
      </c>
      <c r="L394" s="427">
        <v>114.59298</v>
      </c>
      <c r="M394" s="427">
        <v>117.27836000000001</v>
      </c>
      <c r="N394" s="427">
        <v>119.96374</v>
      </c>
      <c r="O394" s="427">
        <v>122.6491236241</v>
      </c>
      <c r="P394" s="427">
        <v>125.3345072482</v>
      </c>
      <c r="Q394" s="427">
        <v>128.01989087230001</v>
      </c>
      <c r="R394" s="427">
        <v>130.70527449639999</v>
      </c>
      <c r="S394" s="427">
        <v>133.39065812050001</v>
      </c>
      <c r="T394" s="427">
        <v>136.07604174459999</v>
      </c>
    </row>
    <row r="395" spans="1:20" s="427" customFormat="1">
      <c r="A395" s="427" t="str">
        <f t="shared" si="39"/>
        <v>KU</v>
      </c>
      <c r="B395" s="427" t="str">
        <f t="shared" si="35"/>
        <v>KY</v>
      </c>
      <c r="C395" s="427" t="str">
        <f t="shared" si="36"/>
        <v>E</v>
      </c>
      <c r="D395" s="427" t="s">
        <v>3422</v>
      </c>
      <c r="E395" s="427" t="str">
        <f t="shared" si="38"/>
        <v>367</v>
      </c>
      <c r="F395" s="756" t="s">
        <v>1794</v>
      </c>
      <c r="G395" s="426" t="str">
        <f t="shared" si="37"/>
        <v/>
      </c>
      <c r="H395" s="427">
        <v>46954.924220000001</v>
      </c>
      <c r="I395" s="427">
        <v>47266.0376599999</v>
      </c>
      <c r="J395" s="427">
        <v>47651.670539999999</v>
      </c>
      <c r="K395" s="427">
        <v>48036.857980000001</v>
      </c>
      <c r="L395" s="427">
        <v>48289.93737</v>
      </c>
      <c r="M395" s="427">
        <v>48429.585279999999</v>
      </c>
      <c r="N395" s="427">
        <v>48755.948530000001</v>
      </c>
      <c r="O395" s="427">
        <v>48804.756495915797</v>
      </c>
      <c r="P395" s="427">
        <v>49157.858526004798</v>
      </c>
      <c r="Q395" s="427">
        <v>49537.548656500803</v>
      </c>
      <c r="R395" s="427">
        <v>49896.477513949598</v>
      </c>
      <c r="S395" s="427">
        <v>50281.669719122598</v>
      </c>
      <c r="T395" s="427">
        <v>50677.571627020603</v>
      </c>
    </row>
    <row r="396" spans="1:20" s="427" customFormat="1">
      <c r="A396" s="427" t="str">
        <f t="shared" si="39"/>
        <v>KU</v>
      </c>
      <c r="B396" s="427" t="str">
        <f t="shared" si="35"/>
        <v>VA</v>
      </c>
      <c r="C396" s="427" t="str">
        <f t="shared" si="36"/>
        <v>E</v>
      </c>
      <c r="D396" s="427" t="s">
        <v>3422</v>
      </c>
      <c r="E396" s="427" t="str">
        <f t="shared" si="38"/>
        <v>367</v>
      </c>
      <c r="F396" s="756" t="s">
        <v>1795</v>
      </c>
      <c r="G396" s="426" t="str">
        <f t="shared" si="37"/>
        <v/>
      </c>
      <c r="H396" s="427">
        <v>671.51644999999996</v>
      </c>
      <c r="I396" s="427">
        <v>681.04106999999999</v>
      </c>
      <c r="J396" s="427">
        <v>690.23680000000002</v>
      </c>
      <c r="K396" s="427">
        <v>699.09342000000004</v>
      </c>
      <c r="L396" s="427">
        <v>705.64539000000002</v>
      </c>
      <c r="M396" s="427">
        <v>707.8306</v>
      </c>
      <c r="N396" s="427">
        <v>716.77943000000005</v>
      </c>
      <c r="O396" s="427">
        <v>714.63967717219998</v>
      </c>
      <c r="P396" s="427">
        <v>721.57528636119901</v>
      </c>
      <c r="Q396" s="427">
        <v>730.87247636119901</v>
      </c>
      <c r="R396" s="427">
        <v>737.99102555019999</v>
      </c>
      <c r="S396" s="427">
        <v>747.42374555019899</v>
      </c>
      <c r="T396" s="427">
        <v>756.89651555019998</v>
      </c>
    </row>
    <row r="397" spans="1:20" s="427" customFormat="1">
      <c r="A397" s="427" t="str">
        <f t="shared" si="39"/>
        <v>KU</v>
      </c>
      <c r="B397" s="427" t="str">
        <f t="shared" si="35"/>
        <v>KY</v>
      </c>
      <c r="C397" s="427" t="str">
        <f t="shared" si="36"/>
        <v>E</v>
      </c>
      <c r="D397" s="427" t="s">
        <v>3422</v>
      </c>
      <c r="E397" s="427" t="str">
        <f t="shared" si="38"/>
        <v>368</v>
      </c>
      <c r="F397" s="756" t="s">
        <v>1796</v>
      </c>
      <c r="G397" s="426" t="str">
        <f t="shared" si="37"/>
        <v/>
      </c>
      <c r="H397" s="427">
        <v>138650.10699999999</v>
      </c>
      <c r="I397" s="427">
        <v>139101.52590000001</v>
      </c>
      <c r="J397" s="427">
        <v>139549.1011</v>
      </c>
      <c r="K397" s="427">
        <v>139847.34229999999</v>
      </c>
      <c r="L397" s="427">
        <v>140114.48389999999</v>
      </c>
      <c r="M397" s="427">
        <v>140528.9719</v>
      </c>
      <c r="N397" s="427">
        <v>140982.80840000001</v>
      </c>
      <c r="O397" s="427">
        <v>141479.493560498</v>
      </c>
      <c r="P397" s="427">
        <v>141925.97077861201</v>
      </c>
      <c r="Q397" s="427">
        <v>142384.05670861201</v>
      </c>
      <c r="R397" s="427">
        <v>142839.19898177101</v>
      </c>
      <c r="S397" s="427">
        <v>143295.92528810701</v>
      </c>
      <c r="T397" s="427">
        <v>143766.435648107</v>
      </c>
    </row>
    <row r="398" spans="1:20" s="427" customFormat="1">
      <c r="A398" s="427" t="str">
        <f t="shared" si="39"/>
        <v>KU</v>
      </c>
      <c r="B398" s="427" t="str">
        <f t="shared" si="35"/>
        <v>TN</v>
      </c>
      <c r="C398" s="427" t="str">
        <f t="shared" si="36"/>
        <v>E</v>
      </c>
      <c r="D398" s="427" t="s">
        <v>3422</v>
      </c>
      <c r="E398" s="427" t="str">
        <f t="shared" si="38"/>
        <v>368</v>
      </c>
      <c r="F398" s="756" t="s">
        <v>1797</v>
      </c>
      <c r="G398" s="426" t="str">
        <f t="shared" si="37"/>
        <v/>
      </c>
      <c r="H398" s="427">
        <v>5.1991100000000001</v>
      </c>
      <c r="I398" s="427">
        <v>5.2037599999999999</v>
      </c>
      <c r="J398" s="427">
        <v>5.2084099999999998</v>
      </c>
      <c r="K398" s="427">
        <v>5.2130599999999996</v>
      </c>
      <c r="L398" s="427">
        <v>5.2177100000000003</v>
      </c>
      <c r="M398" s="427">
        <v>5.2223600000000001</v>
      </c>
      <c r="N398" s="427">
        <v>5.2270099999999999</v>
      </c>
      <c r="O398" s="427">
        <v>5.23165999999999</v>
      </c>
      <c r="P398" s="427">
        <v>5.2363099999999898</v>
      </c>
      <c r="Q398" s="427">
        <v>5.2409599999999896</v>
      </c>
      <c r="R398" s="427">
        <v>5.2456099999999903</v>
      </c>
      <c r="S398" s="427">
        <v>5.2502599999999902</v>
      </c>
      <c r="T398" s="427">
        <v>5.25490999999999</v>
      </c>
    </row>
    <row r="399" spans="1:20" s="427" customFormat="1">
      <c r="A399" s="427" t="str">
        <f t="shared" si="39"/>
        <v>KU</v>
      </c>
      <c r="B399" s="427" t="str">
        <f t="shared" si="35"/>
        <v>VA</v>
      </c>
      <c r="C399" s="427" t="str">
        <f t="shared" si="36"/>
        <v>E</v>
      </c>
      <c r="D399" s="427" t="s">
        <v>3422</v>
      </c>
      <c r="E399" s="427" t="str">
        <f t="shared" si="38"/>
        <v>368</v>
      </c>
      <c r="F399" s="756" t="s">
        <v>1798</v>
      </c>
      <c r="G399" s="426" t="str">
        <f t="shared" si="37"/>
        <v/>
      </c>
      <c r="H399" s="427">
        <v>5424.9581799999996</v>
      </c>
      <c r="I399" s="427">
        <v>5441.5567899999996</v>
      </c>
      <c r="J399" s="427">
        <v>5458.1554500000002</v>
      </c>
      <c r="K399" s="427">
        <v>5455.2679600000001</v>
      </c>
      <c r="L399" s="427">
        <v>5408.6564500000004</v>
      </c>
      <c r="M399" s="427">
        <v>5425.1594699999996</v>
      </c>
      <c r="N399" s="427">
        <v>5441.66273</v>
      </c>
      <c r="O399" s="427">
        <v>5449.6780016490002</v>
      </c>
      <c r="P399" s="427">
        <v>5463.9717808380001</v>
      </c>
      <c r="Q399" s="427">
        <v>5480.5502208379903</v>
      </c>
      <c r="R399" s="427">
        <v>5497.1329208379902</v>
      </c>
      <c r="S399" s="427">
        <v>5513.7203208379897</v>
      </c>
      <c r="T399" s="427">
        <v>5530.3115308379902</v>
      </c>
    </row>
    <row r="400" spans="1:20" s="427" customFormat="1">
      <c r="A400" s="427" t="str">
        <f t="shared" si="39"/>
        <v>KU</v>
      </c>
      <c r="B400" s="427" t="str">
        <f t="shared" si="35"/>
        <v>KY</v>
      </c>
      <c r="C400" s="427" t="str">
        <f t="shared" si="36"/>
        <v>E</v>
      </c>
      <c r="D400" s="427" t="s">
        <v>3422</v>
      </c>
      <c r="E400" s="427" t="str">
        <f t="shared" si="38"/>
        <v>369</v>
      </c>
      <c r="F400" s="756" t="s">
        <v>1799</v>
      </c>
      <c r="G400" s="426" t="str">
        <f t="shared" si="37"/>
        <v/>
      </c>
      <c r="H400" s="427">
        <v>59759.378909999999</v>
      </c>
      <c r="I400" s="427">
        <v>59906.81364</v>
      </c>
      <c r="J400" s="427">
        <v>60054.295409999999</v>
      </c>
      <c r="K400" s="427">
        <v>60201.789109999998</v>
      </c>
      <c r="L400" s="427">
        <v>60349.3102</v>
      </c>
      <c r="M400" s="427">
        <v>60496.876539999997</v>
      </c>
      <c r="N400" s="427">
        <v>60644.460460000002</v>
      </c>
      <c r="O400" s="427">
        <v>60792.044119999999</v>
      </c>
      <c r="P400" s="427">
        <v>60939.627780000003</v>
      </c>
      <c r="Q400" s="427">
        <v>61087.211439999999</v>
      </c>
      <c r="R400" s="427">
        <v>61234.795100000003</v>
      </c>
      <c r="S400" s="427">
        <v>61382.37876</v>
      </c>
      <c r="T400" s="427">
        <v>61529.962420000003</v>
      </c>
    </row>
    <row r="401" spans="1:20" s="427" customFormat="1">
      <c r="A401" s="427" t="str">
        <f t="shared" si="39"/>
        <v>KU</v>
      </c>
      <c r="B401" s="427" t="str">
        <f t="shared" si="35"/>
        <v>TN</v>
      </c>
      <c r="C401" s="427" t="str">
        <f t="shared" si="36"/>
        <v>E</v>
      </c>
      <c r="D401" s="427" t="s">
        <v>3422</v>
      </c>
      <c r="E401" s="427" t="str">
        <f t="shared" si="38"/>
        <v>369</v>
      </c>
      <c r="F401" s="756" t="s">
        <v>1800</v>
      </c>
      <c r="G401" s="426" t="str">
        <f t="shared" si="37"/>
        <v/>
      </c>
      <c r="H401" s="427">
        <v>1.1491499999999999</v>
      </c>
      <c r="I401" s="427">
        <v>1.1495</v>
      </c>
      <c r="J401" s="427">
        <v>1.14985</v>
      </c>
      <c r="K401" s="427">
        <v>1.1501999999999999</v>
      </c>
      <c r="L401" s="427">
        <v>1.15055</v>
      </c>
      <c r="M401" s="427">
        <v>1.1509</v>
      </c>
      <c r="N401" s="427">
        <v>1.1512500000000001</v>
      </c>
      <c r="O401" s="427">
        <v>1.1516</v>
      </c>
      <c r="P401" s="427">
        <v>1.15195</v>
      </c>
      <c r="Q401" s="427">
        <v>1.1523000000000001</v>
      </c>
      <c r="R401" s="427">
        <v>1.15265</v>
      </c>
      <c r="S401" s="427">
        <v>1.153</v>
      </c>
      <c r="T401" s="427">
        <v>1.1533500000000001</v>
      </c>
    </row>
    <row r="402" spans="1:20" s="427" customFormat="1">
      <c r="A402" s="427" t="str">
        <f t="shared" si="39"/>
        <v>KU</v>
      </c>
      <c r="B402" s="427" t="str">
        <f t="shared" si="35"/>
        <v>VA</v>
      </c>
      <c r="C402" s="427" t="str">
        <f t="shared" si="36"/>
        <v>E</v>
      </c>
      <c r="D402" s="427" t="s">
        <v>3422</v>
      </c>
      <c r="E402" s="427" t="str">
        <f t="shared" si="38"/>
        <v>369</v>
      </c>
      <c r="F402" s="756" t="s">
        <v>1801</v>
      </c>
      <c r="G402" s="426" t="str">
        <f t="shared" si="37"/>
        <v/>
      </c>
      <c r="H402" s="427">
        <v>4265.1548599999996</v>
      </c>
      <c r="I402" s="427">
        <v>4273.1051100000004</v>
      </c>
      <c r="J402" s="427">
        <v>4281.0553600000003</v>
      </c>
      <c r="K402" s="427">
        <v>4289.0056100000002</v>
      </c>
      <c r="L402" s="427">
        <v>4296.95586</v>
      </c>
      <c r="M402" s="427">
        <v>4304.9061099999999</v>
      </c>
      <c r="N402" s="427">
        <v>4312.8563599999998</v>
      </c>
      <c r="O402" s="427">
        <v>4320.8066099999996</v>
      </c>
      <c r="P402" s="427">
        <v>4328.7568600000004</v>
      </c>
      <c r="Q402" s="427">
        <v>4336.7071100000003</v>
      </c>
      <c r="R402" s="427">
        <v>4344.6573600000002</v>
      </c>
      <c r="S402" s="427">
        <v>4352.60761</v>
      </c>
      <c r="T402" s="427">
        <v>4360.5578599999999</v>
      </c>
    </row>
    <row r="403" spans="1:20" s="427" customFormat="1">
      <c r="A403" s="427" t="str">
        <f t="shared" si="39"/>
        <v>KU</v>
      </c>
      <c r="B403" s="427" t="str">
        <f t="shared" si="35"/>
        <v>KY</v>
      </c>
      <c r="C403" s="427" t="str">
        <f t="shared" si="36"/>
        <v>E</v>
      </c>
      <c r="D403" s="427" t="s">
        <v>3422</v>
      </c>
      <c r="E403" s="427" t="str">
        <f t="shared" si="38"/>
        <v>370</v>
      </c>
      <c r="F403" s="756" t="s">
        <v>1802</v>
      </c>
      <c r="G403" s="426" t="str">
        <f t="shared" si="37"/>
        <v/>
      </c>
      <c r="H403" s="427">
        <v>36574.942490000001</v>
      </c>
      <c r="I403" s="427">
        <v>36797.591979999997</v>
      </c>
      <c r="J403" s="427">
        <v>37020.558100000002</v>
      </c>
      <c r="K403" s="427">
        <v>37128.906860000003</v>
      </c>
      <c r="L403" s="427">
        <v>37347.813320000001</v>
      </c>
      <c r="M403" s="427">
        <v>37572.06308</v>
      </c>
      <c r="N403" s="427">
        <v>37796.44975</v>
      </c>
      <c r="O403" s="427">
        <v>38021.015659999997</v>
      </c>
      <c r="P403" s="427">
        <v>38245.941199999899</v>
      </c>
      <c r="Q403" s="427">
        <v>38471.197619999897</v>
      </c>
      <c r="R403" s="427">
        <v>38699.183349999897</v>
      </c>
      <c r="S403" s="427">
        <v>38929.898849999903</v>
      </c>
      <c r="T403" s="427">
        <v>39160.914999999899</v>
      </c>
    </row>
    <row r="404" spans="1:20" s="427" customFormat="1">
      <c r="A404" s="427" t="str">
        <f t="shared" si="39"/>
        <v>KU</v>
      </c>
      <c r="B404" s="427" t="str">
        <f t="shared" si="35"/>
        <v>KY</v>
      </c>
      <c r="C404" s="427" t="str">
        <f t="shared" si="36"/>
        <v>E</v>
      </c>
      <c r="D404" s="427" t="s">
        <v>3422</v>
      </c>
      <c r="E404" s="427" t="str">
        <f t="shared" si="38"/>
        <v>370</v>
      </c>
      <c r="F404" s="756" t="s">
        <v>2505</v>
      </c>
      <c r="G404" s="426" t="str">
        <f t="shared" si="37"/>
        <v>DSM</v>
      </c>
      <c r="H404" s="427">
        <v>72.934780000000003</v>
      </c>
      <c r="I404" s="427">
        <v>79.611260000000001</v>
      </c>
      <c r="J404" s="427">
        <v>86.293880000000001</v>
      </c>
      <c r="K404" s="427">
        <v>93.436809999999994</v>
      </c>
      <c r="L404" s="427">
        <v>101.03391999999999</v>
      </c>
      <c r="M404" s="427">
        <v>108.63211</v>
      </c>
      <c r="N404" s="427">
        <v>116.23159</v>
      </c>
      <c r="O404" s="427">
        <v>123.831285967</v>
      </c>
      <c r="P404" s="427">
        <v>131.43098193399999</v>
      </c>
      <c r="Q404" s="427">
        <v>139.03067790099999</v>
      </c>
      <c r="R404" s="427">
        <v>146.63037386799999</v>
      </c>
      <c r="S404" s="427">
        <v>154.23006983499999</v>
      </c>
      <c r="T404" s="427">
        <v>161.829765802</v>
      </c>
    </row>
    <row r="405" spans="1:20" s="427" customFormat="1">
      <c r="A405" s="427" t="str">
        <f t="shared" si="39"/>
        <v>KU</v>
      </c>
      <c r="B405" s="427" t="str">
        <f t="shared" si="35"/>
        <v>TN</v>
      </c>
      <c r="C405" s="427" t="str">
        <f t="shared" si="36"/>
        <v>E</v>
      </c>
      <c r="D405" s="427" t="s">
        <v>3422</v>
      </c>
      <c r="E405" s="427" t="str">
        <f t="shared" si="38"/>
        <v>370</v>
      </c>
      <c r="F405" s="756" t="s">
        <v>1803</v>
      </c>
      <c r="G405" s="426" t="str">
        <f t="shared" si="37"/>
        <v/>
      </c>
      <c r="H405" s="427">
        <v>0.42899999999999999</v>
      </c>
      <c r="I405" s="427">
        <v>0.44381999999999999</v>
      </c>
      <c r="J405" s="427">
        <v>0.45863999999999999</v>
      </c>
      <c r="K405" s="427">
        <v>0.47345999999999999</v>
      </c>
      <c r="L405" s="427">
        <v>0.48827999999999999</v>
      </c>
      <c r="M405" s="427">
        <v>0.50309999999999999</v>
      </c>
      <c r="N405" s="427">
        <v>0.51792000000000005</v>
      </c>
      <c r="O405" s="427">
        <v>0.53273999999999999</v>
      </c>
      <c r="P405" s="427">
        <v>0.54756000000000005</v>
      </c>
      <c r="Q405" s="427">
        <v>0.56237999999999999</v>
      </c>
      <c r="R405" s="427">
        <v>0.57720000000000005</v>
      </c>
      <c r="S405" s="427">
        <v>0.59201999999999999</v>
      </c>
      <c r="T405" s="427">
        <v>0.60684000000000005</v>
      </c>
    </row>
    <row r="406" spans="1:20" s="427" customFormat="1">
      <c r="A406" s="427" t="str">
        <f t="shared" si="39"/>
        <v>KU</v>
      </c>
      <c r="B406" s="427" t="str">
        <f t="shared" si="35"/>
        <v>VA</v>
      </c>
      <c r="C406" s="427" t="str">
        <f t="shared" si="36"/>
        <v>E</v>
      </c>
      <c r="D406" s="427" t="s">
        <v>3422</v>
      </c>
      <c r="E406" s="427" t="str">
        <f t="shared" si="38"/>
        <v>370</v>
      </c>
      <c r="F406" s="756" t="s">
        <v>1804</v>
      </c>
      <c r="G406" s="426" t="str">
        <f t="shared" si="37"/>
        <v/>
      </c>
      <c r="H406" s="427">
        <v>2566.9199899999999</v>
      </c>
      <c r="I406" s="427">
        <v>2578.88978</v>
      </c>
      <c r="J406" s="427">
        <v>2591.0178799999999</v>
      </c>
      <c r="K406" s="427">
        <v>2594.9814999999999</v>
      </c>
      <c r="L406" s="427">
        <v>2606.4049</v>
      </c>
      <c r="M406" s="427">
        <v>2617.9480100000001</v>
      </c>
      <c r="N406" s="427">
        <v>2629.5595699999999</v>
      </c>
      <c r="O406" s="427">
        <v>2641.1711300000002</v>
      </c>
      <c r="P406" s="427">
        <v>2652.78269</v>
      </c>
      <c r="Q406" s="427">
        <v>2664.3942499999998</v>
      </c>
      <c r="R406" s="427">
        <v>2676.0058099999901</v>
      </c>
      <c r="S406" s="427">
        <v>2687.6173699999899</v>
      </c>
      <c r="T406" s="427">
        <v>2699.2289299999902</v>
      </c>
    </row>
    <row r="407" spans="1:20" s="427" customFormat="1">
      <c r="A407" s="427" t="str">
        <f t="shared" si="39"/>
        <v>KU</v>
      </c>
      <c r="B407" s="427" t="str">
        <f t="shared" ref="B407:B470" si="40">IF(MID($F407,12,2)="- ","KY",IF(MID($F407,12,2)="SY","KY",MID($F407,12,2)))</f>
        <v>KY</v>
      </c>
      <c r="C407" s="427" t="str">
        <f t="shared" si="36"/>
        <v>E</v>
      </c>
      <c r="D407" s="427" t="s">
        <v>3422</v>
      </c>
      <c r="E407" s="427" t="str">
        <f t="shared" si="38"/>
        <v>371</v>
      </c>
      <c r="F407" s="756" t="s">
        <v>1805</v>
      </c>
      <c r="G407" s="426" t="str">
        <f t="shared" si="37"/>
        <v/>
      </c>
      <c r="H407" s="427">
        <v>3.0939999999999999E-2</v>
      </c>
      <c r="I407" s="427">
        <v>3.3669999999999999E-2</v>
      </c>
      <c r="J407" s="427">
        <v>3.6400000000000002E-2</v>
      </c>
      <c r="K407" s="427">
        <v>3.9129999999999998E-2</v>
      </c>
      <c r="L407" s="427">
        <v>4.1860000000000001E-2</v>
      </c>
      <c r="M407" s="427">
        <v>4.5060000000000003E-2</v>
      </c>
      <c r="N407" s="427">
        <v>4.8739999999999999E-2</v>
      </c>
      <c r="O407" s="427">
        <v>5.2420000000000001E-2</v>
      </c>
      <c r="P407" s="427">
        <v>5.6099999999999997E-2</v>
      </c>
      <c r="Q407" s="427">
        <v>5.9779999999999903E-2</v>
      </c>
      <c r="R407" s="427">
        <v>6.3460000000000003E-2</v>
      </c>
      <c r="S407" s="427">
        <v>6.7140000000000005E-2</v>
      </c>
      <c r="T407" s="427">
        <v>7.0819999999999994E-2</v>
      </c>
    </row>
    <row r="408" spans="1:20" s="427" customFormat="1">
      <c r="A408" s="427" t="str">
        <f t="shared" si="39"/>
        <v>KU</v>
      </c>
      <c r="B408" s="427" t="str">
        <f t="shared" si="40"/>
        <v>KY</v>
      </c>
      <c r="C408" s="427" t="str">
        <f t="shared" si="36"/>
        <v>E</v>
      </c>
      <c r="D408" s="427" t="s">
        <v>3422</v>
      </c>
      <c r="E408" s="427" t="str">
        <f t="shared" si="38"/>
        <v>371</v>
      </c>
      <c r="F408" s="756" t="s">
        <v>2669</v>
      </c>
      <c r="G408" s="426" t="str">
        <f t="shared" si="37"/>
        <v/>
      </c>
      <c r="H408" s="427">
        <v>0</v>
      </c>
      <c r="I408" s="427">
        <v>0</v>
      </c>
      <c r="J408" s="427">
        <v>0</v>
      </c>
      <c r="K408" s="427">
        <v>0</v>
      </c>
      <c r="L408" s="427">
        <v>0</v>
      </c>
      <c r="M408" s="427">
        <v>0</v>
      </c>
      <c r="N408" s="427">
        <v>0</v>
      </c>
      <c r="O408" s="427">
        <v>0.29410999999999998</v>
      </c>
      <c r="P408" s="427">
        <v>0.91112000000000004</v>
      </c>
      <c r="Q408" s="427">
        <v>1.58571</v>
      </c>
      <c r="R408" s="427">
        <v>2.3178800000000002</v>
      </c>
      <c r="S408" s="427">
        <v>3.1076199999999998</v>
      </c>
      <c r="T408" s="427">
        <v>4.0890599999999999</v>
      </c>
    </row>
    <row r="409" spans="1:20" s="427" customFormat="1">
      <c r="A409" s="427" t="str">
        <f t="shared" si="39"/>
        <v>KU</v>
      </c>
      <c r="B409" s="427" t="str">
        <f t="shared" si="40"/>
        <v>KY</v>
      </c>
      <c r="C409" s="427" t="str">
        <f t="shared" si="36"/>
        <v>E</v>
      </c>
      <c r="D409" s="427" t="s">
        <v>3422</v>
      </c>
      <c r="E409" s="427" t="str">
        <f t="shared" si="38"/>
        <v>373</v>
      </c>
      <c r="F409" s="756" t="s">
        <v>1806</v>
      </c>
      <c r="G409" s="426" t="str">
        <f t="shared" si="37"/>
        <v/>
      </c>
      <c r="H409" s="427">
        <v>39204.114200000004</v>
      </c>
      <c r="I409" s="427">
        <v>39596.277170000001</v>
      </c>
      <c r="J409" s="427">
        <v>39986.290379999999</v>
      </c>
      <c r="K409" s="427">
        <v>40381.75445</v>
      </c>
      <c r="L409" s="427">
        <v>40721.170659999902</v>
      </c>
      <c r="M409" s="427">
        <v>41100.669779999997</v>
      </c>
      <c r="N409" s="427">
        <v>41485.955670000003</v>
      </c>
      <c r="O409" s="427">
        <v>41601.356783503703</v>
      </c>
      <c r="P409" s="427">
        <v>41980.1269562487</v>
      </c>
      <c r="Q409" s="427">
        <v>42380.792237802001</v>
      </c>
      <c r="R409" s="427">
        <v>42758.071353822001</v>
      </c>
      <c r="S409" s="427">
        <v>43150.163183922399</v>
      </c>
      <c r="T409" s="427">
        <v>43553.042638097497</v>
      </c>
    </row>
    <row r="410" spans="1:20" s="427" customFormat="1">
      <c r="A410" s="427" t="str">
        <f t="shared" si="39"/>
        <v>KU</v>
      </c>
      <c r="B410" s="427" t="str">
        <f t="shared" si="40"/>
        <v>VA</v>
      </c>
      <c r="C410" s="427" t="str">
        <f t="shared" si="36"/>
        <v>E</v>
      </c>
      <c r="D410" s="427" t="s">
        <v>3422</v>
      </c>
      <c r="E410" s="427" t="str">
        <f t="shared" si="38"/>
        <v>373</v>
      </c>
      <c r="F410" s="756" t="s">
        <v>1807</v>
      </c>
      <c r="G410" s="426" t="str">
        <f t="shared" si="37"/>
        <v/>
      </c>
      <c r="H410" s="427">
        <v>1753.82646</v>
      </c>
      <c r="I410" s="427">
        <v>1766.0840000000001</v>
      </c>
      <c r="J410" s="427">
        <v>1778.37754</v>
      </c>
      <c r="K410" s="427">
        <v>1790.3342399999999</v>
      </c>
      <c r="L410" s="427">
        <v>1802.6625200000001</v>
      </c>
      <c r="M410" s="427">
        <v>1787.5154500000001</v>
      </c>
      <c r="N410" s="427">
        <v>1798.9257399999999</v>
      </c>
      <c r="O410" s="427">
        <v>1781.64258225</v>
      </c>
      <c r="P410" s="427">
        <v>1791.836931439</v>
      </c>
      <c r="Q410" s="427">
        <v>1802.188730628</v>
      </c>
      <c r="R410" s="427">
        <v>1812.5813198169999</v>
      </c>
      <c r="S410" s="427">
        <v>1823.0129390059999</v>
      </c>
      <c r="T410" s="427">
        <v>1833.483528195</v>
      </c>
    </row>
    <row r="411" spans="1:20" s="427" customFormat="1">
      <c r="A411" s="427" t="str">
        <f t="shared" si="39"/>
        <v>KU</v>
      </c>
      <c r="B411" s="427" t="str">
        <f t="shared" si="40"/>
        <v>KY</v>
      </c>
      <c r="C411" s="427" t="str">
        <f t="shared" ref="C411:C474" si="41">IF(ISTEXT(MID($F411,SEARCH("FUTURE USE",$F411),3)),"F",IF(MID($F411,7,1)="1","E",IF(MID($F411,7,1)="2","G",IF(MID($F411,7,1)="3","C",""))))</f>
        <v>E</v>
      </c>
      <c r="D411" s="427" t="s">
        <v>3422</v>
      </c>
      <c r="E411" s="427" t="str">
        <f t="shared" si="38"/>
        <v>374</v>
      </c>
      <c r="F411" s="756" t="s">
        <v>1808</v>
      </c>
      <c r="G411" s="426" t="str">
        <f t="shared" si="37"/>
        <v>ARO</v>
      </c>
      <c r="H411" s="427">
        <v>125.357</v>
      </c>
      <c r="I411" s="427">
        <v>126.2252</v>
      </c>
      <c r="J411" s="427">
        <v>127.0934</v>
      </c>
      <c r="K411" s="427">
        <v>127.9616</v>
      </c>
      <c r="L411" s="427">
        <v>128.82979</v>
      </c>
      <c r="M411" s="427">
        <v>117.68071</v>
      </c>
      <c r="N411" s="427">
        <v>118.00935</v>
      </c>
      <c r="O411" s="427">
        <v>118.87754</v>
      </c>
      <c r="P411" s="427">
        <v>119.74572999999999</v>
      </c>
      <c r="Q411" s="427">
        <v>120.61391999999999</v>
      </c>
      <c r="R411" s="427">
        <v>121.48211000000001</v>
      </c>
      <c r="S411" s="427">
        <v>122.3503</v>
      </c>
      <c r="T411" s="427">
        <v>123.21849</v>
      </c>
    </row>
    <row r="412" spans="1:20" s="427" customFormat="1">
      <c r="A412" s="427" t="str">
        <f t="shared" si="39"/>
        <v>KU</v>
      </c>
      <c r="B412" s="427" t="str">
        <f t="shared" si="40"/>
        <v>KY</v>
      </c>
      <c r="C412" s="427" t="str">
        <f t="shared" si="41"/>
        <v>E</v>
      </c>
      <c r="D412" s="427" t="s">
        <v>3422</v>
      </c>
      <c r="E412" s="427" t="str">
        <f t="shared" si="38"/>
        <v>390</v>
      </c>
      <c r="F412" s="756" t="s">
        <v>1811</v>
      </c>
      <c r="G412" s="426" t="str">
        <f t="shared" si="37"/>
        <v/>
      </c>
      <c r="H412" s="427">
        <v>748.95081000000005</v>
      </c>
      <c r="I412" s="427">
        <v>754.07321999999999</v>
      </c>
      <c r="J412" s="427">
        <v>759.20627999999999</v>
      </c>
      <c r="K412" s="427">
        <v>764.68578000000002</v>
      </c>
      <c r="L412" s="427">
        <v>770.50518</v>
      </c>
      <c r="M412" s="427">
        <v>776.32920999999999</v>
      </c>
      <c r="N412" s="427">
        <v>766.56345999999905</v>
      </c>
      <c r="O412" s="427">
        <v>747.48008073999904</v>
      </c>
      <c r="P412" s="427">
        <v>753.33189073999904</v>
      </c>
      <c r="Q412" s="427">
        <v>759.24362073999896</v>
      </c>
      <c r="R412" s="427">
        <v>765.15535073999899</v>
      </c>
      <c r="S412" s="427">
        <v>771.06708073999903</v>
      </c>
      <c r="T412" s="427">
        <v>776.97881073999997</v>
      </c>
    </row>
    <row r="413" spans="1:20" s="427" customFormat="1">
      <c r="A413" s="427" t="str">
        <f t="shared" si="39"/>
        <v>KU</v>
      </c>
      <c r="B413" s="427" t="str">
        <f t="shared" si="40"/>
        <v>KY</v>
      </c>
      <c r="C413" s="427" t="str">
        <f t="shared" si="41"/>
        <v>E</v>
      </c>
      <c r="D413" s="427" t="s">
        <v>3422</v>
      </c>
      <c r="E413" s="427" t="str">
        <f t="shared" si="38"/>
        <v>390</v>
      </c>
      <c r="F413" s="756" t="s">
        <v>1812</v>
      </c>
      <c r="G413" s="426" t="str">
        <f t="shared" si="37"/>
        <v/>
      </c>
      <c r="H413" s="427">
        <v>11962.544620000001</v>
      </c>
      <c r="I413" s="427">
        <v>12073.68137</v>
      </c>
      <c r="J413" s="427">
        <v>12169.1771899999</v>
      </c>
      <c r="K413" s="427">
        <v>12272.085489999999</v>
      </c>
      <c r="L413" s="427">
        <v>12333.9859499999</v>
      </c>
      <c r="M413" s="427">
        <v>12436.9977</v>
      </c>
      <c r="N413" s="427">
        <v>12326.711090000001</v>
      </c>
      <c r="O413" s="427">
        <v>12393.084713714999</v>
      </c>
      <c r="P413" s="427">
        <v>12480.156927885</v>
      </c>
      <c r="Q413" s="427">
        <v>12556.141554297999</v>
      </c>
      <c r="R413" s="427">
        <v>12684.003734297999</v>
      </c>
      <c r="S413" s="427">
        <v>12809.17954635</v>
      </c>
      <c r="T413" s="427">
        <v>12934.098926418001</v>
      </c>
    </row>
    <row r="414" spans="1:20" s="427" customFormat="1">
      <c r="A414" s="427" t="str">
        <f t="shared" si="39"/>
        <v>KU</v>
      </c>
      <c r="B414" s="427" t="str">
        <f t="shared" si="40"/>
        <v>VA</v>
      </c>
      <c r="C414" s="427" t="str">
        <f t="shared" si="41"/>
        <v>E</v>
      </c>
      <c r="D414" s="427" t="s">
        <v>3422</v>
      </c>
      <c r="E414" s="427" t="str">
        <f t="shared" si="38"/>
        <v>390</v>
      </c>
      <c r="F414" s="756" t="s">
        <v>1813</v>
      </c>
      <c r="G414" s="426" t="str">
        <f t="shared" si="37"/>
        <v/>
      </c>
      <c r="H414" s="427">
        <v>353.03688</v>
      </c>
      <c r="I414" s="427">
        <v>355.198839999999</v>
      </c>
      <c r="J414" s="427">
        <v>348.35775000000001</v>
      </c>
      <c r="K414" s="427">
        <v>350.52287000000001</v>
      </c>
      <c r="L414" s="427">
        <v>352.70573000000002</v>
      </c>
      <c r="M414" s="427">
        <v>354.888589999999</v>
      </c>
      <c r="N414" s="427">
        <v>357.08040999999997</v>
      </c>
      <c r="O414" s="427">
        <v>358.58120000000002</v>
      </c>
      <c r="P414" s="427">
        <v>360.78183000000001</v>
      </c>
      <c r="Q414" s="427">
        <v>362.98230999999998</v>
      </c>
      <c r="R414" s="427">
        <v>365.18278999999899</v>
      </c>
      <c r="S414" s="427">
        <v>367.42195999999899</v>
      </c>
      <c r="T414" s="427">
        <v>369.712459999999</v>
      </c>
    </row>
    <row r="415" spans="1:20" s="427" customFormat="1">
      <c r="A415" s="427" t="str">
        <f t="shared" si="39"/>
        <v>KU</v>
      </c>
      <c r="B415" s="427" t="str">
        <f t="shared" si="40"/>
        <v>KY</v>
      </c>
      <c r="C415" s="427" t="str">
        <f t="shared" si="41"/>
        <v>E</v>
      </c>
      <c r="D415" s="427" t="s">
        <v>3422</v>
      </c>
      <c r="E415" s="427" t="str">
        <f t="shared" si="38"/>
        <v>391</v>
      </c>
      <c r="F415" s="756" t="s">
        <v>1814</v>
      </c>
      <c r="G415" s="426" t="str">
        <f t="shared" si="37"/>
        <v/>
      </c>
      <c r="H415" s="427">
        <v>550.92885999999999</v>
      </c>
      <c r="I415" s="427">
        <v>656.88182999999901</v>
      </c>
      <c r="J415" s="427">
        <v>697.04220999999995</v>
      </c>
      <c r="K415" s="427">
        <v>812.41989000000001</v>
      </c>
      <c r="L415" s="427">
        <v>927.93127000000004</v>
      </c>
      <c r="M415" s="427">
        <v>1043.44496</v>
      </c>
      <c r="N415" s="427">
        <v>1159.77116</v>
      </c>
      <c r="O415" s="427">
        <v>1230.7182600000001</v>
      </c>
      <c r="P415" s="427">
        <v>1257.2306799999999</v>
      </c>
      <c r="Q415" s="427">
        <v>1375.33683</v>
      </c>
      <c r="R415" s="427">
        <v>1470.87006</v>
      </c>
      <c r="S415" s="427">
        <v>825.94763</v>
      </c>
      <c r="T415" s="427">
        <v>849.29956000000004</v>
      </c>
    </row>
    <row r="416" spans="1:20" s="427" customFormat="1">
      <c r="A416" s="427" t="str">
        <f t="shared" si="39"/>
        <v>KU</v>
      </c>
      <c r="B416" s="427" t="str">
        <f t="shared" si="40"/>
        <v>KY</v>
      </c>
      <c r="C416" s="427" t="str">
        <f t="shared" si="41"/>
        <v>E</v>
      </c>
      <c r="D416" s="427" t="s">
        <v>3422</v>
      </c>
      <c r="E416" s="427" t="str">
        <f t="shared" si="38"/>
        <v>391</v>
      </c>
      <c r="F416" s="756" t="s">
        <v>1815</v>
      </c>
      <c r="G416" s="426" t="str">
        <f t="shared" si="37"/>
        <v/>
      </c>
      <c r="H416" s="427">
        <v>20740.853370000001</v>
      </c>
      <c r="I416" s="427">
        <v>20866.896430000001</v>
      </c>
      <c r="J416" s="427">
        <v>20766.991819999999</v>
      </c>
      <c r="K416" s="427">
        <v>20916.593850000001</v>
      </c>
      <c r="L416" s="427">
        <v>20290.166679999998</v>
      </c>
      <c r="M416" s="427">
        <v>20060.705539999999</v>
      </c>
      <c r="N416" s="427">
        <v>20276.30344</v>
      </c>
      <c r="O416" s="427">
        <v>19927.389019999999</v>
      </c>
      <c r="P416" s="427">
        <v>20182.375239999899</v>
      </c>
      <c r="Q416" s="427">
        <v>20452.584819999902</v>
      </c>
      <c r="R416" s="427">
        <v>20172.504269999899</v>
      </c>
      <c r="S416" s="427">
        <v>20479.773249999998</v>
      </c>
      <c r="T416" s="427">
        <v>20792.98113</v>
      </c>
    </row>
    <row r="417" spans="1:20" s="427" customFormat="1">
      <c r="A417" s="427" t="str">
        <f t="shared" si="39"/>
        <v>KU</v>
      </c>
      <c r="B417" s="427" t="str">
        <f t="shared" si="40"/>
        <v>VA</v>
      </c>
      <c r="C417" s="427" t="str">
        <f t="shared" si="41"/>
        <v>E</v>
      </c>
      <c r="D417" s="427" t="s">
        <v>3422</v>
      </c>
      <c r="E417" s="427" t="str">
        <f t="shared" si="38"/>
        <v>391</v>
      </c>
      <c r="F417" s="756" t="s">
        <v>1816</v>
      </c>
      <c r="G417" s="426" t="str">
        <f t="shared" si="37"/>
        <v/>
      </c>
      <c r="H417" s="427">
        <v>-0.30864999999999998</v>
      </c>
      <c r="I417" s="427">
        <v>-0.30864999999999998</v>
      </c>
      <c r="J417" s="427">
        <v>-0.30864999999999998</v>
      </c>
      <c r="K417" s="427">
        <v>-0.30864999999999998</v>
      </c>
      <c r="L417" s="427">
        <v>-0.30864999999999998</v>
      </c>
      <c r="M417" s="427">
        <v>-0.30864999999999998</v>
      </c>
      <c r="N417" s="427">
        <v>-0.30864999999999998</v>
      </c>
      <c r="O417" s="427">
        <v>-0.30864999999999998</v>
      </c>
      <c r="P417" s="427">
        <v>-0.30864999999999998</v>
      </c>
      <c r="Q417" s="427">
        <v>-0.30864999999999998</v>
      </c>
      <c r="R417" s="427">
        <v>-0.30864999999999998</v>
      </c>
      <c r="S417" s="427">
        <v>-0.30864999999999998</v>
      </c>
      <c r="T417" s="427">
        <v>-0.30864999999999998</v>
      </c>
    </row>
    <row r="418" spans="1:20" s="427" customFormat="1">
      <c r="A418" s="427" t="str">
        <f t="shared" si="39"/>
        <v>KU</v>
      </c>
      <c r="B418" s="427" t="str">
        <f t="shared" si="40"/>
        <v>KY</v>
      </c>
      <c r="C418" s="427" t="str">
        <f t="shared" si="41"/>
        <v>E</v>
      </c>
      <c r="D418" s="427" t="s">
        <v>3422</v>
      </c>
      <c r="E418" s="427" t="str">
        <f t="shared" si="38"/>
        <v>392</v>
      </c>
      <c r="F418" s="756" t="s">
        <v>1817</v>
      </c>
      <c r="G418" s="426" t="str">
        <f t="shared" si="37"/>
        <v>ECR</v>
      </c>
      <c r="H418" s="427">
        <v>18.887509999999999</v>
      </c>
      <c r="I418" s="427">
        <v>19.231719999999999</v>
      </c>
      <c r="J418" s="427">
        <v>19.40382</v>
      </c>
      <c r="K418" s="427">
        <v>19.40382</v>
      </c>
      <c r="L418" s="427">
        <v>19.40382</v>
      </c>
      <c r="M418" s="427">
        <v>19.40382</v>
      </c>
      <c r="N418" s="427">
        <v>19.40382</v>
      </c>
      <c r="O418" s="427">
        <v>19.435674604500001</v>
      </c>
      <c r="P418" s="427">
        <v>19.467529208999999</v>
      </c>
      <c r="Q418" s="427">
        <v>19.4993838135</v>
      </c>
      <c r="R418" s="427">
        <v>19.531238418000001</v>
      </c>
      <c r="S418" s="427">
        <v>19.563093022499999</v>
      </c>
      <c r="T418" s="427">
        <v>19.594947627</v>
      </c>
    </row>
    <row r="419" spans="1:20" s="427" customFormat="1">
      <c r="A419" s="427" t="str">
        <f t="shared" si="39"/>
        <v>KU</v>
      </c>
      <c r="B419" s="427" t="str">
        <f t="shared" si="40"/>
        <v>KY</v>
      </c>
      <c r="C419" s="427" t="str">
        <f t="shared" si="41"/>
        <v>E</v>
      </c>
      <c r="D419" s="427" t="s">
        <v>3422</v>
      </c>
      <c r="E419" s="427" t="str">
        <f t="shared" si="38"/>
        <v>392</v>
      </c>
      <c r="F419" s="756" t="s">
        <v>1818</v>
      </c>
      <c r="G419" s="426" t="str">
        <f t="shared" si="37"/>
        <v/>
      </c>
      <c r="H419" s="427">
        <v>4179.9570100000001</v>
      </c>
      <c r="I419" s="427">
        <v>4197.7161299999998</v>
      </c>
      <c r="J419" s="427">
        <v>4015.8938399999902</v>
      </c>
      <c r="K419" s="427">
        <v>4033.5558099999998</v>
      </c>
      <c r="L419" s="427">
        <v>4051.2177799999999</v>
      </c>
      <c r="M419" s="427">
        <v>4069.0775899999999</v>
      </c>
      <c r="N419" s="427">
        <v>4087.1520300000002</v>
      </c>
      <c r="O419" s="427">
        <v>4100.0868917500002</v>
      </c>
      <c r="P419" s="427">
        <v>4118.38035175</v>
      </c>
      <c r="Q419" s="427">
        <v>4136.6738117499999</v>
      </c>
      <c r="R419" s="427">
        <v>4154.9672717499998</v>
      </c>
      <c r="S419" s="427">
        <v>4173.2607317499996</v>
      </c>
      <c r="T419" s="427">
        <v>4189.2217192509997</v>
      </c>
    </row>
    <row r="420" spans="1:20" s="427" customFormat="1">
      <c r="A420" s="427" t="str">
        <f t="shared" si="39"/>
        <v>KU</v>
      </c>
      <c r="B420" s="427" t="str">
        <f t="shared" si="40"/>
        <v>VA</v>
      </c>
      <c r="C420" s="427" t="str">
        <f t="shared" si="41"/>
        <v>E</v>
      </c>
      <c r="D420" s="427" t="s">
        <v>3422</v>
      </c>
      <c r="E420" s="427" t="str">
        <f t="shared" si="38"/>
        <v>392</v>
      </c>
      <c r="F420" s="756" t="s">
        <v>2507</v>
      </c>
      <c r="G420" s="426" t="str">
        <f t="shared" si="37"/>
        <v/>
      </c>
      <c r="H420" s="427">
        <v>0</v>
      </c>
      <c r="I420" s="427">
        <v>0</v>
      </c>
      <c r="J420" s="427">
        <v>1.227E-2</v>
      </c>
      <c r="K420" s="427">
        <v>3.6810000000000002E-2</v>
      </c>
      <c r="L420" s="427">
        <v>6.1350000000000002E-2</v>
      </c>
      <c r="M420" s="427">
        <v>8.5889999999999994E-2</v>
      </c>
      <c r="N420" s="427">
        <v>0.11043</v>
      </c>
      <c r="O420" s="427">
        <v>0.13497000000000001</v>
      </c>
      <c r="P420" s="427">
        <v>0.15951000000000001</v>
      </c>
      <c r="Q420" s="427">
        <v>0.18404999999999999</v>
      </c>
      <c r="R420" s="427">
        <v>0.20859</v>
      </c>
      <c r="S420" s="427">
        <v>0.23313</v>
      </c>
      <c r="T420" s="427">
        <v>0.25767000000000001</v>
      </c>
    </row>
    <row r="421" spans="1:20" s="427" customFormat="1">
      <c r="A421" s="427" t="str">
        <f t="shared" si="39"/>
        <v>KU</v>
      </c>
      <c r="B421" s="427" t="str">
        <f t="shared" si="40"/>
        <v>KY</v>
      </c>
      <c r="C421" s="427" t="str">
        <f t="shared" si="41"/>
        <v>E</v>
      </c>
      <c r="D421" s="427" t="s">
        <v>3422</v>
      </c>
      <c r="E421" s="427" t="str">
        <f t="shared" si="38"/>
        <v>393</v>
      </c>
      <c r="F421" s="756" t="s">
        <v>1819</v>
      </c>
      <c r="G421" s="426" t="str">
        <f t="shared" si="37"/>
        <v/>
      </c>
      <c r="H421" s="427">
        <v>418.87970000000001</v>
      </c>
      <c r="I421" s="427">
        <v>422.20332999999999</v>
      </c>
      <c r="J421" s="427">
        <v>425.67349000000002</v>
      </c>
      <c r="K421" s="427">
        <v>429.29018000000002</v>
      </c>
      <c r="L421" s="427">
        <v>432.90687000000003</v>
      </c>
      <c r="M421" s="427">
        <v>436.37702999999999</v>
      </c>
      <c r="N421" s="427">
        <v>439.700659999999</v>
      </c>
      <c r="O421" s="427">
        <v>443.02428999999898</v>
      </c>
      <c r="P421" s="427">
        <v>446.34791999999902</v>
      </c>
      <c r="Q421" s="427">
        <v>442.81054999999901</v>
      </c>
      <c r="R421" s="427">
        <v>446.19896999999901</v>
      </c>
      <c r="S421" s="427">
        <v>449.677289999999</v>
      </c>
      <c r="T421" s="427">
        <v>453.155609999999</v>
      </c>
    </row>
    <row r="422" spans="1:20" s="427" customFormat="1">
      <c r="A422" s="427" t="str">
        <f t="shared" si="39"/>
        <v>KU</v>
      </c>
      <c r="B422" s="427" t="str">
        <f t="shared" si="40"/>
        <v>VA</v>
      </c>
      <c r="C422" s="427" t="str">
        <f t="shared" si="41"/>
        <v>E</v>
      </c>
      <c r="D422" s="427" t="s">
        <v>3422</v>
      </c>
      <c r="E422" s="427" t="str">
        <f t="shared" si="38"/>
        <v>393</v>
      </c>
      <c r="F422" s="756" t="s">
        <v>1820</v>
      </c>
      <c r="G422" s="426" t="str">
        <f t="shared" si="37"/>
        <v/>
      </c>
      <c r="H422" s="427">
        <v>3.7065700000000001</v>
      </c>
      <c r="I422" s="427">
        <v>3.7231700000000001</v>
      </c>
      <c r="J422" s="427">
        <v>3.73977</v>
      </c>
      <c r="K422" s="427">
        <v>3.75637</v>
      </c>
      <c r="L422" s="427">
        <v>3.7729699999999999</v>
      </c>
      <c r="M422" s="427">
        <v>3.7895699999999999</v>
      </c>
      <c r="N422" s="427">
        <v>3.8061699999999998</v>
      </c>
      <c r="O422" s="427">
        <v>3.8227699999999998</v>
      </c>
      <c r="P422" s="427">
        <v>3.8393700000000002</v>
      </c>
      <c r="Q422" s="427">
        <v>0.19961000000000001</v>
      </c>
      <c r="R422" s="427">
        <v>0.20282</v>
      </c>
      <c r="S422" s="427">
        <v>0.20602999999999999</v>
      </c>
      <c r="T422" s="427">
        <v>0.20924000000000001</v>
      </c>
    </row>
    <row r="423" spans="1:20" s="427" customFormat="1">
      <c r="A423" s="427" t="str">
        <f t="shared" si="39"/>
        <v>KU</v>
      </c>
      <c r="B423" s="427" t="str">
        <f t="shared" si="40"/>
        <v>KY</v>
      </c>
      <c r="C423" s="427" t="str">
        <f t="shared" si="41"/>
        <v>E</v>
      </c>
      <c r="D423" s="427" t="s">
        <v>3422</v>
      </c>
      <c r="E423" s="427" t="str">
        <f t="shared" si="38"/>
        <v>394</v>
      </c>
      <c r="F423" s="756" t="s">
        <v>1821</v>
      </c>
      <c r="G423" s="426" t="str">
        <f t="shared" si="37"/>
        <v/>
      </c>
      <c r="H423" s="427">
        <v>4090.67472</v>
      </c>
      <c r="I423" s="427">
        <v>4133.6436599999997</v>
      </c>
      <c r="J423" s="427">
        <v>4172.0690400000003</v>
      </c>
      <c r="K423" s="427">
        <v>4213.23495</v>
      </c>
      <c r="L423" s="427">
        <v>4254.2511599999998</v>
      </c>
      <c r="M423" s="427">
        <v>4289.7008099999903</v>
      </c>
      <c r="N423" s="427">
        <v>4328.9447300000002</v>
      </c>
      <c r="O423" s="427">
        <v>4363.6002600000002</v>
      </c>
      <c r="P423" s="427">
        <v>4409.7658700000002</v>
      </c>
      <c r="Q423" s="427">
        <v>4444.3068499999999</v>
      </c>
      <c r="R423" s="427">
        <v>4492.2576600000002</v>
      </c>
      <c r="S423" s="427">
        <v>4541.1323400000001</v>
      </c>
      <c r="T423" s="427">
        <v>4585.5117599999903</v>
      </c>
    </row>
    <row r="424" spans="1:20" s="427" customFormat="1">
      <c r="A424" s="427" t="str">
        <f t="shared" si="39"/>
        <v>KU</v>
      </c>
      <c r="B424" s="427" t="str">
        <f t="shared" si="40"/>
        <v>VA</v>
      </c>
      <c r="C424" s="427" t="str">
        <f t="shared" si="41"/>
        <v>E</v>
      </c>
      <c r="D424" s="427" t="s">
        <v>3422</v>
      </c>
      <c r="E424" s="427" t="str">
        <f t="shared" si="38"/>
        <v>394</v>
      </c>
      <c r="F424" s="756" t="s">
        <v>1822</v>
      </c>
      <c r="G424" s="426" t="str">
        <f t="shared" si="37"/>
        <v/>
      </c>
      <c r="H424" s="427">
        <v>204.59141</v>
      </c>
      <c r="I424" s="427">
        <v>206.18942000000001</v>
      </c>
      <c r="J424" s="427">
        <v>207.78743</v>
      </c>
      <c r="K424" s="427">
        <v>209.38543999999999</v>
      </c>
      <c r="L424" s="427">
        <v>210.98345</v>
      </c>
      <c r="M424" s="427">
        <v>212.58145999999999</v>
      </c>
      <c r="N424" s="427">
        <v>214.17947000000001</v>
      </c>
      <c r="O424" s="427">
        <v>215.86564999999999</v>
      </c>
      <c r="P424" s="427">
        <v>217.70090999999999</v>
      </c>
      <c r="Q424" s="427">
        <v>213.35288</v>
      </c>
      <c r="R424" s="427">
        <v>215.33897999999999</v>
      </c>
      <c r="S424" s="427">
        <v>217.42635000000001</v>
      </c>
      <c r="T424" s="427">
        <v>219.52336</v>
      </c>
    </row>
    <row r="425" spans="1:20" s="427" customFormat="1">
      <c r="A425" s="427" t="str">
        <f t="shared" si="39"/>
        <v>KU</v>
      </c>
      <c r="B425" s="427" t="str">
        <f t="shared" si="40"/>
        <v>KY</v>
      </c>
      <c r="C425" s="427" t="str">
        <f t="shared" si="41"/>
        <v>E</v>
      </c>
      <c r="D425" s="427" t="s">
        <v>3422</v>
      </c>
      <c r="E425" s="427" t="str">
        <f t="shared" si="38"/>
        <v>396</v>
      </c>
      <c r="F425" s="756" t="s">
        <v>1823</v>
      </c>
      <c r="G425" s="426" t="str">
        <f t="shared" ref="G425:G434" si="42">IF(ISTEXT(MID($F425,SEARCH("FUTURE USE",$F425),3)),"FUTURE USE",IF(ISTEXT(MID($F425,SEARCH("ECR",$F425),3)),"ECR",IF(ISTEXT(MID($F425,SEARCH("ARO",$F425),3)),"ARO",IF(ISTEXT(MID($F425,SEARCH("DSM",$F425),3)),"DSM",""))))</f>
        <v/>
      </c>
      <c r="H425" s="427">
        <v>1018.7731</v>
      </c>
      <c r="I425" s="427">
        <v>243.37315000000001</v>
      </c>
      <c r="J425" s="427">
        <v>248.12279999999899</v>
      </c>
      <c r="K425" s="427">
        <v>251.05763999999999</v>
      </c>
      <c r="L425" s="427">
        <v>253.99248</v>
      </c>
      <c r="M425" s="427">
        <v>256.92732000000001</v>
      </c>
      <c r="N425" s="427">
        <v>259.86216000000002</v>
      </c>
      <c r="O425" s="427">
        <v>262.79700000000003</v>
      </c>
      <c r="P425" s="427">
        <v>265.73183999999998</v>
      </c>
      <c r="Q425" s="427">
        <v>268.66667999999999</v>
      </c>
      <c r="R425" s="427">
        <v>271.60151999999999</v>
      </c>
      <c r="S425" s="427">
        <v>274.53636</v>
      </c>
      <c r="T425" s="427">
        <v>277.47120000000001</v>
      </c>
    </row>
    <row r="426" spans="1:20" s="427" customFormat="1">
      <c r="A426" s="427" t="str">
        <f t="shared" si="39"/>
        <v>KU</v>
      </c>
      <c r="B426" s="427" t="str">
        <f t="shared" si="40"/>
        <v>KY</v>
      </c>
      <c r="C426" s="427" t="str">
        <f t="shared" si="41"/>
        <v>E</v>
      </c>
      <c r="D426" s="427" t="s">
        <v>3422</v>
      </c>
      <c r="E426" s="427" t="str">
        <f t="shared" si="38"/>
        <v>396</v>
      </c>
      <c r="F426" s="756" t="s">
        <v>2508</v>
      </c>
      <c r="G426" s="426" t="str">
        <f t="shared" si="42"/>
        <v/>
      </c>
      <c r="H426" s="427">
        <v>0</v>
      </c>
      <c r="I426" s="427">
        <v>790.35235999999998</v>
      </c>
      <c r="J426" s="427">
        <v>801.32830999999999</v>
      </c>
      <c r="K426" s="427">
        <v>814.89224000000002</v>
      </c>
      <c r="L426" s="427">
        <v>828.45617000000004</v>
      </c>
      <c r="M426" s="427">
        <v>842.11680999999999</v>
      </c>
      <c r="N426" s="427">
        <v>856.16458999999998</v>
      </c>
      <c r="O426" s="427">
        <v>870.94305999999995</v>
      </c>
      <c r="P426" s="427">
        <v>886.16180999999995</v>
      </c>
      <c r="Q426" s="427">
        <v>901.38055999999995</v>
      </c>
      <c r="R426" s="427">
        <v>916.59930999999995</v>
      </c>
      <c r="S426" s="427">
        <v>931.81805999999995</v>
      </c>
      <c r="T426" s="427">
        <v>947.03680999999995</v>
      </c>
    </row>
    <row r="427" spans="1:20" s="427" customFormat="1">
      <c r="A427" s="427" t="str">
        <f t="shared" si="39"/>
        <v>KU</v>
      </c>
      <c r="B427" s="427" t="str">
        <f t="shared" si="40"/>
        <v>VA</v>
      </c>
      <c r="C427" s="427" t="str">
        <f t="shared" si="41"/>
        <v>E</v>
      </c>
      <c r="D427" s="427" t="s">
        <v>3422</v>
      </c>
      <c r="E427" s="427" t="str">
        <f t="shared" si="38"/>
        <v>396</v>
      </c>
      <c r="F427" s="756" t="s">
        <v>1824</v>
      </c>
      <c r="G427" s="426" t="str">
        <f t="shared" si="42"/>
        <v/>
      </c>
      <c r="H427" s="427">
        <v>114.26909999999999</v>
      </c>
      <c r="I427" s="427">
        <v>0</v>
      </c>
      <c r="J427" s="427">
        <v>0</v>
      </c>
      <c r="K427" s="427">
        <v>0</v>
      </c>
      <c r="L427" s="427">
        <v>0</v>
      </c>
      <c r="M427" s="427">
        <v>0</v>
      </c>
      <c r="N427" s="427">
        <v>0</v>
      </c>
      <c r="O427" s="427">
        <v>0</v>
      </c>
      <c r="P427" s="427">
        <v>0</v>
      </c>
      <c r="Q427" s="427">
        <v>0</v>
      </c>
      <c r="R427" s="427">
        <v>0</v>
      </c>
      <c r="S427" s="427">
        <v>0</v>
      </c>
      <c r="T427" s="427">
        <v>0</v>
      </c>
    </row>
    <row r="428" spans="1:20" s="427" customFormat="1">
      <c r="A428" s="427" t="str">
        <f t="shared" si="39"/>
        <v>KU</v>
      </c>
      <c r="B428" s="427" t="str">
        <f t="shared" si="40"/>
        <v>VA</v>
      </c>
      <c r="C428" s="427" t="str">
        <f t="shared" si="41"/>
        <v>E</v>
      </c>
      <c r="D428" s="427" t="s">
        <v>3422</v>
      </c>
      <c r="E428" s="427" t="str">
        <f t="shared" si="38"/>
        <v>396</v>
      </c>
      <c r="F428" s="756" t="s">
        <v>2509</v>
      </c>
      <c r="G428" s="426" t="str">
        <f t="shared" si="42"/>
        <v/>
      </c>
      <c r="H428" s="427">
        <v>0</v>
      </c>
      <c r="I428" s="427">
        <v>115.59815999999999</v>
      </c>
      <c r="J428" s="427">
        <v>116.92722000000001</v>
      </c>
      <c r="K428" s="427">
        <v>118.25628</v>
      </c>
      <c r="L428" s="427">
        <v>119.58534</v>
      </c>
      <c r="M428" s="427">
        <v>120.9144</v>
      </c>
      <c r="N428" s="427">
        <v>122.24346</v>
      </c>
      <c r="O428" s="427">
        <v>123.57252</v>
      </c>
      <c r="P428" s="427">
        <v>124.90158</v>
      </c>
      <c r="Q428" s="427">
        <v>126.23063999999999</v>
      </c>
      <c r="R428" s="427">
        <v>127.55970000000001</v>
      </c>
      <c r="S428" s="427">
        <v>128.88875999999999</v>
      </c>
      <c r="T428" s="427">
        <v>130.21781999999999</v>
      </c>
    </row>
    <row r="429" spans="1:20" s="427" customFormat="1">
      <c r="A429" s="427" t="str">
        <f t="shared" si="39"/>
        <v>KU</v>
      </c>
      <c r="B429" s="427" t="str">
        <f t="shared" si="40"/>
        <v>KY</v>
      </c>
      <c r="C429" s="427" t="str">
        <f t="shared" si="41"/>
        <v>E</v>
      </c>
      <c r="D429" s="427" t="s">
        <v>3422</v>
      </c>
      <c r="E429" s="427" t="str">
        <f t="shared" si="38"/>
        <v>397</v>
      </c>
      <c r="F429" s="756" t="s">
        <v>1825</v>
      </c>
      <c r="G429" s="426" t="str">
        <f t="shared" si="42"/>
        <v>DSM</v>
      </c>
      <c r="H429" s="427">
        <v>1585.4340500000001</v>
      </c>
      <c r="I429" s="427">
        <v>1674.46615</v>
      </c>
      <c r="J429" s="427">
        <v>1763.54594</v>
      </c>
      <c r="K429" s="427">
        <v>1852.63888</v>
      </c>
      <c r="L429" s="427">
        <v>1941.7430099999999</v>
      </c>
      <c r="M429" s="427">
        <v>2030.86061</v>
      </c>
      <c r="N429" s="427">
        <v>2120.0144599999999</v>
      </c>
      <c r="O429" s="427">
        <v>2209.22934682</v>
      </c>
      <c r="P429" s="427">
        <v>2298.4988239099998</v>
      </c>
      <c r="Q429" s="427">
        <v>2388.4352918899999</v>
      </c>
      <c r="R429" s="427">
        <v>2479.0413604999999</v>
      </c>
      <c r="S429" s="427">
        <v>2569.7031624399901</v>
      </c>
      <c r="T429" s="427">
        <v>2660.6741801899998</v>
      </c>
    </row>
    <row r="430" spans="1:20" s="427" customFormat="1">
      <c r="A430" s="427" t="str">
        <f t="shared" si="39"/>
        <v>KU</v>
      </c>
      <c r="B430" s="427" t="str">
        <f t="shared" si="40"/>
        <v>KY</v>
      </c>
      <c r="C430" s="427" t="str">
        <f t="shared" si="41"/>
        <v>E</v>
      </c>
      <c r="D430" s="427" t="s">
        <v>3422</v>
      </c>
      <c r="E430" s="427" t="str">
        <f t="shared" ref="E430:E493" si="43">MID($F430,8,3)</f>
        <v>397</v>
      </c>
      <c r="F430" s="756" t="s">
        <v>1826</v>
      </c>
      <c r="G430" s="426" t="str">
        <f t="shared" si="42"/>
        <v/>
      </c>
      <c r="H430" s="427">
        <v>19831.406419999999</v>
      </c>
      <c r="I430" s="427">
        <v>20141.46847</v>
      </c>
      <c r="J430" s="427">
        <v>20470.906729999999</v>
      </c>
      <c r="K430" s="427">
        <v>20800.350480000001</v>
      </c>
      <c r="L430" s="427">
        <v>21129.430359999998</v>
      </c>
      <c r="M430" s="427">
        <v>21458.142589999999</v>
      </c>
      <c r="N430" s="427">
        <v>21787.538809999998</v>
      </c>
      <c r="O430" s="427">
        <v>22077.403320000001</v>
      </c>
      <c r="P430" s="427">
        <v>22408.254509999999</v>
      </c>
      <c r="Q430" s="427">
        <v>22739.38824</v>
      </c>
      <c r="R430" s="427">
        <v>23065.04218</v>
      </c>
      <c r="S430" s="427">
        <v>23400.919809813699</v>
      </c>
      <c r="T430" s="427">
        <v>23744.0617498137</v>
      </c>
    </row>
    <row r="431" spans="1:20" s="427" customFormat="1">
      <c r="A431" s="427" t="str">
        <f t="shared" si="39"/>
        <v>KU</v>
      </c>
      <c r="B431" s="427" t="str">
        <f t="shared" si="40"/>
        <v>VA</v>
      </c>
      <c r="C431" s="427" t="str">
        <f t="shared" si="41"/>
        <v>E</v>
      </c>
      <c r="D431" s="427" t="s">
        <v>3422</v>
      </c>
      <c r="E431" s="427" t="str">
        <f t="shared" si="43"/>
        <v>397</v>
      </c>
      <c r="F431" s="756" t="s">
        <v>1827</v>
      </c>
      <c r="G431" s="426" t="str">
        <f t="shared" si="42"/>
        <v/>
      </c>
      <c r="H431" s="427">
        <v>635.24423000000002</v>
      </c>
      <c r="I431" s="427">
        <v>641.13959999999997</v>
      </c>
      <c r="J431" s="427">
        <v>647.03496999999902</v>
      </c>
      <c r="K431" s="427">
        <v>652.93034</v>
      </c>
      <c r="L431" s="427">
        <v>658.82570999999996</v>
      </c>
      <c r="M431" s="427">
        <v>664.72108000000003</v>
      </c>
      <c r="N431" s="427">
        <v>670.61644999999999</v>
      </c>
      <c r="O431" s="427">
        <v>676.51181999999994</v>
      </c>
      <c r="P431" s="427">
        <v>682.40718999999899</v>
      </c>
      <c r="Q431" s="427">
        <v>688.30255999999895</v>
      </c>
      <c r="R431" s="427">
        <v>694.19792999999902</v>
      </c>
      <c r="S431" s="427">
        <v>700.09329999999898</v>
      </c>
      <c r="T431" s="427">
        <v>705.98866999999905</v>
      </c>
    </row>
    <row r="432" spans="1:20">
      <c r="A432" s="427" t="str">
        <f t="shared" si="39"/>
        <v>KY</v>
      </c>
      <c r="B432" s="427" t="str">
        <f t="shared" si="40"/>
        <v xml:space="preserve"> A</v>
      </c>
      <c r="C432" s="427" t="str">
        <f t="shared" si="41"/>
        <v/>
      </c>
      <c r="D432" s="427" t="s">
        <v>3422</v>
      </c>
      <c r="E432" s="427" t="str">
        <f t="shared" si="43"/>
        <v>lan</v>
      </c>
      <c r="F432" s="758" t="s">
        <v>1829</v>
      </c>
      <c r="G432" s="426" t="str">
        <f t="shared" si="42"/>
        <v/>
      </c>
      <c r="H432" s="427">
        <f>SUM(H307:H431)</f>
        <v>3265606.1403499967</v>
      </c>
      <c r="I432" s="427">
        <f t="shared" ref="I432:N432" si="44">SUM(I307:I431)</f>
        <v>3287227.7915699971</v>
      </c>
      <c r="J432" s="427">
        <f t="shared" si="44"/>
        <v>3292120.4311799989</v>
      </c>
      <c r="K432" s="427">
        <f t="shared" si="44"/>
        <v>3313803.0242699981</v>
      </c>
      <c r="L432" s="427">
        <f t="shared" si="44"/>
        <v>3336293.2825199985</v>
      </c>
      <c r="M432" s="427">
        <f t="shared" si="44"/>
        <v>3353954.3930699979</v>
      </c>
      <c r="N432" s="427">
        <f t="shared" si="44"/>
        <v>3370236.2618499999</v>
      </c>
      <c r="O432" s="427">
        <v>3367837.7448391812</v>
      </c>
      <c r="P432" s="427">
        <v>3390532.6355899661</v>
      </c>
      <c r="Q432" s="427">
        <v>3413059.8396972618</v>
      </c>
      <c r="R432" s="427">
        <v>3435206.1932559712</v>
      </c>
      <c r="S432" s="427">
        <v>3449217.2637985065</v>
      </c>
      <c r="T432" s="427">
        <v>3470028.5012280643</v>
      </c>
    </row>
    <row r="433" spans="1:21">
      <c r="A433" s="427" t="str">
        <f t="shared" si="39"/>
        <v/>
      </c>
      <c r="B433" s="427" t="str">
        <f t="shared" si="40"/>
        <v/>
      </c>
      <c r="C433" s="427" t="str">
        <f t="shared" si="41"/>
        <v/>
      </c>
      <c r="G433" s="426" t="str">
        <f t="shared" si="42"/>
        <v/>
      </c>
      <c r="U433" s="427">
        <f t="shared" ref="U433:U496" si="45">SUM(I433:T433)</f>
        <v>0</v>
      </c>
    </row>
    <row r="434" spans="1:21">
      <c r="A434" s="427" t="str">
        <f t="shared" si="39"/>
        <v>al</v>
      </c>
      <c r="B434" s="427" t="str">
        <f t="shared" si="40"/>
        <v>ci</v>
      </c>
      <c r="C434" s="427" t="str">
        <f t="shared" si="41"/>
        <v/>
      </c>
      <c r="E434" s="427" t="str">
        <f t="shared" si="43"/>
        <v>epr</v>
      </c>
      <c r="F434" s="759" t="s">
        <v>1832</v>
      </c>
      <c r="G434" s="426" t="str">
        <f t="shared" si="42"/>
        <v/>
      </c>
      <c r="U434" s="427">
        <f t="shared" si="45"/>
        <v>0</v>
      </c>
    </row>
    <row r="435" spans="1:21" s="427" customFormat="1">
      <c r="A435" s="427" t="str">
        <f t="shared" si="39"/>
        <v>KU</v>
      </c>
      <c r="B435" s="427" t="str">
        <f t="shared" si="40"/>
        <v>KY</v>
      </c>
      <c r="C435" s="427" t="str">
        <f t="shared" si="41"/>
        <v>E</v>
      </c>
      <c r="D435" s="427" t="s">
        <v>3434</v>
      </c>
      <c r="E435" s="427" t="str">
        <f t="shared" si="43"/>
        <v>302</v>
      </c>
      <c r="F435" s="756" t="s">
        <v>1725</v>
      </c>
      <c r="G435" s="426" t="str">
        <f>IF(ISTEXT(MID($F435,SEARCH("HYDRO PRODUCTION",$F435),9)),"HYDRO",IF(ISTEXT(MID($F435,SEARCH("OTHER PRODUCTION",$F435),9)),"OTHER",IF(ISTEXT(MID($F435,SEARCH("STEAM PRODUCTION",$F435),9)),"STEAM",IF(ISTEXT(MID($F435,SEARCH("TRANSMISSION",$F435),9)),"TRANSMISSION",IF(ISTEXT(MID($F435,SEARCH("DISTRIBUTION",$F435),9)),"DISTRIBUTION",IF(ISTEXT(MID($F435,SEARCH("COMMON",$F435),9)),"COMMON",IF(ISTEXT(MID($F435,SEARCH("GENERAL",$F435),9)),"GENERAL",IF(ISTEXT(MID($F435,SEARCH("INTANGIBLE",$F435),9)),"INTANGIBLE",IF(ISTEXT(MID($F435,SEARCH("STORAGE",$F435),3)),"STORAGE","")))))))))</f>
        <v>INTANGIBLE</v>
      </c>
      <c r="H435" s="427">
        <v>0.16914999999999999</v>
      </c>
      <c r="I435" s="427">
        <v>0.16914999999999999</v>
      </c>
      <c r="J435" s="427">
        <v>0.16914999999999999</v>
      </c>
      <c r="K435" s="427">
        <v>0.16914999999999999</v>
      </c>
      <c r="L435" s="427">
        <v>0.16914999999999999</v>
      </c>
      <c r="M435" s="427">
        <v>0.16914999999999999</v>
      </c>
      <c r="N435" s="427">
        <v>0.16914999999999999</v>
      </c>
      <c r="O435" s="427">
        <v>0.16914999999999999</v>
      </c>
      <c r="P435" s="427">
        <v>0.16914999999999999</v>
      </c>
      <c r="Q435" s="427">
        <v>0.16914999999999999</v>
      </c>
      <c r="R435" s="427">
        <v>0.16914999999999999</v>
      </c>
      <c r="S435" s="427">
        <v>0.16914999999999999</v>
      </c>
      <c r="T435" s="427">
        <v>0.16914999999999999</v>
      </c>
      <c r="U435" s="427">
        <f t="shared" si="45"/>
        <v>2.0297999999999994</v>
      </c>
    </row>
    <row r="436" spans="1:21" s="427" customFormat="1">
      <c r="A436" s="427" t="str">
        <f t="shared" si="39"/>
        <v>KU</v>
      </c>
      <c r="B436" s="427" t="str">
        <f t="shared" si="40"/>
        <v>KY</v>
      </c>
      <c r="C436" s="427" t="str">
        <f t="shared" si="41"/>
        <v>E</v>
      </c>
      <c r="D436" s="427" t="s">
        <v>3434</v>
      </c>
      <c r="E436" s="427" t="str">
        <f t="shared" si="43"/>
        <v>303</v>
      </c>
      <c r="F436" s="756" t="s">
        <v>1726</v>
      </c>
      <c r="G436" s="426" t="str">
        <f t="shared" ref="G436:G499" si="46">IF(ISTEXT(MID($F436,SEARCH("HYDRO PRODUCTION",$F436),9)),"HYDRO",IF(ISTEXT(MID($F436,SEARCH("OTHER PRODUCTION",$F436),9)),"OTHER",IF(ISTEXT(MID($F436,SEARCH("STEAM PRODUCTION",$F436),9)),"STEAM",IF(ISTEXT(MID($F436,SEARCH("TRANSMISSION",$F436),9)),"TRANSMISSION",IF(ISTEXT(MID($F436,SEARCH("DISTRIBUTION",$F436),9)),"DISTRIBUTION",IF(ISTEXT(MID($F436,SEARCH("COMMON",$F436),9)),"COMMON",IF(ISTEXT(MID($F436,SEARCH("GENERAL",$F436),9)),"GENERAL",IF(ISTEXT(MID($F436,SEARCH("INTANGIBLE",$F436),9)),"INTANGIBLE",IF(ISTEXT(MID($F436,SEARCH("STORAGE",$F436),3)),"STORAGE","")))))))))</f>
        <v>INTANGIBLE</v>
      </c>
      <c r="H436" s="427">
        <v>1019.09483</v>
      </c>
      <c r="I436" s="427">
        <v>1059.20373</v>
      </c>
      <c r="J436" s="427">
        <v>1091.63085</v>
      </c>
      <c r="K436" s="427">
        <v>1084.4475399999999</v>
      </c>
      <c r="L436" s="427">
        <v>1081.1679099999999</v>
      </c>
      <c r="M436" s="427">
        <v>1078.2132899999999</v>
      </c>
      <c r="N436" s="427">
        <v>1069.4475600000001</v>
      </c>
      <c r="O436" s="427">
        <v>1091.7099699999901</v>
      </c>
      <c r="P436" s="427">
        <v>1125.49036</v>
      </c>
      <c r="Q436" s="427">
        <v>1123.78936</v>
      </c>
      <c r="R436" s="427">
        <v>1172.0053700000001</v>
      </c>
      <c r="S436" s="427">
        <v>1237.22947</v>
      </c>
      <c r="T436" s="427">
        <v>1284.4015400000001</v>
      </c>
      <c r="U436" s="427">
        <f t="shared" si="45"/>
        <v>13498.736949999993</v>
      </c>
    </row>
    <row r="437" spans="1:21" s="427" customFormat="1">
      <c r="A437" s="427" t="str">
        <f t="shared" si="39"/>
        <v>KU</v>
      </c>
      <c r="B437" s="427" t="str">
        <f t="shared" si="40"/>
        <v>KY</v>
      </c>
      <c r="C437" s="427" t="str">
        <f t="shared" si="41"/>
        <v>E</v>
      </c>
      <c r="D437" s="427" t="s">
        <v>3434</v>
      </c>
      <c r="E437" s="427" t="str">
        <f t="shared" si="43"/>
        <v>303</v>
      </c>
      <c r="F437" s="756" t="s">
        <v>1727</v>
      </c>
      <c r="G437" s="426" t="str">
        <f t="shared" si="46"/>
        <v>INTANGIBLE</v>
      </c>
      <c r="H437" s="427">
        <v>465.22775000000001</v>
      </c>
      <c r="I437" s="427">
        <v>465.22775000000001</v>
      </c>
      <c r="J437" s="427">
        <v>465.22775000000001</v>
      </c>
      <c r="K437" s="427">
        <v>465.22775000000001</v>
      </c>
      <c r="L437" s="427">
        <v>465.22775000000001</v>
      </c>
      <c r="M437" s="427">
        <v>465.22775000000001</v>
      </c>
      <c r="N437" s="427">
        <v>465.22775000000001</v>
      </c>
      <c r="O437" s="427">
        <v>465.22775000000001</v>
      </c>
      <c r="P437" s="427">
        <v>465.22775000000001</v>
      </c>
      <c r="Q437" s="427">
        <v>466.55732</v>
      </c>
      <c r="R437" s="427">
        <v>467.93713000000002</v>
      </c>
      <c r="S437" s="427">
        <v>468.01639</v>
      </c>
      <c r="T437" s="427">
        <v>468.60534999999999</v>
      </c>
      <c r="U437" s="427">
        <f t="shared" si="45"/>
        <v>5592.9381899999998</v>
      </c>
    </row>
    <row r="438" spans="1:21" s="427" customFormat="1">
      <c r="A438" s="427" t="str">
        <f t="shared" si="39"/>
        <v>KU</v>
      </c>
      <c r="B438" s="427" t="str">
        <f t="shared" si="40"/>
        <v>KY</v>
      </c>
      <c r="C438" s="427" t="str">
        <f t="shared" si="41"/>
        <v>E</v>
      </c>
      <c r="D438" s="427" t="s">
        <v>3434</v>
      </c>
      <c r="E438" s="427" t="str">
        <f t="shared" si="43"/>
        <v>311</v>
      </c>
      <c r="F438" s="756" t="s">
        <v>1731</v>
      </c>
      <c r="G438" s="426" t="str">
        <f t="shared" si="46"/>
        <v>STEAM</v>
      </c>
      <c r="H438" s="427">
        <v>21.670860000000001</v>
      </c>
      <c r="I438" s="427">
        <v>21.670860000000001</v>
      </c>
      <c r="J438" s="427">
        <v>21.670860000000001</v>
      </c>
      <c r="K438" s="427">
        <v>21.670860000000001</v>
      </c>
      <c r="L438" s="427">
        <v>21.670860000000001</v>
      </c>
      <c r="M438" s="427">
        <v>21.670860000000001</v>
      </c>
      <c r="N438" s="427">
        <v>21.670860000000001</v>
      </c>
      <c r="O438" s="427">
        <v>21.67086704247</v>
      </c>
      <c r="P438" s="427">
        <v>21.67086704247</v>
      </c>
      <c r="Q438" s="427">
        <v>21.67086704247</v>
      </c>
      <c r="R438" s="427">
        <v>21.67086704247</v>
      </c>
      <c r="S438" s="427">
        <v>21.67086704247</v>
      </c>
      <c r="T438" s="427">
        <v>21.67086704247</v>
      </c>
      <c r="U438" s="427">
        <f t="shared" si="45"/>
        <v>260.05036225482002</v>
      </c>
    </row>
    <row r="439" spans="1:21" s="427" customFormat="1">
      <c r="A439" s="427" t="str">
        <f t="shared" si="39"/>
        <v>KU</v>
      </c>
      <c r="B439" s="427" t="str">
        <f t="shared" si="40"/>
        <v>KY</v>
      </c>
      <c r="C439" s="427" t="str">
        <f t="shared" si="41"/>
        <v>E</v>
      </c>
      <c r="D439" s="427" t="s">
        <v>3434</v>
      </c>
      <c r="E439" s="427" t="str">
        <f>MID($F439,8,3)</f>
        <v>311</v>
      </c>
      <c r="F439" s="756" t="s">
        <v>2193</v>
      </c>
      <c r="G439" s="426" t="str">
        <f t="shared" si="46"/>
        <v>STEAM</v>
      </c>
      <c r="H439" s="427">
        <v>18.920380000000002</v>
      </c>
      <c r="I439" s="427">
        <v>18.920380000000002</v>
      </c>
      <c r="J439" s="427">
        <v>18.920380000000002</v>
      </c>
      <c r="K439" s="427">
        <v>18.920380000000002</v>
      </c>
      <c r="L439" s="427">
        <v>18.920380000000002</v>
      </c>
      <c r="M439" s="427">
        <v>18.920380000000002</v>
      </c>
      <c r="N439" s="427">
        <v>18.920380000000002</v>
      </c>
      <c r="O439" s="427">
        <v>18.920384351500001</v>
      </c>
      <c r="P439" s="427">
        <v>18.920384351500001</v>
      </c>
      <c r="Q439" s="427">
        <v>18.920384351500001</v>
      </c>
      <c r="R439" s="427">
        <v>18.920384351500001</v>
      </c>
      <c r="S439" s="427">
        <v>18.920384351500001</v>
      </c>
      <c r="T439" s="427">
        <v>18.920384351500001</v>
      </c>
      <c r="U439" s="427">
        <f t="shared" si="45"/>
        <v>227.04458610899994</v>
      </c>
    </row>
    <row r="440" spans="1:21" s="427" customFormat="1">
      <c r="A440" s="427" t="str">
        <f t="shared" si="39"/>
        <v>KU</v>
      </c>
      <c r="B440" s="427" t="str">
        <f t="shared" si="40"/>
        <v>KY</v>
      </c>
      <c r="C440" s="427" t="str">
        <f t="shared" si="41"/>
        <v>E</v>
      </c>
      <c r="D440" s="427" t="s">
        <v>3434</v>
      </c>
      <c r="E440" s="427" t="str">
        <f t="shared" si="43"/>
        <v>311</v>
      </c>
      <c r="F440" s="756" t="s">
        <v>1732</v>
      </c>
      <c r="G440" s="426" t="str">
        <f t="shared" si="46"/>
        <v>STEAM</v>
      </c>
      <c r="H440" s="427">
        <v>551.60613000000001</v>
      </c>
      <c r="I440" s="427">
        <v>553.84520999999995</v>
      </c>
      <c r="J440" s="427">
        <v>554.04129999999998</v>
      </c>
      <c r="K440" s="427">
        <v>554.17551000000003</v>
      </c>
      <c r="L440" s="427">
        <v>554.37315000000001</v>
      </c>
      <c r="M440" s="427">
        <v>554.97307999999998</v>
      </c>
      <c r="N440" s="427">
        <v>555.71622000000002</v>
      </c>
      <c r="O440" s="427">
        <v>555.87638999999899</v>
      </c>
      <c r="P440" s="427">
        <v>556.69447999999898</v>
      </c>
      <c r="Q440" s="427">
        <v>557.77782000000002</v>
      </c>
      <c r="R440" s="427">
        <v>558.57128999999998</v>
      </c>
      <c r="S440" s="427">
        <v>559.08227999999997</v>
      </c>
      <c r="T440" s="427">
        <v>559.27881999999897</v>
      </c>
      <c r="U440" s="427">
        <f t="shared" si="45"/>
        <v>6674.4055499999959</v>
      </c>
    </row>
    <row r="441" spans="1:21" s="427" customFormat="1">
      <c r="A441" s="427" t="str">
        <f t="shared" si="39"/>
        <v>KU</v>
      </c>
      <c r="B441" s="427" t="str">
        <f t="shared" si="40"/>
        <v>KY</v>
      </c>
      <c r="C441" s="427" t="str">
        <f t="shared" si="41"/>
        <v>E</v>
      </c>
      <c r="D441" s="427" t="s">
        <v>3434</v>
      </c>
      <c r="E441" s="427" t="str">
        <f t="shared" si="43"/>
        <v>312</v>
      </c>
      <c r="F441" s="756" t="s">
        <v>1733</v>
      </c>
      <c r="G441" s="426" t="str">
        <f t="shared" si="46"/>
        <v>STEAM</v>
      </c>
      <c r="H441" s="427">
        <v>6659.4143700000004</v>
      </c>
      <c r="I441" s="427">
        <v>6676.2243099999996</v>
      </c>
      <c r="J441" s="427">
        <v>6672.6823299999996</v>
      </c>
      <c r="K441" s="427">
        <v>6670.8759999999902</v>
      </c>
      <c r="L441" s="427">
        <v>6676.3227699999998</v>
      </c>
      <c r="M441" s="427">
        <v>6682.6757399999997</v>
      </c>
      <c r="N441" s="427">
        <v>6698.0973000000004</v>
      </c>
      <c r="O441" s="427">
        <v>6709.3726299999998</v>
      </c>
      <c r="P441" s="427">
        <v>6712.0875999999998</v>
      </c>
      <c r="Q441" s="427">
        <v>6715.0231199999898</v>
      </c>
      <c r="R441" s="427">
        <v>6719.5968299999904</v>
      </c>
      <c r="S441" s="427">
        <v>6742.7957299999998</v>
      </c>
      <c r="T441" s="427">
        <v>6776.1767099999997</v>
      </c>
      <c r="U441" s="427">
        <f t="shared" si="45"/>
        <v>80451.931069999962</v>
      </c>
    </row>
    <row r="442" spans="1:21" s="427" customFormat="1">
      <c r="A442" s="427" t="str">
        <f t="shared" si="39"/>
        <v>KU</v>
      </c>
      <c r="B442" s="427" t="str">
        <f t="shared" si="40"/>
        <v>KY</v>
      </c>
      <c r="C442" s="427" t="str">
        <f t="shared" si="41"/>
        <v>E</v>
      </c>
      <c r="D442" s="427" t="s">
        <v>3434</v>
      </c>
      <c r="E442" s="427" t="str">
        <f t="shared" si="43"/>
        <v>312</v>
      </c>
      <c r="F442" s="756" t="s">
        <v>1734</v>
      </c>
      <c r="G442" s="426" t="str">
        <f t="shared" si="46"/>
        <v>STEAM</v>
      </c>
      <c r="H442" s="427">
        <v>963.97604000000001</v>
      </c>
      <c r="I442" s="427">
        <v>963.97604000000001</v>
      </c>
      <c r="J442" s="427">
        <v>963.96392000000003</v>
      </c>
      <c r="K442" s="427">
        <v>963.96392000000003</v>
      </c>
      <c r="L442" s="427">
        <v>963.96392000000003</v>
      </c>
      <c r="M442" s="427">
        <v>963.96392000000003</v>
      </c>
      <c r="N442" s="427">
        <v>963.96392000000003</v>
      </c>
      <c r="O442" s="427">
        <v>966.69162504309998</v>
      </c>
      <c r="P442" s="427">
        <v>1001.8481574039999</v>
      </c>
      <c r="Q442" s="427">
        <v>1062.327245617</v>
      </c>
      <c r="R442" s="427">
        <v>1092.1349356349999</v>
      </c>
      <c r="S442" s="427">
        <v>1095.5060436809899</v>
      </c>
      <c r="T442" s="427">
        <v>1098.5354182819999</v>
      </c>
      <c r="U442" s="427">
        <f t="shared" si="45"/>
        <v>12100.839065662089</v>
      </c>
    </row>
    <row r="443" spans="1:21" s="427" customFormat="1">
      <c r="A443" s="427" t="str">
        <f t="shared" si="39"/>
        <v>KU</v>
      </c>
      <c r="B443" s="427" t="str">
        <f t="shared" si="40"/>
        <v>KY</v>
      </c>
      <c r="C443" s="427" t="str">
        <f t="shared" si="41"/>
        <v>E</v>
      </c>
      <c r="D443" s="427" t="s">
        <v>3434</v>
      </c>
      <c r="E443" s="427" t="str">
        <f t="shared" si="43"/>
        <v>312</v>
      </c>
      <c r="F443" s="756" t="s">
        <v>1735</v>
      </c>
      <c r="G443" s="426" t="str">
        <f t="shared" si="46"/>
        <v>STEAM</v>
      </c>
      <c r="H443" s="427">
        <v>1660.97246</v>
      </c>
      <c r="I443" s="427">
        <v>1661.4070299999901</v>
      </c>
      <c r="J443" s="427">
        <v>1661.4070299999901</v>
      </c>
      <c r="K443" s="427">
        <v>1661.4070299999901</v>
      </c>
      <c r="L443" s="427">
        <v>1661.4040399999999</v>
      </c>
      <c r="M443" s="427">
        <v>1661.4010499999999</v>
      </c>
      <c r="N443" s="427">
        <v>1666.4950100000001</v>
      </c>
      <c r="O443" s="427">
        <v>1674.341846373</v>
      </c>
      <c r="P443" s="427">
        <v>1677.09471864799</v>
      </c>
      <c r="Q443" s="427">
        <v>1677.09471864799</v>
      </c>
      <c r="R443" s="427">
        <v>1677.09471864799</v>
      </c>
      <c r="S443" s="427">
        <v>1677.09471864799</v>
      </c>
      <c r="T443" s="427">
        <v>1677.09471864799</v>
      </c>
      <c r="U443" s="427">
        <f t="shared" si="45"/>
        <v>20033.336629612921</v>
      </c>
    </row>
    <row r="444" spans="1:21" s="427" customFormat="1">
      <c r="A444" s="427" t="str">
        <f t="shared" si="39"/>
        <v>KU</v>
      </c>
      <c r="B444" s="427" t="str">
        <f t="shared" si="40"/>
        <v>KY</v>
      </c>
      <c r="C444" s="427" t="str">
        <f t="shared" si="41"/>
        <v>E</v>
      </c>
      <c r="D444" s="427" t="s">
        <v>3434</v>
      </c>
      <c r="E444" s="427" t="str">
        <f t="shared" si="43"/>
        <v>312</v>
      </c>
      <c r="F444" s="756" t="s">
        <v>2194</v>
      </c>
      <c r="G444" s="426" t="str">
        <f t="shared" si="46"/>
        <v>STEAM</v>
      </c>
      <c r="H444" s="427">
        <v>6.7945099999999998</v>
      </c>
      <c r="I444" s="427">
        <v>15.420970000000001</v>
      </c>
      <c r="J444" s="427">
        <v>16.312280000000001</v>
      </c>
      <c r="K444" s="427">
        <v>16.312280000000001</v>
      </c>
      <c r="L444" s="427">
        <v>16.312280000000001</v>
      </c>
      <c r="M444" s="427">
        <v>16.312280000000001</v>
      </c>
      <c r="N444" s="427">
        <v>16.312280000000001</v>
      </c>
      <c r="O444" s="427">
        <v>16.497255185156899</v>
      </c>
      <c r="P444" s="427">
        <v>16.682229732456999</v>
      </c>
      <c r="Q444" s="427">
        <v>16.682229732456999</v>
      </c>
      <c r="R444" s="427">
        <v>16.682229732456999</v>
      </c>
      <c r="S444" s="427">
        <v>16.682229732456999</v>
      </c>
      <c r="T444" s="427">
        <v>16.682229732456999</v>
      </c>
      <c r="U444" s="427">
        <f t="shared" si="45"/>
        <v>196.89077384744186</v>
      </c>
    </row>
    <row r="445" spans="1:21" s="427" customFormat="1">
      <c r="A445" s="427" t="str">
        <f t="shared" si="39"/>
        <v>KU</v>
      </c>
      <c r="B445" s="427" t="str">
        <f t="shared" si="40"/>
        <v>KY</v>
      </c>
      <c r="C445" s="427" t="str">
        <f t="shared" si="41"/>
        <v>E</v>
      </c>
      <c r="D445" s="427" t="s">
        <v>3434</v>
      </c>
      <c r="E445" s="427" t="str">
        <f t="shared" si="43"/>
        <v>314</v>
      </c>
      <c r="F445" s="756" t="s">
        <v>1737</v>
      </c>
      <c r="G445" s="426" t="str">
        <f t="shared" si="46"/>
        <v>STEAM</v>
      </c>
      <c r="H445" s="427">
        <v>622.36730999999997</v>
      </c>
      <c r="I445" s="427">
        <v>624.76526999999999</v>
      </c>
      <c r="J445" s="427">
        <v>625.13595999999995</v>
      </c>
      <c r="K445" s="427">
        <v>625.48586999999998</v>
      </c>
      <c r="L445" s="427">
        <v>625.91300000000001</v>
      </c>
      <c r="M445" s="427">
        <v>627.26244999999994</v>
      </c>
      <c r="N445" s="427">
        <v>631.55664999999999</v>
      </c>
      <c r="O445" s="427">
        <v>635.21677999999997</v>
      </c>
      <c r="P445" s="427">
        <v>636.29799000000003</v>
      </c>
      <c r="Q445" s="427">
        <v>636.74261999999999</v>
      </c>
      <c r="R445" s="427">
        <v>636.91654000000005</v>
      </c>
      <c r="S445" s="427">
        <v>643.93119000000002</v>
      </c>
      <c r="T445" s="427">
        <v>652.51419999999996</v>
      </c>
      <c r="U445" s="427">
        <f t="shared" si="45"/>
        <v>7601.7385199999999</v>
      </c>
    </row>
    <row r="446" spans="1:21" s="427" customFormat="1">
      <c r="A446" s="427" t="str">
        <f t="shared" si="39"/>
        <v>KU</v>
      </c>
      <c r="B446" s="427" t="str">
        <f t="shared" si="40"/>
        <v>KY</v>
      </c>
      <c r="C446" s="427" t="str">
        <f t="shared" si="41"/>
        <v>E</v>
      </c>
      <c r="D446" s="427" t="s">
        <v>3434</v>
      </c>
      <c r="E446" s="427" t="str">
        <f t="shared" si="43"/>
        <v>315</v>
      </c>
      <c r="F446" s="756" t="s">
        <v>1738</v>
      </c>
      <c r="G446" s="426" t="str">
        <f t="shared" si="46"/>
        <v>STEAM</v>
      </c>
      <c r="H446" s="427">
        <v>454.13709</v>
      </c>
      <c r="I446" s="427">
        <v>454.28512999999998</v>
      </c>
      <c r="J446" s="427">
        <v>454.31513000000001</v>
      </c>
      <c r="K446" s="427">
        <v>454.31513000000001</v>
      </c>
      <c r="L446" s="427">
        <v>454.31513000000001</v>
      </c>
      <c r="M446" s="427">
        <v>454.41845000000001</v>
      </c>
      <c r="N446" s="427">
        <v>454.95348000000001</v>
      </c>
      <c r="O446" s="427">
        <v>455.40852999999998</v>
      </c>
      <c r="P446" s="427">
        <v>455.540559999999</v>
      </c>
      <c r="Q446" s="427">
        <v>455.74486999999999</v>
      </c>
      <c r="R446" s="427">
        <v>455.875799999999</v>
      </c>
      <c r="S446" s="427">
        <v>456.18646999999999</v>
      </c>
      <c r="T446" s="427">
        <v>456.76684999999998</v>
      </c>
      <c r="U446" s="427">
        <f t="shared" si="45"/>
        <v>5462.1255299999975</v>
      </c>
    </row>
    <row r="447" spans="1:21" s="427" customFormat="1">
      <c r="A447" s="427" t="str">
        <f t="shared" si="39"/>
        <v>KU</v>
      </c>
      <c r="B447" s="427" t="str">
        <f t="shared" si="40"/>
        <v>KY</v>
      </c>
      <c r="C447" s="427" t="str">
        <f t="shared" si="41"/>
        <v>E</v>
      </c>
      <c r="D447" s="427" t="s">
        <v>3434</v>
      </c>
      <c r="E447" s="427" t="str">
        <f t="shared" si="43"/>
        <v>315</v>
      </c>
      <c r="F447" s="756" t="s">
        <v>2195</v>
      </c>
      <c r="G447" s="426" t="str">
        <f t="shared" si="46"/>
        <v>STEAM</v>
      </c>
      <c r="H447" s="427">
        <v>30.52514</v>
      </c>
      <c r="I447" s="427">
        <v>30.52514</v>
      </c>
      <c r="J447" s="427">
        <v>30.52514</v>
      </c>
      <c r="K447" s="427">
        <v>30.52514</v>
      </c>
      <c r="L447" s="427">
        <v>30.52514</v>
      </c>
      <c r="M447" s="427">
        <v>30.52514</v>
      </c>
      <c r="N447" s="427">
        <v>30.52514</v>
      </c>
      <c r="O447" s="427">
        <v>30.525137318029898</v>
      </c>
      <c r="P447" s="427">
        <v>30.525137318029898</v>
      </c>
      <c r="Q447" s="427">
        <v>30.525137318029898</v>
      </c>
      <c r="R447" s="427">
        <v>30.525137318029898</v>
      </c>
      <c r="S447" s="427">
        <v>30.525137318029898</v>
      </c>
      <c r="T447" s="427">
        <v>30.525137318029898</v>
      </c>
      <c r="U447" s="427">
        <f>SUM(I447:T447)</f>
        <v>366.30166390817942</v>
      </c>
    </row>
    <row r="448" spans="1:21" s="427" customFormat="1">
      <c r="A448" s="427" t="str">
        <f t="shared" si="39"/>
        <v>KU</v>
      </c>
      <c r="B448" s="427" t="str">
        <f t="shared" si="40"/>
        <v>KY</v>
      </c>
      <c r="C448" s="427" t="str">
        <f t="shared" si="41"/>
        <v>E</v>
      </c>
      <c r="D448" s="427" t="s">
        <v>3434</v>
      </c>
      <c r="E448" s="427" t="str">
        <f t="shared" si="43"/>
        <v>315</v>
      </c>
      <c r="F448" s="756" t="s">
        <v>1739</v>
      </c>
      <c r="G448" s="426" t="str">
        <f t="shared" si="46"/>
        <v>STEAM</v>
      </c>
      <c r="H448" s="427">
        <v>15.84881</v>
      </c>
      <c r="I448" s="427">
        <v>15.84881</v>
      </c>
      <c r="J448" s="427">
        <v>15.84881</v>
      </c>
      <c r="K448" s="427">
        <v>15.84881</v>
      </c>
      <c r="L448" s="427">
        <v>15.84881</v>
      </c>
      <c r="M448" s="427">
        <v>15.84881</v>
      </c>
      <c r="N448" s="427">
        <v>15.86591</v>
      </c>
      <c r="O448" s="427">
        <v>15.883009085199999</v>
      </c>
      <c r="P448" s="427">
        <v>15.883009085199999</v>
      </c>
      <c r="Q448" s="427">
        <v>15.883009085199999</v>
      </c>
      <c r="R448" s="427">
        <v>15.883009085199999</v>
      </c>
      <c r="S448" s="427">
        <v>15.883009085199999</v>
      </c>
      <c r="T448" s="427">
        <v>15.883009085199999</v>
      </c>
      <c r="U448" s="427">
        <f t="shared" si="45"/>
        <v>190.40801451120001</v>
      </c>
    </row>
    <row r="449" spans="1:21" s="427" customFormat="1">
      <c r="A449" s="427" t="str">
        <f t="shared" si="39"/>
        <v>KU</v>
      </c>
      <c r="B449" s="427" t="str">
        <f t="shared" si="40"/>
        <v>KY</v>
      </c>
      <c r="C449" s="427" t="str">
        <f t="shared" si="41"/>
        <v>E</v>
      </c>
      <c r="D449" s="427" t="s">
        <v>3434</v>
      </c>
      <c r="E449" s="427" t="str">
        <f t="shared" si="43"/>
        <v>316</v>
      </c>
      <c r="F449" s="756" t="s">
        <v>2196</v>
      </c>
      <c r="G449" s="426" t="str">
        <f t="shared" si="46"/>
        <v>STEAM</v>
      </c>
      <c r="H449" s="427">
        <v>0.82492999999999905</v>
      </c>
      <c r="I449" s="427">
        <v>0.82492999999999905</v>
      </c>
      <c r="J449" s="427">
        <v>0.82492999999999905</v>
      </c>
      <c r="K449" s="427">
        <v>0.82492999999999905</v>
      </c>
      <c r="L449" s="427">
        <v>0.82492999999999905</v>
      </c>
      <c r="M449" s="427">
        <v>0.82492999999999905</v>
      </c>
      <c r="N449" s="427">
        <v>0.82492999999999905</v>
      </c>
      <c r="O449" s="427">
        <v>0.82492337999999998</v>
      </c>
      <c r="P449" s="427">
        <v>0.82492337999999998</v>
      </c>
      <c r="Q449" s="427">
        <v>0.82492337999999998</v>
      </c>
      <c r="R449" s="427">
        <v>0.82492337999999998</v>
      </c>
      <c r="S449" s="427">
        <v>0.82492337999999998</v>
      </c>
      <c r="T449" s="427">
        <v>0.82492337999999998</v>
      </c>
      <c r="U449" s="427">
        <f t="shared" si="45"/>
        <v>9.8991202799999929</v>
      </c>
    </row>
    <row r="450" spans="1:21" s="427" customFormat="1">
      <c r="A450" s="427" t="str">
        <f t="shared" si="39"/>
        <v>KU</v>
      </c>
      <c r="B450" s="427" t="str">
        <f t="shared" si="40"/>
        <v>KY</v>
      </c>
      <c r="C450" s="427" t="str">
        <f t="shared" si="41"/>
        <v>E</v>
      </c>
      <c r="D450" s="427" t="s">
        <v>3434</v>
      </c>
      <c r="E450" s="427" t="str">
        <f t="shared" si="43"/>
        <v>316</v>
      </c>
      <c r="F450" s="756" t="s">
        <v>1740</v>
      </c>
      <c r="G450" s="426" t="str">
        <f t="shared" si="46"/>
        <v>STEAM</v>
      </c>
      <c r="H450" s="427">
        <v>67.388480000000001</v>
      </c>
      <c r="I450" s="427">
        <v>69.060860000000005</v>
      </c>
      <c r="J450" s="427">
        <v>69.198909999999998</v>
      </c>
      <c r="K450" s="427">
        <v>69.047510000000003</v>
      </c>
      <c r="L450" s="427">
        <v>69.180170000000004</v>
      </c>
      <c r="M450" s="427">
        <v>69.292469999999994</v>
      </c>
      <c r="N450" s="427">
        <v>69.619720000000001</v>
      </c>
      <c r="O450" s="427">
        <v>70.369249999999994</v>
      </c>
      <c r="P450" s="427">
        <v>71.176550000000006</v>
      </c>
      <c r="Q450" s="427">
        <v>71.602509999999995</v>
      </c>
      <c r="R450" s="427">
        <v>72.174710000000005</v>
      </c>
      <c r="S450" s="427">
        <v>72.680509999999998</v>
      </c>
      <c r="T450" s="427">
        <v>73.074889999999996</v>
      </c>
      <c r="U450" s="427">
        <f t="shared" si="45"/>
        <v>846.47805999999991</v>
      </c>
    </row>
    <row r="451" spans="1:21" s="427" customFormat="1">
      <c r="A451" s="427" t="str">
        <f t="shared" si="39"/>
        <v>KU</v>
      </c>
      <c r="B451" s="427" t="str">
        <f t="shared" si="40"/>
        <v>KY</v>
      </c>
      <c r="C451" s="427" t="str">
        <f t="shared" si="41"/>
        <v>E</v>
      </c>
      <c r="D451" s="427" t="s">
        <v>3434</v>
      </c>
      <c r="E451" s="427" t="str">
        <f t="shared" si="43"/>
        <v>317</v>
      </c>
      <c r="F451" s="756" t="s">
        <v>1741</v>
      </c>
      <c r="G451" s="426" t="str">
        <f t="shared" si="46"/>
        <v>STEAM</v>
      </c>
      <c r="H451" s="427">
        <v>454.80529999999999</v>
      </c>
      <c r="I451" s="427">
        <v>456.42653000000001</v>
      </c>
      <c r="J451" s="427">
        <v>456.42655999999999</v>
      </c>
      <c r="K451" s="427">
        <v>454.15208999999999</v>
      </c>
      <c r="L451" s="427">
        <v>451.94018</v>
      </c>
      <c r="M451" s="427">
        <v>451.94020999999998</v>
      </c>
      <c r="N451" s="427">
        <v>453.11802999999998</v>
      </c>
      <c r="O451" s="427">
        <v>451.94018000000102</v>
      </c>
      <c r="P451" s="427">
        <v>451.94018000000102</v>
      </c>
      <c r="Q451" s="427">
        <v>451.94018000000102</v>
      </c>
      <c r="R451" s="427">
        <v>451.94018000000102</v>
      </c>
      <c r="S451" s="427">
        <v>451.94018000000102</v>
      </c>
      <c r="T451" s="427">
        <v>451.94018000000102</v>
      </c>
      <c r="U451" s="427">
        <f t="shared" si="45"/>
        <v>5435.6446800000076</v>
      </c>
    </row>
    <row r="452" spans="1:21" s="427" customFormat="1">
      <c r="A452" s="427" t="str">
        <f t="shared" si="39"/>
        <v>KU</v>
      </c>
      <c r="B452" s="427" t="str">
        <f t="shared" si="40"/>
        <v>KY</v>
      </c>
      <c r="C452" s="427" t="str">
        <f t="shared" si="41"/>
        <v>E</v>
      </c>
      <c r="D452" s="427" t="s">
        <v>3434</v>
      </c>
      <c r="E452" s="427" t="str">
        <f t="shared" si="43"/>
        <v>317</v>
      </c>
      <c r="F452" s="756" t="s">
        <v>2504</v>
      </c>
      <c r="G452" s="426" t="str">
        <f t="shared" si="46"/>
        <v>STEAM</v>
      </c>
      <c r="H452" s="427">
        <v>908.50864999999999</v>
      </c>
      <c r="I452" s="427">
        <v>906.54547000000002</v>
      </c>
      <c r="J452" s="427">
        <v>906.54526999999996</v>
      </c>
      <c r="K452" s="427">
        <v>903.48608000000002</v>
      </c>
      <c r="L452" s="427">
        <v>3802.7905499999902</v>
      </c>
      <c r="M452" s="427">
        <v>1177.0536399999901</v>
      </c>
      <c r="N452" s="427">
        <v>849.63404000000003</v>
      </c>
      <c r="O452" s="427">
        <v>1035.3629000000001</v>
      </c>
      <c r="P452" s="427">
        <v>1035.3629000000001</v>
      </c>
      <c r="Q452" s="427">
        <v>1035.3629000000001</v>
      </c>
      <c r="R452" s="427">
        <v>1035.3629000000001</v>
      </c>
      <c r="S452" s="427">
        <v>1035.3629000000001</v>
      </c>
      <c r="T452" s="427">
        <v>1035.3629000000001</v>
      </c>
      <c r="U452" s="427">
        <f t="shared" si="45"/>
        <v>14758.232449999981</v>
      </c>
    </row>
    <row r="453" spans="1:21" s="427" customFormat="1">
      <c r="A453" s="427" t="str">
        <f t="shared" si="39"/>
        <v>KU</v>
      </c>
      <c r="B453" s="427" t="str">
        <f t="shared" si="40"/>
        <v>KY</v>
      </c>
      <c r="C453" s="427" t="str">
        <f t="shared" si="41"/>
        <v>E</v>
      </c>
      <c r="D453" s="427" t="s">
        <v>3434</v>
      </c>
      <c r="E453" s="427" t="str">
        <f t="shared" si="43"/>
        <v>331</v>
      </c>
      <c r="F453" s="756" t="s">
        <v>1743</v>
      </c>
      <c r="G453" s="426" t="str">
        <f t="shared" si="46"/>
        <v>HYDRO</v>
      </c>
      <c r="H453" s="427">
        <v>6.1987399999999999</v>
      </c>
      <c r="I453" s="427">
        <v>6.1987399999999999</v>
      </c>
      <c r="J453" s="427">
        <v>6.1987399999999999</v>
      </c>
      <c r="K453" s="427">
        <v>6.1987399999999999</v>
      </c>
      <c r="L453" s="427">
        <v>6.1987399999999999</v>
      </c>
      <c r="M453" s="427">
        <v>6.1987399999999999</v>
      </c>
      <c r="N453" s="427">
        <v>6.1987399999999999</v>
      </c>
      <c r="O453" s="427">
        <v>6.1987399999999901</v>
      </c>
      <c r="P453" s="427">
        <v>7.2420900000000001</v>
      </c>
      <c r="Q453" s="427">
        <v>8.2854399999999995</v>
      </c>
      <c r="R453" s="427">
        <v>8.2854399999999995</v>
      </c>
      <c r="S453" s="427">
        <v>8.6823499999999996</v>
      </c>
      <c r="T453" s="427">
        <v>9.0792599999999997</v>
      </c>
      <c r="U453" s="427">
        <f t="shared" si="45"/>
        <v>84.965759999999989</v>
      </c>
    </row>
    <row r="454" spans="1:21" s="427" customFormat="1">
      <c r="A454" s="427" t="str">
        <f t="shared" si="39"/>
        <v>KU</v>
      </c>
      <c r="B454" s="427" t="str">
        <f t="shared" si="40"/>
        <v>KY</v>
      </c>
      <c r="C454" s="427" t="str">
        <f t="shared" si="41"/>
        <v>E</v>
      </c>
      <c r="D454" s="427" t="s">
        <v>3434</v>
      </c>
      <c r="E454" s="427" t="str">
        <f t="shared" si="43"/>
        <v>332</v>
      </c>
      <c r="F454" s="756" t="s">
        <v>1744</v>
      </c>
      <c r="G454" s="426" t="str">
        <f t="shared" si="46"/>
        <v>HYDRO</v>
      </c>
      <c r="H454" s="427">
        <v>47.601280000000003</v>
      </c>
      <c r="I454" s="427">
        <v>47.601280000000003</v>
      </c>
      <c r="J454" s="427">
        <v>47.601280000000003</v>
      </c>
      <c r="K454" s="427">
        <v>47.601280000000003</v>
      </c>
      <c r="L454" s="427">
        <v>47.601280000000003</v>
      </c>
      <c r="M454" s="427">
        <v>47.601280000000003</v>
      </c>
      <c r="N454" s="427">
        <v>47.601280000000003</v>
      </c>
      <c r="O454" s="427">
        <v>47.601280000000003</v>
      </c>
      <c r="P454" s="427">
        <v>47.601280000000003</v>
      </c>
      <c r="Q454" s="427">
        <v>47.601280000000003</v>
      </c>
      <c r="R454" s="427">
        <v>47.601280000000003</v>
      </c>
      <c r="S454" s="427">
        <v>47.601280000000003</v>
      </c>
      <c r="T454" s="427">
        <v>47.601280000000003</v>
      </c>
      <c r="U454" s="427">
        <f t="shared" si="45"/>
        <v>571.21535999999992</v>
      </c>
    </row>
    <row r="455" spans="1:21" s="427" customFormat="1">
      <c r="A455" s="427" t="str">
        <f t="shared" si="39"/>
        <v>KU</v>
      </c>
      <c r="B455" s="427" t="str">
        <f t="shared" si="40"/>
        <v>KY</v>
      </c>
      <c r="C455" s="427" t="str">
        <f t="shared" si="41"/>
        <v>E</v>
      </c>
      <c r="D455" s="427" t="s">
        <v>3434</v>
      </c>
      <c r="E455" s="427" t="str">
        <f t="shared" si="43"/>
        <v>333</v>
      </c>
      <c r="F455" s="756" t="s">
        <v>1745</v>
      </c>
      <c r="G455" s="426" t="str">
        <f t="shared" si="46"/>
        <v>HYDRO</v>
      </c>
      <c r="H455" s="427">
        <v>45.183689999999999</v>
      </c>
      <c r="I455" s="427">
        <v>45.183689999999999</v>
      </c>
      <c r="J455" s="427">
        <v>45.183689999999999</v>
      </c>
      <c r="K455" s="427">
        <v>45.183689999999999</v>
      </c>
      <c r="L455" s="427">
        <v>45.183689999999999</v>
      </c>
      <c r="M455" s="427">
        <v>45.183689999999999</v>
      </c>
      <c r="N455" s="427">
        <v>45.183689999999999</v>
      </c>
      <c r="O455" s="427">
        <v>45.183689999999999</v>
      </c>
      <c r="P455" s="427">
        <v>45.183689999999999</v>
      </c>
      <c r="Q455" s="427">
        <v>45.183689999999999</v>
      </c>
      <c r="R455" s="427">
        <v>45.183689999999999</v>
      </c>
      <c r="S455" s="427">
        <v>45.183689999999999</v>
      </c>
      <c r="T455" s="427">
        <v>45.183689999999999</v>
      </c>
      <c r="U455" s="427">
        <f t="shared" si="45"/>
        <v>542.20428000000004</v>
      </c>
    </row>
    <row r="456" spans="1:21" s="427" customFormat="1">
      <c r="A456" s="427" t="str">
        <f t="shared" si="39"/>
        <v>KU</v>
      </c>
      <c r="B456" s="427" t="str">
        <f t="shared" si="40"/>
        <v>KY</v>
      </c>
      <c r="C456" s="427" t="str">
        <f t="shared" si="41"/>
        <v>E</v>
      </c>
      <c r="D456" s="427" t="s">
        <v>3434</v>
      </c>
      <c r="E456" s="427" t="str">
        <f t="shared" si="43"/>
        <v>334</v>
      </c>
      <c r="F456" s="756" t="s">
        <v>1746</v>
      </c>
      <c r="G456" s="426" t="str">
        <f t="shared" si="46"/>
        <v>HYDRO</v>
      </c>
      <c r="H456" s="427">
        <v>4.3802899999999996</v>
      </c>
      <c r="I456" s="427">
        <v>4.3874399999999998</v>
      </c>
      <c r="J456" s="427">
        <v>4.3874399999999998</v>
      </c>
      <c r="K456" s="427">
        <v>4.3874399999999998</v>
      </c>
      <c r="L456" s="427">
        <v>4.3874399999999998</v>
      </c>
      <c r="M456" s="427">
        <v>4.3874399999999998</v>
      </c>
      <c r="N456" s="427">
        <v>4.3874399999999998</v>
      </c>
      <c r="O456" s="427">
        <v>4.3874399999999998</v>
      </c>
      <c r="P456" s="427">
        <v>4.3874399999999998</v>
      </c>
      <c r="Q456" s="427">
        <v>4.3874399999999998</v>
      </c>
      <c r="R456" s="427">
        <v>4.3874399999999998</v>
      </c>
      <c r="S456" s="427">
        <v>4.3874399999999998</v>
      </c>
      <c r="T456" s="427">
        <v>4.3874399999999998</v>
      </c>
      <c r="U456" s="427">
        <f t="shared" si="45"/>
        <v>52.649279999999983</v>
      </c>
    </row>
    <row r="457" spans="1:21" s="427" customFormat="1">
      <c r="A457" s="427" t="str">
        <f t="shared" si="39"/>
        <v>KU</v>
      </c>
      <c r="B457" s="427" t="str">
        <f t="shared" si="40"/>
        <v>KY</v>
      </c>
      <c r="C457" s="427" t="str">
        <f t="shared" si="41"/>
        <v>E</v>
      </c>
      <c r="D457" s="427" t="s">
        <v>3434</v>
      </c>
      <c r="E457" s="427" t="str">
        <f t="shared" si="43"/>
        <v>335</v>
      </c>
      <c r="F457" s="756" t="s">
        <v>1747</v>
      </c>
      <c r="G457" s="426" t="str">
        <f t="shared" si="46"/>
        <v>HYDRO</v>
      </c>
      <c r="H457" s="427">
        <v>1.0320400000000001</v>
      </c>
      <c r="I457" s="427">
        <v>1.0320400000000001</v>
      </c>
      <c r="J457" s="427">
        <v>1.0320400000000001</v>
      </c>
      <c r="K457" s="427">
        <v>1.0320400000000001</v>
      </c>
      <c r="L457" s="427">
        <v>1.0320400000000001</v>
      </c>
      <c r="M457" s="427">
        <v>1.0320400000000001</v>
      </c>
      <c r="N457" s="427">
        <v>1.0320400000000001</v>
      </c>
      <c r="O457" s="427">
        <v>1.0320400000000001</v>
      </c>
      <c r="P457" s="427">
        <v>1.0320400000000001</v>
      </c>
      <c r="Q457" s="427">
        <v>1.0320400000000001</v>
      </c>
      <c r="R457" s="427">
        <v>1.0320400000000001</v>
      </c>
      <c r="S457" s="427">
        <v>1.0320400000000001</v>
      </c>
      <c r="T457" s="427">
        <v>1.0320400000000001</v>
      </c>
      <c r="U457" s="427">
        <f t="shared" si="45"/>
        <v>12.384480000000002</v>
      </c>
    </row>
    <row r="458" spans="1:21" s="427" customFormat="1">
      <c r="A458" s="427" t="str">
        <f t="shared" ref="A458:A521" si="47">MID($F458,4,2)</f>
        <v>KU</v>
      </c>
      <c r="B458" s="427" t="str">
        <f t="shared" si="40"/>
        <v>KY</v>
      </c>
      <c r="C458" s="427" t="str">
        <f t="shared" si="41"/>
        <v>E</v>
      </c>
      <c r="D458" s="427" t="s">
        <v>3434</v>
      </c>
      <c r="E458" s="427" t="str">
        <f t="shared" si="43"/>
        <v>336</v>
      </c>
      <c r="F458" s="756" t="s">
        <v>1748</v>
      </c>
      <c r="G458" s="426" t="str">
        <f t="shared" si="46"/>
        <v>HYDRO</v>
      </c>
      <c r="H458" s="427">
        <v>0.65076000000000001</v>
      </c>
      <c r="I458" s="427">
        <v>0.65076000000000001</v>
      </c>
      <c r="J458" s="427">
        <v>0.65076000000000001</v>
      </c>
      <c r="K458" s="427">
        <v>0.65076000000000001</v>
      </c>
      <c r="L458" s="427">
        <v>0.65076000000000001</v>
      </c>
      <c r="M458" s="427">
        <v>0.65076000000000001</v>
      </c>
      <c r="N458" s="427">
        <v>0.65076000000000001</v>
      </c>
      <c r="O458" s="427">
        <v>0.65076000000000001</v>
      </c>
      <c r="P458" s="427">
        <v>0.65076000000000001</v>
      </c>
      <c r="Q458" s="427">
        <v>0.65076000000000001</v>
      </c>
      <c r="R458" s="427">
        <v>0.65076000000000001</v>
      </c>
      <c r="S458" s="427">
        <v>0.65076000000000001</v>
      </c>
      <c r="T458" s="427">
        <v>0.65076000000000001</v>
      </c>
      <c r="U458" s="427">
        <f t="shared" si="45"/>
        <v>7.8091200000000001</v>
      </c>
    </row>
    <row r="459" spans="1:21" s="427" customFormat="1">
      <c r="A459" s="427" t="str">
        <f t="shared" si="47"/>
        <v>KU</v>
      </c>
      <c r="B459" s="427" t="str">
        <f t="shared" si="40"/>
        <v>KY</v>
      </c>
      <c r="C459" s="427" t="str">
        <f t="shared" si="41"/>
        <v>E</v>
      </c>
      <c r="D459" s="427" t="s">
        <v>3434</v>
      </c>
      <c r="E459" s="427" t="str">
        <f t="shared" si="43"/>
        <v>337</v>
      </c>
      <c r="F459" s="756" t="s">
        <v>1749</v>
      </c>
      <c r="G459" s="426" t="str">
        <f t="shared" si="46"/>
        <v>HYDRO</v>
      </c>
      <c r="H459" s="427">
        <v>1.49068</v>
      </c>
      <c r="I459" s="427">
        <v>1.49068</v>
      </c>
      <c r="J459" s="427">
        <v>1.49068</v>
      </c>
      <c r="K459" s="427">
        <v>1.49068</v>
      </c>
      <c r="L459" s="427">
        <v>1.49068</v>
      </c>
      <c r="M459" s="427">
        <v>1.49068</v>
      </c>
      <c r="N459" s="427">
        <v>1.49068</v>
      </c>
      <c r="O459" s="427">
        <v>1.49068</v>
      </c>
      <c r="P459" s="427">
        <v>1.49068</v>
      </c>
      <c r="Q459" s="427">
        <v>1.49068</v>
      </c>
      <c r="R459" s="427">
        <v>1.49068</v>
      </c>
      <c r="S459" s="427">
        <v>1.49068</v>
      </c>
      <c r="T459" s="427">
        <v>1.49068</v>
      </c>
      <c r="U459" s="427">
        <f t="shared" si="45"/>
        <v>17.888159999999999</v>
      </c>
    </row>
    <row r="460" spans="1:21" s="427" customFormat="1">
      <c r="A460" s="427" t="str">
        <f t="shared" si="47"/>
        <v>KU</v>
      </c>
      <c r="B460" s="427" t="str">
        <f t="shared" si="40"/>
        <v>KY</v>
      </c>
      <c r="C460" s="427" t="str">
        <f t="shared" si="41"/>
        <v>E</v>
      </c>
      <c r="D460" s="427" t="s">
        <v>3434</v>
      </c>
      <c r="E460" s="427" t="str">
        <f t="shared" si="43"/>
        <v>340</v>
      </c>
      <c r="F460" s="756" t="s">
        <v>2198</v>
      </c>
      <c r="G460" s="426" t="str">
        <f t="shared" si="46"/>
        <v>OTHER</v>
      </c>
      <c r="H460" s="427">
        <v>0.32195000000000001</v>
      </c>
      <c r="I460" s="427">
        <v>0.32195000000000001</v>
      </c>
      <c r="J460" s="427">
        <v>0.32195000000000001</v>
      </c>
      <c r="K460" s="427">
        <v>0.32195000000000001</v>
      </c>
      <c r="L460" s="427">
        <v>0.32195000000000001</v>
      </c>
      <c r="M460" s="427">
        <v>0.32195000000000001</v>
      </c>
      <c r="N460" s="427">
        <v>0.32195000000000001</v>
      </c>
      <c r="O460" s="427">
        <v>0.37698999999999999</v>
      </c>
      <c r="P460" s="427">
        <v>0.43203999999999998</v>
      </c>
      <c r="Q460" s="427">
        <v>0.43203999999999998</v>
      </c>
      <c r="R460" s="427">
        <v>0.43203999999999998</v>
      </c>
      <c r="S460" s="427">
        <v>0.43203999999999998</v>
      </c>
      <c r="T460" s="427">
        <v>0.43203999999999998</v>
      </c>
      <c r="U460" s="427">
        <f t="shared" si="45"/>
        <v>4.4688899999999991</v>
      </c>
    </row>
    <row r="461" spans="1:21" s="427" customFormat="1">
      <c r="A461" s="427" t="str">
        <f t="shared" si="47"/>
        <v>KU</v>
      </c>
      <c r="B461" s="427" t="str">
        <f t="shared" si="40"/>
        <v>KY</v>
      </c>
      <c r="C461" s="427" t="str">
        <f t="shared" si="41"/>
        <v>E</v>
      </c>
      <c r="D461" s="427" t="s">
        <v>3434</v>
      </c>
      <c r="E461" s="427" t="str">
        <f t="shared" si="43"/>
        <v>341</v>
      </c>
      <c r="F461" s="756" t="s">
        <v>1751</v>
      </c>
      <c r="G461" s="426" t="str">
        <f t="shared" si="46"/>
        <v>OTHER</v>
      </c>
      <c r="H461" s="427">
        <v>116.12339999999899</v>
      </c>
      <c r="I461" s="427">
        <v>116.20596999999999</v>
      </c>
      <c r="J461" s="427">
        <v>116.28854</v>
      </c>
      <c r="K461" s="427">
        <v>116.28854</v>
      </c>
      <c r="L461" s="427">
        <v>116.28854</v>
      </c>
      <c r="M461" s="427">
        <v>116.28854</v>
      </c>
      <c r="N461" s="427">
        <v>116.28854</v>
      </c>
      <c r="O461" s="427">
        <v>116.31871</v>
      </c>
      <c r="P461" s="427">
        <v>116.34887999999999</v>
      </c>
      <c r="Q461" s="427">
        <v>116.34887999999999</v>
      </c>
      <c r="R461" s="427">
        <v>116.38764999999999</v>
      </c>
      <c r="S461" s="427">
        <v>116.42641999999999</v>
      </c>
      <c r="T461" s="427">
        <v>116.42641999999999</v>
      </c>
      <c r="U461" s="427">
        <f t="shared" si="45"/>
        <v>1395.90563</v>
      </c>
    </row>
    <row r="462" spans="1:21" s="427" customFormat="1">
      <c r="A462" s="427" t="str">
        <f t="shared" si="47"/>
        <v>KU</v>
      </c>
      <c r="B462" s="427" t="str">
        <f t="shared" si="40"/>
        <v>KY</v>
      </c>
      <c r="C462" s="427" t="str">
        <f t="shared" si="41"/>
        <v>E</v>
      </c>
      <c r="D462" s="427" t="s">
        <v>3434</v>
      </c>
      <c r="E462" s="427" t="str">
        <f t="shared" si="43"/>
        <v>341</v>
      </c>
      <c r="F462" s="756" t="s">
        <v>2199</v>
      </c>
      <c r="G462" s="426" t="str">
        <f t="shared" si="46"/>
        <v>OTHER</v>
      </c>
      <c r="H462" s="427">
        <v>120.77574</v>
      </c>
      <c r="I462" s="427">
        <v>121.18415</v>
      </c>
      <c r="J462" s="427">
        <v>121.59256000000001</v>
      </c>
      <c r="K462" s="427">
        <v>121.59256000000001</v>
      </c>
      <c r="L462" s="427">
        <v>121.59395000000001</v>
      </c>
      <c r="M462" s="427">
        <v>121.59533999999999</v>
      </c>
      <c r="N462" s="427">
        <v>122.32781</v>
      </c>
      <c r="O462" s="427">
        <v>123.54853999999899</v>
      </c>
      <c r="P462" s="427">
        <v>124.03681</v>
      </c>
      <c r="Q462" s="427">
        <v>124.08710000000001</v>
      </c>
      <c r="R462" s="427">
        <v>124.15867</v>
      </c>
      <c r="S462" s="427">
        <v>124.17994</v>
      </c>
      <c r="T462" s="427">
        <v>124.17994</v>
      </c>
      <c r="U462" s="427">
        <f t="shared" si="45"/>
        <v>1474.0773699999991</v>
      </c>
    </row>
    <row r="463" spans="1:21" s="427" customFormat="1">
      <c r="A463" s="427" t="str">
        <f t="shared" si="47"/>
        <v>KU</v>
      </c>
      <c r="B463" s="427" t="str">
        <f t="shared" si="40"/>
        <v>KY</v>
      </c>
      <c r="C463" s="427" t="str">
        <f t="shared" si="41"/>
        <v>E</v>
      </c>
      <c r="D463" s="427" t="s">
        <v>3434</v>
      </c>
      <c r="E463" s="427" t="str">
        <f t="shared" si="43"/>
        <v>341</v>
      </c>
      <c r="F463" s="756" t="s">
        <v>2200</v>
      </c>
      <c r="G463" s="426" t="str">
        <f t="shared" si="46"/>
        <v>OTHER</v>
      </c>
      <c r="H463" s="427">
        <v>4.1399600000000003</v>
      </c>
      <c r="I463" s="427">
        <v>5.1014699999999999</v>
      </c>
      <c r="J463" s="427">
        <v>5.1014699999999999</v>
      </c>
      <c r="K463" s="427">
        <v>5.1014699999999999</v>
      </c>
      <c r="L463" s="427">
        <v>5.1014699999999999</v>
      </c>
      <c r="M463" s="427">
        <v>5.1014699999999999</v>
      </c>
      <c r="N463" s="427">
        <v>5.1014699999999999</v>
      </c>
      <c r="O463" s="427">
        <v>5.1014699999999999</v>
      </c>
      <c r="P463" s="427">
        <v>5.1014699999999999</v>
      </c>
      <c r="Q463" s="427">
        <v>5.1014699999999999</v>
      </c>
      <c r="R463" s="427">
        <v>5.1014699999999999</v>
      </c>
      <c r="S463" s="427">
        <v>5.1014699999999999</v>
      </c>
      <c r="T463" s="427">
        <v>5.1014699999999999</v>
      </c>
      <c r="U463" s="427">
        <f t="shared" si="45"/>
        <v>61.217639999999996</v>
      </c>
    </row>
    <row r="464" spans="1:21" s="427" customFormat="1">
      <c r="A464" s="427" t="str">
        <f t="shared" si="47"/>
        <v>KU</v>
      </c>
      <c r="B464" s="427" t="str">
        <f t="shared" si="40"/>
        <v>KY</v>
      </c>
      <c r="C464" s="427" t="str">
        <f t="shared" si="41"/>
        <v>E</v>
      </c>
      <c r="D464" s="427" t="s">
        <v>3434</v>
      </c>
      <c r="E464" s="427" t="str">
        <f t="shared" si="43"/>
        <v>342</v>
      </c>
      <c r="F464" s="756" t="s">
        <v>1752</v>
      </c>
      <c r="G464" s="426" t="str">
        <f t="shared" si="46"/>
        <v>OTHER</v>
      </c>
      <c r="H464" s="427">
        <v>52.990029999999997</v>
      </c>
      <c r="I464" s="427">
        <v>52.990029999999997</v>
      </c>
      <c r="J464" s="427">
        <v>52.990029999999997</v>
      </c>
      <c r="K464" s="427">
        <v>53.068479999999902</v>
      </c>
      <c r="L464" s="427">
        <v>53.146929999999998</v>
      </c>
      <c r="M464" s="427">
        <v>53.146929999999998</v>
      </c>
      <c r="N464" s="427">
        <v>53.146929999999998</v>
      </c>
      <c r="O464" s="427">
        <v>53.260199999999998</v>
      </c>
      <c r="P464" s="427">
        <v>53.373469999999998</v>
      </c>
      <c r="Q464" s="427">
        <v>53.877290000000002</v>
      </c>
      <c r="R464" s="427">
        <v>54.769069999999999</v>
      </c>
      <c r="S464" s="427">
        <v>55.157029999999999</v>
      </c>
      <c r="T464" s="427">
        <v>55.157029999999999</v>
      </c>
      <c r="U464" s="427">
        <f t="shared" si="45"/>
        <v>644.08341999999982</v>
      </c>
    </row>
    <row r="465" spans="1:21" s="427" customFormat="1">
      <c r="A465" s="427" t="str">
        <f t="shared" si="47"/>
        <v>KU</v>
      </c>
      <c r="B465" s="427" t="str">
        <f t="shared" si="40"/>
        <v>KY</v>
      </c>
      <c r="C465" s="427" t="str">
        <f t="shared" si="41"/>
        <v>E</v>
      </c>
      <c r="D465" s="427" t="s">
        <v>3434</v>
      </c>
      <c r="E465" s="427" t="str">
        <f t="shared" si="43"/>
        <v>342</v>
      </c>
      <c r="F465" s="756" t="s">
        <v>2201</v>
      </c>
      <c r="G465" s="426" t="str">
        <f t="shared" si="46"/>
        <v>OTHER</v>
      </c>
      <c r="H465" s="427">
        <v>16.325109999999999</v>
      </c>
      <c r="I465" s="427">
        <v>16.325109999999999</v>
      </c>
      <c r="J465" s="427">
        <v>16.325109999999999</v>
      </c>
      <c r="K465" s="427">
        <v>16.325109999999999</v>
      </c>
      <c r="L465" s="427">
        <v>16.325109999999999</v>
      </c>
      <c r="M465" s="427">
        <v>16.325109999999999</v>
      </c>
      <c r="N465" s="427">
        <v>16.325109999999999</v>
      </c>
      <c r="O465" s="427">
        <v>16.325109999999999</v>
      </c>
      <c r="P465" s="427">
        <v>16.325109999999999</v>
      </c>
      <c r="Q465" s="427">
        <v>16.325109999999999</v>
      </c>
      <c r="R465" s="427">
        <v>16.325109999999999</v>
      </c>
      <c r="S465" s="427">
        <v>16.325109999999999</v>
      </c>
      <c r="T465" s="427">
        <v>16.325109999999999</v>
      </c>
      <c r="U465" s="427">
        <f t="shared" si="45"/>
        <v>195.90131999999997</v>
      </c>
    </row>
    <row r="466" spans="1:21" s="427" customFormat="1">
      <c r="A466" s="427" t="str">
        <f t="shared" si="47"/>
        <v>KU</v>
      </c>
      <c r="B466" s="427" t="str">
        <f t="shared" si="40"/>
        <v>KY</v>
      </c>
      <c r="C466" s="427" t="str">
        <f t="shared" si="41"/>
        <v>E</v>
      </c>
      <c r="D466" s="427" t="s">
        <v>3434</v>
      </c>
      <c r="E466" s="427" t="str">
        <f t="shared" si="43"/>
        <v>342</v>
      </c>
      <c r="F466" s="756" t="s">
        <v>2202</v>
      </c>
      <c r="G466" s="426" t="str">
        <f t="shared" si="46"/>
        <v>OTHER</v>
      </c>
      <c r="H466" s="427">
        <v>115.848739999999</v>
      </c>
      <c r="I466" s="427">
        <v>115.848739999999</v>
      </c>
      <c r="J466" s="427">
        <v>115.848739999999</v>
      </c>
      <c r="K466" s="427">
        <v>115.848739999999</v>
      </c>
      <c r="L466" s="427">
        <v>115.848739999999</v>
      </c>
      <c r="M466" s="427">
        <v>115.848739999999</v>
      </c>
      <c r="N466" s="427">
        <v>115.848739999999</v>
      </c>
      <c r="O466" s="427">
        <v>115.848739999999</v>
      </c>
      <c r="P466" s="427">
        <v>115.848739999999</v>
      </c>
      <c r="Q466" s="427">
        <v>115.848739999999</v>
      </c>
      <c r="R466" s="427">
        <v>116.14295</v>
      </c>
      <c r="S466" s="427">
        <v>116.43714999999899</v>
      </c>
      <c r="T466" s="427">
        <v>116.43714999999899</v>
      </c>
      <c r="U466" s="427">
        <f t="shared" si="45"/>
        <v>1391.655909999989</v>
      </c>
    </row>
    <row r="467" spans="1:21" s="427" customFormat="1">
      <c r="A467" s="427" t="str">
        <f t="shared" si="47"/>
        <v>KU</v>
      </c>
      <c r="B467" s="427" t="str">
        <f t="shared" si="40"/>
        <v>KY</v>
      </c>
      <c r="C467" s="427" t="str">
        <f t="shared" si="41"/>
        <v>E</v>
      </c>
      <c r="D467" s="427" t="s">
        <v>3434</v>
      </c>
      <c r="E467" s="427" t="str">
        <f t="shared" si="43"/>
        <v>343</v>
      </c>
      <c r="F467" s="756" t="s">
        <v>1753</v>
      </c>
      <c r="G467" s="426" t="str">
        <f t="shared" si="46"/>
        <v>OTHER</v>
      </c>
      <c r="H467" s="427">
        <v>1584.0244599999901</v>
      </c>
      <c r="I467" s="427">
        <v>1590.94063999999</v>
      </c>
      <c r="J467" s="427">
        <v>1589.1513399999999</v>
      </c>
      <c r="K467" s="427">
        <v>1586.8296399999999</v>
      </c>
      <c r="L467" s="427">
        <v>1587.1679099999999</v>
      </c>
      <c r="M467" s="427">
        <v>1587.4269999999999</v>
      </c>
      <c r="N467" s="427">
        <v>1587.45794999999</v>
      </c>
      <c r="O467" s="427">
        <v>1588.0666899999901</v>
      </c>
      <c r="P467" s="427">
        <v>1588.86173999999</v>
      </c>
      <c r="Q467" s="427">
        <v>1589.0790199999999</v>
      </c>
      <c r="R467" s="427">
        <v>1589.5705499999999</v>
      </c>
      <c r="S467" s="427">
        <v>1606.6844899999901</v>
      </c>
      <c r="T467" s="427">
        <v>1629.1213</v>
      </c>
      <c r="U467" s="427">
        <f t="shared" si="45"/>
        <v>19120.358269999946</v>
      </c>
    </row>
    <row r="468" spans="1:21" s="427" customFormat="1">
      <c r="A468" s="427" t="str">
        <f t="shared" si="47"/>
        <v>KU</v>
      </c>
      <c r="B468" s="427" t="str">
        <f t="shared" si="40"/>
        <v>KY</v>
      </c>
      <c r="C468" s="427" t="str">
        <f t="shared" si="41"/>
        <v>E</v>
      </c>
      <c r="D468" s="427" t="s">
        <v>3434</v>
      </c>
      <c r="E468" s="427" t="str">
        <f t="shared" si="43"/>
        <v>343</v>
      </c>
      <c r="F468" s="756" t="s">
        <v>2203</v>
      </c>
      <c r="G468" s="426" t="str">
        <f t="shared" si="46"/>
        <v>OTHER</v>
      </c>
      <c r="H468" s="427">
        <v>760.21384</v>
      </c>
      <c r="I468" s="427">
        <v>774.51508999999999</v>
      </c>
      <c r="J468" s="427">
        <v>776.09825000000001</v>
      </c>
      <c r="K468" s="427">
        <v>763.39679000000001</v>
      </c>
      <c r="L468" s="427">
        <v>763.41791000000001</v>
      </c>
      <c r="M468" s="427">
        <v>763.41671999999903</v>
      </c>
      <c r="N468" s="427">
        <v>763.41309999999999</v>
      </c>
      <c r="O468" s="427">
        <v>764.70189000000005</v>
      </c>
      <c r="P468" s="427">
        <v>765.99207999999999</v>
      </c>
      <c r="Q468" s="427">
        <v>766.056049999999</v>
      </c>
      <c r="R468" s="427">
        <v>772.02371000000005</v>
      </c>
      <c r="S468" s="427">
        <v>777.92738999999995</v>
      </c>
      <c r="T468" s="427">
        <v>778.41727000000003</v>
      </c>
      <c r="U468" s="427">
        <f t="shared" si="45"/>
        <v>9229.3762499999993</v>
      </c>
    </row>
    <row r="469" spans="1:21" s="427" customFormat="1">
      <c r="A469" s="427" t="str">
        <f t="shared" si="47"/>
        <v>KU</v>
      </c>
      <c r="B469" s="427" t="str">
        <f t="shared" si="40"/>
        <v>KY</v>
      </c>
      <c r="C469" s="427" t="str">
        <f t="shared" si="41"/>
        <v>E</v>
      </c>
      <c r="D469" s="427" t="s">
        <v>3434</v>
      </c>
      <c r="E469" s="427" t="str">
        <f t="shared" si="43"/>
        <v>344</v>
      </c>
      <c r="F469" s="756" t="s">
        <v>1754</v>
      </c>
      <c r="G469" s="426" t="str">
        <f t="shared" si="46"/>
        <v>OTHER</v>
      </c>
      <c r="H469" s="427">
        <v>199.17322999999999</v>
      </c>
      <c r="I469" s="427">
        <v>199.17322999999999</v>
      </c>
      <c r="J469" s="427">
        <v>199.17322999999999</v>
      </c>
      <c r="K469" s="427">
        <v>199.19525999999999</v>
      </c>
      <c r="L469" s="427">
        <v>199.21728999999999</v>
      </c>
      <c r="M469" s="427">
        <v>199.21728999999999</v>
      </c>
      <c r="N469" s="427">
        <v>199.21728999999999</v>
      </c>
      <c r="O469" s="427">
        <v>199.21728999999999</v>
      </c>
      <c r="P469" s="427">
        <v>199.21728999999999</v>
      </c>
      <c r="Q469" s="427">
        <v>199.48793999999901</v>
      </c>
      <c r="R469" s="427">
        <v>200.46867</v>
      </c>
      <c r="S469" s="427">
        <v>201.17876999999999</v>
      </c>
      <c r="T469" s="427">
        <v>201.51528999999999</v>
      </c>
      <c r="U469" s="427">
        <f t="shared" si="45"/>
        <v>2396.278839999999</v>
      </c>
    </row>
    <row r="470" spans="1:21" s="427" customFormat="1">
      <c r="A470" s="427" t="str">
        <f t="shared" si="47"/>
        <v>KU</v>
      </c>
      <c r="B470" s="427" t="str">
        <f t="shared" si="40"/>
        <v>KY</v>
      </c>
      <c r="C470" s="427" t="str">
        <f t="shared" si="41"/>
        <v>E</v>
      </c>
      <c r="D470" s="427" t="s">
        <v>3434</v>
      </c>
      <c r="E470" s="427" t="str">
        <f t="shared" si="43"/>
        <v>344</v>
      </c>
      <c r="F470" s="756" t="s">
        <v>2204</v>
      </c>
      <c r="G470" s="426" t="str">
        <f t="shared" si="46"/>
        <v>OTHER</v>
      </c>
      <c r="H470" s="427">
        <v>139.85932</v>
      </c>
      <c r="I470" s="427">
        <v>140.14671999999999</v>
      </c>
      <c r="J470" s="427">
        <v>140.1499</v>
      </c>
      <c r="K470" s="427">
        <v>140.15069</v>
      </c>
      <c r="L470" s="427">
        <v>140.15069</v>
      </c>
      <c r="M470" s="427">
        <v>140.15069</v>
      </c>
      <c r="N470" s="427">
        <v>140.15069</v>
      </c>
      <c r="O470" s="427">
        <v>140.15069</v>
      </c>
      <c r="P470" s="427">
        <v>140.15069</v>
      </c>
      <c r="Q470" s="427">
        <v>140.15069</v>
      </c>
      <c r="R470" s="427">
        <v>140.15069</v>
      </c>
      <c r="S470" s="427">
        <v>140.15069</v>
      </c>
      <c r="T470" s="427">
        <v>140.15069</v>
      </c>
      <c r="U470" s="427">
        <f t="shared" si="45"/>
        <v>1681.8035199999995</v>
      </c>
    </row>
    <row r="471" spans="1:21" s="427" customFormat="1">
      <c r="A471" s="427" t="str">
        <f t="shared" si="47"/>
        <v>KU</v>
      </c>
      <c r="B471" s="427" t="str">
        <f t="shared" ref="B471:B534" si="48">IF(MID($F471,12,2)="- ","KY",IF(MID($F471,12,2)="SY","KY",MID($F471,12,2)))</f>
        <v>KY</v>
      </c>
      <c r="C471" s="427" t="str">
        <f t="shared" si="41"/>
        <v>E</v>
      </c>
      <c r="D471" s="427" t="s">
        <v>3434</v>
      </c>
      <c r="E471" s="427" t="str">
        <f t="shared" si="43"/>
        <v>344</v>
      </c>
      <c r="F471" s="756" t="s">
        <v>2205</v>
      </c>
      <c r="G471" s="426" t="str">
        <f t="shared" si="46"/>
        <v>OTHER</v>
      </c>
      <c r="H471" s="427">
        <v>50.996389999999998</v>
      </c>
      <c r="I471" s="427">
        <v>50.20543</v>
      </c>
      <c r="J471" s="427">
        <v>50.20543</v>
      </c>
      <c r="K471" s="427">
        <v>50.20543</v>
      </c>
      <c r="L471" s="427">
        <v>50.20543</v>
      </c>
      <c r="M471" s="427">
        <v>50.20543</v>
      </c>
      <c r="N471" s="427">
        <v>50.20543</v>
      </c>
      <c r="O471" s="427">
        <v>50.20543</v>
      </c>
      <c r="P471" s="427">
        <v>50.20543</v>
      </c>
      <c r="Q471" s="427">
        <v>50.20543</v>
      </c>
      <c r="R471" s="427">
        <v>50.20543</v>
      </c>
      <c r="S471" s="427">
        <v>50.20543</v>
      </c>
      <c r="T471" s="427">
        <v>50.20543</v>
      </c>
      <c r="U471" s="427">
        <f t="shared" si="45"/>
        <v>602.46515999999986</v>
      </c>
    </row>
    <row r="472" spans="1:21" s="427" customFormat="1">
      <c r="A472" s="427" t="str">
        <f t="shared" si="47"/>
        <v>KU</v>
      </c>
      <c r="B472" s="427" t="str">
        <f t="shared" si="48"/>
        <v>KY</v>
      </c>
      <c r="C472" s="427" t="str">
        <f t="shared" si="41"/>
        <v>E</v>
      </c>
      <c r="D472" s="427" t="s">
        <v>3434</v>
      </c>
      <c r="E472" s="427" t="str">
        <f t="shared" si="43"/>
        <v>345</v>
      </c>
      <c r="F472" s="756" t="s">
        <v>1755</v>
      </c>
      <c r="G472" s="426" t="str">
        <f t="shared" si="46"/>
        <v>OTHER</v>
      </c>
      <c r="H472" s="427">
        <v>186.21688</v>
      </c>
      <c r="I472" s="427">
        <v>193.75436999999999</v>
      </c>
      <c r="J472" s="427">
        <v>193.76372000000001</v>
      </c>
      <c r="K472" s="427">
        <v>193.76549</v>
      </c>
      <c r="L472" s="427">
        <v>193.76469</v>
      </c>
      <c r="M472" s="427">
        <v>193.76499000000001</v>
      </c>
      <c r="N472" s="427">
        <v>193.76498000000001</v>
      </c>
      <c r="O472" s="427">
        <v>193.76467</v>
      </c>
      <c r="P472" s="427">
        <v>193.76467</v>
      </c>
      <c r="Q472" s="427">
        <v>193.76467</v>
      </c>
      <c r="R472" s="427">
        <v>193.76467</v>
      </c>
      <c r="S472" s="427">
        <v>193.76467</v>
      </c>
      <c r="T472" s="427">
        <v>193.76467</v>
      </c>
      <c r="U472" s="427">
        <f t="shared" si="45"/>
        <v>2325.16626</v>
      </c>
    </row>
    <row r="473" spans="1:21" s="427" customFormat="1">
      <c r="A473" s="427" t="str">
        <f t="shared" si="47"/>
        <v>KU</v>
      </c>
      <c r="B473" s="427" t="str">
        <f t="shared" si="48"/>
        <v>KY</v>
      </c>
      <c r="C473" s="427" t="str">
        <f t="shared" si="41"/>
        <v>E</v>
      </c>
      <c r="D473" s="427" t="s">
        <v>3434</v>
      </c>
      <c r="E473" s="427" t="str">
        <f t="shared" si="43"/>
        <v>345</v>
      </c>
      <c r="F473" s="756" t="s">
        <v>2206</v>
      </c>
      <c r="G473" s="426" t="str">
        <f t="shared" si="46"/>
        <v>OTHER</v>
      </c>
      <c r="H473" s="427">
        <v>54.720610000000001</v>
      </c>
      <c r="I473" s="427">
        <v>64.820340000000002</v>
      </c>
      <c r="J473" s="427">
        <v>65.081999999999994</v>
      </c>
      <c r="K473" s="427">
        <v>65.082059999999998</v>
      </c>
      <c r="L473" s="427">
        <v>65.082369999999997</v>
      </c>
      <c r="M473" s="427">
        <v>65.082719999999995</v>
      </c>
      <c r="N473" s="427">
        <v>65.082229999999996</v>
      </c>
      <c r="O473" s="427">
        <v>65.081710000000001</v>
      </c>
      <c r="P473" s="427">
        <v>65.081710000000001</v>
      </c>
      <c r="Q473" s="427">
        <v>65.081710000000001</v>
      </c>
      <c r="R473" s="427">
        <v>65.114670000000004</v>
      </c>
      <c r="S473" s="427">
        <v>65.147649999999999</v>
      </c>
      <c r="T473" s="427">
        <v>65.147649999999999</v>
      </c>
      <c r="U473" s="427">
        <f t="shared" si="45"/>
        <v>780.88682000000006</v>
      </c>
    </row>
    <row r="474" spans="1:21" s="427" customFormat="1">
      <c r="A474" s="427" t="str">
        <f t="shared" si="47"/>
        <v>KU</v>
      </c>
      <c r="B474" s="427" t="str">
        <f t="shared" si="48"/>
        <v>KY</v>
      </c>
      <c r="C474" s="427" t="str">
        <f t="shared" si="41"/>
        <v>E</v>
      </c>
      <c r="D474" s="427" t="s">
        <v>3434</v>
      </c>
      <c r="E474" s="427" t="str">
        <f t="shared" si="43"/>
        <v>345</v>
      </c>
      <c r="F474" s="756" t="s">
        <v>2207</v>
      </c>
      <c r="G474" s="426" t="str">
        <f t="shared" si="46"/>
        <v>OTHER</v>
      </c>
      <c r="H474" s="427">
        <v>2.0735100000000002</v>
      </c>
      <c r="I474" s="427">
        <v>1.6185400000000001</v>
      </c>
      <c r="J474" s="427">
        <v>1.6185400000000001</v>
      </c>
      <c r="K474" s="427">
        <v>1.6185400000000001</v>
      </c>
      <c r="L474" s="427">
        <v>1.6185400000000001</v>
      </c>
      <c r="M474" s="427">
        <v>1.6185400000000001</v>
      </c>
      <c r="N474" s="427">
        <v>1.6185400000000001</v>
      </c>
      <c r="O474" s="427">
        <v>1.6185400000000001</v>
      </c>
      <c r="P474" s="427">
        <v>1.6185400000000001</v>
      </c>
      <c r="Q474" s="427">
        <v>1.6185400000000001</v>
      </c>
      <c r="R474" s="427">
        <v>1.6185400000000001</v>
      </c>
      <c r="S474" s="427">
        <v>1.6185400000000001</v>
      </c>
      <c r="T474" s="427">
        <v>1.6185400000000001</v>
      </c>
      <c r="U474" s="427">
        <f t="shared" si="45"/>
        <v>19.422479999999997</v>
      </c>
    </row>
    <row r="475" spans="1:21" s="427" customFormat="1">
      <c r="A475" s="427" t="str">
        <f t="shared" si="47"/>
        <v>KU</v>
      </c>
      <c r="B475" s="427" t="str">
        <f t="shared" si="48"/>
        <v>KY</v>
      </c>
      <c r="C475" s="427" t="str">
        <f t="shared" ref="C475:C538" si="49">IF(ISTEXT(MID($F475,SEARCH("FUTURE USE",$F475),3)),"F",IF(MID($F475,7,1)="1","E",IF(MID($F475,7,1)="2","G",IF(MID($F475,7,1)="3","C",""))))</f>
        <v>E</v>
      </c>
      <c r="D475" s="427" t="s">
        <v>3434</v>
      </c>
      <c r="E475" s="427" t="str">
        <f t="shared" si="43"/>
        <v>346</v>
      </c>
      <c r="F475" s="756" t="s">
        <v>1756</v>
      </c>
      <c r="G475" s="426" t="str">
        <f t="shared" si="46"/>
        <v>OTHER</v>
      </c>
      <c r="H475" s="427">
        <v>20.39067</v>
      </c>
      <c r="I475" s="427">
        <v>20.39067</v>
      </c>
      <c r="J475" s="427">
        <v>20.44322</v>
      </c>
      <c r="K475" s="427">
        <v>20.495749999999902</v>
      </c>
      <c r="L475" s="427">
        <v>20.495749999999902</v>
      </c>
      <c r="M475" s="427">
        <v>20.495749999999902</v>
      </c>
      <c r="N475" s="427">
        <v>20.495749999999902</v>
      </c>
      <c r="O475" s="427">
        <v>20.495749999999902</v>
      </c>
      <c r="P475" s="427">
        <v>20.495749999999902</v>
      </c>
      <c r="Q475" s="427">
        <v>20.495749999999902</v>
      </c>
      <c r="R475" s="427">
        <v>20.495749999999902</v>
      </c>
      <c r="S475" s="427">
        <v>20.544899999999899</v>
      </c>
      <c r="T475" s="427">
        <v>20.5940499999999</v>
      </c>
      <c r="U475" s="427">
        <f t="shared" si="45"/>
        <v>245.938839999999</v>
      </c>
    </row>
    <row r="476" spans="1:21" s="427" customFormat="1">
      <c r="A476" s="427" t="str">
        <f t="shared" si="47"/>
        <v>KU</v>
      </c>
      <c r="B476" s="427" t="str">
        <f t="shared" si="48"/>
        <v>KY</v>
      </c>
      <c r="C476" s="427" t="str">
        <f t="shared" si="49"/>
        <v>E</v>
      </c>
      <c r="D476" s="427" t="s">
        <v>3434</v>
      </c>
      <c r="E476" s="427" t="str">
        <f t="shared" si="43"/>
        <v>346</v>
      </c>
      <c r="F476" s="756" t="s">
        <v>2208</v>
      </c>
      <c r="G476" s="426" t="str">
        <f t="shared" si="46"/>
        <v>OTHER</v>
      </c>
      <c r="H476" s="427">
        <v>8.4650800000000004</v>
      </c>
      <c r="I476" s="427">
        <v>8.4650800000000004</v>
      </c>
      <c r="J476" s="427">
        <v>8.4650800000000004</v>
      </c>
      <c r="K476" s="427">
        <v>8.4650800000000004</v>
      </c>
      <c r="L476" s="427">
        <v>8.4650800000000004</v>
      </c>
      <c r="M476" s="427">
        <v>8.4650800000000004</v>
      </c>
      <c r="N476" s="427">
        <v>8.4650800000000004</v>
      </c>
      <c r="O476" s="427">
        <v>8.4650800000000004</v>
      </c>
      <c r="P476" s="427">
        <v>8.4650800000000004</v>
      </c>
      <c r="Q476" s="427">
        <v>8.4909800000000004</v>
      </c>
      <c r="R476" s="427">
        <v>8.5168800000000005</v>
      </c>
      <c r="S476" s="427">
        <v>9.1443200000000004</v>
      </c>
      <c r="T476" s="427">
        <v>9.9836399999999994</v>
      </c>
      <c r="U476" s="427">
        <f t="shared" si="45"/>
        <v>103.85646000000001</v>
      </c>
    </row>
    <row r="477" spans="1:21" s="427" customFormat="1">
      <c r="A477" s="427" t="str">
        <f t="shared" si="47"/>
        <v>KU</v>
      </c>
      <c r="B477" s="427" t="str">
        <f t="shared" si="48"/>
        <v>KY</v>
      </c>
      <c r="C477" s="427" t="str">
        <f t="shared" si="49"/>
        <v>E</v>
      </c>
      <c r="D477" s="427" t="s">
        <v>3434</v>
      </c>
      <c r="E477" s="427" t="str">
        <f t="shared" si="43"/>
        <v>346</v>
      </c>
      <c r="F477" s="756" t="s">
        <v>2209</v>
      </c>
      <c r="G477" s="426" t="str">
        <f t="shared" si="46"/>
        <v>OTHER</v>
      </c>
      <c r="H477" s="427">
        <v>1.2955000000000001</v>
      </c>
      <c r="I477" s="427">
        <v>1.5044200000000001</v>
      </c>
      <c r="J477" s="427">
        <v>1.5044200000000001</v>
      </c>
      <c r="K477" s="427">
        <v>1.5044200000000001</v>
      </c>
      <c r="L477" s="427">
        <v>1.5044200000000001</v>
      </c>
      <c r="M477" s="427">
        <v>1.5044200000000001</v>
      </c>
      <c r="N477" s="427">
        <v>1.5044200000000001</v>
      </c>
      <c r="O477" s="427">
        <v>1.5044200000000001</v>
      </c>
      <c r="P477" s="427">
        <v>1.5044200000000001</v>
      </c>
      <c r="Q477" s="427">
        <v>1.5044200000000001</v>
      </c>
      <c r="R477" s="427">
        <v>1.5044200000000001</v>
      </c>
      <c r="S477" s="427">
        <v>1.5044200000000001</v>
      </c>
      <c r="T477" s="427">
        <v>1.5044200000000001</v>
      </c>
      <c r="U477" s="427">
        <f t="shared" si="45"/>
        <v>18.053039999999999</v>
      </c>
    </row>
    <row r="478" spans="1:21" s="427" customFormat="1">
      <c r="A478" s="427" t="str">
        <f t="shared" si="47"/>
        <v>KU</v>
      </c>
      <c r="B478" s="427" t="str">
        <f t="shared" si="48"/>
        <v>KY</v>
      </c>
      <c r="C478" s="427" t="str">
        <f t="shared" si="49"/>
        <v>E</v>
      </c>
      <c r="D478" s="427" t="s">
        <v>3434</v>
      </c>
      <c r="E478" s="427" t="str">
        <f t="shared" si="43"/>
        <v>347</v>
      </c>
      <c r="F478" s="756" t="s">
        <v>2210</v>
      </c>
      <c r="G478" s="426" t="str">
        <f t="shared" si="46"/>
        <v>OTHER</v>
      </c>
      <c r="H478" s="427">
        <v>1.6791199999999999</v>
      </c>
      <c r="I478" s="427">
        <v>1.6791199999999999</v>
      </c>
      <c r="J478" s="427">
        <v>1.6791199999999999</v>
      </c>
      <c r="K478" s="427">
        <v>1.6791199999999999</v>
      </c>
      <c r="L478" s="427">
        <v>1.6791199999999999</v>
      </c>
      <c r="M478" s="427">
        <v>1.6791199999999999</v>
      </c>
      <c r="N478" s="427">
        <v>1.6791199999999999</v>
      </c>
      <c r="O478" s="427">
        <v>1.6791199999999999</v>
      </c>
      <c r="P478" s="427">
        <v>1.6791199999999999</v>
      </c>
      <c r="Q478" s="427">
        <v>1.6791199999999999</v>
      </c>
      <c r="R478" s="427">
        <v>1.6791199999999999</v>
      </c>
      <c r="S478" s="427">
        <v>1.6791199999999999</v>
      </c>
      <c r="T478" s="427">
        <v>1.6791199999999999</v>
      </c>
      <c r="U478" s="427">
        <f t="shared" si="45"/>
        <v>20.149439999999998</v>
      </c>
    </row>
    <row r="479" spans="1:21" s="427" customFormat="1">
      <c r="A479" s="427" t="str">
        <f t="shared" si="47"/>
        <v>KU</v>
      </c>
      <c r="B479" s="427" t="str">
        <f t="shared" si="48"/>
        <v>KY</v>
      </c>
      <c r="C479" s="427" t="str">
        <f t="shared" si="49"/>
        <v>E</v>
      </c>
      <c r="D479" s="427" t="s">
        <v>3434</v>
      </c>
      <c r="E479" s="427" t="str">
        <f t="shared" si="43"/>
        <v>350</v>
      </c>
      <c r="F479" s="756" t="s">
        <v>1757</v>
      </c>
      <c r="G479" s="426" t="str">
        <f t="shared" si="46"/>
        <v>TRANSMISSION</v>
      </c>
      <c r="H479" s="427">
        <v>19.572109999999999</v>
      </c>
      <c r="I479" s="427">
        <v>19.572109999999999</v>
      </c>
      <c r="J479" s="427">
        <v>19.572109999999999</v>
      </c>
      <c r="K479" s="427">
        <v>19.572109999999999</v>
      </c>
      <c r="L479" s="427">
        <v>19.572109999999999</v>
      </c>
      <c r="M479" s="427">
        <v>19.572109999999999</v>
      </c>
      <c r="N479" s="427">
        <v>19.572109999999999</v>
      </c>
      <c r="O479" s="427">
        <v>19.620439999999999</v>
      </c>
      <c r="P479" s="427">
        <v>19.668769999999999</v>
      </c>
      <c r="Q479" s="427">
        <v>19.668769999999999</v>
      </c>
      <c r="R479" s="427">
        <v>19.668769999999999</v>
      </c>
      <c r="S479" s="427">
        <v>19.668769999999999</v>
      </c>
      <c r="T479" s="427">
        <v>19.668769999999999</v>
      </c>
      <c r="U479" s="427">
        <f t="shared" si="45"/>
        <v>235.39694999999995</v>
      </c>
    </row>
    <row r="480" spans="1:21" s="427" customFormat="1">
      <c r="A480" s="427" t="str">
        <f t="shared" si="47"/>
        <v>KU</v>
      </c>
      <c r="B480" s="427" t="str">
        <f t="shared" si="48"/>
        <v>TN</v>
      </c>
      <c r="C480" s="427" t="str">
        <f t="shared" si="49"/>
        <v>E</v>
      </c>
      <c r="D480" s="427" t="s">
        <v>3434</v>
      </c>
      <c r="E480" s="427" t="str">
        <f t="shared" si="43"/>
        <v>350</v>
      </c>
      <c r="F480" s="756" t="s">
        <v>1758</v>
      </c>
      <c r="G480" s="426" t="str">
        <f t="shared" si="46"/>
        <v>TRANSMISSION</v>
      </c>
      <c r="H480" s="427">
        <v>3.1E-4</v>
      </c>
      <c r="I480" s="427">
        <v>3.1E-4</v>
      </c>
      <c r="J480" s="427">
        <v>3.1E-4</v>
      </c>
      <c r="K480" s="427">
        <v>3.1E-4</v>
      </c>
      <c r="L480" s="427">
        <v>3.1E-4</v>
      </c>
      <c r="M480" s="427">
        <v>3.1E-4</v>
      </c>
      <c r="N480" s="427">
        <v>3.1E-4</v>
      </c>
      <c r="O480" s="427">
        <v>3.1E-4</v>
      </c>
      <c r="P480" s="427">
        <v>3.1E-4</v>
      </c>
      <c r="Q480" s="427">
        <v>3.1E-4</v>
      </c>
      <c r="R480" s="427">
        <v>3.1E-4</v>
      </c>
      <c r="S480" s="427">
        <v>3.1E-4</v>
      </c>
      <c r="T480" s="427">
        <v>3.1E-4</v>
      </c>
      <c r="U480" s="427">
        <f t="shared" si="45"/>
        <v>3.7199999999999998E-3</v>
      </c>
    </row>
    <row r="481" spans="1:21" s="427" customFormat="1">
      <c r="A481" s="427" t="str">
        <f t="shared" si="47"/>
        <v>KU</v>
      </c>
      <c r="B481" s="427" t="str">
        <f t="shared" si="48"/>
        <v>VA</v>
      </c>
      <c r="C481" s="427" t="str">
        <f t="shared" si="49"/>
        <v>E</v>
      </c>
      <c r="D481" s="427" t="s">
        <v>3434</v>
      </c>
      <c r="E481" s="427" t="str">
        <f t="shared" si="43"/>
        <v>350</v>
      </c>
      <c r="F481" s="756" t="s">
        <v>1759</v>
      </c>
      <c r="G481" s="426" t="str">
        <f t="shared" si="46"/>
        <v>TRANSMISSION</v>
      </c>
      <c r="H481" s="427">
        <v>1.5906199999999999</v>
      </c>
      <c r="I481" s="427">
        <v>1.5906199999999999</v>
      </c>
      <c r="J481" s="427">
        <v>1.5906199999999999</v>
      </c>
      <c r="K481" s="427">
        <v>1.5906199999999999</v>
      </c>
      <c r="L481" s="427">
        <v>1.5906199999999999</v>
      </c>
      <c r="M481" s="427">
        <v>1.5906199999999999</v>
      </c>
      <c r="N481" s="427">
        <v>1.5906199999999999</v>
      </c>
      <c r="O481" s="427">
        <v>1.5906199999999999</v>
      </c>
      <c r="P481" s="427">
        <v>1.5906199999999999</v>
      </c>
      <c r="Q481" s="427">
        <v>1.5906199999999999</v>
      </c>
      <c r="R481" s="427">
        <v>1.5906199999999999</v>
      </c>
      <c r="S481" s="427">
        <v>1.5906199999999999</v>
      </c>
      <c r="T481" s="427">
        <v>1.5906199999999999</v>
      </c>
      <c r="U481" s="427">
        <f t="shared" si="45"/>
        <v>19.087439999999997</v>
      </c>
    </row>
    <row r="482" spans="1:21" s="427" customFormat="1">
      <c r="A482" s="427" t="str">
        <f t="shared" si="47"/>
        <v>KU</v>
      </c>
      <c r="B482" s="427" t="str">
        <f t="shared" si="48"/>
        <v>KY</v>
      </c>
      <c r="C482" s="427" t="str">
        <f t="shared" si="49"/>
        <v>E</v>
      </c>
      <c r="D482" s="427" t="s">
        <v>3434</v>
      </c>
      <c r="E482" s="427" t="str">
        <f t="shared" si="43"/>
        <v>352</v>
      </c>
      <c r="F482" s="756" t="s">
        <v>1760</v>
      </c>
      <c r="G482" s="426" t="str">
        <f t="shared" si="46"/>
        <v>TRANSMISSION</v>
      </c>
      <c r="H482" s="427">
        <v>1.86385</v>
      </c>
      <c r="I482" s="427">
        <v>1.86385</v>
      </c>
      <c r="J482" s="427">
        <v>1.85945</v>
      </c>
      <c r="K482" s="427">
        <v>1.85504</v>
      </c>
      <c r="L482" s="427">
        <v>1.85504</v>
      </c>
      <c r="M482" s="427">
        <v>1.85504</v>
      </c>
      <c r="N482" s="427">
        <v>1.85504</v>
      </c>
      <c r="O482" s="427">
        <v>1.85503999999999</v>
      </c>
      <c r="P482" s="427">
        <v>1.85503999999999</v>
      </c>
      <c r="Q482" s="427">
        <v>1.85503999999999</v>
      </c>
      <c r="R482" s="427">
        <v>1.85503999999999</v>
      </c>
      <c r="S482" s="427">
        <v>1.85503999999999</v>
      </c>
      <c r="T482" s="427">
        <v>1.85503999999999</v>
      </c>
      <c r="U482" s="427">
        <f t="shared" si="45"/>
        <v>22.273699999999934</v>
      </c>
    </row>
    <row r="483" spans="1:21" s="427" customFormat="1">
      <c r="A483" s="427" t="str">
        <f t="shared" si="47"/>
        <v>KU</v>
      </c>
      <c r="B483" s="427" t="str">
        <f t="shared" si="48"/>
        <v>KY</v>
      </c>
      <c r="C483" s="427" t="str">
        <f t="shared" si="49"/>
        <v>E</v>
      </c>
      <c r="D483" s="427" t="s">
        <v>3434</v>
      </c>
      <c r="E483" s="427" t="str">
        <f t="shared" si="43"/>
        <v>352</v>
      </c>
      <c r="F483" s="756" t="s">
        <v>1761</v>
      </c>
      <c r="G483" s="426" t="str">
        <f t="shared" si="46"/>
        <v>TRANSMISSION</v>
      </c>
      <c r="H483" s="427">
        <v>36.559579999999997</v>
      </c>
      <c r="I483" s="427">
        <v>36.555109999999999</v>
      </c>
      <c r="J483" s="427">
        <v>36.560960000000001</v>
      </c>
      <c r="K483" s="427">
        <v>36.566699999999997</v>
      </c>
      <c r="L483" s="427">
        <v>36.566189999999999</v>
      </c>
      <c r="M483" s="427">
        <v>36.647120000000001</v>
      </c>
      <c r="N483" s="427">
        <v>36.72831</v>
      </c>
      <c r="O483" s="427">
        <v>36.728059999999999</v>
      </c>
      <c r="P483" s="427">
        <v>36.728059999999999</v>
      </c>
      <c r="Q483" s="427">
        <v>36.728059999999999</v>
      </c>
      <c r="R483" s="427">
        <v>36.728059999999999</v>
      </c>
      <c r="S483" s="427">
        <v>36.728059999999999</v>
      </c>
      <c r="T483" s="427">
        <v>36.728059999999999</v>
      </c>
      <c r="U483" s="427">
        <f t="shared" si="45"/>
        <v>439.99275000000011</v>
      </c>
    </row>
    <row r="484" spans="1:21" s="427" customFormat="1">
      <c r="A484" s="427" t="str">
        <f t="shared" si="47"/>
        <v>KU</v>
      </c>
      <c r="B484" s="427" t="str">
        <f t="shared" si="48"/>
        <v>VA</v>
      </c>
      <c r="C484" s="427" t="str">
        <f t="shared" si="49"/>
        <v>E</v>
      </c>
      <c r="D484" s="427" t="s">
        <v>3434</v>
      </c>
      <c r="E484" s="427" t="str">
        <f t="shared" si="43"/>
        <v>352</v>
      </c>
      <c r="F484" s="756" t="s">
        <v>1762</v>
      </c>
      <c r="G484" s="426" t="str">
        <f t="shared" si="46"/>
        <v>TRANSMISSION</v>
      </c>
      <c r="H484" s="427">
        <v>2.41142999999999</v>
      </c>
      <c r="I484" s="427">
        <v>2.41142999999999</v>
      </c>
      <c r="J484" s="427">
        <v>2.41142999999999</v>
      </c>
      <c r="K484" s="427">
        <v>2.41142999999999</v>
      </c>
      <c r="L484" s="427">
        <v>2.41142999999999</v>
      </c>
      <c r="M484" s="427">
        <v>2.41142999999999</v>
      </c>
      <c r="N484" s="427">
        <v>2.41142999999999</v>
      </c>
      <c r="O484" s="427">
        <v>2.4114300000000002</v>
      </c>
      <c r="P484" s="427">
        <v>2.4114300000000002</v>
      </c>
      <c r="Q484" s="427">
        <v>2.4114300000000002</v>
      </c>
      <c r="R484" s="427">
        <v>2.4114300000000002</v>
      </c>
      <c r="S484" s="427">
        <v>2.4114300000000002</v>
      </c>
      <c r="T484" s="427">
        <v>2.4114300000000002</v>
      </c>
      <c r="U484" s="427">
        <f t="shared" si="45"/>
        <v>28.937159999999938</v>
      </c>
    </row>
    <row r="485" spans="1:21" s="427" customFormat="1">
      <c r="A485" s="427" t="str">
        <f t="shared" si="47"/>
        <v>KU</v>
      </c>
      <c r="B485" s="427" t="str">
        <f t="shared" si="48"/>
        <v>KY</v>
      </c>
      <c r="C485" s="427" t="str">
        <f t="shared" si="49"/>
        <v>E</v>
      </c>
      <c r="D485" s="427" t="s">
        <v>3434</v>
      </c>
      <c r="E485" s="427" t="str">
        <f t="shared" si="43"/>
        <v>353</v>
      </c>
      <c r="F485" s="756" t="s">
        <v>1763</v>
      </c>
      <c r="G485" s="426" t="str">
        <f t="shared" si="46"/>
        <v>TRANSMISSION</v>
      </c>
      <c r="H485" s="427">
        <v>415.48602</v>
      </c>
      <c r="I485" s="427">
        <v>415.51409999999998</v>
      </c>
      <c r="J485" s="427">
        <v>415.47622999999999</v>
      </c>
      <c r="K485" s="427">
        <v>415.40688</v>
      </c>
      <c r="L485" s="427">
        <v>415.11065000000002</v>
      </c>
      <c r="M485" s="427">
        <v>419.28903000000003</v>
      </c>
      <c r="N485" s="427">
        <v>424.56765999999999</v>
      </c>
      <c r="O485" s="427">
        <v>458.42531000000002</v>
      </c>
      <c r="P485" s="427">
        <v>493.93191000000002</v>
      </c>
      <c r="Q485" s="427">
        <v>499.20567</v>
      </c>
      <c r="R485" s="427">
        <v>502.43472000000003</v>
      </c>
      <c r="S485" s="427">
        <v>502.81860999999998</v>
      </c>
      <c r="T485" s="427">
        <v>508.73059000000001</v>
      </c>
      <c r="U485" s="427">
        <f t="shared" si="45"/>
        <v>5470.9113600000001</v>
      </c>
    </row>
    <row r="486" spans="1:21" s="427" customFormat="1">
      <c r="A486" s="427" t="str">
        <f t="shared" si="47"/>
        <v>KU</v>
      </c>
      <c r="B486" s="427" t="str">
        <f t="shared" si="48"/>
        <v>VA</v>
      </c>
      <c r="C486" s="427" t="str">
        <f t="shared" si="49"/>
        <v>E</v>
      </c>
      <c r="D486" s="427" t="s">
        <v>3434</v>
      </c>
      <c r="E486" s="427" t="str">
        <f t="shared" si="43"/>
        <v>353</v>
      </c>
      <c r="F486" s="756" t="s">
        <v>1765</v>
      </c>
      <c r="G486" s="426" t="str">
        <f t="shared" si="46"/>
        <v>TRANSMISSION</v>
      </c>
      <c r="H486" s="427">
        <v>36.192399999999999</v>
      </c>
      <c r="I486" s="427">
        <v>36.14884</v>
      </c>
      <c r="J486" s="427">
        <v>36.149059999999999</v>
      </c>
      <c r="K486" s="427">
        <v>36.15408</v>
      </c>
      <c r="L486" s="427">
        <v>36.178959999999996</v>
      </c>
      <c r="M486" s="427">
        <v>36.274979999999999</v>
      </c>
      <c r="N486" s="427">
        <v>36.343499999999999</v>
      </c>
      <c r="O486" s="427">
        <v>36.340879999999999</v>
      </c>
      <c r="P486" s="427">
        <v>36.340879999999999</v>
      </c>
      <c r="Q486" s="427">
        <v>36.340879999999999</v>
      </c>
      <c r="R486" s="427">
        <v>36.340879999999999</v>
      </c>
      <c r="S486" s="427">
        <v>36.340879999999999</v>
      </c>
      <c r="T486" s="427">
        <v>36.340879999999999</v>
      </c>
      <c r="U486" s="427">
        <f t="shared" si="45"/>
        <v>435.29469999999992</v>
      </c>
    </row>
    <row r="487" spans="1:21" s="427" customFormat="1">
      <c r="A487" s="427" t="str">
        <f t="shared" si="47"/>
        <v>KU</v>
      </c>
      <c r="B487" s="427" t="str">
        <f t="shared" si="48"/>
        <v>KY</v>
      </c>
      <c r="C487" s="427" t="str">
        <f t="shared" si="49"/>
        <v>E</v>
      </c>
      <c r="D487" s="427" t="s">
        <v>3434</v>
      </c>
      <c r="E487" s="427" t="str">
        <f t="shared" si="43"/>
        <v>354</v>
      </c>
      <c r="F487" s="756" t="s">
        <v>1766</v>
      </c>
      <c r="G487" s="426" t="str">
        <f t="shared" si="46"/>
        <v>TRANSMISSION</v>
      </c>
      <c r="H487" s="427">
        <v>99.783259999999999</v>
      </c>
      <c r="I487" s="427">
        <v>99.783259999999999</v>
      </c>
      <c r="J487" s="427">
        <v>99.783259999999999</v>
      </c>
      <c r="K487" s="427">
        <v>99.783259999999999</v>
      </c>
      <c r="L487" s="427">
        <v>99.783259999999999</v>
      </c>
      <c r="M487" s="427">
        <v>99.783259999999999</v>
      </c>
      <c r="N487" s="427">
        <v>99.783259999999999</v>
      </c>
      <c r="O487" s="427">
        <v>99.783259999999899</v>
      </c>
      <c r="P487" s="427">
        <v>99.783259999999899</v>
      </c>
      <c r="Q487" s="427">
        <v>99.783259999999899</v>
      </c>
      <c r="R487" s="427">
        <v>99.783259999999899</v>
      </c>
      <c r="S487" s="427">
        <v>99.783259999999899</v>
      </c>
      <c r="T487" s="427">
        <v>99.783259999999899</v>
      </c>
      <c r="U487" s="427">
        <f t="shared" si="45"/>
        <v>1197.3991199999996</v>
      </c>
    </row>
    <row r="488" spans="1:21" s="427" customFormat="1">
      <c r="A488" s="427" t="str">
        <f t="shared" si="47"/>
        <v>KU</v>
      </c>
      <c r="B488" s="427" t="str">
        <f t="shared" si="48"/>
        <v>VA</v>
      </c>
      <c r="C488" s="427" t="str">
        <f t="shared" si="49"/>
        <v>E</v>
      </c>
      <c r="D488" s="427" t="s">
        <v>3434</v>
      </c>
      <c r="E488" s="427" t="str">
        <f t="shared" si="43"/>
        <v>354</v>
      </c>
      <c r="F488" s="756" t="s">
        <v>1767</v>
      </c>
      <c r="G488" s="426" t="str">
        <f t="shared" si="46"/>
        <v>TRANSMISSION</v>
      </c>
      <c r="H488" s="427">
        <v>10.11336</v>
      </c>
      <c r="I488" s="427">
        <v>10.11336</v>
      </c>
      <c r="J488" s="427">
        <v>10.11336</v>
      </c>
      <c r="K488" s="427">
        <v>10.11336</v>
      </c>
      <c r="L488" s="427">
        <v>10.11336</v>
      </c>
      <c r="M488" s="427">
        <v>10.11336</v>
      </c>
      <c r="N488" s="427">
        <v>10.11336</v>
      </c>
      <c r="O488" s="427">
        <v>10.11336</v>
      </c>
      <c r="P488" s="427">
        <v>10.11336</v>
      </c>
      <c r="Q488" s="427">
        <v>10.11336</v>
      </c>
      <c r="R488" s="427">
        <v>10.11336</v>
      </c>
      <c r="S488" s="427">
        <v>10.11336</v>
      </c>
      <c r="T488" s="427">
        <v>10.11336</v>
      </c>
      <c r="U488" s="427">
        <f t="shared" si="45"/>
        <v>121.36032</v>
      </c>
    </row>
    <row r="489" spans="1:21" s="427" customFormat="1">
      <c r="A489" s="427" t="str">
        <f t="shared" si="47"/>
        <v>KU</v>
      </c>
      <c r="B489" s="427" t="str">
        <f t="shared" si="48"/>
        <v>KY</v>
      </c>
      <c r="C489" s="427" t="str">
        <f t="shared" si="49"/>
        <v>E</v>
      </c>
      <c r="D489" s="427" t="s">
        <v>3434</v>
      </c>
      <c r="E489" s="427" t="str">
        <f t="shared" si="43"/>
        <v>355</v>
      </c>
      <c r="F489" s="756" t="s">
        <v>1768</v>
      </c>
      <c r="G489" s="426" t="str">
        <f t="shared" si="46"/>
        <v>TRANSMISSION</v>
      </c>
      <c r="H489" s="427">
        <v>711.98659999999995</v>
      </c>
      <c r="I489" s="427">
        <v>717.65433999999902</v>
      </c>
      <c r="J489" s="427">
        <v>719.82395999999903</v>
      </c>
      <c r="K489" s="427">
        <v>726.06425999999999</v>
      </c>
      <c r="L489" s="427">
        <v>732.70827999999995</v>
      </c>
      <c r="M489" s="427">
        <v>739.18537000000003</v>
      </c>
      <c r="N489" s="427">
        <v>749.16824999999994</v>
      </c>
      <c r="O489" s="427">
        <v>781.53354999999999</v>
      </c>
      <c r="P489" s="427">
        <v>820.71587999999997</v>
      </c>
      <c r="Q489" s="427">
        <v>846.37003999999899</v>
      </c>
      <c r="R489" s="427">
        <v>864.21541999999999</v>
      </c>
      <c r="S489" s="427">
        <v>874.13198999999895</v>
      </c>
      <c r="T489" s="427">
        <v>902.72972000000004</v>
      </c>
      <c r="U489" s="427">
        <f t="shared" si="45"/>
        <v>9474.3010599999943</v>
      </c>
    </row>
    <row r="490" spans="1:21" s="427" customFormat="1">
      <c r="A490" s="427" t="str">
        <f t="shared" si="47"/>
        <v>KU</v>
      </c>
      <c r="B490" s="427" t="str">
        <f t="shared" si="48"/>
        <v>TN</v>
      </c>
      <c r="C490" s="427" t="str">
        <f t="shared" si="49"/>
        <v>E</v>
      </c>
      <c r="D490" s="427" t="s">
        <v>3434</v>
      </c>
      <c r="E490" s="427" t="str">
        <f t="shared" si="43"/>
        <v>355</v>
      </c>
      <c r="F490" s="756" t="s">
        <v>1769</v>
      </c>
      <c r="G490" s="426" t="str">
        <f t="shared" si="46"/>
        <v>TRANSMISSION</v>
      </c>
      <c r="H490" s="427">
        <v>0.30759999999999998</v>
      </c>
      <c r="I490" s="427">
        <v>0.30759999999999998</v>
      </c>
      <c r="J490" s="427">
        <v>0.30759999999999998</v>
      </c>
      <c r="K490" s="427">
        <v>0.31098999999999999</v>
      </c>
      <c r="L490" s="427">
        <v>0.31436999999999998</v>
      </c>
      <c r="M490" s="427">
        <v>0.31436999999999998</v>
      </c>
      <c r="N490" s="427">
        <v>0.31436999999999998</v>
      </c>
      <c r="O490" s="427">
        <v>0.31436999999999998</v>
      </c>
      <c r="P490" s="427">
        <v>0.31436999999999998</v>
      </c>
      <c r="Q490" s="427">
        <v>0.31436999999999998</v>
      </c>
      <c r="R490" s="427">
        <v>0.31436999999999998</v>
      </c>
      <c r="S490" s="427">
        <v>0.31436999999999998</v>
      </c>
      <c r="T490" s="427">
        <v>0.31436999999999998</v>
      </c>
      <c r="U490" s="427">
        <f t="shared" si="45"/>
        <v>3.7555199999999989</v>
      </c>
    </row>
    <row r="491" spans="1:21" s="427" customFormat="1">
      <c r="A491" s="427" t="str">
        <f t="shared" si="47"/>
        <v>KU</v>
      </c>
      <c r="B491" s="427" t="str">
        <f t="shared" si="48"/>
        <v>VA</v>
      </c>
      <c r="C491" s="427" t="str">
        <f t="shared" si="49"/>
        <v>E</v>
      </c>
      <c r="D491" s="427" t="s">
        <v>3434</v>
      </c>
      <c r="E491" s="427" t="str">
        <f t="shared" si="43"/>
        <v>355</v>
      </c>
      <c r="F491" s="756" t="s">
        <v>1770</v>
      </c>
      <c r="G491" s="426" t="str">
        <f t="shared" si="46"/>
        <v>TRANSMISSION</v>
      </c>
      <c r="H491" s="427">
        <v>31.40005</v>
      </c>
      <c r="I491" s="427">
        <v>31.486910000000002</v>
      </c>
      <c r="J491" s="427">
        <v>30.700509999999898</v>
      </c>
      <c r="K491" s="427">
        <v>31.054970000000001</v>
      </c>
      <c r="L491" s="427">
        <v>31.1219</v>
      </c>
      <c r="M491" s="427">
        <v>31.13401</v>
      </c>
      <c r="N491" s="427">
        <v>31.146129999999999</v>
      </c>
      <c r="O491" s="427">
        <v>31.154530000000001</v>
      </c>
      <c r="P491" s="427">
        <v>31.500579999999999</v>
      </c>
      <c r="Q491" s="427">
        <v>33.040289999999999</v>
      </c>
      <c r="R491" s="427">
        <v>34.450740000000003</v>
      </c>
      <c r="S491" s="427">
        <v>34.659399999999998</v>
      </c>
      <c r="T491" s="427">
        <v>34.659669999999998</v>
      </c>
      <c r="U491" s="427">
        <f t="shared" si="45"/>
        <v>386.1096399999999</v>
      </c>
    </row>
    <row r="492" spans="1:21" s="427" customFormat="1">
      <c r="A492" s="427" t="str">
        <f t="shared" si="47"/>
        <v>KU</v>
      </c>
      <c r="B492" s="427" t="str">
        <f t="shared" si="48"/>
        <v>KY</v>
      </c>
      <c r="C492" s="427" t="str">
        <f t="shared" si="49"/>
        <v>E</v>
      </c>
      <c r="D492" s="427" t="s">
        <v>3434</v>
      </c>
      <c r="E492" s="427" t="str">
        <f t="shared" si="43"/>
        <v>356</v>
      </c>
      <c r="F492" s="756" t="s">
        <v>1771</v>
      </c>
      <c r="G492" s="426" t="str">
        <f t="shared" si="46"/>
        <v>TRANSMISSION</v>
      </c>
      <c r="H492" s="427">
        <v>356.38165999999899</v>
      </c>
      <c r="I492" s="427">
        <v>360.07393000000002</v>
      </c>
      <c r="J492" s="427">
        <v>358.94847999999899</v>
      </c>
      <c r="K492" s="427">
        <v>357.75146999999998</v>
      </c>
      <c r="L492" s="427">
        <v>358.57589000000002</v>
      </c>
      <c r="M492" s="427">
        <v>359.85176999999999</v>
      </c>
      <c r="N492" s="427">
        <v>360.60615000000001</v>
      </c>
      <c r="O492" s="427">
        <v>360.96503999999999</v>
      </c>
      <c r="P492" s="427">
        <v>361.24032999999997</v>
      </c>
      <c r="Q492" s="427">
        <v>361.62826999999999</v>
      </c>
      <c r="R492" s="427">
        <v>361.74090999999999</v>
      </c>
      <c r="S492" s="427">
        <v>361.74090999999999</v>
      </c>
      <c r="T492" s="427">
        <v>361.74090999999999</v>
      </c>
      <c r="U492" s="427">
        <f t="shared" si="45"/>
        <v>4324.8640599999999</v>
      </c>
    </row>
    <row r="493" spans="1:21" s="427" customFormat="1">
      <c r="A493" s="427" t="str">
        <f t="shared" si="47"/>
        <v>KU</v>
      </c>
      <c r="B493" s="427" t="str">
        <f t="shared" si="48"/>
        <v>TN</v>
      </c>
      <c r="C493" s="427" t="str">
        <f t="shared" si="49"/>
        <v>E</v>
      </c>
      <c r="D493" s="427" t="s">
        <v>3434</v>
      </c>
      <c r="E493" s="427" t="str">
        <f t="shared" si="43"/>
        <v>356</v>
      </c>
      <c r="F493" s="756" t="s">
        <v>1772</v>
      </c>
      <c r="G493" s="426" t="str">
        <f t="shared" si="46"/>
        <v>TRANSMISSION</v>
      </c>
      <c r="H493" s="427">
        <v>0.16522999999999999</v>
      </c>
      <c r="I493" s="427">
        <v>0.16522999999999999</v>
      </c>
      <c r="J493" s="427">
        <v>0.16522999999999999</v>
      </c>
      <c r="K493" s="427">
        <v>0.16800999999999999</v>
      </c>
      <c r="L493" s="427">
        <v>0.17079</v>
      </c>
      <c r="M493" s="427">
        <v>0.17079</v>
      </c>
      <c r="N493" s="427">
        <v>0.17079</v>
      </c>
      <c r="O493" s="427">
        <v>0.17079</v>
      </c>
      <c r="P493" s="427">
        <v>0.17079</v>
      </c>
      <c r="Q493" s="427">
        <v>0.17079</v>
      </c>
      <c r="R493" s="427">
        <v>0.17079</v>
      </c>
      <c r="S493" s="427">
        <v>0.17079</v>
      </c>
      <c r="T493" s="427">
        <v>0.17079</v>
      </c>
      <c r="U493" s="427">
        <f t="shared" si="45"/>
        <v>2.0355799999999999</v>
      </c>
    </row>
    <row r="494" spans="1:21" s="427" customFormat="1">
      <c r="A494" s="427" t="str">
        <f t="shared" si="47"/>
        <v>KU</v>
      </c>
      <c r="B494" s="427" t="str">
        <f t="shared" si="48"/>
        <v>VA</v>
      </c>
      <c r="C494" s="427" t="str">
        <f t="shared" si="49"/>
        <v>E</v>
      </c>
      <c r="D494" s="427" t="s">
        <v>3434</v>
      </c>
      <c r="E494" s="427" t="str">
        <f t="shared" ref="E494:E551" si="50">MID($F494,8,3)</f>
        <v>356</v>
      </c>
      <c r="F494" s="756" t="s">
        <v>1773</v>
      </c>
      <c r="G494" s="426" t="str">
        <f t="shared" si="46"/>
        <v>TRANSMISSION</v>
      </c>
      <c r="H494" s="427">
        <v>37.524389999999997</v>
      </c>
      <c r="I494" s="427">
        <v>38.898099999999999</v>
      </c>
      <c r="J494" s="427">
        <v>39.691310000000001</v>
      </c>
      <c r="K494" s="427">
        <v>39.547719999999998</v>
      </c>
      <c r="L494" s="427">
        <v>39.564869999999999</v>
      </c>
      <c r="M494" s="427">
        <v>39.569339999999997</v>
      </c>
      <c r="N494" s="427">
        <v>39.573799999999999</v>
      </c>
      <c r="O494" s="427">
        <v>39.57403</v>
      </c>
      <c r="P494" s="427">
        <v>39.574260000000002</v>
      </c>
      <c r="Q494" s="427">
        <v>39.574260000000002</v>
      </c>
      <c r="R494" s="427">
        <v>39.574260000000002</v>
      </c>
      <c r="S494" s="427">
        <v>39.574260000000002</v>
      </c>
      <c r="T494" s="427">
        <v>39.574260000000002</v>
      </c>
      <c r="U494" s="427">
        <f t="shared" si="45"/>
        <v>474.29046999999991</v>
      </c>
    </row>
    <row r="495" spans="1:21" s="427" customFormat="1">
      <c r="A495" s="427" t="str">
        <f t="shared" si="47"/>
        <v>KU</v>
      </c>
      <c r="B495" s="427" t="str">
        <f t="shared" si="48"/>
        <v>KY</v>
      </c>
      <c r="C495" s="427" t="str">
        <f t="shared" si="49"/>
        <v>E</v>
      </c>
      <c r="D495" s="427" t="s">
        <v>3434</v>
      </c>
      <c r="E495" s="427" t="str">
        <f t="shared" si="50"/>
        <v>357</v>
      </c>
      <c r="F495" s="756" t="s">
        <v>1774</v>
      </c>
      <c r="G495" s="426" t="str">
        <f t="shared" si="46"/>
        <v>TRANSMISSION</v>
      </c>
      <c r="H495" s="427">
        <v>0.63573999999999997</v>
      </c>
      <c r="I495" s="427">
        <v>0.63573999999999997</v>
      </c>
      <c r="J495" s="427">
        <v>0.63573999999999997</v>
      </c>
      <c r="K495" s="427">
        <v>0.63573999999999997</v>
      </c>
      <c r="L495" s="427">
        <v>0.63573999999999997</v>
      </c>
      <c r="M495" s="427">
        <v>0.63573999999999997</v>
      </c>
      <c r="N495" s="427">
        <v>0.63573999999999997</v>
      </c>
      <c r="O495" s="427">
        <v>0.63573999999999997</v>
      </c>
      <c r="P495" s="427">
        <v>0.63573999999999997</v>
      </c>
      <c r="Q495" s="427">
        <v>0.63573999999999997</v>
      </c>
      <c r="R495" s="427">
        <v>0.63573999999999997</v>
      </c>
      <c r="S495" s="427">
        <v>0.63573999999999997</v>
      </c>
      <c r="T495" s="427">
        <v>0.63573999999999997</v>
      </c>
      <c r="U495" s="427">
        <f t="shared" si="45"/>
        <v>7.6288800000000014</v>
      </c>
    </row>
    <row r="496" spans="1:21" s="427" customFormat="1">
      <c r="A496" s="427" t="str">
        <f t="shared" si="47"/>
        <v>KU</v>
      </c>
      <c r="B496" s="427" t="str">
        <f t="shared" si="48"/>
        <v>KY</v>
      </c>
      <c r="C496" s="427" t="str">
        <f t="shared" si="49"/>
        <v>E</v>
      </c>
      <c r="D496" s="427" t="s">
        <v>3434</v>
      </c>
      <c r="E496" s="427" t="str">
        <f t="shared" si="50"/>
        <v>358</v>
      </c>
      <c r="F496" s="756" t="s">
        <v>1775</v>
      </c>
      <c r="G496" s="426" t="str">
        <f t="shared" si="46"/>
        <v>TRANSMISSION</v>
      </c>
      <c r="H496" s="427">
        <v>0.79201999999999995</v>
      </c>
      <c r="I496" s="427">
        <v>0.80110999999999999</v>
      </c>
      <c r="J496" s="427">
        <v>0.80110999999999999</v>
      </c>
      <c r="K496" s="427">
        <v>0.80125999999999997</v>
      </c>
      <c r="L496" s="427">
        <v>0.80142000000000002</v>
      </c>
      <c r="M496" s="427">
        <v>0.80142000000000002</v>
      </c>
      <c r="N496" s="427">
        <v>0.80142000000000002</v>
      </c>
      <c r="O496" s="427">
        <v>0.80142000000000002</v>
      </c>
      <c r="P496" s="427">
        <v>0.80142000000000002</v>
      </c>
      <c r="Q496" s="427">
        <v>0.80142000000000002</v>
      </c>
      <c r="R496" s="427">
        <v>0.80142000000000002</v>
      </c>
      <c r="S496" s="427">
        <v>0.80142000000000002</v>
      </c>
      <c r="T496" s="427">
        <v>0.80142000000000002</v>
      </c>
      <c r="U496" s="427">
        <f t="shared" si="45"/>
        <v>9.6162600000000023</v>
      </c>
    </row>
    <row r="497" spans="1:21" s="427" customFormat="1">
      <c r="A497" s="427" t="str">
        <f t="shared" si="47"/>
        <v>KU</v>
      </c>
      <c r="B497" s="427" t="str">
        <f t="shared" si="48"/>
        <v>KY</v>
      </c>
      <c r="C497" s="427" t="str">
        <f t="shared" si="49"/>
        <v>E</v>
      </c>
      <c r="D497" s="427" t="s">
        <v>3434</v>
      </c>
      <c r="E497" s="427" t="str">
        <f t="shared" si="50"/>
        <v>359</v>
      </c>
      <c r="F497" s="756" t="s">
        <v>1776</v>
      </c>
      <c r="G497" s="426" t="str">
        <f t="shared" si="46"/>
        <v>TRANSMISSION</v>
      </c>
      <c r="H497" s="427">
        <v>1.5926399999999901</v>
      </c>
      <c r="I497" s="427">
        <v>1.5926399999999901</v>
      </c>
      <c r="J497" s="427">
        <v>1.5926399999999901</v>
      </c>
      <c r="K497" s="427">
        <v>1.5926499999999999</v>
      </c>
      <c r="L497" s="427">
        <v>1.5926399999999901</v>
      </c>
      <c r="M497" s="427">
        <v>6.2831000000000001</v>
      </c>
      <c r="N497" s="427">
        <v>1.57534</v>
      </c>
      <c r="O497" s="427">
        <v>1.5926399999999901</v>
      </c>
      <c r="P497" s="427">
        <v>1.5926399999999901</v>
      </c>
      <c r="Q497" s="427">
        <v>1.5926399999999901</v>
      </c>
      <c r="R497" s="427">
        <v>1.5926399999999901</v>
      </c>
      <c r="S497" s="427">
        <v>1.5926399999999901</v>
      </c>
      <c r="T497" s="427">
        <v>1.5926399999999901</v>
      </c>
      <c r="U497" s="427">
        <f t="shared" ref="U497:U574" si="51">SUM(I497:T497)</f>
        <v>23.784849999999906</v>
      </c>
    </row>
    <row r="498" spans="1:21" s="427" customFormat="1">
      <c r="A498" s="427" t="str">
        <f t="shared" si="47"/>
        <v>KU</v>
      </c>
      <c r="B498" s="427" t="str">
        <f t="shared" si="48"/>
        <v>KY</v>
      </c>
      <c r="C498" s="427" t="str">
        <f t="shared" si="49"/>
        <v>E</v>
      </c>
      <c r="D498" s="427" t="s">
        <v>3434</v>
      </c>
      <c r="E498" s="427" t="str">
        <f t="shared" si="50"/>
        <v>360</v>
      </c>
      <c r="F498" s="756" t="s">
        <v>1778</v>
      </c>
      <c r="G498" s="426" t="str">
        <f t="shared" si="46"/>
        <v>DISTRIBUTION</v>
      </c>
      <c r="H498" s="427">
        <v>1.10683</v>
      </c>
      <c r="I498" s="427">
        <v>1.10683</v>
      </c>
      <c r="J498" s="427">
        <v>1.10683</v>
      </c>
      <c r="K498" s="427">
        <v>1.10683</v>
      </c>
      <c r="L498" s="427">
        <v>1.10683</v>
      </c>
      <c r="M498" s="427">
        <v>1.10683</v>
      </c>
      <c r="N498" s="427">
        <v>1.10683</v>
      </c>
      <c r="O498" s="427">
        <v>1.10683</v>
      </c>
      <c r="P498" s="427">
        <v>1.10683</v>
      </c>
      <c r="Q498" s="427">
        <v>1.10683</v>
      </c>
      <c r="R498" s="427">
        <v>1.10683</v>
      </c>
      <c r="S498" s="427">
        <v>1.10683</v>
      </c>
      <c r="T498" s="427">
        <v>1.10683</v>
      </c>
      <c r="U498" s="427">
        <f t="shared" si="51"/>
        <v>13.281960000000003</v>
      </c>
    </row>
    <row r="499" spans="1:21" s="427" customFormat="1">
      <c r="A499" s="427" t="str">
        <f t="shared" si="47"/>
        <v>KU</v>
      </c>
      <c r="B499" s="427" t="str">
        <f t="shared" si="48"/>
        <v>TN</v>
      </c>
      <c r="C499" s="427" t="str">
        <f t="shared" si="49"/>
        <v>E</v>
      </c>
      <c r="D499" s="427" t="s">
        <v>3434</v>
      </c>
      <c r="E499" s="427" t="str">
        <f t="shared" si="50"/>
        <v>360</v>
      </c>
      <c r="F499" s="756" t="s">
        <v>1779</v>
      </c>
      <c r="G499" s="426" t="str">
        <f t="shared" si="46"/>
        <v>DISTRIBUTION</v>
      </c>
      <c r="H499" s="427">
        <v>1.4E-3</v>
      </c>
      <c r="I499" s="427">
        <v>1.4E-3</v>
      </c>
      <c r="J499" s="427">
        <v>1.4E-3</v>
      </c>
      <c r="K499" s="427">
        <v>1.4E-3</v>
      </c>
      <c r="L499" s="427">
        <v>1.4E-3</v>
      </c>
      <c r="M499" s="427">
        <v>1.4E-3</v>
      </c>
      <c r="N499" s="427">
        <v>1.4E-3</v>
      </c>
      <c r="O499" s="427">
        <v>1.4E-3</v>
      </c>
      <c r="P499" s="427">
        <v>1.4E-3</v>
      </c>
      <c r="Q499" s="427">
        <v>1.4E-3</v>
      </c>
      <c r="R499" s="427">
        <v>1.4E-3</v>
      </c>
      <c r="S499" s="427">
        <v>1.4E-3</v>
      </c>
      <c r="T499" s="427">
        <v>1.4E-3</v>
      </c>
      <c r="U499" s="427">
        <f t="shared" si="51"/>
        <v>1.6799999999999999E-2</v>
      </c>
    </row>
    <row r="500" spans="1:21" s="427" customFormat="1">
      <c r="A500" s="427" t="str">
        <f t="shared" si="47"/>
        <v>KU</v>
      </c>
      <c r="B500" s="427" t="str">
        <f t="shared" si="48"/>
        <v>VA</v>
      </c>
      <c r="C500" s="427" t="str">
        <f t="shared" si="49"/>
        <v>E</v>
      </c>
      <c r="D500" s="427" t="s">
        <v>3434</v>
      </c>
      <c r="E500" s="427" t="str">
        <f t="shared" si="50"/>
        <v>360</v>
      </c>
      <c r="F500" s="756" t="s">
        <v>1780</v>
      </c>
      <c r="G500" s="426" t="str">
        <f t="shared" ref="G500:G562" si="52">IF(ISTEXT(MID($F500,SEARCH("HYDRO PRODUCTION",$F500),9)),"HYDRO",IF(ISTEXT(MID($F500,SEARCH("OTHER PRODUCTION",$F500),9)),"OTHER",IF(ISTEXT(MID($F500,SEARCH("STEAM PRODUCTION",$F500),9)),"STEAM",IF(ISTEXT(MID($F500,SEARCH("TRANSMISSION",$F500),9)),"TRANSMISSION",IF(ISTEXT(MID($F500,SEARCH("DISTRIBUTION",$F500),9)),"DISTRIBUTION",IF(ISTEXT(MID($F500,SEARCH("COMMON",$F500),9)),"COMMON",IF(ISTEXT(MID($F500,SEARCH("GENERAL",$F500),9)),"GENERAL",IF(ISTEXT(MID($F500,SEARCH("INTANGIBLE",$F500),9)),"INTANGIBLE",IF(ISTEXT(MID($F500,SEARCH("STORAGE",$F500),3)),"STORAGE","")))))))))</f>
        <v>DISTRIBUTION</v>
      </c>
      <c r="H500" s="427">
        <v>4.8529999999999997E-2</v>
      </c>
      <c r="I500" s="427">
        <v>4.8529999999999997E-2</v>
      </c>
      <c r="J500" s="427">
        <v>4.8529999999999997E-2</v>
      </c>
      <c r="K500" s="427">
        <v>4.8529999999999997E-2</v>
      </c>
      <c r="L500" s="427">
        <v>4.8529999999999997E-2</v>
      </c>
      <c r="M500" s="427">
        <v>4.8529999999999997E-2</v>
      </c>
      <c r="N500" s="427">
        <v>4.8529999999999997E-2</v>
      </c>
      <c r="O500" s="427">
        <v>4.8529999999999997E-2</v>
      </c>
      <c r="P500" s="427">
        <v>4.8529999999999997E-2</v>
      </c>
      <c r="Q500" s="427">
        <v>4.8529999999999997E-2</v>
      </c>
      <c r="R500" s="427">
        <v>4.8529999999999997E-2</v>
      </c>
      <c r="S500" s="427">
        <v>4.8529999999999997E-2</v>
      </c>
      <c r="T500" s="427">
        <v>4.8529999999999997E-2</v>
      </c>
      <c r="U500" s="427">
        <f t="shared" si="51"/>
        <v>0.58235999999999999</v>
      </c>
    </row>
    <row r="501" spans="1:21" s="427" customFormat="1">
      <c r="A501" s="427" t="str">
        <f t="shared" si="47"/>
        <v>KU</v>
      </c>
      <c r="B501" s="427" t="str">
        <f t="shared" si="48"/>
        <v>KY</v>
      </c>
      <c r="C501" s="427" t="str">
        <f t="shared" si="49"/>
        <v>E</v>
      </c>
      <c r="D501" s="427" t="s">
        <v>3434</v>
      </c>
      <c r="E501" s="427" t="str">
        <f t="shared" si="50"/>
        <v>361</v>
      </c>
      <c r="F501" s="756" t="s">
        <v>1781</v>
      </c>
      <c r="G501" s="426" t="str">
        <f t="shared" si="52"/>
        <v>DISTRIBUTION</v>
      </c>
      <c r="H501" s="427">
        <v>24.79524</v>
      </c>
      <c r="I501" s="427">
        <v>24.841849999999901</v>
      </c>
      <c r="J501" s="427">
        <v>25.0168</v>
      </c>
      <c r="K501" s="427">
        <v>25.44614</v>
      </c>
      <c r="L501" s="427">
        <v>25.05585</v>
      </c>
      <c r="M501" s="427">
        <v>24.357119999999998</v>
      </c>
      <c r="N501" s="427">
        <v>24.34967</v>
      </c>
      <c r="O501" s="427">
        <v>25.236840000000001</v>
      </c>
      <c r="P501" s="427">
        <v>26.854899999999901</v>
      </c>
      <c r="Q501" s="427">
        <v>28.401689999999999</v>
      </c>
      <c r="R501" s="427">
        <v>30.285820000000001</v>
      </c>
      <c r="S501" s="427">
        <v>32.42145</v>
      </c>
      <c r="T501" s="427">
        <v>34.618940000000002</v>
      </c>
      <c r="U501" s="427">
        <f t="shared" si="51"/>
        <v>326.88706999999977</v>
      </c>
    </row>
    <row r="502" spans="1:21" s="427" customFormat="1">
      <c r="A502" s="427" t="str">
        <f t="shared" si="47"/>
        <v>KU</v>
      </c>
      <c r="B502" s="427" t="str">
        <f t="shared" si="48"/>
        <v>TN</v>
      </c>
      <c r="C502" s="427" t="str">
        <f t="shared" si="49"/>
        <v>E</v>
      </c>
      <c r="D502" s="427" t="s">
        <v>3434</v>
      </c>
      <c r="E502" s="427" t="str">
        <f t="shared" si="50"/>
        <v>361</v>
      </c>
      <c r="F502" s="756" t="s">
        <v>1782</v>
      </c>
      <c r="G502" s="426" t="str">
        <f t="shared" si="52"/>
        <v>DISTRIBUTION</v>
      </c>
      <c r="H502" s="427">
        <v>4.5599999999999998E-3</v>
      </c>
      <c r="I502" s="427">
        <v>4.5599999999999998E-3</v>
      </c>
      <c r="J502" s="427">
        <v>4.5599999999999998E-3</v>
      </c>
      <c r="K502" s="427">
        <v>4.5599999999999998E-3</v>
      </c>
      <c r="L502" s="427">
        <v>4.5599999999999998E-3</v>
      </c>
      <c r="M502" s="427">
        <v>4.5599999999999998E-3</v>
      </c>
      <c r="N502" s="427">
        <v>4.5599999999999998E-3</v>
      </c>
      <c r="O502" s="427">
        <v>4.5599999999999998E-3</v>
      </c>
      <c r="P502" s="427">
        <v>4.5599999999999998E-3</v>
      </c>
      <c r="Q502" s="427">
        <v>4.5599999999999998E-3</v>
      </c>
      <c r="R502" s="427">
        <v>4.5599999999999998E-3</v>
      </c>
      <c r="S502" s="427">
        <v>4.5599999999999998E-3</v>
      </c>
      <c r="T502" s="427">
        <v>4.5599999999999998E-3</v>
      </c>
      <c r="U502" s="427">
        <f t="shared" si="51"/>
        <v>5.4720000000000012E-2</v>
      </c>
    </row>
    <row r="503" spans="1:21" s="427" customFormat="1">
      <c r="A503" s="427" t="str">
        <f t="shared" si="47"/>
        <v>KU</v>
      </c>
      <c r="B503" s="427" t="str">
        <f t="shared" si="48"/>
        <v>VA</v>
      </c>
      <c r="C503" s="427" t="str">
        <f t="shared" si="49"/>
        <v>E</v>
      </c>
      <c r="D503" s="427" t="s">
        <v>3434</v>
      </c>
      <c r="E503" s="427" t="str">
        <f t="shared" si="50"/>
        <v>361</v>
      </c>
      <c r="F503" s="756" t="s">
        <v>1783</v>
      </c>
      <c r="G503" s="426" t="str">
        <f t="shared" si="52"/>
        <v>DISTRIBUTION</v>
      </c>
      <c r="H503" s="427">
        <v>1.02159</v>
      </c>
      <c r="I503" s="427">
        <v>1.02159</v>
      </c>
      <c r="J503" s="427">
        <v>1.02159</v>
      </c>
      <c r="K503" s="427">
        <v>1.02159</v>
      </c>
      <c r="L503" s="427">
        <v>1.02159</v>
      </c>
      <c r="M503" s="427">
        <v>1.0402499999999999</v>
      </c>
      <c r="N503" s="427">
        <v>1.05891</v>
      </c>
      <c r="O503" s="427">
        <v>1.0709599999999999</v>
      </c>
      <c r="P503" s="427">
        <v>1.083</v>
      </c>
      <c r="Q503" s="427">
        <v>1.11741</v>
      </c>
      <c r="R503" s="427">
        <v>1.1648499999999999</v>
      </c>
      <c r="S503" s="427">
        <v>1.1778900000000001</v>
      </c>
      <c r="T503" s="427">
        <v>1.27658</v>
      </c>
      <c r="U503" s="427">
        <f t="shared" si="51"/>
        <v>13.07621</v>
      </c>
    </row>
    <row r="504" spans="1:21" s="427" customFormat="1">
      <c r="A504" s="427" t="str">
        <f t="shared" si="47"/>
        <v>KU</v>
      </c>
      <c r="B504" s="427" t="str">
        <f t="shared" si="48"/>
        <v>KY</v>
      </c>
      <c r="C504" s="427" t="str">
        <f t="shared" si="49"/>
        <v>E</v>
      </c>
      <c r="D504" s="427" t="s">
        <v>3434</v>
      </c>
      <c r="E504" s="427" t="str">
        <f t="shared" si="50"/>
        <v>362</v>
      </c>
      <c r="F504" s="756" t="s">
        <v>1784</v>
      </c>
      <c r="G504" s="426" t="str">
        <f t="shared" si="52"/>
        <v>DISTRIBUTION</v>
      </c>
      <c r="H504" s="427">
        <v>355.67432000000002</v>
      </c>
      <c r="I504" s="427">
        <v>362.19949000000003</v>
      </c>
      <c r="J504" s="427">
        <v>362.46836000000002</v>
      </c>
      <c r="K504" s="427">
        <v>362.47723999999999</v>
      </c>
      <c r="L504" s="427">
        <v>364.42642999999998</v>
      </c>
      <c r="M504" s="427">
        <v>366.85518000000002</v>
      </c>
      <c r="N504" s="427">
        <v>368.29669999999999</v>
      </c>
      <c r="O504" s="427">
        <v>377.725449999999</v>
      </c>
      <c r="P504" s="427">
        <v>386.87788999999998</v>
      </c>
      <c r="Q504" s="427">
        <v>387.82994000000002</v>
      </c>
      <c r="R504" s="427">
        <v>392.04383000000001</v>
      </c>
      <c r="S504" s="427">
        <v>396.54521999999997</v>
      </c>
      <c r="T504" s="427">
        <v>419.29581999999999</v>
      </c>
      <c r="U504" s="427">
        <f t="shared" si="51"/>
        <v>4547.041549999999</v>
      </c>
    </row>
    <row r="505" spans="1:21" s="427" customFormat="1">
      <c r="A505" s="427" t="str">
        <f t="shared" si="47"/>
        <v>KU</v>
      </c>
      <c r="B505" s="427" t="str">
        <f t="shared" si="48"/>
        <v>TN</v>
      </c>
      <c r="C505" s="427" t="str">
        <f t="shared" si="49"/>
        <v>E</v>
      </c>
      <c r="D505" s="427" t="s">
        <v>3434</v>
      </c>
      <c r="E505" s="427" t="str">
        <f t="shared" si="50"/>
        <v>362</v>
      </c>
      <c r="F505" s="756" t="s">
        <v>1785</v>
      </c>
      <c r="G505" s="426" t="str">
        <f t="shared" si="52"/>
        <v>DISTRIBUTION</v>
      </c>
      <c r="H505" s="427">
        <v>0.12762999999999999</v>
      </c>
      <c r="I505" s="427">
        <v>0.12762999999999999</v>
      </c>
      <c r="J505" s="427">
        <v>0.12762999999999999</v>
      </c>
      <c r="K505" s="427">
        <v>0.12762999999999999</v>
      </c>
      <c r="L505" s="427">
        <v>0.12762999999999999</v>
      </c>
      <c r="M505" s="427">
        <v>0.12762999999999999</v>
      </c>
      <c r="N505" s="427">
        <v>0.12762999999999999</v>
      </c>
      <c r="O505" s="427">
        <v>0.12762999999999999</v>
      </c>
      <c r="P505" s="427">
        <v>0.12762999999999999</v>
      </c>
      <c r="Q505" s="427">
        <v>0.12762999999999999</v>
      </c>
      <c r="R505" s="427">
        <v>0.12762999999999999</v>
      </c>
      <c r="S505" s="427">
        <v>0.12762999999999999</v>
      </c>
      <c r="T505" s="427">
        <v>0.12762999999999999</v>
      </c>
      <c r="U505" s="427">
        <f t="shared" si="51"/>
        <v>1.5315599999999996</v>
      </c>
    </row>
    <row r="506" spans="1:21" s="427" customFormat="1">
      <c r="A506" s="427" t="str">
        <f t="shared" si="47"/>
        <v>KU</v>
      </c>
      <c r="B506" s="427" t="str">
        <f t="shared" si="48"/>
        <v>VA</v>
      </c>
      <c r="C506" s="427" t="str">
        <f t="shared" si="49"/>
        <v>E</v>
      </c>
      <c r="D506" s="427" t="s">
        <v>3434</v>
      </c>
      <c r="E506" s="427" t="str">
        <f t="shared" si="50"/>
        <v>362</v>
      </c>
      <c r="F506" s="756" t="s">
        <v>1786</v>
      </c>
      <c r="G506" s="426" t="str">
        <f t="shared" si="52"/>
        <v>DISTRIBUTION</v>
      </c>
      <c r="H506" s="427">
        <v>16.0046</v>
      </c>
      <c r="I506" s="427">
        <v>15.99034</v>
      </c>
      <c r="J506" s="427">
        <v>15.98601</v>
      </c>
      <c r="K506" s="427">
        <v>15.98601</v>
      </c>
      <c r="L506" s="427">
        <v>15.98601</v>
      </c>
      <c r="M506" s="427">
        <v>16.013529999999999</v>
      </c>
      <c r="N506" s="427">
        <v>16.143550000000001</v>
      </c>
      <c r="O506" s="427">
        <v>16.246089999999999</v>
      </c>
      <c r="P506" s="427">
        <v>16.246089999999999</v>
      </c>
      <c r="Q506" s="427">
        <v>16.246089999999999</v>
      </c>
      <c r="R506" s="427">
        <v>16.246089999999999</v>
      </c>
      <c r="S506" s="427">
        <v>16.246089999999999</v>
      </c>
      <c r="T506" s="427">
        <v>16.246089999999999</v>
      </c>
      <c r="U506" s="427">
        <f t="shared" si="51"/>
        <v>193.58199000000005</v>
      </c>
    </row>
    <row r="507" spans="1:21" s="427" customFormat="1">
      <c r="A507" s="427" t="str">
        <f t="shared" si="47"/>
        <v>KU</v>
      </c>
      <c r="B507" s="427" t="str">
        <f t="shared" si="48"/>
        <v>KY</v>
      </c>
      <c r="C507" s="427" t="str">
        <f t="shared" si="49"/>
        <v>E</v>
      </c>
      <c r="D507" s="427" t="s">
        <v>3434</v>
      </c>
      <c r="E507" s="427" t="str">
        <f t="shared" si="50"/>
        <v>364</v>
      </c>
      <c r="F507" s="756" t="s">
        <v>2211</v>
      </c>
      <c r="G507" s="426" t="str">
        <f t="shared" si="52"/>
        <v>DISTRIBUTION</v>
      </c>
      <c r="H507" s="427">
        <v>5.9029999999999999E-2</v>
      </c>
      <c r="I507" s="427">
        <v>5.9029999999999999E-2</v>
      </c>
      <c r="J507" s="427">
        <v>5.9029999999999999E-2</v>
      </c>
      <c r="K507" s="427">
        <v>5.9029999999999999E-2</v>
      </c>
      <c r="L507" s="427">
        <v>5.9029999999999999E-2</v>
      </c>
      <c r="M507" s="427">
        <v>5.9029999999999999E-2</v>
      </c>
      <c r="N507" s="427">
        <v>5.9029999999999999E-2</v>
      </c>
      <c r="O507" s="427">
        <v>5.9031920000000002E-2</v>
      </c>
      <c r="P507" s="427">
        <v>5.9031920000000002E-2</v>
      </c>
      <c r="Q507" s="427">
        <v>5.9031920000000002E-2</v>
      </c>
      <c r="R507" s="427">
        <v>5.9031920000000002E-2</v>
      </c>
      <c r="S507" s="427">
        <v>5.9031920000000002E-2</v>
      </c>
      <c r="T507" s="427">
        <v>5.9031920000000002E-2</v>
      </c>
      <c r="U507" s="427">
        <f t="shared" si="51"/>
        <v>0.70837152000000014</v>
      </c>
    </row>
    <row r="508" spans="1:21" s="427" customFormat="1">
      <c r="A508" s="427" t="str">
        <f t="shared" si="47"/>
        <v>KU</v>
      </c>
      <c r="B508" s="427" t="str">
        <f t="shared" si="48"/>
        <v>KY</v>
      </c>
      <c r="C508" s="427" t="str">
        <f t="shared" si="49"/>
        <v>E</v>
      </c>
      <c r="D508" s="427" t="s">
        <v>3434</v>
      </c>
      <c r="E508" s="427" t="str">
        <f t="shared" si="50"/>
        <v>364</v>
      </c>
      <c r="F508" s="756" t="s">
        <v>1787</v>
      </c>
      <c r="G508" s="426" t="str">
        <f t="shared" si="52"/>
        <v>DISTRIBUTION</v>
      </c>
      <c r="H508" s="427">
        <v>799.51319999999998</v>
      </c>
      <c r="I508" s="427">
        <v>802.69862999999998</v>
      </c>
      <c r="J508" s="427">
        <v>810.31536000000006</v>
      </c>
      <c r="K508" s="427">
        <v>816.39558999999997</v>
      </c>
      <c r="L508" s="427">
        <v>818.71813999999995</v>
      </c>
      <c r="M508" s="427">
        <v>822.80141000000003</v>
      </c>
      <c r="N508" s="427">
        <v>825.18389000000002</v>
      </c>
      <c r="O508" s="427">
        <v>826.54742999999996</v>
      </c>
      <c r="P508" s="427">
        <v>828.60632999999996</v>
      </c>
      <c r="Q508" s="427">
        <v>830.78557000000001</v>
      </c>
      <c r="R508" s="427">
        <v>832.44413999999995</v>
      </c>
      <c r="S508" s="427">
        <v>833.76863000000003</v>
      </c>
      <c r="T508" s="427">
        <v>842.44375000000002</v>
      </c>
      <c r="U508" s="427">
        <f t="shared" si="51"/>
        <v>9890.7088700000004</v>
      </c>
    </row>
    <row r="509" spans="1:21" s="427" customFormat="1">
      <c r="A509" s="427" t="str">
        <f t="shared" si="47"/>
        <v>KU</v>
      </c>
      <c r="B509" s="427" t="str">
        <f t="shared" si="48"/>
        <v>TN</v>
      </c>
      <c r="C509" s="427" t="str">
        <f t="shared" si="49"/>
        <v>E</v>
      </c>
      <c r="D509" s="427" t="s">
        <v>3434</v>
      </c>
      <c r="E509" s="427" t="str">
        <f t="shared" si="50"/>
        <v>364</v>
      </c>
      <c r="F509" s="756" t="s">
        <v>1788</v>
      </c>
      <c r="G509" s="426" t="str">
        <f t="shared" si="52"/>
        <v>DISTRIBUTION</v>
      </c>
      <c r="H509" s="427">
        <v>0.10632</v>
      </c>
      <c r="I509" s="427">
        <v>0.10632</v>
      </c>
      <c r="J509" s="427">
        <v>0.10632</v>
      </c>
      <c r="K509" s="427">
        <v>0.10632</v>
      </c>
      <c r="L509" s="427">
        <v>0.10632</v>
      </c>
      <c r="M509" s="427">
        <v>0.10632</v>
      </c>
      <c r="N509" s="427">
        <v>0.10632</v>
      </c>
      <c r="O509" s="427">
        <v>0.10632</v>
      </c>
      <c r="P509" s="427">
        <v>0.10632</v>
      </c>
      <c r="Q509" s="427">
        <v>0.10632</v>
      </c>
      <c r="R509" s="427">
        <v>0.10632</v>
      </c>
      <c r="S509" s="427">
        <v>0.10632</v>
      </c>
      <c r="T509" s="427">
        <v>0.10632</v>
      </c>
      <c r="U509" s="427">
        <f t="shared" si="51"/>
        <v>1.2758399999999999</v>
      </c>
    </row>
    <row r="510" spans="1:21" s="427" customFormat="1">
      <c r="A510" s="427" t="str">
        <f t="shared" si="47"/>
        <v>KU</v>
      </c>
      <c r="B510" s="427" t="str">
        <f t="shared" si="48"/>
        <v>VA</v>
      </c>
      <c r="C510" s="427" t="str">
        <f t="shared" si="49"/>
        <v>E</v>
      </c>
      <c r="D510" s="427" t="s">
        <v>3434</v>
      </c>
      <c r="E510" s="427" t="str">
        <f t="shared" si="50"/>
        <v>364</v>
      </c>
      <c r="F510" s="756" t="s">
        <v>1789</v>
      </c>
      <c r="G510" s="426" t="str">
        <f t="shared" si="52"/>
        <v>DISTRIBUTION</v>
      </c>
      <c r="H510" s="427">
        <v>64.561030000000002</v>
      </c>
      <c r="I510" s="427">
        <v>64.630790000000005</v>
      </c>
      <c r="J510" s="427">
        <v>65.086690000000004</v>
      </c>
      <c r="K510" s="427">
        <v>65.429040000000001</v>
      </c>
      <c r="L510" s="427">
        <v>65.555089999999893</v>
      </c>
      <c r="M510" s="427">
        <v>65.831519999999998</v>
      </c>
      <c r="N510" s="427">
        <v>65.987570000000005</v>
      </c>
      <c r="O510" s="427">
        <v>66.049170000000004</v>
      </c>
      <c r="P510" s="427">
        <v>66.090410000000006</v>
      </c>
      <c r="Q510" s="427">
        <v>66.105639999999994</v>
      </c>
      <c r="R510" s="427">
        <v>66.1006</v>
      </c>
      <c r="S510" s="427">
        <v>66.095569999999995</v>
      </c>
      <c r="T510" s="427">
        <v>66.871970000000005</v>
      </c>
      <c r="U510" s="427">
        <f t="shared" si="51"/>
        <v>789.83405999999991</v>
      </c>
    </row>
    <row r="511" spans="1:21" s="427" customFormat="1">
      <c r="A511" s="427" t="str">
        <f t="shared" si="47"/>
        <v>KU</v>
      </c>
      <c r="B511" s="427" t="str">
        <f t="shared" si="48"/>
        <v>KY</v>
      </c>
      <c r="C511" s="427" t="str">
        <f t="shared" si="49"/>
        <v>E</v>
      </c>
      <c r="D511" s="427" t="s">
        <v>3434</v>
      </c>
      <c r="E511" s="427" t="str">
        <f t="shared" si="50"/>
        <v>365</v>
      </c>
      <c r="F511" s="756" t="s">
        <v>2212</v>
      </c>
      <c r="G511" s="426" t="str">
        <f t="shared" si="52"/>
        <v>DISTRIBUTION</v>
      </c>
      <c r="H511" s="427">
        <v>4.8579999999999998E-2</v>
      </c>
      <c r="I511" s="427">
        <v>4.8579999999999998E-2</v>
      </c>
      <c r="J511" s="427">
        <v>4.8579999999999998E-2</v>
      </c>
      <c r="K511" s="427">
        <v>4.8579999999999998E-2</v>
      </c>
      <c r="L511" s="427">
        <v>4.8579999999999998E-2</v>
      </c>
      <c r="M511" s="427">
        <v>4.8579999999999998E-2</v>
      </c>
      <c r="N511" s="427">
        <v>4.8579999999999998E-2</v>
      </c>
      <c r="O511" s="427">
        <v>4.8575452249999998E-2</v>
      </c>
      <c r="P511" s="427">
        <v>4.8575452249999998E-2</v>
      </c>
      <c r="Q511" s="427">
        <v>4.8575452249999998E-2</v>
      </c>
      <c r="R511" s="427">
        <v>4.8575452249999998E-2</v>
      </c>
      <c r="S511" s="427">
        <v>4.8575452249999998E-2</v>
      </c>
      <c r="T511" s="427">
        <v>4.8575452249999998E-2</v>
      </c>
      <c r="U511" s="427">
        <f t="shared" si="51"/>
        <v>0.58293271349999998</v>
      </c>
    </row>
    <row r="512" spans="1:21" s="427" customFormat="1">
      <c r="A512" s="427" t="str">
        <f t="shared" si="47"/>
        <v>KU</v>
      </c>
      <c r="B512" s="427" t="str">
        <f t="shared" si="48"/>
        <v>KY</v>
      </c>
      <c r="C512" s="427" t="str">
        <f t="shared" si="49"/>
        <v>E</v>
      </c>
      <c r="D512" s="427" t="s">
        <v>3434</v>
      </c>
      <c r="E512" s="427" t="str">
        <f t="shared" si="50"/>
        <v>365</v>
      </c>
      <c r="F512" s="756" t="s">
        <v>1790</v>
      </c>
      <c r="G512" s="426" t="str">
        <f t="shared" si="52"/>
        <v>DISTRIBUTION</v>
      </c>
      <c r="H512" s="427">
        <v>704.85383000000002</v>
      </c>
      <c r="I512" s="427">
        <v>709.94012999999995</v>
      </c>
      <c r="J512" s="427">
        <v>716.05084999999997</v>
      </c>
      <c r="K512" s="427">
        <v>721.22680000000003</v>
      </c>
      <c r="L512" s="427">
        <v>725.37237000000005</v>
      </c>
      <c r="M512" s="427">
        <v>729.25202999999999</v>
      </c>
      <c r="N512" s="427">
        <v>730.02454999999998</v>
      </c>
      <c r="O512" s="427">
        <v>736.93161999999995</v>
      </c>
      <c r="P512" s="427">
        <v>748.88463000000002</v>
      </c>
      <c r="Q512" s="427">
        <v>757.65141000000006</v>
      </c>
      <c r="R512" s="427">
        <v>763.71385999999995</v>
      </c>
      <c r="S512" s="427">
        <v>767.89358000000004</v>
      </c>
      <c r="T512" s="427">
        <v>776.46543999999994</v>
      </c>
      <c r="U512" s="427">
        <f t="shared" si="51"/>
        <v>8883.4072699999997</v>
      </c>
    </row>
    <row r="513" spans="1:21" s="427" customFormat="1">
      <c r="A513" s="427" t="str">
        <f t="shared" si="47"/>
        <v>KU</v>
      </c>
      <c r="B513" s="427" t="str">
        <f t="shared" si="48"/>
        <v>TN</v>
      </c>
      <c r="C513" s="427" t="str">
        <f t="shared" si="49"/>
        <v>E</v>
      </c>
      <c r="D513" s="427" t="s">
        <v>3434</v>
      </c>
      <c r="E513" s="427" t="str">
        <f t="shared" si="50"/>
        <v>365</v>
      </c>
      <c r="F513" s="756" t="s">
        <v>1791</v>
      </c>
      <c r="G513" s="426" t="str">
        <f t="shared" si="52"/>
        <v>DISTRIBUTION</v>
      </c>
      <c r="H513" s="427">
        <v>9.6250000000000002E-2</v>
      </c>
      <c r="I513" s="427">
        <v>9.6250000000000002E-2</v>
      </c>
      <c r="J513" s="427">
        <v>9.6250000000000002E-2</v>
      </c>
      <c r="K513" s="427">
        <v>9.6250000000000002E-2</v>
      </c>
      <c r="L513" s="427">
        <v>9.6250000000000002E-2</v>
      </c>
      <c r="M513" s="427">
        <v>9.6250000000000002E-2</v>
      </c>
      <c r="N513" s="427">
        <v>9.6250000000000002E-2</v>
      </c>
      <c r="O513" s="427">
        <v>9.6250000000000002E-2</v>
      </c>
      <c r="P513" s="427">
        <v>9.6250000000000002E-2</v>
      </c>
      <c r="Q513" s="427">
        <v>9.6250000000000002E-2</v>
      </c>
      <c r="R513" s="427">
        <v>9.6250000000000002E-2</v>
      </c>
      <c r="S513" s="427">
        <v>9.6250000000000002E-2</v>
      </c>
      <c r="T513" s="427">
        <v>9.6250000000000002E-2</v>
      </c>
      <c r="U513" s="427">
        <f t="shared" si="51"/>
        <v>1.1549999999999998</v>
      </c>
    </row>
    <row r="514" spans="1:21" s="427" customFormat="1">
      <c r="A514" s="427" t="str">
        <f t="shared" si="47"/>
        <v>KU</v>
      </c>
      <c r="B514" s="427" t="str">
        <f t="shared" si="48"/>
        <v>VA</v>
      </c>
      <c r="C514" s="427" t="str">
        <f t="shared" si="49"/>
        <v>E</v>
      </c>
      <c r="D514" s="427" t="s">
        <v>3434</v>
      </c>
      <c r="E514" s="427" t="str">
        <f t="shared" si="50"/>
        <v>365</v>
      </c>
      <c r="F514" s="756" t="s">
        <v>1792</v>
      </c>
      <c r="G514" s="426" t="str">
        <f t="shared" si="52"/>
        <v>DISTRIBUTION</v>
      </c>
      <c r="H514" s="427">
        <v>52.541449999999998</v>
      </c>
      <c r="I514" s="427">
        <v>52.757919999999999</v>
      </c>
      <c r="J514" s="427">
        <v>53.478740000000002</v>
      </c>
      <c r="K514" s="427">
        <v>54.020780000000002</v>
      </c>
      <c r="L514" s="427">
        <v>54.424869999999999</v>
      </c>
      <c r="M514" s="427">
        <v>54.950400000000002</v>
      </c>
      <c r="N514" s="427">
        <v>55.082619999999999</v>
      </c>
      <c r="O514" s="427">
        <v>55.431840000000001</v>
      </c>
      <c r="P514" s="427">
        <v>56.085700000000003</v>
      </c>
      <c r="Q514" s="427">
        <v>56.589930000000003</v>
      </c>
      <c r="R514" s="427">
        <v>57.040970000000002</v>
      </c>
      <c r="S514" s="427">
        <v>57.371319999999997</v>
      </c>
      <c r="T514" s="427">
        <v>57.508849999999903</v>
      </c>
      <c r="U514" s="427">
        <f t="shared" si="51"/>
        <v>664.74393999999995</v>
      </c>
    </row>
    <row r="515" spans="1:21" s="427" customFormat="1">
      <c r="A515" s="427" t="str">
        <f t="shared" si="47"/>
        <v>KU</v>
      </c>
      <c r="B515" s="427" t="str">
        <f t="shared" si="48"/>
        <v>KY</v>
      </c>
      <c r="C515" s="427" t="str">
        <f t="shared" si="49"/>
        <v>E</v>
      </c>
      <c r="D515" s="427" t="s">
        <v>3434</v>
      </c>
      <c r="E515" s="427" t="str">
        <f t="shared" si="50"/>
        <v>366</v>
      </c>
      <c r="F515" s="756" t="s">
        <v>2213</v>
      </c>
      <c r="G515" s="426" t="str">
        <f t="shared" si="52"/>
        <v>DISTRIBUTION</v>
      </c>
      <c r="H515" s="427">
        <v>0.3306</v>
      </c>
      <c r="I515" s="427">
        <v>0.3306</v>
      </c>
      <c r="J515" s="427">
        <v>0.3306</v>
      </c>
      <c r="K515" s="427">
        <v>0.3306</v>
      </c>
      <c r="L515" s="427">
        <v>0.3306</v>
      </c>
      <c r="M515" s="427">
        <v>0.3306</v>
      </c>
      <c r="N515" s="427">
        <v>0.3306</v>
      </c>
      <c r="O515" s="427">
        <v>0.33060487199999999</v>
      </c>
      <c r="P515" s="427">
        <v>0.33060487199999999</v>
      </c>
      <c r="Q515" s="427">
        <v>0.33060487199999999</v>
      </c>
      <c r="R515" s="427">
        <v>0.33060487199999999</v>
      </c>
      <c r="S515" s="427">
        <v>0.33060487199999999</v>
      </c>
      <c r="T515" s="427">
        <v>0.33060487199999999</v>
      </c>
      <c r="U515" s="427">
        <f t="shared" si="51"/>
        <v>3.9672292319999993</v>
      </c>
    </row>
    <row r="516" spans="1:21" s="427" customFormat="1">
      <c r="A516" s="427" t="str">
        <f t="shared" si="47"/>
        <v>KU</v>
      </c>
      <c r="B516" s="427" t="str">
        <f t="shared" si="48"/>
        <v>KY</v>
      </c>
      <c r="C516" s="427" t="str">
        <f t="shared" si="49"/>
        <v>E</v>
      </c>
      <c r="D516" s="427" t="s">
        <v>3434</v>
      </c>
      <c r="E516" s="427" t="str">
        <f t="shared" si="50"/>
        <v>366</v>
      </c>
      <c r="F516" s="756" t="s">
        <v>1793</v>
      </c>
      <c r="G516" s="426" t="str">
        <f t="shared" si="52"/>
        <v>DISTRIBUTION</v>
      </c>
      <c r="H516" s="427">
        <v>4.2903900000000004</v>
      </c>
      <c r="I516" s="427">
        <v>4.2903900000000004</v>
      </c>
      <c r="J516" s="427">
        <v>4.2903900000000004</v>
      </c>
      <c r="K516" s="427">
        <v>4.29033</v>
      </c>
      <c r="L516" s="427">
        <v>4.2902699999999996</v>
      </c>
      <c r="M516" s="427">
        <v>4.2902699999999996</v>
      </c>
      <c r="N516" s="427">
        <v>4.2902699999999996</v>
      </c>
      <c r="O516" s="427">
        <v>4.2902699999999996</v>
      </c>
      <c r="P516" s="427">
        <v>4.2902699999999996</v>
      </c>
      <c r="Q516" s="427">
        <v>4.2902699999999996</v>
      </c>
      <c r="R516" s="427">
        <v>4.2902699999999996</v>
      </c>
      <c r="S516" s="427">
        <v>4.2902699999999996</v>
      </c>
      <c r="T516" s="427">
        <v>4.2902699999999996</v>
      </c>
      <c r="U516" s="427">
        <f t="shared" si="51"/>
        <v>51.483539999999998</v>
      </c>
    </row>
    <row r="517" spans="1:21" s="427" customFormat="1">
      <c r="A517" s="427" t="str">
        <f t="shared" si="47"/>
        <v>KU</v>
      </c>
      <c r="B517" s="427" t="str">
        <f t="shared" si="48"/>
        <v>KY</v>
      </c>
      <c r="C517" s="427" t="str">
        <f t="shared" si="49"/>
        <v>E</v>
      </c>
      <c r="D517" s="427" t="s">
        <v>3434</v>
      </c>
      <c r="E517" s="427" t="str">
        <f t="shared" si="50"/>
        <v>367</v>
      </c>
      <c r="F517" s="756" t="s">
        <v>2214</v>
      </c>
      <c r="G517" s="426" t="str">
        <f t="shared" si="52"/>
        <v>DISTRIBUTION</v>
      </c>
      <c r="H517" s="427">
        <v>2.6853799999999999</v>
      </c>
      <c r="I517" s="427">
        <v>2.6853799999999999</v>
      </c>
      <c r="J517" s="427">
        <v>2.6853799999999999</v>
      </c>
      <c r="K517" s="427">
        <v>2.6853799999999999</v>
      </c>
      <c r="L517" s="427">
        <v>2.6853799999999999</v>
      </c>
      <c r="M517" s="427">
        <v>2.6853799999999999</v>
      </c>
      <c r="N517" s="427">
        <v>2.6853799999999999</v>
      </c>
      <c r="O517" s="427">
        <v>2.6853836241</v>
      </c>
      <c r="P517" s="427">
        <v>2.6853836241</v>
      </c>
      <c r="Q517" s="427">
        <v>2.6853836241</v>
      </c>
      <c r="R517" s="427">
        <v>2.6853836241</v>
      </c>
      <c r="S517" s="427">
        <v>2.6853836241</v>
      </c>
      <c r="T517" s="427">
        <v>2.6853836241</v>
      </c>
      <c r="U517" s="427">
        <f t="shared" si="51"/>
        <v>32.224581744599988</v>
      </c>
    </row>
    <row r="518" spans="1:21" s="427" customFormat="1">
      <c r="A518" s="427" t="str">
        <f t="shared" si="47"/>
        <v>KU</v>
      </c>
      <c r="B518" s="427" t="str">
        <f t="shared" si="48"/>
        <v>KY</v>
      </c>
      <c r="C518" s="427" t="str">
        <f t="shared" si="49"/>
        <v>E</v>
      </c>
      <c r="D518" s="427" t="s">
        <v>3434</v>
      </c>
      <c r="E518" s="427" t="str">
        <f t="shared" si="50"/>
        <v>367</v>
      </c>
      <c r="F518" s="756" t="s">
        <v>1794</v>
      </c>
      <c r="G518" s="426" t="str">
        <f t="shared" si="52"/>
        <v>DISTRIBUTION</v>
      </c>
      <c r="H518" s="427">
        <v>380.38382000000001</v>
      </c>
      <c r="I518" s="427">
        <v>382.25583</v>
      </c>
      <c r="J518" s="427">
        <v>384.26177999999999</v>
      </c>
      <c r="K518" s="427">
        <v>385.18743999999998</v>
      </c>
      <c r="L518" s="427">
        <v>387.12898000000001</v>
      </c>
      <c r="M518" s="427">
        <v>389.69914999999997</v>
      </c>
      <c r="N518" s="427">
        <v>390.45650000000001</v>
      </c>
      <c r="O518" s="427">
        <v>393.01182</v>
      </c>
      <c r="P518" s="427">
        <v>397.33246000000003</v>
      </c>
      <c r="Q518" s="427">
        <v>400.48568</v>
      </c>
      <c r="R518" s="427">
        <v>403.05770999999999</v>
      </c>
      <c r="S518" s="427">
        <v>405.50591999999898</v>
      </c>
      <c r="T518" s="427">
        <v>407.65881999999999</v>
      </c>
      <c r="U518" s="427">
        <f t="shared" si="51"/>
        <v>4726.0420899999981</v>
      </c>
    </row>
    <row r="519" spans="1:21" s="427" customFormat="1">
      <c r="A519" s="427" t="str">
        <f t="shared" si="47"/>
        <v>KU</v>
      </c>
      <c r="B519" s="427" t="str">
        <f t="shared" si="48"/>
        <v>VA</v>
      </c>
      <c r="C519" s="427" t="str">
        <f t="shared" si="49"/>
        <v>E</v>
      </c>
      <c r="D519" s="427" t="s">
        <v>3434</v>
      </c>
      <c r="E519" s="427" t="str">
        <f t="shared" si="50"/>
        <v>367</v>
      </c>
      <c r="F519" s="756" t="s">
        <v>1795</v>
      </c>
      <c r="G519" s="426" t="str">
        <f t="shared" si="52"/>
        <v>DISTRIBUTION</v>
      </c>
      <c r="H519" s="427">
        <v>9.5068400000000004</v>
      </c>
      <c r="I519" s="427">
        <v>9.5246200000000005</v>
      </c>
      <c r="J519" s="427">
        <v>9.1957299999999993</v>
      </c>
      <c r="K519" s="427">
        <v>8.8566199999999995</v>
      </c>
      <c r="L519" s="427">
        <v>8.8923199999999998</v>
      </c>
      <c r="M519" s="427">
        <v>8.9390800000000006</v>
      </c>
      <c r="N519" s="427">
        <v>8.9488299999999992</v>
      </c>
      <c r="O519" s="427">
        <v>9.0256500000000006</v>
      </c>
      <c r="P519" s="427">
        <v>9.1833899999999993</v>
      </c>
      <c r="Q519" s="427">
        <v>9.2971900000000005</v>
      </c>
      <c r="R519" s="427">
        <v>9.3663299999999996</v>
      </c>
      <c r="S519" s="427">
        <v>9.4327199999999998</v>
      </c>
      <c r="T519" s="427">
        <v>9.4727700000000006</v>
      </c>
      <c r="U519" s="427">
        <f t="shared" si="51"/>
        <v>110.13525000000001</v>
      </c>
    </row>
    <row r="520" spans="1:21" s="427" customFormat="1">
      <c r="A520" s="427" t="str">
        <f t="shared" si="47"/>
        <v>KU</v>
      </c>
      <c r="B520" s="427" t="str">
        <f t="shared" si="48"/>
        <v>KY</v>
      </c>
      <c r="C520" s="427" t="str">
        <f t="shared" si="49"/>
        <v>E</v>
      </c>
      <c r="D520" s="427" t="s">
        <v>3434</v>
      </c>
      <c r="E520" s="427" t="str">
        <f t="shared" si="50"/>
        <v>368</v>
      </c>
      <c r="F520" s="756" t="s">
        <v>1796</v>
      </c>
      <c r="G520" s="426" t="str">
        <f t="shared" si="52"/>
        <v>DISTRIBUTION</v>
      </c>
      <c r="H520" s="427">
        <v>450.08278999999999</v>
      </c>
      <c r="I520" s="427">
        <v>451.41892000000001</v>
      </c>
      <c r="J520" s="427">
        <v>451.71913999999998</v>
      </c>
      <c r="K520" s="427">
        <v>452.17225999999999</v>
      </c>
      <c r="L520" s="427">
        <v>452.67403000000002</v>
      </c>
      <c r="M520" s="427">
        <v>453.34681</v>
      </c>
      <c r="N520" s="427">
        <v>453.83654000000001</v>
      </c>
      <c r="O520" s="427">
        <v>455.03325000000001</v>
      </c>
      <c r="P520" s="427">
        <v>456.79651000000001</v>
      </c>
      <c r="Q520" s="427">
        <v>458.085929999999</v>
      </c>
      <c r="R520" s="427">
        <v>459.54827999999998</v>
      </c>
      <c r="S520" s="427">
        <v>461.03280999999998</v>
      </c>
      <c r="T520" s="427">
        <v>462.29957999999903</v>
      </c>
      <c r="U520" s="427">
        <f t="shared" si="51"/>
        <v>5467.9640599999975</v>
      </c>
    </row>
    <row r="521" spans="1:21" s="427" customFormat="1">
      <c r="A521" s="427" t="str">
        <f t="shared" si="47"/>
        <v>KU</v>
      </c>
      <c r="B521" s="427" t="str">
        <f t="shared" si="48"/>
        <v>TN</v>
      </c>
      <c r="C521" s="427" t="str">
        <f t="shared" si="49"/>
        <v>E</v>
      </c>
      <c r="D521" s="427" t="s">
        <v>3434</v>
      </c>
      <c r="E521" s="427" t="str">
        <f t="shared" si="50"/>
        <v>368</v>
      </c>
      <c r="F521" s="756" t="s">
        <v>1797</v>
      </c>
      <c r="G521" s="426" t="str">
        <f t="shared" si="52"/>
        <v>DISTRIBUTION</v>
      </c>
      <c r="H521" s="427">
        <v>4.6499999999999996E-3</v>
      </c>
      <c r="I521" s="427">
        <v>4.6499999999999996E-3</v>
      </c>
      <c r="J521" s="427">
        <v>4.6499999999999996E-3</v>
      </c>
      <c r="K521" s="427">
        <v>4.6499999999999996E-3</v>
      </c>
      <c r="L521" s="427">
        <v>4.6499999999999996E-3</v>
      </c>
      <c r="M521" s="427">
        <v>4.6499999999999996E-3</v>
      </c>
      <c r="N521" s="427">
        <v>4.6499999999999996E-3</v>
      </c>
      <c r="O521" s="427">
        <v>4.6499999999999996E-3</v>
      </c>
      <c r="P521" s="427">
        <v>4.6499999999999996E-3</v>
      </c>
      <c r="Q521" s="427">
        <v>4.6499999999999996E-3</v>
      </c>
      <c r="R521" s="427">
        <v>4.6499999999999996E-3</v>
      </c>
      <c r="S521" s="427">
        <v>4.6499999999999996E-3</v>
      </c>
      <c r="T521" s="427">
        <v>4.6499999999999996E-3</v>
      </c>
      <c r="U521" s="427">
        <f t="shared" si="51"/>
        <v>5.5800000000000009E-2</v>
      </c>
    </row>
    <row r="522" spans="1:21" s="427" customFormat="1">
      <c r="A522" s="427" t="str">
        <f t="shared" ref="A522:A603" si="53">MID($F522,4,2)</f>
        <v>KU</v>
      </c>
      <c r="B522" s="427" t="str">
        <f t="shared" si="48"/>
        <v>VA</v>
      </c>
      <c r="C522" s="427" t="str">
        <f t="shared" si="49"/>
        <v>E</v>
      </c>
      <c r="D522" s="427" t="s">
        <v>3434</v>
      </c>
      <c r="E522" s="427" t="str">
        <f t="shared" si="50"/>
        <v>368</v>
      </c>
      <c r="F522" s="756" t="s">
        <v>1798</v>
      </c>
      <c r="G522" s="426" t="str">
        <f t="shared" si="52"/>
        <v>DISTRIBUTION</v>
      </c>
      <c r="H522" s="427">
        <v>16.59807</v>
      </c>
      <c r="I522" s="427">
        <v>16.598610000000001</v>
      </c>
      <c r="J522" s="427">
        <v>16.598659999999999</v>
      </c>
      <c r="K522" s="427">
        <v>16.594950000000001</v>
      </c>
      <c r="L522" s="427">
        <v>16.54702</v>
      </c>
      <c r="M522" s="427">
        <v>16.503019999999999</v>
      </c>
      <c r="N522" s="427">
        <v>16.503259999999901</v>
      </c>
      <c r="O522" s="427">
        <v>16.504809999999999</v>
      </c>
      <c r="P522" s="427">
        <v>16.54156</v>
      </c>
      <c r="Q522" s="427">
        <v>16.578440000000001</v>
      </c>
      <c r="R522" s="427">
        <v>16.582699999999999</v>
      </c>
      <c r="S522" s="427">
        <v>16.587399999999999</v>
      </c>
      <c r="T522" s="427">
        <v>16.59121</v>
      </c>
      <c r="U522" s="427">
        <f>SUM(I522:T522)</f>
        <v>198.73163999999989</v>
      </c>
    </row>
    <row r="523" spans="1:21" s="427" customFormat="1">
      <c r="A523" s="427" t="str">
        <f t="shared" si="53"/>
        <v>KU</v>
      </c>
      <c r="B523" s="427" t="str">
        <f t="shared" si="48"/>
        <v>KY</v>
      </c>
      <c r="C523" s="427" t="str">
        <f t="shared" si="49"/>
        <v>E</v>
      </c>
      <c r="D523" s="427" t="s">
        <v>3434</v>
      </c>
      <c r="E523" s="427" t="str">
        <f t="shared" si="50"/>
        <v>369</v>
      </c>
      <c r="F523" s="756" t="s">
        <v>1799</v>
      </c>
      <c r="G523" s="426" t="str">
        <f t="shared" si="52"/>
        <v>DISTRIBUTION</v>
      </c>
      <c r="H523" s="427">
        <v>147.39962</v>
      </c>
      <c r="I523" s="427">
        <v>147.43473</v>
      </c>
      <c r="J523" s="427">
        <v>147.48176999999899</v>
      </c>
      <c r="K523" s="427">
        <v>147.49369999999999</v>
      </c>
      <c r="L523" s="427">
        <v>147.52108999999999</v>
      </c>
      <c r="M523" s="427">
        <v>147.56634</v>
      </c>
      <c r="N523" s="427">
        <v>147.58392000000001</v>
      </c>
      <c r="O523" s="427">
        <v>147.58366000000001</v>
      </c>
      <c r="P523" s="427">
        <v>147.58366000000001</v>
      </c>
      <c r="Q523" s="427">
        <v>147.58366000000001</v>
      </c>
      <c r="R523" s="427">
        <v>147.58366000000001</v>
      </c>
      <c r="S523" s="427">
        <v>147.58366000000001</v>
      </c>
      <c r="T523" s="427">
        <v>147.58366000000001</v>
      </c>
      <c r="U523" s="427">
        <f t="shared" si="51"/>
        <v>1770.583509999999</v>
      </c>
    </row>
    <row r="524" spans="1:21" s="427" customFormat="1">
      <c r="A524" s="427" t="str">
        <f t="shared" si="53"/>
        <v>KU</v>
      </c>
      <c r="B524" s="427" t="str">
        <f t="shared" si="48"/>
        <v>TN</v>
      </c>
      <c r="C524" s="427" t="str">
        <f t="shared" si="49"/>
        <v>E</v>
      </c>
      <c r="D524" s="427" t="s">
        <v>3434</v>
      </c>
      <c r="E524" s="427" t="str">
        <f t="shared" si="50"/>
        <v>369</v>
      </c>
      <c r="F524" s="756" t="s">
        <v>1800</v>
      </c>
      <c r="G524" s="426" t="str">
        <f t="shared" si="52"/>
        <v>DISTRIBUTION</v>
      </c>
      <c r="H524" s="427">
        <v>3.5E-4</v>
      </c>
      <c r="I524" s="427">
        <v>3.5E-4</v>
      </c>
      <c r="J524" s="427">
        <v>3.5E-4</v>
      </c>
      <c r="K524" s="427">
        <v>3.5E-4</v>
      </c>
      <c r="L524" s="427">
        <v>3.5E-4</v>
      </c>
      <c r="M524" s="427">
        <v>3.5E-4</v>
      </c>
      <c r="N524" s="427">
        <v>3.5E-4</v>
      </c>
      <c r="O524" s="427">
        <v>3.5E-4</v>
      </c>
      <c r="P524" s="427">
        <v>3.5E-4</v>
      </c>
      <c r="Q524" s="427">
        <v>3.5E-4</v>
      </c>
      <c r="R524" s="427">
        <v>3.5E-4</v>
      </c>
      <c r="S524" s="427">
        <v>3.5E-4</v>
      </c>
      <c r="T524" s="427">
        <v>3.5E-4</v>
      </c>
      <c r="U524" s="427">
        <f t="shared" si="51"/>
        <v>4.1999999999999997E-3</v>
      </c>
    </row>
    <row r="525" spans="1:21" s="427" customFormat="1">
      <c r="A525" s="427" t="str">
        <f t="shared" si="53"/>
        <v>KU</v>
      </c>
      <c r="B525" s="427" t="str">
        <f t="shared" si="48"/>
        <v>VA</v>
      </c>
      <c r="C525" s="427" t="str">
        <f t="shared" si="49"/>
        <v>E</v>
      </c>
      <c r="D525" s="427" t="s">
        <v>3434</v>
      </c>
      <c r="E525" s="427" t="str">
        <f t="shared" si="50"/>
        <v>369</v>
      </c>
      <c r="F525" s="756" t="s">
        <v>1801</v>
      </c>
      <c r="G525" s="426" t="str">
        <f t="shared" si="52"/>
        <v>DISTRIBUTION</v>
      </c>
      <c r="H525" s="427">
        <v>7.9502499999999996</v>
      </c>
      <c r="I525" s="427">
        <v>7.9502499999999996</v>
      </c>
      <c r="J525" s="427">
        <v>7.9502499999999996</v>
      </c>
      <c r="K525" s="427">
        <v>7.9502499999999996</v>
      </c>
      <c r="L525" s="427">
        <v>7.9502499999999996</v>
      </c>
      <c r="M525" s="427">
        <v>7.9502499999999996</v>
      </c>
      <c r="N525" s="427">
        <v>7.9502499999999996</v>
      </c>
      <c r="O525" s="427">
        <v>7.9502499999999996</v>
      </c>
      <c r="P525" s="427">
        <v>7.9502499999999996</v>
      </c>
      <c r="Q525" s="427">
        <v>7.9502499999999996</v>
      </c>
      <c r="R525" s="427">
        <v>7.9502499999999996</v>
      </c>
      <c r="S525" s="427">
        <v>7.9502499999999996</v>
      </c>
      <c r="T525" s="427">
        <v>7.9502499999999996</v>
      </c>
      <c r="U525" s="427">
        <f t="shared" si="51"/>
        <v>95.402999999999977</v>
      </c>
    </row>
    <row r="526" spans="1:21" s="427" customFormat="1">
      <c r="A526" s="427" t="str">
        <f t="shared" si="53"/>
        <v>KU</v>
      </c>
      <c r="B526" s="427" t="str">
        <f t="shared" si="48"/>
        <v>KY</v>
      </c>
      <c r="C526" s="427" t="str">
        <f t="shared" si="49"/>
        <v>E</v>
      </c>
      <c r="D526" s="427" t="s">
        <v>3434</v>
      </c>
      <c r="E526" s="427" t="str">
        <f t="shared" si="50"/>
        <v>370</v>
      </c>
      <c r="F526" s="756" t="s">
        <v>1802</v>
      </c>
      <c r="G526" s="426" t="str">
        <f t="shared" si="52"/>
        <v>DISTRIBUTION</v>
      </c>
      <c r="H526" s="427">
        <v>222.1592</v>
      </c>
      <c r="I526" s="427">
        <v>222.64948999999999</v>
      </c>
      <c r="J526" s="427">
        <v>222.96611999999999</v>
      </c>
      <c r="K526" s="427">
        <v>223.54230000000001</v>
      </c>
      <c r="L526" s="427">
        <v>224.02368000000001</v>
      </c>
      <c r="M526" s="427">
        <v>224.24976000000001</v>
      </c>
      <c r="N526" s="427">
        <v>224.38666999999899</v>
      </c>
      <c r="O526" s="427">
        <v>224.56591</v>
      </c>
      <c r="P526" s="427">
        <v>224.92554000000001</v>
      </c>
      <c r="Q526" s="427">
        <v>225.25641999999999</v>
      </c>
      <c r="R526" s="427">
        <v>227.98572999999999</v>
      </c>
      <c r="S526" s="427">
        <v>230.71549999999999</v>
      </c>
      <c r="T526" s="427">
        <v>231.01614999999899</v>
      </c>
      <c r="U526" s="427">
        <f t="shared" si="51"/>
        <v>2706.2832699999976</v>
      </c>
    </row>
    <row r="527" spans="1:21" s="427" customFormat="1">
      <c r="A527" s="427" t="str">
        <f t="shared" si="53"/>
        <v>KU</v>
      </c>
      <c r="B527" s="427" t="str">
        <f t="shared" si="48"/>
        <v>KY</v>
      </c>
      <c r="C527" s="427" t="str">
        <f t="shared" si="49"/>
        <v>E</v>
      </c>
      <c r="D527" s="427" t="s">
        <v>3434</v>
      </c>
      <c r="E527" s="427" t="str">
        <f t="shared" si="50"/>
        <v>370</v>
      </c>
      <c r="F527" s="756" t="s">
        <v>2505</v>
      </c>
      <c r="G527" s="426" t="str">
        <f t="shared" si="52"/>
        <v>DISTRIBUTION</v>
      </c>
      <c r="H527" s="427">
        <v>6.4459</v>
      </c>
      <c r="I527" s="427">
        <v>6.6764799999999997</v>
      </c>
      <c r="J527" s="427">
        <v>6.68262</v>
      </c>
      <c r="K527" s="427">
        <v>7.1429299999999998</v>
      </c>
      <c r="L527" s="427">
        <v>7.5971099999999998</v>
      </c>
      <c r="M527" s="427">
        <v>7.5981899999999998</v>
      </c>
      <c r="N527" s="427">
        <v>7.5994799999999998</v>
      </c>
      <c r="O527" s="427">
        <v>7.5996959669999997</v>
      </c>
      <c r="P527" s="427">
        <v>7.5996959669999997</v>
      </c>
      <c r="Q527" s="427">
        <v>7.5996959669999997</v>
      </c>
      <c r="R527" s="427">
        <v>7.5996959669999997</v>
      </c>
      <c r="S527" s="427">
        <v>7.5996959669999997</v>
      </c>
      <c r="T527" s="427">
        <v>7.5996959669999997</v>
      </c>
      <c r="U527" s="427">
        <f t="shared" si="51"/>
        <v>88.894985802000008</v>
      </c>
    </row>
    <row r="528" spans="1:21" s="427" customFormat="1">
      <c r="A528" s="427" t="str">
        <f t="shared" si="53"/>
        <v>KU</v>
      </c>
      <c r="B528" s="427" t="str">
        <f t="shared" si="48"/>
        <v>TN</v>
      </c>
      <c r="C528" s="427" t="str">
        <f t="shared" si="49"/>
        <v>E</v>
      </c>
      <c r="D528" s="427" t="s">
        <v>3434</v>
      </c>
      <c r="E528" s="427" t="str">
        <f t="shared" si="50"/>
        <v>370</v>
      </c>
      <c r="F528" s="756" t="s">
        <v>1803</v>
      </c>
      <c r="G528" s="426" t="str">
        <f t="shared" si="52"/>
        <v>DISTRIBUTION</v>
      </c>
      <c r="H528" s="427">
        <v>1.482E-2</v>
      </c>
      <c r="I528" s="427">
        <v>1.482E-2</v>
      </c>
      <c r="J528" s="427">
        <v>1.482E-2</v>
      </c>
      <c r="K528" s="427">
        <v>1.482E-2</v>
      </c>
      <c r="L528" s="427">
        <v>1.482E-2</v>
      </c>
      <c r="M528" s="427">
        <v>1.482E-2</v>
      </c>
      <c r="N528" s="427">
        <v>1.482E-2</v>
      </c>
      <c r="O528" s="427">
        <v>1.482E-2</v>
      </c>
      <c r="P528" s="427">
        <v>1.482E-2</v>
      </c>
      <c r="Q528" s="427">
        <v>1.482E-2</v>
      </c>
      <c r="R528" s="427">
        <v>1.482E-2</v>
      </c>
      <c r="S528" s="427">
        <v>1.482E-2</v>
      </c>
      <c r="T528" s="427">
        <v>1.482E-2</v>
      </c>
      <c r="U528" s="427">
        <f t="shared" si="51"/>
        <v>0.17784</v>
      </c>
    </row>
    <row r="529" spans="1:22" s="427" customFormat="1">
      <c r="A529" s="427" t="str">
        <f t="shared" si="53"/>
        <v>KU</v>
      </c>
      <c r="B529" s="427" t="str">
        <f t="shared" si="48"/>
        <v>VA</v>
      </c>
      <c r="C529" s="427" t="str">
        <f t="shared" si="49"/>
        <v>E</v>
      </c>
      <c r="D529" s="427" t="s">
        <v>3434</v>
      </c>
      <c r="E529" s="427" t="str">
        <f t="shared" si="50"/>
        <v>370</v>
      </c>
      <c r="F529" s="756" t="s">
        <v>1804</v>
      </c>
      <c r="G529" s="426" t="str">
        <f t="shared" si="52"/>
        <v>DISTRIBUTION</v>
      </c>
      <c r="H529" s="427">
        <v>11.743659999999901</v>
      </c>
      <c r="I529" s="427">
        <v>11.96979</v>
      </c>
      <c r="J529" s="427">
        <v>12.1281</v>
      </c>
      <c r="K529" s="427">
        <v>11.79612</v>
      </c>
      <c r="L529" s="427">
        <v>11.423400000000001</v>
      </c>
      <c r="M529" s="427">
        <v>11.54311</v>
      </c>
      <c r="N529" s="427">
        <v>11.611560000000001</v>
      </c>
      <c r="O529" s="427">
        <v>11.611560000000001</v>
      </c>
      <c r="P529" s="427">
        <v>11.611560000000001</v>
      </c>
      <c r="Q529" s="427">
        <v>11.611560000000001</v>
      </c>
      <c r="R529" s="427">
        <v>11.611560000000001</v>
      </c>
      <c r="S529" s="427">
        <v>11.611560000000001</v>
      </c>
      <c r="T529" s="427">
        <v>11.611560000000001</v>
      </c>
      <c r="U529" s="427">
        <f t="shared" si="51"/>
        <v>140.14143999999999</v>
      </c>
    </row>
    <row r="530" spans="1:22" s="427" customFormat="1">
      <c r="A530" s="427" t="str">
        <f t="shared" si="53"/>
        <v>KU</v>
      </c>
      <c r="B530" s="427" t="str">
        <f t="shared" si="48"/>
        <v>KY</v>
      </c>
      <c r="C530" s="427" t="str">
        <f t="shared" si="49"/>
        <v>E</v>
      </c>
      <c r="D530" s="427" t="s">
        <v>3434</v>
      </c>
      <c r="E530" s="427" t="str">
        <f t="shared" si="50"/>
        <v>371</v>
      </c>
      <c r="F530" s="756" t="s">
        <v>1805</v>
      </c>
      <c r="G530" s="426" t="str">
        <f t="shared" si="52"/>
        <v>DISTRIBUTION</v>
      </c>
      <c r="H530" s="427">
        <v>2.7299999999999998E-3</v>
      </c>
      <c r="I530" s="427">
        <v>2.7299999999999998E-3</v>
      </c>
      <c r="J530" s="427">
        <v>2.7299999999999998E-3</v>
      </c>
      <c r="K530" s="427">
        <v>2.7299999999999998E-3</v>
      </c>
      <c r="L530" s="427">
        <v>2.7299999999999998E-3</v>
      </c>
      <c r="M530" s="427">
        <v>3.2000000000000002E-3</v>
      </c>
      <c r="N530" s="427">
        <v>3.6800000000000001E-3</v>
      </c>
      <c r="O530" s="427">
        <v>3.6799999999999901E-3</v>
      </c>
      <c r="P530" s="427">
        <v>3.6799999999999901E-3</v>
      </c>
      <c r="Q530" s="427">
        <v>3.6799999999999901E-3</v>
      </c>
      <c r="R530" s="427">
        <v>3.6799999999999901E-3</v>
      </c>
      <c r="S530" s="427">
        <v>3.6799999999999901E-3</v>
      </c>
      <c r="T530" s="427">
        <v>3.6799999999999901E-3</v>
      </c>
      <c r="U530" s="427">
        <f t="shared" si="51"/>
        <v>3.9879999999999936E-2</v>
      </c>
    </row>
    <row r="531" spans="1:22" s="427" customFormat="1">
      <c r="A531" s="427" t="str">
        <f t="shared" si="53"/>
        <v>KU</v>
      </c>
      <c r="B531" s="427" t="str">
        <f t="shared" si="48"/>
        <v>KY</v>
      </c>
      <c r="C531" s="427" t="str">
        <f t="shared" si="49"/>
        <v>E</v>
      </c>
      <c r="D531" s="427" t="s">
        <v>3434</v>
      </c>
      <c r="E531" s="427" t="str">
        <f t="shared" si="50"/>
        <v>371</v>
      </c>
      <c r="F531" s="756" t="s">
        <v>2669</v>
      </c>
      <c r="G531" s="426" t="str">
        <f t="shared" si="52"/>
        <v>DISTRIBUTION</v>
      </c>
      <c r="H531" s="427">
        <v>0</v>
      </c>
      <c r="I531" s="427">
        <v>0</v>
      </c>
      <c r="J531" s="427">
        <v>0</v>
      </c>
      <c r="K531" s="427">
        <v>0</v>
      </c>
      <c r="L531" s="427">
        <v>0</v>
      </c>
      <c r="M531" s="427">
        <v>0</v>
      </c>
      <c r="N531" s="427">
        <v>0</v>
      </c>
      <c r="O531" s="427">
        <v>0.29410999999999998</v>
      </c>
      <c r="P531" s="427">
        <v>0.61700999999999995</v>
      </c>
      <c r="Q531" s="427">
        <v>0.67459000000000002</v>
      </c>
      <c r="R531" s="427">
        <v>0.73216999999999999</v>
      </c>
      <c r="S531" s="427">
        <v>0.78974</v>
      </c>
      <c r="T531" s="427">
        <v>0.98143999999999998</v>
      </c>
      <c r="U531" s="427">
        <f t="shared" si="51"/>
        <v>4.0890599999999999</v>
      </c>
    </row>
    <row r="532" spans="1:22" s="427" customFormat="1">
      <c r="A532" s="427" t="str">
        <f t="shared" si="53"/>
        <v>KU</v>
      </c>
      <c r="B532" s="427" t="str">
        <f t="shared" si="48"/>
        <v>KY</v>
      </c>
      <c r="C532" s="427" t="str">
        <f t="shared" si="49"/>
        <v>E</v>
      </c>
      <c r="D532" s="427" t="s">
        <v>3434</v>
      </c>
      <c r="E532" s="427" t="str">
        <f t="shared" si="50"/>
        <v>373</v>
      </c>
      <c r="F532" s="756" t="s">
        <v>1806</v>
      </c>
      <c r="G532" s="426" t="str">
        <f t="shared" si="52"/>
        <v>DISTRIBUTION</v>
      </c>
      <c r="H532" s="427">
        <v>389.64350000000002</v>
      </c>
      <c r="I532" s="427">
        <v>392.16296999999997</v>
      </c>
      <c r="J532" s="427">
        <v>394.57344999999998</v>
      </c>
      <c r="K532" s="427">
        <v>395.46406999999999</v>
      </c>
      <c r="L532" s="427">
        <v>397.03217999999998</v>
      </c>
      <c r="M532" s="427">
        <v>399.585659999999</v>
      </c>
      <c r="N532" s="427">
        <v>400.34447999999998</v>
      </c>
      <c r="O532" s="427">
        <v>401.59667999999999</v>
      </c>
      <c r="P532" s="427">
        <v>404.26802999999899</v>
      </c>
      <c r="Q532" s="427">
        <v>406.35878000000002</v>
      </c>
      <c r="R532" s="427">
        <v>408.22107999999997</v>
      </c>
      <c r="S532" s="427">
        <v>410.05635000000001</v>
      </c>
      <c r="T532" s="427">
        <v>411.79583000000002</v>
      </c>
      <c r="U532" s="427">
        <f t="shared" si="51"/>
        <v>4821.4595599999975</v>
      </c>
    </row>
    <row r="533" spans="1:22" s="427" customFormat="1">
      <c r="A533" s="427" t="str">
        <f t="shared" si="53"/>
        <v>KU</v>
      </c>
      <c r="B533" s="427" t="str">
        <f t="shared" si="48"/>
        <v>VA</v>
      </c>
      <c r="C533" s="427" t="str">
        <f t="shared" si="49"/>
        <v>E</v>
      </c>
      <c r="D533" s="427" t="s">
        <v>3434</v>
      </c>
      <c r="E533" s="427" t="str">
        <f t="shared" si="50"/>
        <v>373</v>
      </c>
      <c r="F533" s="756" t="s">
        <v>1807</v>
      </c>
      <c r="G533" s="426" t="str">
        <f t="shared" si="52"/>
        <v>DISTRIBUTION</v>
      </c>
      <c r="H533" s="427">
        <v>12.216760000000001</v>
      </c>
      <c r="I533" s="427">
        <v>12.257540000000001</v>
      </c>
      <c r="J533" s="427">
        <v>12.29354</v>
      </c>
      <c r="K533" s="427">
        <v>12.301270000000001</v>
      </c>
      <c r="L533" s="427">
        <v>12.328279999999999</v>
      </c>
      <c r="M533" s="427">
        <v>12.32846</v>
      </c>
      <c r="N533" s="427">
        <v>12.28964</v>
      </c>
      <c r="O533" s="427">
        <v>12.29603</v>
      </c>
      <c r="P533" s="427">
        <v>12.442130000000001</v>
      </c>
      <c r="Q533" s="427">
        <v>12.59958</v>
      </c>
      <c r="R533" s="427">
        <v>12.640370000000001</v>
      </c>
      <c r="S533" s="427">
        <v>12.679399999999999</v>
      </c>
      <c r="T533" s="427">
        <v>12.71837</v>
      </c>
      <c r="U533" s="427">
        <f t="shared" si="51"/>
        <v>149.17461</v>
      </c>
    </row>
    <row r="534" spans="1:22" s="427" customFormat="1">
      <c r="A534" s="427" t="str">
        <f t="shared" si="53"/>
        <v>KU</v>
      </c>
      <c r="B534" s="427" t="str">
        <f t="shared" si="48"/>
        <v>KY</v>
      </c>
      <c r="C534" s="427" t="str">
        <f t="shared" si="49"/>
        <v>E</v>
      </c>
      <c r="D534" s="427" t="s">
        <v>3434</v>
      </c>
      <c r="E534" s="427" t="str">
        <f t="shared" si="50"/>
        <v>374</v>
      </c>
      <c r="F534" s="756" t="s">
        <v>1808</v>
      </c>
      <c r="G534" s="426" t="str">
        <f t="shared" si="52"/>
        <v>DISTRIBUTION</v>
      </c>
      <c r="H534" s="427">
        <v>0.86818999999999902</v>
      </c>
      <c r="I534" s="427">
        <v>0.86819999999999997</v>
      </c>
      <c r="J534" s="427">
        <v>0.86819999999999997</v>
      </c>
      <c r="K534" s="427">
        <v>0.86819999999999997</v>
      </c>
      <c r="L534" s="427">
        <v>0.86818999999999902</v>
      </c>
      <c r="M534" s="427">
        <v>-8.9720599999999902</v>
      </c>
      <c r="N534" s="427">
        <v>10.0548</v>
      </c>
      <c r="O534" s="427">
        <v>0.86819000000000002</v>
      </c>
      <c r="P534" s="427">
        <v>0.86819000000000002</v>
      </c>
      <c r="Q534" s="427">
        <v>0.86819000000000002</v>
      </c>
      <c r="R534" s="427">
        <v>0.86819000000000002</v>
      </c>
      <c r="S534" s="427">
        <v>0.86819000000000002</v>
      </c>
      <c r="T534" s="427">
        <v>0.86819000000000002</v>
      </c>
      <c r="U534" s="427">
        <f t="shared" si="51"/>
        <v>9.7646700000000095</v>
      </c>
    </row>
    <row r="535" spans="1:22" s="427" customFormat="1">
      <c r="A535" s="427" t="str">
        <f t="shared" si="53"/>
        <v>KU</v>
      </c>
      <c r="B535" s="427" t="str">
        <f t="shared" ref="B535:B616" si="54">IF(MID($F535,12,2)="- ","KY",IF(MID($F535,12,2)="SY","KY",MID($F535,12,2)))</f>
        <v>KY</v>
      </c>
      <c r="C535" s="427" t="str">
        <f t="shared" si="49"/>
        <v>E</v>
      </c>
      <c r="D535" s="427" t="s">
        <v>3434</v>
      </c>
      <c r="E535" s="427" t="str">
        <f t="shared" si="50"/>
        <v>390</v>
      </c>
      <c r="F535" s="756" t="s">
        <v>1811</v>
      </c>
      <c r="G535" s="426" t="str">
        <f t="shared" si="52"/>
        <v>GENERAL</v>
      </c>
      <c r="H535" s="427">
        <v>4.9914099999999904</v>
      </c>
      <c r="I535" s="427">
        <v>5.1224099999999897</v>
      </c>
      <c r="J535" s="427">
        <v>5.1330600000000004</v>
      </c>
      <c r="K535" s="427">
        <v>5.4794999999999998</v>
      </c>
      <c r="L535" s="427">
        <v>5.8193999999999999</v>
      </c>
      <c r="M535" s="427">
        <v>5.8240299999999996</v>
      </c>
      <c r="N535" s="427">
        <v>5.8087799999999996</v>
      </c>
      <c r="O535" s="427">
        <v>5.7924499999999997</v>
      </c>
      <c r="P535" s="427">
        <v>5.8518100000000004</v>
      </c>
      <c r="Q535" s="427">
        <v>5.9117299999999897</v>
      </c>
      <c r="R535" s="427">
        <v>5.9117299999999897</v>
      </c>
      <c r="S535" s="427">
        <v>5.9117299999999897</v>
      </c>
      <c r="T535" s="427">
        <v>5.9117299999999897</v>
      </c>
      <c r="U535" s="427">
        <f t="shared" si="51"/>
        <v>68.478359999999952</v>
      </c>
    </row>
    <row r="536" spans="1:22" s="427" customFormat="1">
      <c r="A536" s="427" t="str">
        <f t="shared" si="53"/>
        <v>KU</v>
      </c>
      <c r="B536" s="427" t="str">
        <f t="shared" si="54"/>
        <v>KY</v>
      </c>
      <c r="C536" s="427" t="str">
        <f t="shared" si="49"/>
        <v>E</v>
      </c>
      <c r="D536" s="427" t="s">
        <v>3434</v>
      </c>
      <c r="E536" s="427" t="str">
        <f t="shared" si="50"/>
        <v>390</v>
      </c>
      <c r="F536" s="756" t="s">
        <v>1812</v>
      </c>
      <c r="G536" s="426" t="str">
        <f t="shared" si="52"/>
        <v>GENERAL</v>
      </c>
      <c r="H536" s="427">
        <v>119.43013999999999</v>
      </c>
      <c r="I536" s="427">
        <v>120.34556000000001</v>
      </c>
      <c r="J536" s="427">
        <v>121.17747</v>
      </c>
      <c r="K536" s="427">
        <v>122.90018000000001</v>
      </c>
      <c r="L536" s="427">
        <v>124.50291999999899</v>
      </c>
      <c r="M536" s="427">
        <v>124.99073</v>
      </c>
      <c r="N536" s="427">
        <v>125.13205000000001</v>
      </c>
      <c r="O536" s="427">
        <v>125.552819999999</v>
      </c>
      <c r="P536" s="427">
        <v>126.310109999999</v>
      </c>
      <c r="Q536" s="427">
        <v>126.83050999999899</v>
      </c>
      <c r="R536" s="427">
        <v>127.86218</v>
      </c>
      <c r="S536" s="427">
        <v>129.77780999999999</v>
      </c>
      <c r="T536" s="427">
        <v>131.52864</v>
      </c>
      <c r="U536" s="427">
        <f t="shared" si="51"/>
        <v>1506.9109799999962</v>
      </c>
    </row>
    <row r="537" spans="1:22" s="427" customFormat="1">
      <c r="A537" s="427" t="str">
        <f t="shared" si="53"/>
        <v>KU</v>
      </c>
      <c r="B537" s="427" t="str">
        <f t="shared" si="54"/>
        <v>VA</v>
      </c>
      <c r="C537" s="427" t="str">
        <f t="shared" si="49"/>
        <v>E</v>
      </c>
      <c r="D537" s="427" t="s">
        <v>3434</v>
      </c>
      <c r="E537" s="427" t="str">
        <f t="shared" si="50"/>
        <v>390</v>
      </c>
      <c r="F537" s="756" t="s">
        <v>1813</v>
      </c>
      <c r="G537" s="426" t="str">
        <f t="shared" si="52"/>
        <v>GENERAL</v>
      </c>
      <c r="H537" s="427">
        <v>2.1619599999999899</v>
      </c>
      <c r="I537" s="427">
        <v>2.1619599999999899</v>
      </c>
      <c r="J537" s="427">
        <v>2.1546699999999999</v>
      </c>
      <c r="K537" s="427">
        <v>2.1651199999999999</v>
      </c>
      <c r="L537" s="427">
        <v>2.1828599999999998</v>
      </c>
      <c r="M537" s="427">
        <v>2.1828599999999998</v>
      </c>
      <c r="N537" s="427">
        <v>2.1918199999999999</v>
      </c>
      <c r="O537" s="427">
        <v>2.20079</v>
      </c>
      <c r="P537" s="427">
        <v>2.2006299999999999</v>
      </c>
      <c r="Q537" s="427">
        <v>2.20047999999999</v>
      </c>
      <c r="R537" s="427">
        <v>2.20047999999999</v>
      </c>
      <c r="S537" s="427">
        <v>2.2391700000000001</v>
      </c>
      <c r="T537" s="427">
        <v>2.29049999999999</v>
      </c>
      <c r="U537" s="427">
        <f>SUM(I537:T537)</f>
        <v>26.371339999999964</v>
      </c>
    </row>
    <row r="538" spans="1:22" s="427" customFormat="1">
      <c r="A538" s="427" t="str">
        <f t="shared" si="53"/>
        <v>KU</v>
      </c>
      <c r="B538" s="427" t="str">
        <f t="shared" si="54"/>
        <v>KY</v>
      </c>
      <c r="C538" s="427" t="str">
        <f t="shared" si="49"/>
        <v>E</v>
      </c>
      <c r="D538" s="427" t="s">
        <v>3434</v>
      </c>
      <c r="E538" s="427" t="str">
        <f t="shared" si="50"/>
        <v>391</v>
      </c>
      <c r="F538" s="756" t="s">
        <v>1814</v>
      </c>
      <c r="G538" s="426" t="str">
        <f t="shared" si="52"/>
        <v>GENERAL</v>
      </c>
      <c r="H538" s="427">
        <v>95.442629999999994</v>
      </c>
      <c r="I538" s="427">
        <v>105.95296999999999</v>
      </c>
      <c r="J538" s="427">
        <v>115.80643999999999</v>
      </c>
      <c r="K538" s="427">
        <v>115.37768</v>
      </c>
      <c r="L538" s="427">
        <v>115.51138</v>
      </c>
      <c r="M538" s="427">
        <v>115.51369</v>
      </c>
      <c r="N538" s="427">
        <v>116.3262</v>
      </c>
      <c r="O538" s="427">
        <v>118.58736</v>
      </c>
      <c r="P538" s="427">
        <v>119.07107000000001</v>
      </c>
      <c r="Q538" s="427">
        <v>118.10615</v>
      </c>
      <c r="R538" s="427">
        <v>117.87325</v>
      </c>
      <c r="S538" s="427">
        <v>123.91394</v>
      </c>
      <c r="T538" s="427">
        <v>130.03730999999999</v>
      </c>
      <c r="U538" s="427">
        <f t="shared" si="51"/>
        <v>1412.0774399999998</v>
      </c>
    </row>
    <row r="539" spans="1:22" s="427" customFormat="1">
      <c r="A539" s="427" t="str">
        <f t="shared" si="53"/>
        <v>KU</v>
      </c>
      <c r="B539" s="427" t="str">
        <f t="shared" si="54"/>
        <v>KY</v>
      </c>
      <c r="C539" s="427" t="str">
        <f t="shared" ref="C539:C620" si="55">IF(ISTEXT(MID($F539,SEARCH("FUTURE USE",$F539),3)),"F",IF(MID($F539,7,1)="1","E",IF(MID($F539,7,1)="2","G",IF(MID($F539,7,1)="3","C",""))))</f>
        <v>E</v>
      </c>
      <c r="D539" s="427" t="s">
        <v>3434</v>
      </c>
      <c r="E539" s="427" t="str">
        <f t="shared" si="50"/>
        <v>391</v>
      </c>
      <c r="F539" s="756" t="s">
        <v>1815</v>
      </c>
      <c r="G539" s="426" t="str">
        <f t="shared" si="52"/>
        <v>GENERAL</v>
      </c>
      <c r="H539" s="427">
        <v>263.65890000000002</v>
      </c>
      <c r="I539" s="427">
        <v>282.04878000000002</v>
      </c>
      <c r="J539" s="427">
        <v>299.11712</v>
      </c>
      <c r="K539" s="427">
        <v>297.83463</v>
      </c>
      <c r="L539" s="427">
        <v>295.07535999999999</v>
      </c>
      <c r="M539" s="427">
        <v>289.57396999999997</v>
      </c>
      <c r="N539" s="427">
        <v>286.85104000000001</v>
      </c>
      <c r="O539" s="427">
        <v>286.47814</v>
      </c>
      <c r="P539" s="427">
        <v>287.71246000000002</v>
      </c>
      <c r="Q539" s="427">
        <v>295.30119000000002</v>
      </c>
      <c r="R539" s="427">
        <v>303.51031</v>
      </c>
      <c r="S539" s="427">
        <v>307.26898</v>
      </c>
      <c r="T539" s="427">
        <v>313.20787999999999</v>
      </c>
      <c r="U539" s="427">
        <f t="shared" si="51"/>
        <v>3543.9798599999999</v>
      </c>
    </row>
    <row r="540" spans="1:22" s="427" customFormat="1">
      <c r="A540" s="427" t="str">
        <f t="shared" si="53"/>
        <v>KU</v>
      </c>
      <c r="B540" s="427" t="str">
        <f t="shared" si="54"/>
        <v>KY</v>
      </c>
      <c r="C540" s="427" t="str">
        <f t="shared" si="55"/>
        <v>E</v>
      </c>
      <c r="D540" s="427" t="s">
        <v>3434</v>
      </c>
      <c r="E540" s="427" t="str">
        <f t="shared" si="50"/>
        <v>392</v>
      </c>
      <c r="F540" s="756" t="s">
        <v>1817</v>
      </c>
      <c r="G540" s="426" t="str">
        <f t="shared" si="52"/>
        <v>GENERAL</v>
      </c>
      <c r="H540" s="427">
        <v>0.34420000000000001</v>
      </c>
      <c r="I540" s="427">
        <v>0.34420999999999902</v>
      </c>
      <c r="J540" s="427">
        <v>0.1721</v>
      </c>
      <c r="K540" s="427">
        <v>0</v>
      </c>
      <c r="L540" s="427">
        <v>0</v>
      </c>
      <c r="M540" s="427">
        <v>0</v>
      </c>
      <c r="N540" s="427">
        <v>0</v>
      </c>
      <c r="O540" s="427">
        <v>3.1854604500000001E-2</v>
      </c>
      <c r="P540" s="427">
        <v>3.1854604500000001E-2</v>
      </c>
      <c r="Q540" s="427">
        <v>3.1854604500000001E-2</v>
      </c>
      <c r="R540" s="427">
        <v>3.1854604500000001E-2</v>
      </c>
      <c r="S540" s="427">
        <v>3.1854604500000001E-2</v>
      </c>
      <c r="T540" s="427">
        <v>3.1854604500000001E-2</v>
      </c>
      <c r="U540" s="427">
        <f t="shared" si="51"/>
        <v>0.70743762699999901</v>
      </c>
    </row>
    <row r="541" spans="1:22" s="427" customFormat="1">
      <c r="A541" s="427" t="str">
        <f t="shared" si="53"/>
        <v>KU</v>
      </c>
      <c r="B541" s="427" t="str">
        <f t="shared" si="54"/>
        <v>KY</v>
      </c>
      <c r="C541" s="427" t="str">
        <f t="shared" si="55"/>
        <v>E</v>
      </c>
      <c r="D541" s="427" t="s">
        <v>3434</v>
      </c>
      <c r="E541" s="427" t="str">
        <f t="shared" si="50"/>
        <v>392</v>
      </c>
      <c r="F541" s="756" t="s">
        <v>1818</v>
      </c>
      <c r="G541" s="426" t="str">
        <f t="shared" si="52"/>
        <v>GENERAL</v>
      </c>
      <c r="H541" s="427">
        <v>30.540600000000001</v>
      </c>
      <c r="I541" s="427">
        <v>17.759119999999999</v>
      </c>
      <c r="J541" s="427">
        <v>17.710539999999899</v>
      </c>
      <c r="K541" s="427">
        <v>17.66197</v>
      </c>
      <c r="L541" s="427">
        <v>17.66197</v>
      </c>
      <c r="M541" s="427">
        <v>17.85981</v>
      </c>
      <c r="N541" s="427">
        <v>18.074439999999999</v>
      </c>
      <c r="O541" s="427">
        <v>18.192340000000002</v>
      </c>
      <c r="P541" s="427">
        <v>18.29346</v>
      </c>
      <c r="Q541" s="427">
        <v>18.29346</v>
      </c>
      <c r="R541" s="427">
        <v>18.29346</v>
      </c>
      <c r="S541" s="427">
        <v>18.29346</v>
      </c>
      <c r="T541" s="427">
        <v>18.29346</v>
      </c>
      <c r="U541" s="427">
        <f t="shared" si="51"/>
        <v>216.38748999999993</v>
      </c>
      <c r="V541" s="428"/>
    </row>
    <row r="542" spans="1:22" s="427" customFormat="1">
      <c r="A542" s="427" t="str">
        <f t="shared" si="53"/>
        <v>KU</v>
      </c>
      <c r="B542" s="427" t="str">
        <f t="shared" si="54"/>
        <v>VA</v>
      </c>
      <c r="C542" s="427" t="str">
        <f t="shared" si="55"/>
        <v>E</v>
      </c>
      <c r="D542" s="427" t="s">
        <v>3434</v>
      </c>
      <c r="E542" s="427" t="str">
        <f t="shared" si="50"/>
        <v>392</v>
      </c>
      <c r="F542" s="756" t="s">
        <v>2507</v>
      </c>
      <c r="G542" s="426" t="str">
        <f t="shared" si="52"/>
        <v>GENERAL</v>
      </c>
      <c r="H542" s="427">
        <v>0</v>
      </c>
      <c r="I542" s="427">
        <v>0</v>
      </c>
      <c r="J542" s="427">
        <v>1.227E-2</v>
      </c>
      <c r="K542" s="427">
        <v>2.4539999999999999E-2</v>
      </c>
      <c r="L542" s="427">
        <v>2.4539999999999999E-2</v>
      </c>
      <c r="M542" s="427">
        <v>2.4539999999999999E-2</v>
      </c>
      <c r="N542" s="427">
        <v>2.4539999999999999E-2</v>
      </c>
      <c r="O542" s="427">
        <v>2.4539999999999999E-2</v>
      </c>
      <c r="P542" s="427">
        <v>2.4539999999999999E-2</v>
      </c>
      <c r="Q542" s="427">
        <v>2.4539999999999999E-2</v>
      </c>
      <c r="R542" s="427">
        <v>2.4539999999999999E-2</v>
      </c>
      <c r="S542" s="427">
        <v>2.4539999999999999E-2</v>
      </c>
      <c r="T542" s="427">
        <v>2.4539999999999999E-2</v>
      </c>
      <c r="U542" s="427">
        <f t="shared" si="51"/>
        <v>0.25767000000000001</v>
      </c>
    </row>
    <row r="543" spans="1:22" s="427" customFormat="1">
      <c r="A543" s="427" t="str">
        <f t="shared" si="53"/>
        <v>KU</v>
      </c>
      <c r="B543" s="427" t="str">
        <f t="shared" si="54"/>
        <v>KY</v>
      </c>
      <c r="C543" s="427" t="str">
        <f t="shared" si="55"/>
        <v>E</v>
      </c>
      <c r="D543" s="427" t="s">
        <v>3434</v>
      </c>
      <c r="E543" s="427" t="str">
        <f t="shared" si="50"/>
        <v>393</v>
      </c>
      <c r="F543" s="756" t="s">
        <v>1819</v>
      </c>
      <c r="G543" s="426" t="str">
        <f t="shared" si="52"/>
        <v>GENERAL</v>
      </c>
      <c r="H543" s="427">
        <v>3.3236300000000001</v>
      </c>
      <c r="I543" s="427">
        <v>3.3236300000000001</v>
      </c>
      <c r="J543" s="427">
        <v>3.4701599999999999</v>
      </c>
      <c r="K543" s="427">
        <v>3.6166900000000002</v>
      </c>
      <c r="L543" s="427">
        <v>3.6166900000000002</v>
      </c>
      <c r="M543" s="427">
        <v>3.4701599999999999</v>
      </c>
      <c r="N543" s="427">
        <v>3.3236300000000001</v>
      </c>
      <c r="O543" s="427">
        <v>3.3236300000000001</v>
      </c>
      <c r="P543" s="427">
        <v>3.3236300000000001</v>
      </c>
      <c r="Q543" s="427">
        <v>3.31107</v>
      </c>
      <c r="R543" s="427">
        <v>3.38842</v>
      </c>
      <c r="S543" s="427">
        <v>3.4783200000000001</v>
      </c>
      <c r="T543" s="427">
        <v>3.4783200000000001</v>
      </c>
      <c r="U543" s="427">
        <f>SUM(I543:T543)</f>
        <v>41.124349999999993</v>
      </c>
    </row>
    <row r="544" spans="1:22" s="427" customFormat="1">
      <c r="A544" s="427" t="str">
        <f t="shared" si="53"/>
        <v>KU</v>
      </c>
      <c r="B544" s="427" t="str">
        <f t="shared" si="54"/>
        <v>VA</v>
      </c>
      <c r="C544" s="427" t="str">
        <f t="shared" si="55"/>
        <v>E</v>
      </c>
      <c r="D544" s="427" t="s">
        <v>3434</v>
      </c>
      <c r="E544" s="427" t="str">
        <f t="shared" si="50"/>
        <v>393</v>
      </c>
      <c r="F544" s="756" t="s">
        <v>1820</v>
      </c>
      <c r="G544" s="426" t="str">
        <f t="shared" si="52"/>
        <v>GENERAL</v>
      </c>
      <c r="H544" s="427">
        <v>1.66E-2</v>
      </c>
      <c r="I544" s="427">
        <v>1.66E-2</v>
      </c>
      <c r="J544" s="427">
        <v>1.66E-2</v>
      </c>
      <c r="K544" s="427">
        <v>1.66E-2</v>
      </c>
      <c r="L544" s="427">
        <v>1.66E-2</v>
      </c>
      <c r="M544" s="427">
        <v>1.66E-2</v>
      </c>
      <c r="N544" s="427">
        <v>1.66E-2</v>
      </c>
      <c r="O544" s="427">
        <v>1.66E-2</v>
      </c>
      <c r="P544" s="427">
        <v>1.66E-2</v>
      </c>
      <c r="Q544" s="427">
        <v>9.9100000000000004E-3</v>
      </c>
      <c r="R544" s="427">
        <v>3.2100000000000002E-3</v>
      </c>
      <c r="S544" s="427">
        <v>3.2100000000000002E-3</v>
      </c>
      <c r="T544" s="427">
        <v>3.2100000000000002E-3</v>
      </c>
      <c r="U544" s="427">
        <f t="shared" si="51"/>
        <v>0.15233999999999998</v>
      </c>
    </row>
    <row r="545" spans="1:22" s="427" customFormat="1">
      <c r="A545" s="427" t="str">
        <f t="shared" si="53"/>
        <v>KU</v>
      </c>
      <c r="B545" s="427" t="str">
        <f t="shared" si="54"/>
        <v>KY</v>
      </c>
      <c r="C545" s="427" t="str">
        <f t="shared" si="55"/>
        <v>E</v>
      </c>
      <c r="D545" s="427" t="s">
        <v>3434</v>
      </c>
      <c r="E545" s="427" t="str">
        <f t="shared" si="50"/>
        <v>394</v>
      </c>
      <c r="F545" s="756" t="s">
        <v>1821</v>
      </c>
      <c r="G545" s="426" t="str">
        <f t="shared" si="52"/>
        <v>GENERAL</v>
      </c>
      <c r="H545" s="427">
        <v>42.948740000000001</v>
      </c>
      <c r="I545" s="427">
        <v>42.968940000000003</v>
      </c>
      <c r="J545" s="427">
        <v>43.000109999999999</v>
      </c>
      <c r="K545" s="427">
        <v>43.078879999999998</v>
      </c>
      <c r="L545" s="427">
        <v>43.197369999999999</v>
      </c>
      <c r="M545" s="427">
        <v>43.380379999999903</v>
      </c>
      <c r="N545" s="427">
        <v>44.109549999999999</v>
      </c>
      <c r="O545" s="427">
        <v>45.209400000000002</v>
      </c>
      <c r="P545" s="427">
        <v>46.165610000000001</v>
      </c>
      <c r="Q545" s="427">
        <v>46.837449999999997</v>
      </c>
      <c r="R545" s="427">
        <v>47.950809999999997</v>
      </c>
      <c r="S545" s="427">
        <v>48.874679999999998</v>
      </c>
      <c r="T545" s="427">
        <v>49.104489999999998</v>
      </c>
      <c r="U545" s="427">
        <f t="shared" si="51"/>
        <v>543.87766999999997</v>
      </c>
    </row>
    <row r="546" spans="1:22" s="427" customFormat="1">
      <c r="A546" s="427" t="str">
        <f t="shared" si="53"/>
        <v>KU</v>
      </c>
      <c r="B546" s="427" t="str">
        <f t="shared" si="54"/>
        <v>VA</v>
      </c>
      <c r="C546" s="427" t="str">
        <f t="shared" si="55"/>
        <v>E</v>
      </c>
      <c r="D546" s="427" t="s">
        <v>3434</v>
      </c>
      <c r="E546" s="427" t="str">
        <f t="shared" si="50"/>
        <v>394</v>
      </c>
      <c r="F546" s="756" t="s">
        <v>1822</v>
      </c>
      <c r="G546" s="426" t="str">
        <f t="shared" si="52"/>
        <v>GENERAL</v>
      </c>
      <c r="H546" s="427">
        <v>1.5980099999999999</v>
      </c>
      <c r="I546" s="427">
        <v>1.5980099999999999</v>
      </c>
      <c r="J546" s="427">
        <v>1.5980099999999999</v>
      </c>
      <c r="K546" s="427">
        <v>1.5980099999999999</v>
      </c>
      <c r="L546" s="427">
        <v>1.5980099999999999</v>
      </c>
      <c r="M546" s="427">
        <v>1.5980099999999999</v>
      </c>
      <c r="N546" s="427">
        <v>1.5980099999999999</v>
      </c>
      <c r="O546" s="427">
        <v>1.68618</v>
      </c>
      <c r="P546" s="427">
        <v>1.8352599999999999</v>
      </c>
      <c r="Q546" s="427">
        <v>1.8952800000000001</v>
      </c>
      <c r="R546" s="427">
        <v>1.9861</v>
      </c>
      <c r="S546" s="427">
        <v>2.0873699999999999</v>
      </c>
      <c r="T546" s="427">
        <v>2.09701</v>
      </c>
      <c r="U546" s="427">
        <f t="shared" si="51"/>
        <v>21.175260000000002</v>
      </c>
    </row>
    <row r="547" spans="1:22" s="427" customFormat="1">
      <c r="A547" s="427" t="str">
        <f t="shared" si="53"/>
        <v>KU</v>
      </c>
      <c r="B547" s="427" t="str">
        <f t="shared" si="54"/>
        <v>KY</v>
      </c>
      <c r="C547" s="427" t="str">
        <f t="shared" si="55"/>
        <v>E</v>
      </c>
      <c r="D547" s="427" t="s">
        <v>3434</v>
      </c>
      <c r="E547" s="427" t="str">
        <f t="shared" si="50"/>
        <v>396</v>
      </c>
      <c r="F547" s="756" t="s">
        <v>1823</v>
      </c>
      <c r="G547" s="426" t="str">
        <f t="shared" si="52"/>
        <v>GENERAL</v>
      </c>
      <c r="H547" s="427">
        <v>14.952439999999999</v>
      </c>
      <c r="I547" s="427">
        <v>6.56447</v>
      </c>
      <c r="J547" s="427">
        <v>4.7496499999999999</v>
      </c>
      <c r="K547" s="427">
        <v>2.9348399999999999</v>
      </c>
      <c r="L547" s="427">
        <v>2.9348399999999999</v>
      </c>
      <c r="M547" s="427">
        <v>2.9348399999999999</v>
      </c>
      <c r="N547" s="427">
        <v>2.9348399999999999</v>
      </c>
      <c r="O547" s="427">
        <v>2.9348399999999999</v>
      </c>
      <c r="P547" s="427">
        <v>2.9348399999999999</v>
      </c>
      <c r="Q547" s="427">
        <v>2.9348399999999999</v>
      </c>
      <c r="R547" s="427">
        <v>2.9348399999999999</v>
      </c>
      <c r="S547" s="427">
        <v>2.9348399999999999</v>
      </c>
      <c r="T547" s="427">
        <v>2.9348399999999999</v>
      </c>
      <c r="U547" s="427">
        <f t="shared" si="51"/>
        <v>40.662520000000008</v>
      </c>
    </row>
    <row r="548" spans="1:22" s="427" customFormat="1">
      <c r="A548" s="427" t="str">
        <f t="shared" si="53"/>
        <v>KU</v>
      </c>
      <c r="B548" s="427" t="str">
        <f t="shared" si="54"/>
        <v>KY</v>
      </c>
      <c r="C548" s="427" t="str">
        <f t="shared" si="55"/>
        <v>E</v>
      </c>
      <c r="D548" s="427" t="s">
        <v>3434</v>
      </c>
      <c r="E548" s="427" t="str">
        <f t="shared" si="50"/>
        <v>396</v>
      </c>
      <c r="F548" s="756" t="s">
        <v>2508</v>
      </c>
      <c r="G548" s="426" t="str">
        <f t="shared" si="52"/>
        <v>GENERAL</v>
      </c>
      <c r="H548" s="427">
        <v>0</v>
      </c>
      <c r="I548" s="427">
        <v>8.3879699999999993</v>
      </c>
      <c r="J548" s="427">
        <v>10.975949999999999</v>
      </c>
      <c r="K548" s="427">
        <v>13.563929999999999</v>
      </c>
      <c r="L548" s="427">
        <v>13.563929999999999</v>
      </c>
      <c r="M548" s="427">
        <v>13.6606399999999</v>
      </c>
      <c r="N548" s="427">
        <v>14.047779999999999</v>
      </c>
      <c r="O548" s="427">
        <v>14.77847</v>
      </c>
      <c r="P548" s="427">
        <v>15.21875</v>
      </c>
      <c r="Q548" s="427">
        <v>15.21875</v>
      </c>
      <c r="R548" s="427">
        <v>15.21875</v>
      </c>
      <c r="S548" s="427">
        <v>15.21875</v>
      </c>
      <c r="T548" s="427">
        <v>15.21875</v>
      </c>
      <c r="U548" s="427">
        <f t="shared" si="51"/>
        <v>165.07241999999991</v>
      </c>
    </row>
    <row r="549" spans="1:22" s="427" customFormat="1">
      <c r="A549" s="427" t="str">
        <f t="shared" si="53"/>
        <v>KU</v>
      </c>
      <c r="B549" s="427" t="str">
        <f t="shared" si="54"/>
        <v>VA</v>
      </c>
      <c r="C549" s="427" t="str">
        <f t="shared" si="55"/>
        <v>E</v>
      </c>
      <c r="D549" s="427" t="s">
        <v>3434</v>
      </c>
      <c r="E549" s="427" t="str">
        <f t="shared" si="50"/>
        <v>396</v>
      </c>
      <c r="F549" s="756" t="s">
        <v>1824</v>
      </c>
      <c r="G549" s="426" t="str">
        <f t="shared" si="52"/>
        <v>GENERAL</v>
      </c>
      <c r="H549" s="427">
        <v>1.3290599999999999</v>
      </c>
      <c r="I549" s="427">
        <v>0</v>
      </c>
      <c r="J549" s="427">
        <v>0</v>
      </c>
      <c r="K549" s="427">
        <v>0</v>
      </c>
      <c r="L549" s="427">
        <v>0</v>
      </c>
      <c r="M549" s="427">
        <v>0</v>
      </c>
      <c r="N549" s="427">
        <v>0</v>
      </c>
      <c r="O549" s="427">
        <v>0</v>
      </c>
      <c r="P549" s="427">
        <v>0</v>
      </c>
      <c r="Q549" s="427">
        <v>0</v>
      </c>
      <c r="R549" s="427">
        <v>0</v>
      </c>
      <c r="S549" s="427">
        <v>0</v>
      </c>
      <c r="T549" s="427">
        <v>0</v>
      </c>
      <c r="U549" s="427">
        <f t="shared" si="51"/>
        <v>0</v>
      </c>
    </row>
    <row r="550" spans="1:22" s="427" customFormat="1">
      <c r="A550" s="427" t="str">
        <f t="shared" si="53"/>
        <v>KU</v>
      </c>
      <c r="B550" s="427" t="str">
        <f t="shared" si="54"/>
        <v>VA</v>
      </c>
      <c r="C550" s="427" t="str">
        <f t="shared" si="55"/>
        <v>E</v>
      </c>
      <c r="D550" s="427" t="s">
        <v>3434</v>
      </c>
      <c r="E550" s="427" t="str">
        <f t="shared" si="50"/>
        <v>396</v>
      </c>
      <c r="F550" s="756" t="s">
        <v>2509</v>
      </c>
      <c r="G550" s="426" t="str">
        <f t="shared" si="52"/>
        <v>GENERAL</v>
      </c>
      <c r="H550" s="427">
        <v>0</v>
      </c>
      <c r="I550" s="427">
        <v>1.3290599999999999</v>
      </c>
      <c r="J550" s="427">
        <v>1.3290599999999999</v>
      </c>
      <c r="K550" s="427">
        <v>1.3290599999999999</v>
      </c>
      <c r="L550" s="427">
        <v>1.3290599999999999</v>
      </c>
      <c r="M550" s="427">
        <v>1.3290599999999999</v>
      </c>
      <c r="N550" s="427">
        <v>1.3290599999999999</v>
      </c>
      <c r="O550" s="427">
        <v>1.3290599999999999</v>
      </c>
      <c r="P550" s="427">
        <v>1.3290599999999999</v>
      </c>
      <c r="Q550" s="427">
        <v>1.3290599999999999</v>
      </c>
      <c r="R550" s="427">
        <v>1.3290599999999999</v>
      </c>
      <c r="S550" s="427">
        <v>1.3290599999999999</v>
      </c>
      <c r="T550" s="427">
        <v>1.3290599999999999</v>
      </c>
      <c r="U550" s="427">
        <f t="shared" si="51"/>
        <v>15.94872</v>
      </c>
    </row>
    <row r="551" spans="1:22" s="427" customFormat="1">
      <c r="A551" s="427" t="str">
        <f t="shared" si="53"/>
        <v>KU</v>
      </c>
      <c r="B551" s="427" t="str">
        <f t="shared" si="54"/>
        <v>KY</v>
      </c>
      <c r="C551" s="427" t="str">
        <f t="shared" si="55"/>
        <v>E</v>
      </c>
      <c r="D551" s="427" t="s">
        <v>3434</v>
      </c>
      <c r="E551" s="427" t="str">
        <f t="shared" si="50"/>
        <v>397</v>
      </c>
      <c r="F551" s="756" t="s">
        <v>1825</v>
      </c>
      <c r="G551" s="426" t="str">
        <f t="shared" si="52"/>
        <v>GENERAL</v>
      </c>
      <c r="H551" s="427">
        <v>88.989959999999996</v>
      </c>
      <c r="I551" s="427">
        <v>89.0321</v>
      </c>
      <c r="J551" s="427">
        <v>89.079789999999903</v>
      </c>
      <c r="K551" s="427">
        <v>89.092939999999999</v>
      </c>
      <c r="L551" s="427">
        <v>89.104129999999998</v>
      </c>
      <c r="M551" s="427">
        <v>89.117599999999996</v>
      </c>
      <c r="N551" s="427">
        <v>89.153850000000006</v>
      </c>
      <c r="O551" s="427">
        <v>89.214886820000004</v>
      </c>
      <c r="P551" s="427">
        <v>89.269477089999995</v>
      </c>
      <c r="Q551" s="427">
        <v>89.936467980000003</v>
      </c>
      <c r="R551" s="427">
        <v>90.606068609999994</v>
      </c>
      <c r="S551" s="427">
        <v>90.661801940000004</v>
      </c>
      <c r="T551" s="427">
        <v>90.971017750000001</v>
      </c>
      <c r="U551" s="427">
        <f t="shared" si="51"/>
        <v>1075.2401301899999</v>
      </c>
    </row>
    <row r="552" spans="1:22" s="427" customFormat="1">
      <c r="A552" s="427" t="str">
        <f t="shared" si="53"/>
        <v>KU</v>
      </c>
      <c r="B552" s="427" t="str">
        <f t="shared" si="54"/>
        <v>KY</v>
      </c>
      <c r="C552" s="427" t="str">
        <f t="shared" si="55"/>
        <v>E</v>
      </c>
      <c r="D552" s="427" t="s">
        <v>3434</v>
      </c>
      <c r="E552" s="427" t="str">
        <f t="shared" ref="E552:E613" si="56">MID($F552,8,3)</f>
        <v>397</v>
      </c>
      <c r="F552" s="756" t="s">
        <v>1826</v>
      </c>
      <c r="G552" s="426" t="str">
        <f t="shared" si="52"/>
        <v>GENERAL</v>
      </c>
      <c r="H552" s="427">
        <v>291.11797000000001</v>
      </c>
      <c r="I552" s="427">
        <v>310.06205</v>
      </c>
      <c r="J552" s="427">
        <v>329.43826000000001</v>
      </c>
      <c r="K552" s="427">
        <v>329.44375000000002</v>
      </c>
      <c r="L552" s="427">
        <v>329.07988</v>
      </c>
      <c r="M552" s="427">
        <v>328.71222999999998</v>
      </c>
      <c r="N552" s="427">
        <v>329.39622000000003</v>
      </c>
      <c r="O552" s="427">
        <v>330.32409000000001</v>
      </c>
      <c r="P552" s="427">
        <v>330.85118999999997</v>
      </c>
      <c r="Q552" s="427">
        <v>331.13373000000001</v>
      </c>
      <c r="R552" s="427">
        <v>332.17975999999999</v>
      </c>
      <c r="S552" s="427">
        <v>336.72332999999998</v>
      </c>
      <c r="T552" s="427">
        <v>343.14193999999998</v>
      </c>
      <c r="U552" s="427">
        <f t="shared" si="51"/>
        <v>3960.4864299999999</v>
      </c>
      <c r="V552" s="428"/>
    </row>
    <row r="553" spans="1:22" s="427" customFormat="1">
      <c r="A553" s="427" t="str">
        <f t="shared" si="53"/>
        <v>KU</v>
      </c>
      <c r="B553" s="427" t="str">
        <f t="shared" si="54"/>
        <v>VA</v>
      </c>
      <c r="C553" s="427" t="str">
        <f t="shared" si="55"/>
        <v>E</v>
      </c>
      <c r="D553" s="427" t="s">
        <v>3434</v>
      </c>
      <c r="E553" s="427" t="str">
        <f t="shared" si="56"/>
        <v>397</v>
      </c>
      <c r="F553" s="756" t="s">
        <v>1827</v>
      </c>
      <c r="G553" s="426" t="str">
        <f t="shared" si="52"/>
        <v>GENERAL</v>
      </c>
      <c r="H553" s="427">
        <v>5.8953699999999998</v>
      </c>
      <c r="I553" s="427">
        <v>5.8953699999999998</v>
      </c>
      <c r="J553" s="427">
        <v>5.8953699999999998</v>
      </c>
      <c r="K553" s="427">
        <v>5.8953699999999998</v>
      </c>
      <c r="L553" s="427">
        <v>5.8953699999999998</v>
      </c>
      <c r="M553" s="427">
        <v>5.8953699999999998</v>
      </c>
      <c r="N553" s="427">
        <v>5.8953699999999998</v>
      </c>
      <c r="O553" s="427">
        <v>5.8953699999999998</v>
      </c>
      <c r="P553" s="427">
        <v>5.8953699999999998</v>
      </c>
      <c r="Q553" s="427">
        <v>5.8953699999999998</v>
      </c>
      <c r="R553" s="427">
        <v>5.8953699999999998</v>
      </c>
      <c r="S553" s="427">
        <v>5.8953699999999998</v>
      </c>
      <c r="T553" s="427">
        <v>5.8953699999999998</v>
      </c>
      <c r="U553" s="427">
        <f t="shared" si="51"/>
        <v>70.744439999999997</v>
      </c>
    </row>
    <row r="554" spans="1:22" s="427" customFormat="1">
      <c r="A554" s="427" t="str">
        <f t="shared" si="53"/>
        <v/>
      </c>
      <c r="B554" s="427" t="str">
        <f t="shared" si="54"/>
        <v/>
      </c>
      <c r="C554" s="427" t="str">
        <f t="shared" si="55"/>
        <v/>
      </c>
      <c r="D554" s="427" t="s">
        <v>3434</v>
      </c>
      <c r="E554" s="427" t="str">
        <f t="shared" si="56"/>
        <v/>
      </c>
      <c r="F554" s="758"/>
      <c r="G554" s="426" t="str">
        <f t="shared" si="52"/>
        <v/>
      </c>
    </row>
    <row r="555" spans="1:22" s="427" customFormat="1">
      <c r="A555" s="427" t="str">
        <f t="shared" si="53"/>
        <v>KY</v>
      </c>
      <c r="B555" s="427" t="str">
        <f t="shared" si="54"/>
        <v xml:space="preserve"> A</v>
      </c>
      <c r="C555" s="427" t="str">
        <f t="shared" si="55"/>
        <v/>
      </c>
      <c r="D555" s="427" t="s">
        <v>3434</v>
      </c>
      <c r="E555" s="427" t="str">
        <f t="shared" si="56"/>
        <v>lan</v>
      </c>
      <c r="F555" s="758" t="s">
        <v>1829</v>
      </c>
      <c r="G555" s="426" t="str">
        <f t="shared" si="52"/>
        <v/>
      </c>
      <c r="I555" s="427">
        <f t="shared" ref="I555:N555" si="57">SUM(I435:I554)</f>
        <v>24058.94128999997</v>
      </c>
      <c r="J555" s="427">
        <f t="shared" si="57"/>
        <v>24159.28564999998</v>
      </c>
      <c r="K555" s="427">
        <f t="shared" si="57"/>
        <v>24152.031569999981</v>
      </c>
      <c r="L555" s="427">
        <f t="shared" si="57"/>
        <v>27072.067589999984</v>
      </c>
      <c r="M555" s="427">
        <f t="shared" si="57"/>
        <v>24470.829359999992</v>
      </c>
      <c r="N555" s="427">
        <f t="shared" si="57"/>
        <v>24200.871729999999</v>
      </c>
      <c r="O555" s="427">
        <f t="shared" ref="O555:T555" si="58">SUM(O435:O554)</f>
        <v>24525.577791038279</v>
      </c>
      <c r="P555" s="427">
        <f t="shared" si="58"/>
        <v>24722.211160491483</v>
      </c>
      <c r="Q555" s="427">
        <f t="shared" si="58"/>
        <v>24852.538239594476</v>
      </c>
      <c r="R555" s="427">
        <f t="shared" si="58"/>
        <v>25004.687200242483</v>
      </c>
      <c r="S555" s="427">
        <f t="shared" si="58"/>
        <v>25179.601281618474</v>
      </c>
      <c r="T555" s="427">
        <f t="shared" si="58"/>
        <v>25402.359272029491</v>
      </c>
      <c r="U555" s="427">
        <f>SUM(I555:T555)</f>
        <v>297801.00213501457</v>
      </c>
    </row>
    <row r="556" spans="1:22" s="427" customFormat="1">
      <c r="A556" s="427" t="str">
        <f t="shared" si="53"/>
        <v xml:space="preserve">S </v>
      </c>
      <c r="B556" s="427" t="str">
        <f t="shared" si="54"/>
        <v>me</v>
      </c>
      <c r="C556" s="427" t="str">
        <f t="shared" si="55"/>
        <v/>
      </c>
      <c r="D556" s="427" t="s">
        <v>3434</v>
      </c>
      <c r="E556" s="427" t="str">
        <f t="shared" si="56"/>
        <v>jus</v>
      </c>
      <c r="F556" s="759" t="s">
        <v>1833</v>
      </c>
      <c r="G556" s="426" t="str">
        <f t="shared" si="52"/>
        <v/>
      </c>
      <c r="U556" s="427">
        <f>SUM(U435:U554)</f>
        <v>297801.00213501463</v>
      </c>
    </row>
    <row r="557" spans="1:22" s="427" customFormat="1">
      <c r="A557" s="427" t="str">
        <f t="shared" si="53"/>
        <v>KU</v>
      </c>
      <c r="B557" s="427" t="str">
        <f t="shared" si="54"/>
        <v>KY</v>
      </c>
      <c r="C557" s="427" t="str">
        <f t="shared" si="55"/>
        <v>E</v>
      </c>
      <c r="D557" s="427" t="s">
        <v>3434</v>
      </c>
      <c r="E557" s="427" t="str">
        <f t="shared" si="56"/>
        <v>340</v>
      </c>
      <c r="F557" s="758" t="s">
        <v>2198</v>
      </c>
      <c r="G557" s="426" t="str">
        <f t="shared" si="52"/>
        <v>OTHER</v>
      </c>
      <c r="I557" s="427">
        <v>-0.32195000000000001</v>
      </c>
      <c r="J557" s="427">
        <v>-0.32195000000000001</v>
      </c>
      <c r="K557" s="427">
        <v>-0.32195000000000001</v>
      </c>
      <c r="L557" s="427">
        <v>-0.32195000000000001</v>
      </c>
      <c r="M557" s="427">
        <v>-0.32195000000000001</v>
      </c>
      <c r="N557" s="427">
        <v>-0.32195000000000001</v>
      </c>
      <c r="O557" s="427">
        <v>-0.37698999999999999</v>
      </c>
      <c r="P557" s="427">
        <v>-0.43203999999999998</v>
      </c>
      <c r="Q557" s="427">
        <v>-0.43203999999999998</v>
      </c>
      <c r="R557" s="427">
        <v>-0.43203999999999998</v>
      </c>
      <c r="S557" s="427">
        <v>-0.43203999999999998</v>
      </c>
      <c r="T557" s="427">
        <v>-0.43203999999999998</v>
      </c>
      <c r="U557" s="427">
        <f t="shared" ref="U557:U570" si="59">SUM(I557:T557)</f>
        <v>-4.4688899999999991</v>
      </c>
    </row>
    <row r="558" spans="1:22" s="427" customFormat="1">
      <c r="A558" s="427" t="str">
        <f t="shared" si="53"/>
        <v>KU</v>
      </c>
      <c r="B558" s="427" t="str">
        <f t="shared" si="54"/>
        <v>KY</v>
      </c>
      <c r="C558" s="427" t="str">
        <f t="shared" si="55"/>
        <v>E</v>
      </c>
      <c r="D558" s="427" t="s">
        <v>3434</v>
      </c>
      <c r="E558" s="427" t="str">
        <f t="shared" si="56"/>
        <v>342</v>
      </c>
      <c r="F558" s="758" t="s">
        <v>2202</v>
      </c>
      <c r="G558" s="426" t="str">
        <f t="shared" si="52"/>
        <v>OTHER</v>
      </c>
      <c r="I558" s="427">
        <v>-115.848739999999</v>
      </c>
      <c r="J558" s="427">
        <v>-115.848739999999</v>
      </c>
      <c r="K558" s="427">
        <v>-115.848739999999</v>
      </c>
      <c r="L558" s="427">
        <v>-115.848739999999</v>
      </c>
      <c r="M558" s="427">
        <v>-115.848739999999</v>
      </c>
      <c r="N558" s="427">
        <v>-115.848739999999</v>
      </c>
      <c r="O558" s="427">
        <v>-115.848739999999</v>
      </c>
      <c r="P558" s="427">
        <v>-115.848739999999</v>
      </c>
      <c r="Q558" s="427">
        <v>-115.848739999999</v>
      </c>
      <c r="R558" s="427">
        <v>-116.14295</v>
      </c>
      <c r="S558" s="427">
        <v>-116.43714999999899</v>
      </c>
      <c r="T558" s="427">
        <v>-116.43714999999899</v>
      </c>
      <c r="U558" s="427">
        <f t="shared" si="59"/>
        <v>-1391.655909999989</v>
      </c>
    </row>
    <row r="559" spans="1:22" s="427" customFormat="1">
      <c r="A559" s="427" t="str">
        <f t="shared" si="53"/>
        <v>KU</v>
      </c>
      <c r="B559" s="427" t="str">
        <f t="shared" si="54"/>
        <v>KY</v>
      </c>
      <c r="C559" s="427" t="str">
        <f t="shared" si="55"/>
        <v>E</v>
      </c>
      <c r="D559" s="427" t="s">
        <v>3434</v>
      </c>
      <c r="E559" s="427" t="str">
        <f t="shared" si="56"/>
        <v>392</v>
      </c>
      <c r="F559" s="758" t="s">
        <v>1818</v>
      </c>
      <c r="G559" s="426" t="str">
        <f t="shared" si="52"/>
        <v>GENERAL</v>
      </c>
      <c r="I559" s="427">
        <v>-17.759119999999999</v>
      </c>
      <c r="J559" s="427">
        <v>-17.710539999999899</v>
      </c>
      <c r="K559" s="427">
        <v>-17.66197</v>
      </c>
      <c r="L559" s="427">
        <v>-17.66197</v>
      </c>
      <c r="M559" s="427">
        <v>-17.85981</v>
      </c>
      <c r="N559" s="427">
        <v>-18.074439999999999</v>
      </c>
      <c r="O559" s="427">
        <v>-18.192340000000002</v>
      </c>
      <c r="P559" s="427">
        <v>-18.29346</v>
      </c>
      <c r="Q559" s="427">
        <v>-18.29346</v>
      </c>
      <c r="R559" s="427">
        <v>-18.29346</v>
      </c>
      <c r="S559" s="427">
        <v>-18.29346</v>
      </c>
      <c r="T559" s="427">
        <v>-18.29346</v>
      </c>
      <c r="U559" s="427">
        <f>SUM(I559:T559)</f>
        <v>-216.38748999999993</v>
      </c>
    </row>
    <row r="560" spans="1:22" s="427" customFormat="1">
      <c r="A560" s="427" t="str">
        <f t="shared" si="53"/>
        <v>KU</v>
      </c>
      <c r="B560" s="427" t="str">
        <f t="shared" si="54"/>
        <v>VA</v>
      </c>
      <c r="C560" s="427" t="str">
        <f t="shared" si="55"/>
        <v>E</v>
      </c>
      <c r="D560" s="427" t="s">
        <v>3434</v>
      </c>
      <c r="E560" s="427" t="str">
        <f t="shared" si="56"/>
        <v>392</v>
      </c>
      <c r="F560" s="758" t="s">
        <v>2507</v>
      </c>
      <c r="G560" s="426" t="str">
        <f t="shared" si="52"/>
        <v>GENERAL</v>
      </c>
      <c r="I560" s="427">
        <v>0</v>
      </c>
      <c r="J560" s="427">
        <v>-1.227E-2</v>
      </c>
      <c r="K560" s="427">
        <v>-2.4539999999999999E-2</v>
      </c>
      <c r="L560" s="427">
        <v>-2.4539999999999999E-2</v>
      </c>
      <c r="M560" s="427">
        <v>-2.4539999999999999E-2</v>
      </c>
      <c r="N560" s="427">
        <v>-2.4539999999999999E-2</v>
      </c>
      <c r="O560" s="427">
        <v>-2.4539999999999999E-2</v>
      </c>
      <c r="P560" s="427">
        <v>-2.4539999999999999E-2</v>
      </c>
      <c r="Q560" s="427">
        <v>-2.4539999999999999E-2</v>
      </c>
      <c r="R560" s="427">
        <v>-2.4539999999999999E-2</v>
      </c>
      <c r="S560" s="427">
        <v>-2.4539999999999999E-2</v>
      </c>
      <c r="T560" s="427">
        <v>-2.4539999999999999E-2</v>
      </c>
      <c r="U560" s="427">
        <f t="shared" si="59"/>
        <v>-0.25767000000000001</v>
      </c>
    </row>
    <row r="561" spans="1:22" s="427" customFormat="1">
      <c r="A561" s="427" t="str">
        <f t="shared" si="53"/>
        <v>KU</v>
      </c>
      <c r="B561" s="427" t="str">
        <f t="shared" si="54"/>
        <v>KY</v>
      </c>
      <c r="C561" s="427" t="str">
        <f t="shared" si="55"/>
        <v>E</v>
      </c>
      <c r="D561" s="427" t="s">
        <v>3434</v>
      </c>
      <c r="E561" s="427" t="str">
        <f t="shared" si="56"/>
        <v>396</v>
      </c>
      <c r="F561" s="758" t="s">
        <v>2508</v>
      </c>
      <c r="G561" s="426" t="str">
        <f t="shared" si="52"/>
        <v>GENERAL</v>
      </c>
      <c r="I561" s="427">
        <v>-8.3879699999999993</v>
      </c>
      <c r="J561" s="427">
        <v>-10.975949999999999</v>
      </c>
      <c r="K561" s="427">
        <v>-13.563929999999999</v>
      </c>
      <c r="L561" s="427">
        <v>-13.563929999999999</v>
      </c>
      <c r="M561" s="427">
        <v>-13.6606399999999</v>
      </c>
      <c r="N561" s="427">
        <v>-14.047779999999999</v>
      </c>
      <c r="O561" s="427">
        <v>-14.77847</v>
      </c>
      <c r="P561" s="427">
        <v>-15.21875</v>
      </c>
      <c r="Q561" s="427">
        <v>-15.21875</v>
      </c>
      <c r="R561" s="427">
        <v>-15.21875</v>
      </c>
      <c r="S561" s="427">
        <v>-15.21875</v>
      </c>
      <c r="T561" s="427">
        <v>-15.21875</v>
      </c>
      <c r="U561" s="427">
        <f t="shared" si="59"/>
        <v>-165.07241999999991</v>
      </c>
    </row>
    <row r="562" spans="1:22" s="427" customFormat="1">
      <c r="A562" s="427" t="str">
        <f t="shared" si="53"/>
        <v>KU</v>
      </c>
      <c r="B562" s="427" t="str">
        <f t="shared" si="54"/>
        <v>VA</v>
      </c>
      <c r="C562" s="427" t="str">
        <f t="shared" si="55"/>
        <v>E</v>
      </c>
      <c r="D562" s="427" t="s">
        <v>3434</v>
      </c>
      <c r="E562" s="427" t="str">
        <f t="shared" si="56"/>
        <v>396</v>
      </c>
      <c r="F562" s="758" t="s">
        <v>2509</v>
      </c>
      <c r="G562" s="426" t="str">
        <f t="shared" si="52"/>
        <v>GENERAL</v>
      </c>
      <c r="I562" s="427">
        <v>-1.3290599999999999</v>
      </c>
      <c r="J562" s="427">
        <v>-1.3290599999999999</v>
      </c>
      <c r="K562" s="427">
        <v>-1.3290599999999999</v>
      </c>
      <c r="L562" s="427">
        <v>-1.3290599999999999</v>
      </c>
      <c r="M562" s="427">
        <v>-1.3290599999999999</v>
      </c>
      <c r="N562" s="427">
        <v>-1.3290599999999999</v>
      </c>
      <c r="O562" s="427">
        <v>-1.3290599999999999</v>
      </c>
      <c r="P562" s="427">
        <v>-1.3290599999999999</v>
      </c>
      <c r="Q562" s="427">
        <v>-1.3290599999999999</v>
      </c>
      <c r="R562" s="427">
        <v>-1.3290599999999999</v>
      </c>
      <c r="S562" s="427">
        <v>-1.3290599999999999</v>
      </c>
      <c r="T562" s="427">
        <v>-1.3290599999999999</v>
      </c>
      <c r="U562" s="427">
        <f t="shared" si="59"/>
        <v>-15.94872</v>
      </c>
      <c r="V562" s="428"/>
    </row>
    <row r="563" spans="1:22" s="427" customFormat="1">
      <c r="A563" s="427" t="str">
        <f t="shared" si="53"/>
        <v>KU</v>
      </c>
      <c r="B563" s="427" t="str">
        <f t="shared" si="54"/>
        <v>KY</v>
      </c>
      <c r="C563" s="427" t="str">
        <f t="shared" si="55"/>
        <v>E</v>
      </c>
      <c r="D563" s="427" t="s">
        <v>3434</v>
      </c>
      <c r="E563" s="427" t="str">
        <f t="shared" si="56"/>
        <v>317</v>
      </c>
      <c r="F563" s="758" t="s">
        <v>1741</v>
      </c>
      <c r="G563" s="426" t="str">
        <f t="shared" ref="G563:G568" si="60">IF(ISTEXT(MID($F563,SEARCH("HYDRO PRODUCTION",$F563),9)),"HYDRO",IF(ISTEXT(MID($F563,SEARCH("OTHER PRODUCTION",$F563),9)),"OTHER",IF(ISTEXT(MID($F563,SEARCH("STEAM PRODUCTION",$F563),9)),"STEAM",IF(ISTEXT(MID($F563,SEARCH("TRANSMISSION",$F563),9)),"TRANSMISSION",IF(ISTEXT(MID($F563,SEARCH("DISTRIBUTION",$F563),9)),"DISTRIBUTION",IF(ISTEXT(MID($F563,SEARCH("COMMON",$F563),9)),"COMMON",IF(ISTEXT(MID($F563,SEARCH("GENERAL",$F563),9)),"GENERAL",IF(ISTEXT(MID($F563,SEARCH("INTANGIBLE",$F563),9)),"INTANGIBLE",IF(ISTEXT(MID($F563,SEARCH("STORAGE",$F563),3)),"STORAGE","")))))))))</f>
        <v>STEAM</v>
      </c>
      <c r="I563" s="427">
        <v>-456.42653000000001</v>
      </c>
      <c r="J563" s="427">
        <v>-456.42655999999999</v>
      </c>
      <c r="K563" s="427">
        <v>-454.15208999999999</v>
      </c>
      <c r="L563" s="427">
        <v>-451.94018</v>
      </c>
      <c r="M563" s="427">
        <v>-451.94020999999998</v>
      </c>
      <c r="N563" s="427">
        <v>-453.11802999999998</v>
      </c>
      <c r="O563" s="427">
        <v>-451.94018000000102</v>
      </c>
      <c r="P563" s="427">
        <v>-451.94018000000102</v>
      </c>
      <c r="Q563" s="427">
        <v>-451.94018000000102</v>
      </c>
      <c r="R563" s="427">
        <v>-451.94018000000102</v>
      </c>
      <c r="S563" s="427">
        <v>-451.94018000000102</v>
      </c>
      <c r="T563" s="427">
        <v>-451.94018000000102</v>
      </c>
      <c r="U563" s="427">
        <f t="shared" si="59"/>
        <v>-5435.6446800000076</v>
      </c>
    </row>
    <row r="564" spans="1:22">
      <c r="A564" s="427" t="str">
        <f t="shared" si="53"/>
        <v>KU</v>
      </c>
      <c r="B564" s="427" t="str">
        <f t="shared" si="54"/>
        <v>KY</v>
      </c>
      <c r="C564" s="427" t="str">
        <f t="shared" si="55"/>
        <v>E</v>
      </c>
      <c r="D564" s="427" t="s">
        <v>3434</v>
      </c>
      <c r="E564" s="427" t="str">
        <f t="shared" si="56"/>
        <v>317</v>
      </c>
      <c r="F564" s="758" t="s">
        <v>2504</v>
      </c>
      <c r="G564" s="426" t="str">
        <f t="shared" si="60"/>
        <v>STEAM</v>
      </c>
      <c r="I564" s="427">
        <v>-906.54547000000002</v>
      </c>
      <c r="J564" s="427">
        <v>-906.54526999999996</v>
      </c>
      <c r="K564" s="427">
        <v>-903.48608000000002</v>
      </c>
      <c r="L564" s="427">
        <v>-3802.7905499999902</v>
      </c>
      <c r="M564" s="427">
        <v>-1177.0536399999901</v>
      </c>
      <c r="N564" s="427">
        <v>-849.63404000000003</v>
      </c>
      <c r="O564" s="427">
        <v>-1035.3629000000001</v>
      </c>
      <c r="P564" s="427">
        <v>-1035.3629000000001</v>
      </c>
      <c r="Q564" s="427">
        <v>-1035.3629000000001</v>
      </c>
      <c r="R564" s="427">
        <v>-1035.3629000000001</v>
      </c>
      <c r="S564" s="427">
        <v>-1035.3629000000001</v>
      </c>
      <c r="T564" s="427">
        <v>-1035.3629000000001</v>
      </c>
      <c r="U564" s="427">
        <f>SUM(I564:T564)</f>
        <v>-14758.232449999981</v>
      </c>
    </row>
    <row r="565" spans="1:22">
      <c r="A565" s="427" t="str">
        <f t="shared" si="53"/>
        <v>KU</v>
      </c>
      <c r="B565" s="427" t="str">
        <f t="shared" si="54"/>
        <v>KY</v>
      </c>
      <c r="C565" s="427" t="str">
        <f t="shared" si="55"/>
        <v>E</v>
      </c>
      <c r="D565" s="427" t="s">
        <v>3434</v>
      </c>
      <c r="E565" s="427" t="str">
        <f t="shared" si="56"/>
        <v>337</v>
      </c>
      <c r="F565" s="758" t="s">
        <v>1749</v>
      </c>
      <c r="G565" s="426" t="str">
        <f t="shared" si="60"/>
        <v>HYDRO</v>
      </c>
      <c r="I565" s="427">
        <v>-1.49068</v>
      </c>
      <c r="J565" s="427">
        <v>-1.49068</v>
      </c>
      <c r="K565" s="427">
        <v>-1.49068</v>
      </c>
      <c r="L565" s="427">
        <v>-1.49068</v>
      </c>
      <c r="M565" s="427">
        <v>-1.49068</v>
      </c>
      <c r="N565" s="427">
        <v>-1.49068</v>
      </c>
      <c r="O565" s="427">
        <v>-1.49068</v>
      </c>
      <c r="P565" s="427">
        <v>-1.49068</v>
      </c>
      <c r="Q565" s="427">
        <v>-1.49068</v>
      </c>
      <c r="R565" s="427">
        <v>-1.49068</v>
      </c>
      <c r="S565" s="427">
        <v>-1.49068</v>
      </c>
      <c r="T565" s="427">
        <v>-1.49068</v>
      </c>
      <c r="U565" s="427">
        <f>SUM(I565:T565)</f>
        <v>-17.888159999999999</v>
      </c>
    </row>
    <row r="566" spans="1:22">
      <c r="A566" s="427" t="str">
        <f t="shared" si="53"/>
        <v>KU</v>
      </c>
      <c r="B566" s="427" t="str">
        <f t="shared" si="54"/>
        <v>KY</v>
      </c>
      <c r="C566" s="427" t="str">
        <f t="shared" si="55"/>
        <v>E</v>
      </c>
      <c r="D566" s="427" t="s">
        <v>3434</v>
      </c>
      <c r="E566" s="427" t="str">
        <f t="shared" si="56"/>
        <v>347</v>
      </c>
      <c r="F566" s="758" t="s">
        <v>2210</v>
      </c>
      <c r="G566" s="426" t="str">
        <f t="shared" si="60"/>
        <v>OTHER</v>
      </c>
      <c r="I566" s="427">
        <v>-1.6791199999999999</v>
      </c>
      <c r="J566" s="427">
        <v>-1.6791199999999999</v>
      </c>
      <c r="K566" s="427">
        <v>-1.6791199999999999</v>
      </c>
      <c r="L566" s="427">
        <v>-1.6791199999999999</v>
      </c>
      <c r="M566" s="427">
        <v>-1.6791199999999999</v>
      </c>
      <c r="N566" s="427">
        <v>-1.6791199999999999</v>
      </c>
      <c r="O566" s="427">
        <v>-1.6791199999999999</v>
      </c>
      <c r="P566" s="427">
        <v>-1.6791199999999999</v>
      </c>
      <c r="Q566" s="427">
        <v>-1.6791199999999999</v>
      </c>
      <c r="R566" s="427">
        <v>-1.6791199999999999</v>
      </c>
      <c r="S566" s="427">
        <v>-1.6791199999999999</v>
      </c>
      <c r="T566" s="427">
        <v>-1.6791199999999999</v>
      </c>
      <c r="U566" s="427">
        <f>SUM(I566:T566)</f>
        <v>-20.149439999999998</v>
      </c>
    </row>
    <row r="567" spans="1:22">
      <c r="A567" s="427" t="str">
        <f t="shared" si="53"/>
        <v>KU</v>
      </c>
      <c r="B567" s="427" t="str">
        <f t="shared" si="54"/>
        <v>KY</v>
      </c>
      <c r="C567" s="427" t="str">
        <f t="shared" si="55"/>
        <v>E</v>
      </c>
      <c r="D567" s="427" t="s">
        <v>3434</v>
      </c>
      <c r="E567" s="427" t="str">
        <f t="shared" si="56"/>
        <v>359</v>
      </c>
      <c r="F567" s="758" t="s">
        <v>1776</v>
      </c>
      <c r="G567" s="426" t="str">
        <f t="shared" si="60"/>
        <v>TRANSMISSION</v>
      </c>
      <c r="I567" s="427">
        <v>-1.5926399999999901</v>
      </c>
      <c r="J567" s="427">
        <v>-1.5926399999999901</v>
      </c>
      <c r="K567" s="427">
        <v>-1.5926499999999999</v>
      </c>
      <c r="L567" s="427">
        <v>-1.5926399999999901</v>
      </c>
      <c r="M567" s="427">
        <v>-6.2831000000000001</v>
      </c>
      <c r="N567" s="427">
        <v>-1.57534</v>
      </c>
      <c r="O567" s="427">
        <v>-1.5926399999999901</v>
      </c>
      <c r="P567" s="427">
        <v>-1.5926399999999901</v>
      </c>
      <c r="Q567" s="427">
        <v>-1.5926399999999901</v>
      </c>
      <c r="R567" s="427">
        <v>-1.5926399999999901</v>
      </c>
      <c r="S567" s="427">
        <v>-1.5926399999999901</v>
      </c>
      <c r="T567" s="427">
        <v>-1.5926399999999901</v>
      </c>
      <c r="U567" s="427">
        <f t="shared" si="59"/>
        <v>-23.784849999999906</v>
      </c>
    </row>
    <row r="568" spans="1:22">
      <c r="A568" s="427" t="str">
        <f t="shared" si="53"/>
        <v>KU</v>
      </c>
      <c r="B568" s="427" t="str">
        <f t="shared" si="54"/>
        <v>KY</v>
      </c>
      <c r="C568" s="427" t="str">
        <f t="shared" si="55"/>
        <v>E</v>
      </c>
      <c r="D568" s="427" t="s">
        <v>3434</v>
      </c>
      <c r="E568" s="427" t="str">
        <f t="shared" si="56"/>
        <v>374</v>
      </c>
      <c r="F568" s="758" t="s">
        <v>1808</v>
      </c>
      <c r="G568" s="426" t="str">
        <f t="shared" si="60"/>
        <v>DISTRIBUTION</v>
      </c>
      <c r="I568" s="427">
        <v>-0.86819999999999997</v>
      </c>
      <c r="J568" s="427">
        <v>-0.86819999999999997</v>
      </c>
      <c r="K568" s="427">
        <v>-0.86819999999999997</v>
      </c>
      <c r="L568" s="427">
        <v>-0.86818999999999902</v>
      </c>
      <c r="M568" s="427">
        <v>8.9720599999999902</v>
      </c>
      <c r="N568" s="427">
        <v>-10.0548</v>
      </c>
      <c r="O568" s="427">
        <v>-0.86819000000000002</v>
      </c>
      <c r="P568" s="427">
        <v>-0.86819000000000002</v>
      </c>
      <c r="Q568" s="427">
        <v>-0.86819000000000002</v>
      </c>
      <c r="R568" s="427">
        <v>-0.86819000000000002</v>
      </c>
      <c r="S568" s="427">
        <v>-0.86819000000000002</v>
      </c>
      <c r="T568" s="427">
        <v>-0.86819000000000002</v>
      </c>
      <c r="U568" s="427">
        <f t="shared" si="59"/>
        <v>-9.7646700000000095</v>
      </c>
      <c r="V568" s="236"/>
    </row>
    <row r="569" spans="1:22">
      <c r="A569" s="427" t="str">
        <f t="shared" si="53"/>
        <v>us</v>
      </c>
      <c r="B569" s="427" t="str">
        <f t="shared" si="54"/>
        <v xml:space="preserve"> P</v>
      </c>
      <c r="C569" s="427" t="str">
        <f t="shared" si="55"/>
        <v/>
      </c>
      <c r="D569" s="427" t="s">
        <v>3434</v>
      </c>
      <c r="E569" s="427" t="str">
        <f t="shared" si="56"/>
        <v>d K</v>
      </c>
      <c r="F569" s="758" t="s">
        <v>1834</v>
      </c>
      <c r="I569" s="427">
        <f t="shared" ref="I569:N569" si="61">SUM(I555:I568)</f>
        <v>22546.691809999971</v>
      </c>
      <c r="J569" s="427">
        <f t="shared" si="61"/>
        <v>22644.484669999983</v>
      </c>
      <c r="K569" s="427">
        <f t="shared" si="61"/>
        <v>22640.012559999985</v>
      </c>
      <c r="L569" s="427">
        <f t="shared" si="61"/>
        <v>22662.956039999994</v>
      </c>
      <c r="M569" s="427">
        <f t="shared" si="61"/>
        <v>22692.309930000003</v>
      </c>
      <c r="N569" s="427">
        <f t="shared" si="61"/>
        <v>22733.673209999997</v>
      </c>
      <c r="O569" s="427">
        <v>22882.093941038278</v>
      </c>
      <c r="P569" s="427">
        <v>23078.130860491485</v>
      </c>
      <c r="Q569" s="427">
        <v>23208.457939594478</v>
      </c>
      <c r="R569" s="427">
        <v>23360.312690242481</v>
      </c>
      <c r="S569" s="427">
        <v>23534.932571618476</v>
      </c>
      <c r="T569" s="427">
        <v>23757.690562029493</v>
      </c>
      <c r="U569" s="427">
        <f t="shared" si="59"/>
        <v>275741.74678501463</v>
      </c>
    </row>
    <row r="570" spans="1:22">
      <c r="A570" s="427" t="str">
        <f t="shared" si="53"/>
        <v/>
      </c>
      <c r="B570" s="427" t="str">
        <f t="shared" si="54"/>
        <v/>
      </c>
      <c r="C570" s="427" t="str">
        <f t="shared" si="55"/>
        <v/>
      </c>
      <c r="D570" s="427" t="s">
        <v>3434</v>
      </c>
      <c r="E570" s="427" t="str">
        <f t="shared" si="56"/>
        <v/>
      </c>
      <c r="I570" s="427">
        <v>22546.69181</v>
      </c>
      <c r="J570" s="427">
        <v>22644.484670000002</v>
      </c>
      <c r="K570" s="427">
        <v>22640.012559999999</v>
      </c>
      <c r="L570" s="427">
        <v>22662.956040000001</v>
      </c>
      <c r="M570" s="427">
        <v>22692.309929999989</v>
      </c>
      <c r="N570" s="427">
        <v>22733.673209999899</v>
      </c>
      <c r="O570" s="427">
        <v>22733.673209999899</v>
      </c>
      <c r="P570" s="427">
        <v>22733.673209999899</v>
      </c>
      <c r="Q570" s="427">
        <v>22733.673209999899</v>
      </c>
      <c r="R570" s="427">
        <v>22733.673209999899</v>
      </c>
      <c r="S570" s="427">
        <v>22733.673209999899</v>
      </c>
      <c r="T570" s="427">
        <v>22733.673209999899</v>
      </c>
      <c r="U570" s="427">
        <f t="shared" si="59"/>
        <v>272322.16747999925</v>
      </c>
    </row>
    <row r="571" spans="1:22">
      <c r="A571" s="427" t="str">
        <f t="shared" si="53"/>
        <v/>
      </c>
      <c r="B571" s="427" t="str">
        <f t="shared" si="54"/>
        <v/>
      </c>
      <c r="C571" s="427" t="str">
        <f t="shared" si="55"/>
        <v/>
      </c>
      <c r="D571" s="427" t="s">
        <v>3434</v>
      </c>
      <c r="E571" s="427" t="str">
        <f t="shared" si="56"/>
        <v/>
      </c>
      <c r="I571" s="427">
        <f>I569-I570</f>
        <v>-2.9103830456733704E-11</v>
      </c>
      <c r="J571" s="427">
        <f t="shared" ref="J571:N571" si="62">J569-J570</f>
        <v>0</v>
      </c>
      <c r="K571" s="427">
        <f t="shared" si="62"/>
        <v>0</v>
      </c>
      <c r="L571" s="427">
        <f t="shared" si="62"/>
        <v>0</v>
      </c>
      <c r="M571" s="427">
        <f t="shared" si="62"/>
        <v>0</v>
      </c>
      <c r="N571" s="427">
        <f t="shared" si="62"/>
        <v>9.822542779147625E-11</v>
      </c>
      <c r="U571" s="427">
        <f>SUM(I571:T571)</f>
        <v>6.9121597334742546E-11</v>
      </c>
    </row>
    <row r="572" spans="1:22" s="427" customFormat="1">
      <c r="A572" s="427" t="str">
        <f t="shared" si="53"/>
        <v/>
      </c>
      <c r="B572" s="427" t="str">
        <f t="shared" si="54"/>
        <v/>
      </c>
      <c r="C572" s="427" t="str">
        <f t="shared" si="55"/>
        <v/>
      </c>
      <c r="D572" s="427" t="s">
        <v>3434</v>
      </c>
      <c r="E572" s="427" t="str">
        <f t="shared" si="56"/>
        <v/>
      </c>
      <c r="F572" s="758"/>
      <c r="G572" s="426"/>
    </row>
    <row r="573" spans="1:22" s="427" customFormat="1">
      <c r="A573" s="427" t="str">
        <f t="shared" si="53"/>
        <v/>
      </c>
      <c r="B573" s="427" t="str">
        <f t="shared" si="54"/>
        <v/>
      </c>
      <c r="C573" s="427" t="str">
        <f t="shared" si="55"/>
        <v/>
      </c>
      <c r="E573" s="427" t="str">
        <f t="shared" si="56"/>
        <v/>
      </c>
      <c r="F573" s="758"/>
      <c r="G573" s="426"/>
      <c r="U573" s="427">
        <f t="shared" si="51"/>
        <v>0</v>
      </c>
    </row>
    <row r="574" spans="1:22" s="427" customFormat="1">
      <c r="A574" s="427" t="str">
        <f t="shared" si="53"/>
        <v>ss</v>
      </c>
      <c r="B574" s="427" t="str">
        <f t="shared" si="54"/>
        <v xml:space="preserve"> F</v>
      </c>
      <c r="C574" s="427" t="str">
        <f t="shared" si="55"/>
        <v/>
      </c>
      <c r="E574" s="427" t="str">
        <f t="shared" si="56"/>
        <v>lan</v>
      </c>
      <c r="F574" s="759" t="s">
        <v>2544</v>
      </c>
      <c r="G574" s="426"/>
      <c r="U574" s="427">
        <f t="shared" si="51"/>
        <v>0</v>
      </c>
    </row>
    <row r="575" spans="1:22" s="427" customFormat="1">
      <c r="A575" s="427" t="str">
        <f t="shared" si="53"/>
        <v>KU</v>
      </c>
      <c r="B575" s="427" t="str">
        <f t="shared" si="54"/>
        <v>KY</v>
      </c>
      <c r="C575" s="427" t="str">
        <f t="shared" si="55"/>
        <v>E</v>
      </c>
      <c r="D575" s="427" t="s">
        <v>3435</v>
      </c>
      <c r="E575" s="427" t="str">
        <f t="shared" si="56"/>
        <v>311</v>
      </c>
      <c r="F575" s="756" t="s">
        <v>1732</v>
      </c>
      <c r="G575" s="426" t="str">
        <f t="shared" ref="G575:G631" si="63">IF(ISTEXT(MID($F575,SEARCH("FUTURE USE",$F575),3)),"FUTURE USE",IF(ISTEXT(MID($F575,SEARCH("ECR",$F575),3)),"ECR",IF(ISTEXT(MID($F575,SEARCH("ARO",$F575),3)),"ARO",IF(ISTEXT(MID($F575,SEARCH("DSM",$F575),3)),"DSM",""))))</f>
        <v/>
      </c>
      <c r="H575" s="427">
        <v>1882.47603</v>
      </c>
      <c r="I575" s="427">
        <v>1882.47603</v>
      </c>
      <c r="J575" s="427">
        <v>1882.47603</v>
      </c>
      <c r="K575" s="427">
        <v>1882.47603</v>
      </c>
      <c r="L575" s="427">
        <v>1882.47603</v>
      </c>
      <c r="M575" s="427">
        <v>1882.47603</v>
      </c>
      <c r="N575" s="427">
        <v>1882.47603</v>
      </c>
      <c r="O575" s="427">
        <v>1882.47603</v>
      </c>
      <c r="P575" s="427">
        <v>1882.47603</v>
      </c>
      <c r="Q575" s="427">
        <v>1882.47603</v>
      </c>
      <c r="R575" s="427">
        <v>1882.47603</v>
      </c>
      <c r="S575" s="427">
        <v>1882.47603</v>
      </c>
      <c r="T575" s="427">
        <v>1882.47603</v>
      </c>
    </row>
    <row r="576" spans="1:22" s="427" customFormat="1">
      <c r="A576" s="427" t="str">
        <f t="shared" si="53"/>
        <v>KU</v>
      </c>
      <c r="B576" s="427" t="str">
        <f t="shared" si="54"/>
        <v>KY</v>
      </c>
      <c r="C576" s="427" t="str">
        <f t="shared" si="55"/>
        <v>E</v>
      </c>
      <c r="D576" s="427" t="s">
        <v>3435</v>
      </c>
      <c r="E576" s="427" t="str">
        <f t="shared" si="56"/>
        <v>312</v>
      </c>
      <c r="F576" s="756" t="s">
        <v>1733</v>
      </c>
      <c r="G576" s="426" t="str">
        <f t="shared" si="63"/>
        <v/>
      </c>
      <c r="H576" s="427">
        <v>10087.53808</v>
      </c>
      <c r="I576" s="427">
        <v>10085.549639999999</v>
      </c>
      <c r="J576" s="427">
        <v>10076.09427</v>
      </c>
      <c r="K576" s="427">
        <v>10076.09427</v>
      </c>
      <c r="L576" s="427">
        <v>10076.09427</v>
      </c>
      <c r="M576" s="427">
        <v>10076.09427</v>
      </c>
      <c r="N576" s="427">
        <v>10076.09427</v>
      </c>
      <c r="O576" s="427">
        <v>10076.09427</v>
      </c>
      <c r="P576" s="427">
        <v>10076.09427</v>
      </c>
      <c r="Q576" s="427">
        <v>10076.09427</v>
      </c>
      <c r="R576" s="427">
        <v>10076.09427</v>
      </c>
      <c r="S576" s="427">
        <v>10076.09427</v>
      </c>
      <c r="T576" s="427">
        <v>10076.09427</v>
      </c>
    </row>
    <row r="577" spans="1:21" s="427" customFormat="1">
      <c r="A577" s="427" t="str">
        <f t="shared" si="53"/>
        <v>KU</v>
      </c>
      <c r="B577" s="427" t="str">
        <f t="shared" si="54"/>
        <v>KY</v>
      </c>
      <c r="C577" s="427" t="str">
        <f t="shared" si="55"/>
        <v>E</v>
      </c>
      <c r="D577" s="427" t="s">
        <v>3435</v>
      </c>
      <c r="E577" s="427" t="str">
        <f t="shared" si="56"/>
        <v>314</v>
      </c>
      <c r="F577" s="756" t="s">
        <v>1737</v>
      </c>
      <c r="G577" s="426" t="str">
        <f t="shared" si="63"/>
        <v/>
      </c>
      <c r="H577" s="427">
        <v>2805.7896999999998</v>
      </c>
      <c r="I577" s="427">
        <v>2805.7896999999998</v>
      </c>
      <c r="J577" s="427">
        <v>2805.7896999999998</v>
      </c>
      <c r="K577" s="427">
        <v>2805.7896999999998</v>
      </c>
      <c r="L577" s="427">
        <v>2805.7896999999998</v>
      </c>
      <c r="M577" s="427">
        <v>2805.7896999999998</v>
      </c>
      <c r="N577" s="427">
        <v>2805.7896999999998</v>
      </c>
      <c r="O577" s="427">
        <v>2805.7896999999998</v>
      </c>
      <c r="P577" s="427">
        <v>2805.7896999999998</v>
      </c>
      <c r="Q577" s="427">
        <v>2805.7896999999998</v>
      </c>
      <c r="R577" s="427">
        <v>2805.7896999999998</v>
      </c>
      <c r="S577" s="427">
        <v>2805.7896999999998</v>
      </c>
      <c r="T577" s="427">
        <v>2805.7896999999998</v>
      </c>
    </row>
    <row r="578" spans="1:21" s="427" customFormat="1">
      <c r="A578" s="427" t="str">
        <f t="shared" si="53"/>
        <v>KU</v>
      </c>
      <c r="B578" s="427" t="str">
        <f t="shared" si="54"/>
        <v>KY</v>
      </c>
      <c r="C578" s="427" t="str">
        <f t="shared" si="55"/>
        <v>E</v>
      </c>
      <c r="D578" s="427" t="s">
        <v>3435</v>
      </c>
      <c r="E578" s="427" t="str">
        <f t="shared" si="56"/>
        <v>315</v>
      </c>
      <c r="F578" s="756" t="s">
        <v>1738</v>
      </c>
      <c r="G578" s="426" t="str">
        <f t="shared" si="63"/>
        <v/>
      </c>
      <c r="H578" s="427">
        <v>1845.16904</v>
      </c>
      <c r="I578" s="427">
        <v>1845.16904</v>
      </c>
      <c r="J578" s="427">
        <v>1845.16904</v>
      </c>
      <c r="K578" s="427">
        <v>1845.16904</v>
      </c>
      <c r="L578" s="427">
        <v>1845.16904</v>
      </c>
      <c r="M578" s="427">
        <v>1845.16904</v>
      </c>
      <c r="N578" s="427">
        <v>1844.98704</v>
      </c>
      <c r="O578" s="427">
        <v>1844.98704</v>
      </c>
      <c r="P578" s="427">
        <v>1844.98704</v>
      </c>
      <c r="Q578" s="427">
        <v>1844.98704</v>
      </c>
      <c r="R578" s="427">
        <v>1844.98704</v>
      </c>
      <c r="S578" s="427">
        <v>1844.98704</v>
      </c>
      <c r="T578" s="427">
        <v>1844.98704</v>
      </c>
    </row>
    <row r="579" spans="1:21" s="427" customFormat="1">
      <c r="A579" s="427" t="str">
        <f t="shared" si="53"/>
        <v>KU</v>
      </c>
      <c r="B579" s="427" t="str">
        <f t="shared" si="54"/>
        <v>KY</v>
      </c>
      <c r="C579" s="427" t="str">
        <f t="shared" si="55"/>
        <v>E</v>
      </c>
      <c r="D579" s="427" t="s">
        <v>3435</v>
      </c>
      <c r="E579" s="427" t="str">
        <f t="shared" si="56"/>
        <v>316</v>
      </c>
      <c r="F579" s="756" t="s">
        <v>1740</v>
      </c>
      <c r="G579" s="426" t="str">
        <f t="shared" si="63"/>
        <v/>
      </c>
      <c r="H579" s="427">
        <v>173.32499000000001</v>
      </c>
      <c r="I579" s="427">
        <v>173.32499000000001</v>
      </c>
      <c r="J579" s="427">
        <v>173.32499000000001</v>
      </c>
      <c r="K579" s="427">
        <v>173.32499000000001</v>
      </c>
      <c r="L579" s="427">
        <v>173.32499000000001</v>
      </c>
      <c r="M579" s="427">
        <v>173.32499000000001</v>
      </c>
      <c r="N579" s="427">
        <v>173.32499000000001</v>
      </c>
      <c r="O579" s="427">
        <v>173.32499000000001</v>
      </c>
      <c r="P579" s="427">
        <v>173.32499000000001</v>
      </c>
      <c r="Q579" s="427">
        <v>173.32499000000001</v>
      </c>
      <c r="R579" s="427">
        <v>173.32499000000001</v>
      </c>
      <c r="S579" s="427">
        <v>173.32499000000001</v>
      </c>
      <c r="T579" s="427">
        <v>173.32499000000001</v>
      </c>
    </row>
    <row r="580" spans="1:21" s="427" customFormat="1">
      <c r="A580" s="427" t="str">
        <f t="shared" si="53"/>
        <v>KU</v>
      </c>
      <c r="B580" s="427" t="str">
        <f t="shared" si="54"/>
        <v>KY</v>
      </c>
      <c r="C580" s="427" t="str">
        <f t="shared" si="55"/>
        <v>E</v>
      </c>
      <c r="D580" s="427" t="s">
        <v>3435</v>
      </c>
      <c r="E580" s="427" t="str">
        <f t="shared" si="56"/>
        <v>335</v>
      </c>
      <c r="F580" s="756" t="s">
        <v>1747</v>
      </c>
      <c r="G580" s="426" t="str">
        <f t="shared" si="63"/>
        <v/>
      </c>
      <c r="H580" s="427">
        <v>0.82</v>
      </c>
      <c r="I580" s="427">
        <v>0.82</v>
      </c>
      <c r="J580" s="427">
        <v>0.82</v>
      </c>
      <c r="K580" s="427">
        <v>0.82</v>
      </c>
      <c r="L580" s="427">
        <v>0.82</v>
      </c>
      <c r="M580" s="427">
        <v>0.82</v>
      </c>
      <c r="N580" s="427">
        <v>0.82</v>
      </c>
      <c r="O580" s="427">
        <v>0.82</v>
      </c>
      <c r="P580" s="427">
        <v>0.82</v>
      </c>
      <c r="Q580" s="427">
        <v>0.82</v>
      </c>
      <c r="R580" s="427">
        <v>0.82</v>
      </c>
      <c r="S580" s="427">
        <v>0.82</v>
      </c>
      <c r="T580" s="427">
        <v>0.82</v>
      </c>
      <c r="U580" s="716"/>
    </row>
    <row r="581" spans="1:21" s="427" customFormat="1">
      <c r="A581" s="427" t="str">
        <f t="shared" si="53"/>
        <v>KU</v>
      </c>
      <c r="B581" s="427" t="str">
        <f t="shared" si="54"/>
        <v>KY</v>
      </c>
      <c r="C581" s="427" t="str">
        <f t="shared" si="55"/>
        <v>E</v>
      </c>
      <c r="D581" s="427" t="s">
        <v>3435</v>
      </c>
      <c r="E581" s="427" t="str">
        <f t="shared" si="56"/>
        <v>341</v>
      </c>
      <c r="F581" s="756" t="s">
        <v>1751</v>
      </c>
      <c r="G581" s="426" t="str">
        <f t="shared" si="63"/>
        <v/>
      </c>
      <c r="H581" s="427">
        <v>0.18792</v>
      </c>
      <c r="I581" s="427">
        <v>0.18792</v>
      </c>
      <c r="J581" s="427">
        <v>0.18792</v>
      </c>
      <c r="K581" s="427">
        <v>0.18792</v>
      </c>
      <c r="L581" s="427">
        <v>0.18792</v>
      </c>
      <c r="M581" s="427">
        <v>0.18792</v>
      </c>
      <c r="N581" s="427">
        <v>0.18792</v>
      </c>
      <c r="O581" s="427">
        <v>0.18792</v>
      </c>
      <c r="P581" s="427">
        <v>0.18792</v>
      </c>
      <c r="Q581" s="427">
        <v>0.18792</v>
      </c>
      <c r="R581" s="427">
        <v>0.18792</v>
      </c>
      <c r="S581" s="427">
        <v>0.18792</v>
      </c>
      <c r="T581" s="427">
        <v>0.18792</v>
      </c>
      <c r="U581" s="716"/>
    </row>
    <row r="582" spans="1:21" s="427" customFormat="1">
      <c r="A582" s="427" t="str">
        <f t="shared" si="53"/>
        <v>KU</v>
      </c>
      <c r="B582" s="427" t="str">
        <f t="shared" si="54"/>
        <v>KY</v>
      </c>
      <c r="C582" s="427" t="str">
        <f t="shared" si="55"/>
        <v>E</v>
      </c>
      <c r="D582" s="427" t="s">
        <v>3435</v>
      </c>
      <c r="E582" s="427" t="str">
        <f t="shared" si="56"/>
        <v>342</v>
      </c>
      <c r="F582" s="756" t="s">
        <v>1752</v>
      </c>
      <c r="G582" s="426" t="str">
        <f t="shared" si="63"/>
        <v/>
      </c>
      <c r="H582" s="427">
        <v>3.2500000000000001E-2</v>
      </c>
      <c r="I582" s="427">
        <v>3.2500000000000001E-2</v>
      </c>
      <c r="J582" s="427">
        <v>3.2500000000000001E-2</v>
      </c>
      <c r="K582" s="427">
        <v>3.2500000000000001E-2</v>
      </c>
      <c r="L582" s="427">
        <v>3.2500000000000001E-2</v>
      </c>
      <c r="M582" s="427">
        <v>3.2500000000000001E-2</v>
      </c>
      <c r="N582" s="427">
        <v>3.2500000000000001E-2</v>
      </c>
      <c r="O582" s="427">
        <v>3.2500000000000001E-2</v>
      </c>
      <c r="P582" s="427">
        <v>3.2500000000000001E-2</v>
      </c>
      <c r="Q582" s="427">
        <v>3.2500000000000001E-2</v>
      </c>
      <c r="R582" s="427">
        <v>3.2500000000000001E-2</v>
      </c>
      <c r="S582" s="427">
        <v>3.2500000000000001E-2</v>
      </c>
      <c r="T582" s="427">
        <v>3.2500000000000001E-2</v>
      </c>
      <c r="U582" s="716"/>
    </row>
    <row r="583" spans="1:21" s="427" customFormat="1">
      <c r="A583" s="427" t="str">
        <f t="shared" si="53"/>
        <v>KU</v>
      </c>
      <c r="B583" s="427" t="str">
        <f t="shared" si="54"/>
        <v>KY</v>
      </c>
      <c r="C583" s="427" t="str">
        <f t="shared" si="55"/>
        <v>E</v>
      </c>
      <c r="D583" s="427" t="s">
        <v>3435</v>
      </c>
      <c r="E583" s="427" t="str">
        <f t="shared" si="56"/>
        <v>343</v>
      </c>
      <c r="F583" s="756" t="s">
        <v>1753</v>
      </c>
      <c r="G583" s="426" t="str">
        <f t="shared" si="63"/>
        <v/>
      </c>
      <c r="H583" s="427">
        <v>1.1640900000000001</v>
      </c>
      <c r="I583" s="761">
        <v>1.1640900000000001</v>
      </c>
      <c r="J583" s="716">
        <v>1.1640900000000001</v>
      </c>
      <c r="K583" s="716">
        <v>1.1640900000000001</v>
      </c>
      <c r="L583" s="716">
        <v>1.1640900000000001</v>
      </c>
      <c r="M583" s="716">
        <v>1.1640900000000001</v>
      </c>
      <c r="N583" s="716">
        <v>1.1640900000000001</v>
      </c>
      <c r="O583" s="716">
        <v>1.1640900000000001</v>
      </c>
      <c r="P583" s="716">
        <v>1.1640900000000001</v>
      </c>
      <c r="Q583" s="716">
        <v>1.1640900000000001</v>
      </c>
      <c r="R583" s="716">
        <v>1.1640900000000001</v>
      </c>
      <c r="S583" s="716">
        <v>1.1640900000000001</v>
      </c>
      <c r="T583" s="716">
        <v>1.1640900000000001</v>
      </c>
      <c r="U583" s="716"/>
    </row>
    <row r="584" spans="1:21" s="427" customFormat="1">
      <c r="A584" s="427" t="str">
        <f t="shared" si="53"/>
        <v>KU</v>
      </c>
      <c r="B584" s="427" t="str">
        <f t="shared" si="54"/>
        <v>KY</v>
      </c>
      <c r="C584" s="427" t="str">
        <f t="shared" si="55"/>
        <v>E</v>
      </c>
      <c r="D584" s="427" t="s">
        <v>3435</v>
      </c>
      <c r="E584" s="427" t="str">
        <f t="shared" si="56"/>
        <v>344</v>
      </c>
      <c r="F584" s="756" t="s">
        <v>1754</v>
      </c>
      <c r="G584" s="426" t="str">
        <f t="shared" si="63"/>
        <v/>
      </c>
      <c r="H584" s="427">
        <v>0.29022999999999999</v>
      </c>
      <c r="I584" s="427">
        <v>0.29022999999999999</v>
      </c>
      <c r="J584" s="427">
        <v>0.29022999999999999</v>
      </c>
      <c r="K584" s="427">
        <v>0.29022999999999999</v>
      </c>
      <c r="L584" s="427">
        <v>0.29022999999999999</v>
      </c>
      <c r="M584" s="427">
        <v>0.29022999999999999</v>
      </c>
      <c r="N584" s="427">
        <v>0.29022999999999999</v>
      </c>
      <c r="O584" s="427">
        <v>0.29022999999999999</v>
      </c>
      <c r="P584" s="427">
        <v>0.29022999999999999</v>
      </c>
      <c r="Q584" s="427">
        <v>0.29022999999999999</v>
      </c>
      <c r="R584" s="427">
        <v>0.29022999999999999</v>
      </c>
      <c r="S584" s="427">
        <v>0.29022999999999999</v>
      </c>
      <c r="T584" s="427">
        <v>0.29022999999999999</v>
      </c>
    </row>
    <row r="585" spans="1:21" s="427" customFormat="1">
      <c r="A585" s="427" t="str">
        <f t="shared" si="53"/>
        <v>KU</v>
      </c>
      <c r="B585" s="427" t="str">
        <f t="shared" si="54"/>
        <v>KY</v>
      </c>
      <c r="C585" s="427" t="str">
        <f t="shared" si="55"/>
        <v>E</v>
      </c>
      <c r="D585" s="427" t="s">
        <v>3435</v>
      </c>
      <c r="E585" s="427" t="str">
        <f t="shared" si="56"/>
        <v>345</v>
      </c>
      <c r="F585" s="756" t="s">
        <v>1755</v>
      </c>
      <c r="G585" s="426" t="str">
        <f t="shared" si="63"/>
        <v/>
      </c>
      <c r="H585" s="427">
        <v>0.23452000000000001</v>
      </c>
      <c r="I585" s="427">
        <v>0.23452000000000001</v>
      </c>
      <c r="J585" s="427">
        <v>0.23452000000000001</v>
      </c>
      <c r="K585" s="427">
        <v>0.23452000000000001</v>
      </c>
      <c r="L585" s="427">
        <v>0.23452000000000001</v>
      </c>
      <c r="M585" s="427">
        <v>0.23452000000000001</v>
      </c>
      <c r="N585" s="427">
        <v>0.23452000000000001</v>
      </c>
      <c r="O585" s="427">
        <v>0.23452000000000001</v>
      </c>
      <c r="P585" s="427">
        <v>0.23452000000000001</v>
      </c>
      <c r="Q585" s="427">
        <v>0.23452000000000001</v>
      </c>
      <c r="R585" s="427">
        <v>0.23452000000000001</v>
      </c>
      <c r="S585" s="427">
        <v>0.23452000000000001</v>
      </c>
      <c r="T585" s="427">
        <v>0.23452000000000001</v>
      </c>
    </row>
    <row r="586" spans="1:21" s="427" customFormat="1">
      <c r="A586" s="427" t="str">
        <f t="shared" si="53"/>
        <v>KU</v>
      </c>
      <c r="B586" s="427" t="str">
        <f t="shared" si="54"/>
        <v>KY</v>
      </c>
      <c r="C586" s="427" t="str">
        <f t="shared" si="55"/>
        <v>E</v>
      </c>
      <c r="D586" s="427" t="s">
        <v>3435</v>
      </c>
      <c r="E586" s="427" t="str">
        <f t="shared" si="56"/>
        <v>346</v>
      </c>
      <c r="F586" s="756" t="s">
        <v>1756</v>
      </c>
      <c r="G586" s="426" t="str">
        <f t="shared" si="63"/>
        <v/>
      </c>
      <c r="H586" s="427">
        <v>2.5000000000000001E-2</v>
      </c>
      <c r="I586" s="427">
        <v>2.5000000000000001E-2</v>
      </c>
      <c r="J586" s="427">
        <v>2.5000000000000001E-2</v>
      </c>
      <c r="K586" s="427">
        <v>2.5000000000000001E-2</v>
      </c>
      <c r="L586" s="427">
        <v>2.5000000000000001E-2</v>
      </c>
      <c r="M586" s="427">
        <v>2.5000000000000001E-2</v>
      </c>
      <c r="N586" s="427">
        <v>2.5000000000000001E-2</v>
      </c>
      <c r="O586" s="427">
        <v>2.5000000000000001E-2</v>
      </c>
      <c r="P586" s="427">
        <v>2.5000000000000001E-2</v>
      </c>
      <c r="Q586" s="427">
        <v>2.5000000000000001E-2</v>
      </c>
      <c r="R586" s="427">
        <v>2.5000000000000001E-2</v>
      </c>
      <c r="S586" s="427">
        <v>2.5000000000000001E-2</v>
      </c>
      <c r="T586" s="427">
        <v>2.5000000000000001E-2</v>
      </c>
    </row>
    <row r="587" spans="1:21" s="427" customFormat="1">
      <c r="A587" s="427" t="str">
        <f t="shared" si="53"/>
        <v>KU</v>
      </c>
      <c r="B587" s="427" t="str">
        <f t="shared" si="54"/>
        <v>KY</v>
      </c>
      <c r="C587" s="427" t="str">
        <f t="shared" si="55"/>
        <v>E</v>
      </c>
      <c r="D587" s="427" t="s">
        <v>3435</v>
      </c>
      <c r="E587" s="427" t="str">
        <f t="shared" si="56"/>
        <v>350</v>
      </c>
      <c r="F587" s="756" t="s">
        <v>1757</v>
      </c>
      <c r="G587" s="426" t="str">
        <f t="shared" si="63"/>
        <v/>
      </c>
      <c r="H587" s="427">
        <v>76.67</v>
      </c>
      <c r="I587" s="427">
        <v>76.67</v>
      </c>
      <c r="J587" s="427">
        <v>76.67</v>
      </c>
      <c r="K587" s="427">
        <v>76.67</v>
      </c>
      <c r="L587" s="427">
        <v>76.67</v>
      </c>
      <c r="M587" s="427">
        <v>76.67</v>
      </c>
      <c r="N587" s="427">
        <v>76.67</v>
      </c>
      <c r="O587" s="427">
        <v>76.67</v>
      </c>
      <c r="P587" s="427">
        <v>76.67</v>
      </c>
      <c r="Q587" s="427">
        <v>76.67</v>
      </c>
      <c r="R587" s="427">
        <v>76.67</v>
      </c>
      <c r="S587" s="427">
        <v>76.67</v>
      </c>
      <c r="T587" s="427">
        <v>76.67</v>
      </c>
    </row>
    <row r="588" spans="1:21" s="427" customFormat="1">
      <c r="A588" s="427" t="str">
        <f t="shared" si="53"/>
        <v>KU</v>
      </c>
      <c r="B588" s="427" t="str">
        <f t="shared" si="54"/>
        <v>KY</v>
      </c>
      <c r="C588" s="427" t="str">
        <f t="shared" si="55"/>
        <v>E</v>
      </c>
      <c r="D588" s="427" t="s">
        <v>3435</v>
      </c>
      <c r="E588" s="427" t="str">
        <f t="shared" si="56"/>
        <v>352</v>
      </c>
      <c r="F588" s="756" t="s">
        <v>1761</v>
      </c>
      <c r="G588" s="426" t="str">
        <f t="shared" si="63"/>
        <v/>
      </c>
      <c r="H588" s="427">
        <v>72.907480000000007</v>
      </c>
      <c r="I588" s="427">
        <v>72.907480000000007</v>
      </c>
      <c r="J588" s="427">
        <v>72.907480000000007</v>
      </c>
      <c r="K588" s="427">
        <v>72.907480000000007</v>
      </c>
      <c r="L588" s="427">
        <v>72.901480000000006</v>
      </c>
      <c r="M588" s="427">
        <v>72.901480000000006</v>
      </c>
      <c r="N588" s="427">
        <v>72.901480000000006</v>
      </c>
      <c r="O588" s="427">
        <v>72.901480000000006</v>
      </c>
      <c r="P588" s="427">
        <v>72.901480000000006</v>
      </c>
      <c r="Q588" s="427">
        <v>72.901480000000006</v>
      </c>
      <c r="R588" s="427">
        <v>72.901480000000006</v>
      </c>
      <c r="S588" s="427">
        <v>72.901480000000006</v>
      </c>
      <c r="T588" s="427">
        <v>72.901480000000006</v>
      </c>
    </row>
    <row r="589" spans="1:21" s="427" customFormat="1">
      <c r="A589" s="427" t="str">
        <f t="shared" si="53"/>
        <v>KU</v>
      </c>
      <c r="B589" s="427" t="str">
        <f t="shared" si="54"/>
        <v>KY</v>
      </c>
      <c r="C589" s="427" t="str">
        <f t="shared" si="55"/>
        <v>E</v>
      </c>
      <c r="D589" s="427" t="s">
        <v>3435</v>
      </c>
      <c r="E589" s="427" t="str">
        <f t="shared" si="56"/>
        <v>353</v>
      </c>
      <c r="F589" s="756" t="s">
        <v>1763</v>
      </c>
      <c r="G589" s="426" t="str">
        <f t="shared" si="63"/>
        <v/>
      </c>
      <c r="H589" s="427">
        <v>556.73693000000003</v>
      </c>
      <c r="I589" s="427">
        <v>556.69893000000002</v>
      </c>
      <c r="J589" s="427">
        <v>554.56592999999998</v>
      </c>
      <c r="K589" s="427">
        <v>554.56592999999998</v>
      </c>
      <c r="L589" s="427">
        <v>539.86931000000004</v>
      </c>
      <c r="M589" s="427">
        <v>539.86931000000004</v>
      </c>
      <c r="N589" s="427">
        <v>539.84231</v>
      </c>
      <c r="O589" s="427">
        <v>539.84231</v>
      </c>
      <c r="P589" s="427">
        <v>539.84231</v>
      </c>
      <c r="Q589" s="427">
        <v>539.84231</v>
      </c>
      <c r="R589" s="427">
        <v>539.84231</v>
      </c>
      <c r="S589" s="427">
        <v>539.84231</v>
      </c>
      <c r="T589" s="427">
        <v>539.84231</v>
      </c>
    </row>
    <row r="590" spans="1:21">
      <c r="A590" s="427" t="str">
        <f t="shared" si="53"/>
        <v>KU</v>
      </c>
      <c r="B590" s="427" t="str">
        <f t="shared" si="54"/>
        <v>VA</v>
      </c>
      <c r="C590" s="427" t="str">
        <f t="shared" si="55"/>
        <v>E</v>
      </c>
      <c r="D590" s="427" t="s">
        <v>3435</v>
      </c>
      <c r="E590" s="427" t="str">
        <f t="shared" si="56"/>
        <v>353</v>
      </c>
      <c r="F590" s="756" t="s">
        <v>1765</v>
      </c>
      <c r="G590" s="426" t="str">
        <f t="shared" si="63"/>
        <v/>
      </c>
      <c r="H590" s="427">
        <v>2E-3</v>
      </c>
      <c r="I590" s="427">
        <v>2E-3</v>
      </c>
      <c r="J590" s="427">
        <v>2E-3</v>
      </c>
      <c r="K590" s="427">
        <v>2E-3</v>
      </c>
      <c r="L590" s="427">
        <v>2E-3</v>
      </c>
      <c r="M590" s="427">
        <v>2E-3</v>
      </c>
      <c r="N590" s="427">
        <v>2E-3</v>
      </c>
      <c r="O590" s="427">
        <v>2E-3</v>
      </c>
      <c r="P590" s="427">
        <v>2E-3</v>
      </c>
      <c r="Q590" s="427">
        <v>2E-3</v>
      </c>
      <c r="R590" s="427">
        <v>2E-3</v>
      </c>
      <c r="S590" s="427">
        <v>2E-3</v>
      </c>
      <c r="T590" s="427">
        <v>2E-3</v>
      </c>
    </row>
    <row r="591" spans="1:21">
      <c r="A591" s="427" t="str">
        <f t="shared" si="53"/>
        <v>KU</v>
      </c>
      <c r="B591" s="427" t="str">
        <f t="shared" si="54"/>
        <v>KY</v>
      </c>
      <c r="C591" s="427" t="str">
        <f t="shared" si="55"/>
        <v>E</v>
      </c>
      <c r="D591" s="427" t="s">
        <v>3435</v>
      </c>
      <c r="E591" s="427" t="str">
        <f t="shared" si="56"/>
        <v>354</v>
      </c>
      <c r="F591" s="756" t="s">
        <v>1766</v>
      </c>
      <c r="G591" s="426" t="str">
        <f t="shared" si="63"/>
        <v/>
      </c>
      <c r="H591" s="427">
        <v>842.03867000000002</v>
      </c>
      <c r="I591" s="427">
        <v>842.03867000000002</v>
      </c>
      <c r="J591" s="427">
        <v>842.03867000000002</v>
      </c>
      <c r="K591" s="427">
        <v>842.03867000000002</v>
      </c>
      <c r="L591" s="427">
        <v>842.03867000000002</v>
      </c>
      <c r="M591" s="427">
        <v>842.03867000000002</v>
      </c>
      <c r="N591" s="427">
        <v>842.03867000000002</v>
      </c>
      <c r="O591" s="427">
        <v>842.03867000000002</v>
      </c>
      <c r="P591" s="427">
        <v>842.03867000000002</v>
      </c>
      <c r="Q591" s="427">
        <v>842.03867000000002</v>
      </c>
      <c r="R591" s="427">
        <v>842.03867000000002</v>
      </c>
      <c r="S591" s="427">
        <v>842.03867000000002</v>
      </c>
      <c r="T591" s="427">
        <v>842.03867000000002</v>
      </c>
    </row>
    <row r="592" spans="1:21">
      <c r="A592" s="427" t="str">
        <f t="shared" si="53"/>
        <v>KU</v>
      </c>
      <c r="B592" s="427" t="str">
        <f t="shared" si="54"/>
        <v>KY</v>
      </c>
      <c r="C592" s="427" t="str">
        <f t="shared" si="55"/>
        <v>E</v>
      </c>
      <c r="D592" s="427" t="s">
        <v>3435</v>
      </c>
      <c r="E592" s="427" t="str">
        <f t="shared" si="56"/>
        <v>355</v>
      </c>
      <c r="F592" s="756" t="s">
        <v>1768</v>
      </c>
      <c r="G592" s="426" t="str">
        <f t="shared" si="63"/>
        <v/>
      </c>
      <c r="H592" s="427">
        <v>239.48255</v>
      </c>
      <c r="I592" s="427">
        <v>239.48255</v>
      </c>
      <c r="J592" s="427">
        <v>238.75731999999999</v>
      </c>
      <c r="K592" s="427">
        <v>229.94239999999999</v>
      </c>
      <c r="L592" s="427">
        <v>229.94239999999999</v>
      </c>
      <c r="M592" s="427">
        <v>229.82731000000001</v>
      </c>
      <c r="N592" s="427">
        <v>229.75781000000001</v>
      </c>
      <c r="O592" s="427">
        <v>229.75781000000001</v>
      </c>
      <c r="P592" s="427">
        <v>229.75781000000001</v>
      </c>
      <c r="Q592" s="427">
        <v>229.75781000000001</v>
      </c>
      <c r="R592" s="427">
        <v>229.75781000000001</v>
      </c>
      <c r="S592" s="427">
        <v>229.75781000000001</v>
      </c>
      <c r="T592" s="427">
        <v>229.75781000000001</v>
      </c>
    </row>
    <row r="593" spans="1:20">
      <c r="A593" s="427" t="str">
        <f t="shared" si="53"/>
        <v>KU</v>
      </c>
      <c r="B593" s="427" t="str">
        <f t="shared" si="54"/>
        <v>KY</v>
      </c>
      <c r="C593" s="427" t="str">
        <f t="shared" si="55"/>
        <v>E</v>
      </c>
      <c r="D593" s="427" t="s">
        <v>3435</v>
      </c>
      <c r="E593" s="427" t="str">
        <f t="shared" si="56"/>
        <v>356</v>
      </c>
      <c r="F593" s="756" t="s">
        <v>1771</v>
      </c>
      <c r="G593" s="426" t="str">
        <f t="shared" si="63"/>
        <v/>
      </c>
      <c r="H593" s="427">
        <v>1047.3654200000001</v>
      </c>
      <c r="I593" s="427">
        <v>1047.3654200000001</v>
      </c>
      <c r="J593" s="427">
        <v>1047.3640800000001</v>
      </c>
      <c r="K593" s="427">
        <v>1047.3640600000001</v>
      </c>
      <c r="L593" s="427">
        <v>1047.36384</v>
      </c>
      <c r="M593" s="427">
        <v>1047.29206</v>
      </c>
      <c r="N593" s="427">
        <v>1047.1483900000001</v>
      </c>
      <c r="O593" s="427">
        <v>1047.1483900000001</v>
      </c>
      <c r="P593" s="427">
        <v>1047.1483900000001</v>
      </c>
      <c r="Q593" s="427">
        <v>1047.1483900000001</v>
      </c>
      <c r="R593" s="427">
        <v>1047.1483900000001</v>
      </c>
      <c r="S593" s="427">
        <v>1047.1483900000001</v>
      </c>
      <c r="T593" s="427">
        <v>1047.1483900000001</v>
      </c>
    </row>
    <row r="594" spans="1:20">
      <c r="A594" s="427" t="str">
        <f t="shared" si="53"/>
        <v>KU</v>
      </c>
      <c r="B594" s="427" t="str">
        <f t="shared" si="54"/>
        <v>KY</v>
      </c>
      <c r="C594" s="427" t="str">
        <f t="shared" si="55"/>
        <v>E</v>
      </c>
      <c r="D594" s="427" t="s">
        <v>3435</v>
      </c>
      <c r="E594" s="427" t="str">
        <f t="shared" si="56"/>
        <v>357</v>
      </c>
      <c r="F594" s="756" t="s">
        <v>1774</v>
      </c>
      <c r="G594" s="426" t="str">
        <f t="shared" si="63"/>
        <v/>
      </c>
      <c r="H594" s="427">
        <v>0.27500000000000002</v>
      </c>
      <c r="I594" s="427">
        <v>0.27500000000000002</v>
      </c>
      <c r="J594" s="427">
        <v>0.27500000000000002</v>
      </c>
      <c r="K594" s="427">
        <v>0.27500000000000002</v>
      </c>
      <c r="L594" s="427">
        <v>0.27500000000000002</v>
      </c>
      <c r="M594" s="427">
        <v>0.27500000000000002</v>
      </c>
      <c r="N594" s="427">
        <v>0.27500000000000002</v>
      </c>
      <c r="O594" s="427">
        <v>0.27500000000000002</v>
      </c>
      <c r="P594" s="427">
        <v>0.27500000000000002</v>
      </c>
      <c r="Q594" s="427">
        <v>0.27500000000000002</v>
      </c>
      <c r="R594" s="427">
        <v>0.27500000000000002</v>
      </c>
      <c r="S594" s="427">
        <v>0.27500000000000002</v>
      </c>
      <c r="T594" s="427">
        <v>0.27500000000000002</v>
      </c>
    </row>
    <row r="595" spans="1:20">
      <c r="A595" s="427" t="str">
        <f t="shared" si="53"/>
        <v>KU</v>
      </c>
      <c r="B595" s="427" t="str">
        <f t="shared" si="54"/>
        <v>KY</v>
      </c>
      <c r="C595" s="427" t="str">
        <f t="shared" si="55"/>
        <v>E</v>
      </c>
      <c r="D595" s="427" t="s">
        <v>3435</v>
      </c>
      <c r="E595" s="427" t="str">
        <f t="shared" si="56"/>
        <v>358</v>
      </c>
      <c r="F595" s="756" t="s">
        <v>1775</v>
      </c>
      <c r="G595" s="426" t="str">
        <f t="shared" si="63"/>
        <v/>
      </c>
      <c r="H595" s="427">
        <v>2.2109999999999999</v>
      </c>
      <c r="I595" s="427">
        <v>2.2109999999999999</v>
      </c>
      <c r="J595" s="427">
        <v>2.2109999999999999</v>
      </c>
      <c r="K595" s="427">
        <v>2.2109999999999999</v>
      </c>
      <c r="L595" s="427">
        <v>2.2109999999999999</v>
      </c>
      <c r="M595" s="427">
        <v>2.2109999999999999</v>
      </c>
      <c r="N595" s="427">
        <v>2.2109999999999999</v>
      </c>
      <c r="O595" s="427">
        <v>2.2109999999999999</v>
      </c>
      <c r="P595" s="427">
        <v>2.2109999999999999</v>
      </c>
      <c r="Q595" s="427">
        <v>2.2109999999999999</v>
      </c>
      <c r="R595" s="427">
        <v>2.2109999999999999</v>
      </c>
      <c r="S595" s="427">
        <v>2.2109999999999999</v>
      </c>
      <c r="T595" s="427">
        <v>2.2109999999999999</v>
      </c>
    </row>
    <row r="596" spans="1:20">
      <c r="A596" s="427" t="str">
        <f t="shared" si="53"/>
        <v>KY</v>
      </c>
      <c r="B596" s="427" t="str">
        <f t="shared" si="54"/>
        <v xml:space="preserve"> A</v>
      </c>
      <c r="C596" s="427" t="str">
        <f t="shared" si="55"/>
        <v/>
      </c>
      <c r="E596" s="427" t="str">
        <f t="shared" si="56"/>
        <v>lan</v>
      </c>
      <c r="F596" s="758" t="s">
        <v>1829</v>
      </c>
      <c r="G596" s="426" t="str">
        <f t="shared" si="63"/>
        <v/>
      </c>
      <c r="H596" s="427">
        <f>SUM(H575:H595)</f>
        <v>19634.741150000005</v>
      </c>
      <c r="I596" s="427">
        <f t="shared" ref="I596:N596" si="64">SUM(I575:I595)</f>
        <v>19632.714710000004</v>
      </c>
      <c r="J596" s="427">
        <f t="shared" si="64"/>
        <v>19620.399770000004</v>
      </c>
      <c r="K596" s="427">
        <f t="shared" si="64"/>
        <v>19611.584830000003</v>
      </c>
      <c r="L596" s="427">
        <f t="shared" si="64"/>
        <v>19596.881989999998</v>
      </c>
      <c r="M596" s="427">
        <f t="shared" si="64"/>
        <v>19596.69512</v>
      </c>
      <c r="N596" s="427">
        <f t="shared" si="64"/>
        <v>19596.272950000002</v>
      </c>
      <c r="O596" s="427">
        <v>19596.272950000002</v>
      </c>
      <c r="P596" s="427">
        <v>19596.272950000002</v>
      </c>
      <c r="Q596" s="427">
        <v>19596.272950000002</v>
      </c>
      <c r="R596" s="427">
        <v>19596.272950000002</v>
      </c>
      <c r="S596" s="427">
        <v>19596.272950000002</v>
      </c>
      <c r="T596" s="427">
        <v>19596.272950000002</v>
      </c>
    </row>
    <row r="597" spans="1:20">
      <c r="A597" s="427" t="str">
        <f t="shared" si="53"/>
        <v/>
      </c>
      <c r="B597" s="427" t="str">
        <f t="shared" si="54"/>
        <v/>
      </c>
      <c r="C597" s="427" t="str">
        <f t="shared" si="55"/>
        <v/>
      </c>
      <c r="E597" s="427" t="str">
        <f t="shared" si="56"/>
        <v/>
      </c>
      <c r="G597" s="426" t="str">
        <f t="shared" si="63"/>
        <v/>
      </c>
    </row>
    <row r="598" spans="1:20">
      <c r="A598" s="427" t="str">
        <f t="shared" si="53"/>
        <v>ss</v>
      </c>
      <c r="B598" s="427" t="str">
        <f t="shared" si="54"/>
        <v xml:space="preserve"> F</v>
      </c>
      <c r="C598" s="427" t="str">
        <f t="shared" si="55"/>
        <v/>
      </c>
      <c r="E598" s="427" t="str">
        <f t="shared" si="56"/>
        <v>lan</v>
      </c>
      <c r="F598" s="759" t="s">
        <v>2510</v>
      </c>
      <c r="G598" s="426" t="str">
        <f t="shared" si="63"/>
        <v/>
      </c>
    </row>
    <row r="599" spans="1:20">
      <c r="A599" s="427" t="str">
        <f t="shared" si="53"/>
        <v>KU</v>
      </c>
      <c r="B599" s="427" t="str">
        <f t="shared" si="54"/>
        <v>KY</v>
      </c>
      <c r="C599" s="427" t="str">
        <f t="shared" si="55"/>
        <v>E</v>
      </c>
      <c r="D599" s="427" t="s">
        <v>3436</v>
      </c>
      <c r="E599" s="427" t="str">
        <f t="shared" si="56"/>
        <v>311</v>
      </c>
      <c r="F599" s="756" t="s">
        <v>2193</v>
      </c>
      <c r="G599" s="426" t="str">
        <f t="shared" si="63"/>
        <v>ECR</v>
      </c>
      <c r="H599" s="427">
        <v>0</v>
      </c>
      <c r="I599" s="427">
        <v>39.993479999999998</v>
      </c>
      <c r="J599" s="427">
        <v>39.993479999999998</v>
      </c>
      <c r="K599" s="427">
        <v>39.993479999999998</v>
      </c>
      <c r="L599" s="427">
        <v>39.993479999999998</v>
      </c>
      <c r="M599" s="427">
        <v>39.993479999999998</v>
      </c>
      <c r="N599" s="427">
        <v>39.993479999999998</v>
      </c>
      <c r="O599" s="427">
        <v>39.993479999999998</v>
      </c>
      <c r="P599" s="427">
        <v>39.993479999999998</v>
      </c>
      <c r="Q599" s="427">
        <v>39.993479999999998</v>
      </c>
      <c r="R599" s="427">
        <v>39.993479999999998</v>
      </c>
      <c r="S599" s="427">
        <v>39.993479999999998</v>
      </c>
      <c r="T599" s="427">
        <v>39.993479999999998</v>
      </c>
    </row>
    <row r="600" spans="1:20">
      <c r="A600" s="427" t="str">
        <f t="shared" si="53"/>
        <v>KU</v>
      </c>
      <c r="B600" s="427" t="str">
        <f t="shared" si="54"/>
        <v>KY</v>
      </c>
      <c r="C600" s="427" t="str">
        <f t="shared" si="55"/>
        <v>E</v>
      </c>
      <c r="D600" s="427" t="s">
        <v>3436</v>
      </c>
      <c r="E600" s="427" t="str">
        <f t="shared" si="56"/>
        <v>311</v>
      </c>
      <c r="F600" s="756" t="s">
        <v>1732</v>
      </c>
      <c r="G600" s="426" t="str">
        <f t="shared" si="63"/>
        <v/>
      </c>
      <c r="H600" s="427">
        <v>1707.91653</v>
      </c>
      <c r="I600" s="427">
        <v>1668.10751</v>
      </c>
      <c r="J600" s="427">
        <v>1668.10751</v>
      </c>
      <c r="K600" s="427">
        <v>1668.10751</v>
      </c>
      <c r="L600" s="427">
        <v>1668.10751</v>
      </c>
      <c r="M600" s="427">
        <v>1668.10751</v>
      </c>
      <c r="N600" s="427">
        <v>1668.10751</v>
      </c>
      <c r="O600" s="427">
        <v>1668.10751</v>
      </c>
      <c r="P600" s="427">
        <v>1668.10751</v>
      </c>
      <c r="Q600" s="427">
        <v>1668.10751</v>
      </c>
      <c r="R600" s="427">
        <v>1668.10751</v>
      </c>
      <c r="S600" s="427">
        <v>1668.10751</v>
      </c>
      <c r="T600" s="427">
        <v>1668.10751</v>
      </c>
    </row>
    <row r="601" spans="1:20">
      <c r="A601" s="427" t="str">
        <f t="shared" si="53"/>
        <v>KU</v>
      </c>
      <c r="B601" s="427" t="str">
        <f t="shared" si="54"/>
        <v>KY</v>
      </c>
      <c r="C601" s="427" t="str">
        <f t="shared" si="55"/>
        <v>E</v>
      </c>
      <c r="D601" s="427" t="s">
        <v>3436</v>
      </c>
      <c r="E601" s="427" t="str">
        <f t="shared" si="56"/>
        <v>312</v>
      </c>
      <c r="F601" s="756" t="s">
        <v>1733</v>
      </c>
      <c r="G601" s="426" t="str">
        <f t="shared" si="63"/>
        <v/>
      </c>
      <c r="H601" s="427">
        <v>20466.40207</v>
      </c>
      <c r="I601" s="427">
        <v>17820.666300000001</v>
      </c>
      <c r="J601" s="427">
        <v>17819.859229999998</v>
      </c>
      <c r="K601" s="427">
        <v>17819.859229999998</v>
      </c>
      <c r="L601" s="427">
        <v>17819.859229999998</v>
      </c>
      <c r="M601" s="427">
        <v>17819.859229999998</v>
      </c>
      <c r="N601" s="427">
        <v>17814.356110000001</v>
      </c>
      <c r="O601" s="427">
        <v>17814.356110000001</v>
      </c>
      <c r="P601" s="427">
        <v>17814.356110000001</v>
      </c>
      <c r="Q601" s="427">
        <v>17814.356110000001</v>
      </c>
      <c r="R601" s="427">
        <v>17814.356110000001</v>
      </c>
      <c r="S601" s="427">
        <v>17814.356110000001</v>
      </c>
      <c r="T601" s="427">
        <v>17814.356110000001</v>
      </c>
    </row>
    <row r="602" spans="1:20">
      <c r="A602" s="427" t="str">
        <f t="shared" si="53"/>
        <v>KU</v>
      </c>
      <c r="B602" s="427" t="str">
        <f t="shared" si="54"/>
        <v>KY</v>
      </c>
      <c r="C602" s="427" t="str">
        <f t="shared" si="55"/>
        <v>E</v>
      </c>
      <c r="D602" s="427" t="s">
        <v>3436</v>
      </c>
      <c r="E602" s="427" t="str">
        <f t="shared" si="56"/>
        <v>312</v>
      </c>
      <c r="F602" s="756" t="s">
        <v>1734</v>
      </c>
      <c r="G602" s="426" t="str">
        <f t="shared" si="63"/>
        <v>ECR</v>
      </c>
      <c r="H602" s="427">
        <v>0</v>
      </c>
      <c r="I602" s="427">
        <v>54.588720000000002</v>
      </c>
      <c r="J602" s="427">
        <v>54.588720000000002</v>
      </c>
      <c r="K602" s="427">
        <v>54.588720000000002</v>
      </c>
      <c r="L602" s="427">
        <v>54.588720000000002</v>
      </c>
      <c r="M602" s="427">
        <v>54.588720000000002</v>
      </c>
      <c r="N602" s="427">
        <v>54.588720000000002</v>
      </c>
      <c r="O602" s="427">
        <v>54.588720000000002</v>
      </c>
      <c r="P602" s="427">
        <v>54.588720000000002</v>
      </c>
      <c r="Q602" s="427">
        <v>54.588720000000002</v>
      </c>
      <c r="R602" s="427">
        <v>54.588720000000002</v>
      </c>
      <c r="S602" s="427">
        <v>54.588720000000002</v>
      </c>
      <c r="T602" s="427">
        <v>54.588720000000002</v>
      </c>
    </row>
    <row r="603" spans="1:20">
      <c r="A603" s="427" t="str">
        <f t="shared" si="53"/>
        <v>KU</v>
      </c>
      <c r="B603" s="427" t="str">
        <f t="shared" si="54"/>
        <v>KY</v>
      </c>
      <c r="C603" s="427" t="str">
        <f t="shared" si="55"/>
        <v>E</v>
      </c>
      <c r="D603" s="427" t="s">
        <v>3436</v>
      </c>
      <c r="E603" s="427" t="str">
        <f t="shared" si="56"/>
        <v>312</v>
      </c>
      <c r="F603" s="756" t="s">
        <v>1735</v>
      </c>
      <c r="G603" s="426" t="str">
        <f t="shared" si="63"/>
        <v>ECR</v>
      </c>
      <c r="H603" s="427">
        <v>0</v>
      </c>
      <c r="I603" s="427">
        <v>2589.31324</v>
      </c>
      <c r="J603" s="427">
        <v>2589.31324</v>
      </c>
      <c r="K603" s="427">
        <v>2589.31324</v>
      </c>
      <c r="L603" s="427">
        <v>2589.31324</v>
      </c>
      <c r="M603" s="427">
        <v>2589.31324</v>
      </c>
      <c r="N603" s="427">
        <v>2589.31324</v>
      </c>
      <c r="O603" s="427">
        <v>2589.31324</v>
      </c>
      <c r="P603" s="427">
        <v>2589.31324</v>
      </c>
      <c r="Q603" s="427">
        <v>2589.31324</v>
      </c>
      <c r="R603" s="427">
        <v>2589.31324</v>
      </c>
      <c r="S603" s="427">
        <v>2589.31324</v>
      </c>
      <c r="T603" s="427">
        <v>2589.31324</v>
      </c>
    </row>
    <row r="604" spans="1:20">
      <c r="A604" s="427" t="str">
        <f t="shared" ref="A604:A667" si="65">MID($F604,4,2)</f>
        <v>KU</v>
      </c>
      <c r="B604" s="427" t="str">
        <f t="shared" si="54"/>
        <v>KY</v>
      </c>
      <c r="C604" s="427" t="str">
        <f t="shared" si="55"/>
        <v>E</v>
      </c>
      <c r="D604" s="427" t="s">
        <v>3436</v>
      </c>
      <c r="E604" s="427" t="str">
        <f t="shared" si="56"/>
        <v>314</v>
      </c>
      <c r="F604" s="756" t="s">
        <v>1737</v>
      </c>
      <c r="G604" s="426" t="str">
        <f t="shared" si="63"/>
        <v/>
      </c>
      <c r="H604" s="427">
        <v>1245.2610999999999</v>
      </c>
      <c r="I604" s="427">
        <v>1245.2610999999999</v>
      </c>
      <c r="J604" s="427">
        <v>1245.2610999999999</v>
      </c>
      <c r="K604" s="427">
        <v>1245.2610999999999</v>
      </c>
      <c r="L604" s="427">
        <v>1245.2610999999999</v>
      </c>
      <c r="M604" s="427">
        <v>1245.2610999999999</v>
      </c>
      <c r="N604" s="427">
        <v>1245.2610999999999</v>
      </c>
      <c r="O604" s="427">
        <v>1245.2610999999999</v>
      </c>
      <c r="P604" s="427">
        <v>1245.2610999999999</v>
      </c>
      <c r="Q604" s="427">
        <v>1245.2610999999999</v>
      </c>
      <c r="R604" s="427">
        <v>1245.2610999999999</v>
      </c>
      <c r="S604" s="427">
        <v>1245.2610999999999</v>
      </c>
      <c r="T604" s="427">
        <v>1245.2610999999999</v>
      </c>
    </row>
    <row r="605" spans="1:20">
      <c r="A605" s="427" t="str">
        <f t="shared" si="65"/>
        <v>KU</v>
      </c>
      <c r="B605" s="427" t="str">
        <f t="shared" si="54"/>
        <v>KY</v>
      </c>
      <c r="C605" s="427" t="str">
        <f t="shared" si="55"/>
        <v>E</v>
      </c>
      <c r="D605" s="427" t="s">
        <v>3436</v>
      </c>
      <c r="E605" s="427" t="str">
        <f t="shared" si="56"/>
        <v>315</v>
      </c>
      <c r="F605" s="756" t="s">
        <v>1738</v>
      </c>
      <c r="G605" s="426" t="str">
        <f t="shared" si="63"/>
        <v/>
      </c>
      <c r="H605" s="427">
        <v>1085.1875700000001</v>
      </c>
      <c r="I605" s="427">
        <v>1021.18362</v>
      </c>
      <c r="J605" s="427">
        <v>1021.18362</v>
      </c>
      <c r="K605" s="427">
        <v>1021.18362</v>
      </c>
      <c r="L605" s="427">
        <v>1021.18362</v>
      </c>
      <c r="M605" s="427">
        <v>1021.18362</v>
      </c>
      <c r="N605" s="427">
        <v>1021.18362</v>
      </c>
      <c r="O605" s="427">
        <v>1021.18362</v>
      </c>
      <c r="P605" s="427">
        <v>1021.18362</v>
      </c>
      <c r="Q605" s="427">
        <v>1021.18362</v>
      </c>
      <c r="R605" s="427">
        <v>1021.18362</v>
      </c>
      <c r="S605" s="427">
        <v>1021.18362</v>
      </c>
      <c r="T605" s="427">
        <v>1021.18362</v>
      </c>
    </row>
    <row r="606" spans="1:20">
      <c r="A606" s="427" t="str">
        <f t="shared" si="65"/>
        <v>KU</v>
      </c>
      <c r="B606" s="427" t="str">
        <f t="shared" si="54"/>
        <v>KY</v>
      </c>
      <c r="C606" s="427" t="str">
        <f t="shared" si="55"/>
        <v>E</v>
      </c>
      <c r="D606" s="427" t="s">
        <v>3436</v>
      </c>
      <c r="E606" s="427" t="str">
        <f t="shared" si="56"/>
        <v>315</v>
      </c>
      <c r="F606" s="756" t="s">
        <v>1739</v>
      </c>
      <c r="G606" s="426" t="str">
        <f t="shared" si="63"/>
        <v>ECR</v>
      </c>
      <c r="H606" s="427">
        <v>0</v>
      </c>
      <c r="I606" s="427">
        <v>64.003950000000003</v>
      </c>
      <c r="J606" s="427">
        <v>64.003950000000003</v>
      </c>
      <c r="K606" s="427">
        <v>64.003950000000003</v>
      </c>
      <c r="L606" s="427">
        <v>64.003950000000003</v>
      </c>
      <c r="M606" s="427">
        <v>64.003950000000003</v>
      </c>
      <c r="N606" s="427">
        <v>64.003950000000003</v>
      </c>
      <c r="O606" s="427">
        <v>64.003950000000003</v>
      </c>
      <c r="P606" s="427">
        <v>64.003950000000003</v>
      </c>
      <c r="Q606" s="427">
        <v>64.003950000000003</v>
      </c>
      <c r="R606" s="427">
        <v>64.003950000000003</v>
      </c>
      <c r="S606" s="427">
        <v>64.003950000000003</v>
      </c>
      <c r="T606" s="716">
        <v>64.003950000000003</v>
      </c>
    </row>
    <row r="607" spans="1:20">
      <c r="A607" s="427" t="str">
        <f t="shared" si="65"/>
        <v>KU</v>
      </c>
      <c r="B607" s="427" t="str">
        <f t="shared" si="54"/>
        <v>KY</v>
      </c>
      <c r="C607" s="427" t="str">
        <f t="shared" si="55"/>
        <v>E</v>
      </c>
      <c r="D607" s="427" t="s">
        <v>3436</v>
      </c>
      <c r="E607" s="427" t="str">
        <f t="shared" si="56"/>
        <v>316</v>
      </c>
      <c r="F607" s="756" t="s">
        <v>1740</v>
      </c>
      <c r="G607" s="426" t="str">
        <f t="shared" si="63"/>
        <v/>
      </c>
      <c r="H607" s="427">
        <v>83.661209999999997</v>
      </c>
      <c r="I607" s="427">
        <v>83.661209999999997</v>
      </c>
      <c r="J607" s="427">
        <v>83.497619999999998</v>
      </c>
      <c r="K607" s="427">
        <v>83.497619999999998</v>
      </c>
      <c r="L607" s="427">
        <v>83.497619999999998</v>
      </c>
      <c r="M607" s="427">
        <v>83.497619999999998</v>
      </c>
      <c r="N607" s="427">
        <v>83.497619999999998</v>
      </c>
      <c r="O607" s="427">
        <v>83.497619999999998</v>
      </c>
      <c r="P607" s="427">
        <v>83.497619999999998</v>
      </c>
      <c r="Q607" s="427">
        <v>83.497619999999998</v>
      </c>
      <c r="R607" s="427">
        <v>83.497619999999998</v>
      </c>
      <c r="S607" s="427">
        <v>83.497619999999998</v>
      </c>
      <c r="T607" s="427">
        <v>83.497619999999998</v>
      </c>
    </row>
    <row r="608" spans="1:20">
      <c r="A608" s="427" t="str">
        <f t="shared" si="65"/>
        <v>KU</v>
      </c>
      <c r="B608" s="427" t="str">
        <f t="shared" si="54"/>
        <v>KY</v>
      </c>
      <c r="C608" s="427" t="str">
        <f t="shared" si="55"/>
        <v>E</v>
      </c>
      <c r="D608" s="427" t="s">
        <v>3436</v>
      </c>
      <c r="E608" s="427" t="str">
        <f t="shared" si="56"/>
        <v>332</v>
      </c>
      <c r="F608" s="756" t="s">
        <v>1744</v>
      </c>
      <c r="G608" s="426" t="str">
        <f t="shared" si="63"/>
        <v/>
      </c>
      <c r="H608" s="427">
        <v>42.95232</v>
      </c>
      <c r="I608" s="427">
        <v>42.95232</v>
      </c>
      <c r="J608" s="427">
        <v>42.95232</v>
      </c>
      <c r="K608" s="427">
        <v>42.95232</v>
      </c>
      <c r="L608" s="427">
        <v>42.95232</v>
      </c>
      <c r="M608" s="427">
        <v>42.95232</v>
      </c>
      <c r="N608" s="427">
        <v>42.95232</v>
      </c>
      <c r="O608" s="427">
        <v>42.95232</v>
      </c>
      <c r="P608" s="427">
        <v>42.95232</v>
      </c>
      <c r="Q608" s="427">
        <v>42.95232</v>
      </c>
      <c r="R608" s="427">
        <v>42.95232</v>
      </c>
      <c r="S608" s="427">
        <v>42.95232</v>
      </c>
      <c r="T608" s="427">
        <v>42.95232</v>
      </c>
    </row>
    <row r="609" spans="1:20">
      <c r="A609" s="427" t="str">
        <f t="shared" si="65"/>
        <v>KU</v>
      </c>
      <c r="B609" s="427" t="str">
        <f t="shared" si="54"/>
        <v>KY</v>
      </c>
      <c r="C609" s="427" t="str">
        <f t="shared" si="55"/>
        <v>E</v>
      </c>
      <c r="D609" s="427" t="s">
        <v>3436</v>
      </c>
      <c r="E609" s="427" t="str">
        <f t="shared" si="56"/>
        <v>333</v>
      </c>
      <c r="F609" s="756" t="s">
        <v>1745</v>
      </c>
      <c r="G609" s="426" t="str">
        <f t="shared" si="63"/>
        <v/>
      </c>
      <c r="H609" s="427">
        <v>58.5</v>
      </c>
      <c r="I609" s="427">
        <v>58.5</v>
      </c>
      <c r="J609" s="427">
        <v>58.5</v>
      </c>
      <c r="K609" s="427">
        <v>58.5</v>
      </c>
      <c r="L609" s="427">
        <v>58.5</v>
      </c>
      <c r="M609" s="427">
        <v>58.5</v>
      </c>
      <c r="N609" s="427">
        <v>58.5</v>
      </c>
      <c r="O609" s="427">
        <v>58.5</v>
      </c>
      <c r="P609" s="427">
        <v>58.5</v>
      </c>
      <c r="Q609" s="427">
        <v>58.5</v>
      </c>
      <c r="R609" s="427">
        <v>58.5</v>
      </c>
      <c r="S609" s="427">
        <v>58.5</v>
      </c>
      <c r="T609" s="427">
        <v>58.5</v>
      </c>
    </row>
    <row r="610" spans="1:20">
      <c r="A610" s="427" t="str">
        <f t="shared" si="65"/>
        <v>KU</v>
      </c>
      <c r="B610" s="427" t="str">
        <f t="shared" si="54"/>
        <v>KY</v>
      </c>
      <c r="C610" s="427" t="str">
        <f t="shared" si="55"/>
        <v>E</v>
      </c>
      <c r="D610" s="427" t="s">
        <v>3436</v>
      </c>
      <c r="E610" s="427" t="str">
        <f t="shared" si="56"/>
        <v>334</v>
      </c>
      <c r="F610" s="756" t="s">
        <v>1746</v>
      </c>
      <c r="G610" s="426" t="str">
        <f t="shared" si="63"/>
        <v/>
      </c>
      <c r="H610" s="427">
        <v>3.8844400000000001</v>
      </c>
      <c r="I610" s="427">
        <v>3.8844400000000001</v>
      </c>
      <c r="J610" s="427">
        <v>3.8844400000000001</v>
      </c>
      <c r="K610" s="427">
        <v>3.8844400000000001</v>
      </c>
      <c r="L610" s="427">
        <v>3.8844400000000001</v>
      </c>
      <c r="M610" s="427">
        <v>3.8844400000000001</v>
      </c>
      <c r="N610" s="427">
        <v>3.8844400000000001</v>
      </c>
      <c r="O610" s="427">
        <v>3.8844400000000001</v>
      </c>
      <c r="P610" s="427">
        <v>3.8844400000000001</v>
      </c>
      <c r="Q610" s="427">
        <v>3.8844400000000001</v>
      </c>
      <c r="R610" s="427">
        <v>3.8844400000000001</v>
      </c>
      <c r="S610" s="427">
        <v>3.8844400000000001</v>
      </c>
      <c r="T610" s="427">
        <v>3.8844400000000001</v>
      </c>
    </row>
    <row r="611" spans="1:20">
      <c r="A611" s="427" t="str">
        <f t="shared" si="65"/>
        <v>KU</v>
      </c>
      <c r="B611" s="427" t="str">
        <f t="shared" si="54"/>
        <v>KY</v>
      </c>
      <c r="C611" s="427" t="str">
        <f t="shared" si="55"/>
        <v>E</v>
      </c>
      <c r="D611" s="427" t="s">
        <v>3436</v>
      </c>
      <c r="E611" s="427" t="str">
        <f t="shared" si="56"/>
        <v>341</v>
      </c>
      <c r="F611" s="756" t="s">
        <v>1751</v>
      </c>
      <c r="G611" s="426" t="str">
        <f t="shared" si="63"/>
        <v/>
      </c>
      <c r="H611" s="427">
        <v>557.31254999999999</v>
      </c>
      <c r="I611" s="427">
        <v>557.31254999999999</v>
      </c>
      <c r="J611" s="427">
        <v>557.31254999999999</v>
      </c>
      <c r="K611" s="427">
        <v>557.31254999999999</v>
      </c>
      <c r="L611" s="427">
        <v>557.31254999999999</v>
      </c>
      <c r="M611" s="427">
        <v>557.31254999999999</v>
      </c>
      <c r="N611" s="427">
        <v>557.31254999999999</v>
      </c>
      <c r="O611" s="427">
        <v>557.31254999999999</v>
      </c>
      <c r="P611" s="427">
        <v>557.31254999999999</v>
      </c>
      <c r="Q611" s="427">
        <v>557.31254999999999</v>
      </c>
      <c r="R611" s="427">
        <v>557.31254999999999</v>
      </c>
      <c r="S611" s="427">
        <v>557.31254999999999</v>
      </c>
      <c r="T611" s="427">
        <v>557.31254999999999</v>
      </c>
    </row>
    <row r="612" spans="1:20">
      <c r="A612" s="427" t="str">
        <f t="shared" si="65"/>
        <v>KU</v>
      </c>
      <c r="B612" s="427" t="str">
        <f t="shared" si="54"/>
        <v>KY</v>
      </c>
      <c r="C612" s="427" t="str">
        <f t="shared" si="55"/>
        <v>E</v>
      </c>
      <c r="D612" s="427" t="s">
        <v>3436</v>
      </c>
      <c r="E612" s="427" t="str">
        <f t="shared" si="56"/>
        <v>342</v>
      </c>
      <c r="F612" s="756" t="s">
        <v>1752</v>
      </c>
      <c r="G612" s="426" t="str">
        <f t="shared" si="63"/>
        <v/>
      </c>
      <c r="H612" s="427">
        <v>121.09593</v>
      </c>
      <c r="I612" s="427">
        <v>121.09593</v>
      </c>
      <c r="J612" s="427">
        <v>121.09593</v>
      </c>
      <c r="K612" s="427">
        <v>121.09593</v>
      </c>
      <c r="L612" s="427">
        <v>121.09593</v>
      </c>
      <c r="M612" s="427">
        <v>121.09593</v>
      </c>
      <c r="N612" s="427">
        <v>121.09593</v>
      </c>
      <c r="O612" s="427">
        <v>121.09593</v>
      </c>
      <c r="P612" s="427">
        <v>121.09593</v>
      </c>
      <c r="Q612" s="427">
        <v>121.09593</v>
      </c>
      <c r="R612" s="427">
        <v>121.09593</v>
      </c>
      <c r="S612" s="427">
        <v>121.09593</v>
      </c>
      <c r="T612" s="427">
        <v>121.09593</v>
      </c>
    </row>
    <row r="613" spans="1:20">
      <c r="A613" s="427" t="str">
        <f t="shared" si="65"/>
        <v>KU</v>
      </c>
      <c r="B613" s="427" t="str">
        <f t="shared" si="54"/>
        <v>KY</v>
      </c>
      <c r="C613" s="427" t="str">
        <f t="shared" si="55"/>
        <v>E</v>
      </c>
      <c r="D613" s="427" t="s">
        <v>3436</v>
      </c>
      <c r="E613" s="427" t="str">
        <f t="shared" si="56"/>
        <v>343</v>
      </c>
      <c r="F613" s="756" t="s">
        <v>1753</v>
      </c>
      <c r="G613" s="426" t="str">
        <f t="shared" si="63"/>
        <v/>
      </c>
      <c r="H613" s="427">
        <v>3196.3693800000001</v>
      </c>
      <c r="I613" s="427">
        <v>3196.3693800000001</v>
      </c>
      <c r="J613" s="427">
        <v>3196.3693800000001</v>
      </c>
      <c r="K613" s="427">
        <v>3196.3693800000001</v>
      </c>
      <c r="L613" s="427">
        <v>3196.3693800000001</v>
      </c>
      <c r="M613" s="427">
        <v>3196.3693800000001</v>
      </c>
      <c r="N613" s="427">
        <v>3196.3693800000001</v>
      </c>
      <c r="O613" s="427">
        <v>3196.3693800000001</v>
      </c>
      <c r="P613" s="427">
        <v>3196.3693800000001</v>
      </c>
      <c r="Q613" s="427">
        <v>3196.3693800000001</v>
      </c>
      <c r="R613" s="427">
        <v>3196.3693800000001</v>
      </c>
      <c r="S613" s="427">
        <v>3196.3693800000001</v>
      </c>
      <c r="T613" s="427">
        <v>3196.3693800000001</v>
      </c>
    </row>
    <row r="614" spans="1:20">
      <c r="A614" s="427" t="str">
        <f t="shared" si="65"/>
        <v>KU</v>
      </c>
      <c r="B614" s="427" t="str">
        <f t="shared" si="54"/>
        <v>KY</v>
      </c>
      <c r="C614" s="427" t="str">
        <f t="shared" si="55"/>
        <v>E</v>
      </c>
      <c r="D614" s="427" t="s">
        <v>3436</v>
      </c>
      <c r="E614" s="427" t="str">
        <f t="shared" ref="E614:E637" si="66">MID($F614,8,3)</f>
        <v>344</v>
      </c>
      <c r="F614" s="756" t="s">
        <v>1754</v>
      </c>
      <c r="G614" s="426" t="str">
        <f t="shared" si="63"/>
        <v/>
      </c>
      <c r="H614" s="427">
        <v>715.27536999999995</v>
      </c>
      <c r="I614" s="427">
        <v>715.27536999999995</v>
      </c>
      <c r="J614" s="427">
        <v>715.27536999999995</v>
      </c>
      <c r="K614" s="427">
        <v>715.27536999999995</v>
      </c>
      <c r="L614" s="427">
        <v>715.27536999999995</v>
      </c>
      <c r="M614" s="427">
        <v>715.27536999999995</v>
      </c>
      <c r="N614" s="427">
        <v>715.27536999999995</v>
      </c>
      <c r="O614" s="427">
        <v>715.27536999999995</v>
      </c>
      <c r="P614" s="427">
        <v>715.27536999999995</v>
      </c>
      <c r="Q614" s="427">
        <v>715.27536999999995</v>
      </c>
      <c r="R614" s="427">
        <v>715.27536999999995</v>
      </c>
      <c r="S614" s="427">
        <v>715.27536999999995</v>
      </c>
      <c r="T614" s="427">
        <v>715.27536999999995</v>
      </c>
    </row>
    <row r="615" spans="1:20">
      <c r="A615" s="427" t="str">
        <f t="shared" si="65"/>
        <v>KU</v>
      </c>
      <c r="B615" s="427" t="str">
        <f t="shared" si="54"/>
        <v>KY</v>
      </c>
      <c r="C615" s="427" t="str">
        <f t="shared" si="55"/>
        <v>E</v>
      </c>
      <c r="D615" s="427" t="s">
        <v>3436</v>
      </c>
      <c r="E615" s="427" t="str">
        <f t="shared" si="66"/>
        <v>345</v>
      </c>
      <c r="F615" s="756" t="s">
        <v>1755</v>
      </c>
      <c r="G615" s="426" t="str">
        <f t="shared" si="63"/>
        <v/>
      </c>
      <c r="H615" s="427">
        <v>355.58681000000001</v>
      </c>
      <c r="I615" s="427">
        <v>358.09240999999997</v>
      </c>
      <c r="J615" s="427">
        <v>358.09240999999997</v>
      </c>
      <c r="K615" s="427">
        <v>358.09240999999997</v>
      </c>
      <c r="L615" s="427">
        <v>358.09240999999997</v>
      </c>
      <c r="M615" s="427">
        <v>358.09240999999997</v>
      </c>
      <c r="N615" s="427">
        <v>358.09240999999997</v>
      </c>
      <c r="O615" s="427">
        <v>358.09240999999997</v>
      </c>
      <c r="P615" s="427">
        <v>358.09240999999997</v>
      </c>
      <c r="Q615" s="427">
        <v>358.09240999999997</v>
      </c>
      <c r="R615" s="427">
        <v>358.09240999999997</v>
      </c>
      <c r="S615" s="427">
        <v>358.09240999999997</v>
      </c>
      <c r="T615" s="427">
        <v>358.09240999999997</v>
      </c>
    </row>
    <row r="616" spans="1:20">
      <c r="A616" s="427" t="str">
        <f t="shared" si="65"/>
        <v>KU</v>
      </c>
      <c r="B616" s="427" t="str">
        <f t="shared" si="54"/>
        <v>KY</v>
      </c>
      <c r="C616" s="427" t="str">
        <f t="shared" si="55"/>
        <v>E</v>
      </c>
      <c r="D616" s="427" t="s">
        <v>3436</v>
      </c>
      <c r="E616" s="427" t="str">
        <f t="shared" si="66"/>
        <v>346</v>
      </c>
      <c r="F616" s="756" t="s">
        <v>1756</v>
      </c>
      <c r="G616" s="426" t="str">
        <f t="shared" si="63"/>
        <v/>
      </c>
      <c r="H616" s="427">
        <v>34.127940000000002</v>
      </c>
      <c r="I616" s="427">
        <v>34.127940000000002</v>
      </c>
      <c r="J616" s="427">
        <v>34.127940000000002</v>
      </c>
      <c r="K616" s="427">
        <v>34.127940000000002</v>
      </c>
      <c r="L616" s="427">
        <v>34.127940000000002</v>
      </c>
      <c r="M616" s="427">
        <v>34.127940000000002</v>
      </c>
      <c r="N616" s="427">
        <v>34.127940000000002</v>
      </c>
      <c r="O616" s="427">
        <v>34.127940000000002</v>
      </c>
      <c r="P616" s="427">
        <v>34.127940000000002</v>
      </c>
      <c r="Q616" s="427">
        <v>34.127940000000002</v>
      </c>
      <c r="R616" s="427">
        <v>34.127940000000002</v>
      </c>
      <c r="S616" s="427">
        <v>34.127940000000002</v>
      </c>
      <c r="T616" s="427">
        <v>34.127940000000002</v>
      </c>
    </row>
    <row r="617" spans="1:20">
      <c r="A617" s="427" t="str">
        <f t="shared" si="65"/>
        <v>KU</v>
      </c>
      <c r="B617" s="427" t="str">
        <f t="shared" ref="B617:B680" si="67">IF(MID($F617,12,2)="- ","KY",IF(MID($F617,12,2)="SY","KY",MID($F617,12,2)))</f>
        <v>KY</v>
      </c>
      <c r="C617" s="427" t="str">
        <f t="shared" si="55"/>
        <v>E</v>
      </c>
      <c r="D617" s="427" t="s">
        <v>3436</v>
      </c>
      <c r="E617" s="427" t="str">
        <f t="shared" si="66"/>
        <v>350</v>
      </c>
      <c r="F617" s="756" t="s">
        <v>1757</v>
      </c>
      <c r="G617" s="426" t="str">
        <f t="shared" si="63"/>
        <v/>
      </c>
      <c r="H617" s="427">
        <v>5.8478599999999998</v>
      </c>
      <c r="I617" s="427">
        <v>5.8478599999999998</v>
      </c>
      <c r="J617" s="427">
        <v>5.8478599999999998</v>
      </c>
      <c r="K617" s="427">
        <v>5.8478599999999998</v>
      </c>
      <c r="L617" s="427">
        <v>5.8478599999999998</v>
      </c>
      <c r="M617" s="427">
        <v>5.8478599999999998</v>
      </c>
      <c r="N617" s="427">
        <v>5.8478599999999998</v>
      </c>
      <c r="O617" s="427">
        <v>5.8478599999999998</v>
      </c>
      <c r="P617" s="427">
        <v>5.8478599999999998</v>
      </c>
      <c r="Q617" s="427">
        <v>5.8478599999999998</v>
      </c>
      <c r="R617" s="427">
        <v>5.8478599999999998</v>
      </c>
      <c r="S617" s="427">
        <v>5.8478599999999998</v>
      </c>
      <c r="T617" s="427">
        <v>5.8478599999999998</v>
      </c>
    </row>
    <row r="618" spans="1:20">
      <c r="A618" s="427" t="str">
        <f t="shared" si="65"/>
        <v>KU</v>
      </c>
      <c r="B618" s="427" t="str">
        <f t="shared" si="67"/>
        <v>KY</v>
      </c>
      <c r="C618" s="427" t="str">
        <f t="shared" si="55"/>
        <v>E</v>
      </c>
      <c r="D618" s="427" t="s">
        <v>3436</v>
      </c>
      <c r="E618" s="427" t="str">
        <f t="shared" si="66"/>
        <v>352</v>
      </c>
      <c r="F618" s="756" t="s">
        <v>1761</v>
      </c>
      <c r="G618" s="426" t="str">
        <f t="shared" si="63"/>
        <v/>
      </c>
      <c r="H618" s="427">
        <v>38.295990000000003</v>
      </c>
      <c r="I618" s="427">
        <v>38.295990000000003</v>
      </c>
      <c r="J618" s="427">
        <v>38.295990000000003</v>
      </c>
      <c r="K618" s="427">
        <v>38.295990000000003</v>
      </c>
      <c r="L618" s="427">
        <v>38.295990000000003</v>
      </c>
      <c r="M618" s="427">
        <v>38.295990000000003</v>
      </c>
      <c r="N618" s="427">
        <v>38.295990000000003</v>
      </c>
      <c r="O618" s="427">
        <v>38.295990000000003</v>
      </c>
      <c r="P618" s="427">
        <v>38.295990000000003</v>
      </c>
      <c r="Q618" s="427">
        <v>38.295990000000003</v>
      </c>
      <c r="R618" s="427">
        <v>38.295990000000003</v>
      </c>
      <c r="S618" s="427">
        <v>38.295990000000003</v>
      </c>
      <c r="T618" s="427">
        <v>38.295990000000003</v>
      </c>
    </row>
    <row r="619" spans="1:20">
      <c r="A619" s="427" t="str">
        <f t="shared" si="65"/>
        <v>KU</v>
      </c>
      <c r="B619" s="427" t="str">
        <f t="shared" si="67"/>
        <v>VA</v>
      </c>
      <c r="C619" s="427" t="str">
        <f t="shared" si="55"/>
        <v>E</v>
      </c>
      <c r="D619" s="427" t="s">
        <v>3436</v>
      </c>
      <c r="E619" s="427" t="str">
        <f t="shared" si="66"/>
        <v>352</v>
      </c>
      <c r="F619" s="756" t="s">
        <v>1762</v>
      </c>
      <c r="G619" s="426" t="str">
        <f t="shared" si="63"/>
        <v/>
      </c>
      <c r="H619" s="427">
        <v>3.0000000000000001E-3</v>
      </c>
      <c r="I619" s="427">
        <v>3.0000000000000001E-3</v>
      </c>
      <c r="J619" s="427">
        <v>3.0000000000000001E-3</v>
      </c>
      <c r="K619" s="427">
        <v>3.0000000000000001E-3</v>
      </c>
      <c r="L619" s="427">
        <v>3.0000000000000001E-3</v>
      </c>
      <c r="M619" s="427">
        <v>3.0000000000000001E-3</v>
      </c>
      <c r="N619" s="427">
        <v>3.0000000000000001E-3</v>
      </c>
      <c r="O619" s="427">
        <v>3.0000000000000001E-3</v>
      </c>
      <c r="P619" s="427">
        <v>3.0000000000000001E-3</v>
      </c>
      <c r="Q619" s="427">
        <v>3.0000000000000001E-3</v>
      </c>
      <c r="R619" s="427">
        <v>3.0000000000000001E-3</v>
      </c>
      <c r="S619" s="427">
        <v>3.0000000000000001E-3</v>
      </c>
      <c r="T619" s="427">
        <v>3.0000000000000001E-3</v>
      </c>
    </row>
    <row r="620" spans="1:20">
      <c r="A620" s="427" t="str">
        <f t="shared" si="65"/>
        <v>KU</v>
      </c>
      <c r="B620" s="427" t="str">
        <f t="shared" si="67"/>
        <v>KY</v>
      </c>
      <c r="C620" s="427" t="str">
        <f t="shared" si="55"/>
        <v>E</v>
      </c>
      <c r="D620" s="427" t="s">
        <v>3436</v>
      </c>
      <c r="E620" s="427" t="str">
        <f t="shared" si="66"/>
        <v>353</v>
      </c>
      <c r="F620" s="756" t="s">
        <v>1763</v>
      </c>
      <c r="G620" s="426" t="str">
        <f t="shared" si="63"/>
        <v/>
      </c>
      <c r="H620" s="427">
        <v>482.85462000000001</v>
      </c>
      <c r="I620" s="427">
        <v>482.85462000000001</v>
      </c>
      <c r="J620" s="427">
        <v>482.83251999999999</v>
      </c>
      <c r="K620" s="427">
        <v>482.82652000000002</v>
      </c>
      <c r="L620" s="427">
        <v>482.82652000000002</v>
      </c>
      <c r="M620" s="427">
        <v>482.69191999999998</v>
      </c>
      <c r="N620" s="427">
        <v>482.69191999999998</v>
      </c>
      <c r="O620" s="427">
        <v>482.69191999999998</v>
      </c>
      <c r="P620" s="427">
        <v>482.69191999999998</v>
      </c>
      <c r="Q620" s="427">
        <v>482.69191999999998</v>
      </c>
      <c r="R620" s="427">
        <v>482.69191999999998</v>
      </c>
      <c r="S620" s="427">
        <v>482.69191999999998</v>
      </c>
      <c r="T620" s="427">
        <v>482.69191999999998</v>
      </c>
    </row>
    <row r="621" spans="1:20">
      <c r="A621" s="427" t="str">
        <f t="shared" si="65"/>
        <v>KU</v>
      </c>
      <c r="B621" s="427" t="str">
        <f t="shared" si="67"/>
        <v>VA</v>
      </c>
      <c r="C621" s="427" t="str">
        <f t="shared" ref="C621:C684" si="68">IF(ISTEXT(MID($F621,SEARCH("FUTURE USE",$F621),3)),"F",IF(MID($F621,7,1)="1","E",IF(MID($F621,7,1)="2","G",IF(MID($F621,7,1)="3","C",""))))</f>
        <v>E</v>
      </c>
      <c r="D621" s="427" t="s">
        <v>3436</v>
      </c>
      <c r="E621" s="427" t="str">
        <f t="shared" si="66"/>
        <v>353</v>
      </c>
      <c r="F621" s="756" t="s">
        <v>1765</v>
      </c>
      <c r="G621" s="426" t="str">
        <f t="shared" si="63"/>
        <v/>
      </c>
      <c r="H621" s="427">
        <v>1.571</v>
      </c>
      <c r="I621" s="427">
        <v>1.571</v>
      </c>
      <c r="J621" s="427">
        <v>1.571</v>
      </c>
      <c r="K621" s="427">
        <v>1.571</v>
      </c>
      <c r="L621" s="427">
        <v>1.571</v>
      </c>
      <c r="M621" s="427">
        <v>1.571</v>
      </c>
      <c r="N621" s="427">
        <v>1.571</v>
      </c>
      <c r="O621" s="427">
        <v>1.571</v>
      </c>
      <c r="P621" s="427">
        <v>1.571</v>
      </c>
      <c r="Q621" s="427">
        <v>1.571</v>
      </c>
      <c r="R621" s="427">
        <v>1.571</v>
      </c>
      <c r="S621" s="427">
        <v>1.571</v>
      </c>
      <c r="T621" s="427">
        <v>1.571</v>
      </c>
    </row>
    <row r="622" spans="1:20">
      <c r="A622" s="427" t="str">
        <f t="shared" si="65"/>
        <v>KU</v>
      </c>
      <c r="B622" s="427" t="str">
        <f t="shared" si="67"/>
        <v>KY</v>
      </c>
      <c r="C622" s="427" t="str">
        <f t="shared" si="68"/>
        <v>E</v>
      </c>
      <c r="D622" s="427" t="s">
        <v>3436</v>
      </c>
      <c r="E622" s="427" t="str">
        <f t="shared" si="66"/>
        <v>354</v>
      </c>
      <c r="F622" s="756" t="s">
        <v>1766</v>
      </c>
      <c r="G622" s="426" t="str">
        <f t="shared" si="63"/>
        <v/>
      </c>
      <c r="H622" s="427">
        <v>120.31005999999999</v>
      </c>
      <c r="I622" s="427">
        <v>120.31005999999999</v>
      </c>
      <c r="J622" s="427">
        <v>120.31005999999999</v>
      </c>
      <c r="K622" s="427">
        <v>120.31005999999999</v>
      </c>
      <c r="L622" s="427">
        <v>120.31005999999999</v>
      </c>
      <c r="M622" s="427">
        <v>120.31005999999999</v>
      </c>
      <c r="N622" s="427">
        <v>120.31005999999999</v>
      </c>
      <c r="O622" s="427">
        <v>120.31005999999999</v>
      </c>
      <c r="P622" s="427">
        <v>120.31005999999999</v>
      </c>
      <c r="Q622" s="427">
        <v>120.31005999999999</v>
      </c>
      <c r="R622" s="427">
        <v>120.31005999999999</v>
      </c>
      <c r="S622" s="427">
        <v>120.31005999999999</v>
      </c>
      <c r="T622" s="427">
        <v>120.31005999999999</v>
      </c>
    </row>
    <row r="623" spans="1:20">
      <c r="A623" s="427" t="str">
        <f t="shared" si="65"/>
        <v>KU</v>
      </c>
      <c r="B623" s="427" t="str">
        <f t="shared" si="67"/>
        <v>KY</v>
      </c>
      <c r="C623" s="427" t="str">
        <f t="shared" si="68"/>
        <v>E</v>
      </c>
      <c r="D623" s="427" t="s">
        <v>3436</v>
      </c>
      <c r="E623" s="427" t="str">
        <f t="shared" si="66"/>
        <v>355</v>
      </c>
      <c r="F623" s="756" t="s">
        <v>1768</v>
      </c>
      <c r="G623" s="426" t="str">
        <f t="shared" si="63"/>
        <v/>
      </c>
      <c r="H623" s="427">
        <v>579.93462999999997</v>
      </c>
      <c r="I623" s="427">
        <v>579.93462999999997</v>
      </c>
      <c r="J623" s="427">
        <v>579.84288000000004</v>
      </c>
      <c r="K623" s="427">
        <v>579.84288000000004</v>
      </c>
      <c r="L623" s="427">
        <v>579.84288000000004</v>
      </c>
      <c r="M623" s="427">
        <v>579.74188000000004</v>
      </c>
      <c r="N623" s="427">
        <v>579.74188000000004</v>
      </c>
      <c r="O623" s="427">
        <v>579.74188000000004</v>
      </c>
      <c r="P623" s="427">
        <v>579.74188000000004</v>
      </c>
      <c r="Q623" s="427">
        <v>579.74188000000004</v>
      </c>
      <c r="R623" s="427">
        <v>579.74188000000004</v>
      </c>
      <c r="S623" s="427">
        <v>579.74188000000004</v>
      </c>
      <c r="T623" s="427">
        <v>579.74188000000004</v>
      </c>
    </row>
    <row r="624" spans="1:20">
      <c r="A624" s="427" t="str">
        <f t="shared" si="65"/>
        <v>KU</v>
      </c>
      <c r="B624" s="427" t="str">
        <f t="shared" si="67"/>
        <v>VA</v>
      </c>
      <c r="C624" s="427" t="str">
        <f t="shared" si="68"/>
        <v>E</v>
      </c>
      <c r="D624" s="427" t="s">
        <v>3436</v>
      </c>
      <c r="E624" s="427" t="str">
        <f t="shared" si="66"/>
        <v>355</v>
      </c>
      <c r="F624" s="756" t="s">
        <v>1770</v>
      </c>
      <c r="G624" s="426" t="str">
        <f t="shared" si="63"/>
        <v/>
      </c>
      <c r="H624" s="427">
        <v>0.64976999999999996</v>
      </c>
      <c r="I624" s="427">
        <v>0.64976999999999996</v>
      </c>
      <c r="J624" s="427">
        <v>0.64976999999999996</v>
      </c>
      <c r="K624" s="427">
        <v>0.64976999999999996</v>
      </c>
      <c r="L624" s="427">
        <v>0.64976999999999996</v>
      </c>
      <c r="M624" s="427">
        <v>0.64976999999999996</v>
      </c>
      <c r="N624" s="427">
        <v>0.64976999999999996</v>
      </c>
      <c r="O624" s="427">
        <v>0.64976999999999996</v>
      </c>
      <c r="P624" s="427">
        <v>0.64976999999999996</v>
      </c>
      <c r="Q624" s="427">
        <v>0.64976999999999996</v>
      </c>
      <c r="R624" s="427">
        <v>0.64976999999999996</v>
      </c>
      <c r="S624" s="427">
        <v>0.64976999999999996</v>
      </c>
      <c r="T624" s="427">
        <v>0.64976999999999996</v>
      </c>
    </row>
    <row r="625" spans="1:21">
      <c r="A625" s="427" t="str">
        <f t="shared" si="65"/>
        <v>KU</v>
      </c>
      <c r="B625" s="427" t="str">
        <f t="shared" si="67"/>
        <v>KY</v>
      </c>
      <c r="C625" s="427" t="str">
        <f t="shared" si="68"/>
        <v>E</v>
      </c>
      <c r="D625" s="427" t="s">
        <v>3436</v>
      </c>
      <c r="E625" s="427" t="str">
        <f t="shared" si="66"/>
        <v>356</v>
      </c>
      <c r="F625" s="756" t="s">
        <v>1771</v>
      </c>
      <c r="G625" s="426" t="str">
        <f t="shared" si="63"/>
        <v/>
      </c>
      <c r="H625" s="427">
        <v>191.20135999999999</v>
      </c>
      <c r="I625" s="427">
        <v>191.20135999999999</v>
      </c>
      <c r="J625" s="427">
        <v>191.20135999999999</v>
      </c>
      <c r="K625" s="427">
        <v>191.19893999999999</v>
      </c>
      <c r="L625" s="427">
        <v>191.19893999999999</v>
      </c>
      <c r="M625" s="427">
        <v>191.09273999999999</v>
      </c>
      <c r="N625" s="427">
        <v>191.09273999999999</v>
      </c>
      <c r="O625" s="427">
        <v>191.09273999999999</v>
      </c>
      <c r="P625" s="427">
        <v>191.09273999999999</v>
      </c>
      <c r="Q625" s="427">
        <v>191.09273999999999</v>
      </c>
      <c r="R625" s="427">
        <v>191.09273999999999</v>
      </c>
      <c r="S625" s="427">
        <v>191.09273999999999</v>
      </c>
      <c r="T625" s="427">
        <v>191.09273999999999</v>
      </c>
    </row>
    <row r="626" spans="1:21">
      <c r="A626" s="427" t="str">
        <f t="shared" si="65"/>
        <v>KU</v>
      </c>
      <c r="B626" s="427" t="str">
        <f t="shared" si="67"/>
        <v>VA</v>
      </c>
      <c r="C626" s="427" t="str">
        <f t="shared" si="68"/>
        <v>E</v>
      </c>
      <c r="D626" s="427" t="s">
        <v>3436</v>
      </c>
      <c r="E626" s="427" t="str">
        <f t="shared" si="66"/>
        <v>356</v>
      </c>
      <c r="F626" s="756" t="s">
        <v>1773</v>
      </c>
      <c r="G626" s="426" t="str">
        <f t="shared" si="63"/>
        <v/>
      </c>
      <c r="H626" s="427">
        <v>2.0646100000000001</v>
      </c>
      <c r="I626" s="427">
        <v>2.0646100000000001</v>
      </c>
      <c r="J626" s="427">
        <v>2.0646100000000001</v>
      </c>
      <c r="K626" s="427">
        <v>2.0646100000000001</v>
      </c>
      <c r="L626" s="427">
        <v>2.0646100000000001</v>
      </c>
      <c r="M626" s="427">
        <v>2.0646100000000001</v>
      </c>
      <c r="N626" s="427">
        <v>2.0646100000000001</v>
      </c>
      <c r="O626" s="427">
        <v>2.0646100000000001</v>
      </c>
      <c r="P626" s="427">
        <v>2.0646100000000001</v>
      </c>
      <c r="Q626" s="427">
        <v>2.0646100000000001</v>
      </c>
      <c r="R626" s="427">
        <v>2.0646100000000001</v>
      </c>
      <c r="S626" s="427">
        <v>2.0646100000000001</v>
      </c>
      <c r="T626" s="427">
        <v>2.0646100000000001</v>
      </c>
    </row>
    <row r="627" spans="1:21">
      <c r="A627" s="427" t="str">
        <f t="shared" si="65"/>
        <v>KU</v>
      </c>
      <c r="B627" s="427" t="str">
        <f t="shared" si="67"/>
        <v>KY</v>
      </c>
      <c r="C627" s="427" t="str">
        <f t="shared" si="68"/>
        <v>E</v>
      </c>
      <c r="D627" s="427" t="s">
        <v>3436</v>
      </c>
      <c r="E627" s="427" t="str">
        <f t="shared" si="66"/>
        <v>357</v>
      </c>
      <c r="F627" s="756" t="s">
        <v>1774</v>
      </c>
      <c r="G627" s="426" t="str">
        <f t="shared" si="63"/>
        <v/>
      </c>
      <c r="H627" s="427">
        <v>1.1220000000000001</v>
      </c>
      <c r="I627" s="427">
        <v>1.1220000000000001</v>
      </c>
      <c r="J627" s="427">
        <v>1.1220000000000001</v>
      </c>
      <c r="K627" s="427">
        <v>1.1220000000000001</v>
      </c>
      <c r="L627" s="427">
        <v>1.1220000000000001</v>
      </c>
      <c r="M627" s="427">
        <v>1.1220000000000001</v>
      </c>
      <c r="N627" s="427">
        <v>1.1220000000000001</v>
      </c>
      <c r="O627" s="427">
        <v>1.1220000000000001</v>
      </c>
      <c r="P627" s="427">
        <v>1.1220000000000001</v>
      </c>
      <c r="Q627" s="427">
        <v>1.1220000000000001</v>
      </c>
      <c r="R627" s="427">
        <v>1.1220000000000001</v>
      </c>
      <c r="S627" s="427">
        <v>1.1220000000000001</v>
      </c>
      <c r="T627" s="427">
        <v>1.1220000000000001</v>
      </c>
    </row>
    <row r="628" spans="1:21">
      <c r="A628" s="427" t="str">
        <f t="shared" si="65"/>
        <v>KU</v>
      </c>
      <c r="B628" s="427" t="str">
        <f t="shared" si="67"/>
        <v>KY</v>
      </c>
      <c r="C628" s="427" t="str">
        <f t="shared" si="68"/>
        <v>E</v>
      </c>
      <c r="D628" s="427" t="s">
        <v>3436</v>
      </c>
      <c r="E628" s="427" t="str">
        <f t="shared" si="66"/>
        <v>358</v>
      </c>
      <c r="F628" s="756" t="s">
        <v>1775</v>
      </c>
      <c r="G628" s="426" t="str">
        <f t="shared" si="63"/>
        <v/>
      </c>
      <c r="H628" s="427">
        <v>1.1279999999999999</v>
      </c>
      <c r="I628" s="427">
        <v>1.1279999999999999</v>
      </c>
      <c r="J628" s="427">
        <v>1.1279999999999999</v>
      </c>
      <c r="K628" s="427">
        <v>1.1279999999999999</v>
      </c>
      <c r="L628" s="427">
        <v>1.1279999999999999</v>
      </c>
      <c r="M628" s="427">
        <v>1.1279999999999999</v>
      </c>
      <c r="N628" s="427">
        <v>1.1279999999999999</v>
      </c>
      <c r="O628" s="427">
        <v>1.1279999999999999</v>
      </c>
      <c r="P628" s="427">
        <v>1.1279999999999999</v>
      </c>
      <c r="Q628" s="427">
        <v>1.1279999999999999</v>
      </c>
      <c r="R628" s="427">
        <v>1.1279999999999999</v>
      </c>
      <c r="S628" s="427">
        <v>1.1279999999999999</v>
      </c>
      <c r="T628" s="427">
        <v>1.1279999999999999</v>
      </c>
    </row>
    <row r="629" spans="1:21">
      <c r="A629" s="427" t="str">
        <f t="shared" si="65"/>
        <v>KY</v>
      </c>
      <c r="B629" s="427" t="str">
        <f t="shared" si="67"/>
        <v xml:space="preserve"> A</v>
      </c>
      <c r="C629" s="427" t="str">
        <f t="shared" si="68"/>
        <v/>
      </c>
      <c r="E629" s="427" t="str">
        <f t="shared" si="66"/>
        <v>lan</v>
      </c>
      <c r="F629" s="758" t="s">
        <v>1829</v>
      </c>
      <c r="G629" s="426" t="str">
        <f t="shared" si="63"/>
        <v/>
      </c>
      <c r="H629" s="427">
        <f>SUM(H599:H628)</f>
        <v>31098.516119999993</v>
      </c>
      <c r="I629" s="427">
        <f t="shared" ref="I629:N629" si="69">SUM(I599:I628)</f>
        <v>31099.372369999994</v>
      </c>
      <c r="J629" s="427">
        <f t="shared" si="69"/>
        <v>31098.287859999993</v>
      </c>
      <c r="K629" s="427">
        <f t="shared" si="69"/>
        <v>31098.279439999991</v>
      </c>
      <c r="L629" s="427">
        <f t="shared" si="69"/>
        <v>31098.279439999991</v>
      </c>
      <c r="M629" s="427">
        <f t="shared" si="69"/>
        <v>31097.937639999996</v>
      </c>
      <c r="N629" s="427">
        <f t="shared" si="69"/>
        <v>31092.434519999999</v>
      </c>
      <c r="O629" s="427">
        <v>31092.434519999999</v>
      </c>
      <c r="P629" s="427">
        <v>31092.434519999999</v>
      </c>
      <c r="Q629" s="427">
        <v>31092.434519999999</v>
      </c>
      <c r="R629" s="427">
        <v>31092.434519999999</v>
      </c>
      <c r="S629" s="427">
        <v>31092.434519999999</v>
      </c>
      <c r="T629" s="427">
        <v>31092.434519999999</v>
      </c>
    </row>
    <row r="630" spans="1:21">
      <c r="A630" s="427" t="str">
        <f t="shared" si="65"/>
        <v/>
      </c>
      <c r="B630" s="427" t="str">
        <f t="shared" si="67"/>
        <v/>
      </c>
      <c r="C630" s="427" t="str">
        <f t="shared" si="68"/>
        <v/>
      </c>
      <c r="E630" s="427" t="str">
        <f t="shared" si="66"/>
        <v/>
      </c>
      <c r="G630" s="426" t="str">
        <f t="shared" si="63"/>
        <v/>
      </c>
    </row>
    <row r="631" spans="1:21">
      <c r="A631" s="427" t="str">
        <f t="shared" si="65"/>
        <v>re</v>
      </c>
      <c r="B631" s="427" t="str">
        <f t="shared" si="67"/>
        <v xml:space="preserve">n </v>
      </c>
      <c r="C631" s="427" t="str">
        <f t="shared" si="68"/>
        <v/>
      </c>
      <c r="D631" s="427" t="s">
        <v>3437</v>
      </c>
      <c r="E631" s="427" t="str">
        <f t="shared" si="66"/>
        <v>ati</v>
      </c>
      <c r="F631" s="759" t="s">
        <v>2511</v>
      </c>
      <c r="G631" s="426" t="str">
        <f t="shared" si="63"/>
        <v/>
      </c>
    </row>
    <row r="632" spans="1:21">
      <c r="A632" s="427" t="str">
        <f t="shared" si="65"/>
        <v>KU</v>
      </c>
      <c r="B632" s="427" t="str">
        <f t="shared" si="67"/>
        <v>KY</v>
      </c>
      <c r="C632" s="427" t="str">
        <f t="shared" si="68"/>
        <v>E</v>
      </c>
      <c r="D632" s="427" t="s">
        <v>3437</v>
      </c>
      <c r="E632" s="427" t="str">
        <f t="shared" si="66"/>
        <v>312</v>
      </c>
      <c r="F632" s="756" t="s">
        <v>1733</v>
      </c>
      <c r="G632" s="426" t="str">
        <f>IF(ISTEXT(MID($F632,SEARCH("COMMON",$F632),3)),"COMMON",IF(ISTEXT(MID($F632,SEARCH("GAS",$F632),3)),"",IF(ISTEXT(MID($F632,SEARCH("HYDRO PRODUCTION",$F632),9)),"HYDRO",IF(ISTEXT(MID($F632,SEARCH("OTHER PRODUCTION",$F632),9)),"OTHER",IF(ISTEXT(MID($F632,SEARCH("STEAM PRODUCTION",$F632),9)),"STEAM",IF(ISTEXT(MID($F632,SEARCH("TRANSMISSION",$F632),9)),"TRANSMISSION",IF(ISTEXT(MID($F632,SEARCH("DISTRIBUTION",$F632),9)),"DISTRIBUTION",IF(ISTEXT(MID($F632,SEARCH("COMMON",$F632),9)),"COMMON",IF(ISTEXT(MID($F632,SEARCH("GENERAL",$F632),9)),"GENERAL",IF(ISTEXT(MID($F632,SEARCH("INTANGIBLE",$F632),9)),"INTANGIBLE",IF(ISTEXT(MID($F632,SEARCH("STORAGE",$F632),3)),"STORAGE","")))))))))))</f>
        <v>STEAM</v>
      </c>
      <c r="H632" s="427">
        <v>32.250583333333303</v>
      </c>
      <c r="I632" s="427">
        <v>32.246416666666697</v>
      </c>
      <c r="J632" s="427">
        <v>32.227083333333297</v>
      </c>
      <c r="K632" s="427">
        <v>32.227083333333297</v>
      </c>
      <c r="L632" s="427">
        <v>32.227083333333297</v>
      </c>
      <c r="M632" s="427">
        <v>32.227083333333297</v>
      </c>
      <c r="N632" s="427">
        <v>32.226750000000003</v>
      </c>
      <c r="O632" s="427">
        <v>32.226750000000003</v>
      </c>
      <c r="P632" s="427">
        <v>32.226750000000003</v>
      </c>
      <c r="Q632" s="427">
        <v>32.226750000000003</v>
      </c>
      <c r="R632" s="427">
        <v>32.226750000000003</v>
      </c>
      <c r="S632" s="427">
        <v>32.226750000000003</v>
      </c>
      <c r="T632" s="427">
        <v>32.226750000000003</v>
      </c>
      <c r="U632" s="716">
        <f t="shared" ref="U632:U639" si="70">SUM(I632:T632)</f>
        <v>386.74199999999985</v>
      </c>
    </row>
    <row r="633" spans="1:21">
      <c r="A633" s="427" t="str">
        <f t="shared" si="65"/>
        <v>KU</v>
      </c>
      <c r="B633" s="427" t="str">
        <f t="shared" si="67"/>
        <v>KY</v>
      </c>
      <c r="C633" s="427" t="str">
        <f t="shared" si="68"/>
        <v>E</v>
      </c>
      <c r="D633" s="427" t="s">
        <v>3437</v>
      </c>
      <c r="E633" s="427" t="str">
        <f t="shared" si="66"/>
        <v>334</v>
      </c>
      <c r="F633" s="756" t="s">
        <v>1746</v>
      </c>
      <c r="G633" s="426" t="str">
        <f t="shared" ref="G633:G665" si="71">IF(ISTEXT(MID($F633,SEARCH("COMMON",$F633),3)),"COMMON",IF(ISTEXT(MID($F633,SEARCH("GAS",$F633),3)),"",IF(ISTEXT(MID($F633,SEARCH("HYDRO PRODUCTION",$F633),9)),"HYDRO",IF(ISTEXT(MID($F633,SEARCH("OTHER PRODUCTION",$F633),9)),"OTHER",IF(ISTEXT(MID($F633,SEARCH("STEAM PRODUCTION",$F633),9)),"STEAM",IF(ISTEXT(MID($F633,SEARCH("TRANSMISSION",$F633),9)),"TRANSMISSION",IF(ISTEXT(MID($F633,SEARCH("DISTRIBUTION",$F633),9)),"DISTRIBUTION",IF(ISTEXT(MID($F633,SEARCH("COMMON",$F633),9)),"COMMON",IF(ISTEXT(MID($F633,SEARCH("GENERAL",$F633),9)),"GENERAL",IF(ISTEXT(MID($F633,SEARCH("INTANGIBLE",$F633),9)),"INTANGIBLE",IF(ISTEXT(MID($F633,SEARCH("STORAGE",$F633),3)),"STORAGE","")))))))))))</f>
        <v>HYDRO</v>
      </c>
      <c r="H633" s="427">
        <v>2.0833333333333298E-3</v>
      </c>
      <c r="I633" s="427">
        <v>2.0833333333333298E-3</v>
      </c>
      <c r="J633" s="427">
        <v>2.0833333333333298E-3</v>
      </c>
      <c r="K633" s="427">
        <v>2.0833333333333298E-3</v>
      </c>
      <c r="L633" s="427">
        <v>2.0833333333333298E-3</v>
      </c>
      <c r="M633" s="427">
        <v>2.0833333333333298E-3</v>
      </c>
      <c r="N633" s="427">
        <v>2.0833333333333298E-3</v>
      </c>
      <c r="O633" s="427">
        <v>2.0833333333333298E-3</v>
      </c>
      <c r="P633" s="427">
        <v>2.0833333333333298E-3</v>
      </c>
      <c r="Q633" s="427">
        <v>2.0833333333333298E-3</v>
      </c>
      <c r="R633" s="427">
        <v>2.0833333333333298E-3</v>
      </c>
      <c r="S633" s="427">
        <v>2.0833333333333298E-3</v>
      </c>
      <c r="T633" s="427">
        <v>2.0833333333333298E-3</v>
      </c>
      <c r="U633" s="716">
        <f t="shared" si="70"/>
        <v>2.4999999999999956E-2</v>
      </c>
    </row>
    <row r="634" spans="1:21">
      <c r="A634" s="427" t="str">
        <f t="shared" si="65"/>
        <v>KU</v>
      </c>
      <c r="B634" s="427" t="str">
        <f t="shared" si="67"/>
        <v>KY</v>
      </c>
      <c r="C634" s="427" t="str">
        <f t="shared" si="68"/>
        <v>E</v>
      </c>
      <c r="D634" s="427" t="s">
        <v>3437</v>
      </c>
      <c r="E634" s="427" t="str">
        <f t="shared" si="66"/>
        <v>342</v>
      </c>
      <c r="F634" s="756" t="s">
        <v>1752</v>
      </c>
      <c r="G634" s="426" t="str">
        <f t="shared" si="71"/>
        <v>OTHER</v>
      </c>
      <c r="H634" s="427">
        <v>7.8333333333333293E-3</v>
      </c>
      <c r="I634" s="427">
        <v>7.8333333333333293E-3</v>
      </c>
      <c r="J634" s="427">
        <v>7.8333333333333293E-3</v>
      </c>
      <c r="K634" s="427">
        <v>7.8333333333333293E-3</v>
      </c>
      <c r="L634" s="427">
        <v>7.8333333333333293E-3</v>
      </c>
      <c r="M634" s="427">
        <v>7.8333333333333293E-3</v>
      </c>
      <c r="N634" s="427">
        <v>7.8333333333333293E-3</v>
      </c>
      <c r="O634" s="427">
        <v>7.8333333333333293E-3</v>
      </c>
      <c r="P634" s="427">
        <v>7.8333333333333293E-3</v>
      </c>
      <c r="Q634" s="427">
        <v>7.8333333333333293E-3</v>
      </c>
      <c r="R634" s="427">
        <v>7.8333333333333293E-3</v>
      </c>
      <c r="S634" s="427">
        <v>7.8333333333333293E-3</v>
      </c>
      <c r="T634" s="427">
        <v>7.8333333333333293E-3</v>
      </c>
      <c r="U634" s="716">
        <f t="shared" si="70"/>
        <v>9.3999999999999959E-2</v>
      </c>
    </row>
    <row r="635" spans="1:21">
      <c r="A635" s="427" t="str">
        <f t="shared" si="65"/>
        <v>KU</v>
      </c>
      <c r="B635" s="427" t="str">
        <f t="shared" si="67"/>
        <v>KY</v>
      </c>
      <c r="C635" s="427" t="str">
        <f t="shared" si="68"/>
        <v>E</v>
      </c>
      <c r="D635" s="427" t="s">
        <v>3437</v>
      </c>
      <c r="E635" s="427" t="str">
        <f t="shared" si="66"/>
        <v>353</v>
      </c>
      <c r="F635" s="756" t="s">
        <v>1763</v>
      </c>
      <c r="G635" s="426" t="str">
        <f t="shared" si="71"/>
        <v>TRANSMISSION</v>
      </c>
      <c r="H635" s="427">
        <v>5.3206666666666704</v>
      </c>
      <c r="I635" s="427">
        <v>5.3205833333333299</v>
      </c>
      <c r="J635" s="427">
        <v>5.3152499999999998</v>
      </c>
      <c r="K635" s="427">
        <v>5.2986666666666702</v>
      </c>
      <c r="L635" s="427">
        <v>5.2711666666666703</v>
      </c>
      <c r="M635" s="427">
        <v>5.2708333333333304</v>
      </c>
      <c r="N635" s="427">
        <v>5.2703333333333298</v>
      </c>
      <c r="O635" s="427">
        <v>5.2703333333333298</v>
      </c>
      <c r="P635" s="427">
        <v>5.2703333333333298</v>
      </c>
      <c r="Q635" s="427">
        <v>5.2703333333333298</v>
      </c>
      <c r="R635" s="427">
        <v>5.2703333333333298</v>
      </c>
      <c r="S635" s="427">
        <v>5.2703333333333298</v>
      </c>
      <c r="T635" s="427">
        <v>5.2703333333333298</v>
      </c>
      <c r="U635" s="716">
        <f t="shared" si="70"/>
        <v>63.368833333333299</v>
      </c>
    </row>
    <row r="636" spans="1:21">
      <c r="A636" s="427" t="str">
        <f t="shared" si="65"/>
        <v>KY</v>
      </c>
      <c r="B636" s="427" t="str">
        <f t="shared" si="67"/>
        <v xml:space="preserve"> A</v>
      </c>
      <c r="C636" s="427" t="str">
        <f t="shared" si="68"/>
        <v/>
      </c>
      <c r="E636" s="427" t="str">
        <f t="shared" si="66"/>
        <v>lan</v>
      </c>
      <c r="F636" s="758" t="s">
        <v>1829</v>
      </c>
      <c r="G636" s="426" t="str">
        <f t="shared" si="71"/>
        <v/>
      </c>
      <c r="H636" s="427">
        <f>SUM(H632:H635)</f>
        <v>37.581166666666633</v>
      </c>
      <c r="I636" s="427">
        <f t="shared" ref="I636:N636" si="72">SUM(I632:I635)</f>
        <v>37.576916666666691</v>
      </c>
      <c r="J636" s="427">
        <f t="shared" si="72"/>
        <v>37.552249999999958</v>
      </c>
      <c r="K636" s="427">
        <f t="shared" si="72"/>
        <v>37.535666666666629</v>
      </c>
      <c r="L636" s="427">
        <f t="shared" si="72"/>
        <v>37.508166666666632</v>
      </c>
      <c r="M636" s="427">
        <f t="shared" si="72"/>
        <v>37.507833333333288</v>
      </c>
      <c r="N636" s="427">
        <f t="shared" si="72"/>
        <v>37.506999999999991</v>
      </c>
      <c r="O636" s="427">
        <v>37.506999999999991</v>
      </c>
      <c r="P636" s="427">
        <v>37.506999999999991</v>
      </c>
      <c r="Q636" s="427">
        <v>37.506999999999991</v>
      </c>
      <c r="R636" s="427">
        <v>37.506999999999991</v>
      </c>
      <c r="S636" s="427">
        <v>37.506999999999991</v>
      </c>
      <c r="T636" s="427">
        <v>37.506999999999991</v>
      </c>
      <c r="U636" s="716">
        <f t="shared" si="70"/>
        <v>450.2298333333332</v>
      </c>
    </row>
    <row r="637" spans="1:21">
      <c r="A637" s="427" t="str">
        <f t="shared" si="65"/>
        <v/>
      </c>
      <c r="B637" s="427" t="str">
        <f t="shared" si="67"/>
        <v/>
      </c>
      <c r="C637" s="427" t="str">
        <f t="shared" si="68"/>
        <v/>
      </c>
      <c r="E637" s="427" t="str">
        <f t="shared" si="66"/>
        <v/>
      </c>
      <c r="G637" s="426" t="str">
        <f t="shared" si="71"/>
        <v/>
      </c>
      <c r="U637" s="716">
        <f t="shared" si="70"/>
        <v>0</v>
      </c>
    </row>
    <row r="638" spans="1:21">
      <c r="A638" s="427" t="str">
        <f t="shared" si="65"/>
        <v>re</v>
      </c>
      <c r="B638" s="427" t="str">
        <f t="shared" si="67"/>
        <v xml:space="preserve">n </v>
      </c>
      <c r="C638" s="427" t="str">
        <f t="shared" si="68"/>
        <v/>
      </c>
      <c r="D638" s="427" t="s">
        <v>3438</v>
      </c>
      <c r="F638" s="759" t="s">
        <v>2512</v>
      </c>
      <c r="G638" s="426" t="str">
        <f t="shared" si="71"/>
        <v/>
      </c>
      <c r="T638" s="716"/>
      <c r="U638" s="716">
        <f t="shared" si="70"/>
        <v>0</v>
      </c>
    </row>
    <row r="639" spans="1:21">
      <c r="A639" s="427" t="str">
        <f t="shared" si="65"/>
        <v>KU</v>
      </c>
      <c r="B639" s="427" t="str">
        <f t="shared" si="67"/>
        <v>KY</v>
      </c>
      <c r="C639" s="427" t="str">
        <f t="shared" si="68"/>
        <v>E</v>
      </c>
      <c r="D639" s="427" t="s">
        <v>3438</v>
      </c>
      <c r="E639" s="427" t="str">
        <f>MID($F639,8,3)</f>
        <v>311</v>
      </c>
      <c r="F639" s="756" t="s">
        <v>2193</v>
      </c>
      <c r="G639" s="426" t="str">
        <f t="shared" si="71"/>
        <v>STEAM</v>
      </c>
      <c r="H639" s="427">
        <v>0</v>
      </c>
      <c r="I639" s="427">
        <v>0.06</v>
      </c>
      <c r="J639" s="427">
        <v>0.06</v>
      </c>
      <c r="K639" s="427">
        <v>0.06</v>
      </c>
      <c r="L639" s="427">
        <v>0.06</v>
      </c>
      <c r="M639" s="427">
        <v>0.06</v>
      </c>
      <c r="N639" s="427">
        <v>0.06</v>
      </c>
      <c r="O639" s="427">
        <v>0.06</v>
      </c>
      <c r="P639" s="427">
        <v>0.06</v>
      </c>
      <c r="Q639" s="427">
        <v>0.06</v>
      </c>
      <c r="R639" s="427">
        <v>0.06</v>
      </c>
      <c r="S639" s="427">
        <v>0.06</v>
      </c>
      <c r="T639" s="427">
        <v>0.06</v>
      </c>
      <c r="U639" s="716">
        <f t="shared" si="70"/>
        <v>0.7200000000000002</v>
      </c>
    </row>
    <row r="640" spans="1:21">
      <c r="A640" s="427" t="str">
        <f t="shared" si="65"/>
        <v>KU</v>
      </c>
      <c r="B640" s="427" t="str">
        <f t="shared" si="67"/>
        <v>KY</v>
      </c>
      <c r="C640" s="427" t="str">
        <f t="shared" si="68"/>
        <v>E</v>
      </c>
      <c r="D640" s="427" t="s">
        <v>3438</v>
      </c>
      <c r="E640" s="427" t="str">
        <f>MID($F640,8,3)</f>
        <v>312</v>
      </c>
      <c r="F640" s="756" t="s">
        <v>1733</v>
      </c>
      <c r="G640" s="426" t="str">
        <f t="shared" si="71"/>
        <v>STEAM</v>
      </c>
      <c r="H640" s="427">
        <v>57.539833333333299</v>
      </c>
      <c r="I640" s="427">
        <v>51.928333333333299</v>
      </c>
      <c r="J640" s="427">
        <v>51.926499999999997</v>
      </c>
      <c r="K640" s="427">
        <v>51.926499999999997</v>
      </c>
      <c r="L640" s="427">
        <v>51.926499999999997</v>
      </c>
      <c r="M640" s="427">
        <v>51.926499999999997</v>
      </c>
      <c r="N640" s="427">
        <v>51.9151666666667</v>
      </c>
      <c r="O640" s="427">
        <v>51.9151666666667</v>
      </c>
      <c r="P640" s="427">
        <v>51.9151666666667</v>
      </c>
      <c r="Q640" s="427">
        <v>51.9151666666667</v>
      </c>
      <c r="R640" s="427">
        <v>51.9151666666667</v>
      </c>
      <c r="S640" s="427">
        <v>51.9151666666667</v>
      </c>
      <c r="T640" s="427">
        <v>51.9151666666667</v>
      </c>
      <c r="U640" s="716">
        <f t="shared" ref="U640:U649" si="73">SUM(I640:T640)</f>
        <v>623.04050000000018</v>
      </c>
    </row>
    <row r="641" spans="1:21">
      <c r="A641" s="427" t="str">
        <f t="shared" si="65"/>
        <v>KU</v>
      </c>
      <c r="B641" s="427" t="str">
        <f t="shared" si="67"/>
        <v>KY</v>
      </c>
      <c r="C641" s="427" t="str">
        <f t="shared" si="68"/>
        <v>E</v>
      </c>
      <c r="D641" s="427" t="s">
        <v>3438</v>
      </c>
      <c r="E641" s="427" t="str">
        <f>MID($F641,8,3)</f>
        <v>312</v>
      </c>
      <c r="F641" s="756" t="s">
        <v>1734</v>
      </c>
      <c r="G641" s="426" t="str">
        <f t="shared" si="71"/>
        <v>STEAM</v>
      </c>
      <c r="H641" s="427">
        <v>0</v>
      </c>
      <c r="I641" s="427">
        <v>0.118333333333333</v>
      </c>
      <c r="J641" s="427">
        <v>0.118333333333333</v>
      </c>
      <c r="K641" s="427">
        <v>0.118333333333333</v>
      </c>
      <c r="L641" s="427">
        <v>0.118333333333333</v>
      </c>
      <c r="M641" s="427">
        <v>0.118333333333333</v>
      </c>
      <c r="N641" s="427">
        <v>0.118333333333333</v>
      </c>
      <c r="O641" s="427">
        <v>0.118333333333333</v>
      </c>
      <c r="P641" s="427">
        <v>0.118333333333333</v>
      </c>
      <c r="Q641" s="427">
        <v>0.118333333333333</v>
      </c>
      <c r="R641" s="427">
        <v>0.118333333333333</v>
      </c>
      <c r="S641" s="427">
        <v>0.118333333333333</v>
      </c>
      <c r="T641" s="427">
        <v>0.118333333333333</v>
      </c>
      <c r="U641" s="716">
        <f t="shared" si="73"/>
        <v>1.4199999999999957</v>
      </c>
    </row>
    <row r="642" spans="1:21">
      <c r="A642" s="427" t="str">
        <f t="shared" si="65"/>
        <v>KU</v>
      </c>
      <c r="B642" s="427" t="str">
        <f t="shared" si="67"/>
        <v>KY</v>
      </c>
      <c r="C642" s="427" t="str">
        <f t="shared" si="68"/>
        <v>E</v>
      </c>
      <c r="D642" s="427" t="s">
        <v>3438</v>
      </c>
      <c r="E642" s="427" t="str">
        <f>MID($F642,8,3)</f>
        <v>312</v>
      </c>
      <c r="F642" s="756" t="s">
        <v>1735</v>
      </c>
      <c r="G642" s="426" t="str">
        <f t="shared" si="71"/>
        <v>STEAM</v>
      </c>
      <c r="H642" s="427">
        <v>0</v>
      </c>
      <c r="I642" s="427">
        <v>5.3594999999999997</v>
      </c>
      <c r="J642" s="427">
        <v>5.3594999999999997</v>
      </c>
      <c r="K642" s="427">
        <v>5.3594999999999997</v>
      </c>
      <c r="L642" s="427">
        <v>5.3594999999999997</v>
      </c>
      <c r="M642" s="427">
        <v>5.3594999999999997</v>
      </c>
      <c r="N642" s="427">
        <v>5.3594999999999997</v>
      </c>
      <c r="O642" s="427">
        <v>5.3594999999999997</v>
      </c>
      <c r="P642" s="427">
        <v>5.3594999999999997</v>
      </c>
      <c r="Q642" s="427">
        <v>5.3594999999999997</v>
      </c>
      <c r="R642" s="427">
        <v>5.3594999999999997</v>
      </c>
      <c r="S642" s="427">
        <v>5.3594999999999997</v>
      </c>
      <c r="T642" s="427">
        <v>5.3594999999999997</v>
      </c>
      <c r="U642" s="716">
        <f t="shared" si="73"/>
        <v>64.313999999999979</v>
      </c>
    </row>
    <row r="643" spans="1:21">
      <c r="A643" s="427" t="str">
        <f t="shared" si="65"/>
        <v>KU</v>
      </c>
      <c r="B643" s="427" t="str">
        <f t="shared" si="67"/>
        <v>KY</v>
      </c>
      <c r="C643" s="427" t="str">
        <f t="shared" si="68"/>
        <v>E</v>
      </c>
      <c r="D643" s="427" t="s">
        <v>3438</v>
      </c>
      <c r="E643" s="427" t="str">
        <f>MID($F643,8,3)</f>
        <v>315</v>
      </c>
      <c r="F643" s="756" t="s">
        <v>1739</v>
      </c>
      <c r="G643" s="426" t="str">
        <f t="shared" si="71"/>
        <v>STEAM</v>
      </c>
      <c r="H643" s="427">
        <v>0</v>
      </c>
      <c r="I643" s="427">
        <v>6.7916666666666695E-2</v>
      </c>
      <c r="J643" s="427">
        <v>6.7916666666666695E-2</v>
      </c>
      <c r="K643" s="427">
        <v>6.7916666666666695E-2</v>
      </c>
      <c r="L643" s="427">
        <v>6.7916666666666695E-2</v>
      </c>
      <c r="M643" s="427">
        <v>6.7916666666666695E-2</v>
      </c>
      <c r="N643" s="427">
        <v>6.7916666666666695E-2</v>
      </c>
      <c r="O643" s="427">
        <v>6.7916666666666695E-2</v>
      </c>
      <c r="P643" s="427">
        <v>6.7916666666666695E-2</v>
      </c>
      <c r="Q643" s="427">
        <v>6.7916666666666695E-2</v>
      </c>
      <c r="R643" s="427">
        <v>6.7916666666666695E-2</v>
      </c>
      <c r="S643" s="427">
        <v>6.7916666666666695E-2</v>
      </c>
      <c r="T643" s="427">
        <v>6.7916666666666695E-2</v>
      </c>
      <c r="U643" s="716">
        <f t="shared" si="73"/>
        <v>0.8150000000000005</v>
      </c>
    </row>
    <row r="644" spans="1:21">
      <c r="A644" s="427" t="str">
        <f t="shared" si="65"/>
        <v>KU</v>
      </c>
      <c r="B644" s="427" t="str">
        <f t="shared" si="67"/>
        <v>KY</v>
      </c>
      <c r="C644" s="427" t="str">
        <f t="shared" si="68"/>
        <v>E</v>
      </c>
      <c r="D644" s="427" t="s">
        <v>3438</v>
      </c>
      <c r="E644" s="427" t="str">
        <f t="shared" ref="E644:E654" si="74">MID($F644,8,3)</f>
        <v>334</v>
      </c>
      <c r="F644" s="756" t="s">
        <v>1746</v>
      </c>
      <c r="G644" s="426" t="str">
        <f t="shared" si="71"/>
        <v>HYDRO</v>
      </c>
      <c r="H644" s="427">
        <v>0.26774999999999999</v>
      </c>
      <c r="I644" s="427">
        <v>0.26774999999999999</v>
      </c>
      <c r="J644" s="427">
        <v>0.26774999999999999</v>
      </c>
      <c r="K644" s="427">
        <v>0.26774999999999999</v>
      </c>
      <c r="L644" s="427">
        <v>0.26774999999999999</v>
      </c>
      <c r="M644" s="427">
        <v>0.26774999999999999</v>
      </c>
      <c r="N644" s="427">
        <v>0.26774999999999999</v>
      </c>
      <c r="O644" s="427">
        <v>0.26774999999999999</v>
      </c>
      <c r="P644" s="427">
        <v>0.26774999999999999</v>
      </c>
      <c r="Q644" s="427">
        <v>0.26774999999999999</v>
      </c>
      <c r="R644" s="427">
        <v>0.26774999999999999</v>
      </c>
      <c r="S644" s="427">
        <v>0.26774999999999999</v>
      </c>
      <c r="T644" s="427">
        <v>0.26774999999999999</v>
      </c>
      <c r="U644" s="716">
        <f t="shared" si="73"/>
        <v>3.2129999999999996</v>
      </c>
    </row>
    <row r="645" spans="1:21">
      <c r="A645" s="427" t="str">
        <f t="shared" si="65"/>
        <v>KU</v>
      </c>
      <c r="B645" s="427" t="str">
        <f t="shared" si="67"/>
        <v>KY</v>
      </c>
      <c r="C645" s="427" t="str">
        <f t="shared" si="68"/>
        <v>E</v>
      </c>
      <c r="D645" s="427" t="s">
        <v>3438</v>
      </c>
      <c r="E645" s="427" t="str">
        <f t="shared" si="74"/>
        <v>342</v>
      </c>
      <c r="F645" s="756" t="s">
        <v>1752</v>
      </c>
      <c r="G645" s="426" t="str">
        <f t="shared" si="71"/>
        <v>OTHER</v>
      </c>
      <c r="H645" s="427">
        <v>15.3480833333333</v>
      </c>
      <c r="I645" s="427">
        <v>15.355499999999999</v>
      </c>
      <c r="J645" s="427">
        <v>15.355499999999999</v>
      </c>
      <c r="K645" s="427">
        <v>15.355499999999999</v>
      </c>
      <c r="L645" s="427">
        <v>15.355499999999999</v>
      </c>
      <c r="M645" s="427">
        <v>15.355499999999999</v>
      </c>
      <c r="N645" s="427">
        <v>15.355499999999999</v>
      </c>
      <c r="O645" s="427">
        <v>15.355499999999999</v>
      </c>
      <c r="P645" s="427">
        <v>15.355499999999999</v>
      </c>
      <c r="Q645" s="427">
        <v>15.355499999999999</v>
      </c>
      <c r="R645" s="427">
        <v>15.355499999999999</v>
      </c>
      <c r="S645" s="427">
        <v>15.355499999999999</v>
      </c>
      <c r="T645" s="427">
        <v>15.355499999999999</v>
      </c>
      <c r="U645" s="716">
        <f t="shared" si="73"/>
        <v>184.26600000000005</v>
      </c>
    </row>
    <row r="646" spans="1:21">
      <c r="A646" s="427" t="str">
        <f t="shared" si="65"/>
        <v>KU</v>
      </c>
      <c r="B646" s="427" t="str">
        <f t="shared" si="67"/>
        <v>KY</v>
      </c>
      <c r="C646" s="427" t="str">
        <f t="shared" si="68"/>
        <v>E</v>
      </c>
      <c r="D646" s="427" t="s">
        <v>3438</v>
      </c>
      <c r="E646" s="427" t="str">
        <f t="shared" si="74"/>
        <v>353</v>
      </c>
      <c r="F646" s="756" t="s">
        <v>1763</v>
      </c>
      <c r="G646" s="426" t="str">
        <f t="shared" si="71"/>
        <v>TRANSMISSION</v>
      </c>
      <c r="H646" s="427">
        <v>2.6718333333333302</v>
      </c>
      <c r="I646" s="427">
        <v>2.6718333333333302</v>
      </c>
      <c r="J646" s="427">
        <v>2.67166666666667</v>
      </c>
      <c r="K646" s="427">
        <v>2.6715833333333299</v>
      </c>
      <c r="L646" s="427">
        <v>2.6715833333333299</v>
      </c>
      <c r="M646" s="427">
        <v>2.6709999999999998</v>
      </c>
      <c r="N646" s="427">
        <v>2.6709999999999998</v>
      </c>
      <c r="O646" s="427">
        <v>2.6709999999999998</v>
      </c>
      <c r="P646" s="427">
        <v>2.6709999999999998</v>
      </c>
      <c r="Q646" s="427">
        <v>2.6709999999999998</v>
      </c>
      <c r="R646" s="427">
        <v>2.6709999999999998</v>
      </c>
      <c r="S646" s="427">
        <v>2.6709999999999998</v>
      </c>
      <c r="T646" s="427">
        <v>2.6709999999999998</v>
      </c>
      <c r="U646" s="716">
        <f t="shared" si="73"/>
        <v>32.054666666666655</v>
      </c>
    </row>
    <row r="647" spans="1:21">
      <c r="A647" s="427" t="str">
        <f t="shared" si="65"/>
        <v>KY</v>
      </c>
      <c r="B647" s="427" t="str">
        <f t="shared" si="67"/>
        <v xml:space="preserve"> A</v>
      </c>
      <c r="C647" s="427" t="str">
        <f t="shared" si="68"/>
        <v/>
      </c>
      <c r="E647" s="427" t="str">
        <f t="shared" si="74"/>
        <v>lan</v>
      </c>
      <c r="F647" s="758" t="s">
        <v>1829</v>
      </c>
      <c r="G647" s="426" t="str">
        <f t="shared" si="71"/>
        <v/>
      </c>
      <c r="H647" s="427">
        <f>SUM(H639:H646)</f>
        <v>75.82749999999993</v>
      </c>
      <c r="I647" s="427">
        <f t="shared" ref="I647:N647" si="75">SUM(I639:I646)</f>
        <v>75.829166666666623</v>
      </c>
      <c r="J647" s="427">
        <f t="shared" si="75"/>
        <v>75.827166666666656</v>
      </c>
      <c r="K647" s="427">
        <f t="shared" si="75"/>
        <v>75.82708333333332</v>
      </c>
      <c r="L647" s="427">
        <f t="shared" si="75"/>
        <v>75.82708333333332</v>
      </c>
      <c r="M647" s="427">
        <f t="shared" si="75"/>
        <v>75.826499999999996</v>
      </c>
      <c r="N647" s="427">
        <f t="shared" si="75"/>
        <v>75.815166666666713</v>
      </c>
      <c r="O647" s="427">
        <v>75.815166666666713</v>
      </c>
      <c r="P647" s="427">
        <v>75.815166666666713</v>
      </c>
      <c r="Q647" s="427">
        <v>75.815166666666713</v>
      </c>
      <c r="R647" s="427">
        <v>75.815166666666713</v>
      </c>
      <c r="S647" s="427">
        <v>75.815166666666713</v>
      </c>
      <c r="T647" s="427">
        <v>75.815166666666713</v>
      </c>
      <c r="U647" s="716">
        <f t="shared" si="73"/>
        <v>909.84316666666712</v>
      </c>
    </row>
    <row r="648" spans="1:21">
      <c r="A648" s="427" t="str">
        <f t="shared" si="65"/>
        <v/>
      </c>
      <c r="B648" s="427" t="str">
        <f t="shared" si="67"/>
        <v/>
      </c>
      <c r="C648" s="427" t="str">
        <f t="shared" si="68"/>
        <v/>
      </c>
      <c r="E648" s="427" t="str">
        <f t="shared" si="74"/>
        <v/>
      </c>
      <c r="G648" s="426" t="str">
        <f t="shared" si="71"/>
        <v/>
      </c>
      <c r="U648" s="427">
        <f t="shared" si="73"/>
        <v>0</v>
      </c>
    </row>
    <row r="649" spans="1:21">
      <c r="A649" s="427" t="str">
        <f t="shared" si="65"/>
        <v>um</v>
      </c>
      <c r="B649" s="427" t="str">
        <f t="shared" si="67"/>
        <v>FE</v>
      </c>
      <c r="C649" s="427" t="str">
        <f t="shared" si="68"/>
        <v/>
      </c>
      <c r="D649" s="427" t="s">
        <v>3439</v>
      </c>
      <c r="E649" s="427" t="str">
        <f t="shared" si="74"/>
        <v>epr</v>
      </c>
      <c r="F649" s="759" t="s">
        <v>2513</v>
      </c>
      <c r="G649" s="426" t="str">
        <f t="shared" si="71"/>
        <v/>
      </c>
      <c r="U649" s="427">
        <f t="shared" si="73"/>
        <v>0</v>
      </c>
    </row>
    <row r="650" spans="1:21">
      <c r="A650" s="427" t="str">
        <f t="shared" si="65"/>
        <v>KU</v>
      </c>
      <c r="B650" s="427" t="str">
        <f t="shared" si="67"/>
        <v>KY</v>
      </c>
      <c r="C650" s="427" t="str">
        <f t="shared" si="68"/>
        <v>E</v>
      </c>
      <c r="D650" s="427" t="s">
        <v>3439</v>
      </c>
      <c r="E650" s="427" t="str">
        <f t="shared" si="74"/>
        <v>312</v>
      </c>
      <c r="F650" s="756" t="s">
        <v>1733</v>
      </c>
      <c r="G650" s="426" t="str">
        <f t="shared" si="71"/>
        <v>STEAM</v>
      </c>
      <c r="H650" s="427">
        <v>17311.206963333301</v>
      </c>
      <c r="I650" s="427">
        <v>17341.464940000002</v>
      </c>
      <c r="J650" s="427">
        <v>17364.236653333301</v>
      </c>
      <c r="K650" s="427">
        <v>17396.463736666701</v>
      </c>
      <c r="L650" s="427">
        <v>17428.69082</v>
      </c>
      <c r="M650" s="427">
        <v>17460.917903333298</v>
      </c>
      <c r="N650" s="427">
        <v>17492.962653333401</v>
      </c>
      <c r="O650" s="427">
        <v>17525.189403333399</v>
      </c>
      <c r="P650" s="427">
        <v>17557.416153333401</v>
      </c>
      <c r="Q650" s="427">
        <v>17589.642903333399</v>
      </c>
      <c r="R650" s="427">
        <v>17621.8696533334</v>
      </c>
      <c r="S650" s="427">
        <v>17654.096403333398</v>
      </c>
      <c r="T650" s="427">
        <v>17686.3231533334</v>
      </c>
    </row>
    <row r="651" spans="1:21">
      <c r="A651" s="427" t="str">
        <f t="shared" si="65"/>
        <v>KU</v>
      </c>
      <c r="B651" s="427" t="str">
        <f t="shared" si="67"/>
        <v>KY</v>
      </c>
      <c r="C651" s="427" t="str">
        <f t="shared" si="68"/>
        <v>E</v>
      </c>
      <c r="D651" s="427" t="s">
        <v>3439</v>
      </c>
      <c r="E651" s="427" t="str">
        <f t="shared" si="74"/>
        <v>334</v>
      </c>
      <c r="F651" s="756" t="s">
        <v>1746</v>
      </c>
      <c r="G651" s="426" t="str">
        <f t="shared" si="71"/>
        <v>HYDRO</v>
      </c>
      <c r="H651" s="427">
        <v>3.3685000000000098</v>
      </c>
      <c r="I651" s="427">
        <v>3.3705833333333399</v>
      </c>
      <c r="J651" s="427">
        <v>3.37266666666667</v>
      </c>
      <c r="K651" s="427">
        <v>3.3747500000000099</v>
      </c>
      <c r="L651" s="427">
        <v>3.37683333333334</v>
      </c>
      <c r="M651" s="427">
        <v>3.3789166666666701</v>
      </c>
      <c r="N651" s="427">
        <v>3.38100000000001</v>
      </c>
      <c r="O651" s="427">
        <v>3.3830833333333401</v>
      </c>
      <c r="P651" s="427">
        <v>3.3851666666666702</v>
      </c>
      <c r="Q651" s="427">
        <v>3.3872500000000101</v>
      </c>
      <c r="R651" s="427">
        <v>3.3893333333333402</v>
      </c>
      <c r="S651" s="427">
        <v>3.3914166666666699</v>
      </c>
      <c r="T651" s="427">
        <v>3.3935000000000102</v>
      </c>
    </row>
    <row r="652" spans="1:21">
      <c r="A652" s="427" t="str">
        <f t="shared" si="65"/>
        <v>KU</v>
      </c>
      <c r="B652" s="427" t="str">
        <f t="shared" si="67"/>
        <v>KY</v>
      </c>
      <c r="C652" s="427" t="str">
        <f t="shared" si="68"/>
        <v>E</v>
      </c>
      <c r="D652" s="427" t="s">
        <v>3439</v>
      </c>
      <c r="E652" s="427" t="str">
        <f t="shared" si="74"/>
        <v>342</v>
      </c>
      <c r="F652" s="756" t="s">
        <v>1752</v>
      </c>
      <c r="G652" s="426" t="str">
        <f t="shared" si="71"/>
        <v>OTHER</v>
      </c>
      <c r="H652" s="427">
        <v>1.6698233333333301</v>
      </c>
      <c r="I652" s="427">
        <v>1.6776566666666699</v>
      </c>
      <c r="J652" s="427">
        <v>1.6854899999999999</v>
      </c>
      <c r="K652" s="427">
        <v>1.69332333333333</v>
      </c>
      <c r="L652" s="427">
        <v>1.70115666666667</v>
      </c>
      <c r="M652" s="427">
        <v>1.70899</v>
      </c>
      <c r="N652" s="427">
        <v>1.71682333333333</v>
      </c>
      <c r="O652" s="427">
        <v>1.7246566666666701</v>
      </c>
      <c r="P652" s="427">
        <v>1.7324900000000001</v>
      </c>
      <c r="Q652" s="427">
        <v>1.7403233333333299</v>
      </c>
      <c r="R652" s="427">
        <v>1.7481566666666699</v>
      </c>
      <c r="S652" s="427">
        <v>1.7559899999999999</v>
      </c>
      <c r="T652" s="427">
        <v>1.76382333333333</v>
      </c>
    </row>
    <row r="653" spans="1:21">
      <c r="A653" s="427" t="str">
        <f t="shared" si="65"/>
        <v>KU</v>
      </c>
      <c r="B653" s="427" t="str">
        <f t="shared" si="67"/>
        <v>KY</v>
      </c>
      <c r="C653" s="427" t="str">
        <f t="shared" si="68"/>
        <v>E</v>
      </c>
      <c r="D653" s="427" t="s">
        <v>3439</v>
      </c>
      <c r="E653" s="427" t="str">
        <f t="shared" si="74"/>
        <v>353</v>
      </c>
      <c r="F653" s="756" t="s">
        <v>1763</v>
      </c>
      <c r="G653" s="426" t="str">
        <f t="shared" si="71"/>
        <v>TRANSMISSION</v>
      </c>
      <c r="H653" s="427">
        <v>2614.4272366666701</v>
      </c>
      <c r="I653" s="427">
        <v>2619.70982</v>
      </c>
      <c r="J653" s="427">
        <v>2622.1655000000001</v>
      </c>
      <c r="K653" s="427">
        <v>2618.6492266666701</v>
      </c>
      <c r="L653" s="427">
        <v>2609.2175533333302</v>
      </c>
      <c r="M653" s="427">
        <v>2614.3015166666701</v>
      </c>
      <c r="N653" s="427">
        <v>2619.3316799999998</v>
      </c>
      <c r="O653" s="427">
        <v>2624.60201333333</v>
      </c>
      <c r="P653" s="427">
        <v>2629.8723466666702</v>
      </c>
      <c r="Q653" s="427">
        <v>2635.1426799999999</v>
      </c>
      <c r="R653" s="427">
        <v>2640.4130133333301</v>
      </c>
      <c r="S653" s="427">
        <v>2645.6833466666699</v>
      </c>
      <c r="T653" s="427">
        <v>2650.9536800000001</v>
      </c>
    </row>
    <row r="654" spans="1:21">
      <c r="A654" s="427" t="str">
        <f t="shared" si="65"/>
        <v>KY</v>
      </c>
      <c r="B654" s="427" t="str">
        <f t="shared" si="67"/>
        <v xml:space="preserve"> A</v>
      </c>
      <c r="C654" s="427" t="str">
        <f t="shared" si="68"/>
        <v/>
      </c>
      <c r="D654" s="427" t="str">
        <f t="shared" ref="D654:D655" si="76">IF(ISTEXT(MID($E654,SEARCH("FUTURE USE",$E654),3)),"F",IF(MID($E654,8,1)="1","E",IF(MID($E654,8,1)="2","G",IF(MID($E654,8,1)="3","C",""))))</f>
        <v/>
      </c>
      <c r="E654" s="427" t="str">
        <f t="shared" si="74"/>
        <v>lan</v>
      </c>
      <c r="F654" s="758" t="s">
        <v>1829</v>
      </c>
      <c r="G654" s="426" t="str">
        <f t="shared" si="71"/>
        <v/>
      </c>
      <c r="H654" s="427">
        <f>SUM(H650:H653)</f>
        <v>19930.672523333305</v>
      </c>
      <c r="I654" s="427">
        <f t="shared" ref="I654:N654" si="77">SUM(I650:I653)</f>
        <v>19966.223000000002</v>
      </c>
      <c r="J654" s="427">
        <f t="shared" si="77"/>
        <v>19991.460309999966</v>
      </c>
      <c r="K654" s="427">
        <f t="shared" si="77"/>
        <v>20020.181036666705</v>
      </c>
      <c r="L654" s="427">
        <f t="shared" si="77"/>
        <v>20042.98636333333</v>
      </c>
      <c r="M654" s="427">
        <f t="shared" si="77"/>
        <v>20080.307326666636</v>
      </c>
      <c r="N654" s="427">
        <f t="shared" si="77"/>
        <v>20117.392156666734</v>
      </c>
      <c r="O654" s="427">
        <v>20154.899156666728</v>
      </c>
      <c r="P654" s="427">
        <v>20192.406156666737</v>
      </c>
      <c r="Q654" s="427">
        <v>20229.913156666731</v>
      </c>
      <c r="R654" s="427">
        <v>20267.420156666733</v>
      </c>
      <c r="S654" s="427">
        <v>20304.927156666734</v>
      </c>
      <c r="T654" s="427">
        <v>20342.434156666732</v>
      </c>
    </row>
    <row r="655" spans="1:21">
      <c r="A655" s="427" t="str">
        <f t="shared" si="65"/>
        <v/>
      </c>
      <c r="B655" s="427" t="str">
        <f t="shared" si="67"/>
        <v/>
      </c>
      <c r="C655" s="427" t="str">
        <f t="shared" si="68"/>
        <v/>
      </c>
      <c r="D655" s="427" t="str">
        <f t="shared" si="76"/>
        <v/>
      </c>
      <c r="G655" s="426" t="str">
        <f t="shared" si="71"/>
        <v/>
      </c>
    </row>
    <row r="656" spans="1:21">
      <c r="A656" s="427" t="str">
        <f t="shared" si="65"/>
        <v>um</v>
      </c>
      <c r="B656" s="427" t="str">
        <f t="shared" si="67"/>
        <v>FE</v>
      </c>
      <c r="C656" s="427" t="str">
        <f t="shared" si="68"/>
        <v/>
      </c>
      <c r="D656" s="427" t="s">
        <v>3440</v>
      </c>
      <c r="F656" s="759" t="s">
        <v>2514</v>
      </c>
      <c r="G656" s="426" t="str">
        <f t="shared" si="71"/>
        <v/>
      </c>
    </row>
    <row r="657" spans="1:20">
      <c r="A657" s="427" t="str">
        <f t="shared" si="65"/>
        <v>KU</v>
      </c>
      <c r="B657" s="427" t="str">
        <f t="shared" si="67"/>
        <v>KY</v>
      </c>
      <c r="C657" s="427" t="str">
        <f t="shared" si="68"/>
        <v>E</v>
      </c>
      <c r="D657" s="427" t="s">
        <v>3440</v>
      </c>
      <c r="E657" s="427" t="str">
        <f t="shared" ref="E657:E672" si="78">MID($F657,8,3)</f>
        <v>311</v>
      </c>
      <c r="F657" s="756" t="s">
        <v>2193</v>
      </c>
      <c r="G657" s="426" t="str">
        <f t="shared" si="71"/>
        <v>STEAM</v>
      </c>
      <c r="H657" s="427">
        <v>0</v>
      </c>
      <c r="I657" s="427">
        <v>0.61775000000000002</v>
      </c>
      <c r="J657" s="427">
        <v>0.67774999999999996</v>
      </c>
      <c r="K657" s="427">
        <v>0.73775000000000002</v>
      </c>
      <c r="L657" s="427">
        <v>0.79774999999999996</v>
      </c>
      <c r="M657" s="427">
        <v>0.85775000000000001</v>
      </c>
      <c r="N657" s="427">
        <v>0.91774999999999995</v>
      </c>
      <c r="O657" s="427">
        <v>0.97775000000000001</v>
      </c>
      <c r="P657" s="427">
        <v>1.03775</v>
      </c>
      <c r="Q657" s="427">
        <v>1.09775</v>
      </c>
      <c r="R657" s="427">
        <v>1.1577500000000001</v>
      </c>
      <c r="S657" s="427">
        <v>1.2177500000000001</v>
      </c>
      <c r="T657" s="427">
        <v>1.2777499999999999</v>
      </c>
    </row>
    <row r="658" spans="1:20">
      <c r="A658" s="427" t="str">
        <f t="shared" si="65"/>
        <v>KU</v>
      </c>
      <c r="B658" s="427" t="str">
        <f t="shared" si="67"/>
        <v>KY</v>
      </c>
      <c r="C658" s="427" t="str">
        <f t="shared" si="68"/>
        <v>E</v>
      </c>
      <c r="D658" s="427" t="s">
        <v>3440</v>
      </c>
      <c r="E658" s="427" t="str">
        <f t="shared" si="78"/>
        <v>312</v>
      </c>
      <c r="F658" s="756" t="s">
        <v>1733</v>
      </c>
      <c r="G658" s="426" t="str">
        <f t="shared" si="71"/>
        <v>STEAM</v>
      </c>
      <c r="H658" s="427">
        <v>6153.3930966666703</v>
      </c>
      <c r="I658" s="427">
        <v>6079.3658699999996</v>
      </c>
      <c r="J658" s="427">
        <v>6130.3217100000002</v>
      </c>
      <c r="K658" s="427">
        <v>6182.2482099999997</v>
      </c>
      <c r="L658" s="427">
        <v>6234.1747100000002</v>
      </c>
      <c r="M658" s="427">
        <v>6286.1012099999998</v>
      </c>
      <c r="N658" s="427">
        <v>6332.5132566666698</v>
      </c>
      <c r="O658" s="427">
        <v>6384.4284233333401</v>
      </c>
      <c r="P658" s="427">
        <v>6436.3435900000004</v>
      </c>
      <c r="Q658" s="427">
        <v>6488.2587566666698</v>
      </c>
      <c r="R658" s="427">
        <v>6540.1739233333401</v>
      </c>
      <c r="S658" s="427">
        <v>6592.0890900000004</v>
      </c>
      <c r="T658" s="427">
        <v>6644.0042566666698</v>
      </c>
    </row>
    <row r="659" spans="1:20">
      <c r="A659" s="427" t="str">
        <f t="shared" si="65"/>
        <v>KU</v>
      </c>
      <c r="B659" s="427" t="str">
        <f t="shared" si="67"/>
        <v>KY</v>
      </c>
      <c r="C659" s="427" t="str">
        <f t="shared" si="68"/>
        <v>E</v>
      </c>
      <c r="D659" s="427" t="s">
        <v>3440</v>
      </c>
      <c r="E659" s="427" t="str">
        <f t="shared" si="78"/>
        <v>312</v>
      </c>
      <c r="F659" s="756" t="s">
        <v>1734</v>
      </c>
      <c r="G659" s="426" t="str">
        <f t="shared" si="71"/>
        <v>STEAM</v>
      </c>
      <c r="H659" s="427">
        <v>0</v>
      </c>
      <c r="I659" s="427">
        <v>2.0893333333333302</v>
      </c>
      <c r="J659" s="427">
        <v>2.20766666666667</v>
      </c>
      <c r="K659" s="427">
        <v>2.3260000000000001</v>
      </c>
      <c r="L659" s="427">
        <v>2.4443333333333301</v>
      </c>
      <c r="M659" s="427">
        <v>2.56266666666667</v>
      </c>
      <c r="N659" s="427">
        <v>2.681</v>
      </c>
      <c r="O659" s="427">
        <v>2.7993333333333301</v>
      </c>
      <c r="P659" s="427">
        <v>2.91766666666667</v>
      </c>
      <c r="Q659" s="427">
        <v>3.036</v>
      </c>
      <c r="R659" s="427">
        <v>3.1543333333333301</v>
      </c>
      <c r="S659" s="427">
        <v>3.2726666666666699</v>
      </c>
      <c r="T659" s="427">
        <v>3.391</v>
      </c>
    </row>
    <row r="660" spans="1:20">
      <c r="A660" s="427" t="str">
        <f t="shared" si="65"/>
        <v>KU</v>
      </c>
      <c r="B660" s="427" t="str">
        <f t="shared" si="67"/>
        <v>KY</v>
      </c>
      <c r="C660" s="427" t="str">
        <f t="shared" si="68"/>
        <v>E</v>
      </c>
      <c r="D660" s="427" t="s">
        <v>3440</v>
      </c>
      <c r="E660" s="427" t="str">
        <f t="shared" si="78"/>
        <v>312</v>
      </c>
      <c r="F660" s="756" t="s">
        <v>1735</v>
      </c>
      <c r="G660" s="426" t="str">
        <f t="shared" si="71"/>
        <v>STEAM</v>
      </c>
      <c r="H660" s="427">
        <v>0</v>
      </c>
      <c r="I660" s="427">
        <v>125.735666666667</v>
      </c>
      <c r="J660" s="427">
        <v>131.09516666666701</v>
      </c>
      <c r="K660" s="427">
        <v>136.45466666666701</v>
      </c>
      <c r="L660" s="427">
        <v>141.81416666666701</v>
      </c>
      <c r="M660" s="427">
        <v>147.173666666667</v>
      </c>
      <c r="N660" s="427">
        <v>152.533166666667</v>
      </c>
      <c r="O660" s="427">
        <v>157.892666666667</v>
      </c>
      <c r="P660" s="427">
        <v>163.25216666666699</v>
      </c>
      <c r="Q660" s="427">
        <v>168.61166666666699</v>
      </c>
      <c r="R660" s="427">
        <v>173.97116666666699</v>
      </c>
      <c r="S660" s="427">
        <v>179.33066666666701</v>
      </c>
      <c r="T660" s="427">
        <v>184.69016666666701</v>
      </c>
    </row>
    <row r="661" spans="1:20">
      <c r="A661" s="427" t="str">
        <f t="shared" si="65"/>
        <v>KU</v>
      </c>
      <c r="B661" s="427" t="str">
        <f t="shared" si="67"/>
        <v>KY</v>
      </c>
      <c r="C661" s="427" t="str">
        <f t="shared" si="68"/>
        <v>E</v>
      </c>
      <c r="D661" s="427" t="s">
        <v>3440</v>
      </c>
      <c r="E661" s="427" t="str">
        <f t="shared" si="78"/>
        <v>315</v>
      </c>
      <c r="F661" s="756" t="s">
        <v>1739</v>
      </c>
      <c r="G661" s="426" t="str">
        <f t="shared" si="71"/>
        <v>STEAM</v>
      </c>
      <c r="H661" s="427">
        <v>0</v>
      </c>
      <c r="I661" s="427">
        <v>1.2847500000000001</v>
      </c>
      <c r="J661" s="427">
        <v>1.35266666666667</v>
      </c>
      <c r="K661" s="427">
        <v>1.42058333333333</v>
      </c>
      <c r="L661" s="427">
        <v>1.4884999999999999</v>
      </c>
      <c r="M661" s="427">
        <v>1.5564166666666699</v>
      </c>
      <c r="N661" s="427">
        <v>1.6243333333333301</v>
      </c>
      <c r="O661" s="427">
        <v>1.69225</v>
      </c>
      <c r="P661" s="427">
        <v>1.76016666666667</v>
      </c>
      <c r="Q661" s="427">
        <v>1.82808333333333</v>
      </c>
      <c r="R661" s="427">
        <v>1.8959999999999999</v>
      </c>
      <c r="S661" s="427">
        <v>1.9639166666666701</v>
      </c>
      <c r="T661" s="427">
        <v>2.03183333333333</v>
      </c>
    </row>
    <row r="662" spans="1:20">
      <c r="A662" s="427" t="str">
        <f t="shared" si="65"/>
        <v>KU</v>
      </c>
      <c r="B662" s="427" t="str">
        <f t="shared" si="67"/>
        <v>KY</v>
      </c>
      <c r="C662" s="427" t="str">
        <f t="shared" si="68"/>
        <v>E</v>
      </c>
      <c r="D662" s="427" t="s">
        <v>3440</v>
      </c>
      <c r="E662" s="427" t="str">
        <f t="shared" si="78"/>
        <v>334</v>
      </c>
      <c r="F662" s="756" t="s">
        <v>1746</v>
      </c>
      <c r="G662" s="426" t="str">
        <f t="shared" si="71"/>
        <v>HYDRO</v>
      </c>
      <c r="H662" s="427">
        <v>15.558</v>
      </c>
      <c r="I662" s="427">
        <v>15.825749999999999</v>
      </c>
      <c r="J662" s="427">
        <v>16.093499999999999</v>
      </c>
      <c r="K662" s="427">
        <v>16.361249999999998</v>
      </c>
      <c r="L662" s="427">
        <v>16.629000000000001</v>
      </c>
      <c r="M662" s="427">
        <v>16.896750000000001</v>
      </c>
      <c r="N662" s="427">
        <v>17.1645</v>
      </c>
      <c r="O662" s="427">
        <v>17.43225</v>
      </c>
      <c r="P662" s="427">
        <v>17.7</v>
      </c>
      <c r="Q662" s="427">
        <v>17.967749999999999</v>
      </c>
      <c r="R662" s="427">
        <v>18.235499999999998</v>
      </c>
      <c r="S662" s="427">
        <v>18.503250000000001</v>
      </c>
      <c r="T662" s="427">
        <v>18.771000000000001</v>
      </c>
    </row>
    <row r="663" spans="1:20">
      <c r="A663" s="427" t="str">
        <f t="shared" si="65"/>
        <v>KU</v>
      </c>
      <c r="B663" s="427" t="str">
        <f t="shared" si="67"/>
        <v>KY</v>
      </c>
      <c r="C663" s="427" t="str">
        <f t="shared" si="68"/>
        <v>E</v>
      </c>
      <c r="D663" s="427" t="s">
        <v>3440</v>
      </c>
      <c r="E663" s="427" t="str">
        <f t="shared" si="78"/>
        <v>342</v>
      </c>
      <c r="F663" s="756" t="s">
        <v>1752</v>
      </c>
      <c r="G663" s="426" t="str">
        <f t="shared" si="71"/>
        <v>OTHER</v>
      </c>
      <c r="H663" s="427">
        <v>1530.77835</v>
      </c>
      <c r="I663" s="427">
        <v>1546.1338499999999</v>
      </c>
      <c r="J663" s="427">
        <v>1561.4893500000001</v>
      </c>
      <c r="K663" s="427">
        <v>1576.84485</v>
      </c>
      <c r="L663" s="427">
        <v>1592.2003500000001</v>
      </c>
      <c r="M663" s="427">
        <v>1607.55585</v>
      </c>
      <c r="N663" s="427">
        <v>1622.9113500000001</v>
      </c>
      <c r="O663" s="427">
        <v>1638.26685</v>
      </c>
      <c r="P663" s="427">
        <v>1653.6223500000001</v>
      </c>
      <c r="Q663" s="427">
        <v>1668.97785</v>
      </c>
      <c r="R663" s="427">
        <v>1684.3333500000001</v>
      </c>
      <c r="S663" s="427">
        <v>1699.68885</v>
      </c>
      <c r="T663" s="427">
        <v>1715.0443499999999</v>
      </c>
    </row>
    <row r="664" spans="1:20">
      <c r="A664" s="427" t="str">
        <f t="shared" si="65"/>
        <v>KU</v>
      </c>
      <c r="B664" s="427" t="str">
        <f t="shared" si="67"/>
        <v>KY</v>
      </c>
      <c r="C664" s="427" t="str">
        <f t="shared" si="68"/>
        <v>E</v>
      </c>
      <c r="D664" s="427" t="s">
        <v>3440</v>
      </c>
      <c r="E664" s="427" t="str">
        <f t="shared" si="78"/>
        <v>353</v>
      </c>
      <c r="F664" s="756" t="s">
        <v>1763</v>
      </c>
      <c r="G664" s="426" t="str">
        <f t="shared" si="71"/>
        <v>TRANSMISSION</v>
      </c>
      <c r="H664" s="427">
        <v>296.81096666666701</v>
      </c>
      <c r="I664" s="427">
        <v>299.4828</v>
      </c>
      <c r="J664" s="427">
        <v>302.04061666666701</v>
      </c>
      <c r="K664" s="427">
        <v>304.70377999999999</v>
      </c>
      <c r="L664" s="427">
        <v>307.37536333333298</v>
      </c>
      <c r="M664" s="427">
        <v>309.704563333333</v>
      </c>
      <c r="N664" s="427">
        <v>312.37556333333299</v>
      </c>
      <c r="O664" s="427">
        <v>315.04656333333298</v>
      </c>
      <c r="P664" s="427">
        <v>317.71756333333298</v>
      </c>
      <c r="Q664" s="427">
        <v>320.38856333333302</v>
      </c>
      <c r="R664" s="427">
        <v>323.05956333333302</v>
      </c>
      <c r="S664" s="427">
        <v>325.73056333333301</v>
      </c>
      <c r="T664" s="427">
        <v>328.401563333333</v>
      </c>
    </row>
    <row r="665" spans="1:20">
      <c r="A665" s="427" t="str">
        <f t="shared" si="65"/>
        <v>KY</v>
      </c>
      <c r="B665" s="427" t="str">
        <f t="shared" si="67"/>
        <v xml:space="preserve"> A</v>
      </c>
      <c r="C665" s="427" t="str">
        <f t="shared" si="68"/>
        <v/>
      </c>
      <c r="D665" s="427" t="s">
        <v>3440</v>
      </c>
      <c r="E665" s="427" t="str">
        <f t="shared" si="78"/>
        <v>lan</v>
      </c>
      <c r="F665" s="756" t="s">
        <v>1829</v>
      </c>
      <c r="G665" s="426" t="str">
        <f t="shared" si="71"/>
        <v/>
      </c>
      <c r="H665" s="427">
        <f>SUM(H657:H664)</f>
        <v>7996.5404133333368</v>
      </c>
      <c r="I665" s="427">
        <f t="shared" ref="I665:N665" si="79">SUM(I657:I664)</f>
        <v>8070.5357700000004</v>
      </c>
      <c r="J665" s="427">
        <f t="shared" si="79"/>
        <v>8145.2784266666667</v>
      </c>
      <c r="K665" s="427">
        <f t="shared" si="79"/>
        <v>8221.0970900000011</v>
      </c>
      <c r="L665" s="427">
        <f t="shared" si="79"/>
        <v>8296.9241733333329</v>
      </c>
      <c r="M665" s="427">
        <f t="shared" si="79"/>
        <v>8372.4088733333319</v>
      </c>
      <c r="N665" s="427">
        <f t="shared" si="79"/>
        <v>8442.7209200000016</v>
      </c>
      <c r="O665" s="427">
        <v>8518.5360866666742</v>
      </c>
      <c r="P665" s="427">
        <v>8594.3512533333342</v>
      </c>
      <c r="Q665" s="427">
        <v>8670.1664200000032</v>
      </c>
      <c r="R665" s="427">
        <v>8745.9815866666722</v>
      </c>
      <c r="S665" s="427">
        <v>8821.7967533333322</v>
      </c>
      <c r="T665" s="427">
        <v>8897.611920000003</v>
      </c>
    </row>
    <row r="666" spans="1:20">
      <c r="A666" s="427" t="str">
        <f t="shared" si="65"/>
        <v/>
      </c>
      <c r="B666" s="427" t="str">
        <f t="shared" si="67"/>
        <v/>
      </c>
      <c r="C666" s="427" t="str">
        <f t="shared" si="68"/>
        <v/>
      </c>
      <c r="E666" s="427" t="str">
        <f t="shared" si="78"/>
        <v/>
      </c>
      <c r="G666" s="426" t="str">
        <f t="shared" ref="G666:G689" si="80">IF(ISTEXT(MID($F666,SEARCH("FUTURE USE",$F666),3)),"FUTURE USE",IF(ISTEXT(MID($F666,SEARCH("ECR",$F666),3)),"ECR",IF(ISTEXT(MID($F666,SEARCH("ARO",$F666),3)),"ARO",IF(ISTEXT(MID($F666,SEARCH("DSM",$F666),3)),"DSM",""))))</f>
        <v/>
      </c>
    </row>
    <row r="667" spans="1:20">
      <c r="A667" s="427" t="str">
        <f t="shared" si="65"/>
        <v/>
      </c>
      <c r="B667" s="427" t="str">
        <f t="shared" si="67"/>
        <v/>
      </c>
      <c r="C667" s="427" t="str">
        <f t="shared" si="68"/>
        <v/>
      </c>
      <c r="E667" s="427" t="str">
        <f t="shared" si="78"/>
        <v/>
      </c>
      <c r="G667" s="426" t="str">
        <f t="shared" si="80"/>
        <v/>
      </c>
    </row>
    <row r="668" spans="1:20">
      <c r="A668" s="427" t="str">
        <f t="shared" ref="A668:A731" si="81">MID($F668,4,2)</f>
        <v/>
      </c>
      <c r="B668" s="427" t="str">
        <f t="shared" si="67"/>
        <v/>
      </c>
      <c r="C668" s="427" t="str">
        <f t="shared" si="68"/>
        <v/>
      </c>
      <c r="E668" s="427" t="str">
        <f t="shared" si="78"/>
        <v/>
      </c>
    </row>
    <row r="669" spans="1:20">
      <c r="A669" s="427" t="str">
        <f t="shared" si="81"/>
        <v/>
      </c>
      <c r="B669" s="427" t="str">
        <f t="shared" si="67"/>
        <v/>
      </c>
      <c r="C669" s="427" t="str">
        <f t="shared" si="68"/>
        <v/>
      </c>
      <c r="E669" s="427" t="str">
        <f t="shared" si="78"/>
        <v/>
      </c>
    </row>
    <row r="670" spans="1:20">
      <c r="A670" s="427" t="str">
        <f t="shared" si="81"/>
        <v/>
      </c>
      <c r="B670" s="427" t="str">
        <f t="shared" si="67"/>
        <v/>
      </c>
      <c r="C670" s="427" t="str">
        <f t="shared" si="68"/>
        <v/>
      </c>
      <c r="E670" s="427" t="str">
        <f t="shared" si="78"/>
        <v/>
      </c>
    </row>
    <row r="671" spans="1:20">
      <c r="A671" s="427" t="str">
        <f t="shared" si="81"/>
        <v/>
      </c>
      <c r="B671" s="427" t="str">
        <f t="shared" si="67"/>
        <v/>
      </c>
      <c r="C671" s="427" t="str">
        <f t="shared" si="68"/>
        <v/>
      </c>
      <c r="E671" s="427" t="str">
        <f t="shared" si="78"/>
        <v/>
      </c>
    </row>
    <row r="672" spans="1:20">
      <c r="A672" s="427" t="str">
        <f t="shared" si="81"/>
        <v/>
      </c>
      <c r="B672" s="427" t="str">
        <f t="shared" si="67"/>
        <v/>
      </c>
      <c r="C672" s="427" t="str">
        <f t="shared" si="68"/>
        <v/>
      </c>
      <c r="E672" s="427" t="str">
        <f t="shared" si="78"/>
        <v/>
      </c>
      <c r="G672" s="426" t="str">
        <f t="shared" si="80"/>
        <v/>
      </c>
    </row>
    <row r="673" spans="1:21">
      <c r="A673" s="427" t="str">
        <f t="shared" si="81"/>
        <v/>
      </c>
      <c r="B673" s="427" t="str">
        <f t="shared" si="67"/>
        <v/>
      </c>
      <c r="C673" s="427" t="str">
        <f t="shared" si="68"/>
        <v/>
      </c>
      <c r="G673" s="426" t="str">
        <f t="shared" si="80"/>
        <v/>
      </c>
    </row>
    <row r="674" spans="1:21">
      <c r="A674" s="427" t="str">
        <f t="shared" si="81"/>
        <v/>
      </c>
      <c r="B674" s="427" t="str">
        <f t="shared" si="67"/>
        <v/>
      </c>
      <c r="C674" s="427" t="str">
        <f t="shared" si="68"/>
        <v/>
      </c>
      <c r="G674" s="426" t="str">
        <f t="shared" si="80"/>
        <v/>
      </c>
    </row>
    <row r="675" spans="1:21">
      <c r="A675" s="427" t="str">
        <f t="shared" si="81"/>
        <v/>
      </c>
      <c r="B675" s="427" t="str">
        <f t="shared" si="67"/>
        <v/>
      </c>
      <c r="C675" s="427" t="str">
        <f t="shared" si="68"/>
        <v/>
      </c>
      <c r="G675" s="426" t="str">
        <f t="shared" si="80"/>
        <v/>
      </c>
    </row>
    <row r="676" spans="1:21">
      <c r="A676" s="427" t="str">
        <f t="shared" si="81"/>
        <v/>
      </c>
      <c r="B676" s="427" t="str">
        <f t="shared" si="67"/>
        <v/>
      </c>
      <c r="C676" s="427" t="str">
        <f t="shared" si="68"/>
        <v/>
      </c>
      <c r="E676" s="427" t="str">
        <f t="shared" ref="E676:E689" si="82">MID($F676,8,3)</f>
        <v/>
      </c>
      <c r="G676" s="426" t="str">
        <f t="shared" si="80"/>
        <v/>
      </c>
      <c r="U676" s="427">
        <f t="shared" ref="U676:U690" si="83">SUM(I676:T676)</f>
        <v>0</v>
      </c>
    </row>
    <row r="677" spans="1:21">
      <c r="A677" s="427" t="str">
        <f t="shared" si="81"/>
        <v/>
      </c>
      <c r="B677" s="427" t="str">
        <f t="shared" si="67"/>
        <v/>
      </c>
      <c r="C677" s="427" t="str">
        <f t="shared" si="68"/>
        <v/>
      </c>
      <c r="E677" s="427" t="str">
        <f t="shared" si="82"/>
        <v/>
      </c>
      <c r="G677" s="426" t="str">
        <f t="shared" si="80"/>
        <v/>
      </c>
      <c r="U677" s="427">
        <f t="shared" si="83"/>
        <v>0</v>
      </c>
    </row>
    <row r="678" spans="1:21">
      <c r="A678" s="427" t="str">
        <f t="shared" si="81"/>
        <v/>
      </c>
      <c r="B678" s="427" t="str">
        <f t="shared" si="67"/>
        <v/>
      </c>
      <c r="C678" s="427" t="str">
        <f t="shared" si="68"/>
        <v/>
      </c>
      <c r="E678" s="427" t="str">
        <f t="shared" si="82"/>
        <v/>
      </c>
      <c r="G678" s="426" t="str">
        <f t="shared" si="80"/>
        <v/>
      </c>
      <c r="U678" s="427">
        <f t="shared" si="83"/>
        <v>0</v>
      </c>
    </row>
    <row r="679" spans="1:21">
      <c r="A679" s="427" t="str">
        <f t="shared" si="81"/>
        <v/>
      </c>
      <c r="B679" s="427" t="str">
        <f t="shared" si="67"/>
        <v/>
      </c>
      <c r="C679" s="427" t="str">
        <f t="shared" si="68"/>
        <v/>
      </c>
      <c r="E679" s="427" t="str">
        <f t="shared" si="82"/>
        <v/>
      </c>
      <c r="G679" s="426" t="str">
        <f t="shared" si="80"/>
        <v/>
      </c>
      <c r="U679" s="427">
        <f t="shared" si="83"/>
        <v>0</v>
      </c>
    </row>
    <row r="680" spans="1:21">
      <c r="A680" s="427" t="str">
        <f t="shared" si="81"/>
        <v/>
      </c>
      <c r="B680" s="427" t="str">
        <f t="shared" si="67"/>
        <v/>
      </c>
      <c r="C680" s="427" t="str">
        <f t="shared" si="68"/>
        <v/>
      </c>
      <c r="E680" s="427" t="str">
        <f t="shared" si="82"/>
        <v/>
      </c>
      <c r="G680" s="426" t="str">
        <f t="shared" si="80"/>
        <v/>
      </c>
      <c r="U680" s="427">
        <f t="shared" si="83"/>
        <v>0</v>
      </c>
    </row>
    <row r="681" spans="1:21">
      <c r="A681" s="427" t="str">
        <f t="shared" si="81"/>
        <v/>
      </c>
      <c r="B681" s="427" t="str">
        <f t="shared" ref="B681:B744" si="84">IF(MID($F681,12,2)="- ","KY",IF(MID($F681,12,2)="SY","KY",MID($F681,12,2)))</f>
        <v/>
      </c>
      <c r="C681" s="427" t="str">
        <f t="shared" si="68"/>
        <v/>
      </c>
      <c r="E681" s="427" t="str">
        <f t="shared" si="82"/>
        <v/>
      </c>
      <c r="G681" s="426" t="str">
        <f t="shared" si="80"/>
        <v/>
      </c>
      <c r="U681" s="427">
        <f t="shared" si="83"/>
        <v>0</v>
      </c>
    </row>
    <row r="682" spans="1:21">
      <c r="A682" s="427" t="str">
        <f t="shared" si="81"/>
        <v/>
      </c>
      <c r="B682" s="427" t="str">
        <f t="shared" si="84"/>
        <v/>
      </c>
      <c r="C682" s="427" t="str">
        <f t="shared" si="68"/>
        <v/>
      </c>
      <c r="E682" s="427" t="str">
        <f t="shared" si="82"/>
        <v/>
      </c>
      <c r="G682" s="426" t="str">
        <f t="shared" si="80"/>
        <v/>
      </c>
      <c r="U682" s="427">
        <f t="shared" si="83"/>
        <v>0</v>
      </c>
    </row>
    <row r="683" spans="1:21">
      <c r="A683" s="427" t="str">
        <f t="shared" si="81"/>
        <v/>
      </c>
      <c r="B683" s="427" t="str">
        <f t="shared" si="84"/>
        <v/>
      </c>
      <c r="C683" s="427" t="str">
        <f t="shared" si="68"/>
        <v/>
      </c>
      <c r="E683" s="427" t="str">
        <f t="shared" si="82"/>
        <v/>
      </c>
      <c r="G683" s="426" t="str">
        <f t="shared" si="80"/>
        <v/>
      </c>
      <c r="U683" s="427">
        <f t="shared" si="83"/>
        <v>0</v>
      </c>
    </row>
    <row r="684" spans="1:21">
      <c r="A684" s="427" t="str">
        <f t="shared" si="81"/>
        <v/>
      </c>
      <c r="B684" s="427" t="str">
        <f t="shared" si="84"/>
        <v/>
      </c>
      <c r="C684" s="427" t="str">
        <f t="shared" si="68"/>
        <v/>
      </c>
      <c r="E684" s="427" t="str">
        <f t="shared" si="82"/>
        <v/>
      </c>
      <c r="G684" s="426" t="str">
        <f t="shared" si="80"/>
        <v/>
      </c>
      <c r="U684" s="427">
        <f t="shared" si="83"/>
        <v>0</v>
      </c>
    </row>
    <row r="685" spans="1:21">
      <c r="A685" s="427" t="str">
        <f t="shared" si="81"/>
        <v/>
      </c>
      <c r="B685" s="427" t="str">
        <f t="shared" si="84"/>
        <v/>
      </c>
      <c r="C685" s="427" t="str">
        <f t="shared" ref="C685:C716" si="85">IF(ISTEXT(MID($F685,SEARCH("FUTURE USE",$F685),3)),"F",IF(MID($F685,7,1)="1","E",IF(MID($F685,7,1)="2","G",IF(MID($F685,7,1)="3","C",""))))</f>
        <v/>
      </c>
      <c r="E685" s="427" t="str">
        <f t="shared" si="82"/>
        <v/>
      </c>
      <c r="G685" s="426" t="str">
        <f t="shared" si="80"/>
        <v/>
      </c>
      <c r="U685" s="427">
        <f t="shared" si="83"/>
        <v>0</v>
      </c>
    </row>
    <row r="686" spans="1:21">
      <c r="A686" s="427" t="str">
        <f t="shared" si="81"/>
        <v/>
      </c>
      <c r="B686" s="427" t="str">
        <f t="shared" si="84"/>
        <v/>
      </c>
      <c r="C686" s="427" t="str">
        <f t="shared" si="85"/>
        <v/>
      </c>
      <c r="E686" s="427" t="str">
        <f t="shared" si="82"/>
        <v/>
      </c>
      <c r="G686" s="426" t="str">
        <f t="shared" si="80"/>
        <v/>
      </c>
      <c r="U686" s="427">
        <f t="shared" si="83"/>
        <v>0</v>
      </c>
    </row>
    <row r="687" spans="1:21">
      <c r="A687" s="427" t="str">
        <f t="shared" si="81"/>
        <v/>
      </c>
      <c r="B687" s="427" t="str">
        <f t="shared" si="84"/>
        <v/>
      </c>
      <c r="C687" s="427" t="str">
        <f t="shared" si="85"/>
        <v/>
      </c>
      <c r="E687" s="427" t="str">
        <f t="shared" si="82"/>
        <v/>
      </c>
      <c r="G687" s="426" t="str">
        <f t="shared" si="80"/>
        <v/>
      </c>
      <c r="U687" s="427">
        <f t="shared" si="83"/>
        <v>0</v>
      </c>
    </row>
    <row r="688" spans="1:21">
      <c r="A688" s="427" t="str">
        <f t="shared" si="81"/>
        <v/>
      </c>
      <c r="B688" s="427" t="str">
        <f t="shared" si="84"/>
        <v/>
      </c>
      <c r="C688" s="427" t="str">
        <f t="shared" si="85"/>
        <v/>
      </c>
      <c r="E688" s="427" t="str">
        <f t="shared" si="82"/>
        <v/>
      </c>
      <c r="G688" s="426" t="str">
        <f t="shared" si="80"/>
        <v/>
      </c>
      <c r="U688" s="427">
        <f t="shared" si="83"/>
        <v>0</v>
      </c>
    </row>
    <row r="689" spans="1:21">
      <c r="A689" s="427" t="str">
        <f t="shared" si="81"/>
        <v/>
      </c>
      <c r="B689" s="427" t="str">
        <f t="shared" si="84"/>
        <v/>
      </c>
      <c r="C689" s="427" t="str">
        <f t="shared" si="85"/>
        <v/>
      </c>
      <c r="E689" s="427" t="str">
        <f t="shared" si="82"/>
        <v/>
      </c>
      <c r="G689" s="426" t="str">
        <f t="shared" si="80"/>
        <v/>
      </c>
      <c r="U689" s="427">
        <f t="shared" si="83"/>
        <v>0</v>
      </c>
    </row>
    <row r="690" spans="1:21">
      <c r="A690" s="427" t="str">
        <f t="shared" si="81"/>
        <v/>
      </c>
      <c r="B690" s="427" t="str">
        <f t="shared" si="84"/>
        <v/>
      </c>
      <c r="C690" s="427" t="str">
        <f t="shared" si="85"/>
        <v/>
      </c>
      <c r="U690" s="427">
        <f t="shared" si="83"/>
        <v>0</v>
      </c>
    </row>
    <row r="691" spans="1:21">
      <c r="A691" s="427" t="str">
        <f t="shared" si="81"/>
        <v/>
      </c>
      <c r="B691" s="427" t="str">
        <f t="shared" si="84"/>
        <v/>
      </c>
      <c r="C691" s="427" t="str">
        <f t="shared" si="85"/>
        <v/>
      </c>
      <c r="D691" s="427" t="str">
        <f t="shared" ref="C691:D741" si="86">IF(ISTEXT(MID($E691,SEARCH("FUTURE USE",$E691),3)),"F",IF(MID($E691,8,1)="1","E",IF(MID($E691,8,1)="2","G",IF(MID($E691,8,1)="3","C",""))))</f>
        <v/>
      </c>
    </row>
    <row r="692" spans="1:21">
      <c r="A692" s="427" t="str">
        <f t="shared" si="81"/>
        <v/>
      </c>
      <c r="B692" s="427" t="str">
        <f t="shared" si="84"/>
        <v/>
      </c>
      <c r="C692" s="427" t="str">
        <f t="shared" si="85"/>
        <v/>
      </c>
      <c r="D692" s="427" t="str">
        <f t="shared" si="86"/>
        <v/>
      </c>
    </row>
    <row r="693" spans="1:21">
      <c r="A693" s="427" t="str">
        <f t="shared" si="81"/>
        <v/>
      </c>
      <c r="B693" s="427" t="str">
        <f t="shared" si="84"/>
        <v/>
      </c>
      <c r="C693" s="427" t="str">
        <f t="shared" si="85"/>
        <v/>
      </c>
      <c r="D693" s="427" t="str">
        <f t="shared" si="86"/>
        <v/>
      </c>
    </row>
    <row r="694" spans="1:21">
      <c r="A694" s="427" t="str">
        <f t="shared" si="81"/>
        <v/>
      </c>
      <c r="B694" s="427" t="str">
        <f t="shared" si="84"/>
        <v/>
      </c>
      <c r="C694" s="427" t="str">
        <f t="shared" si="85"/>
        <v/>
      </c>
      <c r="D694" s="427" t="str">
        <f t="shared" si="86"/>
        <v/>
      </c>
    </row>
    <row r="695" spans="1:21">
      <c r="A695" s="427" t="str">
        <f t="shared" si="81"/>
        <v/>
      </c>
      <c r="B695" s="427" t="str">
        <f t="shared" si="84"/>
        <v/>
      </c>
      <c r="C695" s="427" t="str">
        <f t="shared" si="85"/>
        <v/>
      </c>
      <c r="D695" s="427" t="str">
        <f t="shared" si="86"/>
        <v/>
      </c>
    </row>
    <row r="696" spans="1:21">
      <c r="A696" s="427" t="str">
        <f t="shared" si="81"/>
        <v/>
      </c>
      <c r="B696" s="427" t="str">
        <f t="shared" si="84"/>
        <v/>
      </c>
      <c r="C696" s="427" t="str">
        <f t="shared" si="85"/>
        <v/>
      </c>
      <c r="D696" s="427" t="str">
        <f t="shared" si="86"/>
        <v/>
      </c>
    </row>
    <row r="697" spans="1:21">
      <c r="A697" s="427" t="str">
        <f t="shared" si="81"/>
        <v/>
      </c>
      <c r="B697" s="427" t="str">
        <f t="shared" si="84"/>
        <v/>
      </c>
      <c r="C697" s="427" t="str">
        <f t="shared" si="85"/>
        <v/>
      </c>
      <c r="D697" s="427" t="str">
        <f t="shared" si="86"/>
        <v/>
      </c>
    </row>
    <row r="698" spans="1:21">
      <c r="A698" s="427" t="str">
        <f t="shared" si="81"/>
        <v/>
      </c>
      <c r="B698" s="427" t="str">
        <f t="shared" si="84"/>
        <v/>
      </c>
      <c r="C698" s="427" t="str">
        <f t="shared" si="85"/>
        <v/>
      </c>
      <c r="D698" s="427" t="str">
        <f t="shared" si="86"/>
        <v/>
      </c>
    </row>
    <row r="699" spans="1:21">
      <c r="A699" s="427" t="str">
        <f t="shared" si="81"/>
        <v/>
      </c>
      <c r="B699" s="427" t="str">
        <f t="shared" si="84"/>
        <v/>
      </c>
      <c r="C699" s="427" t="str">
        <f t="shared" si="85"/>
        <v/>
      </c>
      <c r="D699" s="427" t="str">
        <f t="shared" si="86"/>
        <v/>
      </c>
    </row>
    <row r="700" spans="1:21">
      <c r="A700" s="427" t="str">
        <f t="shared" si="81"/>
        <v/>
      </c>
      <c r="B700" s="427" t="str">
        <f t="shared" si="84"/>
        <v/>
      </c>
      <c r="C700" s="427" t="str">
        <f t="shared" si="85"/>
        <v/>
      </c>
      <c r="D700" s="427" t="str">
        <f t="shared" si="86"/>
        <v/>
      </c>
    </row>
    <row r="701" spans="1:21">
      <c r="A701" s="427" t="str">
        <f t="shared" si="81"/>
        <v/>
      </c>
      <c r="B701" s="427" t="str">
        <f t="shared" si="84"/>
        <v/>
      </c>
      <c r="C701" s="427" t="str">
        <f t="shared" si="85"/>
        <v/>
      </c>
      <c r="D701" s="427" t="str">
        <f t="shared" si="86"/>
        <v/>
      </c>
    </row>
    <row r="702" spans="1:21">
      <c r="A702" s="427" t="str">
        <f t="shared" si="81"/>
        <v/>
      </c>
      <c r="B702" s="427" t="str">
        <f t="shared" si="84"/>
        <v/>
      </c>
      <c r="C702" s="427" t="str">
        <f t="shared" si="85"/>
        <v/>
      </c>
      <c r="D702" s="427" t="str">
        <f t="shared" si="86"/>
        <v/>
      </c>
    </row>
    <row r="703" spans="1:21">
      <c r="A703" s="427" t="str">
        <f t="shared" si="81"/>
        <v/>
      </c>
      <c r="B703" s="427" t="str">
        <f t="shared" si="84"/>
        <v/>
      </c>
      <c r="C703" s="427" t="str">
        <f t="shared" si="85"/>
        <v/>
      </c>
      <c r="D703" s="427" t="str">
        <f t="shared" si="86"/>
        <v/>
      </c>
    </row>
    <row r="704" spans="1:21">
      <c r="A704" s="427" t="str">
        <f t="shared" si="81"/>
        <v/>
      </c>
      <c r="B704" s="427" t="str">
        <f t="shared" si="84"/>
        <v/>
      </c>
      <c r="C704" s="427" t="str">
        <f t="shared" si="85"/>
        <v/>
      </c>
      <c r="D704" s="427" t="str">
        <f t="shared" si="86"/>
        <v/>
      </c>
    </row>
    <row r="705" spans="1:4">
      <c r="A705" s="427" t="str">
        <f t="shared" si="81"/>
        <v/>
      </c>
      <c r="B705" s="427" t="str">
        <f t="shared" si="84"/>
        <v/>
      </c>
      <c r="C705" s="427" t="str">
        <f t="shared" si="85"/>
        <v/>
      </c>
      <c r="D705" s="427" t="str">
        <f t="shared" si="86"/>
        <v/>
      </c>
    </row>
    <row r="706" spans="1:4">
      <c r="A706" s="427" t="str">
        <f t="shared" si="81"/>
        <v/>
      </c>
      <c r="B706" s="427" t="str">
        <f t="shared" si="84"/>
        <v/>
      </c>
      <c r="C706" s="427" t="str">
        <f t="shared" si="85"/>
        <v/>
      </c>
      <c r="D706" s="427" t="str">
        <f t="shared" si="86"/>
        <v/>
      </c>
    </row>
    <row r="707" spans="1:4">
      <c r="A707" s="427" t="str">
        <f t="shared" si="81"/>
        <v/>
      </c>
      <c r="B707" s="427" t="str">
        <f t="shared" si="84"/>
        <v/>
      </c>
      <c r="C707" s="427" t="str">
        <f t="shared" si="85"/>
        <v/>
      </c>
      <c r="D707" s="427" t="str">
        <f t="shared" si="86"/>
        <v/>
      </c>
    </row>
    <row r="708" spans="1:4">
      <c r="A708" s="427" t="str">
        <f t="shared" si="81"/>
        <v/>
      </c>
      <c r="B708" s="427" t="str">
        <f t="shared" si="84"/>
        <v/>
      </c>
      <c r="C708" s="427" t="str">
        <f t="shared" si="85"/>
        <v/>
      </c>
      <c r="D708" s="427" t="str">
        <f t="shared" si="86"/>
        <v/>
      </c>
    </row>
    <row r="709" spans="1:4">
      <c r="A709" s="427" t="str">
        <f t="shared" si="81"/>
        <v/>
      </c>
      <c r="B709" s="427" t="str">
        <f t="shared" si="84"/>
        <v/>
      </c>
      <c r="C709" s="427" t="str">
        <f t="shared" si="85"/>
        <v/>
      </c>
      <c r="D709" s="427" t="str">
        <f t="shared" si="86"/>
        <v/>
      </c>
    </row>
    <row r="710" spans="1:4">
      <c r="A710" s="427" t="str">
        <f t="shared" si="81"/>
        <v/>
      </c>
      <c r="B710" s="427" t="str">
        <f t="shared" si="84"/>
        <v/>
      </c>
      <c r="C710" s="427" t="str">
        <f t="shared" si="85"/>
        <v/>
      </c>
      <c r="D710" s="427" t="str">
        <f t="shared" si="86"/>
        <v/>
      </c>
    </row>
    <row r="711" spans="1:4">
      <c r="A711" s="427" t="str">
        <f t="shared" si="81"/>
        <v/>
      </c>
      <c r="B711" s="427" t="str">
        <f t="shared" si="84"/>
        <v/>
      </c>
      <c r="C711" s="427" t="str">
        <f t="shared" si="85"/>
        <v/>
      </c>
      <c r="D711" s="427" t="str">
        <f t="shared" si="86"/>
        <v/>
      </c>
    </row>
    <row r="712" spans="1:4">
      <c r="A712" s="427" t="str">
        <f t="shared" si="81"/>
        <v/>
      </c>
      <c r="B712" s="427" t="str">
        <f t="shared" si="84"/>
        <v/>
      </c>
      <c r="C712" s="427" t="str">
        <f t="shared" si="85"/>
        <v/>
      </c>
      <c r="D712" s="427" t="str">
        <f t="shared" si="86"/>
        <v/>
      </c>
    </row>
    <row r="713" spans="1:4">
      <c r="A713" s="427" t="str">
        <f t="shared" si="81"/>
        <v/>
      </c>
      <c r="B713" s="427" t="str">
        <f t="shared" si="84"/>
        <v/>
      </c>
      <c r="C713" s="427" t="str">
        <f t="shared" si="85"/>
        <v/>
      </c>
      <c r="D713" s="427" t="str">
        <f t="shared" si="86"/>
        <v/>
      </c>
    </row>
    <row r="714" spans="1:4">
      <c r="A714" s="427" t="str">
        <f t="shared" si="81"/>
        <v/>
      </c>
      <c r="B714" s="427" t="str">
        <f t="shared" si="84"/>
        <v/>
      </c>
      <c r="C714" s="427" t="str">
        <f t="shared" si="85"/>
        <v/>
      </c>
      <c r="D714" s="427" t="str">
        <f t="shared" si="86"/>
        <v/>
      </c>
    </row>
    <row r="715" spans="1:4">
      <c r="A715" s="427" t="str">
        <f t="shared" si="81"/>
        <v/>
      </c>
      <c r="B715" s="427" t="str">
        <f t="shared" si="84"/>
        <v/>
      </c>
      <c r="C715" s="427" t="str">
        <f t="shared" si="85"/>
        <v/>
      </c>
      <c r="D715" s="427" t="str">
        <f t="shared" si="86"/>
        <v/>
      </c>
    </row>
    <row r="716" spans="1:4">
      <c r="A716" s="427" t="str">
        <f t="shared" si="81"/>
        <v/>
      </c>
      <c r="B716" s="427" t="str">
        <f t="shared" si="84"/>
        <v/>
      </c>
      <c r="C716" s="427" t="str">
        <f t="shared" si="85"/>
        <v/>
      </c>
      <c r="D716" s="427" t="str">
        <f t="shared" si="86"/>
        <v/>
      </c>
    </row>
    <row r="717" spans="1:4">
      <c r="A717" s="427" t="str">
        <f t="shared" si="81"/>
        <v/>
      </c>
      <c r="B717" s="427" t="str">
        <f t="shared" si="84"/>
        <v/>
      </c>
      <c r="C717" s="427" t="str">
        <f t="shared" si="86"/>
        <v/>
      </c>
      <c r="D717" s="427" t="str">
        <f t="shared" si="86"/>
        <v/>
      </c>
    </row>
    <row r="718" spans="1:4">
      <c r="A718" s="427" t="str">
        <f t="shared" si="81"/>
        <v/>
      </c>
      <c r="B718" s="427" t="str">
        <f t="shared" si="84"/>
        <v/>
      </c>
      <c r="C718" s="427" t="str">
        <f t="shared" si="86"/>
        <v/>
      </c>
      <c r="D718" s="427" t="str">
        <f t="shared" si="86"/>
        <v/>
      </c>
    </row>
    <row r="719" spans="1:4">
      <c r="A719" s="427" t="str">
        <f t="shared" si="81"/>
        <v/>
      </c>
      <c r="B719" s="427" t="str">
        <f t="shared" si="84"/>
        <v/>
      </c>
      <c r="C719" s="427" t="str">
        <f t="shared" si="86"/>
        <v/>
      </c>
      <c r="D719" s="427" t="str">
        <f t="shared" si="86"/>
        <v/>
      </c>
    </row>
    <row r="720" spans="1:4">
      <c r="A720" s="427" t="str">
        <f t="shared" si="81"/>
        <v/>
      </c>
      <c r="B720" s="427" t="str">
        <f t="shared" si="84"/>
        <v/>
      </c>
      <c r="C720" s="427" t="str">
        <f t="shared" si="86"/>
        <v/>
      </c>
      <c r="D720" s="427" t="str">
        <f t="shared" si="86"/>
        <v/>
      </c>
    </row>
    <row r="721" spans="1:4">
      <c r="A721" s="427" t="str">
        <f t="shared" si="81"/>
        <v/>
      </c>
      <c r="B721" s="427" t="str">
        <f t="shared" si="84"/>
        <v/>
      </c>
      <c r="C721" s="427" t="str">
        <f t="shared" si="86"/>
        <v/>
      </c>
      <c r="D721" s="427" t="str">
        <f t="shared" si="86"/>
        <v/>
      </c>
    </row>
    <row r="722" spans="1:4">
      <c r="A722" s="427" t="str">
        <f t="shared" si="81"/>
        <v/>
      </c>
      <c r="B722" s="427" t="str">
        <f t="shared" si="84"/>
        <v/>
      </c>
      <c r="C722" s="427" t="str">
        <f t="shared" si="86"/>
        <v/>
      </c>
      <c r="D722" s="427" t="str">
        <f t="shared" si="86"/>
        <v/>
      </c>
    </row>
    <row r="723" spans="1:4">
      <c r="A723" s="427" t="str">
        <f t="shared" si="81"/>
        <v/>
      </c>
      <c r="B723" s="427" t="str">
        <f t="shared" si="84"/>
        <v/>
      </c>
      <c r="C723" s="427" t="str">
        <f t="shared" si="86"/>
        <v/>
      </c>
      <c r="D723" s="427" t="str">
        <f t="shared" si="86"/>
        <v/>
      </c>
    </row>
    <row r="724" spans="1:4">
      <c r="A724" s="427" t="str">
        <f t="shared" si="81"/>
        <v/>
      </c>
      <c r="B724" s="427" t="str">
        <f t="shared" si="84"/>
        <v/>
      </c>
      <c r="C724" s="427" t="str">
        <f t="shared" si="86"/>
        <v/>
      </c>
      <c r="D724" s="427" t="str">
        <f t="shared" si="86"/>
        <v/>
      </c>
    </row>
    <row r="725" spans="1:4">
      <c r="A725" s="427" t="str">
        <f t="shared" si="81"/>
        <v/>
      </c>
      <c r="B725" s="427" t="str">
        <f t="shared" si="84"/>
        <v/>
      </c>
      <c r="C725" s="427" t="str">
        <f t="shared" si="86"/>
        <v/>
      </c>
      <c r="D725" s="427" t="str">
        <f t="shared" si="86"/>
        <v/>
      </c>
    </row>
    <row r="726" spans="1:4">
      <c r="A726" s="427" t="str">
        <f t="shared" si="81"/>
        <v/>
      </c>
      <c r="B726" s="427" t="str">
        <f t="shared" si="84"/>
        <v/>
      </c>
      <c r="C726" s="427" t="str">
        <f t="shared" si="86"/>
        <v/>
      </c>
      <c r="D726" s="427" t="str">
        <f t="shared" si="86"/>
        <v/>
      </c>
    </row>
    <row r="727" spans="1:4">
      <c r="A727" s="427" t="str">
        <f t="shared" si="81"/>
        <v/>
      </c>
      <c r="B727" s="427" t="str">
        <f t="shared" si="84"/>
        <v/>
      </c>
      <c r="C727" s="427" t="str">
        <f t="shared" si="86"/>
        <v/>
      </c>
      <c r="D727" s="427" t="str">
        <f t="shared" si="86"/>
        <v/>
      </c>
    </row>
    <row r="728" spans="1:4">
      <c r="A728" s="427" t="str">
        <f t="shared" si="81"/>
        <v/>
      </c>
      <c r="B728" s="427" t="str">
        <f t="shared" si="84"/>
        <v/>
      </c>
      <c r="C728" s="427" t="str">
        <f t="shared" si="86"/>
        <v/>
      </c>
      <c r="D728" s="427" t="str">
        <f t="shared" si="86"/>
        <v/>
      </c>
    </row>
    <row r="729" spans="1:4">
      <c r="A729" s="427" t="str">
        <f t="shared" si="81"/>
        <v/>
      </c>
      <c r="B729" s="427" t="str">
        <f t="shared" si="84"/>
        <v/>
      </c>
      <c r="C729" s="427" t="str">
        <f t="shared" si="86"/>
        <v/>
      </c>
      <c r="D729" s="427" t="str">
        <f t="shared" si="86"/>
        <v/>
      </c>
    </row>
    <row r="730" spans="1:4">
      <c r="A730" s="427" t="str">
        <f t="shared" si="81"/>
        <v/>
      </c>
      <c r="B730" s="427" t="str">
        <f t="shared" si="84"/>
        <v/>
      </c>
      <c r="C730" s="427" t="str">
        <f t="shared" si="86"/>
        <v/>
      </c>
      <c r="D730" s="427" t="str">
        <f t="shared" si="86"/>
        <v/>
      </c>
    </row>
    <row r="731" spans="1:4">
      <c r="A731" s="427" t="str">
        <f t="shared" si="81"/>
        <v/>
      </c>
      <c r="B731" s="427" t="str">
        <f t="shared" si="84"/>
        <v/>
      </c>
      <c r="C731" s="427" t="str">
        <f t="shared" si="86"/>
        <v/>
      </c>
      <c r="D731" s="427" t="str">
        <f t="shared" si="86"/>
        <v/>
      </c>
    </row>
    <row r="732" spans="1:4">
      <c r="A732" s="427" t="str">
        <f t="shared" ref="A732:A795" si="87">MID($F732,4,2)</f>
        <v/>
      </c>
      <c r="B732" s="427" t="str">
        <f t="shared" si="84"/>
        <v/>
      </c>
      <c r="C732" s="427" t="str">
        <f t="shared" si="86"/>
        <v/>
      </c>
      <c r="D732" s="427" t="str">
        <f t="shared" si="86"/>
        <v/>
      </c>
    </row>
    <row r="733" spans="1:4">
      <c r="A733" s="427" t="str">
        <f t="shared" si="87"/>
        <v/>
      </c>
      <c r="B733" s="427" t="str">
        <f t="shared" si="84"/>
        <v/>
      </c>
      <c r="C733" s="427" t="str">
        <f t="shared" si="86"/>
        <v/>
      </c>
      <c r="D733" s="427" t="str">
        <f t="shared" si="86"/>
        <v/>
      </c>
    </row>
    <row r="734" spans="1:4">
      <c r="A734" s="427" t="str">
        <f t="shared" si="87"/>
        <v/>
      </c>
      <c r="B734" s="427" t="str">
        <f t="shared" si="84"/>
        <v/>
      </c>
      <c r="C734" s="427" t="str">
        <f t="shared" si="86"/>
        <v/>
      </c>
      <c r="D734" s="427" t="str">
        <f t="shared" si="86"/>
        <v/>
      </c>
    </row>
    <row r="735" spans="1:4">
      <c r="A735" s="427" t="str">
        <f t="shared" si="87"/>
        <v/>
      </c>
      <c r="B735" s="427" t="str">
        <f t="shared" si="84"/>
        <v/>
      </c>
      <c r="C735" s="427" t="str">
        <f t="shared" si="86"/>
        <v/>
      </c>
      <c r="D735" s="427" t="str">
        <f t="shared" si="86"/>
        <v/>
      </c>
    </row>
    <row r="736" spans="1:4">
      <c r="A736" s="427" t="str">
        <f t="shared" si="87"/>
        <v/>
      </c>
      <c r="B736" s="427" t="str">
        <f t="shared" si="84"/>
        <v/>
      </c>
      <c r="C736" s="427" t="str">
        <f t="shared" si="86"/>
        <v/>
      </c>
      <c r="D736" s="427" t="str">
        <f t="shared" si="86"/>
        <v/>
      </c>
    </row>
    <row r="737" spans="1:4">
      <c r="A737" s="427" t="str">
        <f t="shared" si="87"/>
        <v/>
      </c>
      <c r="B737" s="427" t="str">
        <f t="shared" si="84"/>
        <v/>
      </c>
      <c r="C737" s="427" t="str">
        <f t="shared" si="86"/>
        <v/>
      </c>
      <c r="D737" s="427" t="str">
        <f t="shared" si="86"/>
        <v/>
      </c>
    </row>
    <row r="738" spans="1:4">
      <c r="A738" s="427" t="str">
        <f t="shared" si="87"/>
        <v/>
      </c>
      <c r="B738" s="427" t="str">
        <f t="shared" si="84"/>
        <v/>
      </c>
      <c r="C738" s="427" t="str">
        <f t="shared" si="86"/>
        <v/>
      </c>
      <c r="D738" s="427" t="str">
        <f t="shared" si="86"/>
        <v/>
      </c>
    </row>
    <row r="739" spans="1:4">
      <c r="A739" s="427" t="str">
        <f t="shared" si="87"/>
        <v/>
      </c>
      <c r="B739" s="427" t="str">
        <f t="shared" si="84"/>
        <v/>
      </c>
      <c r="C739" s="427" t="str">
        <f t="shared" si="86"/>
        <v/>
      </c>
      <c r="D739" s="427" t="str">
        <f t="shared" si="86"/>
        <v/>
      </c>
    </row>
    <row r="740" spans="1:4">
      <c r="A740" s="427" t="str">
        <f t="shared" si="87"/>
        <v/>
      </c>
      <c r="B740" s="427" t="str">
        <f t="shared" si="84"/>
        <v/>
      </c>
      <c r="C740" s="427" t="str">
        <f t="shared" si="86"/>
        <v/>
      </c>
      <c r="D740" s="427" t="str">
        <f t="shared" si="86"/>
        <v/>
      </c>
    </row>
    <row r="741" spans="1:4">
      <c r="A741" s="427" t="str">
        <f t="shared" si="87"/>
        <v/>
      </c>
      <c r="B741" s="427" t="str">
        <f t="shared" si="84"/>
        <v/>
      </c>
      <c r="C741" s="427" t="str">
        <f t="shared" si="86"/>
        <v/>
      </c>
      <c r="D741" s="427" t="str">
        <f t="shared" si="86"/>
        <v/>
      </c>
    </row>
    <row r="742" spans="1:4">
      <c r="A742" s="427" t="str">
        <f t="shared" si="87"/>
        <v/>
      </c>
      <c r="B742" s="427" t="str">
        <f t="shared" si="84"/>
        <v/>
      </c>
    </row>
    <row r="743" spans="1:4">
      <c r="A743" s="427" t="str">
        <f t="shared" si="87"/>
        <v/>
      </c>
      <c r="B743" s="427" t="str">
        <f t="shared" si="84"/>
        <v/>
      </c>
    </row>
    <row r="744" spans="1:4">
      <c r="A744" s="427" t="str">
        <f t="shared" si="87"/>
        <v/>
      </c>
      <c r="B744" s="427" t="str">
        <f t="shared" si="84"/>
        <v/>
      </c>
    </row>
    <row r="745" spans="1:4">
      <c r="A745" s="427" t="str">
        <f t="shared" si="87"/>
        <v/>
      </c>
      <c r="B745" s="427" t="str">
        <f t="shared" ref="B745:B808" si="88">IF(MID($F745,12,2)="- ","KY",IF(MID($F745,12,2)="SY","KY",MID($F745,12,2)))</f>
        <v/>
      </c>
    </row>
    <row r="746" spans="1:4">
      <c r="A746" s="427" t="str">
        <f t="shared" si="87"/>
        <v/>
      </c>
      <c r="B746" s="427" t="str">
        <f t="shared" si="88"/>
        <v/>
      </c>
    </row>
    <row r="747" spans="1:4">
      <c r="A747" s="427" t="str">
        <f t="shared" si="87"/>
        <v/>
      </c>
      <c r="B747" s="427" t="str">
        <f t="shared" si="88"/>
        <v/>
      </c>
    </row>
    <row r="748" spans="1:4">
      <c r="A748" s="427" t="str">
        <f t="shared" si="87"/>
        <v/>
      </c>
      <c r="B748" s="427" t="str">
        <f t="shared" si="88"/>
        <v/>
      </c>
    </row>
    <row r="749" spans="1:4">
      <c r="A749" s="427" t="str">
        <f t="shared" si="87"/>
        <v/>
      </c>
      <c r="B749" s="427" t="str">
        <f t="shared" si="88"/>
        <v/>
      </c>
    </row>
    <row r="750" spans="1:4">
      <c r="A750" s="427" t="str">
        <f t="shared" si="87"/>
        <v/>
      </c>
      <c r="B750" s="427" t="str">
        <f t="shared" si="88"/>
        <v/>
      </c>
    </row>
    <row r="751" spans="1:4">
      <c r="A751" s="427" t="str">
        <f t="shared" si="87"/>
        <v/>
      </c>
      <c r="B751" s="427" t="str">
        <f t="shared" si="88"/>
        <v/>
      </c>
    </row>
    <row r="752" spans="1:4">
      <c r="A752" s="427" t="str">
        <f t="shared" si="87"/>
        <v/>
      </c>
      <c r="B752" s="427" t="str">
        <f t="shared" si="88"/>
        <v/>
      </c>
    </row>
    <row r="753" spans="1:2">
      <c r="A753" s="427" t="str">
        <f t="shared" si="87"/>
        <v/>
      </c>
      <c r="B753" s="427" t="str">
        <f t="shared" si="88"/>
        <v/>
      </c>
    </row>
    <row r="754" spans="1:2">
      <c r="A754" s="427" t="str">
        <f t="shared" si="87"/>
        <v/>
      </c>
      <c r="B754" s="427" t="str">
        <f t="shared" si="88"/>
        <v/>
      </c>
    </row>
    <row r="755" spans="1:2">
      <c r="A755" s="427" t="str">
        <f t="shared" si="87"/>
        <v/>
      </c>
      <c r="B755" s="427" t="str">
        <f t="shared" si="88"/>
        <v/>
      </c>
    </row>
    <row r="756" spans="1:2">
      <c r="A756" s="427" t="str">
        <f t="shared" si="87"/>
        <v/>
      </c>
      <c r="B756" s="427" t="str">
        <f t="shared" si="88"/>
        <v/>
      </c>
    </row>
    <row r="757" spans="1:2">
      <c r="A757" s="427" t="str">
        <f t="shared" si="87"/>
        <v/>
      </c>
      <c r="B757" s="427" t="str">
        <f t="shared" si="88"/>
        <v/>
      </c>
    </row>
    <row r="758" spans="1:2">
      <c r="A758" s="427" t="str">
        <f t="shared" si="87"/>
        <v/>
      </c>
      <c r="B758" s="427" t="str">
        <f t="shared" si="88"/>
        <v/>
      </c>
    </row>
    <row r="759" spans="1:2">
      <c r="A759" s="427" t="str">
        <f t="shared" si="87"/>
        <v/>
      </c>
      <c r="B759" s="427" t="str">
        <f t="shared" si="88"/>
        <v/>
      </c>
    </row>
    <row r="760" spans="1:2">
      <c r="A760" s="427" t="str">
        <f t="shared" si="87"/>
        <v/>
      </c>
      <c r="B760" s="427" t="str">
        <f t="shared" si="88"/>
        <v/>
      </c>
    </row>
    <row r="761" spans="1:2">
      <c r="A761" s="427" t="str">
        <f t="shared" si="87"/>
        <v/>
      </c>
      <c r="B761" s="427" t="str">
        <f t="shared" si="88"/>
        <v/>
      </c>
    </row>
    <row r="762" spans="1:2">
      <c r="A762" s="427" t="str">
        <f t="shared" si="87"/>
        <v/>
      </c>
      <c r="B762" s="427" t="str">
        <f t="shared" si="88"/>
        <v/>
      </c>
    </row>
    <row r="763" spans="1:2">
      <c r="A763" s="427" t="str">
        <f t="shared" si="87"/>
        <v/>
      </c>
      <c r="B763" s="427" t="str">
        <f t="shared" si="88"/>
        <v/>
      </c>
    </row>
    <row r="764" spans="1:2">
      <c r="A764" s="427" t="str">
        <f t="shared" si="87"/>
        <v/>
      </c>
      <c r="B764" s="427" t="str">
        <f t="shared" si="88"/>
        <v/>
      </c>
    </row>
    <row r="765" spans="1:2">
      <c r="A765" s="427" t="str">
        <f t="shared" si="87"/>
        <v/>
      </c>
      <c r="B765" s="427" t="str">
        <f t="shared" si="88"/>
        <v/>
      </c>
    </row>
    <row r="766" spans="1:2">
      <c r="A766" s="427" t="str">
        <f t="shared" si="87"/>
        <v/>
      </c>
      <c r="B766" s="427" t="str">
        <f t="shared" si="88"/>
        <v/>
      </c>
    </row>
    <row r="767" spans="1:2">
      <c r="A767" s="427" t="str">
        <f t="shared" si="87"/>
        <v/>
      </c>
      <c r="B767" s="427" t="str">
        <f t="shared" si="88"/>
        <v/>
      </c>
    </row>
    <row r="768" spans="1:2">
      <c r="A768" s="427" t="str">
        <f t="shared" si="87"/>
        <v/>
      </c>
      <c r="B768" s="427" t="str">
        <f t="shared" si="88"/>
        <v/>
      </c>
    </row>
    <row r="769" spans="1:2">
      <c r="A769" s="427" t="str">
        <f t="shared" si="87"/>
        <v/>
      </c>
      <c r="B769" s="427" t="str">
        <f t="shared" si="88"/>
        <v/>
      </c>
    </row>
    <row r="770" spans="1:2">
      <c r="A770" s="427" t="str">
        <f t="shared" si="87"/>
        <v/>
      </c>
      <c r="B770" s="427" t="str">
        <f t="shared" si="88"/>
        <v/>
      </c>
    </row>
    <row r="771" spans="1:2">
      <c r="A771" s="427" t="str">
        <f t="shared" si="87"/>
        <v/>
      </c>
      <c r="B771" s="427" t="str">
        <f t="shared" si="88"/>
        <v/>
      </c>
    </row>
    <row r="772" spans="1:2">
      <c r="A772" s="427" t="str">
        <f t="shared" si="87"/>
        <v/>
      </c>
      <c r="B772" s="427" t="str">
        <f t="shared" si="88"/>
        <v/>
      </c>
    </row>
    <row r="773" spans="1:2">
      <c r="A773" s="427" t="str">
        <f t="shared" si="87"/>
        <v/>
      </c>
      <c r="B773" s="427" t="str">
        <f t="shared" si="88"/>
        <v/>
      </c>
    </row>
    <row r="774" spans="1:2">
      <c r="A774" s="427" t="str">
        <f t="shared" si="87"/>
        <v/>
      </c>
      <c r="B774" s="427" t="str">
        <f t="shared" si="88"/>
        <v/>
      </c>
    </row>
    <row r="775" spans="1:2">
      <c r="A775" s="427" t="str">
        <f t="shared" si="87"/>
        <v/>
      </c>
      <c r="B775" s="427" t="str">
        <f t="shared" si="88"/>
        <v/>
      </c>
    </row>
    <row r="776" spans="1:2">
      <c r="A776" s="427" t="str">
        <f t="shared" si="87"/>
        <v/>
      </c>
      <c r="B776" s="427" t="str">
        <f t="shared" si="88"/>
        <v/>
      </c>
    </row>
    <row r="777" spans="1:2">
      <c r="A777" s="427" t="str">
        <f t="shared" si="87"/>
        <v/>
      </c>
      <c r="B777" s="427" t="str">
        <f t="shared" si="88"/>
        <v/>
      </c>
    </row>
    <row r="778" spans="1:2">
      <c r="A778" s="427" t="str">
        <f t="shared" si="87"/>
        <v/>
      </c>
      <c r="B778" s="427" t="str">
        <f t="shared" si="88"/>
        <v/>
      </c>
    </row>
    <row r="779" spans="1:2">
      <c r="A779" s="427" t="str">
        <f t="shared" si="87"/>
        <v/>
      </c>
      <c r="B779" s="427" t="str">
        <f t="shared" si="88"/>
        <v/>
      </c>
    </row>
    <row r="780" spans="1:2">
      <c r="A780" s="427" t="str">
        <f t="shared" si="87"/>
        <v/>
      </c>
      <c r="B780" s="427" t="str">
        <f t="shared" si="88"/>
        <v/>
      </c>
    </row>
    <row r="781" spans="1:2">
      <c r="A781" s="427" t="str">
        <f t="shared" si="87"/>
        <v/>
      </c>
      <c r="B781" s="427" t="str">
        <f t="shared" si="88"/>
        <v/>
      </c>
    </row>
    <row r="782" spans="1:2">
      <c r="A782" s="427" t="str">
        <f t="shared" si="87"/>
        <v/>
      </c>
      <c r="B782" s="427" t="str">
        <f t="shared" si="88"/>
        <v/>
      </c>
    </row>
    <row r="783" spans="1:2">
      <c r="A783" s="427" t="str">
        <f t="shared" si="87"/>
        <v/>
      </c>
      <c r="B783" s="427" t="str">
        <f t="shared" si="88"/>
        <v/>
      </c>
    </row>
    <row r="784" spans="1:2">
      <c r="A784" s="427" t="str">
        <f t="shared" si="87"/>
        <v/>
      </c>
      <c r="B784" s="427" t="str">
        <f t="shared" si="88"/>
        <v/>
      </c>
    </row>
    <row r="785" spans="1:2">
      <c r="A785" s="427" t="str">
        <f t="shared" si="87"/>
        <v/>
      </c>
      <c r="B785" s="427" t="str">
        <f t="shared" si="88"/>
        <v/>
      </c>
    </row>
    <row r="786" spans="1:2">
      <c r="A786" s="427" t="str">
        <f t="shared" si="87"/>
        <v/>
      </c>
      <c r="B786" s="427" t="str">
        <f t="shared" si="88"/>
        <v/>
      </c>
    </row>
    <row r="787" spans="1:2">
      <c r="A787" s="427" t="str">
        <f t="shared" si="87"/>
        <v/>
      </c>
      <c r="B787" s="427" t="str">
        <f t="shared" si="88"/>
        <v/>
      </c>
    </row>
    <row r="788" spans="1:2">
      <c r="A788" s="427" t="str">
        <f t="shared" si="87"/>
        <v/>
      </c>
      <c r="B788" s="427" t="str">
        <f t="shared" si="88"/>
        <v/>
      </c>
    </row>
    <row r="789" spans="1:2">
      <c r="A789" s="427" t="str">
        <f t="shared" si="87"/>
        <v/>
      </c>
      <c r="B789" s="427" t="str">
        <f t="shared" si="88"/>
        <v/>
      </c>
    </row>
    <row r="790" spans="1:2">
      <c r="A790" s="427" t="str">
        <f t="shared" si="87"/>
        <v/>
      </c>
      <c r="B790" s="427" t="str">
        <f t="shared" si="88"/>
        <v/>
      </c>
    </row>
    <row r="791" spans="1:2">
      <c r="A791" s="427" t="str">
        <f t="shared" si="87"/>
        <v/>
      </c>
      <c r="B791" s="427" t="str">
        <f t="shared" si="88"/>
        <v/>
      </c>
    </row>
    <row r="792" spans="1:2">
      <c r="A792" s="427" t="str">
        <f t="shared" si="87"/>
        <v/>
      </c>
      <c r="B792" s="427" t="str">
        <f t="shared" si="88"/>
        <v/>
      </c>
    </row>
    <row r="793" spans="1:2">
      <c r="A793" s="427" t="str">
        <f t="shared" si="87"/>
        <v/>
      </c>
      <c r="B793" s="427" t="str">
        <f t="shared" si="88"/>
        <v/>
      </c>
    </row>
    <row r="794" spans="1:2">
      <c r="A794" s="427" t="str">
        <f t="shared" si="87"/>
        <v/>
      </c>
      <c r="B794" s="427" t="str">
        <f t="shared" si="88"/>
        <v/>
      </c>
    </row>
    <row r="795" spans="1:2">
      <c r="A795" s="427" t="str">
        <f t="shared" si="87"/>
        <v/>
      </c>
      <c r="B795" s="427" t="str">
        <f t="shared" si="88"/>
        <v/>
      </c>
    </row>
    <row r="796" spans="1:2">
      <c r="A796" s="427" t="str">
        <f t="shared" ref="A796:A848" si="89">MID($F796,4,2)</f>
        <v/>
      </c>
      <c r="B796" s="427" t="str">
        <f t="shared" si="88"/>
        <v/>
      </c>
    </row>
    <row r="797" spans="1:2">
      <c r="A797" s="427" t="str">
        <f t="shared" si="89"/>
        <v/>
      </c>
      <c r="B797" s="427" t="str">
        <f t="shared" si="88"/>
        <v/>
      </c>
    </row>
    <row r="798" spans="1:2">
      <c r="A798" s="427" t="str">
        <f t="shared" si="89"/>
        <v/>
      </c>
      <c r="B798" s="427" t="str">
        <f t="shared" si="88"/>
        <v/>
      </c>
    </row>
    <row r="799" spans="1:2">
      <c r="A799" s="427" t="str">
        <f t="shared" si="89"/>
        <v/>
      </c>
      <c r="B799" s="427" t="str">
        <f t="shared" si="88"/>
        <v/>
      </c>
    </row>
    <row r="800" spans="1:2">
      <c r="A800" s="427" t="str">
        <f t="shared" si="89"/>
        <v/>
      </c>
      <c r="B800" s="427" t="str">
        <f t="shared" si="88"/>
        <v/>
      </c>
    </row>
    <row r="801" spans="1:2">
      <c r="A801" s="427" t="str">
        <f t="shared" si="89"/>
        <v/>
      </c>
      <c r="B801" s="427" t="str">
        <f t="shared" si="88"/>
        <v/>
      </c>
    </row>
    <row r="802" spans="1:2">
      <c r="A802" s="427" t="str">
        <f t="shared" si="89"/>
        <v/>
      </c>
      <c r="B802" s="427" t="str">
        <f t="shared" si="88"/>
        <v/>
      </c>
    </row>
    <row r="803" spans="1:2">
      <c r="A803" s="427" t="str">
        <f t="shared" si="89"/>
        <v/>
      </c>
      <c r="B803" s="427" t="str">
        <f t="shared" si="88"/>
        <v/>
      </c>
    </row>
    <row r="804" spans="1:2">
      <c r="A804" s="427" t="str">
        <f t="shared" si="89"/>
        <v/>
      </c>
      <c r="B804" s="427" t="str">
        <f t="shared" si="88"/>
        <v/>
      </c>
    </row>
    <row r="805" spans="1:2">
      <c r="A805" s="427" t="str">
        <f t="shared" si="89"/>
        <v/>
      </c>
      <c r="B805" s="427" t="str">
        <f t="shared" si="88"/>
        <v/>
      </c>
    </row>
    <row r="806" spans="1:2">
      <c r="A806" s="427" t="str">
        <f t="shared" si="89"/>
        <v/>
      </c>
      <c r="B806" s="427" t="str">
        <f t="shared" si="88"/>
        <v/>
      </c>
    </row>
    <row r="807" spans="1:2">
      <c r="A807" s="427" t="str">
        <f t="shared" si="89"/>
        <v/>
      </c>
      <c r="B807" s="427" t="str">
        <f t="shared" si="88"/>
        <v/>
      </c>
    </row>
    <row r="808" spans="1:2">
      <c r="A808" s="427" t="str">
        <f t="shared" si="89"/>
        <v/>
      </c>
      <c r="B808" s="427" t="str">
        <f t="shared" si="88"/>
        <v/>
      </c>
    </row>
    <row r="809" spans="1:2">
      <c r="A809" s="427" t="str">
        <f t="shared" si="89"/>
        <v/>
      </c>
      <c r="B809" s="427" t="str">
        <f t="shared" ref="B809:B872" si="90">IF(MID($F809,12,2)="- ","KY",IF(MID($F809,12,2)="SY","KY",MID($F809,12,2)))</f>
        <v/>
      </c>
    </row>
    <row r="810" spans="1:2">
      <c r="A810" s="427" t="str">
        <f t="shared" si="89"/>
        <v/>
      </c>
      <c r="B810" s="427" t="str">
        <f t="shared" si="90"/>
        <v/>
      </c>
    </row>
    <row r="811" spans="1:2">
      <c r="A811" s="427" t="str">
        <f t="shared" si="89"/>
        <v/>
      </c>
      <c r="B811" s="427" t="str">
        <f t="shared" si="90"/>
        <v/>
      </c>
    </row>
    <row r="812" spans="1:2">
      <c r="A812" s="427" t="str">
        <f t="shared" si="89"/>
        <v/>
      </c>
      <c r="B812" s="427" t="str">
        <f t="shared" si="90"/>
        <v/>
      </c>
    </row>
    <row r="813" spans="1:2">
      <c r="A813" s="427" t="str">
        <f t="shared" si="89"/>
        <v/>
      </c>
      <c r="B813" s="427" t="str">
        <f t="shared" si="90"/>
        <v/>
      </c>
    </row>
    <row r="814" spans="1:2">
      <c r="A814" s="427" t="str">
        <f t="shared" si="89"/>
        <v/>
      </c>
      <c r="B814" s="427" t="str">
        <f t="shared" si="90"/>
        <v/>
      </c>
    </row>
    <row r="815" spans="1:2">
      <c r="A815" s="427" t="str">
        <f t="shared" si="89"/>
        <v/>
      </c>
      <c r="B815" s="427" t="str">
        <f t="shared" si="90"/>
        <v/>
      </c>
    </row>
    <row r="816" spans="1:2">
      <c r="A816" s="427" t="str">
        <f t="shared" si="89"/>
        <v/>
      </c>
      <c r="B816" s="427" t="str">
        <f t="shared" si="90"/>
        <v/>
      </c>
    </row>
    <row r="817" spans="1:2">
      <c r="A817" s="427" t="str">
        <f t="shared" si="89"/>
        <v/>
      </c>
      <c r="B817" s="427" t="str">
        <f t="shared" si="90"/>
        <v/>
      </c>
    </row>
    <row r="818" spans="1:2">
      <c r="A818" s="427" t="str">
        <f t="shared" si="89"/>
        <v/>
      </c>
      <c r="B818" s="427" t="str">
        <f t="shared" si="90"/>
        <v/>
      </c>
    </row>
    <row r="819" spans="1:2">
      <c r="A819" s="427" t="str">
        <f t="shared" si="89"/>
        <v/>
      </c>
      <c r="B819" s="427" t="str">
        <f t="shared" si="90"/>
        <v/>
      </c>
    </row>
    <row r="820" spans="1:2">
      <c r="A820" s="427" t="str">
        <f t="shared" si="89"/>
        <v/>
      </c>
      <c r="B820" s="427" t="str">
        <f t="shared" si="90"/>
        <v/>
      </c>
    </row>
    <row r="821" spans="1:2">
      <c r="A821" s="427" t="str">
        <f t="shared" si="89"/>
        <v/>
      </c>
      <c r="B821" s="427" t="str">
        <f t="shared" si="90"/>
        <v/>
      </c>
    </row>
    <row r="822" spans="1:2">
      <c r="A822" s="427" t="str">
        <f t="shared" si="89"/>
        <v/>
      </c>
      <c r="B822" s="427" t="str">
        <f t="shared" si="90"/>
        <v/>
      </c>
    </row>
    <row r="823" spans="1:2">
      <c r="A823" s="427" t="str">
        <f t="shared" si="89"/>
        <v/>
      </c>
      <c r="B823" s="427" t="str">
        <f t="shared" si="90"/>
        <v/>
      </c>
    </row>
    <row r="824" spans="1:2">
      <c r="A824" s="427" t="str">
        <f t="shared" si="89"/>
        <v/>
      </c>
      <c r="B824" s="427" t="str">
        <f t="shared" si="90"/>
        <v/>
      </c>
    </row>
    <row r="825" spans="1:2">
      <c r="A825" s="427" t="str">
        <f t="shared" si="89"/>
        <v/>
      </c>
      <c r="B825" s="427" t="str">
        <f t="shared" si="90"/>
        <v/>
      </c>
    </row>
    <row r="826" spans="1:2">
      <c r="A826" s="427" t="str">
        <f t="shared" si="89"/>
        <v/>
      </c>
      <c r="B826" s="427" t="str">
        <f t="shared" si="90"/>
        <v/>
      </c>
    </row>
    <row r="827" spans="1:2">
      <c r="A827" s="427" t="str">
        <f t="shared" si="89"/>
        <v/>
      </c>
      <c r="B827" s="427" t="str">
        <f t="shared" si="90"/>
        <v/>
      </c>
    </row>
    <row r="828" spans="1:2">
      <c r="A828" s="427" t="str">
        <f t="shared" si="89"/>
        <v/>
      </c>
      <c r="B828" s="427" t="str">
        <f t="shared" si="90"/>
        <v/>
      </c>
    </row>
    <row r="829" spans="1:2">
      <c r="A829" s="427" t="str">
        <f t="shared" si="89"/>
        <v/>
      </c>
      <c r="B829" s="427" t="str">
        <f t="shared" si="90"/>
        <v/>
      </c>
    </row>
    <row r="830" spans="1:2">
      <c r="A830" s="427" t="str">
        <f t="shared" si="89"/>
        <v/>
      </c>
      <c r="B830" s="427" t="str">
        <f t="shared" si="90"/>
        <v/>
      </c>
    </row>
    <row r="831" spans="1:2">
      <c r="A831" s="427" t="str">
        <f t="shared" si="89"/>
        <v/>
      </c>
      <c r="B831" s="427" t="str">
        <f t="shared" si="90"/>
        <v/>
      </c>
    </row>
    <row r="832" spans="1:2">
      <c r="A832" s="427" t="str">
        <f t="shared" si="89"/>
        <v/>
      </c>
      <c r="B832" s="427" t="str">
        <f t="shared" si="90"/>
        <v/>
      </c>
    </row>
    <row r="833" spans="1:2">
      <c r="A833" s="427" t="str">
        <f t="shared" si="89"/>
        <v/>
      </c>
      <c r="B833" s="427" t="str">
        <f t="shared" si="90"/>
        <v/>
      </c>
    </row>
    <row r="834" spans="1:2">
      <c r="A834" s="427" t="str">
        <f t="shared" si="89"/>
        <v/>
      </c>
      <c r="B834" s="427" t="str">
        <f t="shared" si="90"/>
        <v/>
      </c>
    </row>
    <row r="835" spans="1:2">
      <c r="A835" s="427" t="str">
        <f t="shared" si="89"/>
        <v/>
      </c>
      <c r="B835" s="427" t="str">
        <f t="shared" si="90"/>
        <v/>
      </c>
    </row>
    <row r="836" spans="1:2">
      <c r="A836" s="427" t="str">
        <f t="shared" si="89"/>
        <v/>
      </c>
      <c r="B836" s="427" t="str">
        <f t="shared" si="90"/>
        <v/>
      </c>
    </row>
    <row r="837" spans="1:2">
      <c r="A837" s="427" t="str">
        <f t="shared" si="89"/>
        <v/>
      </c>
      <c r="B837" s="427" t="str">
        <f t="shared" si="90"/>
        <v/>
      </c>
    </row>
    <row r="838" spans="1:2">
      <c r="A838" s="427" t="str">
        <f t="shared" si="89"/>
        <v/>
      </c>
      <c r="B838" s="427" t="str">
        <f t="shared" si="90"/>
        <v/>
      </c>
    </row>
    <row r="839" spans="1:2">
      <c r="A839" s="427" t="str">
        <f t="shared" si="89"/>
        <v/>
      </c>
      <c r="B839" s="427" t="str">
        <f t="shared" si="90"/>
        <v/>
      </c>
    </row>
    <row r="840" spans="1:2">
      <c r="A840" s="427" t="str">
        <f t="shared" si="89"/>
        <v/>
      </c>
      <c r="B840" s="427" t="str">
        <f t="shared" si="90"/>
        <v/>
      </c>
    </row>
    <row r="841" spans="1:2">
      <c r="A841" s="427" t="str">
        <f t="shared" si="89"/>
        <v/>
      </c>
      <c r="B841" s="427" t="str">
        <f t="shared" si="90"/>
        <v/>
      </c>
    </row>
    <row r="842" spans="1:2">
      <c r="A842" s="427" t="str">
        <f t="shared" si="89"/>
        <v/>
      </c>
      <c r="B842" s="427" t="str">
        <f t="shared" si="90"/>
        <v/>
      </c>
    </row>
    <row r="843" spans="1:2">
      <c r="A843" s="427" t="str">
        <f t="shared" si="89"/>
        <v/>
      </c>
      <c r="B843" s="427" t="str">
        <f t="shared" si="90"/>
        <v/>
      </c>
    </row>
    <row r="844" spans="1:2">
      <c r="A844" s="427" t="str">
        <f t="shared" si="89"/>
        <v/>
      </c>
      <c r="B844" s="427" t="str">
        <f t="shared" si="90"/>
        <v/>
      </c>
    </row>
    <row r="845" spans="1:2">
      <c r="A845" s="427" t="str">
        <f t="shared" si="89"/>
        <v/>
      </c>
      <c r="B845" s="427" t="str">
        <f t="shared" si="90"/>
        <v/>
      </c>
    </row>
    <row r="846" spans="1:2">
      <c r="A846" s="427" t="str">
        <f t="shared" si="89"/>
        <v/>
      </c>
      <c r="B846" s="427" t="str">
        <f t="shared" si="90"/>
        <v/>
      </c>
    </row>
    <row r="847" spans="1:2">
      <c r="A847" s="427" t="str">
        <f t="shared" si="89"/>
        <v/>
      </c>
      <c r="B847" s="427" t="str">
        <f t="shared" si="90"/>
        <v/>
      </c>
    </row>
    <row r="848" spans="1:2">
      <c r="A848" s="427" t="str">
        <f t="shared" si="89"/>
        <v/>
      </c>
      <c r="B848" s="427" t="str">
        <f t="shared" si="90"/>
        <v/>
      </c>
    </row>
    <row r="849" spans="2:2">
      <c r="B849" s="427" t="str">
        <f t="shared" si="90"/>
        <v/>
      </c>
    </row>
    <row r="850" spans="2:2">
      <c r="B850" s="427" t="str">
        <f t="shared" si="90"/>
        <v/>
      </c>
    </row>
    <row r="851" spans="2:2">
      <c r="B851" s="427" t="str">
        <f t="shared" si="90"/>
        <v/>
      </c>
    </row>
    <row r="852" spans="2:2">
      <c r="B852" s="427" t="str">
        <f t="shared" si="90"/>
        <v/>
      </c>
    </row>
    <row r="853" spans="2:2">
      <c r="B853" s="427" t="str">
        <f t="shared" si="90"/>
        <v/>
      </c>
    </row>
    <row r="854" spans="2:2">
      <c r="B854" s="427" t="str">
        <f t="shared" si="90"/>
        <v/>
      </c>
    </row>
    <row r="855" spans="2:2">
      <c r="B855" s="427" t="str">
        <f t="shared" si="90"/>
        <v/>
      </c>
    </row>
    <row r="856" spans="2:2">
      <c r="B856" s="427" t="str">
        <f t="shared" si="90"/>
        <v/>
      </c>
    </row>
    <row r="857" spans="2:2">
      <c r="B857" s="427" t="str">
        <f t="shared" si="90"/>
        <v/>
      </c>
    </row>
    <row r="858" spans="2:2">
      <c r="B858" s="427" t="str">
        <f t="shared" si="90"/>
        <v/>
      </c>
    </row>
    <row r="859" spans="2:2">
      <c r="B859" s="427" t="str">
        <f t="shared" si="90"/>
        <v/>
      </c>
    </row>
    <row r="860" spans="2:2">
      <c r="B860" s="427" t="str">
        <f t="shared" si="90"/>
        <v/>
      </c>
    </row>
    <row r="861" spans="2:2">
      <c r="B861" s="427" t="str">
        <f t="shared" si="90"/>
        <v/>
      </c>
    </row>
    <row r="862" spans="2:2">
      <c r="B862" s="427" t="str">
        <f t="shared" si="90"/>
        <v/>
      </c>
    </row>
    <row r="863" spans="2:2">
      <c r="B863" s="427" t="str">
        <f t="shared" si="90"/>
        <v/>
      </c>
    </row>
    <row r="864" spans="2:2">
      <c r="B864" s="427" t="str">
        <f t="shared" si="90"/>
        <v/>
      </c>
    </row>
    <row r="865" spans="2:2">
      <c r="B865" s="427" t="str">
        <f t="shared" si="90"/>
        <v/>
      </c>
    </row>
    <row r="866" spans="2:2">
      <c r="B866" s="427" t="str">
        <f t="shared" si="90"/>
        <v/>
      </c>
    </row>
    <row r="867" spans="2:2">
      <c r="B867" s="427" t="str">
        <f t="shared" si="90"/>
        <v/>
      </c>
    </row>
    <row r="868" spans="2:2">
      <c r="B868" s="427" t="str">
        <f t="shared" si="90"/>
        <v/>
      </c>
    </row>
    <row r="869" spans="2:2">
      <c r="B869" s="427" t="str">
        <f t="shared" si="90"/>
        <v/>
      </c>
    </row>
    <row r="870" spans="2:2">
      <c r="B870" s="427" t="str">
        <f t="shared" si="90"/>
        <v/>
      </c>
    </row>
    <row r="871" spans="2:2">
      <c r="B871" s="427" t="str">
        <f t="shared" si="90"/>
        <v/>
      </c>
    </row>
    <row r="872" spans="2:2">
      <c r="B872" s="427" t="str">
        <f t="shared" si="90"/>
        <v/>
      </c>
    </row>
    <row r="873" spans="2:2">
      <c r="B873" s="427" t="str">
        <f t="shared" ref="B873:B936" si="91">IF(MID($F873,12,2)="- ","KY",IF(MID($F873,12,2)="SY","KY",MID($F873,12,2)))</f>
        <v/>
      </c>
    </row>
    <row r="874" spans="2:2">
      <c r="B874" s="427" t="str">
        <f t="shared" si="91"/>
        <v/>
      </c>
    </row>
    <row r="875" spans="2:2">
      <c r="B875" s="427" t="str">
        <f t="shared" si="91"/>
        <v/>
      </c>
    </row>
    <row r="876" spans="2:2">
      <c r="B876" s="427" t="str">
        <f t="shared" si="91"/>
        <v/>
      </c>
    </row>
    <row r="877" spans="2:2">
      <c r="B877" s="427" t="str">
        <f t="shared" si="91"/>
        <v/>
      </c>
    </row>
    <row r="878" spans="2:2">
      <c r="B878" s="427" t="str">
        <f t="shared" si="91"/>
        <v/>
      </c>
    </row>
    <row r="879" spans="2:2">
      <c r="B879" s="427" t="str">
        <f t="shared" si="91"/>
        <v/>
      </c>
    </row>
    <row r="880" spans="2:2">
      <c r="B880" s="427" t="str">
        <f t="shared" si="91"/>
        <v/>
      </c>
    </row>
    <row r="881" spans="2:2">
      <c r="B881" s="427" t="str">
        <f t="shared" si="91"/>
        <v/>
      </c>
    </row>
    <row r="882" spans="2:2">
      <c r="B882" s="427" t="str">
        <f t="shared" si="91"/>
        <v/>
      </c>
    </row>
    <row r="883" spans="2:2">
      <c r="B883" s="427" t="str">
        <f t="shared" si="91"/>
        <v/>
      </c>
    </row>
    <row r="884" spans="2:2">
      <c r="B884" s="427" t="str">
        <f t="shared" si="91"/>
        <v/>
      </c>
    </row>
    <row r="885" spans="2:2">
      <c r="B885" s="427" t="str">
        <f t="shared" si="91"/>
        <v/>
      </c>
    </row>
    <row r="886" spans="2:2">
      <c r="B886" s="427" t="str">
        <f t="shared" si="91"/>
        <v/>
      </c>
    </row>
    <row r="887" spans="2:2">
      <c r="B887" s="427" t="str">
        <f t="shared" si="91"/>
        <v/>
      </c>
    </row>
    <row r="888" spans="2:2">
      <c r="B888" s="427" t="str">
        <f t="shared" si="91"/>
        <v/>
      </c>
    </row>
    <row r="889" spans="2:2">
      <c r="B889" s="427" t="str">
        <f t="shared" si="91"/>
        <v/>
      </c>
    </row>
    <row r="890" spans="2:2">
      <c r="B890" s="427" t="str">
        <f t="shared" si="91"/>
        <v/>
      </c>
    </row>
    <row r="891" spans="2:2">
      <c r="B891" s="427" t="str">
        <f t="shared" si="91"/>
        <v/>
      </c>
    </row>
    <row r="892" spans="2:2">
      <c r="B892" s="427" t="str">
        <f t="shared" si="91"/>
        <v/>
      </c>
    </row>
    <row r="893" spans="2:2">
      <c r="B893" s="427" t="str">
        <f t="shared" si="91"/>
        <v/>
      </c>
    </row>
    <row r="894" spans="2:2">
      <c r="B894" s="427" t="str">
        <f t="shared" si="91"/>
        <v/>
      </c>
    </row>
    <row r="895" spans="2:2">
      <c r="B895" s="427" t="str">
        <f t="shared" si="91"/>
        <v/>
      </c>
    </row>
    <row r="896" spans="2:2">
      <c r="B896" s="427" t="str">
        <f t="shared" si="91"/>
        <v/>
      </c>
    </row>
    <row r="897" spans="2:2">
      <c r="B897" s="427" t="str">
        <f t="shared" si="91"/>
        <v/>
      </c>
    </row>
    <row r="898" spans="2:2">
      <c r="B898" s="427" t="str">
        <f t="shared" si="91"/>
        <v/>
      </c>
    </row>
    <row r="899" spans="2:2">
      <c r="B899" s="427" t="str">
        <f t="shared" si="91"/>
        <v/>
      </c>
    </row>
    <row r="900" spans="2:2">
      <c r="B900" s="427" t="str">
        <f t="shared" si="91"/>
        <v/>
      </c>
    </row>
    <row r="901" spans="2:2">
      <c r="B901" s="427" t="str">
        <f t="shared" si="91"/>
        <v/>
      </c>
    </row>
    <row r="902" spans="2:2">
      <c r="B902" s="427" t="str">
        <f t="shared" si="91"/>
        <v/>
      </c>
    </row>
    <row r="903" spans="2:2">
      <c r="B903" s="427" t="str">
        <f t="shared" si="91"/>
        <v/>
      </c>
    </row>
    <row r="904" spans="2:2">
      <c r="B904" s="427" t="str">
        <f t="shared" si="91"/>
        <v/>
      </c>
    </row>
    <row r="905" spans="2:2">
      <c r="B905" s="427" t="str">
        <f t="shared" si="91"/>
        <v/>
      </c>
    </row>
    <row r="906" spans="2:2">
      <c r="B906" s="427" t="str">
        <f t="shared" si="91"/>
        <v/>
      </c>
    </row>
    <row r="907" spans="2:2">
      <c r="B907" s="427" t="str">
        <f t="shared" si="91"/>
        <v/>
      </c>
    </row>
    <row r="908" spans="2:2">
      <c r="B908" s="427" t="str">
        <f t="shared" si="91"/>
        <v/>
      </c>
    </row>
    <row r="909" spans="2:2">
      <c r="B909" s="427" t="str">
        <f t="shared" si="91"/>
        <v/>
      </c>
    </row>
    <row r="910" spans="2:2">
      <c r="B910" s="427" t="str">
        <f t="shared" si="91"/>
        <v/>
      </c>
    </row>
    <row r="911" spans="2:2">
      <c r="B911" s="427" t="str">
        <f t="shared" si="91"/>
        <v/>
      </c>
    </row>
    <row r="912" spans="2:2">
      <c r="B912" s="427" t="str">
        <f t="shared" si="91"/>
        <v/>
      </c>
    </row>
    <row r="913" spans="2:2">
      <c r="B913" s="427" t="str">
        <f t="shared" si="91"/>
        <v/>
      </c>
    </row>
    <row r="914" spans="2:2">
      <c r="B914" s="427" t="str">
        <f t="shared" si="91"/>
        <v/>
      </c>
    </row>
    <row r="915" spans="2:2">
      <c r="B915" s="427" t="str">
        <f t="shared" si="91"/>
        <v/>
      </c>
    </row>
    <row r="916" spans="2:2">
      <c r="B916" s="427" t="str">
        <f t="shared" si="91"/>
        <v/>
      </c>
    </row>
    <row r="917" spans="2:2">
      <c r="B917" s="427" t="str">
        <f t="shared" si="91"/>
        <v/>
      </c>
    </row>
    <row r="918" spans="2:2">
      <c r="B918" s="427" t="str">
        <f t="shared" si="91"/>
        <v/>
      </c>
    </row>
    <row r="919" spans="2:2">
      <c r="B919" s="427" t="str">
        <f t="shared" si="91"/>
        <v/>
      </c>
    </row>
    <row r="920" spans="2:2">
      <c r="B920" s="427" t="str">
        <f t="shared" si="91"/>
        <v/>
      </c>
    </row>
    <row r="921" spans="2:2">
      <c r="B921" s="427" t="str">
        <f t="shared" si="91"/>
        <v/>
      </c>
    </row>
    <row r="922" spans="2:2">
      <c r="B922" s="427" t="str">
        <f t="shared" si="91"/>
        <v/>
      </c>
    </row>
    <row r="923" spans="2:2">
      <c r="B923" s="427" t="str">
        <f t="shared" si="91"/>
        <v/>
      </c>
    </row>
    <row r="924" spans="2:2">
      <c r="B924" s="427" t="str">
        <f t="shared" si="91"/>
        <v/>
      </c>
    </row>
    <row r="925" spans="2:2">
      <c r="B925" s="427" t="str">
        <f t="shared" si="91"/>
        <v/>
      </c>
    </row>
    <row r="926" spans="2:2">
      <c r="B926" s="427" t="str">
        <f t="shared" si="91"/>
        <v/>
      </c>
    </row>
    <row r="927" spans="2:2">
      <c r="B927" s="427" t="str">
        <f t="shared" si="91"/>
        <v/>
      </c>
    </row>
    <row r="928" spans="2:2">
      <c r="B928" s="427" t="str">
        <f t="shared" si="91"/>
        <v/>
      </c>
    </row>
    <row r="929" spans="2:2">
      <c r="B929" s="427" t="str">
        <f t="shared" si="91"/>
        <v/>
      </c>
    </row>
    <row r="930" spans="2:2">
      <c r="B930" s="427" t="str">
        <f t="shared" si="91"/>
        <v/>
      </c>
    </row>
    <row r="931" spans="2:2">
      <c r="B931" s="427" t="str">
        <f t="shared" si="91"/>
        <v/>
      </c>
    </row>
    <row r="932" spans="2:2">
      <c r="B932" s="427" t="str">
        <f t="shared" si="91"/>
        <v/>
      </c>
    </row>
    <row r="933" spans="2:2">
      <c r="B933" s="427" t="str">
        <f t="shared" si="91"/>
        <v/>
      </c>
    </row>
    <row r="934" spans="2:2">
      <c r="B934" s="427" t="str">
        <f t="shared" si="91"/>
        <v/>
      </c>
    </row>
    <row r="935" spans="2:2">
      <c r="B935" s="427" t="str">
        <f t="shared" si="91"/>
        <v/>
      </c>
    </row>
    <row r="936" spans="2:2">
      <c r="B936" s="427" t="str">
        <f t="shared" si="91"/>
        <v/>
      </c>
    </row>
    <row r="937" spans="2:2">
      <c r="B937" s="427" t="str">
        <f t="shared" ref="B937:B959" si="92">IF(MID($F937,12,2)="- ","KY",IF(MID($F937,12,2)="SY","KY",MID($F937,12,2)))</f>
        <v/>
      </c>
    </row>
    <row r="938" spans="2:2">
      <c r="B938" s="427" t="str">
        <f t="shared" si="92"/>
        <v/>
      </c>
    </row>
    <row r="939" spans="2:2">
      <c r="B939" s="427" t="str">
        <f t="shared" si="92"/>
        <v/>
      </c>
    </row>
    <row r="940" spans="2:2">
      <c r="B940" s="427" t="str">
        <f t="shared" si="92"/>
        <v/>
      </c>
    </row>
    <row r="941" spans="2:2">
      <c r="B941" s="427" t="str">
        <f t="shared" si="92"/>
        <v/>
      </c>
    </row>
    <row r="942" spans="2:2">
      <c r="B942" s="427" t="str">
        <f t="shared" si="92"/>
        <v/>
      </c>
    </row>
    <row r="943" spans="2:2">
      <c r="B943" s="427" t="str">
        <f t="shared" si="92"/>
        <v/>
      </c>
    </row>
    <row r="944" spans="2:2">
      <c r="B944" s="427" t="str">
        <f t="shared" si="92"/>
        <v/>
      </c>
    </row>
    <row r="945" spans="2:2">
      <c r="B945" s="427" t="str">
        <f t="shared" si="92"/>
        <v/>
      </c>
    </row>
    <row r="946" spans="2:2">
      <c r="B946" s="427" t="str">
        <f t="shared" si="92"/>
        <v/>
      </c>
    </row>
    <row r="947" spans="2:2">
      <c r="B947" s="427" t="str">
        <f t="shared" si="92"/>
        <v/>
      </c>
    </row>
    <row r="948" spans="2:2">
      <c r="B948" s="427" t="str">
        <f t="shared" si="92"/>
        <v/>
      </c>
    </row>
    <row r="949" spans="2:2">
      <c r="B949" s="427" t="str">
        <f t="shared" si="92"/>
        <v/>
      </c>
    </row>
    <row r="950" spans="2:2">
      <c r="B950" s="427" t="str">
        <f t="shared" si="92"/>
        <v/>
      </c>
    </row>
    <row r="951" spans="2:2">
      <c r="B951" s="427" t="str">
        <f t="shared" si="92"/>
        <v/>
      </c>
    </row>
    <row r="952" spans="2:2">
      <c r="B952" s="427" t="str">
        <f t="shared" si="92"/>
        <v/>
      </c>
    </row>
    <row r="953" spans="2:2">
      <c r="B953" s="427" t="str">
        <f t="shared" si="92"/>
        <v/>
      </c>
    </row>
    <row r="954" spans="2:2">
      <c r="B954" s="427" t="str">
        <f t="shared" si="92"/>
        <v/>
      </c>
    </row>
    <row r="955" spans="2:2">
      <c r="B955" s="427" t="str">
        <f t="shared" si="92"/>
        <v/>
      </c>
    </row>
    <row r="956" spans="2:2">
      <c r="B956" s="427" t="str">
        <f t="shared" si="92"/>
        <v/>
      </c>
    </row>
    <row r="957" spans="2:2">
      <c r="B957" s="427" t="str">
        <f t="shared" si="92"/>
        <v/>
      </c>
    </row>
    <row r="958" spans="2:2">
      <c r="B958" s="427" t="str">
        <f t="shared" si="92"/>
        <v/>
      </c>
    </row>
    <row r="959" spans="2:2">
      <c r="B959" s="427" t="str">
        <f t="shared" si="92"/>
        <v/>
      </c>
    </row>
  </sheetData>
  <pageMargins left="0.75" right="0.75" top="1" bottom="1" header="0.5" footer="0.5"/>
  <pageSetup scale="49"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Q80"/>
  <sheetViews>
    <sheetView workbookViewId="0">
      <pane xSplit="3" ySplit="3" topLeftCell="D16" activePane="bottomRight" state="frozen"/>
      <selection pane="topRight" activeCell="B1" sqref="B1"/>
      <selection pane="bottomLeft" activeCell="A4" sqref="A4"/>
      <selection pane="bottomRight" activeCell="K35" sqref="K35"/>
    </sheetView>
  </sheetViews>
  <sheetFormatPr defaultColWidth="7.77734375" defaultRowHeight="15"/>
  <cols>
    <col min="1" max="1" width="7.77734375" style="235"/>
    <col min="2" max="2" width="13.44140625" style="235" customWidth="1"/>
    <col min="3" max="3" width="26.88671875" style="447" customWidth="1"/>
    <col min="4" max="4" width="11" style="455" customWidth="1"/>
    <col min="5" max="5" width="10.44140625" style="448" bestFit="1" customWidth="1"/>
    <col min="6" max="6" width="10.77734375" style="448" bestFit="1" customWidth="1"/>
    <col min="7" max="7" width="10.33203125" style="448" bestFit="1" customWidth="1"/>
    <col min="8" max="8" width="11" style="448" bestFit="1" customWidth="1"/>
    <col min="9" max="17" width="9.33203125" style="448" customWidth="1"/>
    <col min="18" max="16384" width="7.77734375" style="235"/>
  </cols>
  <sheetData>
    <row r="1" spans="1:17" s="400" customFormat="1" ht="18.75">
      <c r="C1" s="430"/>
      <c r="D1" s="450"/>
      <c r="E1" s="449"/>
      <c r="F1" s="449"/>
      <c r="G1" s="449"/>
      <c r="H1" s="449"/>
      <c r="I1" s="449"/>
      <c r="J1" s="449"/>
      <c r="K1" s="449"/>
      <c r="L1" s="449"/>
      <c r="M1" s="449"/>
      <c r="N1" s="449"/>
      <c r="O1" s="449"/>
      <c r="P1" s="449"/>
      <c r="Q1" s="449"/>
    </row>
    <row r="2" spans="1:17" s="400" customFormat="1">
      <c r="A2" s="752" t="s">
        <v>1720</v>
      </c>
      <c r="B2" s="400" t="s">
        <v>2218</v>
      </c>
      <c r="C2" s="401" t="s">
        <v>2182</v>
      </c>
      <c r="D2" s="451" t="s">
        <v>2215</v>
      </c>
      <c r="E2" s="441" t="s">
        <v>2501</v>
      </c>
      <c r="F2" s="441" t="s">
        <v>2471</v>
      </c>
      <c r="G2" s="441" t="s">
        <v>2472</v>
      </c>
      <c r="H2" s="441" t="s">
        <v>2473</v>
      </c>
      <c r="I2" s="441" t="s">
        <v>2474</v>
      </c>
      <c r="J2" s="441" t="s">
        <v>2475</v>
      </c>
      <c r="K2" s="441" t="s">
        <v>2476</v>
      </c>
      <c r="L2" s="441" t="s">
        <v>2398</v>
      </c>
      <c r="M2" s="441" t="s">
        <v>2399</v>
      </c>
      <c r="N2" s="441" t="s">
        <v>2400</v>
      </c>
      <c r="O2" s="441" t="s">
        <v>2401</v>
      </c>
      <c r="P2" s="441" t="s">
        <v>2402</v>
      </c>
      <c r="Q2" s="441" t="s">
        <v>2403</v>
      </c>
    </row>
    <row r="3" spans="1:17" s="400" customFormat="1">
      <c r="C3" s="440"/>
      <c r="D3" s="452"/>
      <c r="E3" s="441"/>
      <c r="F3" s="441"/>
      <c r="G3" s="441"/>
      <c r="H3" s="441"/>
      <c r="I3" s="441"/>
      <c r="J3" s="441"/>
      <c r="K3" s="441"/>
      <c r="L3" s="441"/>
      <c r="M3" s="441"/>
      <c r="N3" s="441"/>
      <c r="O3" s="441"/>
      <c r="P3" s="441"/>
      <c r="Q3" s="441"/>
    </row>
    <row r="4" spans="1:17">
      <c r="C4" s="442"/>
      <c r="D4" s="453"/>
      <c r="E4" s="443"/>
      <c r="F4" s="443"/>
      <c r="G4" s="443"/>
      <c r="H4" s="443"/>
      <c r="I4" s="443"/>
      <c r="J4" s="443"/>
      <c r="K4" s="443"/>
      <c r="L4" s="443"/>
      <c r="M4" s="443"/>
      <c r="N4" s="443"/>
      <c r="O4" s="443"/>
      <c r="P4" s="443"/>
      <c r="Q4" s="443"/>
    </row>
    <row r="5" spans="1:17">
      <c r="C5" s="444" t="s">
        <v>1481</v>
      </c>
      <c r="D5" s="454"/>
      <c r="E5" s="445"/>
      <c r="F5" s="445"/>
      <c r="G5" s="445"/>
      <c r="H5" s="445"/>
      <c r="I5" s="445"/>
      <c r="J5" s="445"/>
      <c r="K5" s="445"/>
      <c r="L5" s="445"/>
      <c r="M5" s="445"/>
      <c r="N5" s="445"/>
      <c r="O5" s="445"/>
      <c r="P5" s="445"/>
      <c r="Q5" s="445"/>
    </row>
    <row r="6" spans="1:17">
      <c r="A6" s="753" t="str">
        <f t="shared" ref="A6:A45" si="0">IF(ISTEXT(MID($C6,SEARCH("KY",$C6),3)),"KY",IF(ISTEXT(MID($C6,SEARCH("VA",$C6),3)),"VA",IF(ISTEXT(MID($C6,SEARCH("TN",$C6),3)),"TN","KY")))</f>
        <v>KY</v>
      </c>
      <c r="B6" s="753" t="str">
        <f t="shared" ref="B6:B69" si="1">IF(ISTEXT(MID($C6,SEARCH("COMMON",$C6),3)),"COMMON",IF(ISTEXT(MID($C6,SEARCH("GAS",$C6),3)),"",IF(ISTEXT(MID($C6,SEARCH("PRODUCTION",$C6),3)),"PRODUCTION",IF(ISTEXT(MID($C6,SEARCH("TRANSMISSION",$C6),3)),"TRANSMISSION",IF(ISTEXT(MID($C6,SEARCH("DISTRIBUTION",$C6),3)),"DISTRIBUTION",IF(ISTEXT(MID($C6,SEARCH("LAND",$C6),3)),"DISTRIBUTION",IF(ISTEXT(MID($C6,SEARCH("COMMON",$C6),3)),"COMMON",IF(ISTEXT(MID($C6,SEARCH("GENERAL",$C6),3)),"GENERAL",IF(ISTEXT(MID($C6,SEARCH("INTANGIBLE",$C6),3)),"GENERAL",IF(ISTEXT(MID($C6,SEARCH("STORAGE",$C6),3)),"STORAGE AND PROCESSING",""))))))))))</f>
        <v>DISTRIBUTION</v>
      </c>
      <c r="C6" s="512" t="s">
        <v>1482</v>
      </c>
      <c r="D6" s="453" t="str">
        <f t="shared" ref="D6:D45" si="2">IF(ISTEXT(MID($C6,SEARCH("FUTURE USE",$C6),3)),"FUTURE USE",IF(ISTEXT(MID($C6,SEARCH("ECR",$C6),3)),"ECR",IF(ISTEXT(MID($C6,SEARCH("ARO",$C6),3)),"ARO",IF(ISTEXT(MID($C6,SEARCH("DSM",$C6),3)),"DSM",IF(ISTEXT(MID($C6,SEARCH("GLT",$C6),3)),"GLT","")))))</f>
        <v/>
      </c>
      <c r="E6" s="513">
        <v>39231.667549999998</v>
      </c>
      <c r="F6" s="513">
        <v>38769.503419999899</v>
      </c>
      <c r="G6" s="513">
        <v>34294.006579999899</v>
      </c>
      <c r="H6" s="513">
        <v>39227.197419999997</v>
      </c>
      <c r="I6" s="513">
        <v>37676.143819999998</v>
      </c>
      <c r="J6" s="513">
        <v>38767.468209999897</v>
      </c>
      <c r="K6" s="513">
        <v>42057.601289999897</v>
      </c>
      <c r="L6" s="513">
        <v>28771.769522524901</v>
      </c>
      <c r="M6" s="513">
        <v>32221.471990016002</v>
      </c>
      <c r="N6" s="513">
        <v>35097.999417898602</v>
      </c>
      <c r="O6" s="513">
        <v>34371.994489614299</v>
      </c>
      <c r="P6" s="513">
        <v>37603.0391477456</v>
      </c>
      <c r="Q6" s="513">
        <v>6799.6290129013096</v>
      </c>
    </row>
    <row r="7" spans="1:17">
      <c r="A7" s="753" t="str">
        <f t="shared" si="0"/>
        <v>VA</v>
      </c>
      <c r="B7" s="753" t="str">
        <f t="shared" si="1"/>
        <v>DISTRIBUTION</v>
      </c>
      <c r="C7" s="512" t="s">
        <v>1483</v>
      </c>
      <c r="D7" s="453" t="str">
        <f t="shared" si="2"/>
        <v/>
      </c>
      <c r="E7" s="513">
        <v>1261.8007</v>
      </c>
      <c r="F7" s="513">
        <v>1248.2660800000001</v>
      </c>
      <c r="G7" s="513">
        <v>1272.3283300000001</v>
      </c>
      <c r="H7" s="513">
        <v>1477.4338699999901</v>
      </c>
      <c r="I7" s="513">
        <v>985.28201000000001</v>
      </c>
      <c r="J7" s="513">
        <v>944.45998999999995</v>
      </c>
      <c r="K7" s="513">
        <v>1177.60313</v>
      </c>
      <c r="L7" s="513">
        <v>656.21591223349901</v>
      </c>
      <c r="M7" s="513">
        <v>818.64202974609896</v>
      </c>
      <c r="N7" s="513">
        <v>875.07012940779896</v>
      </c>
      <c r="O7" s="513">
        <v>914.44706668319998</v>
      </c>
      <c r="P7" s="513">
        <v>948.30400707659999</v>
      </c>
      <c r="Q7" s="513">
        <v>8.6899945017648795E-8</v>
      </c>
    </row>
    <row r="8" spans="1:17">
      <c r="A8" s="753" t="str">
        <f t="shared" si="0"/>
        <v>KY</v>
      </c>
      <c r="B8" s="753" t="str">
        <f t="shared" si="1"/>
        <v>GENERAL</v>
      </c>
      <c r="C8" s="512" t="s">
        <v>1484</v>
      </c>
      <c r="D8" s="453" t="str">
        <f t="shared" si="2"/>
        <v/>
      </c>
      <c r="E8" s="513">
        <v>14572.155579999901</v>
      </c>
      <c r="F8" s="513">
        <v>6490.9542899999897</v>
      </c>
      <c r="G8" s="513">
        <v>6447.7974000000004</v>
      </c>
      <c r="H8" s="513">
        <v>4884.9563900000003</v>
      </c>
      <c r="I8" s="513">
        <v>5433.0735999999997</v>
      </c>
      <c r="J8" s="513">
        <v>6075.6427999999996</v>
      </c>
      <c r="K8" s="513">
        <v>9366.6735800000006</v>
      </c>
      <c r="L8" s="513">
        <v>9494.2834486862994</v>
      </c>
      <c r="M8" s="513">
        <v>11947.846591594</v>
      </c>
      <c r="N8" s="513">
        <v>12615.3919421642</v>
      </c>
      <c r="O8" s="513">
        <v>12297.6355648913</v>
      </c>
      <c r="P8" s="513">
        <v>9342.3717124660998</v>
      </c>
      <c r="Q8" s="513">
        <v>7309.2954586288097</v>
      </c>
    </row>
    <row r="9" spans="1:17">
      <c r="A9" s="753" t="str">
        <f t="shared" si="0"/>
        <v>VA</v>
      </c>
      <c r="B9" s="753" t="str">
        <f t="shared" si="1"/>
        <v>GENERAL</v>
      </c>
      <c r="C9" s="514" t="s">
        <v>1485</v>
      </c>
      <c r="D9" s="453" t="str">
        <f t="shared" si="2"/>
        <v/>
      </c>
      <c r="E9" s="515">
        <v>140.25201999999999</v>
      </c>
      <c r="F9" s="515">
        <v>158.75547</v>
      </c>
      <c r="G9" s="515">
        <v>143.80906999999999</v>
      </c>
      <c r="H9" s="515">
        <v>126.35114</v>
      </c>
      <c r="I9" s="515">
        <v>127.99363</v>
      </c>
      <c r="J9" s="515">
        <v>137.49930000000001</v>
      </c>
      <c r="K9" s="515">
        <v>240.79686000000001</v>
      </c>
      <c r="L9" s="515">
        <v>713.99668720010004</v>
      </c>
      <c r="M9" s="515">
        <v>1105.8068784353</v>
      </c>
      <c r="N9" s="515">
        <v>1401.2650662860001</v>
      </c>
      <c r="O9" s="515">
        <v>1832.1688479013001</v>
      </c>
      <c r="P9" s="515">
        <v>1941.8044025995</v>
      </c>
      <c r="Q9" s="515">
        <v>2276.7485087431</v>
      </c>
    </row>
    <row r="10" spans="1:17">
      <c r="A10" s="753" t="str">
        <f t="shared" si="0"/>
        <v>KY</v>
      </c>
      <c r="B10" s="753" t="str">
        <f t="shared" si="1"/>
        <v>PRODUCTION</v>
      </c>
      <c r="C10" s="512" t="s">
        <v>1486</v>
      </c>
      <c r="D10" s="453" t="str">
        <f t="shared" si="2"/>
        <v/>
      </c>
      <c r="E10" s="513">
        <v>1066.65499</v>
      </c>
      <c r="F10" s="513">
        <v>1052.4309000000001</v>
      </c>
      <c r="G10" s="513">
        <v>1097.56907</v>
      </c>
      <c r="H10" s="513">
        <v>1127.4306200000001</v>
      </c>
      <c r="I10" s="513">
        <v>1178.65966</v>
      </c>
      <c r="J10" s="513">
        <v>1186.0483099999999</v>
      </c>
      <c r="K10" s="513">
        <v>1207.9936600000001</v>
      </c>
      <c r="L10" s="513">
        <v>1212.99938052742</v>
      </c>
      <c r="M10" s="513">
        <v>216.75023052742199</v>
      </c>
      <c r="N10" s="513">
        <v>288.77048052742202</v>
      </c>
      <c r="O10" s="513">
        <v>528.83798052742202</v>
      </c>
      <c r="P10" s="513">
        <v>216.75023052742199</v>
      </c>
      <c r="Q10" s="513">
        <v>216.75023052742199</v>
      </c>
    </row>
    <row r="11" spans="1:17">
      <c r="A11" s="753" t="str">
        <f t="shared" si="0"/>
        <v>KY</v>
      </c>
      <c r="B11" s="753" t="str">
        <f t="shared" si="1"/>
        <v>GENERAL</v>
      </c>
      <c r="C11" s="512" t="s">
        <v>1487</v>
      </c>
      <c r="D11" s="453" t="str">
        <f t="shared" si="2"/>
        <v/>
      </c>
      <c r="E11" s="513">
        <v>8990.9337499999001</v>
      </c>
      <c r="F11" s="513">
        <v>10487.228209999899</v>
      </c>
      <c r="G11" s="513">
        <v>12015.159890000001</v>
      </c>
      <c r="H11" s="513">
        <v>13695.0068499999</v>
      </c>
      <c r="I11" s="513">
        <v>15125.85938</v>
      </c>
      <c r="J11" s="513">
        <v>15990.5303099999</v>
      </c>
      <c r="K11" s="513">
        <v>17205.26007</v>
      </c>
      <c r="L11" s="513">
        <v>14185.5345471572</v>
      </c>
      <c r="M11" s="513">
        <v>14870.307743613201</v>
      </c>
      <c r="N11" s="513">
        <v>15482.276765061501</v>
      </c>
      <c r="O11" s="513">
        <v>10722.6971680154</v>
      </c>
      <c r="P11" s="513">
        <v>11861.7458599772</v>
      </c>
      <c r="Q11" s="513">
        <v>9727.8293221398908</v>
      </c>
    </row>
    <row r="12" spans="1:17">
      <c r="A12" s="753" t="str">
        <f t="shared" si="0"/>
        <v>KY</v>
      </c>
      <c r="B12" s="753" t="str">
        <f t="shared" si="1"/>
        <v>DISTRIBUTION</v>
      </c>
      <c r="C12" s="512" t="s">
        <v>1488</v>
      </c>
      <c r="D12" s="453" t="str">
        <f t="shared" si="2"/>
        <v/>
      </c>
      <c r="E12" s="513">
        <v>538.41215</v>
      </c>
      <c r="F12" s="513">
        <v>533.30118000000004</v>
      </c>
      <c r="G12" s="513">
        <v>538.87492999999995</v>
      </c>
      <c r="H12" s="513">
        <v>546.86932000000002</v>
      </c>
      <c r="I12" s="513">
        <v>546.87027</v>
      </c>
      <c r="J12" s="513">
        <v>555.46579999999994</v>
      </c>
      <c r="K12" s="513">
        <v>66.790839999999903</v>
      </c>
      <c r="L12" s="513">
        <v>7.8331912575998999</v>
      </c>
      <c r="M12" s="513">
        <v>19.205918537799899</v>
      </c>
      <c r="N12" s="513">
        <v>19.205918537799899</v>
      </c>
      <c r="O12" s="513">
        <v>19.205918537799899</v>
      </c>
      <c r="P12" s="513">
        <v>19.205918537799899</v>
      </c>
      <c r="Q12" s="513">
        <v>19.205918537799899</v>
      </c>
    </row>
    <row r="13" spans="1:17">
      <c r="A13" s="753" t="str">
        <f t="shared" si="0"/>
        <v>VA</v>
      </c>
      <c r="B13" s="753" t="str">
        <f t="shared" si="1"/>
        <v>DISTRIBUTION</v>
      </c>
      <c r="C13" s="512" t="s">
        <v>2515</v>
      </c>
      <c r="D13" s="453" t="str">
        <f t="shared" si="2"/>
        <v/>
      </c>
      <c r="E13" s="513">
        <v>0</v>
      </c>
      <c r="F13" s="513">
        <v>0</v>
      </c>
      <c r="G13" s="513">
        <v>0</v>
      </c>
      <c r="H13" s="513">
        <v>0</v>
      </c>
      <c r="I13" s="513">
        <v>0</v>
      </c>
      <c r="J13" s="513">
        <v>0</v>
      </c>
      <c r="K13" s="513">
        <v>493.78140999999999</v>
      </c>
      <c r="L13" s="513">
        <v>5.1064499827999699</v>
      </c>
      <c r="M13" s="513">
        <v>125.045805441799</v>
      </c>
      <c r="N13" s="513">
        <v>-5.8200029684485297E-8</v>
      </c>
      <c r="O13" s="513">
        <v>-5.8200029684485297E-8</v>
      </c>
      <c r="P13" s="513">
        <v>-5.8200029684485297E-8</v>
      </c>
      <c r="Q13" s="513">
        <v>-5.8200029684485297E-8</v>
      </c>
    </row>
    <row r="14" spans="1:17">
      <c r="A14" s="753" t="str">
        <f t="shared" si="0"/>
        <v>KY</v>
      </c>
      <c r="B14" s="753" t="str">
        <f t="shared" si="1"/>
        <v>PRODUCTION</v>
      </c>
      <c r="C14" s="512" t="s">
        <v>1489</v>
      </c>
      <c r="D14" s="453" t="str">
        <f t="shared" si="2"/>
        <v/>
      </c>
      <c r="E14" s="513">
        <v>7811.9973600000003</v>
      </c>
      <c r="F14" s="513">
        <v>7916.4883600000003</v>
      </c>
      <c r="G14" s="513">
        <v>7953.2389400000002</v>
      </c>
      <c r="H14" s="513">
        <v>8486.1815000000006</v>
      </c>
      <c r="I14" s="513">
        <v>9230.8918599999997</v>
      </c>
      <c r="J14" s="513">
        <v>10069.183709999999</v>
      </c>
      <c r="K14" s="513">
        <v>9746.5069700000004</v>
      </c>
      <c r="L14" s="513">
        <v>8936.5566636711701</v>
      </c>
      <c r="M14" s="513">
        <v>9663.5992884922707</v>
      </c>
      <c r="N14" s="513">
        <v>11970.945879574199</v>
      </c>
      <c r="O14" s="513">
        <v>14564.935307347099</v>
      </c>
      <c r="P14" s="513">
        <v>7713.3726486219703</v>
      </c>
      <c r="Q14" s="513">
        <v>5451.2353341630696</v>
      </c>
    </row>
    <row r="15" spans="1:17">
      <c r="A15" s="753" t="str">
        <f t="shared" si="0"/>
        <v>KY</v>
      </c>
      <c r="B15" s="753" t="str">
        <f t="shared" si="1"/>
        <v>PRODUCTION</v>
      </c>
      <c r="C15" s="512" t="s">
        <v>1490</v>
      </c>
      <c r="D15" s="453" t="str">
        <f t="shared" si="2"/>
        <v/>
      </c>
      <c r="E15" s="513">
        <v>26551.081919999899</v>
      </c>
      <c r="F15" s="513">
        <v>26451.5720899999</v>
      </c>
      <c r="G15" s="513">
        <v>28469.985980000001</v>
      </c>
      <c r="H15" s="513">
        <v>32133.720069999901</v>
      </c>
      <c r="I15" s="513">
        <v>35193.498539999899</v>
      </c>
      <c r="J15" s="513">
        <v>33138.909029999901</v>
      </c>
      <c r="K15" s="513">
        <v>21185.660159999901</v>
      </c>
      <c r="L15" s="513">
        <v>21597.220224341301</v>
      </c>
      <c r="M15" s="513">
        <v>26429.0935563188</v>
      </c>
      <c r="N15" s="513">
        <v>36051.725257519996</v>
      </c>
      <c r="O15" s="513">
        <v>44570.2254687366</v>
      </c>
      <c r="P15" s="513">
        <v>23981.547713805099</v>
      </c>
      <c r="Q15" s="513">
        <v>12979.028983726101</v>
      </c>
    </row>
    <row r="16" spans="1:17">
      <c r="A16" s="753" t="str">
        <f t="shared" si="0"/>
        <v>KY</v>
      </c>
      <c r="B16" s="753" t="str">
        <f t="shared" si="1"/>
        <v>PRODUCTION</v>
      </c>
      <c r="C16" s="512" t="s">
        <v>1491</v>
      </c>
      <c r="D16" s="453" t="str">
        <f t="shared" si="2"/>
        <v>ECR</v>
      </c>
      <c r="E16" s="513">
        <v>78833.328649999996</v>
      </c>
      <c r="F16" s="513">
        <v>81037.616569999998</v>
      </c>
      <c r="G16" s="513">
        <v>82485.202399999995</v>
      </c>
      <c r="H16" s="513">
        <v>84658.662450000003</v>
      </c>
      <c r="I16" s="513">
        <v>89587.833929999993</v>
      </c>
      <c r="J16" s="513">
        <v>91120.793919999996</v>
      </c>
      <c r="K16" s="513">
        <v>94454.018970000005</v>
      </c>
      <c r="L16" s="513">
        <v>95144.585340000005</v>
      </c>
      <c r="M16" s="513">
        <v>66272.145350000006</v>
      </c>
      <c r="N16" s="513">
        <v>40677.463219999998</v>
      </c>
      <c r="O16" s="513">
        <v>42481.642870000003</v>
      </c>
      <c r="P16" s="513">
        <v>43785.603479999998</v>
      </c>
      <c r="Q16" s="513">
        <v>45250.605770000002</v>
      </c>
    </row>
    <row r="17" spans="1:17">
      <c r="A17" s="753" t="str">
        <f t="shared" si="0"/>
        <v>KY</v>
      </c>
      <c r="B17" s="753" t="str">
        <f t="shared" si="1"/>
        <v>PRODUCTION</v>
      </c>
      <c r="C17" s="512" t="s">
        <v>1492</v>
      </c>
      <c r="D17" s="453" t="str">
        <f t="shared" si="2"/>
        <v>ECR</v>
      </c>
      <c r="E17" s="513">
        <v>6502.89462</v>
      </c>
      <c r="F17" s="513">
        <v>6739.13526</v>
      </c>
      <c r="G17" s="513">
        <v>6828.4733500000002</v>
      </c>
      <c r="H17" s="513">
        <v>6954.7001200000004</v>
      </c>
      <c r="I17" s="513">
        <v>7066.8777799999998</v>
      </c>
      <c r="J17" s="513">
        <v>7215.1706800000002</v>
      </c>
      <c r="K17" s="513">
        <v>3180.7311800000002</v>
      </c>
      <c r="L17" s="513">
        <v>36.946691438262398</v>
      </c>
      <c r="M17" s="513">
        <v>37.792424770409497</v>
      </c>
      <c r="N17" s="513">
        <v>38.940251981497802</v>
      </c>
      <c r="O17" s="513">
        <v>40.055823077727297</v>
      </c>
      <c r="P17" s="513">
        <v>41.077241756613603</v>
      </c>
      <c r="Q17" s="513">
        <v>41.987484800279198</v>
      </c>
    </row>
    <row r="18" spans="1:17">
      <c r="A18" s="753" t="str">
        <f t="shared" si="0"/>
        <v>KY</v>
      </c>
      <c r="B18" s="753" t="str">
        <f t="shared" si="1"/>
        <v>PRODUCTION</v>
      </c>
      <c r="C18" s="512" t="s">
        <v>2217</v>
      </c>
      <c r="D18" s="453" t="str">
        <f t="shared" si="2"/>
        <v>ECR</v>
      </c>
      <c r="E18" s="513">
        <v>61639.171399999999</v>
      </c>
      <c r="F18" s="513">
        <v>71221.319779999903</v>
      </c>
      <c r="G18" s="513">
        <v>81756.932069999995</v>
      </c>
      <c r="H18" s="513">
        <v>89522.842899999901</v>
      </c>
      <c r="I18" s="513">
        <v>100132.369859999</v>
      </c>
      <c r="J18" s="513">
        <v>116871.27222</v>
      </c>
      <c r="K18" s="513">
        <v>122806.7129</v>
      </c>
      <c r="L18" s="513">
        <v>142134.749285592</v>
      </c>
      <c r="M18" s="513">
        <v>152576.965936964</v>
      </c>
      <c r="N18" s="513">
        <v>165515.656567884</v>
      </c>
      <c r="O18" s="513">
        <v>181119.58596985499</v>
      </c>
      <c r="P18" s="513">
        <v>188676.65465581999</v>
      </c>
      <c r="Q18" s="513">
        <v>205039.590190218</v>
      </c>
    </row>
    <row r="19" spans="1:17">
      <c r="A19" s="753" t="str">
        <f t="shared" si="0"/>
        <v>KY</v>
      </c>
      <c r="B19" s="753" t="str">
        <f t="shared" si="1"/>
        <v>TRANSMISSION</v>
      </c>
      <c r="C19" s="512" t="s">
        <v>1494</v>
      </c>
      <c r="D19" s="453" t="str">
        <f t="shared" si="2"/>
        <v/>
      </c>
      <c r="E19" s="513">
        <v>73962.182829999903</v>
      </c>
      <c r="F19" s="513">
        <v>78771.257279999903</v>
      </c>
      <c r="G19" s="513">
        <v>86666.141900000002</v>
      </c>
      <c r="H19" s="513">
        <v>90582.021439999997</v>
      </c>
      <c r="I19" s="513">
        <v>98525.043590000001</v>
      </c>
      <c r="J19" s="513">
        <v>97067.429069999998</v>
      </c>
      <c r="K19" s="513">
        <v>100469.04519999999</v>
      </c>
      <c r="L19" s="513">
        <v>45012.048266730897</v>
      </c>
      <c r="M19" s="513">
        <v>42601.472959815001</v>
      </c>
      <c r="N19" s="513">
        <v>37511.183266882101</v>
      </c>
      <c r="O19" s="513">
        <v>41214.035230818197</v>
      </c>
      <c r="P19" s="513">
        <v>43253.524272905903</v>
      </c>
      <c r="Q19" s="513">
        <v>23591.627868792799</v>
      </c>
    </row>
    <row r="20" spans="1:17">
      <c r="A20" s="753" t="str">
        <f t="shared" si="0"/>
        <v>VA</v>
      </c>
      <c r="B20" s="753" t="str">
        <f t="shared" si="1"/>
        <v>TRANSMISSION</v>
      </c>
      <c r="C20" s="512" t="s">
        <v>1495</v>
      </c>
      <c r="D20" s="453" t="str">
        <f t="shared" si="2"/>
        <v/>
      </c>
      <c r="E20" s="513">
        <v>65.406400000000005</v>
      </c>
      <c r="F20" s="513">
        <v>58.206180000000003</v>
      </c>
      <c r="G20" s="513">
        <v>65.187340000000006</v>
      </c>
      <c r="H20" s="513">
        <v>75.701139999999995</v>
      </c>
      <c r="I20" s="513">
        <v>45.303849999999997</v>
      </c>
      <c r="J20" s="513">
        <v>199.06341</v>
      </c>
      <c r="K20" s="513">
        <v>210.99773999999999</v>
      </c>
      <c r="L20" s="513">
        <v>366.58526042749997</v>
      </c>
      <c r="M20" s="513">
        <v>846.85861509699998</v>
      </c>
      <c r="N20" s="513">
        <v>221.14001275589999</v>
      </c>
      <c r="O20" s="513">
        <v>300.56285933869998</v>
      </c>
      <c r="P20" s="513">
        <v>362.61919417549899</v>
      </c>
      <c r="Q20" s="513">
        <v>558.80595618799998</v>
      </c>
    </row>
    <row r="21" spans="1:17">
      <c r="A21" s="753" t="str">
        <f t="shared" si="0"/>
        <v>KY</v>
      </c>
      <c r="B21" s="753" t="str">
        <f t="shared" si="1"/>
        <v/>
      </c>
      <c r="C21" s="442"/>
      <c r="D21" s="453"/>
      <c r="E21" s="446"/>
      <c r="F21" s="446"/>
      <c r="G21" s="446"/>
      <c r="H21" s="446"/>
      <c r="I21" s="446"/>
      <c r="J21" s="446"/>
      <c r="K21" s="446"/>
      <c r="L21" s="446"/>
      <c r="M21" s="446"/>
      <c r="N21" s="446"/>
      <c r="O21" s="446"/>
      <c r="P21" s="446"/>
      <c r="Q21" s="446"/>
    </row>
    <row r="22" spans="1:17">
      <c r="A22" s="753" t="str">
        <f t="shared" si="0"/>
        <v>KY</v>
      </c>
      <c r="B22" s="753" t="str">
        <f t="shared" si="1"/>
        <v/>
      </c>
      <c r="C22" s="442"/>
      <c r="D22" s="453"/>
      <c r="E22" s="446"/>
      <c r="F22" s="446"/>
      <c r="G22" s="446"/>
      <c r="H22" s="446"/>
      <c r="I22" s="446"/>
      <c r="J22" s="446"/>
      <c r="K22" s="446"/>
      <c r="L22" s="446"/>
      <c r="M22" s="446"/>
      <c r="N22" s="446"/>
      <c r="O22" s="446"/>
      <c r="P22" s="446"/>
      <c r="Q22" s="446"/>
    </row>
    <row r="23" spans="1:17">
      <c r="A23" s="753" t="str">
        <f t="shared" si="0"/>
        <v>KY</v>
      </c>
      <c r="B23" s="753" t="str">
        <f t="shared" si="1"/>
        <v/>
      </c>
      <c r="C23" s="442"/>
      <c r="D23" s="453" t="str">
        <f t="shared" si="2"/>
        <v/>
      </c>
      <c r="E23" s="446"/>
      <c r="F23" s="446"/>
      <c r="G23" s="446"/>
      <c r="H23" s="446"/>
      <c r="I23" s="446"/>
      <c r="J23" s="446"/>
      <c r="K23" s="446"/>
      <c r="L23" s="446"/>
      <c r="M23" s="446"/>
      <c r="N23" s="446"/>
      <c r="O23" s="446"/>
      <c r="P23" s="446"/>
      <c r="Q23" s="446"/>
    </row>
    <row r="24" spans="1:17">
      <c r="A24" s="753" t="str">
        <f t="shared" si="0"/>
        <v>KY</v>
      </c>
      <c r="B24" s="753" t="str">
        <f t="shared" si="1"/>
        <v/>
      </c>
      <c r="C24" s="444" t="s">
        <v>1497</v>
      </c>
      <c r="D24" s="454" t="str">
        <f t="shared" si="2"/>
        <v/>
      </c>
      <c r="E24" s="446">
        <v>0</v>
      </c>
      <c r="F24" s="446">
        <v>0</v>
      </c>
      <c r="G24" s="446">
        <v>0</v>
      </c>
      <c r="H24" s="446">
        <v>0</v>
      </c>
      <c r="I24" s="446">
        <v>0</v>
      </c>
      <c r="J24" s="446">
        <v>0</v>
      </c>
      <c r="K24" s="446">
        <v>0</v>
      </c>
      <c r="L24" s="446">
        <v>0</v>
      </c>
      <c r="M24" s="446">
        <v>0</v>
      </c>
      <c r="N24" s="446">
        <v>0</v>
      </c>
      <c r="O24" s="446">
        <v>0</v>
      </c>
      <c r="P24" s="446">
        <v>0</v>
      </c>
      <c r="Q24" s="446">
        <v>0</v>
      </c>
    </row>
    <row r="25" spans="1:17">
      <c r="A25" s="753" t="str">
        <f t="shared" si="0"/>
        <v>KY</v>
      </c>
      <c r="B25" s="753" t="str">
        <f t="shared" si="1"/>
        <v>PRODUCTION</v>
      </c>
      <c r="C25" s="442" t="s">
        <v>1486</v>
      </c>
      <c r="D25" s="453" t="str">
        <f t="shared" si="2"/>
        <v/>
      </c>
      <c r="E25" s="446">
        <v>0.48914999999999997</v>
      </c>
      <c r="F25" s="446">
        <v>0.84126999999999996</v>
      </c>
      <c r="G25" s="446">
        <v>1.19831</v>
      </c>
      <c r="H25" s="446">
        <v>1.5707100000000001</v>
      </c>
      <c r="I25" s="446">
        <v>1.95974</v>
      </c>
      <c r="J25" s="446">
        <v>2.3607100000000001</v>
      </c>
      <c r="K25" s="446">
        <v>2.7684099999999998</v>
      </c>
      <c r="L25" s="446">
        <v>2.9727805274226999</v>
      </c>
      <c r="M25" s="446">
        <v>2.9727805274226999</v>
      </c>
      <c r="N25" s="446">
        <v>2.9727805274226999</v>
      </c>
      <c r="O25" s="446">
        <v>2.9727805274226999</v>
      </c>
      <c r="P25" s="446">
        <v>2.9727805274226999</v>
      </c>
      <c r="Q25" s="446">
        <v>2.9727805274226999</v>
      </c>
    </row>
    <row r="26" spans="1:17">
      <c r="A26" s="753" t="str">
        <f t="shared" si="0"/>
        <v>KY</v>
      </c>
      <c r="B26" s="753" t="str">
        <f t="shared" si="1"/>
        <v>PRODUCTION</v>
      </c>
      <c r="C26" s="442" t="s">
        <v>1489</v>
      </c>
      <c r="D26" s="453" t="str">
        <f t="shared" si="2"/>
        <v/>
      </c>
      <c r="E26" s="446">
        <v>2.5055999999999998</v>
      </c>
      <c r="F26" s="446">
        <v>0</v>
      </c>
      <c r="G26" s="446">
        <v>0</v>
      </c>
      <c r="H26" s="446">
        <v>0</v>
      </c>
      <c r="I26" s="446">
        <v>0</v>
      </c>
      <c r="J26" s="446">
        <v>0</v>
      </c>
      <c r="K26" s="446">
        <v>0.12731999999999999</v>
      </c>
      <c r="L26" s="446">
        <v>0.19724569667129899</v>
      </c>
      <c r="M26" s="446">
        <v>0.19724569667129899</v>
      </c>
      <c r="N26" s="446">
        <v>0.19724569667129899</v>
      </c>
      <c r="O26" s="446">
        <v>0.19724569667129899</v>
      </c>
      <c r="P26" s="446">
        <v>0.19724569667129899</v>
      </c>
      <c r="Q26" s="446">
        <v>0.19724569667129899</v>
      </c>
    </row>
    <row r="27" spans="1:17">
      <c r="A27" s="753" t="str">
        <f t="shared" si="0"/>
        <v>KY</v>
      </c>
      <c r="B27" s="753" t="str">
        <f t="shared" si="1"/>
        <v>PRODUCTION</v>
      </c>
      <c r="C27" s="442" t="s">
        <v>1490</v>
      </c>
      <c r="D27" s="453" t="str">
        <f t="shared" si="2"/>
        <v/>
      </c>
      <c r="E27" s="446">
        <v>0.18446000000000001</v>
      </c>
      <c r="F27" s="446">
        <v>0</v>
      </c>
      <c r="G27" s="446">
        <v>0</v>
      </c>
      <c r="H27" s="446">
        <v>0</v>
      </c>
      <c r="I27" s="446">
        <v>0</v>
      </c>
      <c r="J27" s="446">
        <v>0</v>
      </c>
      <c r="K27" s="446">
        <v>0</v>
      </c>
      <c r="L27" s="446">
        <v>0</v>
      </c>
      <c r="M27" s="446">
        <v>0</v>
      </c>
      <c r="N27" s="446">
        <v>0</v>
      </c>
      <c r="O27" s="446">
        <v>0</v>
      </c>
      <c r="P27" s="446">
        <v>0</v>
      </c>
      <c r="Q27" s="446">
        <v>0</v>
      </c>
    </row>
    <row r="28" spans="1:17">
      <c r="A28" s="753" t="str">
        <f t="shared" si="0"/>
        <v>KY</v>
      </c>
      <c r="B28" s="753" t="str">
        <f t="shared" si="1"/>
        <v>PRODUCTION</v>
      </c>
      <c r="C28" s="442" t="s">
        <v>1491</v>
      </c>
      <c r="D28" s="453" t="str">
        <f t="shared" si="2"/>
        <v>ECR</v>
      </c>
      <c r="E28" s="446">
        <v>327.80398000000002</v>
      </c>
      <c r="F28" s="446">
        <v>371.84100000000001</v>
      </c>
      <c r="G28" s="446">
        <v>416.52679999999998</v>
      </c>
      <c r="H28" s="446">
        <v>461.99982999999997</v>
      </c>
      <c r="I28" s="446">
        <v>509.1542</v>
      </c>
      <c r="J28" s="446">
        <v>557.97829000000002</v>
      </c>
      <c r="K28" s="446">
        <v>607.87933999999996</v>
      </c>
      <c r="L28" s="446">
        <v>607.87933999999996</v>
      </c>
      <c r="M28" s="446">
        <v>607.87933999999996</v>
      </c>
      <c r="N28" s="446">
        <v>607.87933999999996</v>
      </c>
      <c r="O28" s="446">
        <v>607.87933999999996</v>
      </c>
      <c r="P28" s="446">
        <v>607.87933999999996</v>
      </c>
      <c r="Q28" s="446">
        <v>607.87933999999996</v>
      </c>
    </row>
    <row r="29" spans="1:17">
      <c r="A29" s="753" t="str">
        <f t="shared" si="0"/>
        <v>KY</v>
      </c>
      <c r="B29" s="753" t="str">
        <f t="shared" si="1"/>
        <v>PRODUCTION</v>
      </c>
      <c r="C29" s="442" t="s">
        <v>1492</v>
      </c>
      <c r="D29" s="453" t="str">
        <f t="shared" si="2"/>
        <v>ECR</v>
      </c>
      <c r="E29" s="446">
        <v>2.5430600000000001</v>
      </c>
      <c r="F29" s="446">
        <v>2.5430600000000001</v>
      </c>
      <c r="G29" s="446">
        <v>2.5430600000000001</v>
      </c>
      <c r="H29" s="446">
        <v>2.5430600000000001</v>
      </c>
      <c r="I29" s="446">
        <v>2.5430600000000001</v>
      </c>
      <c r="J29" s="446">
        <v>2.5430600000000001</v>
      </c>
      <c r="K29" s="446">
        <v>2.5430600000000001</v>
      </c>
      <c r="L29" s="446">
        <v>39.489751438262203</v>
      </c>
      <c r="M29" s="446">
        <v>40.335484770409302</v>
      </c>
      <c r="N29" s="446">
        <v>41.4833119814977</v>
      </c>
      <c r="O29" s="446">
        <v>42.598883077727201</v>
      </c>
      <c r="P29" s="446">
        <v>43.6203017566135</v>
      </c>
      <c r="Q29" s="446">
        <v>44.530544800279102</v>
      </c>
    </row>
    <row r="30" spans="1:17">
      <c r="A30" s="753" t="str">
        <f t="shared" si="0"/>
        <v>KY</v>
      </c>
      <c r="B30" s="753" t="str">
        <f t="shared" si="1"/>
        <v>PRODUCTION</v>
      </c>
      <c r="C30" s="442" t="s">
        <v>2217</v>
      </c>
      <c r="D30" s="453" t="str">
        <f t="shared" si="2"/>
        <v>ECR</v>
      </c>
      <c r="E30" s="446">
        <v>15.00169</v>
      </c>
      <c r="F30" s="446">
        <v>34.927349999999997</v>
      </c>
      <c r="G30" s="446">
        <v>67.657589999999999</v>
      </c>
      <c r="H30" s="446">
        <v>103.75826000000001</v>
      </c>
      <c r="I30" s="446">
        <v>143.86927</v>
      </c>
      <c r="J30" s="446">
        <v>190.40072000000001</v>
      </c>
      <c r="K30" s="446">
        <v>241.88542000000001</v>
      </c>
      <c r="L30" s="446">
        <v>258.59640559268502</v>
      </c>
      <c r="M30" s="446">
        <v>261.46992696418403</v>
      </c>
      <c r="N30" s="446">
        <v>264.570887884417</v>
      </c>
      <c r="O30" s="446">
        <v>271.72717985574502</v>
      </c>
      <c r="P30" s="446">
        <v>278.31387582065099</v>
      </c>
      <c r="Q30" s="446">
        <v>283.39877021897701</v>
      </c>
    </row>
    <row r="31" spans="1:17">
      <c r="A31" s="753" t="str">
        <f t="shared" si="0"/>
        <v>KY</v>
      </c>
      <c r="B31" s="753" t="str">
        <f t="shared" si="1"/>
        <v/>
      </c>
      <c r="C31" s="442"/>
      <c r="D31" s="453"/>
      <c r="E31" s="446"/>
      <c r="F31" s="446"/>
      <c r="G31" s="446"/>
      <c r="H31" s="446"/>
      <c r="I31" s="446"/>
      <c r="J31" s="446"/>
      <c r="K31" s="446"/>
      <c r="L31" s="446"/>
      <c r="M31" s="446"/>
      <c r="N31" s="446"/>
      <c r="O31" s="446"/>
      <c r="P31" s="446"/>
      <c r="Q31" s="446"/>
    </row>
    <row r="32" spans="1:17">
      <c r="A32" s="753" t="str">
        <f t="shared" si="0"/>
        <v>KY</v>
      </c>
      <c r="B32" s="753" t="str">
        <f t="shared" si="1"/>
        <v/>
      </c>
      <c r="C32" s="442"/>
      <c r="D32" s="453" t="str">
        <f t="shared" si="2"/>
        <v/>
      </c>
      <c r="E32" s="446">
        <v>0</v>
      </c>
      <c r="F32" s="446">
        <v>0</v>
      </c>
      <c r="G32" s="446">
        <v>0</v>
      </c>
      <c r="H32" s="446">
        <v>0</v>
      </c>
      <c r="I32" s="446">
        <v>0</v>
      </c>
      <c r="J32" s="446">
        <v>0</v>
      </c>
      <c r="K32" s="446">
        <v>0</v>
      </c>
      <c r="L32" s="446">
        <v>0</v>
      </c>
      <c r="M32" s="446">
        <v>0</v>
      </c>
      <c r="N32" s="446">
        <v>0</v>
      </c>
      <c r="O32" s="446">
        <v>0</v>
      </c>
      <c r="P32" s="446">
        <v>0</v>
      </c>
      <c r="Q32" s="446">
        <v>0</v>
      </c>
    </row>
    <row r="33" spans="1:17">
      <c r="A33" s="753" t="str">
        <f t="shared" si="0"/>
        <v>KY</v>
      </c>
      <c r="B33" s="753" t="str">
        <f t="shared" si="1"/>
        <v/>
      </c>
      <c r="C33" s="444" t="s">
        <v>1498</v>
      </c>
      <c r="D33" s="454" t="str">
        <f t="shared" si="2"/>
        <v/>
      </c>
      <c r="E33" s="446">
        <v>0</v>
      </c>
      <c r="F33" s="446">
        <v>0</v>
      </c>
      <c r="G33" s="446">
        <v>0</v>
      </c>
      <c r="H33" s="446">
        <v>0</v>
      </c>
      <c r="I33" s="446">
        <v>0</v>
      </c>
      <c r="J33" s="446">
        <v>0</v>
      </c>
      <c r="K33" s="446">
        <v>0</v>
      </c>
      <c r="L33" s="446">
        <v>0</v>
      </c>
      <c r="M33" s="446">
        <v>0</v>
      </c>
      <c r="N33" s="446">
        <v>0</v>
      </c>
      <c r="O33" s="446">
        <v>0</v>
      </c>
      <c r="P33" s="446">
        <v>0</v>
      </c>
      <c r="Q33" s="446">
        <v>0</v>
      </c>
    </row>
    <row r="34" spans="1:17">
      <c r="A34" s="753" t="str">
        <f t="shared" si="0"/>
        <v>KY</v>
      </c>
      <c r="B34" s="753" t="str">
        <f t="shared" ref="B34:B45" si="3">IF(ISTEXT(MID($C34,SEARCH("COMMON",$C34),3)),"COMMON",IF(ISTEXT(MID($C34,SEARCH("GAS",$C34),3)),"",IF(ISTEXT(MID($C34,SEARCH("HYDRO PRODUCTION",$C34),9)),"HYDRO",IF(ISTEXT(MID($C34,SEARCH("OTHER PRODUCTION",$C34),9)),"OTHER",IF(ISTEXT(MID($C34,SEARCH("STEAM PRODUCTION",$C34),9)),"STEAM",IF(ISTEXT(MID($C34,SEARCH("TRANSMISSION",$C34),9)),"TRANSMISSION",IF(ISTEXT(MID($C34,SEARCH("DISTRIBUTION",$C34),9)),"DISTRIBUTION",IF(ISTEXT(MID($C34,SEARCH("COMMON",$C34),9)),"COMMON",IF(ISTEXT(MID($C34,SEARCH("GENERAL",$C34),9)),"GENERAL",IF(ISTEXT(MID($C34,SEARCH("INTANGIBLE",$C34),9)),"INTANGIBLE",IF(ISTEXT(MID($C34,SEARCH("STORAGE",$C34),3)),"STORAGE","")))))))))))</f>
        <v>DISTRIBUTION</v>
      </c>
      <c r="C34" s="512" t="s">
        <v>1482</v>
      </c>
      <c r="D34" s="453" t="str">
        <f t="shared" si="2"/>
        <v/>
      </c>
      <c r="E34" s="446">
        <v>3761.6092899999899</v>
      </c>
      <c r="F34" s="446">
        <v>3895.5947799999999</v>
      </c>
      <c r="G34" s="446">
        <v>4129.4666200000001</v>
      </c>
      <c r="H34" s="446">
        <v>4222.2806499999997</v>
      </c>
      <c r="I34" s="446">
        <v>4467.6311999999998</v>
      </c>
      <c r="J34" s="446">
        <v>4231.9774699999998</v>
      </c>
      <c r="K34" s="446">
        <v>3860.6489099999999</v>
      </c>
      <c r="L34" s="446">
        <v>1707.7864233163</v>
      </c>
      <c r="M34" s="446">
        <v>1581.7380662037001</v>
      </c>
      <c r="N34" s="446">
        <v>1604.7444171920999</v>
      </c>
      <c r="O34" s="446">
        <v>1598.6246763122001</v>
      </c>
      <c r="P34" s="446">
        <v>1706.1165222923</v>
      </c>
      <c r="Q34" s="446">
        <v>147.95038552580201</v>
      </c>
    </row>
    <row r="35" spans="1:17">
      <c r="A35" s="753" t="str">
        <f t="shared" si="0"/>
        <v>VA</v>
      </c>
      <c r="B35" s="753" t="str">
        <f t="shared" si="3"/>
        <v>DISTRIBUTION</v>
      </c>
      <c r="C35" s="512" t="s">
        <v>1483</v>
      </c>
      <c r="D35" s="453" t="str">
        <f t="shared" si="2"/>
        <v/>
      </c>
      <c r="E35" s="446">
        <v>614.59770000000003</v>
      </c>
      <c r="F35" s="446">
        <v>640.19694999999899</v>
      </c>
      <c r="G35" s="446">
        <v>301.63857000000002</v>
      </c>
      <c r="H35" s="446">
        <v>295.52458000000001</v>
      </c>
      <c r="I35" s="446">
        <v>255.06227000000001</v>
      </c>
      <c r="J35" s="446">
        <v>177.128469999999</v>
      </c>
      <c r="K35" s="446">
        <v>153.57566999999901</v>
      </c>
      <c r="L35" s="446">
        <v>36.4114618718001</v>
      </c>
      <c r="M35" s="446">
        <v>52.757590724700101</v>
      </c>
      <c r="N35" s="446">
        <v>51.414931603900101</v>
      </c>
      <c r="O35" s="446">
        <v>44.150306598700098</v>
      </c>
      <c r="P35" s="446">
        <v>48.5725035910001</v>
      </c>
      <c r="Q35" s="446">
        <v>3.27001572486551E-8</v>
      </c>
    </row>
    <row r="36" spans="1:17">
      <c r="A36" s="753" t="str">
        <f t="shared" si="0"/>
        <v>KY</v>
      </c>
      <c r="B36" s="753" t="str">
        <f t="shared" si="3"/>
        <v>GENERAL</v>
      </c>
      <c r="C36" s="512" t="s">
        <v>1484</v>
      </c>
      <c r="D36" s="453" t="str">
        <f t="shared" si="2"/>
        <v/>
      </c>
      <c r="E36" s="446">
        <v>167.28255999999999</v>
      </c>
      <c r="F36" s="446">
        <v>174.187139999999</v>
      </c>
      <c r="G36" s="446">
        <v>183.68630999999999</v>
      </c>
      <c r="H36" s="446">
        <v>179.38385</v>
      </c>
      <c r="I36" s="446">
        <v>154.90215000000001</v>
      </c>
      <c r="J36" s="446">
        <v>156.82078999999999</v>
      </c>
      <c r="K36" s="446">
        <v>55.10886</v>
      </c>
      <c r="L36" s="446">
        <v>52.698186275499999</v>
      </c>
      <c r="M36" s="446">
        <v>20.069550377199999</v>
      </c>
      <c r="N36" s="446">
        <v>17.4748048071</v>
      </c>
      <c r="O36" s="446">
        <v>13.543730374100001</v>
      </c>
      <c r="P36" s="446">
        <v>8.9417324261000193</v>
      </c>
      <c r="Q36" s="446">
        <v>-4.8999790891457401E-9</v>
      </c>
    </row>
    <row r="37" spans="1:17">
      <c r="A37" s="753" t="str">
        <f t="shared" si="0"/>
        <v>VA</v>
      </c>
      <c r="B37" s="753" t="str">
        <f t="shared" si="3"/>
        <v>GENERAL</v>
      </c>
      <c r="C37" s="514" t="s">
        <v>1485</v>
      </c>
      <c r="D37" s="453" t="str">
        <f t="shared" si="2"/>
        <v/>
      </c>
      <c r="E37" s="446">
        <v>2.5</v>
      </c>
      <c r="F37" s="446">
        <v>2.5</v>
      </c>
      <c r="G37" s="446">
        <v>0.7</v>
      </c>
      <c r="H37" s="446">
        <v>0.7</v>
      </c>
      <c r="I37" s="446">
        <v>0.7</v>
      </c>
      <c r="J37" s="446">
        <v>0.7</v>
      </c>
      <c r="K37" s="446">
        <v>0.7</v>
      </c>
      <c r="L37" s="446">
        <v>0</v>
      </c>
      <c r="M37" s="446">
        <v>0</v>
      </c>
      <c r="N37" s="446">
        <v>0</v>
      </c>
      <c r="O37" s="446">
        <v>0</v>
      </c>
      <c r="P37" s="446">
        <v>0</v>
      </c>
      <c r="Q37" s="446">
        <v>0</v>
      </c>
    </row>
    <row r="38" spans="1:17">
      <c r="A38" s="753" t="str">
        <f t="shared" si="0"/>
        <v>KY</v>
      </c>
      <c r="B38" s="753" t="str">
        <f t="shared" si="3"/>
        <v>HYDRO</v>
      </c>
      <c r="C38" s="512" t="s">
        <v>1486</v>
      </c>
      <c r="D38" s="453" t="str">
        <f t="shared" si="2"/>
        <v/>
      </c>
      <c r="E38" s="446">
        <v>85.952429999999893</v>
      </c>
      <c r="F38" s="446">
        <v>112.91961000000001</v>
      </c>
      <c r="G38" s="446">
        <v>117.92048</v>
      </c>
      <c r="H38" s="446">
        <v>125.73433</v>
      </c>
      <c r="I38" s="446">
        <v>131.98541</v>
      </c>
      <c r="J38" s="446">
        <v>131.98541</v>
      </c>
      <c r="K38" s="446">
        <v>131.98541</v>
      </c>
      <c r="L38" s="446">
        <v>131.98541</v>
      </c>
      <c r="M38" s="446">
        <v>0</v>
      </c>
      <c r="N38" s="446">
        <v>48.013500000000001</v>
      </c>
      <c r="O38" s="446">
        <v>48.013500000000001</v>
      </c>
      <c r="P38" s="446">
        <v>0</v>
      </c>
      <c r="Q38" s="446">
        <v>0</v>
      </c>
    </row>
    <row r="39" spans="1:17">
      <c r="A39" s="753" t="str">
        <f t="shared" si="0"/>
        <v>KY</v>
      </c>
      <c r="B39" s="753" t="str">
        <f t="shared" si="3"/>
        <v>INTANGIBLE</v>
      </c>
      <c r="C39" s="512" t="s">
        <v>1487</v>
      </c>
      <c r="D39" s="453" t="str">
        <f t="shared" si="2"/>
        <v/>
      </c>
      <c r="E39" s="446">
        <v>3.6753499999999999</v>
      </c>
      <c r="F39" s="446">
        <v>3.6753499999999999</v>
      </c>
      <c r="G39" s="446">
        <v>3.6753499999999999</v>
      </c>
      <c r="H39" s="446">
        <v>0</v>
      </c>
      <c r="I39" s="446">
        <v>0</v>
      </c>
      <c r="J39" s="446">
        <v>0</v>
      </c>
      <c r="K39" s="446">
        <v>0</v>
      </c>
      <c r="L39" s="446">
        <v>3.5293283445000001</v>
      </c>
      <c r="M39" s="446">
        <v>3.5293283445000001</v>
      </c>
      <c r="N39" s="446">
        <v>3.5293283445000001</v>
      </c>
      <c r="O39" s="446">
        <v>3.5293283445000001</v>
      </c>
      <c r="P39" s="446">
        <v>3.5293283445000001</v>
      </c>
      <c r="Q39" s="446">
        <v>3.5293283445000001</v>
      </c>
    </row>
    <row r="40" spans="1:17">
      <c r="A40" s="753" t="str">
        <f t="shared" si="0"/>
        <v>KY</v>
      </c>
      <c r="B40" s="753" t="str">
        <f t="shared" si="3"/>
        <v>OTHER</v>
      </c>
      <c r="C40" s="512" t="s">
        <v>1489</v>
      </c>
      <c r="D40" s="453" t="str">
        <f t="shared" si="2"/>
        <v/>
      </c>
      <c r="E40" s="446">
        <v>974.97080000000005</v>
      </c>
      <c r="F40" s="446">
        <v>981.52746000000002</v>
      </c>
      <c r="G40" s="446">
        <v>1884.76746</v>
      </c>
      <c r="H40" s="446">
        <v>1876.6779100000001</v>
      </c>
      <c r="I40" s="446">
        <v>1876.6779100000001</v>
      </c>
      <c r="J40" s="446">
        <v>1876.6779100000001</v>
      </c>
      <c r="K40" s="446">
        <v>1915.61319</v>
      </c>
      <c r="L40" s="446">
        <v>68.504680000000405</v>
      </c>
      <c r="M40" s="446">
        <v>71.126217100000403</v>
      </c>
      <c r="N40" s="446">
        <v>349.60451709950001</v>
      </c>
      <c r="O40" s="446">
        <v>353.78112471359998</v>
      </c>
      <c r="P40" s="446">
        <v>2.6005295694631001E-9</v>
      </c>
      <c r="Q40" s="446">
        <v>2.6005295694631001E-9</v>
      </c>
    </row>
    <row r="41" spans="1:17">
      <c r="A41" s="753" t="str">
        <f t="shared" si="0"/>
        <v>KY</v>
      </c>
      <c r="B41" s="753" t="str">
        <f t="shared" si="3"/>
        <v>STEAM</v>
      </c>
      <c r="C41" s="512" t="s">
        <v>1490</v>
      </c>
      <c r="D41" s="453" t="str">
        <f t="shared" si="2"/>
        <v/>
      </c>
      <c r="E41" s="446">
        <v>3877.2222999999899</v>
      </c>
      <c r="F41" s="446">
        <v>3953.0709699999902</v>
      </c>
      <c r="G41" s="446">
        <v>4039.0597399999901</v>
      </c>
      <c r="H41" s="446">
        <v>4940.6533499999996</v>
      </c>
      <c r="I41" s="446">
        <v>5941.2449199999901</v>
      </c>
      <c r="J41" s="446">
        <v>6241.7706099999996</v>
      </c>
      <c r="K41" s="446">
        <v>6242.4286199999897</v>
      </c>
      <c r="L41" s="446">
        <v>3151.3839192791902</v>
      </c>
      <c r="M41" s="446">
        <v>4358.8236561961903</v>
      </c>
      <c r="N41" s="446">
        <v>7394.3056386772896</v>
      </c>
      <c r="O41" s="446">
        <v>10498.200954309399</v>
      </c>
      <c r="P41" s="446">
        <v>10514.744324929899</v>
      </c>
      <c r="Q41" s="446">
        <v>10629.889987058201</v>
      </c>
    </row>
    <row r="42" spans="1:17">
      <c r="A42" s="753" t="str">
        <f t="shared" si="0"/>
        <v>KY</v>
      </c>
      <c r="B42" s="753" t="str">
        <f t="shared" si="3"/>
        <v>STEAM</v>
      </c>
      <c r="C42" s="512" t="s">
        <v>1491</v>
      </c>
      <c r="D42" s="453" t="str">
        <f t="shared" si="2"/>
        <v>ECR</v>
      </c>
      <c r="E42" s="446">
        <v>28.838999999999999</v>
      </c>
      <c r="F42" s="446">
        <v>28.838999999999999</v>
      </c>
      <c r="G42" s="446">
        <v>17.196290000000001</v>
      </c>
      <c r="H42" s="446">
        <v>17.196290000000001</v>
      </c>
      <c r="I42" s="446">
        <v>17.196290000000001</v>
      </c>
      <c r="J42" s="446">
        <v>17.196290000000001</v>
      </c>
      <c r="K42" s="446">
        <v>29.757960000000001</v>
      </c>
      <c r="L42" s="446">
        <v>-9.9999999960687007E-6</v>
      </c>
      <c r="M42" s="446">
        <v>-9.9999999960687007E-6</v>
      </c>
      <c r="N42" s="446">
        <v>-9.9999999960687007E-6</v>
      </c>
      <c r="O42" s="446">
        <v>-9.9999999960687007E-6</v>
      </c>
      <c r="P42" s="446">
        <v>-9.9999999960687007E-6</v>
      </c>
      <c r="Q42" s="446">
        <v>-9.9999999960687007E-6</v>
      </c>
    </row>
    <row r="43" spans="1:17">
      <c r="A43" s="753" t="str">
        <f t="shared" si="0"/>
        <v>KY</v>
      </c>
      <c r="B43" s="753" t="str">
        <f t="shared" si="3"/>
        <v>STEAM</v>
      </c>
      <c r="C43" s="512" t="s">
        <v>1492</v>
      </c>
      <c r="D43" s="453" t="str">
        <f t="shared" si="2"/>
        <v>ECR</v>
      </c>
      <c r="E43" s="446">
        <v>12031.608919999901</v>
      </c>
      <c r="F43" s="446">
        <v>12031.5065499999</v>
      </c>
      <c r="G43" s="446">
        <v>12031.50655</v>
      </c>
      <c r="H43" s="446">
        <v>12031.50655</v>
      </c>
      <c r="I43" s="446">
        <v>12031.50655</v>
      </c>
      <c r="J43" s="446">
        <v>12031.50655</v>
      </c>
      <c r="K43" s="446">
        <v>12031.50655</v>
      </c>
      <c r="L43" s="446">
        <v>1.81898940354585E-12</v>
      </c>
      <c r="M43" s="446">
        <v>1.81898940354585E-12</v>
      </c>
      <c r="N43" s="446">
        <v>1.81898940354585E-12</v>
      </c>
      <c r="O43" s="446">
        <v>1.81898940354585E-12</v>
      </c>
      <c r="P43" s="446">
        <v>1.81898940354585E-12</v>
      </c>
      <c r="Q43" s="446">
        <v>1.81898940354585E-12</v>
      </c>
    </row>
    <row r="44" spans="1:17">
      <c r="A44" s="753" t="str">
        <f t="shared" si="0"/>
        <v>KY</v>
      </c>
      <c r="B44" s="753" t="str">
        <f t="shared" si="3"/>
        <v>TRANSMISSION</v>
      </c>
      <c r="C44" s="512" t="s">
        <v>1494</v>
      </c>
      <c r="D44" s="453" t="str">
        <f t="shared" si="2"/>
        <v/>
      </c>
      <c r="E44" s="446">
        <v>5497.4867199999999</v>
      </c>
      <c r="F44" s="446">
        <v>5961.4777400000003</v>
      </c>
      <c r="G44" s="446">
        <v>5831.5352599999997</v>
      </c>
      <c r="H44" s="446">
        <v>5643.5796399999999</v>
      </c>
      <c r="I44" s="446">
        <v>5747.8078100000002</v>
      </c>
      <c r="J44" s="446">
        <v>5613.8305200000004</v>
      </c>
      <c r="K44" s="446">
        <v>5268.3534099999997</v>
      </c>
      <c r="L44" s="446">
        <v>848.98721532400305</v>
      </c>
      <c r="M44" s="446">
        <v>747.67137685250304</v>
      </c>
      <c r="N44" s="446">
        <v>588.12065428160304</v>
      </c>
      <c r="O44" s="446">
        <v>856.17288198170297</v>
      </c>
      <c r="P44" s="446">
        <v>888.61733728870297</v>
      </c>
      <c r="Q44" s="446">
        <v>513.12656661400297</v>
      </c>
    </row>
    <row r="45" spans="1:17">
      <c r="A45" s="753" t="str">
        <f t="shared" si="0"/>
        <v>VA</v>
      </c>
      <c r="B45" s="753" t="str">
        <f t="shared" si="3"/>
        <v>TRANSMISSION</v>
      </c>
      <c r="C45" s="512" t="s">
        <v>1495</v>
      </c>
      <c r="D45" s="453" t="str">
        <f t="shared" si="2"/>
        <v/>
      </c>
      <c r="E45" s="446">
        <v>418.61331999999999</v>
      </c>
      <c r="F45" s="446">
        <v>111.20576</v>
      </c>
      <c r="G45" s="446">
        <v>81.901299999999907</v>
      </c>
      <c r="H45" s="446">
        <v>81.901299999999907</v>
      </c>
      <c r="I45" s="446">
        <v>81.901299999999907</v>
      </c>
      <c r="J45" s="446">
        <v>81.901299999999907</v>
      </c>
      <c r="K45" s="446">
        <v>81.901299999999907</v>
      </c>
      <c r="L45" s="446">
        <v>2.42349101519999</v>
      </c>
      <c r="M45" s="446">
        <v>63.107580817200002</v>
      </c>
      <c r="N45" s="446">
        <v>6.9000236635474696E-9</v>
      </c>
      <c r="O45" s="446">
        <v>6.38554583670002</v>
      </c>
      <c r="P45" s="446">
        <v>11.523672128399999</v>
      </c>
      <c r="Q45" s="446">
        <v>11.523672128399999</v>
      </c>
    </row>
    <row r="46" spans="1:17">
      <c r="A46" s="753"/>
      <c r="B46" s="753" t="str">
        <f t="shared" si="1"/>
        <v/>
      </c>
      <c r="C46" s="442"/>
      <c r="D46" s="453"/>
      <c r="E46" s="446"/>
      <c r="F46" s="446"/>
      <c r="G46" s="446"/>
      <c r="H46" s="446"/>
      <c r="I46" s="446"/>
      <c r="J46" s="446"/>
      <c r="K46" s="446"/>
      <c r="L46" s="446"/>
      <c r="M46" s="446"/>
      <c r="N46" s="446"/>
      <c r="O46" s="446"/>
      <c r="P46" s="446"/>
      <c r="Q46" s="446"/>
    </row>
    <row r="47" spans="1:17">
      <c r="A47" s="753"/>
      <c r="B47" s="753" t="str">
        <f t="shared" si="1"/>
        <v/>
      </c>
      <c r="C47" s="442"/>
      <c r="D47" s="453"/>
      <c r="E47" s="446"/>
      <c r="F47" s="446"/>
      <c r="G47" s="446"/>
      <c r="H47" s="446"/>
      <c r="I47" s="446"/>
      <c r="J47" s="446"/>
      <c r="K47" s="446"/>
      <c r="L47" s="446"/>
      <c r="M47" s="446"/>
      <c r="N47" s="446"/>
      <c r="O47" s="446"/>
      <c r="P47" s="446"/>
      <c r="Q47" s="446"/>
    </row>
    <row r="48" spans="1:17">
      <c r="A48" s="753"/>
      <c r="B48" s="753" t="str">
        <f t="shared" si="1"/>
        <v/>
      </c>
    </row>
    <row r="49" spans="1:2">
      <c r="A49" s="753"/>
      <c r="B49" s="753" t="str">
        <f t="shared" si="1"/>
        <v/>
      </c>
    </row>
    <row r="50" spans="1:2">
      <c r="A50" s="753"/>
      <c r="B50" s="753" t="str">
        <f t="shared" si="1"/>
        <v/>
      </c>
    </row>
    <row r="51" spans="1:2">
      <c r="A51" s="753"/>
      <c r="B51" s="753" t="str">
        <f t="shared" si="1"/>
        <v/>
      </c>
    </row>
    <row r="52" spans="1:2">
      <c r="A52" s="753"/>
      <c r="B52" s="753" t="str">
        <f t="shared" si="1"/>
        <v/>
      </c>
    </row>
    <row r="53" spans="1:2">
      <c r="A53" s="753"/>
      <c r="B53" s="753" t="str">
        <f t="shared" si="1"/>
        <v/>
      </c>
    </row>
    <row r="54" spans="1:2">
      <c r="A54" s="753"/>
      <c r="B54" s="753" t="str">
        <f t="shared" si="1"/>
        <v/>
      </c>
    </row>
    <row r="55" spans="1:2">
      <c r="A55" s="753"/>
      <c r="B55" s="753" t="str">
        <f t="shared" si="1"/>
        <v/>
      </c>
    </row>
    <row r="56" spans="1:2">
      <c r="A56" s="753"/>
      <c r="B56" s="753" t="str">
        <f t="shared" si="1"/>
        <v/>
      </c>
    </row>
    <row r="57" spans="1:2">
      <c r="A57" s="753"/>
      <c r="B57" s="753" t="str">
        <f t="shared" si="1"/>
        <v/>
      </c>
    </row>
    <row r="58" spans="1:2">
      <c r="A58" s="753"/>
      <c r="B58" s="753" t="str">
        <f t="shared" si="1"/>
        <v/>
      </c>
    </row>
    <row r="59" spans="1:2">
      <c r="A59" s="753"/>
      <c r="B59" s="753" t="str">
        <f t="shared" si="1"/>
        <v/>
      </c>
    </row>
    <row r="60" spans="1:2">
      <c r="A60" s="753"/>
      <c r="B60" s="753" t="str">
        <f t="shared" si="1"/>
        <v/>
      </c>
    </row>
    <row r="61" spans="1:2">
      <c r="A61" s="753"/>
      <c r="B61" s="753" t="str">
        <f t="shared" si="1"/>
        <v/>
      </c>
    </row>
    <row r="62" spans="1:2">
      <c r="A62" s="753"/>
      <c r="B62" s="753" t="str">
        <f t="shared" si="1"/>
        <v/>
      </c>
    </row>
    <row r="63" spans="1:2">
      <c r="A63" s="753"/>
      <c r="B63" s="753" t="str">
        <f t="shared" si="1"/>
        <v/>
      </c>
    </row>
    <row r="64" spans="1:2">
      <c r="A64" s="753"/>
      <c r="B64" s="753" t="str">
        <f t="shared" si="1"/>
        <v/>
      </c>
    </row>
    <row r="65" spans="1:2">
      <c r="A65" s="753"/>
      <c r="B65" s="753" t="str">
        <f t="shared" si="1"/>
        <v/>
      </c>
    </row>
    <row r="66" spans="1:2">
      <c r="A66" s="753"/>
      <c r="B66" s="753" t="str">
        <f t="shared" si="1"/>
        <v/>
      </c>
    </row>
    <row r="67" spans="1:2">
      <c r="A67" s="753"/>
      <c r="B67" s="753" t="str">
        <f t="shared" si="1"/>
        <v/>
      </c>
    </row>
    <row r="68" spans="1:2">
      <c r="A68" s="753"/>
      <c r="B68" s="753" t="str">
        <f t="shared" si="1"/>
        <v/>
      </c>
    </row>
    <row r="69" spans="1:2">
      <c r="A69" s="753"/>
      <c r="B69" s="753" t="str">
        <f t="shared" si="1"/>
        <v/>
      </c>
    </row>
    <row r="70" spans="1:2">
      <c r="A70" s="753"/>
      <c r="B70" s="753" t="str">
        <f t="shared" ref="B70:B80" si="4">IF(ISTEXT(MID($C70,SEARCH("COMMON",$C70),3)),"COMMON",IF(ISTEXT(MID($C70,SEARCH("GAS",$C70),3)),"",IF(ISTEXT(MID($C70,SEARCH("PRODUCTION",$C70),3)),"PRODUCTION",IF(ISTEXT(MID($C70,SEARCH("TRANSMISSION",$C70),3)),"TRANSMISSION",IF(ISTEXT(MID($C70,SEARCH("DISTRIBUTION",$C70),3)),"DISTRIBUTION",IF(ISTEXT(MID($C70,SEARCH("LAND",$C70),3)),"DISTRIBUTION",IF(ISTEXT(MID($C70,SEARCH("COMMON",$C70),3)),"COMMON",IF(ISTEXT(MID($C70,SEARCH("GENERAL",$C70),3)),"GENERAL",IF(ISTEXT(MID($C70,SEARCH("INTANGIBLE",$C70),3)),"GENERAL",IF(ISTEXT(MID($C70,SEARCH("STORAGE",$C70),3)),"STORAGE AND PROCESSING",""))))))))))</f>
        <v/>
      </c>
    </row>
    <row r="71" spans="1:2">
      <c r="A71" s="753"/>
      <c r="B71" s="753" t="str">
        <f t="shared" si="4"/>
        <v/>
      </c>
    </row>
    <row r="72" spans="1:2">
      <c r="A72" s="753"/>
      <c r="B72" s="753" t="str">
        <f t="shared" si="4"/>
        <v/>
      </c>
    </row>
    <row r="73" spans="1:2">
      <c r="A73" s="753"/>
      <c r="B73" s="753" t="str">
        <f t="shared" si="4"/>
        <v/>
      </c>
    </row>
    <row r="74" spans="1:2">
      <c r="A74" s="753"/>
      <c r="B74" s="753" t="str">
        <f t="shared" si="4"/>
        <v/>
      </c>
    </row>
    <row r="75" spans="1:2">
      <c r="A75" s="753"/>
      <c r="B75" s="753" t="str">
        <f t="shared" si="4"/>
        <v/>
      </c>
    </row>
    <row r="76" spans="1:2">
      <c r="A76" s="753"/>
      <c r="B76" s="753" t="str">
        <f t="shared" si="4"/>
        <v/>
      </c>
    </row>
    <row r="77" spans="1:2">
      <c r="A77" s="753"/>
      <c r="B77" s="753" t="str">
        <f t="shared" si="4"/>
        <v/>
      </c>
    </row>
    <row r="78" spans="1:2">
      <c r="A78" s="753"/>
      <c r="B78" s="753" t="str">
        <f t="shared" si="4"/>
        <v/>
      </c>
    </row>
    <row r="79" spans="1:2">
      <c r="A79" s="753"/>
      <c r="B79" s="753" t="str">
        <f t="shared" si="4"/>
        <v/>
      </c>
    </row>
    <row r="80" spans="1:2">
      <c r="A80" s="753"/>
      <c r="B80" s="753" t="str">
        <f t="shared" si="4"/>
        <v/>
      </c>
    </row>
  </sheetData>
  <pageMargins left="0.75" right="0.75" top="1" bottom="1" header="0.5" footer="0.5"/>
  <pageSetup scale="69"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B374"/>
  <sheetViews>
    <sheetView zoomScale="70" zoomScaleNormal="70" workbookViewId="0">
      <selection activeCell="K18" sqref="K18"/>
    </sheetView>
  </sheetViews>
  <sheetFormatPr defaultColWidth="9" defaultRowHeight="12.75"/>
  <cols>
    <col min="1" max="2" width="5.33203125" style="2" customWidth="1"/>
    <col min="3" max="3" width="7.6640625" style="2" customWidth="1"/>
    <col min="4" max="4" width="45" style="2" bestFit="1" customWidth="1"/>
    <col min="5" max="5" width="15.44140625" style="66" customWidth="1"/>
    <col min="6" max="6" width="1.44140625" style="2" customWidth="1"/>
    <col min="7" max="7" width="15.44140625" style="66" customWidth="1"/>
    <col min="8" max="8" width="1.44140625" style="2" customWidth="1"/>
    <col min="9" max="9" width="15.44140625" style="66" customWidth="1"/>
    <col min="10" max="10" width="1.44140625" style="2" customWidth="1"/>
    <col min="11" max="11" width="15.44140625" style="66" customWidth="1"/>
    <col min="12" max="12" width="1.44140625" style="2" customWidth="1"/>
    <col min="13" max="13" width="15.44140625" style="66" customWidth="1"/>
    <col min="14" max="14" width="1.44140625" style="2" customWidth="1"/>
    <col min="15" max="15" width="15.44140625" style="66" customWidth="1"/>
    <col min="16" max="16" width="1.44140625" style="2" customWidth="1"/>
    <col min="17" max="17" width="15.44140625" style="66" customWidth="1"/>
    <col min="18" max="18" width="1.44140625" style="2" customWidth="1"/>
    <col min="19" max="19" width="18.6640625" style="2" customWidth="1"/>
    <col min="20" max="20" width="1.44140625" style="2" customWidth="1"/>
    <col min="21" max="21" width="18.6640625" style="2" customWidth="1"/>
    <col min="22" max="22" width="1.44140625" style="2" customWidth="1"/>
    <col min="23" max="23" width="15.44140625" style="66" customWidth="1"/>
    <col min="24" max="24" width="1.44140625" style="2" customWidth="1"/>
    <col min="25" max="25" width="15.44140625" style="66" customWidth="1"/>
    <col min="26" max="26" width="1.44140625" style="2" customWidth="1"/>
    <col min="27" max="28" width="15.44140625" style="66" customWidth="1"/>
    <col min="29" max="16384" width="9" style="2"/>
  </cols>
  <sheetData>
    <row r="1" spans="1:28" s="1" customFormat="1" ht="15">
      <c r="D1" s="498" t="s">
        <v>0</v>
      </c>
      <c r="E1" s="498"/>
      <c r="F1" s="498"/>
      <c r="G1" s="498"/>
      <c r="H1" s="498"/>
      <c r="I1" s="498"/>
      <c r="J1" s="498"/>
      <c r="K1" s="498"/>
      <c r="L1" s="498"/>
      <c r="M1" s="498"/>
      <c r="N1" s="498"/>
      <c r="O1" s="498"/>
      <c r="P1" s="498"/>
      <c r="Q1" s="498"/>
      <c r="R1" s="498"/>
      <c r="S1" s="498"/>
      <c r="T1" s="498"/>
      <c r="U1" s="498"/>
      <c r="V1" s="423"/>
      <c r="W1" s="423"/>
      <c r="X1" s="423"/>
      <c r="Y1" s="423"/>
      <c r="Z1" s="423"/>
      <c r="AA1" s="423"/>
      <c r="AB1" s="423"/>
    </row>
    <row r="2" spans="1:28" s="1" customFormat="1" ht="15">
      <c r="D2" s="498" t="s">
        <v>1</v>
      </c>
      <c r="E2" s="498"/>
      <c r="F2" s="498"/>
      <c r="G2" s="498"/>
      <c r="H2" s="498"/>
      <c r="I2" s="498"/>
      <c r="J2" s="498"/>
      <c r="K2" s="498"/>
      <c r="L2" s="498"/>
      <c r="M2" s="498"/>
      <c r="N2" s="498"/>
      <c r="O2" s="498"/>
      <c r="P2" s="498"/>
      <c r="Q2" s="498"/>
      <c r="R2" s="498"/>
      <c r="S2" s="498"/>
      <c r="T2" s="498"/>
      <c r="U2" s="498"/>
      <c r="V2" s="423"/>
      <c r="W2" s="423"/>
      <c r="X2" s="423"/>
      <c r="Y2" s="423"/>
      <c r="Z2" s="423"/>
      <c r="AA2" s="423"/>
      <c r="AB2" s="423"/>
    </row>
    <row r="3" spans="1:28">
      <c r="D3" s="499" t="s">
        <v>2525</v>
      </c>
      <c r="E3" s="500"/>
      <c r="F3" s="500"/>
      <c r="G3" s="500"/>
      <c r="H3" s="500"/>
      <c r="I3" s="500"/>
      <c r="J3" s="500"/>
      <c r="K3" s="500"/>
      <c r="L3" s="500"/>
      <c r="M3" s="500"/>
      <c r="N3" s="500"/>
      <c r="O3" s="500"/>
      <c r="P3" s="500"/>
      <c r="Q3" s="500"/>
      <c r="R3" s="500"/>
      <c r="S3" s="500"/>
      <c r="T3" s="500"/>
      <c r="U3" s="500"/>
      <c r="V3" s="425"/>
      <c r="W3" s="425"/>
      <c r="X3" s="425"/>
      <c r="Y3" s="425"/>
      <c r="Z3" s="425"/>
      <c r="AA3" s="425"/>
      <c r="AB3" s="425"/>
    </row>
    <row r="4" spans="1:28">
      <c r="D4" s="3"/>
      <c r="E4" s="3" t="s">
        <v>3418</v>
      </c>
      <c r="F4" s="3"/>
      <c r="G4" s="3" t="s">
        <v>3419</v>
      </c>
      <c r="H4" s="3"/>
      <c r="I4" s="3" t="s">
        <v>3420</v>
      </c>
      <c r="J4" s="3"/>
      <c r="K4" s="3" t="s">
        <v>3421</v>
      </c>
      <c r="L4" s="3"/>
      <c r="M4" s="3"/>
      <c r="N4" s="3"/>
      <c r="O4" s="3"/>
      <c r="P4" s="3"/>
      <c r="Q4" s="3" t="s">
        <v>3418</v>
      </c>
      <c r="S4" s="2" t="s">
        <v>3422</v>
      </c>
      <c r="V4" s="3"/>
      <c r="W4" s="3"/>
      <c r="X4" s="3"/>
      <c r="Y4" s="3"/>
      <c r="Z4" s="3"/>
      <c r="AA4" s="32" t="s">
        <v>3418</v>
      </c>
      <c r="AB4" s="32"/>
    </row>
    <row r="5" spans="1:28" ht="15">
      <c r="D5" s="3"/>
      <c r="E5" s="4" t="s">
        <v>2526</v>
      </c>
      <c r="F5" s="3"/>
      <c r="G5" s="3"/>
      <c r="H5" s="3"/>
      <c r="I5" s="3"/>
      <c r="J5" s="3"/>
      <c r="K5" s="3"/>
      <c r="L5" s="3"/>
      <c r="M5" s="3"/>
      <c r="N5" s="3"/>
      <c r="O5" s="4" t="s">
        <v>2527</v>
      </c>
      <c r="P5" s="3"/>
      <c r="Q5" s="432" t="s">
        <v>1718</v>
      </c>
      <c r="U5" s="432" t="s">
        <v>1718</v>
      </c>
      <c r="V5" s="3"/>
      <c r="W5" s="432" t="s">
        <v>1718</v>
      </c>
      <c r="X5" s="3"/>
      <c r="Y5" s="432" t="s">
        <v>1718</v>
      </c>
      <c r="Z5" s="3"/>
      <c r="AA5" s="4" t="s">
        <v>2527</v>
      </c>
      <c r="AB5" s="4"/>
    </row>
    <row r="6" spans="1:28" ht="15">
      <c r="D6" s="5"/>
      <c r="E6" s="6" t="s">
        <v>2</v>
      </c>
      <c r="F6" s="5"/>
      <c r="G6" s="7"/>
      <c r="H6" s="5"/>
      <c r="I6" s="7"/>
      <c r="J6" s="5"/>
      <c r="K6" s="6" t="s">
        <v>3</v>
      </c>
      <c r="L6" s="5"/>
      <c r="M6" s="7"/>
      <c r="N6" s="5"/>
      <c r="O6" s="6" t="s">
        <v>4</v>
      </c>
      <c r="P6" s="5"/>
      <c r="Q6" s="6" t="s">
        <v>4</v>
      </c>
      <c r="R6" s="5"/>
      <c r="S6" s="432" t="s">
        <v>1718</v>
      </c>
      <c r="T6" s="5"/>
      <c r="U6" s="231" t="s">
        <v>5</v>
      </c>
      <c r="V6" s="5"/>
      <c r="W6" s="231" t="s">
        <v>1204</v>
      </c>
      <c r="X6" s="5"/>
      <c r="Y6" s="231" t="s">
        <v>11</v>
      </c>
      <c r="Z6" s="5"/>
      <c r="AA6" s="6" t="s">
        <v>4</v>
      </c>
      <c r="AB6" s="6"/>
    </row>
    <row r="7" spans="1:28" s="9" customFormat="1">
      <c r="D7" s="5"/>
      <c r="E7" s="10" t="s">
        <v>6</v>
      </c>
      <c r="F7" s="5"/>
      <c r="G7" s="10" t="s">
        <v>7</v>
      </c>
      <c r="H7" s="5"/>
      <c r="I7" s="10" t="s">
        <v>8</v>
      </c>
      <c r="J7" s="5"/>
      <c r="K7" s="10" t="s">
        <v>9</v>
      </c>
      <c r="L7" s="5"/>
      <c r="M7" s="10" t="s">
        <v>10</v>
      </c>
      <c r="N7" s="5"/>
      <c r="O7" s="10" t="s">
        <v>6</v>
      </c>
      <c r="P7" s="5"/>
      <c r="Q7" s="10" t="s">
        <v>6</v>
      </c>
      <c r="R7" s="5"/>
      <c r="S7" s="10" t="s">
        <v>11</v>
      </c>
      <c r="T7" s="5"/>
      <c r="U7" s="10" t="s">
        <v>12</v>
      </c>
      <c r="V7" s="5"/>
      <c r="W7" s="10" t="s">
        <v>1205</v>
      </c>
      <c r="X7" s="5"/>
      <c r="Y7" s="10" t="s">
        <v>2187</v>
      </c>
      <c r="Z7" s="5"/>
      <c r="AA7" s="10" t="s">
        <v>6</v>
      </c>
      <c r="AB7" s="10" t="s">
        <v>13</v>
      </c>
    </row>
    <row r="8" spans="1:28" s="9" customFormat="1">
      <c r="D8" s="8" t="s">
        <v>14</v>
      </c>
      <c r="E8" s="11"/>
      <c r="F8" s="5"/>
      <c r="G8" s="11"/>
      <c r="H8" s="5"/>
      <c r="I8" s="11"/>
      <c r="J8" s="5"/>
      <c r="K8" s="11"/>
      <c r="L8" s="5"/>
      <c r="M8" s="11"/>
      <c r="N8" s="5"/>
      <c r="O8" s="11"/>
      <c r="P8" s="5"/>
      <c r="Q8" s="11"/>
      <c r="R8" s="5"/>
      <c r="S8" s="5"/>
      <c r="T8" s="5"/>
      <c r="U8" s="5"/>
      <c r="V8" s="5"/>
      <c r="W8" s="11"/>
      <c r="X8" s="5"/>
      <c r="Y8" s="11"/>
      <c r="Z8" s="5"/>
      <c r="AA8" s="11" t="s">
        <v>2180</v>
      </c>
      <c r="AB8" s="11"/>
    </row>
    <row r="9" spans="1:28">
      <c r="D9" s="8" t="s">
        <v>15</v>
      </c>
      <c r="E9" s="7"/>
      <c r="F9" s="5"/>
      <c r="G9" s="7"/>
      <c r="H9" s="5"/>
      <c r="I9" s="7"/>
      <c r="J9" s="5"/>
      <c r="K9" s="7"/>
      <c r="L9" s="5"/>
      <c r="M9" s="7"/>
      <c r="N9" s="5"/>
      <c r="O9" s="7"/>
      <c r="P9" s="5"/>
      <c r="Q9" s="7"/>
      <c r="R9" s="5"/>
      <c r="S9" s="5"/>
      <c r="T9" s="5"/>
      <c r="U9" s="5"/>
      <c r="V9" s="5"/>
      <c r="W9" s="7"/>
      <c r="X9" s="5"/>
      <c r="Y9" s="7"/>
      <c r="Z9" s="5"/>
      <c r="AA9" s="7"/>
      <c r="AB9" s="7"/>
    </row>
    <row r="10" spans="1:28">
      <c r="D10" s="8" t="s">
        <v>3423</v>
      </c>
      <c r="E10" s="7"/>
      <c r="F10" s="5"/>
      <c r="G10" s="7"/>
      <c r="H10" s="5"/>
      <c r="I10" s="7"/>
      <c r="J10" s="5"/>
      <c r="K10" s="7"/>
      <c r="L10" s="5"/>
      <c r="M10" s="7"/>
      <c r="N10" s="5"/>
      <c r="O10" s="7"/>
      <c r="P10" s="5"/>
      <c r="Q10" s="7"/>
      <c r="R10" s="5"/>
      <c r="S10" s="5"/>
      <c r="T10" s="5"/>
      <c r="U10" s="5"/>
      <c r="V10" s="5"/>
      <c r="W10" s="7"/>
      <c r="X10" s="5"/>
      <c r="Y10" s="7"/>
      <c r="Z10" s="5"/>
      <c r="AA10" s="7"/>
      <c r="AB10" s="7"/>
    </row>
    <row r="11" spans="1:28">
      <c r="A11" s="2" t="s">
        <v>17</v>
      </c>
      <c r="B11" s="2" t="s">
        <v>3416</v>
      </c>
      <c r="C11" s="2" t="str">
        <f>MID(D11,2,3)</f>
        <v>360</v>
      </c>
      <c r="D11" s="5" t="s">
        <v>2485</v>
      </c>
      <c r="E11" s="7">
        <v>9123751.0063599888</v>
      </c>
      <c r="F11" s="19"/>
      <c r="G11" s="7">
        <v>288081.5858</v>
      </c>
      <c r="H11" s="19"/>
      <c r="I11" s="7">
        <v>0</v>
      </c>
      <c r="J11" s="19"/>
      <c r="K11" s="7">
        <v>0</v>
      </c>
      <c r="L11" s="19"/>
      <c r="M11" s="7">
        <v>288081.5858</v>
      </c>
      <c r="N11" s="19"/>
      <c r="O11" s="7">
        <v>9411832.5921599884</v>
      </c>
      <c r="P11" s="19"/>
      <c r="Q11" s="13">
        <v>9234551.6162830666</v>
      </c>
      <c r="R11" s="5"/>
      <c r="S11" s="13">
        <v>-1436707.1099999901</v>
      </c>
      <c r="T11" s="5"/>
      <c r="U11" s="13">
        <v>7797844.5062830765</v>
      </c>
      <c r="V11" s="19"/>
      <c r="W11" s="7">
        <v>1538.4274001123015</v>
      </c>
      <c r="X11" s="5"/>
      <c r="Y11" s="12">
        <v>-1435168.6825998777</v>
      </c>
      <c r="Z11" s="19"/>
      <c r="AA11" s="7">
        <v>9411832.5921599902</v>
      </c>
      <c r="AB11" s="12">
        <v>0</v>
      </c>
    </row>
    <row r="12" spans="1:28">
      <c r="A12" s="2" t="s">
        <v>17</v>
      </c>
      <c r="B12" s="2" t="s">
        <v>3416</v>
      </c>
      <c r="D12" s="5" t="s">
        <v>18</v>
      </c>
      <c r="E12" s="7">
        <v>0</v>
      </c>
      <c r="F12" s="19"/>
      <c r="G12" s="7">
        <v>0</v>
      </c>
      <c r="H12" s="19"/>
      <c r="I12" s="7">
        <v>0</v>
      </c>
      <c r="J12" s="19"/>
      <c r="K12" s="7">
        <v>0</v>
      </c>
      <c r="L12" s="19"/>
      <c r="M12" s="7">
        <v>0</v>
      </c>
      <c r="N12" s="19"/>
      <c r="O12" s="7">
        <v>0</v>
      </c>
      <c r="P12" s="19"/>
      <c r="Q12" s="7">
        <v>0</v>
      </c>
      <c r="R12" s="5"/>
      <c r="S12" s="13">
        <v>0</v>
      </c>
      <c r="T12" s="5"/>
      <c r="U12" s="13">
        <v>0</v>
      </c>
      <c r="V12" s="19"/>
      <c r="W12" s="7">
        <v>0</v>
      </c>
      <c r="X12" s="19"/>
      <c r="Y12" s="7">
        <v>0</v>
      </c>
      <c r="Z12" s="19"/>
      <c r="AA12" s="7">
        <v>0</v>
      </c>
      <c r="AB12" s="7">
        <v>0</v>
      </c>
    </row>
    <row r="13" spans="1:28">
      <c r="A13" s="2" t="s">
        <v>17</v>
      </c>
      <c r="B13" s="2" t="s">
        <v>3416</v>
      </c>
      <c r="C13" s="2" t="str">
        <f t="shared" ref="C13:C21" si="0">MID(D13,2,3)</f>
        <v>361</v>
      </c>
      <c r="D13" s="5" t="s">
        <v>19</v>
      </c>
      <c r="E13" s="7">
        <v>23004345.073011998</v>
      </c>
      <c r="F13" s="19"/>
      <c r="G13" s="7">
        <v>9532268.2670999989</v>
      </c>
      <c r="H13" s="19"/>
      <c r="I13" s="7">
        <v>0</v>
      </c>
      <c r="J13" s="19"/>
      <c r="K13" s="7">
        <v>0</v>
      </c>
      <c r="L13" s="19"/>
      <c r="M13" s="7">
        <v>9532268.2670999989</v>
      </c>
      <c r="N13" s="19"/>
      <c r="O13" s="7">
        <v>32536613.340111997</v>
      </c>
      <c r="P13" s="19"/>
      <c r="Q13" s="7">
        <v>27775081.824258152</v>
      </c>
      <c r="R13" s="5"/>
      <c r="S13" s="13">
        <v>-2262853.625720683</v>
      </c>
      <c r="T13" s="5"/>
      <c r="U13" s="13">
        <v>25512228.198537469</v>
      </c>
      <c r="V13" s="19"/>
      <c r="W13" s="7">
        <v>50904.686068718671</v>
      </c>
      <c r="X13" s="19"/>
      <c r="Y13" s="7">
        <v>-2211948.9396519642</v>
      </c>
      <c r="Z13" s="19"/>
      <c r="AA13" s="7">
        <v>32536613.340111997</v>
      </c>
      <c r="AB13" s="7">
        <v>0</v>
      </c>
    </row>
    <row r="14" spans="1:28">
      <c r="A14" s="2" t="s">
        <v>17</v>
      </c>
      <c r="B14" s="2" t="s">
        <v>3416</v>
      </c>
      <c r="C14" s="2" t="str">
        <f t="shared" si="0"/>
        <v>362</v>
      </c>
      <c r="D14" s="5" t="s">
        <v>20</v>
      </c>
      <c r="E14" s="7">
        <v>233344808.81363401</v>
      </c>
      <c r="F14" s="19"/>
      <c r="G14" s="7">
        <v>26736534.259379987</v>
      </c>
      <c r="H14" s="19"/>
      <c r="I14" s="7">
        <v>-1069852.3600000001</v>
      </c>
      <c r="J14" s="19"/>
      <c r="K14" s="7">
        <v>0</v>
      </c>
      <c r="L14" s="19"/>
      <c r="M14" s="7">
        <v>25666681.899379987</v>
      </c>
      <c r="N14" s="19"/>
      <c r="O14" s="7">
        <v>259011490.71301401</v>
      </c>
      <c r="P14" s="19"/>
      <c r="Q14" s="7">
        <v>245177243.60645169</v>
      </c>
      <c r="R14" s="5"/>
      <c r="S14" s="13">
        <v>-52684665.718711488</v>
      </c>
      <c r="T14" s="5"/>
      <c r="U14" s="13">
        <v>192492577.88774019</v>
      </c>
      <c r="V14" s="19"/>
      <c r="W14" s="7">
        <v>142779.75030735694</v>
      </c>
      <c r="X14" s="19"/>
      <c r="Y14" s="7">
        <v>-52541885.968404129</v>
      </c>
      <c r="Z14" s="19"/>
      <c r="AA14" s="7">
        <v>259011490.71301401</v>
      </c>
      <c r="AB14" s="7">
        <v>0</v>
      </c>
    </row>
    <row r="15" spans="1:28">
      <c r="A15" s="2" t="s">
        <v>17</v>
      </c>
      <c r="B15" s="2" t="s">
        <v>3416</v>
      </c>
      <c r="C15" s="2" t="str">
        <f t="shared" si="0"/>
        <v>364</v>
      </c>
      <c r="D15" s="5" t="s">
        <v>21</v>
      </c>
      <c r="E15" s="7">
        <v>387864693.57535201</v>
      </c>
      <c r="F15" s="19"/>
      <c r="G15" s="7">
        <v>20272027.565441512</v>
      </c>
      <c r="H15" s="19"/>
      <c r="I15" s="7">
        <v>-1844796.7899999989</v>
      </c>
      <c r="J15" s="19"/>
      <c r="K15" s="7">
        <v>0</v>
      </c>
      <c r="L15" s="19"/>
      <c r="M15" s="7">
        <v>18427230.775441512</v>
      </c>
      <c r="N15" s="19"/>
      <c r="O15" s="7">
        <v>406291924.35079354</v>
      </c>
      <c r="P15" s="19"/>
      <c r="Q15" s="7">
        <v>397421920.71178764</v>
      </c>
      <c r="R15" s="5"/>
      <c r="S15" s="13">
        <v>-163631808.50077525</v>
      </c>
      <c r="T15" s="5"/>
      <c r="U15" s="13">
        <v>233790112.21101239</v>
      </c>
      <c r="V15" s="19"/>
      <c r="W15" s="7">
        <v>108257.67490796382</v>
      </c>
      <c r="X15" s="19"/>
      <c r="Y15" s="7">
        <v>-163523550.8258673</v>
      </c>
      <c r="Z15" s="19"/>
      <c r="AA15" s="7">
        <v>406291924.35079408</v>
      </c>
      <c r="AB15" s="7">
        <v>5.3644180297851563E-7</v>
      </c>
    </row>
    <row r="16" spans="1:28">
      <c r="A16" s="2" t="s">
        <v>17</v>
      </c>
      <c r="B16" s="2" t="s">
        <v>3416</v>
      </c>
      <c r="C16" s="2" t="str">
        <f t="shared" si="0"/>
        <v>365</v>
      </c>
      <c r="D16" s="5" t="s">
        <v>22</v>
      </c>
      <c r="E16" s="7">
        <v>386811384.67913103</v>
      </c>
      <c r="F16" s="19"/>
      <c r="G16" s="7">
        <v>29866834.756664127</v>
      </c>
      <c r="H16" s="19"/>
      <c r="I16" s="7">
        <v>-6656519.5300000003</v>
      </c>
      <c r="J16" s="19"/>
      <c r="K16" s="7">
        <v>0</v>
      </c>
      <c r="L16" s="19"/>
      <c r="M16" s="7">
        <v>23210315.226664126</v>
      </c>
      <c r="N16" s="19"/>
      <c r="O16" s="7">
        <v>410021699.90579516</v>
      </c>
      <c r="P16" s="19"/>
      <c r="Q16" s="7">
        <v>398758262.97508228</v>
      </c>
      <c r="R16" s="5"/>
      <c r="S16" s="13">
        <v>-110274745.38126171</v>
      </c>
      <c r="T16" s="5"/>
      <c r="U16" s="13">
        <v>288483517.59382057</v>
      </c>
      <c r="V16" s="19"/>
      <c r="W16" s="7">
        <v>159496.33440360808</v>
      </c>
      <c r="X16" s="19"/>
      <c r="Y16" s="7">
        <v>-110115249.0468581</v>
      </c>
      <c r="Z16" s="19"/>
      <c r="AA16" s="7">
        <v>410021699.90579504</v>
      </c>
      <c r="AB16" s="7">
        <v>0</v>
      </c>
    </row>
    <row r="17" spans="1:28">
      <c r="A17" s="2" t="s">
        <v>17</v>
      </c>
      <c r="B17" s="2" t="s">
        <v>3416</v>
      </c>
      <c r="C17" s="2" t="str">
        <f t="shared" si="0"/>
        <v>366</v>
      </c>
      <c r="D17" s="5" t="s">
        <v>23</v>
      </c>
      <c r="E17" s="7">
        <v>2390106.04</v>
      </c>
      <c r="F17" s="19"/>
      <c r="G17" s="7">
        <v>0</v>
      </c>
      <c r="H17" s="19"/>
      <c r="I17" s="7">
        <v>0</v>
      </c>
      <c r="J17" s="19"/>
      <c r="K17" s="7">
        <v>0</v>
      </c>
      <c r="L17" s="19"/>
      <c r="M17" s="7">
        <v>0</v>
      </c>
      <c r="N17" s="19"/>
      <c r="O17" s="7">
        <v>2390106.04</v>
      </c>
      <c r="P17" s="19"/>
      <c r="Q17" s="7">
        <v>2390106.04</v>
      </c>
      <c r="R17" s="5"/>
      <c r="S17" s="13">
        <v>-1052769.8279519898</v>
      </c>
      <c r="T17" s="5"/>
      <c r="U17" s="13">
        <v>1337336.2120480102</v>
      </c>
      <c r="V17" s="19"/>
      <c r="W17" s="7">
        <v>0</v>
      </c>
      <c r="X17" s="19"/>
      <c r="Y17" s="7">
        <v>-1052769.8279519898</v>
      </c>
      <c r="Z17" s="19"/>
      <c r="AA17" s="7">
        <v>2390106.04</v>
      </c>
      <c r="AB17" s="7">
        <v>0</v>
      </c>
    </row>
    <row r="18" spans="1:28">
      <c r="A18" s="2" t="s">
        <v>17</v>
      </c>
      <c r="B18" s="2" t="s">
        <v>3416</v>
      </c>
      <c r="C18" s="2" t="str">
        <f t="shared" si="0"/>
        <v>367</v>
      </c>
      <c r="D18" s="5" t="s">
        <v>24</v>
      </c>
      <c r="E18" s="7">
        <v>207889791.37780601</v>
      </c>
      <c r="F18" s="19"/>
      <c r="G18" s="7">
        <v>17133147.711513441</v>
      </c>
      <c r="H18" s="19"/>
      <c r="I18" s="7">
        <v>0</v>
      </c>
      <c r="J18" s="19"/>
      <c r="K18" s="7">
        <v>0</v>
      </c>
      <c r="L18" s="19"/>
      <c r="M18" s="7">
        <v>17133147.711513441</v>
      </c>
      <c r="N18" s="19"/>
      <c r="O18" s="7">
        <v>225022939.08931944</v>
      </c>
      <c r="P18" s="19"/>
      <c r="Q18" s="7">
        <v>216528926.38302183</v>
      </c>
      <c r="R18" s="5"/>
      <c r="S18" s="13">
        <v>-54723199.344165735</v>
      </c>
      <c r="T18" s="5"/>
      <c r="U18" s="13">
        <v>161805727.03885609</v>
      </c>
      <c r="V18" s="19"/>
      <c r="W18" s="7">
        <v>91495.274910985463</v>
      </c>
      <c r="X18" s="19"/>
      <c r="Y18" s="7">
        <v>-54631704.069254749</v>
      </c>
      <c r="Z18" s="19"/>
      <c r="AA18" s="7">
        <v>225022939.08931902</v>
      </c>
      <c r="AB18" s="7">
        <v>-4.1723251342773438E-7</v>
      </c>
    </row>
    <row r="19" spans="1:28">
      <c r="A19" s="2" t="s">
        <v>17</v>
      </c>
      <c r="B19" s="2" t="s">
        <v>3416</v>
      </c>
      <c r="C19" s="2" t="str">
        <f t="shared" si="0"/>
        <v>368</v>
      </c>
      <c r="D19" s="5" t="s">
        <v>25</v>
      </c>
      <c r="E19" s="7">
        <v>312190746.45506102</v>
      </c>
      <c r="F19" s="19"/>
      <c r="G19" s="7">
        <v>10157497.673118895</v>
      </c>
      <c r="H19" s="19"/>
      <c r="I19" s="7">
        <v>-3488019.6499999971</v>
      </c>
      <c r="J19" s="19"/>
      <c r="K19" s="7">
        <v>0</v>
      </c>
      <c r="L19" s="19"/>
      <c r="M19" s="7">
        <v>6669478.0231188983</v>
      </c>
      <c r="N19" s="19"/>
      <c r="O19" s="7">
        <v>318860224.47817993</v>
      </c>
      <c r="P19" s="19"/>
      <c r="Q19" s="7">
        <v>315437142.80543238</v>
      </c>
      <c r="R19" s="5"/>
      <c r="S19" s="13">
        <v>-145624251.24391317</v>
      </c>
      <c r="T19" s="5"/>
      <c r="U19" s="13">
        <v>169812891.56151921</v>
      </c>
      <c r="V19" s="19"/>
      <c r="W19" s="7">
        <v>54243.566778168752</v>
      </c>
      <c r="X19" s="19"/>
      <c r="Y19" s="7">
        <v>-145570007.67713499</v>
      </c>
      <c r="Z19" s="19"/>
      <c r="AA19" s="7">
        <v>318860224.47817898</v>
      </c>
      <c r="AB19" s="7">
        <v>-9.5367431640625E-7</v>
      </c>
    </row>
    <row r="20" spans="1:28">
      <c r="A20" s="2" t="s">
        <v>17</v>
      </c>
      <c r="B20" s="2" t="s">
        <v>3416</v>
      </c>
      <c r="C20" s="2" t="str">
        <f t="shared" si="0"/>
        <v>369</v>
      </c>
      <c r="D20" s="5" t="s">
        <v>26</v>
      </c>
      <c r="E20" s="7">
        <v>108650549.7</v>
      </c>
      <c r="F20" s="19"/>
      <c r="G20" s="7">
        <v>53775.12</v>
      </c>
      <c r="H20" s="19"/>
      <c r="I20" s="7">
        <v>0</v>
      </c>
      <c r="J20" s="19"/>
      <c r="K20" s="7">
        <v>0</v>
      </c>
      <c r="L20" s="19"/>
      <c r="M20" s="7">
        <v>53775.12</v>
      </c>
      <c r="N20" s="19"/>
      <c r="O20" s="7">
        <v>108704324.82000001</v>
      </c>
      <c r="P20" s="19"/>
      <c r="Q20" s="7">
        <v>108671232.43846154</v>
      </c>
      <c r="R20" s="5"/>
      <c r="S20" s="13">
        <v>-63005869.262307689</v>
      </c>
      <c r="T20" s="5"/>
      <c r="U20" s="13">
        <v>45665363.176153854</v>
      </c>
      <c r="V20" s="19"/>
      <c r="W20" s="7">
        <v>287.17253073496175</v>
      </c>
      <c r="X20" s="19"/>
      <c r="Y20" s="7">
        <v>-63005582.089776956</v>
      </c>
      <c r="Z20" s="19"/>
      <c r="AA20" s="7">
        <v>108704324.81999999</v>
      </c>
      <c r="AB20" s="7">
        <v>0</v>
      </c>
    </row>
    <row r="21" spans="1:28">
      <c r="A21" s="2" t="s">
        <v>17</v>
      </c>
      <c r="B21" s="2" t="s">
        <v>3416</v>
      </c>
      <c r="C21" s="2" t="str">
        <f t="shared" si="0"/>
        <v>370</v>
      </c>
      <c r="D21" s="5" t="s">
        <v>27</v>
      </c>
      <c r="E21" s="7">
        <v>77729706.040100008</v>
      </c>
      <c r="F21" s="19"/>
      <c r="G21" s="7">
        <v>2284873.3905099989</v>
      </c>
      <c r="H21" s="19"/>
      <c r="I21" s="7">
        <v>0</v>
      </c>
      <c r="J21" s="19"/>
      <c r="K21" s="7">
        <v>0</v>
      </c>
      <c r="L21" s="19"/>
      <c r="M21" s="7">
        <v>2284873.3905099989</v>
      </c>
      <c r="N21" s="19"/>
      <c r="O21" s="7">
        <v>80014579.430610001</v>
      </c>
      <c r="P21" s="19"/>
      <c r="Q21" s="7">
        <v>78790854.284320772</v>
      </c>
      <c r="R21" s="5"/>
      <c r="S21" s="13">
        <v>-41733870.719318151</v>
      </c>
      <c r="T21" s="5"/>
      <c r="U21" s="13">
        <v>37056983.56500262</v>
      </c>
      <c r="V21" s="19"/>
      <c r="W21" s="7">
        <v>12201.792835826845</v>
      </c>
      <c r="X21" s="19"/>
      <c r="Y21" s="7">
        <v>-41721668.926482327</v>
      </c>
      <c r="Z21" s="19"/>
      <c r="AA21" s="7">
        <v>80014579.430610001</v>
      </c>
      <c r="AB21" s="7">
        <v>0</v>
      </c>
    </row>
    <row r="22" spans="1:28">
      <c r="A22" s="2" t="s">
        <v>17</v>
      </c>
      <c r="B22" s="2" t="s">
        <v>3416</v>
      </c>
      <c r="D22" s="5" t="s">
        <v>2188</v>
      </c>
      <c r="E22" s="7">
        <v>0</v>
      </c>
      <c r="F22" s="19"/>
      <c r="G22" s="7">
        <v>0</v>
      </c>
      <c r="H22" s="19"/>
      <c r="I22" s="7">
        <v>0</v>
      </c>
      <c r="J22" s="19"/>
      <c r="K22" s="7">
        <v>0</v>
      </c>
      <c r="L22" s="19"/>
      <c r="M22" s="7">
        <v>0</v>
      </c>
      <c r="N22" s="19"/>
      <c r="O22" s="7">
        <v>0</v>
      </c>
      <c r="P22" s="19"/>
      <c r="Q22" s="7">
        <v>0</v>
      </c>
      <c r="R22" s="5"/>
      <c r="S22" s="13">
        <v>0</v>
      </c>
      <c r="T22" s="5"/>
      <c r="U22" s="13">
        <v>0</v>
      </c>
      <c r="V22" s="19"/>
      <c r="W22" s="7">
        <v>0</v>
      </c>
      <c r="X22" s="19"/>
      <c r="Y22" s="7">
        <v>0</v>
      </c>
      <c r="Z22" s="19"/>
      <c r="AA22" s="7">
        <v>0</v>
      </c>
      <c r="AB22" s="7">
        <v>0</v>
      </c>
    </row>
    <row r="23" spans="1:28">
      <c r="A23" s="9" t="s">
        <v>17</v>
      </c>
      <c r="B23" s="2" t="s">
        <v>3416</v>
      </c>
      <c r="C23" s="9"/>
      <c r="D23" s="5" t="s">
        <v>2486</v>
      </c>
      <c r="E23" s="7">
        <v>0</v>
      </c>
      <c r="F23" s="19"/>
      <c r="G23" s="7">
        <v>0</v>
      </c>
      <c r="H23" s="19"/>
      <c r="I23" s="7">
        <v>0</v>
      </c>
      <c r="J23" s="19"/>
      <c r="K23" s="7">
        <v>0</v>
      </c>
      <c r="L23" s="19"/>
      <c r="M23" s="7">
        <v>0</v>
      </c>
      <c r="N23" s="19"/>
      <c r="O23" s="7">
        <v>0</v>
      </c>
      <c r="P23" s="19"/>
      <c r="Q23" s="7">
        <v>0</v>
      </c>
      <c r="R23" s="5"/>
      <c r="S23" s="13">
        <v>0</v>
      </c>
      <c r="T23" s="5"/>
      <c r="U23" s="13">
        <v>0</v>
      </c>
      <c r="V23" s="19"/>
      <c r="W23" s="7">
        <v>0</v>
      </c>
      <c r="X23" s="19"/>
      <c r="Y23" s="7">
        <v>0</v>
      </c>
      <c r="Z23" s="19"/>
      <c r="AA23" s="7">
        <v>0</v>
      </c>
      <c r="AB23" s="7">
        <v>0</v>
      </c>
    </row>
    <row r="24" spans="1:28">
      <c r="A24" s="2" t="s">
        <v>17</v>
      </c>
      <c r="B24" s="2" t="s">
        <v>3416</v>
      </c>
      <c r="C24" s="2" t="str">
        <f t="shared" ref="C24:C26" si="1">MID(D24,2,3)</f>
        <v>371</v>
      </c>
      <c r="D24" s="5" t="s">
        <v>28</v>
      </c>
      <c r="E24" s="7">
        <v>145659.9681</v>
      </c>
      <c r="F24" s="19"/>
      <c r="G24" s="7">
        <v>0</v>
      </c>
      <c r="H24" s="19"/>
      <c r="I24" s="7">
        <v>0</v>
      </c>
      <c r="J24" s="19"/>
      <c r="K24" s="7">
        <v>0</v>
      </c>
      <c r="L24" s="19"/>
      <c r="M24" s="7">
        <v>0</v>
      </c>
      <c r="N24" s="19"/>
      <c r="O24" s="7">
        <v>145659.9681</v>
      </c>
      <c r="P24" s="19"/>
      <c r="Q24" s="7">
        <v>145659.9681</v>
      </c>
      <c r="R24" s="5"/>
      <c r="S24" s="13">
        <v>-15640.279999999917</v>
      </c>
      <c r="T24" s="5"/>
      <c r="U24" s="13">
        <v>130019.68810000009</v>
      </c>
      <c r="V24" s="19"/>
      <c r="W24" s="7">
        <v>0</v>
      </c>
      <c r="X24" s="19"/>
      <c r="Y24" s="7">
        <v>-15640.279999999917</v>
      </c>
      <c r="Z24" s="19"/>
      <c r="AA24" s="7">
        <v>145659.9681</v>
      </c>
      <c r="AB24" s="7">
        <v>0</v>
      </c>
    </row>
    <row r="25" spans="1:28" s="9" customFormat="1">
      <c r="A25" s="2" t="s">
        <v>17</v>
      </c>
      <c r="B25" s="2" t="s">
        <v>3416</v>
      </c>
      <c r="C25" s="2" t="str">
        <f t="shared" si="1"/>
        <v>373</v>
      </c>
      <c r="D25" s="5" t="s">
        <v>29</v>
      </c>
      <c r="E25" s="7">
        <v>125330291.01241499</v>
      </c>
      <c r="F25" s="18"/>
      <c r="G25" s="7">
        <v>7272254.8457069965</v>
      </c>
      <c r="H25" s="18"/>
      <c r="I25" s="7">
        <v>-3697027.82</v>
      </c>
      <c r="J25" s="18"/>
      <c r="K25" s="7">
        <v>0</v>
      </c>
      <c r="L25" s="18"/>
      <c r="M25" s="17">
        <v>3575227.0257069967</v>
      </c>
      <c r="N25" s="18"/>
      <c r="O25" s="17">
        <v>128905518.03812198</v>
      </c>
      <c r="P25" s="18"/>
      <c r="Q25" s="17">
        <v>126856868.67395324</v>
      </c>
      <c r="R25" s="5"/>
      <c r="S25" s="13">
        <v>-44596578.841474771</v>
      </c>
      <c r="T25" s="5"/>
      <c r="U25" s="13">
        <v>82260289.832478464</v>
      </c>
      <c r="V25" s="18"/>
      <c r="W25" s="7">
        <v>38835.651658076575</v>
      </c>
      <c r="X25" s="18"/>
      <c r="Y25" s="7">
        <v>-44557743.189816698</v>
      </c>
      <c r="Z25" s="18"/>
      <c r="AA25" s="7">
        <v>128905518.038122</v>
      </c>
      <c r="AB25" s="7">
        <v>0</v>
      </c>
    </row>
    <row r="26" spans="1:28">
      <c r="A26" s="2" t="s">
        <v>17</v>
      </c>
      <c r="B26" s="2" t="s">
        <v>3416</v>
      </c>
      <c r="C26" s="2" t="str">
        <f t="shared" si="1"/>
        <v>374</v>
      </c>
      <c r="D26" s="5" t="s">
        <v>30</v>
      </c>
      <c r="E26" s="17">
        <v>658287.19000000006</v>
      </c>
      <c r="F26" s="18"/>
      <c r="G26" s="17">
        <v>0</v>
      </c>
      <c r="H26" s="18"/>
      <c r="I26" s="17">
        <v>0</v>
      </c>
      <c r="J26" s="18"/>
      <c r="K26" s="17">
        <v>0</v>
      </c>
      <c r="L26" s="18"/>
      <c r="M26" s="17">
        <v>0</v>
      </c>
      <c r="N26" s="18"/>
      <c r="O26" s="17">
        <v>658287.19000000006</v>
      </c>
      <c r="P26" s="18"/>
      <c r="Q26" s="17">
        <v>658287.18999999994</v>
      </c>
      <c r="R26" s="14"/>
      <c r="S26" s="15">
        <v>-131322.43193931569</v>
      </c>
      <c r="T26" s="14"/>
      <c r="U26" s="15">
        <v>526964.75806068419</v>
      </c>
      <c r="V26" s="18"/>
      <c r="W26" s="17">
        <v>0</v>
      </c>
      <c r="X26" s="18"/>
      <c r="Y26" s="17">
        <v>-131322.43193931569</v>
      </c>
      <c r="Z26" s="18"/>
      <c r="AA26" s="17">
        <v>658287.19000000006</v>
      </c>
      <c r="AB26" s="17">
        <v>0</v>
      </c>
    </row>
    <row r="27" spans="1:28">
      <c r="B27" s="2" t="s">
        <v>3416</v>
      </c>
      <c r="D27" s="16" t="s">
        <v>31</v>
      </c>
      <c r="E27" s="17">
        <v>0</v>
      </c>
      <c r="F27" s="18"/>
      <c r="G27" s="17">
        <v>0</v>
      </c>
      <c r="H27" s="18"/>
      <c r="I27" s="17">
        <v>0</v>
      </c>
      <c r="J27" s="18"/>
      <c r="K27" s="17">
        <v>0</v>
      </c>
      <c r="L27" s="18"/>
      <c r="M27" s="17">
        <v>0</v>
      </c>
      <c r="N27" s="18"/>
      <c r="O27" s="17">
        <v>0</v>
      </c>
      <c r="P27" s="18"/>
      <c r="Q27" s="17">
        <v>0</v>
      </c>
      <c r="R27" s="5"/>
      <c r="S27" s="15">
        <v>0</v>
      </c>
      <c r="T27" s="5"/>
      <c r="U27" s="15">
        <v>0</v>
      </c>
      <c r="V27" s="18"/>
      <c r="W27" s="17">
        <v>0</v>
      </c>
      <c r="X27" s="18"/>
      <c r="Y27" s="17">
        <v>0</v>
      </c>
      <c r="Z27" s="18"/>
      <c r="AA27" s="17">
        <v>0</v>
      </c>
      <c r="AB27" s="17">
        <v>0</v>
      </c>
    </row>
    <row r="28" spans="1:28">
      <c r="B28" s="2" t="s">
        <v>3416</v>
      </c>
      <c r="D28" s="5"/>
      <c r="E28" s="433">
        <v>1875134120.9309711</v>
      </c>
      <c r="F28" s="18"/>
      <c r="G28" s="433">
        <v>123597295.17523496</v>
      </c>
      <c r="H28" s="18"/>
      <c r="I28" s="433">
        <v>-16756216.149999997</v>
      </c>
      <c r="J28" s="18"/>
      <c r="K28" s="433">
        <v>0</v>
      </c>
      <c r="L28" s="18"/>
      <c r="M28" s="433">
        <v>106841079.02523495</v>
      </c>
      <c r="N28" s="18"/>
      <c r="O28" s="433">
        <v>1981975199.9562058</v>
      </c>
      <c r="P28" s="18"/>
      <c r="Q28" s="433">
        <v>1927846138.5171528</v>
      </c>
      <c r="R28" s="5"/>
      <c r="S28" s="433">
        <v>-681174282.28753996</v>
      </c>
      <c r="T28" s="5"/>
      <c r="U28" s="433">
        <v>1246671856.2296128</v>
      </c>
      <c r="V28" s="18"/>
      <c r="W28" s="433">
        <v>660040.33180155244</v>
      </c>
      <c r="X28" s="18"/>
      <c r="Y28" s="433">
        <v>-680514241.95573843</v>
      </c>
      <c r="Z28" s="18"/>
      <c r="AA28" s="433">
        <v>1981975199.9562049</v>
      </c>
      <c r="AB28" s="433">
        <v>-8.3446502685546875E-7</v>
      </c>
    </row>
    <row r="29" spans="1:28">
      <c r="B29" s="2" t="s">
        <v>3416</v>
      </c>
      <c r="D29" s="5"/>
      <c r="E29" s="17"/>
      <c r="F29" s="18"/>
      <c r="G29" s="17"/>
      <c r="H29" s="18"/>
      <c r="I29" s="17"/>
      <c r="J29" s="18"/>
      <c r="K29" s="17"/>
      <c r="L29" s="18"/>
      <c r="M29" s="17"/>
      <c r="N29" s="18"/>
      <c r="O29" s="17"/>
      <c r="P29" s="18"/>
      <c r="Q29" s="17"/>
      <c r="R29" s="5"/>
      <c r="S29" s="5"/>
      <c r="T29" s="5"/>
      <c r="U29" s="5"/>
      <c r="V29" s="18"/>
      <c r="W29" s="17"/>
      <c r="X29" s="18"/>
      <c r="Y29" s="17"/>
      <c r="Z29" s="18"/>
      <c r="AA29" s="17"/>
      <c r="AB29" s="17"/>
    </row>
    <row r="30" spans="1:28">
      <c r="B30" s="2" t="s">
        <v>3416</v>
      </c>
      <c r="D30" s="8" t="s">
        <v>3424</v>
      </c>
      <c r="E30" s="17"/>
      <c r="F30" s="18"/>
      <c r="G30" s="17"/>
      <c r="H30" s="18"/>
      <c r="I30" s="17"/>
      <c r="J30" s="18"/>
      <c r="K30" s="17"/>
      <c r="L30" s="18"/>
      <c r="M30" s="17"/>
      <c r="N30" s="18"/>
      <c r="O30" s="17"/>
      <c r="P30" s="18"/>
      <c r="Q30" s="17"/>
      <c r="R30" s="5"/>
      <c r="S30" s="5"/>
      <c r="T30" s="5"/>
      <c r="U30" s="5"/>
      <c r="V30" s="18"/>
      <c r="W30" s="17"/>
      <c r="X30" s="18"/>
      <c r="Y30" s="17"/>
      <c r="Z30" s="18"/>
      <c r="AA30" s="17"/>
      <c r="AB30" s="17"/>
    </row>
    <row r="31" spans="1:28">
      <c r="A31" s="2" t="s">
        <v>17</v>
      </c>
      <c r="B31" s="2" t="s">
        <v>3416</v>
      </c>
      <c r="C31" s="2" t="str">
        <f t="shared" ref="C31:C46" si="2">MID(D31,2,3)</f>
        <v>389</v>
      </c>
      <c r="D31" s="5" t="s">
        <v>2487</v>
      </c>
      <c r="E31" s="7">
        <v>3127455.0698499903</v>
      </c>
      <c r="F31" s="19"/>
      <c r="G31" s="7">
        <v>636814.06484999997</v>
      </c>
      <c r="H31" s="19"/>
      <c r="I31" s="7">
        <v>0</v>
      </c>
      <c r="J31" s="19"/>
      <c r="K31" s="7">
        <v>0</v>
      </c>
      <c r="L31" s="19"/>
      <c r="M31" s="7">
        <v>636814.06484999997</v>
      </c>
      <c r="N31" s="19"/>
      <c r="O31" s="7">
        <v>3764269.13469999</v>
      </c>
      <c r="P31" s="19"/>
      <c r="Q31" s="7">
        <v>3419891.8752769176</v>
      </c>
      <c r="R31" s="5"/>
      <c r="S31" s="13">
        <v>0</v>
      </c>
      <c r="T31" s="5"/>
      <c r="U31" s="13">
        <v>3419891.8752769176</v>
      </c>
      <c r="V31" s="19"/>
      <c r="W31" s="7">
        <v>-2.2712138837225292E-7</v>
      </c>
      <c r="X31" s="19"/>
      <c r="Y31" s="7">
        <v>-2.2712138837225292E-7</v>
      </c>
      <c r="Z31" s="19"/>
      <c r="AA31" s="7">
        <v>3764269.1346999998</v>
      </c>
      <c r="AB31" s="7">
        <v>9.7788870334625244E-9</v>
      </c>
    </row>
    <row r="32" spans="1:28">
      <c r="A32" s="2" t="s">
        <v>17</v>
      </c>
      <c r="B32" s="2" t="s">
        <v>3416</v>
      </c>
      <c r="C32" s="2" t="str">
        <f t="shared" si="2"/>
        <v>390</v>
      </c>
      <c r="D32" s="5" t="s">
        <v>34</v>
      </c>
      <c r="E32" s="7">
        <v>69092888.850149095</v>
      </c>
      <c r="F32" s="19"/>
      <c r="G32" s="7">
        <v>12240283.650262982</v>
      </c>
      <c r="H32" s="19"/>
      <c r="I32" s="7">
        <v>0</v>
      </c>
      <c r="J32" s="19"/>
      <c r="K32" s="7">
        <v>0</v>
      </c>
      <c r="L32" s="19"/>
      <c r="M32" s="7">
        <v>12240283.650262982</v>
      </c>
      <c r="N32" s="19"/>
      <c r="O32" s="7">
        <v>81333172.500412077</v>
      </c>
      <c r="P32" s="19"/>
      <c r="Q32" s="7">
        <v>77615662.163582623</v>
      </c>
      <c r="R32" s="5"/>
      <c r="S32" s="13">
        <v>-15142392.52111646</v>
      </c>
      <c r="T32" s="5"/>
      <c r="U32" s="13">
        <v>62473269.642466165</v>
      </c>
      <c r="V32" s="19"/>
      <c r="W32" s="7">
        <v>-4.3655289199253872E-6</v>
      </c>
      <c r="X32" s="19"/>
      <c r="Y32" s="7">
        <v>-15142392.521120826</v>
      </c>
      <c r="Z32" s="19"/>
      <c r="AA32" s="7">
        <v>81333172.500412092</v>
      </c>
      <c r="AB32" s="7">
        <v>0</v>
      </c>
    </row>
    <row r="33" spans="1:28">
      <c r="A33" s="2" t="s">
        <v>17</v>
      </c>
      <c r="B33" s="2" t="s">
        <v>3416</v>
      </c>
      <c r="D33" s="5" t="s">
        <v>35</v>
      </c>
      <c r="E33" s="7">
        <v>0</v>
      </c>
      <c r="F33" s="19"/>
      <c r="G33" s="7">
        <v>0</v>
      </c>
      <c r="H33" s="19"/>
      <c r="I33" s="7">
        <v>0</v>
      </c>
      <c r="J33" s="19"/>
      <c r="K33" s="7">
        <v>0</v>
      </c>
      <c r="L33" s="19"/>
      <c r="M33" s="7">
        <v>0</v>
      </c>
      <c r="N33" s="19"/>
      <c r="O33" s="7">
        <v>0</v>
      </c>
      <c r="P33" s="19"/>
      <c r="Q33" s="7">
        <v>0</v>
      </c>
      <c r="R33" s="5"/>
      <c r="S33" s="13">
        <v>0</v>
      </c>
      <c r="T33" s="5"/>
      <c r="U33" s="13">
        <v>0</v>
      </c>
      <c r="V33" s="19"/>
      <c r="W33" s="7">
        <v>0</v>
      </c>
      <c r="X33" s="19"/>
      <c r="Y33" s="7">
        <v>0</v>
      </c>
      <c r="Z33" s="19"/>
      <c r="AA33" s="7">
        <v>0</v>
      </c>
      <c r="AB33" s="7">
        <v>0</v>
      </c>
    </row>
    <row r="34" spans="1:28">
      <c r="A34" s="2" t="s">
        <v>17</v>
      </c>
      <c r="B34" s="2" t="s">
        <v>3416</v>
      </c>
      <c r="C34" s="2" t="str">
        <f t="shared" ref="C34" si="3">MID(D34,2,3)</f>
        <v>391</v>
      </c>
      <c r="D34" s="5" t="s">
        <v>36</v>
      </c>
      <c r="E34" s="7">
        <v>45389359.661425501</v>
      </c>
      <c r="F34" s="19"/>
      <c r="G34" s="7">
        <v>5207104.5599600002</v>
      </c>
      <c r="H34" s="19"/>
      <c r="I34" s="7">
        <v>-8155519.4099999974</v>
      </c>
      <c r="J34" s="19"/>
      <c r="K34" s="7">
        <v>0</v>
      </c>
      <c r="L34" s="19"/>
      <c r="M34" s="7">
        <v>-2948414.8500399971</v>
      </c>
      <c r="N34" s="19"/>
      <c r="O34" s="7">
        <v>42440944.811385505</v>
      </c>
      <c r="P34" s="19"/>
      <c r="Q34" s="7">
        <v>43470434.51483319</v>
      </c>
      <c r="R34" s="5"/>
      <c r="S34" s="13">
        <v>-20395786.365384564</v>
      </c>
      <c r="T34" s="5"/>
      <c r="U34" s="13">
        <v>23074648.149448626</v>
      </c>
      <c r="V34" s="19"/>
      <c r="W34" s="7">
        <v>-1.8571273505653073E-6</v>
      </c>
      <c r="X34" s="19"/>
      <c r="Y34" s="7">
        <v>-20395786.365386423</v>
      </c>
      <c r="Z34" s="19"/>
      <c r="AA34" s="7">
        <v>42440944.811385505</v>
      </c>
      <c r="AB34" s="7">
        <v>0</v>
      </c>
    </row>
    <row r="35" spans="1:28">
      <c r="A35" s="2" t="s">
        <v>17</v>
      </c>
      <c r="B35" s="2" t="s">
        <v>3416</v>
      </c>
      <c r="D35" s="5" t="s">
        <v>37</v>
      </c>
      <c r="E35" s="7">
        <v>0</v>
      </c>
      <c r="F35" s="19"/>
      <c r="G35" s="7">
        <v>0</v>
      </c>
      <c r="H35" s="19"/>
      <c r="I35" s="7">
        <v>0</v>
      </c>
      <c r="J35" s="19"/>
      <c r="K35" s="7">
        <v>0</v>
      </c>
      <c r="L35" s="19"/>
      <c r="M35" s="7">
        <v>0</v>
      </c>
      <c r="N35" s="19"/>
      <c r="O35" s="7">
        <v>0</v>
      </c>
      <c r="P35" s="19"/>
      <c r="Q35" s="7">
        <v>0</v>
      </c>
      <c r="R35" s="5"/>
      <c r="S35" s="13">
        <v>0</v>
      </c>
      <c r="T35" s="5"/>
      <c r="U35" s="13">
        <v>0</v>
      </c>
      <c r="V35" s="19"/>
      <c r="W35" s="7">
        <v>0</v>
      </c>
      <c r="X35" s="19"/>
      <c r="Y35" s="7">
        <v>0</v>
      </c>
      <c r="Z35" s="19"/>
      <c r="AA35" s="7">
        <v>0</v>
      </c>
      <c r="AB35" s="7">
        <v>0</v>
      </c>
    </row>
    <row r="36" spans="1:28" s="9" customFormat="1">
      <c r="A36" s="9" t="s">
        <v>17</v>
      </c>
      <c r="B36" s="2" t="s">
        <v>3416</v>
      </c>
      <c r="D36" s="5" t="s">
        <v>38</v>
      </c>
      <c r="E36" s="7">
        <v>0</v>
      </c>
      <c r="F36" s="19"/>
      <c r="G36" s="7">
        <v>0</v>
      </c>
      <c r="H36" s="19"/>
      <c r="I36" s="7">
        <v>0</v>
      </c>
      <c r="J36" s="19"/>
      <c r="K36" s="7">
        <v>0</v>
      </c>
      <c r="L36" s="19"/>
      <c r="M36" s="7">
        <v>0</v>
      </c>
      <c r="N36" s="19"/>
      <c r="O36" s="7">
        <v>0</v>
      </c>
      <c r="P36" s="19"/>
      <c r="Q36" s="7">
        <v>0</v>
      </c>
      <c r="R36" s="5"/>
      <c r="S36" s="13">
        <v>0</v>
      </c>
      <c r="T36" s="5"/>
      <c r="U36" s="13">
        <v>0</v>
      </c>
      <c r="V36" s="19"/>
      <c r="W36" s="7">
        <v>0</v>
      </c>
      <c r="X36" s="19"/>
      <c r="Y36" s="7">
        <v>0</v>
      </c>
      <c r="Z36" s="19"/>
      <c r="AA36" s="7">
        <v>0</v>
      </c>
      <c r="AB36" s="7">
        <v>0</v>
      </c>
    </row>
    <row r="37" spans="1:28">
      <c r="A37" s="2" t="s">
        <v>17</v>
      </c>
      <c r="B37" s="2" t="s">
        <v>3416</v>
      </c>
      <c r="D37" s="5" t="s">
        <v>39</v>
      </c>
      <c r="E37" s="7">
        <v>0</v>
      </c>
      <c r="F37" s="19"/>
      <c r="G37" s="7">
        <v>0</v>
      </c>
      <c r="H37" s="19"/>
      <c r="I37" s="7">
        <v>0</v>
      </c>
      <c r="J37" s="19"/>
      <c r="K37" s="7">
        <v>0</v>
      </c>
      <c r="L37" s="19"/>
      <c r="M37" s="7">
        <v>0</v>
      </c>
      <c r="N37" s="19"/>
      <c r="O37" s="7">
        <v>0</v>
      </c>
      <c r="P37" s="19"/>
      <c r="Q37" s="7">
        <v>0</v>
      </c>
      <c r="R37" s="5"/>
      <c r="S37" s="13">
        <v>0</v>
      </c>
      <c r="T37" s="5"/>
      <c r="U37" s="13">
        <v>0</v>
      </c>
      <c r="V37" s="19"/>
      <c r="W37" s="7">
        <v>0</v>
      </c>
      <c r="X37" s="19"/>
      <c r="Y37" s="7">
        <v>0</v>
      </c>
      <c r="Z37" s="19"/>
      <c r="AA37" s="7">
        <v>0</v>
      </c>
      <c r="AB37" s="7">
        <v>0</v>
      </c>
    </row>
    <row r="38" spans="1:28">
      <c r="A38" s="2" t="s">
        <v>17</v>
      </c>
      <c r="B38" s="2" t="s">
        <v>3416</v>
      </c>
      <c r="C38" s="2" t="str">
        <f t="shared" si="2"/>
        <v>392</v>
      </c>
      <c r="D38" s="5" t="s">
        <v>40</v>
      </c>
      <c r="E38" s="7">
        <v>7523325.3000000007</v>
      </c>
      <c r="F38" s="19"/>
      <c r="G38" s="7">
        <v>0</v>
      </c>
      <c r="H38" s="19"/>
      <c r="I38" s="7">
        <v>0</v>
      </c>
      <c r="J38" s="19"/>
      <c r="K38" s="7">
        <v>0</v>
      </c>
      <c r="L38" s="19"/>
      <c r="M38" s="7">
        <v>0</v>
      </c>
      <c r="N38" s="19"/>
      <c r="O38" s="7">
        <v>7523325.3000000007</v>
      </c>
      <c r="P38" s="19"/>
      <c r="Q38" s="7">
        <v>7523325.3000000017</v>
      </c>
      <c r="R38" s="5"/>
      <c r="S38" s="13">
        <v>-4392069.8129229899</v>
      </c>
      <c r="T38" s="5"/>
      <c r="U38" s="13">
        <v>3131255.4870770117</v>
      </c>
      <c r="V38" s="19"/>
      <c r="W38" s="7">
        <v>0</v>
      </c>
      <c r="X38" s="19"/>
      <c r="Y38" s="7">
        <v>-4392069.8129229899</v>
      </c>
      <c r="Z38" s="19"/>
      <c r="AA38" s="7">
        <v>7523325.3000000007</v>
      </c>
      <c r="AB38" s="7">
        <v>0</v>
      </c>
    </row>
    <row r="39" spans="1:28">
      <c r="A39" s="2" t="s">
        <v>17</v>
      </c>
      <c r="B39" s="2" t="s">
        <v>3416</v>
      </c>
      <c r="D39" s="5" t="s">
        <v>41</v>
      </c>
      <c r="E39" s="7">
        <v>0</v>
      </c>
      <c r="F39" s="19"/>
      <c r="G39" s="7">
        <v>0</v>
      </c>
      <c r="H39" s="19"/>
      <c r="I39" s="7">
        <v>0</v>
      </c>
      <c r="J39" s="19"/>
      <c r="K39" s="7">
        <v>0</v>
      </c>
      <c r="L39" s="19"/>
      <c r="M39" s="7">
        <v>0</v>
      </c>
      <c r="N39" s="19"/>
      <c r="O39" s="7">
        <v>0</v>
      </c>
      <c r="P39" s="19"/>
      <c r="Q39" s="7">
        <v>0</v>
      </c>
      <c r="R39" s="5"/>
      <c r="S39" s="13">
        <v>0</v>
      </c>
      <c r="T39" s="5"/>
      <c r="U39" s="13">
        <v>0</v>
      </c>
      <c r="V39" s="19"/>
      <c r="W39" s="7">
        <v>0</v>
      </c>
      <c r="X39" s="19"/>
      <c r="Y39" s="7">
        <v>0</v>
      </c>
      <c r="Z39" s="19"/>
      <c r="AA39" s="7">
        <v>0</v>
      </c>
      <c r="AB39" s="7">
        <v>0</v>
      </c>
    </row>
    <row r="40" spans="1:28">
      <c r="A40" s="2" t="s">
        <v>17</v>
      </c>
      <c r="B40" s="2" t="s">
        <v>3416</v>
      </c>
      <c r="C40" s="2" t="str">
        <f t="shared" si="2"/>
        <v>393</v>
      </c>
      <c r="D40" s="5" t="s">
        <v>42</v>
      </c>
      <c r="E40" s="7">
        <v>930096.64741999994</v>
      </c>
      <c r="F40" s="19"/>
      <c r="G40" s="7">
        <v>0</v>
      </c>
      <c r="H40" s="19"/>
      <c r="I40" s="7">
        <v>-31840.82</v>
      </c>
      <c r="J40" s="19"/>
      <c r="K40" s="7">
        <v>0</v>
      </c>
      <c r="L40" s="19"/>
      <c r="M40" s="7">
        <v>-31840.82</v>
      </c>
      <c r="N40" s="19"/>
      <c r="O40" s="7">
        <v>898255.82741999999</v>
      </c>
      <c r="P40" s="19"/>
      <c r="Q40" s="7">
        <v>907185.78049692302</v>
      </c>
      <c r="R40" s="5"/>
      <c r="S40" s="13">
        <v>-445586.82076922961</v>
      </c>
      <c r="T40" s="5"/>
      <c r="U40" s="13">
        <v>461598.95972769341</v>
      </c>
      <c r="V40" s="19"/>
      <c r="W40" s="7">
        <v>0</v>
      </c>
      <c r="X40" s="19"/>
      <c r="Y40" s="7">
        <v>-445586.82076922961</v>
      </c>
      <c r="Z40" s="19"/>
      <c r="AA40" s="7">
        <v>898255.82741999999</v>
      </c>
      <c r="AB40" s="7">
        <v>0</v>
      </c>
    </row>
    <row r="41" spans="1:28">
      <c r="A41" s="2" t="s">
        <v>17</v>
      </c>
      <c r="B41" s="2" t="s">
        <v>3416</v>
      </c>
      <c r="C41" s="2" t="str">
        <f t="shared" si="2"/>
        <v>394</v>
      </c>
      <c r="D41" s="5" t="s">
        <v>43</v>
      </c>
      <c r="E41" s="7">
        <v>14952780.9394587</v>
      </c>
      <c r="F41" s="19"/>
      <c r="G41" s="7">
        <v>2326943.5873199999</v>
      </c>
      <c r="H41" s="19"/>
      <c r="I41" s="7">
        <v>-93018.769999999902</v>
      </c>
      <c r="J41" s="19"/>
      <c r="K41" s="7">
        <v>0</v>
      </c>
      <c r="L41" s="19"/>
      <c r="M41" s="7">
        <v>2233924.8173199999</v>
      </c>
      <c r="N41" s="19"/>
      <c r="O41" s="7">
        <v>17186705.756778698</v>
      </c>
      <c r="P41" s="19"/>
      <c r="Q41" s="7">
        <v>16215189.572310008</v>
      </c>
      <c r="R41" s="5"/>
      <c r="S41" s="13">
        <v>-4978964.0376923056</v>
      </c>
      <c r="T41" s="5"/>
      <c r="U41" s="13">
        <v>11236225.534617703</v>
      </c>
      <c r="V41" s="19"/>
      <c r="W41" s="7">
        <v>-8.2991046741487361E-7</v>
      </c>
      <c r="X41" s="19"/>
      <c r="Y41" s="7">
        <v>-4978964.0376931354</v>
      </c>
      <c r="Z41" s="19"/>
      <c r="AA41" s="7">
        <v>17186705.756778702</v>
      </c>
      <c r="AB41" s="7">
        <v>0</v>
      </c>
    </row>
    <row r="42" spans="1:28">
      <c r="A42" s="2" t="s">
        <v>17</v>
      </c>
      <c r="B42" s="2" t="s">
        <v>3416</v>
      </c>
      <c r="C42" s="2" t="str">
        <f t="shared" si="2"/>
        <v>395</v>
      </c>
      <c r="D42" s="5" t="s">
        <v>44</v>
      </c>
      <c r="E42" s="7">
        <v>0</v>
      </c>
      <c r="F42" s="19"/>
      <c r="G42" s="7">
        <v>0</v>
      </c>
      <c r="H42" s="19"/>
      <c r="I42" s="7">
        <v>0</v>
      </c>
      <c r="J42" s="19"/>
      <c r="K42" s="7">
        <v>0</v>
      </c>
      <c r="L42" s="19"/>
      <c r="M42" s="7">
        <v>0</v>
      </c>
      <c r="N42" s="19"/>
      <c r="O42" s="7">
        <v>0</v>
      </c>
      <c r="P42" s="19"/>
      <c r="Q42" s="7">
        <v>0</v>
      </c>
      <c r="R42" s="5"/>
      <c r="S42" s="13">
        <v>0</v>
      </c>
      <c r="T42" s="5"/>
      <c r="U42" s="13">
        <v>0</v>
      </c>
      <c r="V42" s="19"/>
      <c r="W42" s="7">
        <v>0</v>
      </c>
      <c r="X42" s="19"/>
      <c r="Y42" s="7">
        <v>0</v>
      </c>
      <c r="Z42" s="19"/>
      <c r="AA42" s="7">
        <v>0</v>
      </c>
      <c r="AB42" s="7">
        <v>0</v>
      </c>
    </row>
    <row r="43" spans="1:28" s="9" customFormat="1">
      <c r="A43" s="2" t="s">
        <v>17</v>
      </c>
      <c r="B43" s="2" t="s">
        <v>3416</v>
      </c>
      <c r="C43" s="2" t="str">
        <f t="shared" si="2"/>
        <v>396</v>
      </c>
      <c r="D43" s="5" t="s">
        <v>2488</v>
      </c>
      <c r="E43" s="7">
        <v>3855630.14</v>
      </c>
      <c r="F43" s="19"/>
      <c r="G43" s="7">
        <v>0</v>
      </c>
      <c r="H43" s="19"/>
      <c r="I43" s="7">
        <v>0</v>
      </c>
      <c r="J43" s="19"/>
      <c r="K43" s="7">
        <v>0</v>
      </c>
      <c r="L43" s="19"/>
      <c r="M43" s="7">
        <v>0</v>
      </c>
      <c r="N43" s="19"/>
      <c r="O43" s="7">
        <v>3855630.14</v>
      </c>
      <c r="P43" s="19"/>
      <c r="Q43" s="7">
        <v>3855630.14</v>
      </c>
      <c r="R43" s="5"/>
      <c r="S43" s="13">
        <v>-1406043.91</v>
      </c>
      <c r="T43" s="5"/>
      <c r="U43" s="13">
        <v>2449586.2300000004</v>
      </c>
      <c r="V43" s="19"/>
      <c r="W43" s="7">
        <v>0</v>
      </c>
      <c r="X43" s="19"/>
      <c r="Y43" s="7">
        <v>-1406043.91</v>
      </c>
      <c r="Z43" s="19"/>
      <c r="AA43" s="7">
        <v>3855630.14</v>
      </c>
      <c r="AB43" s="7">
        <v>0</v>
      </c>
    </row>
    <row r="44" spans="1:28" s="9" customFormat="1">
      <c r="A44" s="2" t="s">
        <v>17</v>
      </c>
      <c r="B44" s="2" t="s">
        <v>3416</v>
      </c>
      <c r="C44" s="2" t="str">
        <f t="shared" si="2"/>
        <v>397</v>
      </c>
      <c r="D44" s="5" t="s">
        <v>2189</v>
      </c>
      <c r="E44" s="7">
        <v>57215159.408516303</v>
      </c>
      <c r="F44" s="19"/>
      <c r="G44" s="7">
        <v>2748623.3901599799</v>
      </c>
      <c r="H44" s="19"/>
      <c r="I44" s="7">
        <v>0</v>
      </c>
      <c r="J44" s="19"/>
      <c r="K44" s="7">
        <v>0</v>
      </c>
      <c r="L44" s="19"/>
      <c r="M44" s="7">
        <v>2748623.3901599799</v>
      </c>
      <c r="N44" s="19"/>
      <c r="O44" s="7">
        <v>59963782.798676282</v>
      </c>
      <c r="P44" s="19"/>
      <c r="Q44" s="7">
        <v>58482971.437016301</v>
      </c>
      <c r="R44" s="5"/>
      <c r="S44" s="13">
        <v>-27220760.500582892</v>
      </c>
      <c r="T44" s="5"/>
      <c r="U44" s="13">
        <v>31262210.936433408</v>
      </c>
      <c r="V44" s="19"/>
      <c r="W44" s="7">
        <v>-9.8030366309925766E-7</v>
      </c>
      <c r="X44" s="19"/>
      <c r="Y44" s="7">
        <v>-27220760.500583872</v>
      </c>
      <c r="Z44" s="19"/>
      <c r="AA44" s="7">
        <v>59963782.798676297</v>
      </c>
      <c r="AB44" s="7">
        <v>0</v>
      </c>
    </row>
    <row r="45" spans="1:28">
      <c r="A45" s="2" t="s">
        <v>17</v>
      </c>
      <c r="B45" s="2" t="s">
        <v>3416</v>
      </c>
      <c r="C45" s="9"/>
      <c r="D45" s="5" t="s">
        <v>2190</v>
      </c>
      <c r="E45" s="7">
        <v>0</v>
      </c>
      <c r="F45" s="19"/>
      <c r="G45" s="7">
        <v>0</v>
      </c>
      <c r="H45" s="19"/>
      <c r="I45" s="7">
        <v>0</v>
      </c>
      <c r="J45" s="19"/>
      <c r="K45" s="7">
        <v>0</v>
      </c>
      <c r="L45" s="19"/>
      <c r="M45" s="7">
        <v>0</v>
      </c>
      <c r="N45" s="19"/>
      <c r="O45" s="7">
        <v>0</v>
      </c>
      <c r="P45" s="19"/>
      <c r="Q45" s="7">
        <v>0</v>
      </c>
      <c r="R45" s="5"/>
      <c r="S45" s="13">
        <v>0</v>
      </c>
      <c r="T45" s="5"/>
      <c r="U45" s="13">
        <v>0</v>
      </c>
      <c r="V45" s="19"/>
      <c r="W45" s="7">
        <v>0</v>
      </c>
      <c r="X45" s="19"/>
      <c r="Y45" s="7">
        <v>0</v>
      </c>
      <c r="Z45" s="19"/>
      <c r="AA45" s="7">
        <v>0</v>
      </c>
      <c r="AB45" s="7">
        <v>0</v>
      </c>
    </row>
    <row r="46" spans="1:28">
      <c r="A46" s="2" t="s">
        <v>17</v>
      </c>
      <c r="B46" s="2" t="s">
        <v>3416</v>
      </c>
      <c r="C46" s="2" t="str">
        <f t="shared" si="2"/>
        <v>397</v>
      </c>
      <c r="D46" s="5" t="s">
        <v>45</v>
      </c>
      <c r="E46" s="7">
        <v>7860523.6800000006</v>
      </c>
      <c r="F46" s="19"/>
      <c r="G46" s="7">
        <v>176833.31000000003</v>
      </c>
      <c r="H46" s="19"/>
      <c r="I46" s="7">
        <v>0</v>
      </c>
      <c r="J46" s="19"/>
      <c r="K46" s="7">
        <v>0</v>
      </c>
      <c r="L46" s="19"/>
      <c r="M46" s="7">
        <v>176833.31000000003</v>
      </c>
      <c r="N46" s="19"/>
      <c r="O46" s="7">
        <v>8037356.9900000002</v>
      </c>
      <c r="P46" s="19"/>
      <c r="Q46" s="7">
        <v>7971453.149230768</v>
      </c>
      <c r="R46" s="5"/>
      <c r="S46" s="13">
        <v>-3586883.5391899915</v>
      </c>
      <c r="T46" s="5"/>
      <c r="U46" s="13">
        <v>4384569.6100407764</v>
      </c>
      <c r="V46" s="19"/>
      <c r="W46" s="7">
        <v>-6.3068058785920835E-8</v>
      </c>
      <c r="X46" s="19"/>
      <c r="Y46" s="7">
        <v>-3586883.5391900544</v>
      </c>
      <c r="Z46" s="19"/>
      <c r="AA46" s="7">
        <v>8037356.9900000002</v>
      </c>
      <c r="AB46" s="7">
        <v>0</v>
      </c>
    </row>
    <row r="47" spans="1:28">
      <c r="A47" s="2" t="s">
        <v>17</v>
      </c>
      <c r="B47" s="2" t="s">
        <v>3416</v>
      </c>
      <c r="C47" s="2" t="str">
        <f t="shared" ref="C47" si="4">MID(D47,2,3)</f>
        <v>398</v>
      </c>
      <c r="D47" s="5" t="s">
        <v>46</v>
      </c>
      <c r="E47" s="20">
        <v>0</v>
      </c>
      <c r="F47" s="18"/>
      <c r="G47" s="20">
        <v>0</v>
      </c>
      <c r="H47" s="18"/>
      <c r="I47" s="20">
        <v>0</v>
      </c>
      <c r="J47" s="18"/>
      <c r="K47" s="20">
        <v>0</v>
      </c>
      <c r="L47" s="18"/>
      <c r="M47" s="20">
        <v>0</v>
      </c>
      <c r="N47" s="18"/>
      <c r="O47" s="20">
        <v>0</v>
      </c>
      <c r="P47" s="18"/>
      <c r="Q47" s="20">
        <v>0</v>
      </c>
      <c r="R47" s="5"/>
      <c r="S47" s="21">
        <v>0</v>
      </c>
      <c r="T47" s="5"/>
      <c r="U47" s="21">
        <v>0</v>
      </c>
      <c r="V47" s="18"/>
      <c r="W47" s="20">
        <v>0</v>
      </c>
      <c r="X47" s="18"/>
      <c r="Y47" s="20">
        <v>0</v>
      </c>
      <c r="Z47" s="18"/>
      <c r="AA47" s="20">
        <v>0</v>
      </c>
      <c r="AB47" s="20">
        <v>0</v>
      </c>
    </row>
    <row r="48" spans="1:28">
      <c r="B48" s="2" t="s">
        <v>3416</v>
      </c>
      <c r="D48" s="5"/>
      <c r="E48" s="17">
        <v>209947219.6968196</v>
      </c>
      <c r="F48" s="18"/>
      <c r="G48" s="17">
        <v>23336602.562552962</v>
      </c>
      <c r="H48" s="18"/>
      <c r="I48" s="17">
        <v>-8280378.9999999972</v>
      </c>
      <c r="J48" s="18"/>
      <c r="K48" s="17">
        <v>0</v>
      </c>
      <c r="L48" s="18"/>
      <c r="M48" s="17">
        <v>15056223.562552964</v>
      </c>
      <c r="N48" s="18"/>
      <c r="O48" s="17">
        <v>225003443.25937253</v>
      </c>
      <c r="P48" s="18"/>
      <c r="Q48" s="17">
        <v>219461743.93274674</v>
      </c>
      <c r="R48" s="5"/>
      <c r="S48" s="17">
        <v>-77568487.507658437</v>
      </c>
      <c r="T48" s="5"/>
      <c r="U48" s="17">
        <v>141893256.42508832</v>
      </c>
      <c r="V48" s="18"/>
      <c r="W48" s="17">
        <v>-8.3230598481630005E-6</v>
      </c>
      <c r="X48" s="18"/>
      <c r="Y48" s="17">
        <v>-77568487.507666752</v>
      </c>
      <c r="Z48" s="18"/>
      <c r="AA48" s="17">
        <v>225003443.25937259</v>
      </c>
      <c r="AB48" s="17">
        <v>9.7788870334625244E-9</v>
      </c>
    </row>
    <row r="49" spans="1:28">
      <c r="B49" s="2" t="s">
        <v>3416</v>
      </c>
      <c r="D49" s="5"/>
      <c r="E49" s="17"/>
      <c r="F49" s="18"/>
      <c r="G49" s="17"/>
      <c r="H49" s="18"/>
      <c r="I49" s="17"/>
      <c r="J49" s="18"/>
      <c r="K49" s="17"/>
      <c r="L49" s="18"/>
      <c r="M49" s="17"/>
      <c r="N49" s="18"/>
      <c r="O49" s="17"/>
      <c r="P49" s="18"/>
      <c r="Q49" s="17"/>
      <c r="R49" s="5"/>
      <c r="S49" s="5"/>
      <c r="T49" s="5"/>
      <c r="U49" s="5"/>
      <c r="V49" s="18"/>
      <c r="W49" s="17"/>
      <c r="X49" s="18"/>
      <c r="Y49" s="17"/>
      <c r="Z49" s="18"/>
      <c r="AA49" s="17"/>
      <c r="AB49" s="17"/>
    </row>
    <row r="50" spans="1:28">
      <c r="B50" s="2" t="s">
        <v>3416</v>
      </c>
      <c r="D50" s="8" t="s">
        <v>3425</v>
      </c>
      <c r="E50" s="17"/>
      <c r="F50" s="18"/>
      <c r="G50" s="17"/>
      <c r="H50" s="18"/>
      <c r="I50" s="17"/>
      <c r="J50" s="18"/>
      <c r="K50" s="17"/>
      <c r="L50" s="18"/>
      <c r="M50" s="17"/>
      <c r="N50" s="18"/>
      <c r="O50" s="17"/>
      <c r="P50" s="18"/>
      <c r="Q50" s="17"/>
      <c r="R50" s="5"/>
      <c r="S50" s="5"/>
      <c r="T50" s="5"/>
      <c r="U50" s="5"/>
      <c r="V50" s="18"/>
      <c r="W50" s="17"/>
      <c r="X50" s="18"/>
      <c r="Y50" s="17"/>
      <c r="Z50" s="18"/>
      <c r="AA50" s="17"/>
      <c r="AB50" s="17"/>
    </row>
    <row r="51" spans="1:28">
      <c r="A51" s="2" t="s">
        <v>17</v>
      </c>
      <c r="B51" s="2" t="s">
        <v>3416</v>
      </c>
      <c r="C51" s="2" t="str">
        <f t="shared" ref="C51:C58" si="5">MID(D51,2,3)</f>
        <v>330</v>
      </c>
      <c r="D51" s="5" t="s">
        <v>48</v>
      </c>
      <c r="E51" s="17">
        <v>855636.47000000009</v>
      </c>
      <c r="F51" s="18"/>
      <c r="G51" s="17">
        <v>0</v>
      </c>
      <c r="H51" s="18"/>
      <c r="I51" s="17">
        <v>0</v>
      </c>
      <c r="J51" s="18"/>
      <c r="K51" s="17">
        <v>0</v>
      </c>
      <c r="L51" s="18"/>
      <c r="M51" s="17">
        <v>0</v>
      </c>
      <c r="N51" s="18"/>
      <c r="O51" s="17">
        <v>855636.47000000009</v>
      </c>
      <c r="P51" s="18"/>
      <c r="Q51" s="17">
        <v>855636.47000000009</v>
      </c>
      <c r="R51" s="5"/>
      <c r="S51" s="13">
        <v>-912332.59999999986</v>
      </c>
      <c r="T51" s="5"/>
      <c r="U51" s="13">
        <v>-56696.129999999772</v>
      </c>
      <c r="V51" s="18"/>
      <c r="W51" s="7">
        <v>0</v>
      </c>
      <c r="X51" s="19"/>
      <c r="Y51" s="7">
        <v>-912332.59999999986</v>
      </c>
      <c r="Z51" s="19"/>
      <c r="AA51" s="7">
        <v>855636.47000000009</v>
      </c>
      <c r="AB51" s="7">
        <v>0</v>
      </c>
    </row>
    <row r="52" spans="1:28">
      <c r="A52" s="2" t="s">
        <v>17</v>
      </c>
      <c r="B52" s="2" t="s">
        <v>3416</v>
      </c>
      <c r="C52" s="2" t="str">
        <f t="shared" si="5"/>
        <v>331</v>
      </c>
      <c r="D52" s="5" t="s">
        <v>49</v>
      </c>
      <c r="E52" s="17">
        <v>4393191.47</v>
      </c>
      <c r="F52" s="18"/>
      <c r="G52" s="17">
        <v>93505.330979999999</v>
      </c>
      <c r="H52" s="18"/>
      <c r="I52" s="17">
        <v>0</v>
      </c>
      <c r="J52" s="18"/>
      <c r="K52" s="17">
        <v>0</v>
      </c>
      <c r="L52" s="18"/>
      <c r="M52" s="17">
        <v>93505.330979999999</v>
      </c>
      <c r="N52" s="18"/>
      <c r="O52" s="17">
        <v>4486696.8009799998</v>
      </c>
      <c r="P52" s="18"/>
      <c r="Q52" s="17">
        <v>4472311.3654446071</v>
      </c>
      <c r="R52" s="5"/>
      <c r="S52" s="13">
        <v>-416936.34097269177</v>
      </c>
      <c r="T52" s="5"/>
      <c r="U52" s="13">
        <v>4055375.0244719153</v>
      </c>
      <c r="V52" s="18"/>
      <c r="W52" s="7">
        <v>0</v>
      </c>
      <c r="X52" s="19"/>
      <c r="Y52" s="7">
        <v>-416936.34097269177</v>
      </c>
      <c r="Z52" s="19"/>
      <c r="AA52" s="7">
        <v>4486696.8009799905</v>
      </c>
      <c r="AB52" s="7">
        <v>-9.3132257461547852E-9</v>
      </c>
    </row>
    <row r="53" spans="1:28">
      <c r="A53" s="2" t="s">
        <v>17</v>
      </c>
      <c r="B53" s="2" t="s">
        <v>3416</v>
      </c>
      <c r="C53" s="2" t="str">
        <f t="shared" si="5"/>
        <v>332</v>
      </c>
      <c r="D53" s="5" t="s">
        <v>50</v>
      </c>
      <c r="E53" s="17">
        <v>21885646.369999997</v>
      </c>
      <c r="F53" s="18"/>
      <c r="G53" s="17">
        <v>0</v>
      </c>
      <c r="H53" s="18"/>
      <c r="I53" s="17">
        <v>0</v>
      </c>
      <c r="J53" s="18"/>
      <c r="K53" s="17">
        <v>0</v>
      </c>
      <c r="L53" s="18"/>
      <c r="M53" s="17">
        <v>0</v>
      </c>
      <c r="N53" s="18"/>
      <c r="O53" s="17">
        <v>21885646.369999997</v>
      </c>
      <c r="P53" s="18"/>
      <c r="Q53" s="17">
        <v>21885646.369999994</v>
      </c>
      <c r="R53" s="5"/>
      <c r="S53" s="13">
        <v>-10363602.209999898</v>
      </c>
      <c r="T53" s="5"/>
      <c r="U53" s="13">
        <v>11522044.160000095</v>
      </c>
      <c r="V53" s="18"/>
      <c r="W53" s="17">
        <v>0</v>
      </c>
      <c r="X53" s="18"/>
      <c r="Y53" s="17">
        <v>-10363602.209999898</v>
      </c>
      <c r="Z53" s="18"/>
      <c r="AA53" s="17">
        <v>21885646.369999997</v>
      </c>
      <c r="AB53" s="17">
        <v>0</v>
      </c>
    </row>
    <row r="54" spans="1:28">
      <c r="A54" s="2" t="s">
        <v>17</v>
      </c>
      <c r="B54" s="2" t="s">
        <v>3416</v>
      </c>
      <c r="C54" s="2" t="str">
        <f t="shared" si="5"/>
        <v>333</v>
      </c>
      <c r="D54" s="5" t="s">
        <v>51</v>
      </c>
      <c r="E54" s="17">
        <v>14046741.58</v>
      </c>
      <c r="F54" s="18"/>
      <c r="G54" s="17">
        <v>0</v>
      </c>
      <c r="H54" s="18"/>
      <c r="I54" s="17">
        <v>0</v>
      </c>
      <c r="J54" s="18"/>
      <c r="K54" s="17">
        <v>0</v>
      </c>
      <c r="L54" s="18"/>
      <c r="M54" s="17">
        <v>0</v>
      </c>
      <c r="N54" s="18"/>
      <c r="O54" s="17">
        <v>14046741.58</v>
      </c>
      <c r="P54" s="18"/>
      <c r="Q54" s="17">
        <v>14046741.58</v>
      </c>
      <c r="R54" s="5"/>
      <c r="S54" s="13">
        <v>-2841249.3299999852</v>
      </c>
      <c r="T54" s="5"/>
      <c r="U54" s="13">
        <v>11205492.250000015</v>
      </c>
      <c r="V54" s="18"/>
      <c r="W54" s="17">
        <v>0</v>
      </c>
      <c r="X54" s="18"/>
      <c r="Y54" s="17">
        <v>-2841249.3299999852</v>
      </c>
      <c r="Z54" s="18"/>
      <c r="AA54" s="17">
        <v>14046741.58</v>
      </c>
      <c r="AB54" s="17">
        <v>0</v>
      </c>
    </row>
    <row r="55" spans="1:28">
      <c r="A55" s="2" t="s">
        <v>17</v>
      </c>
      <c r="B55" s="2" t="s">
        <v>3416</v>
      </c>
      <c r="C55" s="2" t="str">
        <f t="shared" si="5"/>
        <v>334</v>
      </c>
      <c r="D55" s="5" t="s">
        <v>52</v>
      </c>
      <c r="E55" s="17">
        <v>1381870.67</v>
      </c>
      <c r="F55" s="18"/>
      <c r="G55" s="17">
        <v>0</v>
      </c>
      <c r="H55" s="18"/>
      <c r="I55" s="17">
        <v>0</v>
      </c>
      <c r="J55" s="18"/>
      <c r="K55" s="17">
        <v>0</v>
      </c>
      <c r="L55" s="18"/>
      <c r="M55" s="17">
        <v>0</v>
      </c>
      <c r="N55" s="18"/>
      <c r="O55" s="17">
        <v>1381870.67</v>
      </c>
      <c r="P55" s="18"/>
      <c r="Q55" s="17">
        <v>1381870.67</v>
      </c>
      <c r="R55" s="5"/>
      <c r="S55" s="13">
        <v>-414833.00999999896</v>
      </c>
      <c r="T55" s="5"/>
      <c r="U55" s="13">
        <v>967037.66000000096</v>
      </c>
      <c r="V55" s="18"/>
      <c r="W55" s="17">
        <v>0</v>
      </c>
      <c r="X55" s="18"/>
      <c r="Y55" s="17">
        <v>-414833.00999999896</v>
      </c>
      <c r="Z55" s="18"/>
      <c r="AA55" s="17">
        <v>1381870.67</v>
      </c>
      <c r="AB55" s="17">
        <v>0</v>
      </c>
    </row>
    <row r="56" spans="1:28">
      <c r="A56" s="2" t="s">
        <v>17</v>
      </c>
      <c r="B56" s="2" t="s">
        <v>3416</v>
      </c>
      <c r="C56" s="2" t="str">
        <f t="shared" si="5"/>
        <v>335</v>
      </c>
      <c r="D56" s="5" t="s">
        <v>53</v>
      </c>
      <c r="E56" s="17">
        <v>329374.18000000005</v>
      </c>
      <c r="F56" s="18"/>
      <c r="G56" s="17">
        <v>0</v>
      </c>
      <c r="H56" s="18"/>
      <c r="I56" s="17">
        <v>0</v>
      </c>
      <c r="J56" s="18"/>
      <c r="K56" s="17">
        <v>0</v>
      </c>
      <c r="L56" s="18"/>
      <c r="M56" s="17">
        <v>0</v>
      </c>
      <c r="N56" s="18"/>
      <c r="O56" s="17">
        <v>329374.18000000005</v>
      </c>
      <c r="P56" s="18"/>
      <c r="Q56" s="17">
        <v>329374.17999999993</v>
      </c>
      <c r="R56" s="5"/>
      <c r="S56" s="13">
        <v>-166258.68999999901</v>
      </c>
      <c r="T56" s="5"/>
      <c r="U56" s="13">
        <v>163115.49000000092</v>
      </c>
      <c r="V56" s="18"/>
      <c r="W56" s="17">
        <v>0</v>
      </c>
      <c r="X56" s="18"/>
      <c r="Y56" s="17">
        <v>-166258.68999999901</v>
      </c>
      <c r="Z56" s="18"/>
      <c r="AA56" s="17">
        <v>329374.18000000005</v>
      </c>
      <c r="AB56" s="17">
        <v>0</v>
      </c>
    </row>
    <row r="57" spans="1:28">
      <c r="A57" s="2" t="s">
        <v>17</v>
      </c>
      <c r="B57" s="2" t="s">
        <v>3416</v>
      </c>
      <c r="C57" s="2" t="str">
        <f t="shared" si="5"/>
        <v>336</v>
      </c>
      <c r="D57" s="5" t="s">
        <v>54</v>
      </c>
      <c r="E57" s="17">
        <v>234509.13</v>
      </c>
      <c r="F57" s="18"/>
      <c r="G57" s="17">
        <v>0</v>
      </c>
      <c r="H57" s="18"/>
      <c r="I57" s="17">
        <v>0</v>
      </c>
      <c r="J57" s="18"/>
      <c r="K57" s="17">
        <v>0</v>
      </c>
      <c r="L57" s="18"/>
      <c r="M57" s="17">
        <v>0</v>
      </c>
      <c r="N57" s="18"/>
      <c r="O57" s="17">
        <v>234509.13</v>
      </c>
      <c r="P57" s="18"/>
      <c r="Q57" s="17">
        <v>234509.12999999995</v>
      </c>
      <c r="R57" s="5"/>
      <c r="S57" s="13">
        <v>-102331.51999999997</v>
      </c>
      <c r="T57" s="5"/>
      <c r="U57" s="13">
        <v>132177.60999999999</v>
      </c>
      <c r="V57" s="18"/>
      <c r="W57" s="17">
        <v>0</v>
      </c>
      <c r="X57" s="18"/>
      <c r="Y57" s="17">
        <v>-102331.51999999997</v>
      </c>
      <c r="Z57" s="18"/>
      <c r="AA57" s="17">
        <v>234509.13</v>
      </c>
      <c r="AB57" s="17">
        <v>0</v>
      </c>
    </row>
    <row r="58" spans="1:28">
      <c r="A58" s="2" t="s">
        <v>17</v>
      </c>
      <c r="B58" s="2" t="s">
        <v>3416</v>
      </c>
      <c r="C58" s="2" t="str">
        <f t="shared" si="5"/>
        <v>337</v>
      </c>
      <c r="D58" s="5" t="s">
        <v>55</v>
      </c>
      <c r="E58" s="20">
        <v>645787.99</v>
      </c>
      <c r="F58" s="18"/>
      <c r="G58" s="20">
        <v>0</v>
      </c>
      <c r="H58" s="18"/>
      <c r="I58" s="20">
        <v>0</v>
      </c>
      <c r="J58" s="18"/>
      <c r="K58" s="20">
        <v>0</v>
      </c>
      <c r="L58" s="18"/>
      <c r="M58" s="20">
        <v>0</v>
      </c>
      <c r="N58" s="18"/>
      <c r="O58" s="20">
        <v>645787.99</v>
      </c>
      <c r="P58" s="18"/>
      <c r="Q58" s="20">
        <v>645787.98999999987</v>
      </c>
      <c r="R58" s="5"/>
      <c r="S58" s="21">
        <v>-69392.557494326596</v>
      </c>
      <c r="T58" s="5"/>
      <c r="U58" s="21">
        <v>576395.43250567326</v>
      </c>
      <c r="V58" s="18"/>
      <c r="W58" s="20">
        <v>0</v>
      </c>
      <c r="X58" s="18"/>
      <c r="Y58" s="20">
        <v>-69392.557494326596</v>
      </c>
      <c r="Z58" s="18"/>
      <c r="AA58" s="20">
        <v>645787.99</v>
      </c>
      <c r="AB58" s="20">
        <v>0</v>
      </c>
    </row>
    <row r="59" spans="1:28">
      <c r="B59" s="2" t="s">
        <v>3416</v>
      </c>
      <c r="D59" s="5"/>
      <c r="E59" s="17">
        <v>43772757.859999999</v>
      </c>
      <c r="F59" s="18"/>
      <c r="G59" s="17">
        <v>93505.330979999999</v>
      </c>
      <c r="H59" s="18"/>
      <c r="I59" s="17">
        <v>0</v>
      </c>
      <c r="J59" s="18"/>
      <c r="K59" s="17">
        <v>0</v>
      </c>
      <c r="L59" s="18"/>
      <c r="M59" s="17">
        <v>93505.330979999999</v>
      </c>
      <c r="N59" s="18"/>
      <c r="O59" s="17">
        <v>43866263.190980002</v>
      </c>
      <c r="P59" s="18"/>
      <c r="Q59" s="17">
        <v>43851877.755444609</v>
      </c>
      <c r="R59" s="5"/>
      <c r="S59" s="17">
        <v>-15286936.258466901</v>
      </c>
      <c r="T59" s="5"/>
      <c r="U59" s="17">
        <v>28564941.496977702</v>
      </c>
      <c r="V59" s="18"/>
      <c r="W59" s="17">
        <v>0</v>
      </c>
      <c r="X59" s="18"/>
      <c r="Y59" s="17">
        <v>-15286936.258466901</v>
      </c>
      <c r="Z59" s="18">
        <v>0</v>
      </c>
      <c r="AA59" s="17">
        <v>43866263.190979995</v>
      </c>
      <c r="AB59" s="17">
        <v>-9.3132257461547852E-9</v>
      </c>
    </row>
    <row r="60" spans="1:28">
      <c r="B60" s="2" t="s">
        <v>3416</v>
      </c>
      <c r="D60" s="5"/>
      <c r="E60" s="17"/>
      <c r="F60" s="18"/>
      <c r="G60" s="17"/>
      <c r="H60" s="18"/>
      <c r="I60" s="17"/>
      <c r="J60" s="18"/>
      <c r="K60" s="17"/>
      <c r="L60" s="18"/>
      <c r="M60" s="17"/>
      <c r="N60" s="18"/>
      <c r="O60" s="17"/>
      <c r="P60" s="18"/>
      <c r="Q60" s="17"/>
      <c r="R60" s="5"/>
      <c r="S60" s="5"/>
      <c r="T60" s="5"/>
      <c r="U60" s="5"/>
      <c r="V60" s="18"/>
      <c r="W60" s="17"/>
      <c r="X60" s="18"/>
      <c r="Y60" s="17"/>
      <c r="Z60" s="18"/>
      <c r="AA60" s="17"/>
      <c r="AB60" s="17"/>
    </row>
    <row r="61" spans="1:28">
      <c r="B61" s="2" t="s">
        <v>3416</v>
      </c>
      <c r="D61" s="8" t="s">
        <v>3426</v>
      </c>
      <c r="E61" s="17"/>
      <c r="F61" s="18"/>
      <c r="G61" s="17"/>
      <c r="H61" s="18"/>
      <c r="I61" s="17"/>
      <c r="J61" s="18"/>
      <c r="K61" s="17"/>
      <c r="L61" s="18"/>
      <c r="M61" s="17"/>
      <c r="N61" s="18"/>
      <c r="O61" s="17"/>
      <c r="P61" s="18"/>
      <c r="Q61" s="17"/>
      <c r="R61" s="5"/>
      <c r="S61" s="5"/>
      <c r="T61" s="5"/>
      <c r="U61" s="5"/>
      <c r="V61" s="18"/>
      <c r="W61" s="17"/>
      <c r="X61" s="18"/>
      <c r="Y61" s="17"/>
      <c r="Z61" s="18"/>
      <c r="AA61" s="17"/>
      <c r="AB61" s="17"/>
    </row>
    <row r="62" spans="1:28">
      <c r="A62" s="2" t="s">
        <v>17</v>
      </c>
      <c r="B62" s="2" t="s">
        <v>3416</v>
      </c>
      <c r="C62" s="2" t="str">
        <f t="shared" ref="C62:C64" si="6">MID(D62,2,3)</f>
        <v>301</v>
      </c>
      <c r="D62" s="5" t="s">
        <v>57</v>
      </c>
      <c r="E62" s="17">
        <v>39116.89</v>
      </c>
      <c r="F62" s="18"/>
      <c r="G62" s="17">
        <v>0</v>
      </c>
      <c r="H62" s="18"/>
      <c r="I62" s="17">
        <v>0</v>
      </c>
      <c r="J62" s="18"/>
      <c r="K62" s="17">
        <v>0</v>
      </c>
      <c r="L62" s="18"/>
      <c r="M62" s="17">
        <v>0</v>
      </c>
      <c r="N62" s="18"/>
      <c r="O62" s="17">
        <v>39116.89</v>
      </c>
      <c r="P62" s="18"/>
      <c r="Q62" s="17">
        <v>39116.890000000007</v>
      </c>
      <c r="R62" s="5"/>
      <c r="S62" s="13">
        <v>0</v>
      </c>
      <c r="T62" s="5"/>
      <c r="U62" s="13">
        <v>39116.890000000007</v>
      </c>
      <c r="V62" s="18"/>
      <c r="W62" s="17"/>
      <c r="X62" s="18"/>
      <c r="Y62" s="17">
        <v>0</v>
      </c>
      <c r="Z62" s="18"/>
      <c r="AA62" s="17">
        <v>39116.89</v>
      </c>
      <c r="AB62" s="17">
        <v>0</v>
      </c>
    </row>
    <row r="63" spans="1:28">
      <c r="A63" s="2" t="s">
        <v>17</v>
      </c>
      <c r="B63" s="2" t="s">
        <v>3416</v>
      </c>
      <c r="C63" s="2" t="str">
        <f t="shared" si="6"/>
        <v>302</v>
      </c>
      <c r="D63" s="5" t="s">
        <v>58</v>
      </c>
      <c r="E63" s="17">
        <v>55918.83</v>
      </c>
      <c r="F63" s="18"/>
      <c r="G63" s="17">
        <v>0</v>
      </c>
      <c r="H63" s="18"/>
      <c r="I63" s="17">
        <v>0</v>
      </c>
      <c r="J63" s="18"/>
      <c r="K63" s="17">
        <v>0</v>
      </c>
      <c r="L63" s="18"/>
      <c r="M63" s="17">
        <v>0</v>
      </c>
      <c r="N63" s="18"/>
      <c r="O63" s="17">
        <v>55918.83</v>
      </c>
      <c r="P63" s="18"/>
      <c r="Q63" s="17">
        <v>55918.829999999994</v>
      </c>
      <c r="R63" s="5"/>
      <c r="S63" s="13">
        <v>-73066.77</v>
      </c>
      <c r="T63" s="5"/>
      <c r="U63" s="13">
        <v>-17147.94000000001</v>
      </c>
      <c r="V63" s="18"/>
      <c r="W63" s="7"/>
      <c r="X63" s="18"/>
      <c r="Y63" s="17">
        <v>-73066.77</v>
      </c>
      <c r="Z63" s="18"/>
      <c r="AA63" s="17">
        <v>55918.83</v>
      </c>
      <c r="AB63" s="17">
        <v>0</v>
      </c>
    </row>
    <row r="64" spans="1:28">
      <c r="A64" s="2" t="s">
        <v>17</v>
      </c>
      <c r="B64" s="2" t="s">
        <v>3416</v>
      </c>
      <c r="C64" s="2" t="str">
        <f t="shared" si="6"/>
        <v>303</v>
      </c>
      <c r="D64" s="5" t="s">
        <v>59</v>
      </c>
      <c r="E64" s="17">
        <v>92171012.256104201</v>
      </c>
      <c r="F64" s="18"/>
      <c r="G64" s="17">
        <v>22628947.323479995</v>
      </c>
      <c r="H64" s="18"/>
      <c r="I64" s="17">
        <v>-11987927.70999999</v>
      </c>
      <c r="J64" s="18"/>
      <c r="K64" s="17">
        <v>0</v>
      </c>
      <c r="L64" s="18"/>
      <c r="M64" s="17">
        <v>10641019.613480005</v>
      </c>
      <c r="N64" s="18"/>
      <c r="O64" s="17">
        <v>102812031.8695842</v>
      </c>
      <c r="P64" s="18"/>
      <c r="Q64" s="17">
        <v>97263001.68879573</v>
      </c>
      <c r="R64" s="5"/>
      <c r="S64" s="13">
        <v>-40307243.258461468</v>
      </c>
      <c r="T64" s="5"/>
      <c r="U64" s="13">
        <v>56955758.430334263</v>
      </c>
      <c r="V64" s="18"/>
      <c r="W64" s="7">
        <v>3529.3283445000011</v>
      </c>
      <c r="X64" s="18"/>
      <c r="Y64" s="17">
        <v>-40303713.930116966</v>
      </c>
      <c r="Z64" s="18"/>
      <c r="AA64" s="17">
        <v>102812031.8695842</v>
      </c>
      <c r="AB64" s="17">
        <v>0</v>
      </c>
    </row>
    <row r="65" spans="1:28">
      <c r="A65" s="2" t="s">
        <v>17</v>
      </c>
      <c r="B65" s="2" t="s">
        <v>3416</v>
      </c>
      <c r="D65" s="5" t="s">
        <v>60</v>
      </c>
      <c r="E65" s="20">
        <v>0</v>
      </c>
      <c r="F65" s="18"/>
      <c r="G65" s="20">
        <v>0</v>
      </c>
      <c r="H65" s="18"/>
      <c r="I65" s="20">
        <v>0</v>
      </c>
      <c r="J65" s="18"/>
      <c r="K65" s="20">
        <v>0</v>
      </c>
      <c r="L65" s="18"/>
      <c r="M65" s="20">
        <v>0</v>
      </c>
      <c r="N65" s="18"/>
      <c r="O65" s="20">
        <v>0</v>
      </c>
      <c r="P65" s="18"/>
      <c r="Q65" s="20">
        <v>0</v>
      </c>
      <c r="R65" s="5"/>
      <c r="S65" s="21">
        <v>0</v>
      </c>
      <c r="T65" s="5"/>
      <c r="U65" s="21">
        <v>0</v>
      </c>
      <c r="V65" s="18"/>
      <c r="W65" s="20"/>
      <c r="X65" s="18"/>
      <c r="Y65" s="20">
        <v>0</v>
      </c>
      <c r="Z65" s="18"/>
      <c r="AA65" s="20">
        <v>0</v>
      </c>
      <c r="AB65" s="20">
        <v>0</v>
      </c>
    </row>
    <row r="66" spans="1:28">
      <c r="B66" s="2" t="s">
        <v>3416</v>
      </c>
      <c r="D66" s="5"/>
      <c r="E66" s="17">
        <v>92266047.9761042</v>
      </c>
      <c r="F66" s="18"/>
      <c r="G66" s="17">
        <v>22628947.323479995</v>
      </c>
      <c r="H66" s="18"/>
      <c r="I66" s="17">
        <v>-11987927.70999999</v>
      </c>
      <c r="J66" s="18"/>
      <c r="K66" s="17">
        <v>0</v>
      </c>
      <c r="L66" s="18"/>
      <c r="M66" s="17">
        <v>10641019.613480005</v>
      </c>
      <c r="N66" s="18"/>
      <c r="O66" s="17">
        <v>102907067.5895842</v>
      </c>
      <c r="P66" s="18"/>
      <c r="Q66" s="17">
        <v>97358037.408795729</v>
      </c>
      <c r="R66" s="5"/>
      <c r="S66" s="17">
        <v>-40380310.028461471</v>
      </c>
      <c r="T66" s="5"/>
      <c r="U66" s="17">
        <v>56977727.380334266</v>
      </c>
      <c r="V66" s="18"/>
      <c r="W66" s="17">
        <v>3529.3283445000011</v>
      </c>
      <c r="X66" s="18"/>
      <c r="Y66" s="17">
        <v>-40376780.70011697</v>
      </c>
      <c r="Z66" s="18"/>
      <c r="AA66" s="17">
        <v>102907067.5895842</v>
      </c>
      <c r="AB66" s="17">
        <v>0</v>
      </c>
    </row>
    <row r="67" spans="1:28">
      <c r="B67" s="2" t="s">
        <v>3416</v>
      </c>
      <c r="D67" s="5"/>
      <c r="E67" s="17"/>
      <c r="F67" s="18"/>
      <c r="G67" s="17"/>
      <c r="H67" s="18"/>
      <c r="I67" s="17"/>
      <c r="J67" s="18"/>
      <c r="K67" s="17"/>
      <c r="L67" s="18"/>
      <c r="M67" s="17"/>
      <c r="N67" s="18"/>
      <c r="O67" s="17"/>
      <c r="P67" s="18"/>
      <c r="Q67" s="17"/>
      <c r="R67" s="5"/>
      <c r="S67" s="5"/>
      <c r="T67" s="5"/>
      <c r="U67" s="5"/>
      <c r="V67" s="18"/>
      <c r="W67" s="17"/>
      <c r="X67" s="18"/>
      <c r="Y67" s="17"/>
      <c r="Z67" s="18"/>
      <c r="AA67" s="17"/>
      <c r="AB67" s="17"/>
    </row>
    <row r="68" spans="1:28">
      <c r="B68" s="2" t="s">
        <v>3416</v>
      </c>
      <c r="D68" s="8" t="s">
        <v>2024</v>
      </c>
      <c r="E68" s="17"/>
      <c r="F68" s="18"/>
      <c r="G68" s="17"/>
      <c r="H68" s="18"/>
      <c r="I68" s="17"/>
      <c r="J68" s="18"/>
      <c r="K68" s="17"/>
      <c r="L68" s="18"/>
      <c r="M68" s="17"/>
      <c r="N68" s="18"/>
      <c r="O68" s="17"/>
      <c r="P68" s="18"/>
      <c r="Q68" s="17"/>
      <c r="R68" s="5"/>
      <c r="S68" s="5"/>
      <c r="T68" s="5"/>
      <c r="U68" s="5"/>
      <c r="V68" s="18"/>
      <c r="W68" s="17"/>
      <c r="X68" s="18"/>
      <c r="Y68" s="17"/>
      <c r="Z68" s="18"/>
      <c r="AA68" s="17"/>
      <c r="AB68" s="17"/>
    </row>
    <row r="69" spans="1:28">
      <c r="A69" s="2" t="s">
        <v>17</v>
      </c>
      <c r="B69" s="2" t="s">
        <v>3416</v>
      </c>
      <c r="C69" s="2" t="str">
        <f t="shared" ref="C69" si="7">MID(D69,2,3)</f>
        <v>340</v>
      </c>
      <c r="D69" s="5" t="s">
        <v>2489</v>
      </c>
      <c r="E69" s="17">
        <v>902801.45799999987</v>
      </c>
      <c r="F69" s="18"/>
      <c r="G69" s="17">
        <v>0</v>
      </c>
      <c r="H69" s="18"/>
      <c r="I69" s="17">
        <v>0</v>
      </c>
      <c r="J69" s="18"/>
      <c r="K69" s="17">
        <v>0</v>
      </c>
      <c r="L69" s="18"/>
      <c r="M69" s="17">
        <v>0</v>
      </c>
      <c r="N69" s="18"/>
      <c r="O69" s="17">
        <v>902801.45799999987</v>
      </c>
      <c r="P69" s="18"/>
      <c r="Q69" s="17">
        <v>902801.45799999998</v>
      </c>
      <c r="R69" s="5"/>
      <c r="S69" s="13">
        <v>-133180.79</v>
      </c>
      <c r="T69" s="5"/>
      <c r="U69" s="13">
        <v>769620.66799999995</v>
      </c>
      <c r="V69" s="18"/>
      <c r="W69" s="7">
        <v>0</v>
      </c>
      <c r="X69" s="19"/>
      <c r="Y69" s="7">
        <v>-133180.79</v>
      </c>
      <c r="Z69" s="19"/>
      <c r="AA69" s="7">
        <v>902801.45799999987</v>
      </c>
      <c r="AB69" s="7">
        <v>0</v>
      </c>
    </row>
    <row r="70" spans="1:28">
      <c r="A70" s="2" t="s">
        <v>17</v>
      </c>
      <c r="B70" s="2" t="s">
        <v>3416</v>
      </c>
      <c r="D70" s="5" t="s">
        <v>62</v>
      </c>
      <c r="E70" s="17">
        <v>0</v>
      </c>
      <c r="F70" s="18"/>
      <c r="G70" s="17">
        <v>0</v>
      </c>
      <c r="H70" s="18"/>
      <c r="I70" s="17">
        <v>0</v>
      </c>
      <c r="J70" s="18"/>
      <c r="K70" s="17">
        <v>0</v>
      </c>
      <c r="L70" s="18"/>
      <c r="M70" s="17">
        <v>0</v>
      </c>
      <c r="N70" s="18"/>
      <c r="O70" s="17">
        <v>0</v>
      </c>
      <c r="P70" s="18"/>
      <c r="Q70" s="17">
        <v>0</v>
      </c>
      <c r="R70" s="5"/>
      <c r="S70" s="13">
        <v>0</v>
      </c>
      <c r="T70" s="5"/>
      <c r="U70" s="13">
        <v>0</v>
      </c>
      <c r="V70" s="18"/>
      <c r="W70" s="17">
        <v>0</v>
      </c>
      <c r="X70" s="18"/>
      <c r="Y70" s="17">
        <v>0</v>
      </c>
      <c r="Z70" s="18"/>
      <c r="AA70" s="17">
        <v>0</v>
      </c>
      <c r="AB70" s="17">
        <v>0</v>
      </c>
    </row>
    <row r="71" spans="1:28">
      <c r="A71" s="2" t="s">
        <v>17</v>
      </c>
      <c r="B71" s="2" t="s">
        <v>3416</v>
      </c>
      <c r="C71" s="2" t="str">
        <f t="shared" ref="C71:C79" si="8">MID(D71,2,3)</f>
        <v>341</v>
      </c>
      <c r="D71" s="5" t="s">
        <v>63</v>
      </c>
      <c r="E71" s="17">
        <v>87144715.703682005</v>
      </c>
      <c r="F71" s="18"/>
      <c r="G71" s="17">
        <v>0</v>
      </c>
      <c r="H71" s="18"/>
      <c r="I71" s="17">
        <v>0</v>
      </c>
      <c r="J71" s="18"/>
      <c r="K71" s="17">
        <v>0</v>
      </c>
      <c r="L71" s="18"/>
      <c r="M71" s="17">
        <v>0</v>
      </c>
      <c r="N71" s="18"/>
      <c r="O71" s="17">
        <v>87144715.703682005</v>
      </c>
      <c r="P71" s="18"/>
      <c r="Q71" s="17">
        <v>87144715.703681976</v>
      </c>
      <c r="R71" s="5"/>
      <c r="S71" s="13">
        <v>-29067243.541790001</v>
      </c>
      <c r="T71" s="5"/>
      <c r="U71" s="13">
        <v>58077472.161891975</v>
      </c>
      <c r="V71" s="18"/>
      <c r="W71" s="17">
        <v>0</v>
      </c>
      <c r="X71" s="18"/>
      <c r="Y71" s="17">
        <v>-29067243.541790001</v>
      </c>
      <c r="Z71" s="18"/>
      <c r="AA71" s="17">
        <v>87144715.703682005</v>
      </c>
      <c r="AB71" s="17">
        <v>0</v>
      </c>
    </row>
    <row r="72" spans="1:28">
      <c r="A72" s="2" t="s">
        <v>17</v>
      </c>
      <c r="B72" s="2" t="s">
        <v>3416</v>
      </c>
      <c r="C72" s="2" t="str">
        <f t="shared" si="8"/>
        <v>342</v>
      </c>
      <c r="D72" s="5" t="s">
        <v>64</v>
      </c>
      <c r="E72" s="17">
        <v>63096394.734199889</v>
      </c>
      <c r="F72" s="18"/>
      <c r="G72" s="17">
        <v>19947653.599999998</v>
      </c>
      <c r="H72" s="18"/>
      <c r="I72" s="17">
        <v>0</v>
      </c>
      <c r="J72" s="18"/>
      <c r="K72" s="17">
        <v>0</v>
      </c>
      <c r="L72" s="18"/>
      <c r="M72" s="17">
        <v>19947653.599999998</v>
      </c>
      <c r="N72" s="18"/>
      <c r="O72" s="17">
        <v>83044048.33419989</v>
      </c>
      <c r="P72" s="18"/>
      <c r="Q72" s="17">
        <v>75258488.145738348</v>
      </c>
      <c r="R72" s="5"/>
      <c r="S72" s="13">
        <v>-23348430.663076878</v>
      </c>
      <c r="T72" s="5"/>
      <c r="U72" s="13">
        <v>51910057.482661471</v>
      </c>
      <c r="V72" s="18"/>
      <c r="W72" s="17">
        <v>97898.954394033819</v>
      </c>
      <c r="X72" s="18"/>
      <c r="Y72" s="17">
        <v>-23250531.708682843</v>
      </c>
      <c r="Z72" s="18"/>
      <c r="AA72" s="17">
        <v>83044048.33419989</v>
      </c>
      <c r="AB72" s="17">
        <v>0</v>
      </c>
    </row>
    <row r="73" spans="1:28">
      <c r="A73" s="2" t="s">
        <v>17</v>
      </c>
      <c r="B73" s="2" t="s">
        <v>3416</v>
      </c>
      <c r="D73" s="5" t="s">
        <v>65</v>
      </c>
      <c r="E73" s="17">
        <v>0</v>
      </c>
      <c r="F73" s="18"/>
      <c r="G73" s="17">
        <v>0</v>
      </c>
      <c r="H73" s="18"/>
      <c r="I73" s="17">
        <v>0</v>
      </c>
      <c r="J73" s="18"/>
      <c r="K73" s="17">
        <v>0</v>
      </c>
      <c r="L73" s="18"/>
      <c r="M73" s="17">
        <v>0</v>
      </c>
      <c r="N73" s="18"/>
      <c r="O73" s="17">
        <v>0</v>
      </c>
      <c r="P73" s="18"/>
      <c r="Q73" s="17">
        <v>0</v>
      </c>
      <c r="R73" s="5"/>
      <c r="S73" s="13">
        <v>0</v>
      </c>
      <c r="T73" s="5"/>
      <c r="U73" s="13">
        <v>0</v>
      </c>
      <c r="V73" s="18"/>
      <c r="W73" s="17">
        <v>0</v>
      </c>
      <c r="X73" s="18"/>
      <c r="Y73" s="17">
        <v>0</v>
      </c>
      <c r="Z73" s="18"/>
      <c r="AA73" s="17">
        <v>0</v>
      </c>
      <c r="AB73" s="17">
        <v>0</v>
      </c>
    </row>
    <row r="74" spans="1:28">
      <c r="A74" s="2" t="s">
        <v>17</v>
      </c>
      <c r="B74" s="2" t="s">
        <v>3416</v>
      </c>
      <c r="C74" s="2" t="str">
        <f t="shared" si="8"/>
        <v>343</v>
      </c>
      <c r="D74" s="5" t="s">
        <v>66</v>
      </c>
      <c r="E74" s="17">
        <v>665701387.8772471</v>
      </c>
      <c r="F74" s="18"/>
      <c r="G74" s="17">
        <v>32118507.551059999</v>
      </c>
      <c r="H74" s="18"/>
      <c r="I74" s="17">
        <v>-4093363.1999999997</v>
      </c>
      <c r="J74" s="18"/>
      <c r="K74" s="17">
        <v>0</v>
      </c>
      <c r="L74" s="18"/>
      <c r="M74" s="17">
        <v>28025144.351059999</v>
      </c>
      <c r="N74" s="18"/>
      <c r="O74" s="17">
        <v>693726532.22830713</v>
      </c>
      <c r="P74" s="18"/>
      <c r="Q74" s="17">
        <v>679583343.67366791</v>
      </c>
      <c r="R74" s="5"/>
      <c r="S74" s="13">
        <v>-244633875.10221216</v>
      </c>
      <c r="T74" s="5"/>
      <c r="U74" s="13">
        <v>434949468.57145572</v>
      </c>
      <c r="V74" s="18"/>
      <c r="W74" s="17">
        <v>157630.9860296378</v>
      </c>
      <c r="X74" s="18"/>
      <c r="Y74" s="17">
        <v>-244476244.11618254</v>
      </c>
      <c r="Z74" s="18"/>
      <c r="AA74" s="17">
        <v>693726532.22830713</v>
      </c>
      <c r="AB74" s="17">
        <v>0</v>
      </c>
    </row>
    <row r="75" spans="1:28">
      <c r="A75" s="2" t="s">
        <v>17</v>
      </c>
      <c r="B75" s="2" t="s">
        <v>3416</v>
      </c>
      <c r="C75" s="2" t="str">
        <f t="shared" si="8"/>
        <v>344</v>
      </c>
      <c r="D75" s="5" t="s">
        <v>67</v>
      </c>
      <c r="E75" s="17">
        <v>132360727.18594989</v>
      </c>
      <c r="F75" s="18"/>
      <c r="G75" s="17">
        <v>795372.65649999992</v>
      </c>
      <c r="H75" s="18"/>
      <c r="I75" s="17">
        <v>0</v>
      </c>
      <c r="J75" s="18"/>
      <c r="K75" s="17">
        <v>0</v>
      </c>
      <c r="L75" s="18"/>
      <c r="M75" s="17">
        <v>795372.65649999992</v>
      </c>
      <c r="N75" s="18"/>
      <c r="O75" s="17">
        <v>133156099.84244989</v>
      </c>
      <c r="P75" s="18"/>
      <c r="Q75" s="17">
        <v>132421909.69798836</v>
      </c>
      <c r="R75" s="5"/>
      <c r="S75" s="13">
        <v>-49780987.228100017</v>
      </c>
      <c r="T75" s="5"/>
      <c r="U75" s="13">
        <v>82640922.469888344</v>
      </c>
      <c r="V75" s="18"/>
      <c r="W75" s="17">
        <v>3903.5243435826974</v>
      </c>
      <c r="X75" s="18"/>
      <c r="Y75" s="17">
        <v>-49777083.703756437</v>
      </c>
      <c r="Z75" s="18"/>
      <c r="AA75" s="17">
        <v>133156099.84244999</v>
      </c>
      <c r="AB75" s="17">
        <v>0</v>
      </c>
    </row>
    <row r="76" spans="1:28">
      <c r="A76" s="2" t="s">
        <v>17</v>
      </c>
      <c r="B76" s="2" t="s">
        <v>3416</v>
      </c>
      <c r="C76" s="2" t="str">
        <f t="shared" si="8"/>
        <v>345</v>
      </c>
      <c r="D76" s="5" t="s">
        <v>68</v>
      </c>
      <c r="E76" s="17">
        <v>78896914.94814989</v>
      </c>
      <c r="F76" s="18"/>
      <c r="G76" s="17">
        <v>1477713.55424</v>
      </c>
      <c r="H76" s="18"/>
      <c r="I76" s="17">
        <v>0</v>
      </c>
      <c r="J76" s="18"/>
      <c r="K76" s="17">
        <v>0</v>
      </c>
      <c r="L76" s="18"/>
      <c r="M76" s="17">
        <v>1477713.55424</v>
      </c>
      <c r="N76" s="18"/>
      <c r="O76" s="17">
        <v>80374628.502389893</v>
      </c>
      <c r="P76" s="18"/>
      <c r="Q76" s="17">
        <v>79346381.904942185</v>
      </c>
      <c r="R76" s="5"/>
      <c r="S76" s="13">
        <v>-31256667.584615368</v>
      </c>
      <c r="T76" s="5"/>
      <c r="U76" s="13">
        <v>48089714.32032682</v>
      </c>
      <c r="V76" s="18"/>
      <c r="W76" s="17">
        <v>7252.3122145046373</v>
      </c>
      <c r="X76" s="18"/>
      <c r="Y76" s="17">
        <v>-31249415.272400863</v>
      </c>
      <c r="Z76" s="18"/>
      <c r="AA76" s="17">
        <v>80374628.502389789</v>
      </c>
      <c r="AB76" s="17">
        <v>0</v>
      </c>
    </row>
    <row r="77" spans="1:28">
      <c r="A77" s="2" t="s">
        <v>17</v>
      </c>
      <c r="B77" s="2" t="s">
        <v>3416</v>
      </c>
      <c r="D77" s="5" t="s">
        <v>69</v>
      </c>
      <c r="E77" s="17">
        <v>0</v>
      </c>
      <c r="F77" s="18"/>
      <c r="G77" s="17">
        <v>0</v>
      </c>
      <c r="H77" s="18"/>
      <c r="I77" s="17">
        <v>0</v>
      </c>
      <c r="J77" s="18"/>
      <c r="K77" s="17">
        <v>0</v>
      </c>
      <c r="L77" s="18"/>
      <c r="M77" s="17">
        <v>0</v>
      </c>
      <c r="N77" s="18"/>
      <c r="O77" s="17">
        <v>0</v>
      </c>
      <c r="P77" s="18"/>
      <c r="Q77" s="17">
        <v>0</v>
      </c>
      <c r="R77" s="5"/>
      <c r="S77" s="13">
        <v>0</v>
      </c>
      <c r="T77" s="5"/>
      <c r="U77" s="13">
        <v>0</v>
      </c>
      <c r="V77" s="18"/>
      <c r="W77" s="17">
        <v>0</v>
      </c>
      <c r="X77" s="18"/>
      <c r="Y77" s="17">
        <v>0</v>
      </c>
      <c r="Z77" s="18"/>
      <c r="AA77" s="17">
        <v>0</v>
      </c>
      <c r="AB77" s="17">
        <v>0</v>
      </c>
    </row>
    <row r="78" spans="1:28">
      <c r="A78" s="2" t="s">
        <v>17</v>
      </c>
      <c r="B78" s="2" t="s">
        <v>3416</v>
      </c>
      <c r="C78" s="2" t="str">
        <f t="shared" si="8"/>
        <v>346</v>
      </c>
      <c r="D78" s="5" t="s">
        <v>70</v>
      </c>
      <c r="E78" s="17">
        <v>10277334.165810002</v>
      </c>
      <c r="F78" s="18"/>
      <c r="G78" s="17">
        <v>4643940.6212100005</v>
      </c>
      <c r="H78" s="18"/>
      <c r="I78" s="17">
        <v>0</v>
      </c>
      <c r="J78" s="18"/>
      <c r="K78" s="17">
        <v>0</v>
      </c>
      <c r="L78" s="18"/>
      <c r="M78" s="17">
        <v>4643940.6212100005</v>
      </c>
      <c r="N78" s="18"/>
      <c r="O78" s="17">
        <v>14921274.787020002</v>
      </c>
      <c r="P78" s="18"/>
      <c r="Q78" s="17">
        <v>12592466.195764616</v>
      </c>
      <c r="R78" s="5"/>
      <c r="S78" s="13">
        <v>-4090846.5109866047</v>
      </c>
      <c r="T78" s="5"/>
      <c r="U78" s="13">
        <v>8501619.6847780123</v>
      </c>
      <c r="V78" s="18"/>
      <c r="W78" s="17">
        <v>22791.499200910479</v>
      </c>
      <c r="X78" s="18"/>
      <c r="Y78" s="17">
        <v>-4068055.0117856944</v>
      </c>
      <c r="Z78" s="18"/>
      <c r="AA78" s="17">
        <v>14921274.78702</v>
      </c>
      <c r="AB78" s="17">
        <v>0</v>
      </c>
    </row>
    <row r="79" spans="1:28">
      <c r="A79" s="2" t="s">
        <v>17</v>
      </c>
      <c r="B79" s="2" t="s">
        <v>3416</v>
      </c>
      <c r="C79" s="2" t="str">
        <f t="shared" si="8"/>
        <v>347</v>
      </c>
      <c r="D79" s="5" t="s">
        <v>71</v>
      </c>
      <c r="E79" s="20">
        <v>406991.12</v>
      </c>
      <c r="F79" s="18"/>
      <c r="G79" s="20">
        <v>0</v>
      </c>
      <c r="H79" s="18"/>
      <c r="I79" s="20">
        <v>0</v>
      </c>
      <c r="J79" s="18"/>
      <c r="K79" s="20">
        <v>0</v>
      </c>
      <c r="L79" s="18"/>
      <c r="M79" s="20">
        <v>0</v>
      </c>
      <c r="N79" s="18"/>
      <c r="O79" s="20">
        <v>406991.12</v>
      </c>
      <c r="P79" s="18"/>
      <c r="Q79" s="20">
        <v>406991.12</v>
      </c>
      <c r="R79" s="5"/>
      <c r="S79" s="21">
        <v>-89200.422122973207</v>
      </c>
      <c r="T79" s="5"/>
      <c r="U79" s="21">
        <v>317790.6978770268</v>
      </c>
      <c r="V79" s="18"/>
      <c r="W79" s="20">
        <v>0</v>
      </c>
      <c r="X79" s="18"/>
      <c r="Y79" s="20">
        <v>-89200.422122973207</v>
      </c>
      <c r="Z79" s="18"/>
      <c r="AA79" s="20">
        <v>406991.12</v>
      </c>
      <c r="AB79" s="20">
        <v>0</v>
      </c>
    </row>
    <row r="80" spans="1:28">
      <c r="B80" s="2" t="s">
        <v>3416</v>
      </c>
      <c r="D80" s="5"/>
      <c r="E80" s="17">
        <v>1038787267.1930388</v>
      </c>
      <c r="F80" s="18"/>
      <c r="G80" s="17">
        <v>58983187.983010001</v>
      </c>
      <c r="H80" s="18"/>
      <c r="I80" s="17">
        <v>-4093363.1999999997</v>
      </c>
      <c r="J80" s="18"/>
      <c r="K80" s="17">
        <v>0</v>
      </c>
      <c r="L80" s="18"/>
      <c r="M80" s="17">
        <v>54889824.783009999</v>
      </c>
      <c r="N80" s="18"/>
      <c r="O80" s="17">
        <v>1093677091.9760487</v>
      </c>
      <c r="P80" s="18"/>
      <c r="Q80" s="17">
        <v>1067657097.8997834</v>
      </c>
      <c r="R80" s="5"/>
      <c r="S80" s="17">
        <v>-382400431.84290397</v>
      </c>
      <c r="T80" s="5"/>
      <c r="U80" s="17">
        <v>685256666.05687928</v>
      </c>
      <c r="V80" s="18"/>
      <c r="W80" s="17">
        <v>289477.27618266945</v>
      </c>
      <c r="X80" s="18"/>
      <c r="Y80" s="17">
        <v>-382110954.56672132</v>
      </c>
      <c r="Z80" s="18">
        <v>0</v>
      </c>
      <c r="AA80" s="17">
        <v>1093677091.9760487</v>
      </c>
      <c r="AB80" s="17">
        <v>0</v>
      </c>
    </row>
    <row r="81" spans="1:28">
      <c r="B81" s="2" t="s">
        <v>3416</v>
      </c>
      <c r="D81" s="5"/>
      <c r="E81" s="17"/>
      <c r="F81" s="18"/>
      <c r="G81" s="17"/>
      <c r="H81" s="18"/>
      <c r="I81" s="17"/>
      <c r="J81" s="18"/>
      <c r="K81" s="17"/>
      <c r="L81" s="18"/>
      <c r="M81" s="17"/>
      <c r="N81" s="18"/>
      <c r="O81" s="17"/>
      <c r="P81" s="18"/>
      <c r="Q81" s="17"/>
      <c r="R81" s="5"/>
      <c r="S81" s="5"/>
      <c r="T81" s="5"/>
      <c r="U81" s="5"/>
      <c r="V81" s="18"/>
      <c r="W81" s="17"/>
      <c r="X81" s="18"/>
      <c r="Y81" s="17"/>
      <c r="Z81" s="18"/>
      <c r="AA81" s="17"/>
      <c r="AB81" s="17"/>
    </row>
    <row r="82" spans="1:28">
      <c r="B82" s="2" t="s">
        <v>3416</v>
      </c>
      <c r="D82" s="8" t="s">
        <v>3427</v>
      </c>
      <c r="E82" s="7"/>
      <c r="F82" s="19"/>
      <c r="G82" s="7"/>
      <c r="H82" s="19"/>
      <c r="I82" s="7"/>
      <c r="J82" s="19"/>
      <c r="K82" s="7"/>
      <c r="L82" s="19"/>
      <c r="M82" s="7"/>
      <c r="N82" s="19"/>
      <c r="O82" s="7"/>
      <c r="P82" s="19"/>
      <c r="Q82" s="7"/>
      <c r="R82" s="5"/>
      <c r="S82" s="5"/>
      <c r="T82" s="5"/>
      <c r="U82" s="5"/>
      <c r="V82" s="19"/>
      <c r="W82" s="7"/>
      <c r="X82" s="19"/>
      <c r="Y82" s="7"/>
      <c r="Z82" s="19"/>
      <c r="AA82" s="7"/>
      <c r="AB82" s="7"/>
    </row>
    <row r="83" spans="1:28">
      <c r="A83" s="2" t="s">
        <v>17</v>
      </c>
      <c r="B83" s="2" t="s">
        <v>3416</v>
      </c>
      <c r="C83" s="2" t="str">
        <f t="shared" ref="C83:C93" si="9">MID(D83,2,3)</f>
        <v>310</v>
      </c>
      <c r="D83" s="5" t="s">
        <v>73</v>
      </c>
      <c r="E83" s="7">
        <v>24446473.830399901</v>
      </c>
      <c r="F83" s="19"/>
      <c r="G83" s="7">
        <v>0</v>
      </c>
      <c r="H83" s="19"/>
      <c r="I83" s="7">
        <v>0</v>
      </c>
      <c r="J83" s="19"/>
      <c r="K83" s="7">
        <v>0</v>
      </c>
      <c r="L83" s="19"/>
      <c r="M83" s="7">
        <v>0</v>
      </c>
      <c r="N83" s="19"/>
      <c r="O83" s="7">
        <v>24446473.830399901</v>
      </c>
      <c r="P83" s="19"/>
      <c r="Q83" s="7">
        <v>24446473.830399901</v>
      </c>
      <c r="R83" s="5"/>
      <c r="S83" s="13">
        <v>0</v>
      </c>
      <c r="T83" s="5"/>
      <c r="U83" s="13">
        <v>24446473.830399901</v>
      </c>
      <c r="V83" s="19"/>
      <c r="W83" s="7"/>
      <c r="X83" s="19"/>
      <c r="Y83" s="7">
        <v>0</v>
      </c>
      <c r="Z83" s="19"/>
      <c r="AA83" s="7">
        <v>24446473.830399901</v>
      </c>
      <c r="AB83" s="7">
        <v>0</v>
      </c>
    </row>
    <row r="84" spans="1:28">
      <c r="A84" s="2" t="s">
        <v>17</v>
      </c>
      <c r="B84" s="2" t="s">
        <v>3416</v>
      </c>
      <c r="C84" s="2" t="str">
        <f t="shared" si="9"/>
        <v>311</v>
      </c>
      <c r="D84" s="5" t="s">
        <v>74</v>
      </c>
      <c r="E84" s="7">
        <v>358084548.76845402</v>
      </c>
      <c r="F84" s="19"/>
      <c r="G84" s="7">
        <v>3237735.4931500005</v>
      </c>
      <c r="H84" s="19"/>
      <c r="I84" s="7">
        <v>-10675505.010000002</v>
      </c>
      <c r="J84" s="19"/>
      <c r="K84" s="7">
        <v>0</v>
      </c>
      <c r="L84" s="19"/>
      <c r="M84" s="7">
        <v>-7437769.5168500012</v>
      </c>
      <c r="N84" s="19"/>
      <c r="O84" s="7">
        <v>350646779.25160402</v>
      </c>
      <c r="P84" s="19"/>
      <c r="Q84" s="7">
        <v>356223563.15797478</v>
      </c>
      <c r="R84" s="5"/>
      <c r="S84" s="13">
        <v>-193790902.60693082</v>
      </c>
      <c r="T84" s="5"/>
      <c r="U84" s="13">
        <v>162432660.55104396</v>
      </c>
      <c r="V84" s="19"/>
      <c r="W84" s="7">
        <v>146032.8246296625</v>
      </c>
      <c r="X84" s="19"/>
      <c r="Y84" s="7">
        <v>-193644869.78230116</v>
      </c>
      <c r="Z84" s="19"/>
      <c r="AA84" s="7">
        <v>350646779.25160402</v>
      </c>
      <c r="AB84" s="7">
        <v>0</v>
      </c>
    </row>
    <row r="85" spans="1:28">
      <c r="A85" s="2" t="s">
        <v>17</v>
      </c>
      <c r="B85" s="2" t="s">
        <v>3416</v>
      </c>
      <c r="D85" s="5" t="s">
        <v>75</v>
      </c>
      <c r="E85" s="7">
        <v>0</v>
      </c>
      <c r="F85" s="19"/>
      <c r="G85" s="7">
        <v>0</v>
      </c>
      <c r="H85" s="19"/>
      <c r="I85" s="7">
        <v>0</v>
      </c>
      <c r="J85" s="19"/>
      <c r="K85" s="7">
        <v>0</v>
      </c>
      <c r="L85" s="19"/>
      <c r="M85" s="7">
        <v>0</v>
      </c>
      <c r="N85" s="19"/>
      <c r="O85" s="7">
        <v>0</v>
      </c>
      <c r="P85" s="19"/>
      <c r="Q85" s="7">
        <v>0</v>
      </c>
      <c r="R85" s="5"/>
      <c r="S85" s="13">
        <v>0</v>
      </c>
      <c r="T85" s="5"/>
      <c r="U85" s="13">
        <v>0</v>
      </c>
      <c r="V85" s="19"/>
      <c r="W85" s="7">
        <v>0</v>
      </c>
      <c r="X85" s="19"/>
      <c r="Y85" s="7">
        <v>0</v>
      </c>
      <c r="Z85" s="19"/>
      <c r="AA85" s="7">
        <v>0</v>
      </c>
      <c r="AB85" s="7">
        <v>0</v>
      </c>
    </row>
    <row r="86" spans="1:28">
      <c r="A86" s="2" t="s">
        <v>17</v>
      </c>
      <c r="B86" s="2" t="s">
        <v>3416</v>
      </c>
      <c r="C86" s="2" t="str">
        <f t="shared" si="9"/>
        <v>312</v>
      </c>
      <c r="D86" s="5" t="s">
        <v>76</v>
      </c>
      <c r="E86" s="7">
        <v>4065908922.1159101</v>
      </c>
      <c r="F86" s="19"/>
      <c r="G86" s="7">
        <v>315389915.35184675</v>
      </c>
      <c r="H86" s="19"/>
      <c r="I86" s="7">
        <v>-16499907.68</v>
      </c>
      <c r="J86" s="19"/>
      <c r="K86" s="7">
        <v>0</v>
      </c>
      <c r="L86" s="19"/>
      <c r="M86" s="7">
        <v>298890007.67184675</v>
      </c>
      <c r="N86" s="19"/>
      <c r="O86" s="7">
        <v>4364798929.7877569</v>
      </c>
      <c r="P86" s="19"/>
      <c r="Q86" s="7">
        <v>4268165562.5740767</v>
      </c>
      <c r="R86" s="5"/>
      <c r="S86" s="13">
        <v>-1304592472.1884506</v>
      </c>
      <c r="T86" s="5"/>
      <c r="U86" s="13">
        <v>2963573090.3856258</v>
      </c>
      <c r="V86" s="19"/>
      <c r="W86" s="7">
        <v>14225152.207764538</v>
      </c>
      <c r="X86" s="19"/>
      <c r="Y86" s="7">
        <v>-1290367319.9806859</v>
      </c>
      <c r="Z86" s="19"/>
      <c r="AA86" s="7">
        <v>4364798929.7877483</v>
      </c>
      <c r="AB86" s="7">
        <v>-8.58306884765625E-6</v>
      </c>
    </row>
    <row r="87" spans="1:28">
      <c r="A87" s="2" t="s">
        <v>17</v>
      </c>
      <c r="B87" s="2" t="s">
        <v>3416</v>
      </c>
      <c r="D87" s="5" t="s">
        <v>77</v>
      </c>
      <c r="E87" s="7">
        <v>0</v>
      </c>
      <c r="F87" s="19"/>
      <c r="G87" s="7">
        <v>0</v>
      </c>
      <c r="H87" s="19"/>
      <c r="I87" s="7">
        <v>0</v>
      </c>
      <c r="J87" s="19"/>
      <c r="K87" s="7">
        <v>0</v>
      </c>
      <c r="L87" s="19"/>
      <c r="M87" s="7">
        <v>0</v>
      </c>
      <c r="N87" s="19"/>
      <c r="O87" s="7">
        <v>0</v>
      </c>
      <c r="P87" s="19"/>
      <c r="Q87" s="7">
        <v>0</v>
      </c>
      <c r="R87" s="5"/>
      <c r="S87" s="13">
        <v>0</v>
      </c>
      <c r="T87" s="5"/>
      <c r="U87" s="13">
        <v>0</v>
      </c>
      <c r="V87" s="19"/>
      <c r="W87" s="7">
        <v>0</v>
      </c>
      <c r="X87" s="19"/>
      <c r="Y87" s="7">
        <v>0</v>
      </c>
      <c r="Z87" s="19"/>
      <c r="AA87" s="7">
        <v>0</v>
      </c>
      <c r="AB87" s="7">
        <v>0</v>
      </c>
    </row>
    <row r="88" spans="1:28">
      <c r="A88" s="2" t="s">
        <v>17</v>
      </c>
      <c r="B88" s="2" t="s">
        <v>3416</v>
      </c>
      <c r="C88" s="2" t="str">
        <f t="shared" si="9"/>
        <v>314</v>
      </c>
      <c r="D88" s="5" t="s">
        <v>78</v>
      </c>
      <c r="E88" s="7">
        <v>330028893.46397096</v>
      </c>
      <c r="F88" s="19"/>
      <c r="G88" s="7">
        <v>10197328.981240001</v>
      </c>
      <c r="H88" s="19"/>
      <c r="I88" s="7">
        <v>-7294506.6399999997</v>
      </c>
      <c r="J88" s="19"/>
      <c r="K88" s="7">
        <v>0</v>
      </c>
      <c r="L88" s="19"/>
      <c r="M88" s="7">
        <v>2902822.3412400009</v>
      </c>
      <c r="N88" s="19"/>
      <c r="O88" s="7">
        <v>332931715.80521095</v>
      </c>
      <c r="P88" s="19"/>
      <c r="Q88" s="7">
        <v>334308154.74648631</v>
      </c>
      <c r="R88" s="5"/>
      <c r="S88" s="13">
        <v>-147474184.65976414</v>
      </c>
      <c r="T88" s="5"/>
      <c r="U88" s="13">
        <v>186833970.08672217</v>
      </c>
      <c r="V88" s="19"/>
      <c r="W88" s="7">
        <v>459934.03660025471</v>
      </c>
      <c r="X88" s="19"/>
      <c r="Y88" s="7">
        <v>-147014250.62316388</v>
      </c>
      <c r="Z88" s="19"/>
      <c r="AA88" s="7">
        <v>332931715.80521101</v>
      </c>
      <c r="AB88" s="7">
        <v>0</v>
      </c>
    </row>
    <row r="89" spans="1:28">
      <c r="A89" s="2" t="s">
        <v>17</v>
      </c>
      <c r="B89" s="2" t="s">
        <v>3416</v>
      </c>
      <c r="D89" s="5" t="s">
        <v>79</v>
      </c>
      <c r="E89" s="7">
        <v>0</v>
      </c>
      <c r="F89" s="19"/>
      <c r="G89" s="7">
        <v>0</v>
      </c>
      <c r="H89" s="19"/>
      <c r="I89" s="7">
        <v>0</v>
      </c>
      <c r="J89" s="19"/>
      <c r="K89" s="7">
        <v>0</v>
      </c>
      <c r="L89" s="19"/>
      <c r="M89" s="7">
        <v>0</v>
      </c>
      <c r="N89" s="19"/>
      <c r="O89" s="7">
        <v>0</v>
      </c>
      <c r="P89" s="19"/>
      <c r="Q89" s="7">
        <v>0</v>
      </c>
      <c r="R89" s="5"/>
      <c r="S89" s="13">
        <v>0</v>
      </c>
      <c r="T89" s="5"/>
      <c r="U89" s="13">
        <v>0</v>
      </c>
      <c r="V89" s="19"/>
      <c r="W89" s="7">
        <v>0</v>
      </c>
      <c r="X89" s="19"/>
      <c r="Y89" s="7">
        <v>0</v>
      </c>
      <c r="Z89" s="19"/>
      <c r="AA89" s="7">
        <v>0</v>
      </c>
      <c r="AB89" s="7">
        <v>0</v>
      </c>
    </row>
    <row r="90" spans="1:28">
      <c r="A90" s="2" t="s">
        <v>17</v>
      </c>
      <c r="B90" s="2" t="s">
        <v>3416</v>
      </c>
      <c r="C90" s="2" t="str">
        <f t="shared" si="9"/>
        <v>315</v>
      </c>
      <c r="D90" s="5" t="s">
        <v>80</v>
      </c>
      <c r="E90" s="7">
        <v>250294530.18813601</v>
      </c>
      <c r="F90" s="19"/>
      <c r="G90" s="7">
        <v>7955975.3571700007</v>
      </c>
      <c r="H90" s="19"/>
      <c r="I90" s="7">
        <v>-1058983.8</v>
      </c>
      <c r="J90" s="19"/>
      <c r="K90" s="7">
        <v>0</v>
      </c>
      <c r="L90" s="19"/>
      <c r="M90" s="7">
        <v>6896991.5571700009</v>
      </c>
      <c r="N90" s="19"/>
      <c r="O90" s="7">
        <v>257191521.74530602</v>
      </c>
      <c r="P90" s="19"/>
      <c r="Q90" s="7">
        <v>253631737.58526215</v>
      </c>
      <c r="R90" s="5"/>
      <c r="S90" s="13">
        <v>-116993617.5747069</v>
      </c>
      <c r="T90" s="5"/>
      <c r="U90" s="13">
        <v>136638120.01055527</v>
      </c>
      <c r="V90" s="19"/>
      <c r="W90" s="7">
        <v>358841.40521966253</v>
      </c>
      <c r="X90" s="19"/>
      <c r="Y90" s="7">
        <v>-116634776.16948724</v>
      </c>
      <c r="Z90" s="19"/>
      <c r="AA90" s="7">
        <v>257191521.74530602</v>
      </c>
      <c r="AB90" s="7">
        <v>0</v>
      </c>
    </row>
    <row r="91" spans="1:28">
      <c r="A91" s="2" t="s">
        <v>17</v>
      </c>
      <c r="B91" s="2" t="s">
        <v>3416</v>
      </c>
      <c r="D91" s="5" t="s">
        <v>81</v>
      </c>
      <c r="E91" s="7">
        <v>0</v>
      </c>
      <c r="F91" s="19"/>
      <c r="G91" s="7">
        <v>0</v>
      </c>
      <c r="H91" s="19"/>
      <c r="I91" s="7">
        <v>0</v>
      </c>
      <c r="J91" s="19"/>
      <c r="K91" s="7">
        <v>0</v>
      </c>
      <c r="L91" s="19"/>
      <c r="M91" s="7">
        <v>0</v>
      </c>
      <c r="N91" s="19"/>
      <c r="O91" s="7">
        <v>0</v>
      </c>
      <c r="P91" s="19"/>
      <c r="Q91" s="7">
        <v>0</v>
      </c>
      <c r="R91" s="5"/>
      <c r="S91" s="13">
        <v>0</v>
      </c>
      <c r="T91" s="5"/>
      <c r="U91" s="13">
        <v>0</v>
      </c>
      <c r="V91" s="19"/>
      <c r="W91" s="7">
        <v>0</v>
      </c>
      <c r="X91" s="19"/>
      <c r="Y91" s="7">
        <v>0</v>
      </c>
      <c r="Z91" s="19"/>
      <c r="AA91" s="7">
        <v>0</v>
      </c>
      <c r="AB91" s="7">
        <v>0</v>
      </c>
    </row>
    <row r="92" spans="1:28">
      <c r="A92" s="2" t="s">
        <v>17</v>
      </c>
      <c r="B92" s="2" t="s">
        <v>3416</v>
      </c>
      <c r="C92" s="2" t="str">
        <f t="shared" si="9"/>
        <v>316</v>
      </c>
      <c r="D92" s="5" t="s">
        <v>82</v>
      </c>
      <c r="E92" s="7">
        <v>39678536.534277</v>
      </c>
      <c r="F92" s="19"/>
      <c r="G92" s="7">
        <v>7139814.301409998</v>
      </c>
      <c r="H92" s="19"/>
      <c r="I92" s="7">
        <v>-536312.27</v>
      </c>
      <c r="J92" s="19"/>
      <c r="K92" s="7">
        <v>0</v>
      </c>
      <c r="L92" s="19"/>
      <c r="M92" s="7">
        <v>6603502.0314099975</v>
      </c>
      <c r="N92" s="19"/>
      <c r="O92" s="7">
        <v>46282038.565687001</v>
      </c>
      <c r="P92" s="19"/>
      <c r="Q92" s="7">
        <v>43360171.782118492</v>
      </c>
      <c r="R92" s="5"/>
      <c r="S92" s="13">
        <v>-17147556.743297391</v>
      </c>
      <c r="T92" s="5"/>
      <c r="U92" s="13">
        <v>26212615.038821101</v>
      </c>
      <c r="V92" s="19"/>
      <c r="W92" s="7">
        <v>322029.78037337092</v>
      </c>
      <c r="X92" s="19"/>
      <c r="Y92" s="7">
        <v>-16825526.962924019</v>
      </c>
      <c r="Z92" s="19"/>
      <c r="AA92" s="7">
        <v>46282038.565686896</v>
      </c>
      <c r="AB92" s="7">
        <v>-1.0430812835693359E-7</v>
      </c>
    </row>
    <row r="93" spans="1:28">
      <c r="A93" s="2" t="s">
        <v>17</v>
      </c>
      <c r="B93" s="2" t="s">
        <v>3416</v>
      </c>
      <c r="C93" s="2" t="str">
        <f t="shared" si="9"/>
        <v>317</v>
      </c>
      <c r="D93" s="5" t="s">
        <v>83</v>
      </c>
      <c r="E93" s="7">
        <v>197376730.81</v>
      </c>
      <c r="F93" s="19"/>
      <c r="G93" s="7">
        <v>0</v>
      </c>
      <c r="H93" s="19"/>
      <c r="I93" s="7">
        <v>-61964754.82</v>
      </c>
      <c r="J93" s="19"/>
      <c r="K93" s="7">
        <v>0</v>
      </c>
      <c r="L93" s="19"/>
      <c r="M93" s="7">
        <v>-61964754.82</v>
      </c>
      <c r="N93" s="19"/>
      <c r="O93" s="7">
        <v>135411975.99000001</v>
      </c>
      <c r="P93" s="19"/>
      <c r="Q93" s="7">
        <v>178310652.40384617</v>
      </c>
      <c r="R93" s="5"/>
      <c r="S93" s="13">
        <v>-129629568.28234208</v>
      </c>
      <c r="T93" s="5"/>
      <c r="U93" s="13">
        <v>48681084.121504098</v>
      </c>
      <c r="V93" s="19"/>
      <c r="W93" s="7">
        <v>0</v>
      </c>
      <c r="X93" s="19"/>
      <c r="Y93" s="7">
        <v>-129629568.28234208</v>
      </c>
      <c r="Z93" s="19"/>
      <c r="AA93" s="7">
        <v>135411975.99000001</v>
      </c>
      <c r="AB93" s="7">
        <v>0</v>
      </c>
    </row>
    <row r="94" spans="1:28">
      <c r="A94" s="2" t="s">
        <v>17</v>
      </c>
      <c r="B94" s="2" t="s">
        <v>3416</v>
      </c>
      <c r="D94" s="5" t="s">
        <v>2490</v>
      </c>
      <c r="E94" s="20">
        <v>0</v>
      </c>
      <c r="F94" s="18"/>
      <c r="G94" s="20">
        <v>0</v>
      </c>
      <c r="H94" s="18"/>
      <c r="I94" s="20">
        <v>0</v>
      </c>
      <c r="J94" s="18"/>
      <c r="K94" s="20">
        <v>0</v>
      </c>
      <c r="L94" s="18"/>
      <c r="M94" s="20">
        <v>0</v>
      </c>
      <c r="N94" s="18"/>
      <c r="O94" s="20">
        <v>0</v>
      </c>
      <c r="P94" s="18"/>
      <c r="Q94" s="20">
        <v>0</v>
      </c>
      <c r="R94" s="5"/>
      <c r="S94" s="21">
        <v>0</v>
      </c>
      <c r="T94" s="5"/>
      <c r="U94" s="21">
        <v>0</v>
      </c>
      <c r="V94" s="18"/>
      <c r="W94" s="20">
        <v>0</v>
      </c>
      <c r="X94" s="18"/>
      <c r="Y94" s="20">
        <v>0</v>
      </c>
      <c r="Z94" s="18"/>
      <c r="AA94" s="20">
        <v>0</v>
      </c>
      <c r="AB94" s="20">
        <v>0</v>
      </c>
    </row>
    <row r="95" spans="1:28">
      <c r="B95" s="2" t="s">
        <v>3416</v>
      </c>
      <c r="D95" s="5"/>
      <c r="E95" s="17">
        <v>5265818635.7111483</v>
      </c>
      <c r="F95" s="18"/>
      <c r="G95" s="17">
        <v>343920769.48481673</v>
      </c>
      <c r="H95" s="18"/>
      <c r="I95" s="17">
        <v>-98029970.219999999</v>
      </c>
      <c r="J95" s="18"/>
      <c r="K95" s="17">
        <v>0</v>
      </c>
      <c r="L95" s="18"/>
      <c r="M95" s="17">
        <v>245890799.2648167</v>
      </c>
      <c r="N95" s="18"/>
      <c r="O95" s="17">
        <v>5511709434.9759645</v>
      </c>
      <c r="P95" s="18"/>
      <c r="Q95" s="17">
        <v>5458446316.0801649</v>
      </c>
      <c r="R95" s="5"/>
      <c r="S95" s="17">
        <v>-1909628302.0554914</v>
      </c>
      <c r="T95" s="5"/>
      <c r="U95" s="17">
        <v>3548818014.024673</v>
      </c>
      <c r="V95" s="18"/>
      <c r="W95" s="17">
        <v>15511990.254587488</v>
      </c>
      <c r="X95" s="18"/>
      <c r="Y95" s="17">
        <v>-1894116311.8009043</v>
      </c>
      <c r="Z95" s="18">
        <v>0</v>
      </c>
      <c r="AA95" s="17">
        <v>5511709434.975956</v>
      </c>
      <c r="AB95" s="17">
        <v>-8.6873769760131836E-6</v>
      </c>
    </row>
    <row r="96" spans="1:28">
      <c r="B96" s="2" t="s">
        <v>3416</v>
      </c>
      <c r="C96" s="2" t="str">
        <f t="shared" ref="C96:C110" si="10">MID(D96,2,3)</f>
        <v/>
      </c>
      <c r="D96" s="5"/>
      <c r="E96" s="17"/>
      <c r="F96" s="18"/>
      <c r="G96" s="17"/>
      <c r="H96" s="18"/>
      <c r="I96" s="17"/>
      <c r="J96" s="18"/>
      <c r="K96" s="17"/>
      <c r="L96" s="18"/>
      <c r="M96" s="17"/>
      <c r="N96" s="18"/>
      <c r="O96" s="17"/>
      <c r="P96" s="18"/>
      <c r="Q96" s="17"/>
      <c r="R96" s="5"/>
      <c r="S96" s="5"/>
      <c r="T96" s="5"/>
      <c r="U96" s="5"/>
      <c r="V96" s="18"/>
      <c r="W96" s="17"/>
      <c r="X96" s="18"/>
      <c r="Y96" s="17"/>
      <c r="Z96" s="18"/>
      <c r="AA96" s="17"/>
      <c r="AB96" s="17"/>
    </row>
    <row r="97" spans="1:28">
      <c r="B97" s="2" t="s">
        <v>3416</v>
      </c>
      <c r="D97" s="8" t="s">
        <v>3428</v>
      </c>
      <c r="E97" s="17"/>
      <c r="F97" s="18"/>
      <c r="G97" s="17"/>
      <c r="H97" s="18"/>
      <c r="I97" s="17"/>
      <c r="J97" s="18"/>
      <c r="K97" s="17"/>
      <c r="L97" s="18"/>
      <c r="M97" s="17"/>
      <c r="N97" s="18"/>
      <c r="O97" s="17"/>
      <c r="P97" s="18"/>
      <c r="Q97" s="17"/>
      <c r="R97" s="5"/>
      <c r="S97" s="5"/>
      <c r="T97" s="5"/>
      <c r="U97" s="5"/>
      <c r="V97" s="18"/>
      <c r="W97" s="17"/>
      <c r="X97" s="18"/>
      <c r="Y97" s="17"/>
      <c r="Z97" s="18"/>
      <c r="AA97" s="17"/>
      <c r="AB97" s="17"/>
    </row>
    <row r="98" spans="1:28">
      <c r="A98" s="2" t="s">
        <v>17</v>
      </c>
      <c r="B98" s="2" t="s">
        <v>3416</v>
      </c>
      <c r="C98" s="2" t="str">
        <f t="shared" si="10"/>
        <v>350</v>
      </c>
      <c r="D98" s="5" t="s">
        <v>85</v>
      </c>
      <c r="E98" s="17">
        <v>29761602.9783279</v>
      </c>
      <c r="F98" s="18"/>
      <c r="G98" s="17">
        <v>0</v>
      </c>
      <c r="H98" s="18"/>
      <c r="I98" s="17">
        <v>0</v>
      </c>
      <c r="J98" s="18"/>
      <c r="K98" s="17">
        <v>0</v>
      </c>
      <c r="L98" s="18"/>
      <c r="M98" s="17">
        <v>0</v>
      </c>
      <c r="N98" s="18"/>
      <c r="O98" s="17">
        <v>29761602.9783279</v>
      </c>
      <c r="P98" s="18"/>
      <c r="Q98" s="17">
        <v>29761602.978327896</v>
      </c>
      <c r="R98" s="5"/>
      <c r="S98" s="13">
        <v>-16081345.879999999</v>
      </c>
      <c r="T98" s="5"/>
      <c r="U98" s="13">
        <v>13680257.098327897</v>
      </c>
      <c r="V98" s="18"/>
      <c r="W98" s="7">
        <v>0</v>
      </c>
      <c r="X98" s="19"/>
      <c r="Y98" s="7">
        <v>-16081345.879999999</v>
      </c>
      <c r="Z98" s="19"/>
      <c r="AA98" s="7">
        <v>29761602.9783279</v>
      </c>
      <c r="AB98" s="7">
        <v>0</v>
      </c>
    </row>
    <row r="99" spans="1:28">
      <c r="A99" s="2" t="s">
        <v>17</v>
      </c>
      <c r="B99" s="2" t="s">
        <v>3416</v>
      </c>
      <c r="D99" s="5" t="s">
        <v>86</v>
      </c>
      <c r="E99" s="17">
        <v>0</v>
      </c>
      <c r="F99" s="18"/>
      <c r="G99" s="17">
        <v>0</v>
      </c>
      <c r="H99" s="18"/>
      <c r="I99" s="17">
        <v>0</v>
      </c>
      <c r="J99" s="18"/>
      <c r="K99" s="17">
        <v>0</v>
      </c>
      <c r="L99" s="18"/>
      <c r="M99" s="17">
        <v>0</v>
      </c>
      <c r="N99" s="18"/>
      <c r="O99" s="17">
        <v>0</v>
      </c>
      <c r="P99" s="18"/>
      <c r="Q99" s="17">
        <v>0</v>
      </c>
      <c r="R99" s="5"/>
      <c r="S99" s="13">
        <v>0</v>
      </c>
      <c r="T99" s="5"/>
      <c r="U99" s="13">
        <v>0</v>
      </c>
      <c r="V99" s="18"/>
      <c r="W99" s="17">
        <v>0</v>
      </c>
      <c r="X99" s="18"/>
      <c r="Y99" s="17">
        <v>0</v>
      </c>
      <c r="Z99" s="18"/>
      <c r="AA99" s="17">
        <v>0</v>
      </c>
      <c r="AB99" s="17">
        <v>0</v>
      </c>
    </row>
    <row r="100" spans="1:28">
      <c r="A100" s="2" t="s">
        <v>17</v>
      </c>
      <c r="B100" s="2" t="s">
        <v>3416</v>
      </c>
      <c r="C100" s="2" t="str">
        <f t="shared" si="10"/>
        <v>352</v>
      </c>
      <c r="D100" s="5" t="s">
        <v>87</v>
      </c>
      <c r="E100" s="17">
        <v>27882895.739999998</v>
      </c>
      <c r="F100" s="18"/>
      <c r="G100" s="17">
        <v>77789.47533999999</v>
      </c>
      <c r="H100" s="18"/>
      <c r="I100" s="17">
        <v>0</v>
      </c>
      <c r="J100" s="18"/>
      <c r="K100" s="17">
        <v>0</v>
      </c>
      <c r="L100" s="18"/>
      <c r="M100" s="17">
        <v>77789.47533999999</v>
      </c>
      <c r="N100" s="18"/>
      <c r="O100" s="17">
        <v>27960685.21534</v>
      </c>
      <c r="P100" s="18"/>
      <c r="Q100" s="17">
        <v>27924782.3805677</v>
      </c>
      <c r="R100" s="5"/>
      <c r="S100" s="13">
        <v>-7223319.4830769235</v>
      </c>
      <c r="T100" s="5"/>
      <c r="U100" s="13">
        <v>20701462.897490777</v>
      </c>
      <c r="V100" s="18"/>
      <c r="W100" s="17">
        <v>1380.1540073507463</v>
      </c>
      <c r="X100" s="18"/>
      <c r="Y100" s="17">
        <v>-7221939.3290695725</v>
      </c>
      <c r="Z100" s="18"/>
      <c r="AA100" s="17">
        <v>27960685.21534</v>
      </c>
      <c r="AB100" s="17">
        <v>0</v>
      </c>
    </row>
    <row r="101" spans="1:28">
      <c r="A101" s="2" t="s">
        <v>17</v>
      </c>
      <c r="B101" s="2" t="s">
        <v>3416</v>
      </c>
      <c r="D101" s="5" t="s">
        <v>88</v>
      </c>
      <c r="E101" s="17">
        <v>0</v>
      </c>
      <c r="F101" s="18"/>
      <c r="G101" s="17">
        <v>0</v>
      </c>
      <c r="H101" s="18"/>
      <c r="I101" s="17">
        <v>0</v>
      </c>
      <c r="J101" s="18"/>
      <c r="K101" s="17">
        <v>0</v>
      </c>
      <c r="L101" s="18"/>
      <c r="M101" s="17">
        <v>0</v>
      </c>
      <c r="N101" s="18"/>
      <c r="O101" s="17">
        <v>0</v>
      </c>
      <c r="P101" s="18"/>
      <c r="Q101" s="17">
        <v>0</v>
      </c>
      <c r="R101" s="5"/>
      <c r="S101" s="13">
        <v>0</v>
      </c>
      <c r="T101" s="5"/>
      <c r="U101" s="13">
        <v>0</v>
      </c>
      <c r="V101" s="18"/>
      <c r="W101" s="17">
        <v>0</v>
      </c>
      <c r="X101" s="18"/>
      <c r="Y101" s="17">
        <v>0</v>
      </c>
      <c r="Z101" s="18"/>
      <c r="AA101" s="17">
        <v>0</v>
      </c>
      <c r="AB101" s="17">
        <v>0</v>
      </c>
    </row>
    <row r="102" spans="1:28">
      <c r="A102" s="2" t="s">
        <v>17</v>
      </c>
      <c r="B102" s="2" t="s">
        <v>3416</v>
      </c>
      <c r="C102" s="2" t="str">
        <f t="shared" si="10"/>
        <v>353</v>
      </c>
      <c r="D102" s="5" t="s">
        <v>89</v>
      </c>
      <c r="E102" s="17">
        <v>334204652.37286204</v>
      </c>
      <c r="F102" s="18"/>
      <c r="G102" s="17">
        <v>29430695.97266208</v>
      </c>
      <c r="H102" s="18"/>
      <c r="I102" s="17">
        <v>-1544773.4200000002</v>
      </c>
      <c r="J102" s="18"/>
      <c r="K102" s="17">
        <v>0</v>
      </c>
      <c r="L102" s="18"/>
      <c r="M102" s="17">
        <v>27885922.552662078</v>
      </c>
      <c r="N102" s="18"/>
      <c r="O102" s="17">
        <v>362090574.92552412</v>
      </c>
      <c r="P102" s="18"/>
      <c r="Q102" s="17">
        <v>346201154.91259748</v>
      </c>
      <c r="R102" s="5"/>
      <c r="S102" s="13">
        <v>-77375327.702721074</v>
      </c>
      <c r="T102" s="5"/>
      <c r="U102" s="13">
        <v>268825827.20987642</v>
      </c>
      <c r="V102" s="18"/>
      <c r="W102" s="17">
        <v>522164.3777420423</v>
      </c>
      <c r="X102" s="18"/>
      <c r="Y102" s="17">
        <v>-76853163.324979037</v>
      </c>
      <c r="Z102" s="18"/>
      <c r="AA102" s="17">
        <v>362090574.925524</v>
      </c>
      <c r="AB102" s="17">
        <v>0</v>
      </c>
    </row>
    <row r="103" spans="1:28">
      <c r="A103" s="2" t="s">
        <v>17</v>
      </c>
      <c r="B103" s="2" t="s">
        <v>3416</v>
      </c>
      <c r="D103" s="5" t="s">
        <v>90</v>
      </c>
      <c r="E103" s="17">
        <v>0</v>
      </c>
      <c r="F103" s="18"/>
      <c r="G103" s="17">
        <v>0</v>
      </c>
      <c r="H103" s="18"/>
      <c r="I103" s="17">
        <v>0</v>
      </c>
      <c r="J103" s="18"/>
      <c r="K103" s="17">
        <v>0</v>
      </c>
      <c r="L103" s="18"/>
      <c r="M103" s="17">
        <v>0</v>
      </c>
      <c r="N103" s="18"/>
      <c r="O103" s="17">
        <v>0</v>
      </c>
      <c r="P103" s="18"/>
      <c r="Q103" s="17">
        <v>0</v>
      </c>
      <c r="R103" s="5"/>
      <c r="S103" s="13">
        <v>0</v>
      </c>
      <c r="T103" s="5"/>
      <c r="U103" s="13">
        <v>0</v>
      </c>
      <c r="V103" s="18"/>
      <c r="W103" s="17">
        <v>0</v>
      </c>
      <c r="X103" s="18"/>
      <c r="Y103" s="17">
        <v>0</v>
      </c>
      <c r="Z103" s="18"/>
      <c r="AA103" s="17">
        <v>0</v>
      </c>
      <c r="AB103" s="17">
        <v>0</v>
      </c>
    </row>
    <row r="104" spans="1:28">
      <c r="A104" s="2" t="s">
        <v>17</v>
      </c>
      <c r="B104" s="2" t="s">
        <v>3416</v>
      </c>
      <c r="D104" s="5" t="s">
        <v>91</v>
      </c>
      <c r="E104" s="17">
        <v>0</v>
      </c>
      <c r="F104" s="18"/>
      <c r="G104" s="17">
        <v>0</v>
      </c>
      <c r="H104" s="18"/>
      <c r="I104" s="17">
        <v>0</v>
      </c>
      <c r="J104" s="18"/>
      <c r="K104" s="17">
        <v>0</v>
      </c>
      <c r="L104" s="18"/>
      <c r="M104" s="17">
        <v>0</v>
      </c>
      <c r="N104" s="18"/>
      <c r="O104" s="17">
        <v>0</v>
      </c>
      <c r="P104" s="18"/>
      <c r="Q104" s="17">
        <v>0</v>
      </c>
      <c r="R104" s="5"/>
      <c r="S104" s="13">
        <v>0</v>
      </c>
      <c r="T104" s="5"/>
      <c r="U104" s="13">
        <v>0</v>
      </c>
      <c r="V104" s="18"/>
      <c r="W104" s="17">
        <v>0</v>
      </c>
      <c r="X104" s="18"/>
      <c r="Y104" s="17">
        <v>0</v>
      </c>
      <c r="Z104" s="18"/>
      <c r="AA104" s="17">
        <v>0</v>
      </c>
      <c r="AB104" s="17">
        <v>0</v>
      </c>
    </row>
    <row r="105" spans="1:28">
      <c r="A105" s="2" t="s">
        <v>17</v>
      </c>
      <c r="B105" s="2" t="s">
        <v>3416</v>
      </c>
      <c r="C105" s="2" t="str">
        <f t="shared" si="10"/>
        <v>354</v>
      </c>
      <c r="D105" s="5" t="s">
        <v>92</v>
      </c>
      <c r="E105" s="17">
        <v>70852012.849999994</v>
      </c>
      <c r="F105" s="18"/>
      <c r="G105" s="17">
        <v>0</v>
      </c>
      <c r="H105" s="18"/>
      <c r="I105" s="17">
        <v>0</v>
      </c>
      <c r="J105" s="18"/>
      <c r="K105" s="17">
        <v>0</v>
      </c>
      <c r="L105" s="18"/>
      <c r="M105" s="17">
        <v>0</v>
      </c>
      <c r="N105" s="18"/>
      <c r="O105" s="17">
        <v>70852012.849999994</v>
      </c>
      <c r="P105" s="18"/>
      <c r="Q105" s="17">
        <v>70852012.850000024</v>
      </c>
      <c r="R105" s="5"/>
      <c r="S105" s="13">
        <v>-48312213.640000008</v>
      </c>
      <c r="T105" s="5"/>
      <c r="U105" s="13">
        <v>22539799.210000016</v>
      </c>
      <c r="V105" s="18"/>
      <c r="W105" s="17">
        <v>0</v>
      </c>
      <c r="X105" s="18"/>
      <c r="Y105" s="17">
        <v>-48312213.640000008</v>
      </c>
      <c r="Z105" s="18"/>
      <c r="AA105" s="17">
        <v>70852012.849999994</v>
      </c>
      <c r="AB105" s="17">
        <v>0</v>
      </c>
    </row>
    <row r="106" spans="1:28">
      <c r="A106" s="2" t="s">
        <v>17</v>
      </c>
      <c r="B106" s="2" t="s">
        <v>3416</v>
      </c>
      <c r="C106" s="2" t="str">
        <f t="shared" si="10"/>
        <v>355</v>
      </c>
      <c r="D106" s="5" t="s">
        <v>93</v>
      </c>
      <c r="E106" s="17">
        <v>389488916.963588</v>
      </c>
      <c r="F106" s="18"/>
      <c r="G106" s="17">
        <v>60660276.271530993</v>
      </c>
      <c r="H106" s="18"/>
      <c r="I106" s="17">
        <v>-2202126.2999999989</v>
      </c>
      <c r="J106" s="18"/>
      <c r="K106" s="17">
        <v>0</v>
      </c>
      <c r="L106" s="18"/>
      <c r="M106" s="17">
        <v>58458149.971530996</v>
      </c>
      <c r="N106" s="18"/>
      <c r="O106" s="17">
        <v>447947066.93511897</v>
      </c>
      <c r="P106" s="18"/>
      <c r="Q106" s="17">
        <v>418267516.80642903</v>
      </c>
      <c r="R106" s="5"/>
      <c r="S106" s="13">
        <v>-75957558.681539237</v>
      </c>
      <c r="T106" s="5"/>
      <c r="U106" s="13">
        <v>342309958.12488979</v>
      </c>
      <c r="V106" s="18"/>
      <c r="W106" s="17">
        <v>1076244.8649670619</v>
      </c>
      <c r="X106" s="18"/>
      <c r="Y106" s="17">
        <v>-74881313.816572174</v>
      </c>
      <c r="Z106" s="18"/>
      <c r="AA106" s="17">
        <v>447947066.93511897</v>
      </c>
      <c r="AB106" s="17">
        <v>0</v>
      </c>
    </row>
    <row r="107" spans="1:28">
      <c r="A107" s="2" t="s">
        <v>17</v>
      </c>
      <c r="B107" s="2" t="s">
        <v>3416</v>
      </c>
      <c r="C107" s="2" t="str">
        <f t="shared" si="10"/>
        <v>356</v>
      </c>
      <c r="D107" s="5" t="s">
        <v>94</v>
      </c>
      <c r="E107" s="17">
        <v>170842024.11028999</v>
      </c>
      <c r="F107" s="18"/>
      <c r="G107" s="17">
        <v>5349940.4396900004</v>
      </c>
      <c r="H107" s="18"/>
      <c r="I107" s="17">
        <v>-1253759.97</v>
      </c>
      <c r="J107" s="18"/>
      <c r="K107" s="17">
        <v>0</v>
      </c>
      <c r="L107" s="18"/>
      <c r="M107" s="17">
        <v>4096180.4696900006</v>
      </c>
      <c r="N107" s="18"/>
      <c r="O107" s="17">
        <v>174938204.57997999</v>
      </c>
      <c r="P107" s="18"/>
      <c r="Q107" s="17">
        <v>170909204.42737156</v>
      </c>
      <c r="R107" s="5"/>
      <c r="S107" s="13">
        <v>-107831494.41571806</v>
      </c>
      <c r="T107" s="5"/>
      <c r="U107" s="13">
        <v>63077710.011653498</v>
      </c>
      <c r="V107" s="18"/>
      <c r="W107" s="17">
        <v>94919.546695145109</v>
      </c>
      <c r="X107" s="18"/>
      <c r="Y107" s="17">
        <v>-107736574.86902292</v>
      </c>
      <c r="Z107" s="18"/>
      <c r="AA107" s="17">
        <v>174938204.57997999</v>
      </c>
      <c r="AB107" s="17">
        <v>0</v>
      </c>
    </row>
    <row r="108" spans="1:28">
      <c r="A108" s="2" t="s">
        <v>17</v>
      </c>
      <c r="B108" s="2" t="s">
        <v>3416</v>
      </c>
      <c r="C108" s="2" t="str">
        <f t="shared" si="10"/>
        <v>357</v>
      </c>
      <c r="D108" s="5" t="s">
        <v>95</v>
      </c>
      <c r="E108" s="17">
        <v>448760.26</v>
      </c>
      <c r="F108" s="18"/>
      <c r="G108" s="17">
        <v>0</v>
      </c>
      <c r="H108" s="18"/>
      <c r="I108" s="17">
        <v>0</v>
      </c>
      <c r="J108" s="18"/>
      <c r="K108" s="17">
        <v>0</v>
      </c>
      <c r="L108" s="18"/>
      <c r="M108" s="17">
        <v>0</v>
      </c>
      <c r="N108" s="18"/>
      <c r="O108" s="17">
        <v>448760.26</v>
      </c>
      <c r="P108" s="18"/>
      <c r="Q108" s="17">
        <v>448760.26</v>
      </c>
      <c r="R108" s="5"/>
      <c r="S108" s="13">
        <v>-262726.70999999938</v>
      </c>
      <c r="T108" s="5"/>
      <c r="U108" s="13">
        <v>186033.55000000063</v>
      </c>
      <c r="V108" s="18"/>
      <c r="W108" s="17">
        <v>0</v>
      </c>
      <c r="X108" s="18"/>
      <c r="Y108" s="17">
        <v>-262726.70999999938</v>
      </c>
      <c r="Z108" s="18"/>
      <c r="AA108" s="17">
        <v>448760.26</v>
      </c>
      <c r="AB108" s="17">
        <v>0</v>
      </c>
    </row>
    <row r="109" spans="1:28">
      <c r="A109" s="2" t="s">
        <v>17</v>
      </c>
      <c r="B109" s="2" t="s">
        <v>3416</v>
      </c>
      <c r="C109" s="2" t="str">
        <f t="shared" si="10"/>
        <v>358</v>
      </c>
      <c r="D109" s="5" t="s">
        <v>96</v>
      </c>
      <c r="E109" s="17">
        <v>1299592.55</v>
      </c>
      <c r="F109" s="18"/>
      <c r="G109" s="17">
        <v>9555819.6013999991</v>
      </c>
      <c r="H109" s="18"/>
      <c r="I109" s="17">
        <v>0</v>
      </c>
      <c r="J109" s="18"/>
      <c r="K109" s="17">
        <v>0</v>
      </c>
      <c r="L109" s="18"/>
      <c r="M109" s="17">
        <v>9555819.6013999991</v>
      </c>
      <c r="N109" s="18"/>
      <c r="O109" s="17">
        <v>10855412.1514</v>
      </c>
      <c r="P109" s="18"/>
      <c r="Q109" s="17">
        <v>4862479.0092461538</v>
      </c>
      <c r="R109" s="5"/>
      <c r="S109" s="13">
        <v>-924710.24965384614</v>
      </c>
      <c r="T109" s="5"/>
      <c r="U109" s="13">
        <v>3937768.7595923077</v>
      </c>
      <c r="V109" s="18"/>
      <c r="W109" s="17">
        <v>169540.96500521558</v>
      </c>
      <c r="X109" s="18"/>
      <c r="Y109" s="17">
        <v>-755169.28464863054</v>
      </c>
      <c r="Z109" s="18"/>
      <c r="AA109" s="17">
        <v>10855412.1514</v>
      </c>
      <c r="AB109" s="17">
        <v>0</v>
      </c>
    </row>
    <row r="110" spans="1:28">
      <c r="A110" s="2" t="s">
        <v>17</v>
      </c>
      <c r="B110" s="2" t="s">
        <v>3416</v>
      </c>
      <c r="C110" s="2" t="str">
        <f t="shared" si="10"/>
        <v>359</v>
      </c>
      <c r="D110" s="5" t="s">
        <v>97</v>
      </c>
      <c r="E110" s="17">
        <v>551323.88</v>
      </c>
      <c r="F110" s="18"/>
      <c r="G110" s="17">
        <v>0</v>
      </c>
      <c r="H110" s="18"/>
      <c r="I110" s="17">
        <v>0</v>
      </c>
      <c r="J110" s="18"/>
      <c r="K110" s="17">
        <v>0</v>
      </c>
      <c r="L110" s="18"/>
      <c r="M110" s="17">
        <v>0</v>
      </c>
      <c r="N110" s="18"/>
      <c r="O110" s="17">
        <v>551323.88</v>
      </c>
      <c r="P110" s="18"/>
      <c r="Q110" s="17">
        <v>551323.88</v>
      </c>
      <c r="R110" s="5"/>
      <c r="S110" s="13">
        <v>-106084.96225518781</v>
      </c>
      <c r="T110" s="5"/>
      <c r="U110" s="13">
        <v>445238.91774481221</v>
      </c>
      <c r="V110" s="18"/>
      <c r="W110" s="17">
        <v>0</v>
      </c>
      <c r="X110" s="18"/>
      <c r="Y110" s="17">
        <v>-106084.96225518781</v>
      </c>
      <c r="Z110" s="18"/>
      <c r="AA110" s="17">
        <v>551323.88</v>
      </c>
      <c r="AB110" s="17">
        <v>0</v>
      </c>
    </row>
    <row r="111" spans="1:28">
      <c r="A111" s="2" t="s">
        <v>17</v>
      </c>
      <c r="B111" s="2" t="s">
        <v>3416</v>
      </c>
      <c r="D111" s="5" t="s">
        <v>98</v>
      </c>
      <c r="E111" s="20">
        <v>0</v>
      </c>
      <c r="F111" s="18"/>
      <c r="G111" s="20">
        <v>0</v>
      </c>
      <c r="H111" s="18"/>
      <c r="I111" s="20">
        <v>0</v>
      </c>
      <c r="J111" s="18"/>
      <c r="K111" s="20">
        <v>0</v>
      </c>
      <c r="L111" s="18"/>
      <c r="M111" s="20">
        <v>0</v>
      </c>
      <c r="N111" s="18"/>
      <c r="O111" s="20">
        <v>0</v>
      </c>
      <c r="P111" s="18"/>
      <c r="Q111" s="20">
        <v>0</v>
      </c>
      <c r="R111" s="5"/>
      <c r="S111" s="21">
        <v>0</v>
      </c>
      <c r="T111" s="5"/>
      <c r="U111" s="21">
        <v>0</v>
      </c>
      <c r="V111" s="18"/>
      <c r="W111" s="20">
        <v>0</v>
      </c>
      <c r="X111" s="18"/>
      <c r="Y111" s="20">
        <v>0</v>
      </c>
      <c r="Z111" s="18"/>
      <c r="AA111" s="20">
        <v>0</v>
      </c>
      <c r="AB111" s="20">
        <v>0</v>
      </c>
    </row>
    <row r="112" spans="1:28">
      <c r="B112" s="2" t="s">
        <v>3416</v>
      </c>
      <c r="D112" s="5"/>
      <c r="E112" s="17">
        <v>1025331781.7050678</v>
      </c>
      <c r="F112" s="18"/>
      <c r="G112" s="17">
        <v>105074521.76062307</v>
      </c>
      <c r="H112" s="18"/>
      <c r="I112" s="17">
        <v>-5000659.6899999985</v>
      </c>
      <c r="J112" s="18"/>
      <c r="K112" s="17">
        <v>0</v>
      </c>
      <c r="L112" s="18"/>
      <c r="M112" s="17">
        <v>100073862.07062307</v>
      </c>
      <c r="N112" s="18"/>
      <c r="O112" s="17">
        <v>1125405643.775691</v>
      </c>
      <c r="P112" s="18"/>
      <c r="Q112" s="17">
        <v>1069778837.5045398</v>
      </c>
      <c r="R112" s="5"/>
      <c r="S112" s="17">
        <v>-334074781.72496432</v>
      </c>
      <c r="T112" s="5"/>
      <c r="U112" s="17">
        <v>735704055.77957547</v>
      </c>
      <c r="V112" s="18"/>
      <c r="W112" s="17">
        <v>1864249.9084168156</v>
      </c>
      <c r="X112" s="18"/>
      <c r="Y112" s="17">
        <v>-332210531.81654751</v>
      </c>
      <c r="Z112" s="18">
        <v>0</v>
      </c>
      <c r="AA112" s="17">
        <v>1125405643.775691</v>
      </c>
      <c r="AB112" s="17">
        <v>0</v>
      </c>
    </row>
    <row r="113" spans="2:28">
      <c r="B113" s="2" t="s">
        <v>3416</v>
      </c>
      <c r="D113" s="5"/>
      <c r="E113" s="17"/>
      <c r="F113" s="19"/>
      <c r="G113" s="17"/>
      <c r="H113" s="19"/>
      <c r="I113" s="17"/>
      <c r="J113" s="19"/>
      <c r="K113" s="17"/>
      <c r="L113" s="19"/>
      <c r="M113" s="17"/>
      <c r="N113" s="19"/>
      <c r="O113" s="17"/>
      <c r="P113" s="19"/>
      <c r="Q113" s="17"/>
      <c r="R113" s="5"/>
      <c r="S113" s="5"/>
      <c r="T113" s="5"/>
      <c r="U113" s="5"/>
      <c r="V113" s="19"/>
      <c r="W113" s="17"/>
      <c r="X113" s="19"/>
      <c r="Y113" s="17"/>
      <c r="Z113" s="19"/>
      <c r="AA113" s="17"/>
      <c r="AB113" s="17"/>
    </row>
    <row r="114" spans="2:28">
      <c r="B114" s="2" t="s">
        <v>3416</v>
      </c>
      <c r="D114" s="5"/>
      <c r="E114" s="7"/>
      <c r="F114" s="19"/>
      <c r="G114" s="7"/>
      <c r="H114" s="19"/>
      <c r="I114" s="7"/>
      <c r="J114" s="19"/>
      <c r="K114" s="7"/>
      <c r="L114" s="19"/>
      <c r="M114" s="7"/>
      <c r="N114" s="19"/>
      <c r="O114" s="7"/>
      <c r="P114" s="19"/>
      <c r="Q114" s="7"/>
      <c r="R114" s="5"/>
      <c r="S114" s="5"/>
      <c r="T114" s="5"/>
      <c r="U114" s="5"/>
      <c r="V114" s="19"/>
      <c r="W114" s="7"/>
      <c r="X114" s="19"/>
      <c r="Y114" s="7"/>
      <c r="Z114" s="19"/>
      <c r="AA114" s="7"/>
      <c r="AB114" s="7"/>
    </row>
    <row r="115" spans="2:28" s="29" customFormat="1" ht="13.5" thickBot="1">
      <c r="B115" s="2" t="s">
        <v>3416</v>
      </c>
      <c r="D115" s="8" t="s">
        <v>99</v>
      </c>
      <c r="E115" s="22">
        <v>9551057831.0731506</v>
      </c>
      <c r="F115" s="18"/>
      <c r="G115" s="22">
        <v>677634829.62069774</v>
      </c>
      <c r="H115" s="18"/>
      <c r="I115" s="22">
        <v>-144148515.96999997</v>
      </c>
      <c r="J115" s="18"/>
      <c r="K115" s="22">
        <v>0</v>
      </c>
      <c r="L115" s="18"/>
      <c r="M115" s="22">
        <v>533486313.65069771</v>
      </c>
      <c r="N115" s="18"/>
      <c r="O115" s="22">
        <v>10084544144.723846</v>
      </c>
      <c r="P115" s="18"/>
      <c r="Q115" s="22">
        <v>9884400049.098629</v>
      </c>
      <c r="R115" s="5"/>
      <c r="S115" s="22">
        <v>-3440513531.7054863</v>
      </c>
      <c r="T115" s="5"/>
      <c r="U115" s="22">
        <v>6443886517.3931408</v>
      </c>
      <c r="V115" s="18"/>
      <c r="W115" s="22">
        <v>18329287.099324703</v>
      </c>
      <c r="X115" s="18"/>
      <c r="Y115" s="22">
        <v>-3422184244.6061621</v>
      </c>
      <c r="Z115" s="18"/>
      <c r="AA115" s="22">
        <v>10084544144.723839</v>
      </c>
      <c r="AB115" s="22">
        <v>-9.5213763415813446E-6</v>
      </c>
    </row>
    <row r="116" spans="2:28" s="29" customFormat="1" ht="13.5" thickTop="1">
      <c r="D116" s="23"/>
      <c r="E116" s="232"/>
      <c r="F116" s="501"/>
      <c r="G116" s="232"/>
      <c r="H116" s="501"/>
      <c r="I116" s="232"/>
      <c r="J116" s="501"/>
      <c r="K116" s="232"/>
      <c r="L116" s="501"/>
      <c r="M116" s="232"/>
      <c r="N116" s="501"/>
      <c r="O116" s="232"/>
      <c r="P116" s="501"/>
      <c r="Q116" s="232"/>
      <c r="R116" s="2"/>
      <c r="S116" s="2"/>
      <c r="T116" s="2"/>
      <c r="U116" s="2"/>
      <c r="V116" s="25"/>
      <c r="W116" s="232"/>
      <c r="X116" s="25"/>
      <c r="Y116" s="232"/>
      <c r="Z116" s="25"/>
      <c r="AA116" s="232"/>
      <c r="AB116" s="232"/>
    </row>
    <row r="117" spans="2:28" s="29" customFormat="1">
      <c r="D117" s="2"/>
      <c r="E117" s="66"/>
      <c r="F117" s="502"/>
      <c r="G117" s="66"/>
      <c r="H117" s="502"/>
      <c r="I117" s="66"/>
      <c r="J117" s="502"/>
      <c r="K117" s="66"/>
      <c r="L117" s="502"/>
      <c r="M117" s="66"/>
      <c r="N117" s="502"/>
      <c r="O117" s="66"/>
      <c r="P117" s="502"/>
      <c r="Q117" s="66"/>
      <c r="R117" s="2"/>
      <c r="S117" s="2"/>
      <c r="T117" s="2"/>
      <c r="U117" s="2"/>
      <c r="V117" s="27"/>
      <c r="W117" s="66"/>
      <c r="X117" s="27"/>
      <c r="Y117" s="66"/>
      <c r="Z117" s="27"/>
      <c r="AA117" s="66"/>
      <c r="AB117" s="66"/>
    </row>
    <row r="118" spans="2:28" s="29" customFormat="1">
      <c r="D118" s="28"/>
      <c r="E118" s="232"/>
      <c r="F118" s="501"/>
      <c r="G118" s="232"/>
      <c r="H118" s="501"/>
      <c r="I118" s="232"/>
      <c r="J118" s="501"/>
      <c r="K118" s="232"/>
      <c r="L118" s="501"/>
      <c r="M118" s="232"/>
      <c r="N118" s="501"/>
      <c r="O118" s="232"/>
      <c r="P118" s="501"/>
      <c r="Q118" s="232"/>
      <c r="V118" s="25"/>
      <c r="W118" s="232"/>
      <c r="X118" s="25"/>
      <c r="Y118" s="232"/>
      <c r="Z118" s="25"/>
      <c r="AA118" s="232"/>
      <c r="AB118" s="232"/>
    </row>
    <row r="119" spans="2:28" s="29" customFormat="1">
      <c r="D119" s="28"/>
      <c r="E119" s="232"/>
      <c r="F119" s="501"/>
      <c r="G119" s="232"/>
      <c r="H119" s="501"/>
      <c r="I119" s="232"/>
      <c r="J119" s="501"/>
      <c r="K119" s="232"/>
      <c r="L119" s="501"/>
      <c r="M119" s="232"/>
      <c r="N119" s="501"/>
      <c r="O119" s="232"/>
      <c r="P119" s="501"/>
      <c r="Q119" s="232"/>
      <c r="V119" s="25"/>
      <c r="W119" s="232"/>
      <c r="X119" s="25"/>
      <c r="Y119" s="232"/>
      <c r="Z119" s="25"/>
      <c r="AA119" s="232"/>
      <c r="AB119" s="232"/>
    </row>
    <row r="120" spans="2:28" s="29" customFormat="1">
      <c r="E120" s="232"/>
      <c r="F120" s="501"/>
      <c r="G120" s="232"/>
      <c r="H120" s="501"/>
      <c r="I120" s="232"/>
      <c r="J120" s="501"/>
      <c r="K120" s="232"/>
      <c r="L120" s="501"/>
      <c r="M120" s="232"/>
      <c r="N120" s="501"/>
      <c r="O120" s="232"/>
      <c r="P120" s="501"/>
      <c r="Q120" s="232"/>
      <c r="V120" s="25"/>
      <c r="W120" s="232"/>
      <c r="X120" s="25"/>
      <c r="Y120" s="232"/>
      <c r="Z120" s="25"/>
      <c r="AA120" s="232"/>
      <c r="AB120" s="232"/>
    </row>
    <row r="121" spans="2:28" s="29" customFormat="1">
      <c r="E121" s="232"/>
      <c r="F121" s="501"/>
      <c r="G121" s="232"/>
      <c r="H121" s="501"/>
      <c r="I121" s="232"/>
      <c r="J121" s="501"/>
      <c r="K121" s="232"/>
      <c r="L121" s="501"/>
      <c r="M121" s="232"/>
      <c r="N121" s="501"/>
      <c r="O121" s="232"/>
      <c r="P121" s="501"/>
      <c r="Q121" s="232"/>
      <c r="V121" s="25"/>
      <c r="W121" s="232"/>
      <c r="X121" s="25"/>
      <c r="Y121" s="232"/>
      <c r="Z121" s="25"/>
      <c r="AA121" s="232"/>
      <c r="AB121" s="232"/>
    </row>
    <row r="122" spans="2:28" s="29" customFormat="1">
      <c r="E122" s="232"/>
      <c r="F122" s="501"/>
      <c r="G122" s="232"/>
      <c r="H122" s="501"/>
      <c r="I122" s="232"/>
      <c r="J122" s="501"/>
      <c r="K122" s="232"/>
      <c r="L122" s="501"/>
      <c r="M122" s="232"/>
      <c r="N122" s="501"/>
      <c r="O122" s="232"/>
      <c r="P122" s="501"/>
      <c r="Q122" s="232"/>
      <c r="V122" s="25"/>
      <c r="W122" s="232"/>
      <c r="X122" s="25"/>
      <c r="Y122" s="232"/>
      <c r="Z122" s="25"/>
      <c r="AA122" s="232"/>
      <c r="AB122" s="232"/>
    </row>
    <row r="123" spans="2:28" s="29" customFormat="1">
      <c r="E123" s="232"/>
      <c r="F123" s="501"/>
      <c r="G123" s="232"/>
      <c r="H123" s="501"/>
      <c r="I123" s="232"/>
      <c r="J123" s="501"/>
      <c r="K123" s="232"/>
      <c r="L123" s="501"/>
      <c r="M123" s="232"/>
      <c r="N123" s="501"/>
      <c r="O123" s="232"/>
      <c r="P123" s="501"/>
      <c r="Q123" s="232"/>
      <c r="V123" s="25"/>
      <c r="W123" s="232"/>
      <c r="X123" s="25"/>
      <c r="Y123" s="232"/>
      <c r="Z123" s="25"/>
      <c r="AA123" s="232"/>
      <c r="AB123" s="232"/>
    </row>
    <row r="124" spans="2:28" s="29" customFormat="1">
      <c r="E124" s="232"/>
      <c r="F124" s="501"/>
      <c r="G124" s="232"/>
      <c r="H124" s="501"/>
      <c r="I124" s="232"/>
      <c r="J124" s="501"/>
      <c r="K124" s="232"/>
      <c r="L124" s="501"/>
      <c r="M124" s="232"/>
      <c r="N124" s="501"/>
      <c r="O124" s="232"/>
      <c r="P124" s="501"/>
      <c r="Q124" s="232"/>
      <c r="V124" s="25"/>
      <c r="W124" s="232"/>
      <c r="X124" s="25"/>
      <c r="Y124" s="232"/>
      <c r="Z124" s="25"/>
      <c r="AA124" s="232"/>
      <c r="AB124" s="232"/>
    </row>
    <row r="125" spans="2:28" s="29" customFormat="1">
      <c r="E125" s="232"/>
      <c r="F125" s="501"/>
      <c r="G125" s="232"/>
      <c r="H125" s="501"/>
      <c r="I125" s="232"/>
      <c r="J125" s="501"/>
      <c r="K125" s="232"/>
      <c r="L125" s="501"/>
      <c r="M125" s="232"/>
      <c r="N125" s="501"/>
      <c r="O125" s="232"/>
      <c r="P125" s="501"/>
      <c r="Q125" s="232"/>
      <c r="V125" s="25"/>
      <c r="W125" s="232"/>
      <c r="X125" s="25"/>
      <c r="Y125" s="232"/>
      <c r="Z125" s="25"/>
      <c r="AA125" s="232"/>
      <c r="AB125" s="232"/>
    </row>
    <row r="126" spans="2:28" s="29" customFormat="1">
      <c r="E126" s="232"/>
      <c r="F126" s="501"/>
      <c r="G126" s="232"/>
      <c r="H126" s="501"/>
      <c r="I126" s="232"/>
      <c r="J126" s="501"/>
      <c r="K126" s="232"/>
      <c r="L126" s="501"/>
      <c r="M126" s="232"/>
      <c r="N126" s="501"/>
      <c r="O126" s="232"/>
      <c r="P126" s="501"/>
      <c r="Q126" s="232"/>
      <c r="V126" s="25"/>
      <c r="W126" s="232"/>
      <c r="X126" s="25"/>
      <c r="Y126" s="232"/>
      <c r="Z126" s="25"/>
      <c r="AA126" s="232"/>
      <c r="AB126" s="232"/>
    </row>
    <row r="127" spans="2:28" s="29" customFormat="1">
      <c r="E127" s="232"/>
      <c r="F127" s="501"/>
      <c r="G127" s="232"/>
      <c r="H127" s="501"/>
      <c r="I127" s="232"/>
      <c r="J127" s="501"/>
      <c r="K127" s="232"/>
      <c r="L127" s="501"/>
      <c r="M127" s="232"/>
      <c r="N127" s="501"/>
      <c r="O127" s="232"/>
      <c r="P127" s="501"/>
      <c r="Q127" s="232"/>
      <c r="V127" s="25"/>
      <c r="W127" s="232"/>
      <c r="X127" s="25"/>
      <c r="Y127" s="232"/>
      <c r="Z127" s="25"/>
      <c r="AA127" s="232"/>
      <c r="AB127" s="232"/>
    </row>
    <row r="128" spans="2:28" s="29" customFormat="1">
      <c r="E128" s="232"/>
      <c r="F128" s="501"/>
      <c r="G128" s="232"/>
      <c r="H128" s="501"/>
      <c r="I128" s="232"/>
      <c r="J128" s="501"/>
      <c r="K128" s="232"/>
      <c r="L128" s="501"/>
      <c r="M128" s="232"/>
      <c r="N128" s="501"/>
      <c r="O128" s="232"/>
      <c r="P128" s="501"/>
      <c r="Q128" s="232"/>
      <c r="V128" s="25"/>
      <c r="W128" s="232"/>
      <c r="X128" s="25"/>
      <c r="Y128" s="232"/>
      <c r="Z128" s="25"/>
      <c r="AA128" s="232"/>
      <c r="AB128" s="232"/>
    </row>
    <row r="129" spans="4:28" s="29" customFormat="1">
      <c r="E129" s="232"/>
      <c r="F129" s="501"/>
      <c r="G129" s="232"/>
      <c r="H129" s="501"/>
      <c r="I129" s="232"/>
      <c r="J129" s="501"/>
      <c r="K129" s="232"/>
      <c r="L129" s="501"/>
      <c r="M129" s="232"/>
      <c r="N129" s="501"/>
      <c r="O129" s="232"/>
      <c r="P129" s="501"/>
      <c r="Q129" s="232"/>
      <c r="V129" s="25"/>
      <c r="W129" s="232"/>
      <c r="X129" s="25"/>
      <c r="Y129" s="232"/>
      <c r="Z129" s="25"/>
      <c r="AA129" s="232"/>
      <c r="AB129" s="232"/>
    </row>
    <row r="130" spans="4:28" s="29" customFormat="1">
      <c r="E130" s="232"/>
      <c r="F130" s="501"/>
      <c r="G130" s="232"/>
      <c r="H130" s="501"/>
      <c r="I130" s="232"/>
      <c r="J130" s="501"/>
      <c r="K130" s="232"/>
      <c r="L130" s="501"/>
      <c r="M130" s="232"/>
      <c r="N130" s="501"/>
      <c r="O130" s="232"/>
      <c r="P130" s="501"/>
      <c r="Q130" s="232"/>
      <c r="V130" s="25"/>
      <c r="W130" s="232"/>
      <c r="X130" s="25"/>
      <c r="Y130" s="232"/>
      <c r="Z130" s="25"/>
      <c r="AA130" s="232"/>
      <c r="AB130" s="232"/>
    </row>
    <row r="131" spans="4:28" s="29" customFormat="1">
      <c r="E131" s="232"/>
      <c r="F131" s="501"/>
      <c r="G131" s="232"/>
      <c r="H131" s="501"/>
      <c r="I131" s="232"/>
      <c r="J131" s="501"/>
      <c r="K131" s="232"/>
      <c r="L131" s="501"/>
      <c r="M131" s="232"/>
      <c r="N131" s="501"/>
      <c r="O131" s="232"/>
      <c r="P131" s="501"/>
      <c r="Q131" s="232"/>
      <c r="V131" s="25"/>
      <c r="W131" s="232"/>
      <c r="X131" s="25"/>
      <c r="Y131" s="232"/>
      <c r="Z131" s="25"/>
      <c r="AA131" s="232"/>
      <c r="AB131" s="232"/>
    </row>
    <row r="132" spans="4:28" s="29" customFormat="1">
      <c r="D132" s="28"/>
      <c r="E132" s="232"/>
      <c r="F132" s="501"/>
      <c r="G132" s="232"/>
      <c r="H132" s="501"/>
      <c r="I132" s="232"/>
      <c r="J132" s="501"/>
      <c r="K132" s="232"/>
      <c r="L132" s="501"/>
      <c r="M132" s="232"/>
      <c r="N132" s="501"/>
      <c r="O132" s="232"/>
      <c r="P132" s="501"/>
      <c r="Q132" s="232"/>
      <c r="V132" s="25"/>
      <c r="W132" s="232"/>
      <c r="X132" s="25"/>
      <c r="Y132" s="232"/>
      <c r="Z132" s="25"/>
      <c r="AA132" s="232"/>
      <c r="AB132" s="232"/>
    </row>
    <row r="133" spans="4:28" s="29" customFormat="1">
      <c r="E133" s="232"/>
      <c r="F133" s="501"/>
      <c r="G133" s="232"/>
      <c r="H133" s="501"/>
      <c r="I133" s="232"/>
      <c r="J133" s="501"/>
      <c r="K133" s="232"/>
      <c r="L133" s="501"/>
      <c r="M133" s="232"/>
      <c r="N133" s="501"/>
      <c r="O133" s="232"/>
      <c r="P133" s="501"/>
      <c r="Q133" s="232"/>
      <c r="V133" s="25"/>
      <c r="W133" s="232"/>
      <c r="X133" s="25"/>
      <c r="Y133" s="232"/>
      <c r="Z133" s="25"/>
      <c r="AA133" s="232"/>
      <c r="AB133" s="232"/>
    </row>
    <row r="134" spans="4:28" s="29" customFormat="1">
      <c r="E134" s="232"/>
      <c r="F134" s="501"/>
      <c r="G134" s="232"/>
      <c r="H134" s="501"/>
      <c r="I134" s="232"/>
      <c r="J134" s="501"/>
      <c r="K134" s="232"/>
      <c r="L134" s="501"/>
      <c r="M134" s="232"/>
      <c r="N134" s="501"/>
      <c r="O134" s="232"/>
      <c r="P134" s="501"/>
      <c r="Q134" s="232"/>
      <c r="V134" s="25"/>
      <c r="W134" s="232"/>
      <c r="X134" s="25"/>
      <c r="Y134" s="232"/>
      <c r="Z134" s="25"/>
      <c r="AA134" s="232"/>
      <c r="AB134" s="232"/>
    </row>
    <row r="135" spans="4:28" s="29" customFormat="1">
      <c r="E135" s="232"/>
      <c r="F135" s="501"/>
      <c r="G135" s="232"/>
      <c r="H135" s="501"/>
      <c r="I135" s="232"/>
      <c r="J135" s="501"/>
      <c r="K135" s="232"/>
      <c r="L135" s="501"/>
      <c r="M135" s="232"/>
      <c r="N135" s="501"/>
      <c r="O135" s="232"/>
      <c r="P135" s="501"/>
      <c r="Q135" s="232"/>
      <c r="V135" s="25"/>
      <c r="W135" s="232"/>
      <c r="X135" s="25"/>
      <c r="Y135" s="232"/>
      <c r="Z135" s="25"/>
      <c r="AA135" s="232"/>
      <c r="AB135" s="232"/>
    </row>
    <row r="136" spans="4:28" s="29" customFormat="1">
      <c r="E136" s="232"/>
      <c r="F136" s="501"/>
      <c r="G136" s="232"/>
      <c r="H136" s="501"/>
      <c r="I136" s="232"/>
      <c r="J136" s="501"/>
      <c r="K136" s="232"/>
      <c r="L136" s="501"/>
      <c r="M136" s="232"/>
      <c r="N136" s="501"/>
      <c r="O136" s="232"/>
      <c r="P136" s="501"/>
      <c r="Q136" s="232"/>
      <c r="V136" s="25"/>
      <c r="W136" s="232"/>
      <c r="X136" s="25"/>
      <c r="Y136" s="232"/>
      <c r="Z136" s="25"/>
      <c r="AA136" s="232"/>
      <c r="AB136" s="232"/>
    </row>
    <row r="137" spans="4:28" s="29" customFormat="1">
      <c r="E137" s="232"/>
      <c r="F137" s="501"/>
      <c r="G137" s="232"/>
      <c r="H137" s="501"/>
      <c r="I137" s="232"/>
      <c r="J137" s="501"/>
      <c r="K137" s="232"/>
      <c r="L137" s="501"/>
      <c r="M137" s="232"/>
      <c r="N137" s="501"/>
      <c r="O137" s="232"/>
      <c r="P137" s="501"/>
      <c r="Q137" s="232"/>
      <c r="V137" s="25"/>
      <c r="W137" s="232"/>
      <c r="X137" s="25"/>
      <c r="Y137" s="232"/>
      <c r="Z137" s="25"/>
      <c r="AA137" s="232"/>
      <c r="AB137" s="232"/>
    </row>
    <row r="138" spans="4:28" s="29" customFormat="1">
      <c r="E138" s="232"/>
      <c r="F138" s="501"/>
      <c r="G138" s="232"/>
      <c r="H138" s="501"/>
      <c r="I138" s="232"/>
      <c r="J138" s="501"/>
      <c r="K138" s="232"/>
      <c r="L138" s="501"/>
      <c r="M138" s="232"/>
      <c r="N138" s="501"/>
      <c r="O138" s="232"/>
      <c r="P138" s="501"/>
      <c r="Q138" s="232"/>
      <c r="V138" s="25"/>
      <c r="W138" s="232"/>
      <c r="X138" s="25"/>
      <c r="Y138" s="232"/>
      <c r="Z138" s="25"/>
      <c r="AA138" s="232"/>
      <c r="AB138" s="232"/>
    </row>
    <row r="139" spans="4:28" s="29" customFormat="1">
      <c r="E139" s="232"/>
      <c r="F139" s="501"/>
      <c r="G139" s="232"/>
      <c r="H139" s="501"/>
      <c r="I139" s="232"/>
      <c r="J139" s="501"/>
      <c r="K139" s="232"/>
      <c r="L139" s="501"/>
      <c r="M139" s="232"/>
      <c r="N139" s="501"/>
      <c r="O139" s="232"/>
      <c r="P139" s="501"/>
      <c r="Q139" s="232"/>
      <c r="V139" s="25"/>
      <c r="W139" s="232"/>
      <c r="X139" s="25"/>
      <c r="Y139" s="232"/>
      <c r="Z139" s="25"/>
      <c r="AA139" s="232"/>
      <c r="AB139" s="232"/>
    </row>
    <row r="140" spans="4:28" s="29" customFormat="1">
      <c r="E140" s="232"/>
      <c r="F140" s="501"/>
      <c r="G140" s="232"/>
      <c r="H140" s="501"/>
      <c r="I140" s="232"/>
      <c r="J140" s="501"/>
      <c r="K140" s="232"/>
      <c r="L140" s="501"/>
      <c r="M140" s="232"/>
      <c r="N140" s="501"/>
      <c r="O140" s="232"/>
      <c r="P140" s="501"/>
      <c r="Q140" s="232"/>
      <c r="V140" s="25"/>
      <c r="W140" s="232"/>
      <c r="X140" s="25"/>
      <c r="Y140" s="232"/>
      <c r="Z140" s="25"/>
      <c r="AA140" s="232"/>
      <c r="AB140" s="232"/>
    </row>
    <row r="141" spans="4:28" s="29" customFormat="1">
      <c r="E141" s="232"/>
      <c r="F141" s="501"/>
      <c r="G141" s="232"/>
      <c r="H141" s="501"/>
      <c r="I141" s="232"/>
      <c r="J141" s="501"/>
      <c r="K141" s="232"/>
      <c r="L141" s="501"/>
      <c r="M141" s="232"/>
      <c r="N141" s="501"/>
      <c r="O141" s="232"/>
      <c r="P141" s="501"/>
      <c r="Q141" s="232"/>
      <c r="V141" s="25"/>
      <c r="W141" s="232"/>
      <c r="X141" s="25"/>
      <c r="Y141" s="232"/>
      <c r="Z141" s="25"/>
      <c r="AA141" s="232"/>
      <c r="AB141" s="232"/>
    </row>
    <row r="142" spans="4:28" s="29" customFormat="1">
      <c r="D142" s="28"/>
      <c r="E142" s="232"/>
      <c r="F142" s="501"/>
      <c r="G142" s="232"/>
      <c r="H142" s="501"/>
      <c r="I142" s="232"/>
      <c r="J142" s="501"/>
      <c r="K142" s="232"/>
      <c r="L142" s="501"/>
      <c r="M142" s="232"/>
      <c r="N142" s="501"/>
      <c r="O142" s="232"/>
      <c r="P142" s="501"/>
      <c r="Q142" s="232"/>
      <c r="V142" s="25"/>
      <c r="W142" s="232"/>
      <c r="X142" s="25"/>
      <c r="Y142" s="232"/>
      <c r="Z142" s="25"/>
      <c r="AA142" s="232"/>
      <c r="AB142" s="232"/>
    </row>
    <row r="143" spans="4:28" s="29" customFormat="1">
      <c r="E143" s="232"/>
      <c r="F143" s="501"/>
      <c r="G143" s="232"/>
      <c r="H143" s="501"/>
      <c r="I143" s="232"/>
      <c r="J143" s="501"/>
      <c r="K143" s="232"/>
      <c r="L143" s="501"/>
      <c r="M143" s="232"/>
      <c r="N143" s="501"/>
      <c r="O143" s="232"/>
      <c r="P143" s="501"/>
      <c r="Q143" s="232"/>
      <c r="V143" s="25"/>
      <c r="W143" s="232"/>
      <c r="X143" s="25"/>
      <c r="Y143" s="232"/>
      <c r="Z143" s="25"/>
      <c r="AA143" s="232"/>
      <c r="AB143" s="232"/>
    </row>
    <row r="144" spans="4:28" s="29" customFormat="1">
      <c r="E144" s="232"/>
      <c r="F144" s="501"/>
      <c r="G144" s="232"/>
      <c r="H144" s="501"/>
      <c r="I144" s="232"/>
      <c r="J144" s="501"/>
      <c r="K144" s="232"/>
      <c r="L144" s="501"/>
      <c r="M144" s="232"/>
      <c r="N144" s="501"/>
      <c r="O144" s="232"/>
      <c r="P144" s="501"/>
      <c r="Q144" s="232"/>
      <c r="V144" s="25"/>
      <c r="W144" s="232"/>
      <c r="X144" s="25"/>
      <c r="Y144" s="232"/>
      <c r="Z144" s="25"/>
      <c r="AA144" s="232"/>
      <c r="AB144" s="232"/>
    </row>
    <row r="145" spans="4:28" s="29" customFormat="1">
      <c r="E145" s="232"/>
      <c r="F145" s="501"/>
      <c r="G145" s="232"/>
      <c r="H145" s="501"/>
      <c r="I145" s="232"/>
      <c r="J145" s="501"/>
      <c r="K145" s="232"/>
      <c r="L145" s="501"/>
      <c r="M145" s="232"/>
      <c r="N145" s="501"/>
      <c r="O145" s="232"/>
      <c r="P145" s="501"/>
      <c r="Q145" s="232"/>
      <c r="V145" s="25"/>
      <c r="W145" s="232"/>
      <c r="X145" s="25"/>
      <c r="Y145" s="232"/>
      <c r="Z145" s="25"/>
      <c r="AA145" s="232"/>
      <c r="AB145" s="232"/>
    </row>
    <row r="146" spans="4:28" s="29" customFormat="1">
      <c r="E146" s="232"/>
      <c r="F146" s="501"/>
      <c r="G146" s="232"/>
      <c r="H146" s="501"/>
      <c r="I146" s="232"/>
      <c r="J146" s="501"/>
      <c r="K146" s="232"/>
      <c r="L146" s="501"/>
      <c r="M146" s="232"/>
      <c r="N146" s="501"/>
      <c r="O146" s="232"/>
      <c r="P146" s="501"/>
      <c r="Q146" s="232"/>
      <c r="V146" s="25"/>
      <c r="W146" s="232"/>
      <c r="X146" s="25"/>
      <c r="Y146" s="232"/>
      <c r="Z146" s="25"/>
      <c r="AA146" s="232"/>
      <c r="AB146" s="232"/>
    </row>
    <row r="147" spans="4:28" s="29" customFormat="1">
      <c r="E147" s="232"/>
      <c r="F147" s="501"/>
      <c r="G147" s="232"/>
      <c r="H147" s="501"/>
      <c r="I147" s="232"/>
      <c r="J147" s="501"/>
      <c r="K147" s="232"/>
      <c r="L147" s="501"/>
      <c r="M147" s="232"/>
      <c r="N147" s="501"/>
      <c r="O147" s="232"/>
      <c r="P147" s="501"/>
      <c r="Q147" s="232"/>
      <c r="V147" s="25"/>
      <c r="W147" s="232"/>
      <c r="X147" s="25"/>
      <c r="Y147" s="232"/>
      <c r="Z147" s="25"/>
      <c r="AA147" s="232"/>
      <c r="AB147" s="232"/>
    </row>
    <row r="148" spans="4:28" s="29" customFormat="1">
      <c r="E148" s="232"/>
      <c r="F148" s="501"/>
      <c r="G148" s="232"/>
      <c r="H148" s="501"/>
      <c r="I148" s="232"/>
      <c r="J148" s="501"/>
      <c r="K148" s="232"/>
      <c r="L148" s="501"/>
      <c r="M148" s="232"/>
      <c r="N148" s="501"/>
      <c r="O148" s="232"/>
      <c r="P148" s="501"/>
      <c r="Q148" s="232"/>
      <c r="V148" s="25"/>
      <c r="W148" s="232"/>
      <c r="X148" s="25"/>
      <c r="Y148" s="232"/>
      <c r="Z148" s="25"/>
      <c r="AA148" s="232"/>
      <c r="AB148" s="232"/>
    </row>
    <row r="149" spans="4:28" s="29" customFormat="1">
      <c r="E149" s="232"/>
      <c r="F149" s="501"/>
      <c r="G149" s="232"/>
      <c r="H149" s="501"/>
      <c r="I149" s="232"/>
      <c r="J149" s="501"/>
      <c r="K149" s="232"/>
      <c r="L149" s="501"/>
      <c r="M149" s="232"/>
      <c r="N149" s="501"/>
      <c r="O149" s="232"/>
      <c r="P149" s="501"/>
      <c r="Q149" s="232"/>
      <c r="V149" s="25"/>
      <c r="W149" s="232"/>
      <c r="X149" s="25"/>
      <c r="Y149" s="232"/>
      <c r="Z149" s="25"/>
      <c r="AA149" s="232"/>
      <c r="AB149" s="232"/>
    </row>
    <row r="150" spans="4:28" s="29" customFormat="1">
      <c r="E150" s="232"/>
      <c r="F150" s="501"/>
      <c r="G150" s="232"/>
      <c r="H150" s="501"/>
      <c r="I150" s="232"/>
      <c r="J150" s="501"/>
      <c r="K150" s="232"/>
      <c r="L150" s="501"/>
      <c r="M150" s="232"/>
      <c r="N150" s="501"/>
      <c r="O150" s="232"/>
      <c r="P150" s="501"/>
      <c r="Q150" s="232"/>
      <c r="V150" s="25"/>
      <c r="W150" s="232"/>
      <c r="X150" s="25"/>
      <c r="Y150" s="232"/>
      <c r="Z150" s="25"/>
      <c r="AA150" s="232"/>
      <c r="AB150" s="232"/>
    </row>
    <row r="151" spans="4:28" s="29" customFormat="1">
      <c r="D151" s="28"/>
      <c r="E151" s="232"/>
      <c r="F151" s="501"/>
      <c r="G151" s="232"/>
      <c r="H151" s="501"/>
      <c r="I151" s="232"/>
      <c r="J151" s="501"/>
      <c r="K151" s="232"/>
      <c r="L151" s="501"/>
      <c r="M151" s="232"/>
      <c r="N151" s="501"/>
      <c r="O151" s="232"/>
      <c r="P151" s="501"/>
      <c r="Q151" s="232"/>
      <c r="V151" s="25"/>
      <c r="W151" s="232"/>
      <c r="X151" s="25"/>
      <c r="Y151" s="232"/>
      <c r="Z151" s="25"/>
      <c r="AA151" s="232"/>
      <c r="AB151" s="232"/>
    </row>
    <row r="152" spans="4:28" s="29" customFormat="1">
      <c r="E152" s="232"/>
      <c r="F152" s="501"/>
      <c r="G152" s="232"/>
      <c r="H152" s="501"/>
      <c r="I152" s="232"/>
      <c r="J152" s="501"/>
      <c r="K152" s="232"/>
      <c r="L152" s="501"/>
      <c r="M152" s="232"/>
      <c r="N152" s="501"/>
      <c r="O152" s="232"/>
      <c r="P152" s="501"/>
      <c r="Q152" s="232"/>
      <c r="V152" s="25"/>
      <c r="W152" s="232"/>
      <c r="X152" s="25"/>
      <c r="Y152" s="232"/>
      <c r="Z152" s="25"/>
      <c r="AA152" s="232"/>
      <c r="AB152" s="232"/>
    </row>
    <row r="153" spans="4:28" s="29" customFormat="1">
      <c r="E153" s="232"/>
      <c r="F153" s="501"/>
      <c r="G153" s="232"/>
      <c r="H153" s="501"/>
      <c r="I153" s="232"/>
      <c r="J153" s="501"/>
      <c r="K153" s="232"/>
      <c r="L153" s="501"/>
      <c r="M153" s="232"/>
      <c r="N153" s="501"/>
      <c r="O153" s="232"/>
      <c r="P153" s="501"/>
      <c r="Q153" s="232"/>
      <c r="V153" s="25"/>
      <c r="W153" s="232"/>
      <c r="X153" s="25"/>
      <c r="Y153" s="232"/>
      <c r="Z153" s="25"/>
      <c r="AA153" s="232"/>
      <c r="AB153" s="232"/>
    </row>
    <row r="154" spans="4:28" s="29" customFormat="1">
      <c r="E154" s="232"/>
      <c r="F154" s="501"/>
      <c r="G154" s="232"/>
      <c r="H154" s="501"/>
      <c r="I154" s="232"/>
      <c r="J154" s="501"/>
      <c r="K154" s="232"/>
      <c r="L154" s="501"/>
      <c r="M154" s="232"/>
      <c r="N154" s="501"/>
      <c r="O154" s="232"/>
      <c r="P154" s="501"/>
      <c r="Q154" s="232"/>
      <c r="V154" s="25"/>
      <c r="W154" s="232"/>
      <c r="X154" s="25"/>
      <c r="Y154" s="232"/>
      <c r="Z154" s="25"/>
      <c r="AA154" s="232"/>
      <c r="AB154" s="232"/>
    </row>
    <row r="155" spans="4:28" s="29" customFormat="1">
      <c r="E155" s="232"/>
      <c r="F155" s="501"/>
      <c r="G155" s="232"/>
      <c r="H155" s="501"/>
      <c r="I155" s="232"/>
      <c r="J155" s="501"/>
      <c r="K155" s="232"/>
      <c r="L155" s="501"/>
      <c r="M155" s="232"/>
      <c r="N155" s="501"/>
      <c r="O155" s="232"/>
      <c r="P155" s="501"/>
      <c r="Q155" s="232"/>
      <c r="V155" s="25"/>
      <c r="W155" s="232"/>
      <c r="X155" s="25"/>
      <c r="Y155" s="232"/>
      <c r="Z155" s="25"/>
      <c r="AA155" s="232"/>
      <c r="AB155" s="232"/>
    </row>
    <row r="156" spans="4:28" s="29" customFormat="1">
      <c r="D156" s="28"/>
      <c r="E156" s="232"/>
      <c r="F156" s="501"/>
      <c r="G156" s="232"/>
      <c r="H156" s="501"/>
      <c r="I156" s="232"/>
      <c r="J156" s="501"/>
      <c r="K156" s="232"/>
      <c r="L156" s="501"/>
      <c r="M156" s="232"/>
      <c r="N156" s="501"/>
      <c r="O156" s="232"/>
      <c r="P156" s="501"/>
      <c r="Q156" s="232"/>
      <c r="V156" s="25"/>
      <c r="W156" s="232"/>
      <c r="X156" s="25"/>
      <c r="Y156" s="232"/>
      <c r="Z156" s="25"/>
      <c r="AA156" s="232"/>
      <c r="AB156" s="232"/>
    </row>
    <row r="157" spans="4:28" s="29" customFormat="1">
      <c r="E157" s="232"/>
      <c r="F157" s="501"/>
      <c r="G157" s="232"/>
      <c r="H157" s="501"/>
      <c r="I157" s="232"/>
      <c r="J157" s="501"/>
      <c r="K157" s="232"/>
      <c r="L157" s="501"/>
      <c r="M157" s="232"/>
      <c r="N157" s="501"/>
      <c r="O157" s="232"/>
      <c r="P157" s="501"/>
      <c r="Q157" s="232"/>
      <c r="V157" s="25"/>
      <c r="W157" s="232"/>
      <c r="X157" s="25"/>
      <c r="Y157" s="232"/>
      <c r="Z157" s="25"/>
      <c r="AA157" s="232"/>
      <c r="AB157" s="232"/>
    </row>
    <row r="158" spans="4:28" s="29" customFormat="1">
      <c r="E158" s="232"/>
      <c r="F158" s="501"/>
      <c r="G158" s="232"/>
      <c r="H158" s="501"/>
      <c r="I158" s="232"/>
      <c r="J158" s="501"/>
      <c r="K158" s="232"/>
      <c r="L158" s="501"/>
      <c r="M158" s="232"/>
      <c r="N158" s="501"/>
      <c r="O158" s="232"/>
      <c r="P158" s="501"/>
      <c r="Q158" s="232"/>
      <c r="V158" s="25"/>
      <c r="W158" s="232"/>
      <c r="X158" s="25"/>
      <c r="Y158" s="232"/>
      <c r="Z158" s="25"/>
      <c r="AA158" s="232"/>
      <c r="AB158" s="232"/>
    </row>
    <row r="159" spans="4:28" s="29" customFormat="1">
      <c r="E159" s="232"/>
      <c r="F159" s="501"/>
      <c r="G159" s="232"/>
      <c r="H159" s="501"/>
      <c r="I159" s="232"/>
      <c r="J159" s="501"/>
      <c r="K159" s="232"/>
      <c r="L159" s="501"/>
      <c r="M159" s="232"/>
      <c r="N159" s="501"/>
      <c r="O159" s="232"/>
      <c r="P159" s="501"/>
      <c r="Q159" s="232"/>
      <c r="V159" s="25"/>
      <c r="W159" s="232"/>
      <c r="X159" s="25"/>
      <c r="Y159" s="232"/>
      <c r="Z159" s="25"/>
      <c r="AA159" s="232"/>
      <c r="AB159" s="232"/>
    </row>
    <row r="160" spans="4:28" s="29" customFormat="1">
      <c r="E160" s="232"/>
      <c r="F160" s="501"/>
      <c r="G160" s="232"/>
      <c r="H160" s="501"/>
      <c r="I160" s="232"/>
      <c r="J160" s="501"/>
      <c r="K160" s="232"/>
      <c r="L160" s="501"/>
      <c r="M160" s="232"/>
      <c r="N160" s="501"/>
      <c r="O160" s="232"/>
      <c r="P160" s="501"/>
      <c r="Q160" s="232"/>
      <c r="V160" s="25"/>
      <c r="W160" s="232"/>
      <c r="X160" s="25"/>
      <c r="Y160" s="232"/>
      <c r="Z160" s="25"/>
      <c r="AA160" s="232"/>
      <c r="AB160" s="232"/>
    </row>
    <row r="161" spans="4:28" s="29" customFormat="1">
      <c r="E161" s="232"/>
      <c r="F161" s="501"/>
      <c r="G161" s="232"/>
      <c r="H161" s="501"/>
      <c r="I161" s="232"/>
      <c r="J161" s="501"/>
      <c r="K161" s="232"/>
      <c r="L161" s="501"/>
      <c r="M161" s="232"/>
      <c r="N161" s="501"/>
      <c r="O161" s="232"/>
      <c r="P161" s="501"/>
      <c r="Q161" s="232"/>
      <c r="V161" s="25"/>
      <c r="W161" s="232"/>
      <c r="X161" s="25"/>
      <c r="Y161" s="232"/>
      <c r="Z161" s="25"/>
      <c r="AA161" s="232"/>
      <c r="AB161" s="232"/>
    </row>
    <row r="162" spans="4:28" s="29" customFormat="1">
      <c r="E162" s="232"/>
      <c r="F162" s="501"/>
      <c r="G162" s="232"/>
      <c r="H162" s="501"/>
      <c r="I162" s="232"/>
      <c r="J162" s="501"/>
      <c r="K162" s="232"/>
      <c r="L162" s="501"/>
      <c r="M162" s="232"/>
      <c r="N162" s="501"/>
      <c r="O162" s="232"/>
      <c r="P162" s="501"/>
      <c r="Q162" s="232"/>
      <c r="V162" s="25"/>
      <c r="W162" s="232"/>
      <c r="X162" s="25"/>
      <c r="Y162" s="232"/>
      <c r="Z162" s="25"/>
      <c r="AA162" s="232"/>
      <c r="AB162" s="232"/>
    </row>
    <row r="163" spans="4:28" s="29" customFormat="1">
      <c r="E163" s="232"/>
      <c r="F163" s="501"/>
      <c r="G163" s="232"/>
      <c r="H163" s="501"/>
      <c r="I163" s="232"/>
      <c r="J163" s="501"/>
      <c r="K163" s="232"/>
      <c r="L163" s="501"/>
      <c r="M163" s="232"/>
      <c r="N163" s="501"/>
      <c r="O163" s="232"/>
      <c r="P163" s="501"/>
      <c r="Q163" s="232"/>
      <c r="V163" s="25"/>
      <c r="W163" s="232"/>
      <c r="X163" s="25"/>
      <c r="Y163" s="232"/>
      <c r="Z163" s="25"/>
      <c r="AA163" s="232"/>
      <c r="AB163" s="232"/>
    </row>
    <row r="164" spans="4:28" s="29" customFormat="1">
      <c r="E164" s="232"/>
      <c r="F164" s="501"/>
      <c r="G164" s="232"/>
      <c r="H164" s="501"/>
      <c r="I164" s="232"/>
      <c r="J164" s="501"/>
      <c r="K164" s="232"/>
      <c r="L164" s="501"/>
      <c r="M164" s="232"/>
      <c r="N164" s="501"/>
      <c r="O164" s="232"/>
      <c r="P164" s="501"/>
      <c r="Q164" s="232"/>
      <c r="V164" s="25"/>
      <c r="W164" s="232"/>
      <c r="X164" s="25"/>
      <c r="Y164" s="232"/>
      <c r="Z164" s="25"/>
      <c r="AA164" s="232"/>
      <c r="AB164" s="232"/>
    </row>
    <row r="165" spans="4:28" s="29" customFormat="1">
      <c r="D165" s="28"/>
      <c r="E165" s="232"/>
      <c r="F165" s="501"/>
      <c r="G165" s="232"/>
      <c r="H165" s="501"/>
      <c r="I165" s="232"/>
      <c r="J165" s="501"/>
      <c r="K165" s="232"/>
      <c r="L165" s="501"/>
      <c r="M165" s="232"/>
      <c r="N165" s="501"/>
      <c r="O165" s="232"/>
      <c r="P165" s="501"/>
      <c r="Q165" s="232"/>
      <c r="V165" s="25"/>
      <c r="W165" s="232"/>
      <c r="X165" s="25"/>
      <c r="Y165" s="232"/>
      <c r="Z165" s="25"/>
      <c r="AA165" s="232"/>
      <c r="AB165" s="232"/>
    </row>
    <row r="166" spans="4:28" s="29" customFormat="1">
      <c r="E166" s="232"/>
      <c r="F166" s="501"/>
      <c r="G166" s="232"/>
      <c r="H166" s="501"/>
      <c r="I166" s="232"/>
      <c r="J166" s="501"/>
      <c r="K166" s="232"/>
      <c r="L166" s="501"/>
      <c r="M166" s="232"/>
      <c r="N166" s="501"/>
      <c r="O166" s="232"/>
      <c r="P166" s="501"/>
      <c r="Q166" s="232"/>
      <c r="V166" s="25"/>
      <c r="W166" s="232"/>
      <c r="X166" s="25"/>
      <c r="Y166" s="232"/>
      <c r="Z166" s="25"/>
      <c r="AA166" s="232"/>
      <c r="AB166" s="232"/>
    </row>
    <row r="167" spans="4:28" s="29" customFormat="1">
      <c r="E167" s="232"/>
      <c r="F167" s="501"/>
      <c r="G167" s="232"/>
      <c r="H167" s="501"/>
      <c r="I167" s="232"/>
      <c r="J167" s="501"/>
      <c r="K167" s="232"/>
      <c r="L167" s="501"/>
      <c r="M167" s="232"/>
      <c r="N167" s="501"/>
      <c r="O167" s="232"/>
      <c r="P167" s="501"/>
      <c r="Q167" s="232"/>
      <c r="V167" s="25"/>
      <c r="W167" s="232"/>
      <c r="X167" s="25"/>
      <c r="Y167" s="232"/>
      <c r="Z167" s="25"/>
      <c r="AA167" s="232"/>
      <c r="AB167" s="232"/>
    </row>
    <row r="168" spans="4:28" s="29" customFormat="1">
      <c r="E168" s="232"/>
      <c r="F168" s="501"/>
      <c r="G168" s="232"/>
      <c r="H168" s="501"/>
      <c r="I168" s="232"/>
      <c r="J168" s="501"/>
      <c r="K168" s="232"/>
      <c r="L168" s="501"/>
      <c r="M168" s="232"/>
      <c r="N168" s="501"/>
      <c r="O168" s="232"/>
      <c r="P168" s="501"/>
      <c r="Q168" s="232"/>
      <c r="V168" s="25"/>
      <c r="W168" s="232"/>
      <c r="X168" s="25"/>
      <c r="Y168" s="232"/>
      <c r="Z168" s="25"/>
      <c r="AA168" s="232"/>
      <c r="AB168" s="232"/>
    </row>
    <row r="169" spans="4:28" s="29" customFormat="1">
      <c r="E169" s="232"/>
      <c r="F169" s="501"/>
      <c r="G169" s="232"/>
      <c r="H169" s="501"/>
      <c r="I169" s="232"/>
      <c r="J169" s="501"/>
      <c r="K169" s="232"/>
      <c r="L169" s="501"/>
      <c r="M169" s="232"/>
      <c r="N169" s="501"/>
      <c r="O169" s="232"/>
      <c r="P169" s="501"/>
      <c r="Q169" s="232"/>
      <c r="V169" s="25"/>
      <c r="W169" s="232"/>
      <c r="X169" s="25"/>
      <c r="Y169" s="232"/>
      <c r="Z169" s="25"/>
      <c r="AA169" s="232"/>
      <c r="AB169" s="232"/>
    </row>
    <row r="170" spans="4:28" s="29" customFormat="1">
      <c r="E170" s="232"/>
      <c r="F170" s="501"/>
      <c r="G170" s="232"/>
      <c r="H170" s="501"/>
      <c r="I170" s="232"/>
      <c r="J170" s="501"/>
      <c r="K170" s="232"/>
      <c r="L170" s="501"/>
      <c r="M170" s="232"/>
      <c r="N170" s="501"/>
      <c r="O170" s="232"/>
      <c r="P170" s="501"/>
      <c r="Q170" s="232"/>
      <c r="V170" s="25"/>
      <c r="W170" s="232"/>
      <c r="X170" s="25"/>
      <c r="Y170" s="232"/>
      <c r="Z170" s="25"/>
      <c r="AA170" s="232"/>
      <c r="AB170" s="232"/>
    </row>
    <row r="171" spans="4:28" s="29" customFormat="1">
      <c r="E171" s="232"/>
      <c r="F171" s="501"/>
      <c r="G171" s="232"/>
      <c r="H171" s="501"/>
      <c r="I171" s="232"/>
      <c r="J171" s="501"/>
      <c r="K171" s="232"/>
      <c r="L171" s="501"/>
      <c r="M171" s="232"/>
      <c r="N171" s="501"/>
      <c r="O171" s="232"/>
      <c r="P171" s="501"/>
      <c r="Q171" s="232"/>
      <c r="V171" s="25"/>
      <c r="W171" s="232"/>
      <c r="X171" s="25"/>
      <c r="Y171" s="232"/>
      <c r="Z171" s="25"/>
      <c r="AA171" s="232"/>
      <c r="AB171" s="232"/>
    </row>
    <row r="172" spans="4:28" s="29" customFormat="1">
      <c r="E172" s="232"/>
      <c r="F172" s="501"/>
      <c r="G172" s="232"/>
      <c r="H172" s="501"/>
      <c r="I172" s="232"/>
      <c r="J172" s="501"/>
      <c r="K172" s="232"/>
      <c r="L172" s="501"/>
      <c r="M172" s="232"/>
      <c r="N172" s="501"/>
      <c r="O172" s="232"/>
      <c r="P172" s="501"/>
      <c r="Q172" s="232"/>
      <c r="V172" s="25"/>
      <c r="W172" s="232"/>
      <c r="X172" s="25"/>
      <c r="Y172" s="232"/>
      <c r="Z172" s="25"/>
      <c r="AA172" s="232"/>
      <c r="AB172" s="232"/>
    </row>
    <row r="173" spans="4:28" s="29" customFormat="1">
      <c r="D173" s="28"/>
      <c r="E173" s="232"/>
      <c r="F173" s="501"/>
      <c r="G173" s="232"/>
      <c r="H173" s="501"/>
      <c r="I173" s="232"/>
      <c r="J173" s="501"/>
      <c r="K173" s="232"/>
      <c r="L173" s="501"/>
      <c r="M173" s="232"/>
      <c r="N173" s="501"/>
      <c r="O173" s="232"/>
      <c r="P173" s="501"/>
      <c r="Q173" s="232"/>
      <c r="V173" s="25"/>
      <c r="W173" s="232"/>
      <c r="X173" s="25"/>
      <c r="Y173" s="232"/>
      <c r="Z173" s="25"/>
      <c r="AA173" s="232"/>
      <c r="AB173" s="232"/>
    </row>
    <row r="174" spans="4:28" s="29" customFormat="1">
      <c r="E174" s="232"/>
      <c r="F174" s="501"/>
      <c r="G174" s="232"/>
      <c r="H174" s="501"/>
      <c r="I174" s="232"/>
      <c r="J174" s="501"/>
      <c r="K174" s="232"/>
      <c r="L174" s="501"/>
      <c r="M174" s="232"/>
      <c r="N174" s="501"/>
      <c r="O174" s="232"/>
      <c r="P174" s="501"/>
      <c r="Q174" s="232"/>
      <c r="V174" s="25"/>
      <c r="W174" s="232"/>
      <c r="X174" s="25"/>
      <c r="Y174" s="232"/>
      <c r="Z174" s="25"/>
      <c r="AA174" s="232"/>
      <c r="AB174" s="232"/>
    </row>
    <row r="175" spans="4:28" s="29" customFormat="1">
      <c r="E175" s="232"/>
      <c r="F175" s="501"/>
      <c r="G175" s="232"/>
      <c r="H175" s="501"/>
      <c r="I175" s="232"/>
      <c r="J175" s="501"/>
      <c r="K175" s="232"/>
      <c r="L175" s="501"/>
      <c r="M175" s="232"/>
      <c r="N175" s="501"/>
      <c r="O175" s="232"/>
      <c r="P175" s="501"/>
      <c r="Q175" s="232"/>
      <c r="V175" s="25"/>
      <c r="W175" s="232"/>
      <c r="X175" s="25"/>
      <c r="Y175" s="232"/>
      <c r="Z175" s="25"/>
      <c r="AA175" s="232"/>
      <c r="AB175" s="232"/>
    </row>
    <row r="176" spans="4:28" s="29" customFormat="1">
      <c r="E176" s="232"/>
      <c r="F176" s="501"/>
      <c r="G176" s="232"/>
      <c r="H176" s="501"/>
      <c r="I176" s="232"/>
      <c r="J176" s="501"/>
      <c r="K176" s="232"/>
      <c r="L176" s="501"/>
      <c r="M176" s="232"/>
      <c r="N176" s="501"/>
      <c r="O176" s="232"/>
      <c r="P176" s="501"/>
      <c r="Q176" s="232"/>
      <c r="R176" s="30"/>
      <c r="V176" s="25"/>
      <c r="W176" s="232"/>
      <c r="X176" s="25"/>
      <c r="Y176" s="232"/>
      <c r="Z176" s="25"/>
      <c r="AA176" s="232"/>
      <c r="AB176" s="232"/>
    </row>
    <row r="177" spans="4:28" s="29" customFormat="1">
      <c r="E177" s="232"/>
      <c r="F177" s="501"/>
      <c r="G177" s="232"/>
      <c r="H177" s="501"/>
      <c r="I177" s="232"/>
      <c r="J177" s="501"/>
      <c r="K177" s="232"/>
      <c r="L177" s="501"/>
      <c r="M177" s="232"/>
      <c r="N177" s="501"/>
      <c r="O177" s="232"/>
      <c r="P177" s="501"/>
      <c r="Q177" s="232"/>
      <c r="R177" s="30"/>
      <c r="V177" s="25"/>
      <c r="W177" s="232"/>
      <c r="X177" s="25"/>
      <c r="Y177" s="232"/>
      <c r="Z177" s="25"/>
      <c r="AA177" s="232"/>
      <c r="AB177" s="232"/>
    </row>
    <row r="178" spans="4:28" s="29" customFormat="1">
      <c r="E178" s="232"/>
      <c r="F178" s="501"/>
      <c r="G178" s="232"/>
      <c r="H178" s="501"/>
      <c r="I178" s="232"/>
      <c r="J178" s="501"/>
      <c r="K178" s="232"/>
      <c r="L178" s="501"/>
      <c r="M178" s="232"/>
      <c r="N178" s="501"/>
      <c r="O178" s="232"/>
      <c r="P178" s="501"/>
      <c r="Q178" s="232"/>
      <c r="R178" s="30"/>
      <c r="V178" s="25"/>
      <c r="W178" s="232"/>
      <c r="X178" s="25"/>
      <c r="Y178" s="232"/>
      <c r="Z178" s="25"/>
      <c r="AA178" s="232"/>
      <c r="AB178" s="232"/>
    </row>
    <row r="179" spans="4:28" s="29" customFormat="1">
      <c r="E179" s="232"/>
      <c r="F179" s="501"/>
      <c r="G179" s="232"/>
      <c r="H179" s="501"/>
      <c r="I179" s="232"/>
      <c r="J179" s="501"/>
      <c r="K179" s="232"/>
      <c r="L179" s="501"/>
      <c r="M179" s="232"/>
      <c r="N179" s="501"/>
      <c r="O179" s="232"/>
      <c r="P179" s="501"/>
      <c r="Q179" s="232"/>
      <c r="R179" s="30"/>
      <c r="V179" s="25"/>
      <c r="W179" s="232"/>
      <c r="X179" s="25"/>
      <c r="Y179" s="232"/>
      <c r="Z179" s="25"/>
      <c r="AA179" s="232"/>
      <c r="AB179" s="232"/>
    </row>
    <row r="180" spans="4:28" s="29" customFormat="1">
      <c r="E180" s="232"/>
      <c r="F180" s="501"/>
      <c r="G180" s="232"/>
      <c r="H180" s="501"/>
      <c r="I180" s="232"/>
      <c r="J180" s="501"/>
      <c r="K180" s="232"/>
      <c r="L180" s="501"/>
      <c r="M180" s="232"/>
      <c r="N180" s="501"/>
      <c r="O180" s="232"/>
      <c r="P180" s="501"/>
      <c r="Q180" s="232"/>
      <c r="V180" s="25"/>
      <c r="W180" s="232"/>
      <c r="X180" s="25"/>
      <c r="Y180" s="232"/>
      <c r="Z180" s="25"/>
      <c r="AA180" s="232"/>
      <c r="AB180" s="232"/>
    </row>
    <row r="181" spans="4:28" s="29" customFormat="1">
      <c r="E181" s="232"/>
      <c r="F181" s="501"/>
      <c r="G181" s="232"/>
      <c r="H181" s="501"/>
      <c r="I181" s="232"/>
      <c r="J181" s="501"/>
      <c r="K181" s="232"/>
      <c r="L181" s="501"/>
      <c r="M181" s="232"/>
      <c r="N181" s="501"/>
      <c r="O181" s="232"/>
      <c r="P181" s="501"/>
      <c r="Q181" s="232"/>
      <c r="V181" s="25"/>
      <c r="W181" s="232"/>
      <c r="X181" s="25"/>
      <c r="Y181" s="232"/>
      <c r="Z181" s="25"/>
      <c r="AA181" s="232"/>
      <c r="AB181" s="232"/>
    </row>
    <row r="182" spans="4:28" s="29" customFormat="1">
      <c r="E182" s="232"/>
      <c r="F182" s="501"/>
      <c r="G182" s="232"/>
      <c r="H182" s="501"/>
      <c r="I182" s="232"/>
      <c r="J182" s="501"/>
      <c r="K182" s="232"/>
      <c r="L182" s="501"/>
      <c r="M182" s="232"/>
      <c r="N182" s="501"/>
      <c r="O182" s="232"/>
      <c r="P182" s="501"/>
      <c r="Q182" s="232"/>
      <c r="V182" s="25"/>
      <c r="W182" s="232"/>
      <c r="X182" s="25"/>
      <c r="Y182" s="232"/>
      <c r="Z182" s="25"/>
      <c r="AA182" s="232"/>
      <c r="AB182" s="232"/>
    </row>
    <row r="183" spans="4:28" s="29" customFormat="1">
      <c r="D183" s="28"/>
      <c r="E183" s="232"/>
      <c r="F183" s="501"/>
      <c r="G183" s="232"/>
      <c r="H183" s="501"/>
      <c r="I183" s="232"/>
      <c r="J183" s="501"/>
      <c r="K183" s="232"/>
      <c r="L183" s="501"/>
      <c r="M183" s="232"/>
      <c r="N183" s="501"/>
      <c r="O183" s="232"/>
      <c r="P183" s="501"/>
      <c r="Q183" s="232"/>
      <c r="V183" s="25"/>
      <c r="W183" s="232"/>
      <c r="X183" s="25"/>
      <c r="Y183" s="232"/>
      <c r="Z183" s="25"/>
      <c r="AA183" s="232"/>
      <c r="AB183" s="232"/>
    </row>
    <row r="184" spans="4:28">
      <c r="D184" s="29"/>
      <c r="E184" s="232"/>
      <c r="F184" s="501"/>
      <c r="G184" s="232"/>
      <c r="H184" s="501"/>
      <c r="I184" s="232"/>
      <c r="J184" s="501"/>
      <c r="K184" s="232"/>
      <c r="L184" s="501"/>
      <c r="M184" s="232"/>
      <c r="N184" s="501"/>
      <c r="O184" s="232"/>
      <c r="P184" s="501"/>
      <c r="Q184" s="232"/>
      <c r="R184" s="29"/>
      <c r="S184" s="29"/>
      <c r="T184" s="29"/>
      <c r="U184" s="29"/>
      <c r="V184" s="25"/>
      <c r="W184" s="232"/>
      <c r="X184" s="25"/>
      <c r="Y184" s="232"/>
      <c r="Z184" s="25"/>
      <c r="AA184" s="232"/>
      <c r="AB184" s="232"/>
    </row>
    <row r="185" spans="4:28">
      <c r="D185" s="29"/>
      <c r="E185" s="232"/>
      <c r="F185" s="501"/>
      <c r="G185" s="232"/>
      <c r="H185" s="501"/>
      <c r="I185" s="232"/>
      <c r="J185" s="501"/>
      <c r="K185" s="232"/>
      <c r="L185" s="501"/>
      <c r="M185" s="232"/>
      <c r="N185" s="501"/>
      <c r="O185" s="232"/>
      <c r="P185" s="501"/>
      <c r="Q185" s="232"/>
      <c r="R185" s="29"/>
      <c r="S185" s="29"/>
      <c r="T185" s="29"/>
      <c r="U185" s="29"/>
      <c r="V185" s="25"/>
      <c r="W185" s="232"/>
      <c r="X185" s="25"/>
      <c r="Y185" s="232"/>
      <c r="Z185" s="25"/>
      <c r="AA185" s="232"/>
      <c r="AB185" s="232"/>
    </row>
    <row r="186" spans="4:28">
      <c r="D186" s="28"/>
      <c r="E186" s="232"/>
      <c r="F186" s="501"/>
      <c r="G186" s="232"/>
      <c r="H186" s="501"/>
      <c r="I186" s="232"/>
      <c r="J186" s="501"/>
      <c r="K186" s="232"/>
      <c r="L186" s="501"/>
      <c r="M186" s="232"/>
      <c r="N186" s="501"/>
      <c r="O186" s="232"/>
      <c r="P186" s="501"/>
      <c r="Q186" s="232"/>
      <c r="R186" s="29"/>
      <c r="S186" s="29"/>
      <c r="T186" s="29"/>
      <c r="U186" s="29"/>
      <c r="V186" s="25"/>
      <c r="W186" s="232"/>
      <c r="X186" s="25"/>
      <c r="Y186" s="232"/>
      <c r="Z186" s="25"/>
      <c r="AA186" s="232"/>
      <c r="AB186" s="232"/>
    </row>
    <row r="187" spans="4:28">
      <c r="F187" s="502"/>
      <c r="H187" s="502"/>
      <c r="J187" s="502"/>
      <c r="L187" s="502"/>
      <c r="N187" s="502"/>
      <c r="P187" s="502"/>
      <c r="V187" s="27"/>
      <c r="X187" s="27"/>
      <c r="Z187" s="27"/>
    </row>
    <row r="188" spans="4:28">
      <c r="F188" s="502"/>
      <c r="H188" s="502"/>
      <c r="J188" s="502"/>
      <c r="L188" s="502"/>
      <c r="N188" s="502"/>
      <c r="P188" s="502"/>
      <c r="V188" s="27"/>
      <c r="X188" s="27"/>
      <c r="Z188" s="27"/>
    </row>
    <row r="189" spans="4:28">
      <c r="D189" s="498" t="s">
        <v>0</v>
      </c>
      <c r="E189" s="498"/>
      <c r="F189" s="498"/>
      <c r="G189" s="498"/>
      <c r="H189" s="498"/>
      <c r="I189" s="498"/>
      <c r="J189" s="498"/>
      <c r="K189" s="498"/>
      <c r="L189" s="498"/>
      <c r="M189" s="498"/>
      <c r="N189" s="498"/>
      <c r="O189" s="498"/>
      <c r="P189" s="498"/>
      <c r="Q189" s="498"/>
      <c r="R189" s="498"/>
      <c r="S189" s="498"/>
      <c r="T189" s="498"/>
      <c r="U189" s="498"/>
      <c r="V189" s="423"/>
      <c r="W189" s="423"/>
      <c r="X189" s="423"/>
      <c r="Y189" s="423"/>
      <c r="Z189" s="423"/>
      <c r="AA189" s="423"/>
      <c r="AB189" s="423"/>
    </row>
    <row r="190" spans="4:28">
      <c r="D190" s="498" t="s">
        <v>100</v>
      </c>
      <c r="E190" s="498"/>
      <c r="F190" s="498"/>
      <c r="G190" s="498"/>
      <c r="H190" s="498"/>
      <c r="I190" s="498"/>
      <c r="J190" s="498"/>
      <c r="K190" s="498"/>
      <c r="L190" s="498"/>
      <c r="M190" s="498"/>
      <c r="N190" s="498"/>
      <c r="O190" s="498"/>
      <c r="P190" s="498"/>
      <c r="Q190" s="498"/>
      <c r="R190" s="498"/>
      <c r="S190" s="498"/>
      <c r="T190" s="498"/>
      <c r="U190" s="498"/>
      <c r="V190" s="423"/>
      <c r="W190" s="423"/>
      <c r="X190" s="423"/>
      <c r="Y190" s="423"/>
      <c r="Z190" s="423"/>
      <c r="AA190" s="423"/>
      <c r="AB190" s="423"/>
    </row>
    <row r="191" spans="4:28">
      <c r="D191" s="499" t="str">
        <f>D$3</f>
        <v>FORECAST PERIOD: APRIL 2020</v>
      </c>
      <c r="E191" s="500"/>
      <c r="F191" s="500"/>
      <c r="G191" s="500"/>
      <c r="H191" s="500"/>
      <c r="I191" s="500"/>
      <c r="J191" s="500"/>
      <c r="K191" s="500"/>
      <c r="L191" s="500"/>
      <c r="M191" s="500"/>
      <c r="N191" s="500"/>
      <c r="O191" s="500"/>
      <c r="P191" s="500"/>
      <c r="Q191" s="500"/>
      <c r="R191" s="500"/>
      <c r="S191" s="500"/>
      <c r="T191" s="500"/>
      <c r="U191" s="500"/>
      <c r="V191" s="424"/>
      <c r="W191" s="424"/>
      <c r="X191" s="424"/>
      <c r="Y191" s="424"/>
      <c r="Z191" s="424"/>
      <c r="AA191" s="424"/>
      <c r="AB191" s="424"/>
    </row>
    <row r="192" spans="4:28">
      <c r="D192" s="3"/>
      <c r="E192" s="3"/>
      <c r="F192" s="3"/>
      <c r="G192" s="3"/>
      <c r="H192" s="3"/>
      <c r="I192" s="3"/>
      <c r="J192" s="3"/>
      <c r="K192" s="3"/>
      <c r="L192" s="3"/>
      <c r="M192" s="3"/>
      <c r="N192" s="3"/>
      <c r="O192" s="3"/>
      <c r="P192" s="3"/>
      <c r="Q192" s="3"/>
      <c r="R192" s="31"/>
      <c r="S192" s="31"/>
      <c r="T192" s="31"/>
      <c r="U192" s="31"/>
      <c r="V192" s="3"/>
      <c r="W192" s="3"/>
      <c r="X192" s="3"/>
      <c r="Y192" s="3"/>
      <c r="Z192" s="3"/>
      <c r="AA192" s="32" t="s">
        <v>1717</v>
      </c>
      <c r="AB192" s="32"/>
    </row>
    <row r="193" spans="1:28" ht="15">
      <c r="D193" s="3"/>
      <c r="E193" s="32" t="s">
        <v>2526</v>
      </c>
      <c r="F193" s="32"/>
      <c r="G193" s="32"/>
      <c r="H193" s="32"/>
      <c r="I193" s="32"/>
      <c r="J193" s="32"/>
      <c r="K193" s="32"/>
      <c r="L193" s="32"/>
      <c r="M193" s="32"/>
      <c r="N193" s="32"/>
      <c r="O193" s="32" t="s">
        <v>2527</v>
      </c>
      <c r="P193" s="32"/>
      <c r="Q193" s="32" t="s">
        <v>1718</v>
      </c>
      <c r="R193" s="34"/>
      <c r="S193" s="34"/>
      <c r="T193" s="34"/>
      <c r="U193" s="432" t="s">
        <v>1718</v>
      </c>
      <c r="V193" s="32"/>
      <c r="W193" s="432" t="s">
        <v>1718</v>
      </c>
      <c r="X193" s="32"/>
      <c r="Y193" s="432" t="s">
        <v>1718</v>
      </c>
      <c r="Z193" s="32"/>
      <c r="AA193" s="32" t="s">
        <v>2527</v>
      </c>
      <c r="AB193" s="4"/>
    </row>
    <row r="194" spans="1:28" ht="15">
      <c r="D194" s="31"/>
      <c r="E194" s="33" t="s">
        <v>2</v>
      </c>
      <c r="F194" s="31"/>
      <c r="G194" s="26"/>
      <c r="H194" s="31"/>
      <c r="I194" s="26"/>
      <c r="J194" s="31"/>
      <c r="K194" s="33" t="s">
        <v>3</v>
      </c>
      <c r="L194" s="31"/>
      <c r="M194" s="26"/>
      <c r="N194" s="31"/>
      <c r="O194" s="33" t="s">
        <v>4</v>
      </c>
      <c r="P194" s="31"/>
      <c r="Q194" s="33" t="s">
        <v>4</v>
      </c>
      <c r="R194" s="31"/>
      <c r="S194" s="432" t="s">
        <v>1718</v>
      </c>
      <c r="T194" s="31"/>
      <c r="U194" s="516" t="s">
        <v>5</v>
      </c>
      <c r="V194" s="31"/>
      <c r="W194" s="231" t="s">
        <v>1204</v>
      </c>
      <c r="X194" s="5"/>
      <c r="Y194" s="231" t="s">
        <v>11</v>
      </c>
      <c r="Z194" s="5"/>
      <c r="AA194" s="6" t="s">
        <v>4</v>
      </c>
      <c r="AB194" s="6"/>
    </row>
    <row r="195" spans="1:28">
      <c r="D195" s="5"/>
      <c r="E195" s="35" t="s">
        <v>6</v>
      </c>
      <c r="F195" s="31"/>
      <c r="G195" s="35" t="s">
        <v>7</v>
      </c>
      <c r="H195" s="31"/>
      <c r="I195" s="35" t="s">
        <v>8</v>
      </c>
      <c r="J195" s="31"/>
      <c r="K195" s="35" t="s">
        <v>9</v>
      </c>
      <c r="L195" s="31"/>
      <c r="M195" s="35" t="s">
        <v>10</v>
      </c>
      <c r="N195" s="31"/>
      <c r="O195" s="35" t="s">
        <v>6</v>
      </c>
      <c r="P195" s="31"/>
      <c r="Q195" s="35" t="s">
        <v>6</v>
      </c>
      <c r="R195" s="5"/>
      <c r="S195" s="35" t="s">
        <v>11</v>
      </c>
      <c r="T195" s="5"/>
      <c r="U195" s="35" t="s">
        <v>12</v>
      </c>
      <c r="V195" s="31"/>
      <c r="W195" s="10" t="s">
        <v>1205</v>
      </c>
      <c r="X195" s="5"/>
      <c r="Y195" s="10" t="s">
        <v>2187</v>
      </c>
      <c r="Z195" s="5"/>
      <c r="AA195" s="10" t="s">
        <v>6</v>
      </c>
      <c r="AB195" s="10" t="s">
        <v>13</v>
      </c>
    </row>
    <row r="196" spans="1:28">
      <c r="D196" s="8" t="s">
        <v>14</v>
      </c>
      <c r="E196" s="36"/>
      <c r="F196" s="31"/>
      <c r="G196" s="36"/>
      <c r="H196" s="31"/>
      <c r="I196" s="36"/>
      <c r="J196" s="31"/>
      <c r="K196" s="36"/>
      <c r="L196" s="31"/>
      <c r="M196" s="36"/>
      <c r="N196" s="31"/>
      <c r="O196" s="36"/>
      <c r="P196" s="31"/>
      <c r="Q196" s="36"/>
      <c r="R196" s="5"/>
      <c r="S196" s="5"/>
      <c r="T196" s="5"/>
      <c r="U196" s="5"/>
      <c r="V196" s="31"/>
      <c r="W196" s="36"/>
      <c r="X196" s="31"/>
      <c r="Y196" s="36"/>
      <c r="Z196" s="31"/>
      <c r="AA196" s="36"/>
      <c r="AB196" s="36"/>
    </row>
    <row r="197" spans="1:28">
      <c r="D197" s="34" t="s">
        <v>15</v>
      </c>
      <c r="E197" s="26"/>
      <c r="F197" s="31"/>
      <c r="G197" s="26"/>
      <c r="H197" s="31"/>
      <c r="I197" s="26"/>
      <c r="J197" s="31"/>
      <c r="K197" s="26"/>
      <c r="L197" s="31"/>
      <c r="M197" s="26"/>
      <c r="N197" s="31"/>
      <c r="O197" s="26"/>
      <c r="P197" s="31"/>
      <c r="Q197" s="26"/>
      <c r="R197" s="5"/>
      <c r="S197" s="5"/>
      <c r="T197" s="5"/>
      <c r="U197" s="5"/>
      <c r="V197" s="31"/>
      <c r="W197" s="26"/>
      <c r="X197" s="31"/>
      <c r="Y197" s="26"/>
      <c r="Z197" s="31"/>
      <c r="AA197" s="26"/>
      <c r="AB197" s="26"/>
    </row>
    <row r="198" spans="1:28">
      <c r="D198" s="34" t="s">
        <v>3423</v>
      </c>
      <c r="E198" s="26"/>
      <c r="F198" s="37"/>
      <c r="G198" s="26"/>
      <c r="H198" s="37"/>
      <c r="I198" s="26"/>
      <c r="J198" s="37"/>
      <c r="K198" s="26"/>
      <c r="L198" s="37"/>
      <c r="M198" s="26"/>
      <c r="N198" s="37"/>
      <c r="O198" s="26"/>
      <c r="P198" s="37"/>
      <c r="Q198" s="26"/>
      <c r="R198" s="37"/>
      <c r="S198" s="31"/>
      <c r="T198" s="31"/>
      <c r="U198" s="31"/>
      <c r="V198" s="37"/>
      <c r="W198" s="26"/>
      <c r="X198" s="37"/>
      <c r="Y198" s="26"/>
      <c r="Z198" s="37"/>
      <c r="AA198" s="26"/>
      <c r="AB198" s="26"/>
    </row>
    <row r="199" spans="1:28">
      <c r="A199" s="2" t="s">
        <v>101</v>
      </c>
      <c r="B199" s="2" t="s">
        <v>3416</v>
      </c>
      <c r="C199" s="2" t="str">
        <f t="shared" ref="C199:C209" si="11">MID(D199,2,3)</f>
        <v>360</v>
      </c>
      <c r="D199" s="31" t="s">
        <v>102</v>
      </c>
      <c r="E199" s="26">
        <v>313284.18999999901</v>
      </c>
      <c r="F199" s="37"/>
      <c r="G199" s="26">
        <v>0</v>
      </c>
      <c r="H199" s="37"/>
      <c r="I199" s="26">
        <v>0</v>
      </c>
      <c r="J199" s="37"/>
      <c r="K199" s="26">
        <v>0</v>
      </c>
      <c r="L199" s="37"/>
      <c r="M199" s="26">
        <v>0</v>
      </c>
      <c r="N199" s="37"/>
      <c r="O199" s="26">
        <v>313284.18999999901</v>
      </c>
      <c r="P199" s="37"/>
      <c r="Q199" s="26">
        <v>313284.18999999901</v>
      </c>
      <c r="R199" s="37"/>
      <c r="S199" s="38">
        <v>-70156.780000000013</v>
      </c>
      <c r="T199" s="31"/>
      <c r="U199" s="38">
        <v>243127.40999999898</v>
      </c>
      <c r="V199" s="37"/>
      <c r="W199" s="17">
        <v>0</v>
      </c>
      <c r="X199" s="18"/>
      <c r="Y199" s="17">
        <v>-70156.780000000013</v>
      </c>
      <c r="Z199" s="18"/>
      <c r="AA199" s="17">
        <v>313284.18999999901</v>
      </c>
      <c r="AB199" s="17">
        <v>0</v>
      </c>
    </row>
    <row r="200" spans="1:28">
      <c r="A200" s="2" t="s">
        <v>101</v>
      </c>
      <c r="B200" s="2" t="s">
        <v>3416</v>
      </c>
      <c r="D200" s="31" t="s">
        <v>18</v>
      </c>
      <c r="E200" s="26">
        <v>0</v>
      </c>
      <c r="F200" s="37"/>
      <c r="G200" s="26">
        <v>0</v>
      </c>
      <c r="H200" s="37"/>
      <c r="I200" s="26">
        <v>0</v>
      </c>
      <c r="J200" s="37"/>
      <c r="K200" s="26">
        <v>0</v>
      </c>
      <c r="L200" s="37"/>
      <c r="M200" s="26">
        <v>0</v>
      </c>
      <c r="N200" s="37"/>
      <c r="O200" s="26">
        <v>0</v>
      </c>
      <c r="P200" s="37"/>
      <c r="Q200" s="26">
        <v>0</v>
      </c>
      <c r="R200" s="37"/>
      <c r="S200" s="38">
        <v>0</v>
      </c>
      <c r="T200" s="31"/>
      <c r="U200" s="38">
        <v>0</v>
      </c>
      <c r="V200" s="37"/>
      <c r="W200" s="26">
        <v>0</v>
      </c>
      <c r="X200" s="37"/>
      <c r="Y200" s="26">
        <v>0</v>
      </c>
      <c r="Z200" s="37"/>
      <c r="AA200" s="26">
        <v>0</v>
      </c>
      <c r="AB200" s="26">
        <v>0</v>
      </c>
    </row>
    <row r="201" spans="1:28">
      <c r="A201" s="2" t="s">
        <v>101</v>
      </c>
      <c r="B201" s="2" t="s">
        <v>3416</v>
      </c>
      <c r="C201" s="2" t="str">
        <f t="shared" si="11"/>
        <v>361</v>
      </c>
      <c r="D201" s="31" t="s">
        <v>19</v>
      </c>
      <c r="E201" s="26">
        <v>767594.02317000006</v>
      </c>
      <c r="F201" s="37"/>
      <c r="G201" s="26">
        <v>0</v>
      </c>
      <c r="H201" s="37"/>
      <c r="I201" s="26">
        <v>0</v>
      </c>
      <c r="J201" s="37"/>
      <c r="K201" s="26">
        <v>0</v>
      </c>
      <c r="L201" s="37"/>
      <c r="M201" s="26">
        <v>0</v>
      </c>
      <c r="N201" s="37"/>
      <c r="O201" s="26">
        <v>767594.02317000006</v>
      </c>
      <c r="P201" s="37"/>
      <c r="Q201" s="26">
        <v>767594.02317000006</v>
      </c>
      <c r="R201" s="37"/>
      <c r="S201" s="38">
        <v>-160643.45000000001</v>
      </c>
      <c r="T201" s="31"/>
      <c r="U201" s="38">
        <v>606950.57316999999</v>
      </c>
      <c r="V201" s="37"/>
      <c r="W201" s="26">
        <v>0</v>
      </c>
      <c r="X201" s="37"/>
      <c r="Y201" s="26">
        <v>-160643.45000000001</v>
      </c>
      <c r="Z201" s="37"/>
      <c r="AA201" s="26">
        <v>767594.02317000006</v>
      </c>
      <c r="AB201" s="26">
        <v>0</v>
      </c>
    </row>
    <row r="202" spans="1:28" s="9" customFormat="1">
      <c r="A202" s="2" t="s">
        <v>101</v>
      </c>
      <c r="B202" s="2" t="s">
        <v>3416</v>
      </c>
      <c r="C202" s="2" t="str">
        <f t="shared" si="11"/>
        <v>362</v>
      </c>
      <c r="D202" s="31" t="s">
        <v>20</v>
      </c>
      <c r="E202" s="26">
        <v>8513231.9299999997</v>
      </c>
      <c r="F202" s="37"/>
      <c r="G202" s="26">
        <v>0</v>
      </c>
      <c r="H202" s="37"/>
      <c r="I202" s="26">
        <v>0</v>
      </c>
      <c r="J202" s="37"/>
      <c r="K202" s="26">
        <v>0</v>
      </c>
      <c r="L202" s="37"/>
      <c r="M202" s="26">
        <v>0</v>
      </c>
      <c r="N202" s="37"/>
      <c r="O202" s="26">
        <v>8513231.9299999997</v>
      </c>
      <c r="P202" s="37"/>
      <c r="Q202" s="26">
        <v>8513231.9299999978</v>
      </c>
      <c r="R202" s="37"/>
      <c r="S202" s="38">
        <v>-3473443.7499999888</v>
      </c>
      <c r="T202" s="31"/>
      <c r="U202" s="38">
        <v>5039788.180000009</v>
      </c>
      <c r="V202" s="37"/>
      <c r="W202" s="26">
        <v>0</v>
      </c>
      <c r="X202" s="37"/>
      <c r="Y202" s="26">
        <v>-3473443.7499999888</v>
      </c>
      <c r="Z202" s="37"/>
      <c r="AA202" s="26">
        <v>8513231.9299999997</v>
      </c>
      <c r="AB202" s="26">
        <v>0</v>
      </c>
    </row>
    <row r="203" spans="1:28">
      <c r="A203" s="2" t="s">
        <v>101</v>
      </c>
      <c r="B203" s="2" t="s">
        <v>3416</v>
      </c>
      <c r="C203" s="2" t="str">
        <f t="shared" si="11"/>
        <v>364</v>
      </c>
      <c r="D203" s="31" t="s">
        <v>21</v>
      </c>
      <c r="E203" s="26">
        <v>30518263.4926681</v>
      </c>
      <c r="F203" s="37"/>
      <c r="G203" s="26">
        <v>366674.23092499998</v>
      </c>
      <c r="H203" s="37"/>
      <c r="I203" s="26">
        <v>0</v>
      </c>
      <c r="J203" s="37"/>
      <c r="K203" s="26">
        <v>0</v>
      </c>
      <c r="L203" s="37"/>
      <c r="M203" s="26">
        <v>366674.23092499998</v>
      </c>
      <c r="N203" s="37"/>
      <c r="O203" s="26">
        <v>30884937.723593101</v>
      </c>
      <c r="P203" s="37"/>
      <c r="Q203" s="26">
        <v>30706197.138817247</v>
      </c>
      <c r="R203" s="37"/>
      <c r="S203" s="38">
        <v>-13757068.046228461</v>
      </c>
      <c r="T203" s="31"/>
      <c r="U203" s="38">
        <v>16949129.092588786</v>
      </c>
      <c r="V203" s="37"/>
      <c r="W203" s="26">
        <v>271.2519155430183</v>
      </c>
      <c r="X203" s="37"/>
      <c r="Y203" s="26">
        <v>-13756796.794312919</v>
      </c>
      <c r="Z203" s="37"/>
      <c r="AA203" s="26">
        <v>30884937.723593097</v>
      </c>
      <c r="AB203" s="26">
        <v>0</v>
      </c>
    </row>
    <row r="204" spans="1:28">
      <c r="A204" s="2" t="s">
        <v>101</v>
      </c>
      <c r="B204" s="2" t="s">
        <v>3416</v>
      </c>
      <c r="C204" s="2" t="str">
        <f t="shared" si="11"/>
        <v>365</v>
      </c>
      <c r="D204" s="31" t="s">
        <v>22</v>
      </c>
      <c r="E204" s="26">
        <v>28401346.43378</v>
      </c>
      <c r="F204" s="37"/>
      <c r="G204" s="26">
        <v>1582915.8570839972</v>
      </c>
      <c r="H204" s="37"/>
      <c r="I204" s="26">
        <v>0</v>
      </c>
      <c r="J204" s="37"/>
      <c r="K204" s="26">
        <v>0</v>
      </c>
      <c r="L204" s="37"/>
      <c r="M204" s="26">
        <v>1582915.8570839972</v>
      </c>
      <c r="N204" s="37"/>
      <c r="O204" s="26">
        <v>29984262.290863998</v>
      </c>
      <c r="P204" s="37"/>
      <c r="Q204" s="26">
        <v>29286126.704622615</v>
      </c>
      <c r="R204" s="37"/>
      <c r="S204" s="38">
        <v>-9101078.0748356432</v>
      </c>
      <c r="T204" s="31"/>
      <c r="U204" s="38">
        <v>20185048.629786972</v>
      </c>
      <c r="V204" s="37"/>
      <c r="W204" s="26">
        <v>1170.9820929992663</v>
      </c>
      <c r="X204" s="37"/>
      <c r="Y204" s="26">
        <v>-9099907.0927426443</v>
      </c>
      <c r="Z204" s="37"/>
      <c r="AA204" s="26">
        <v>29984262.290864002</v>
      </c>
      <c r="AB204" s="26">
        <v>0</v>
      </c>
    </row>
    <row r="205" spans="1:28">
      <c r="A205" s="2" t="s">
        <v>101</v>
      </c>
      <c r="B205" s="2" t="s">
        <v>3416</v>
      </c>
      <c r="C205" s="2" t="str">
        <f t="shared" si="11"/>
        <v>366</v>
      </c>
      <c r="D205" s="5" t="s">
        <v>23</v>
      </c>
      <c r="E205" s="7">
        <v>0</v>
      </c>
      <c r="F205" s="39"/>
      <c r="G205" s="7">
        <v>0</v>
      </c>
      <c r="H205" s="39"/>
      <c r="I205" s="7">
        <v>0</v>
      </c>
      <c r="J205" s="39"/>
      <c r="K205" s="7">
        <v>0</v>
      </c>
      <c r="L205" s="39"/>
      <c r="M205" s="7">
        <v>0</v>
      </c>
      <c r="N205" s="39"/>
      <c r="O205" s="7">
        <v>0</v>
      </c>
      <c r="P205" s="39"/>
      <c r="Q205" s="7">
        <v>0</v>
      </c>
      <c r="R205" s="39"/>
      <c r="S205" s="13">
        <v>0</v>
      </c>
      <c r="T205" s="5"/>
      <c r="U205" s="13">
        <v>0</v>
      </c>
      <c r="V205" s="39"/>
      <c r="W205" s="7">
        <v>0</v>
      </c>
      <c r="X205" s="39"/>
      <c r="Y205" s="7">
        <v>0</v>
      </c>
      <c r="Z205" s="39"/>
      <c r="AA205" s="7">
        <v>0</v>
      </c>
      <c r="AB205" s="7">
        <v>0</v>
      </c>
    </row>
    <row r="206" spans="1:28">
      <c r="A206" s="2" t="s">
        <v>101</v>
      </c>
      <c r="B206" s="2" t="s">
        <v>3416</v>
      </c>
      <c r="C206" s="2" t="str">
        <f t="shared" si="11"/>
        <v>367</v>
      </c>
      <c r="D206" s="31" t="s">
        <v>24</v>
      </c>
      <c r="E206" s="26">
        <v>4856862.9063525004</v>
      </c>
      <c r="F206" s="37"/>
      <c r="G206" s="26">
        <v>517430.12952549988</v>
      </c>
      <c r="H206" s="37"/>
      <c r="I206" s="26">
        <v>0</v>
      </c>
      <c r="J206" s="37"/>
      <c r="K206" s="26">
        <v>0</v>
      </c>
      <c r="L206" s="37"/>
      <c r="M206" s="26">
        <v>517430.12952549988</v>
      </c>
      <c r="N206" s="37"/>
      <c r="O206" s="26">
        <v>5374293.0358780008</v>
      </c>
      <c r="P206" s="37"/>
      <c r="Q206" s="26">
        <v>5120978.2345003467</v>
      </c>
      <c r="R206" s="37"/>
      <c r="S206" s="38">
        <v>-831436.79050512216</v>
      </c>
      <c r="T206" s="31"/>
      <c r="U206" s="38">
        <v>4289541.4439952243</v>
      </c>
      <c r="V206" s="37"/>
      <c r="W206" s="26">
        <v>382.77550467453511</v>
      </c>
      <c r="X206" s="37"/>
      <c r="Y206" s="26">
        <v>-831054.01500044763</v>
      </c>
      <c r="Z206" s="37"/>
      <c r="AA206" s="26">
        <v>5374293.0358780008</v>
      </c>
      <c r="AB206" s="26">
        <v>0</v>
      </c>
    </row>
    <row r="207" spans="1:28">
      <c r="A207" s="2" t="s">
        <v>101</v>
      </c>
      <c r="B207" s="2" t="s">
        <v>3416</v>
      </c>
      <c r="C207" s="2" t="str">
        <f t="shared" si="11"/>
        <v>368</v>
      </c>
      <c r="D207" s="31" t="s">
        <v>25</v>
      </c>
      <c r="E207" s="26">
        <v>11144005.80054</v>
      </c>
      <c r="F207" s="37"/>
      <c r="G207" s="26">
        <v>57827.123305999987</v>
      </c>
      <c r="H207" s="37"/>
      <c r="I207" s="26">
        <v>0</v>
      </c>
      <c r="J207" s="37"/>
      <c r="K207" s="26">
        <v>0</v>
      </c>
      <c r="L207" s="37"/>
      <c r="M207" s="26">
        <v>57827.123305999987</v>
      </c>
      <c r="N207" s="37"/>
      <c r="O207" s="26">
        <v>11201832.923846001</v>
      </c>
      <c r="P207" s="37"/>
      <c r="Q207" s="26">
        <v>11174524.054247307</v>
      </c>
      <c r="R207" s="37"/>
      <c r="S207" s="38">
        <v>-5687751.5974522233</v>
      </c>
      <c r="T207" s="31"/>
      <c r="U207" s="38">
        <v>5486772.4567950834</v>
      </c>
      <c r="V207" s="37"/>
      <c r="W207" s="26">
        <v>42.77834831077395</v>
      </c>
      <c r="X207" s="37"/>
      <c r="Y207" s="26">
        <v>-5687708.8191039125</v>
      </c>
      <c r="Z207" s="37"/>
      <c r="AA207" s="26">
        <v>11201832.923845999</v>
      </c>
      <c r="AB207" s="26">
        <v>0</v>
      </c>
    </row>
    <row r="208" spans="1:28">
      <c r="A208" s="2" t="s">
        <v>101</v>
      </c>
      <c r="B208" s="2" t="s">
        <v>3416</v>
      </c>
      <c r="C208" s="2" t="str">
        <f t="shared" si="11"/>
        <v>369</v>
      </c>
      <c r="D208" s="31" t="s">
        <v>26</v>
      </c>
      <c r="E208" s="26">
        <v>5852947.5300000003</v>
      </c>
      <c r="F208" s="37"/>
      <c r="G208" s="26">
        <v>0</v>
      </c>
      <c r="H208" s="37"/>
      <c r="I208" s="26">
        <v>0</v>
      </c>
      <c r="J208" s="37"/>
      <c r="K208" s="26">
        <v>0</v>
      </c>
      <c r="L208" s="37"/>
      <c r="M208" s="26">
        <v>0</v>
      </c>
      <c r="N208" s="37"/>
      <c r="O208" s="26">
        <v>5852947.5300000003</v>
      </c>
      <c r="P208" s="37"/>
      <c r="Q208" s="26">
        <v>5852947.5299999993</v>
      </c>
      <c r="R208" s="37"/>
      <c r="S208" s="38">
        <v>-4440060.3599999892</v>
      </c>
      <c r="T208" s="31"/>
      <c r="U208" s="38">
        <v>1412887.1700000102</v>
      </c>
      <c r="V208" s="37"/>
      <c r="W208" s="26">
        <v>0</v>
      </c>
      <c r="X208" s="37"/>
      <c r="Y208" s="26">
        <v>-4440060.3599999892</v>
      </c>
      <c r="Z208" s="37"/>
      <c r="AA208" s="26">
        <v>5852947.5300000003</v>
      </c>
      <c r="AB208" s="26">
        <v>0</v>
      </c>
    </row>
    <row r="209" spans="1:28">
      <c r="A209" s="2" t="s">
        <v>101</v>
      </c>
      <c r="B209" s="2" t="s">
        <v>3416</v>
      </c>
      <c r="C209" s="2" t="str">
        <f t="shared" si="11"/>
        <v>370</v>
      </c>
      <c r="D209" s="31" t="s">
        <v>27</v>
      </c>
      <c r="E209" s="26">
        <v>3783545.2</v>
      </c>
      <c r="F209" s="37"/>
      <c r="G209" s="26">
        <v>0</v>
      </c>
      <c r="H209" s="37"/>
      <c r="I209" s="26">
        <v>0</v>
      </c>
      <c r="J209" s="37"/>
      <c r="K209" s="26">
        <v>0</v>
      </c>
      <c r="L209" s="37"/>
      <c r="M209" s="26">
        <v>0</v>
      </c>
      <c r="N209" s="37"/>
      <c r="O209" s="26">
        <v>3783545.2</v>
      </c>
      <c r="P209" s="37"/>
      <c r="Q209" s="26">
        <v>3783545.2</v>
      </c>
      <c r="R209" s="37"/>
      <c r="S209" s="38">
        <v>-2815344.52999999</v>
      </c>
      <c r="T209" s="31"/>
      <c r="U209" s="38">
        <v>968200.67000001017</v>
      </c>
      <c r="V209" s="37"/>
      <c r="W209" s="26">
        <v>0</v>
      </c>
      <c r="X209" s="37"/>
      <c r="Y209" s="26">
        <v>-2815344.52999999</v>
      </c>
      <c r="Z209" s="37"/>
      <c r="AA209" s="26">
        <v>3783545.2</v>
      </c>
      <c r="AB209" s="26">
        <v>0</v>
      </c>
    </row>
    <row r="210" spans="1:28">
      <c r="A210" s="9" t="s">
        <v>101</v>
      </c>
      <c r="B210" s="2" t="s">
        <v>3416</v>
      </c>
      <c r="C210" s="9"/>
      <c r="D210" s="5" t="s">
        <v>2486</v>
      </c>
      <c r="E210" s="7">
        <v>0</v>
      </c>
      <c r="F210" s="39"/>
      <c r="G210" s="7">
        <v>0</v>
      </c>
      <c r="H210" s="39"/>
      <c r="I210" s="7">
        <v>0</v>
      </c>
      <c r="J210" s="39"/>
      <c r="K210" s="7">
        <v>0</v>
      </c>
      <c r="L210" s="39"/>
      <c r="M210" s="7">
        <v>0</v>
      </c>
      <c r="N210" s="39"/>
      <c r="O210" s="7">
        <v>0</v>
      </c>
      <c r="P210" s="39"/>
      <c r="Q210" s="7">
        <v>0</v>
      </c>
      <c r="R210" s="39"/>
      <c r="S210" s="13">
        <v>0</v>
      </c>
      <c r="T210" s="5"/>
      <c r="U210" s="13">
        <v>0</v>
      </c>
      <c r="V210" s="39"/>
      <c r="W210" s="7">
        <v>0</v>
      </c>
      <c r="X210" s="39"/>
      <c r="Y210" s="7">
        <v>0</v>
      </c>
      <c r="Z210" s="39"/>
      <c r="AA210" s="7">
        <v>0</v>
      </c>
      <c r="AB210" s="7">
        <v>0</v>
      </c>
    </row>
    <row r="211" spans="1:28">
      <c r="A211" s="2" t="s">
        <v>101</v>
      </c>
      <c r="B211" s="2" t="s">
        <v>3416</v>
      </c>
      <c r="C211" s="2" t="str">
        <f t="shared" ref="C211:C212" si="12">MID(D211,2,3)</f>
        <v>371</v>
      </c>
      <c r="D211" s="31" t="s">
        <v>28</v>
      </c>
      <c r="E211" s="26">
        <v>0</v>
      </c>
      <c r="F211" s="40"/>
      <c r="G211" s="26">
        <v>0</v>
      </c>
      <c r="H211" s="40"/>
      <c r="I211" s="26">
        <v>0</v>
      </c>
      <c r="J211" s="40"/>
      <c r="K211" s="26">
        <v>0</v>
      </c>
      <c r="L211" s="40"/>
      <c r="M211" s="24">
        <v>0</v>
      </c>
      <c r="N211" s="40"/>
      <c r="O211" s="24">
        <v>0</v>
      </c>
      <c r="P211" s="40"/>
      <c r="Q211" s="24">
        <v>0</v>
      </c>
      <c r="R211" s="37"/>
      <c r="S211" s="38">
        <v>0</v>
      </c>
      <c r="T211" s="31"/>
      <c r="U211" s="38">
        <v>0</v>
      </c>
      <c r="V211" s="40"/>
      <c r="W211" s="26">
        <v>0</v>
      </c>
      <c r="X211" s="40"/>
      <c r="Y211" s="26">
        <v>0</v>
      </c>
      <c r="Z211" s="40"/>
      <c r="AA211" s="26">
        <v>0</v>
      </c>
      <c r="AB211" s="26">
        <v>0</v>
      </c>
    </row>
    <row r="212" spans="1:28">
      <c r="A212" s="2" t="s">
        <v>101</v>
      </c>
      <c r="B212" s="2" t="s">
        <v>3416</v>
      </c>
      <c r="C212" s="2" t="str">
        <f t="shared" si="12"/>
        <v>373</v>
      </c>
      <c r="D212" s="31" t="s">
        <v>29</v>
      </c>
      <c r="E212" s="41">
        <v>3888961.6964757903</v>
      </c>
      <c r="F212" s="40"/>
      <c r="G212" s="41">
        <v>203753.4975599999</v>
      </c>
      <c r="H212" s="40"/>
      <c r="I212" s="41">
        <v>0</v>
      </c>
      <c r="J212" s="40"/>
      <c r="K212" s="41">
        <v>0</v>
      </c>
      <c r="L212" s="40"/>
      <c r="M212" s="41">
        <v>203753.4975599999</v>
      </c>
      <c r="N212" s="40"/>
      <c r="O212" s="41">
        <v>4092715.1940357904</v>
      </c>
      <c r="P212" s="40"/>
      <c r="Q212" s="41">
        <v>3991840.8131227978</v>
      </c>
      <c r="R212" s="37"/>
      <c r="S212" s="42">
        <v>-1940729.6536686153</v>
      </c>
      <c r="T212" s="31"/>
      <c r="U212" s="42">
        <v>2051111.1594541825</v>
      </c>
      <c r="V212" s="40"/>
      <c r="W212" s="41">
        <v>150.72923551871955</v>
      </c>
      <c r="X212" s="40"/>
      <c r="Y212" s="41">
        <v>-1940578.9244330965</v>
      </c>
      <c r="Z212" s="40"/>
      <c r="AA212" s="41">
        <v>4092715.1940357997</v>
      </c>
      <c r="AB212" s="41">
        <v>9.3132257461547852E-9</v>
      </c>
    </row>
    <row r="213" spans="1:28">
      <c r="B213" s="2" t="s">
        <v>3416</v>
      </c>
      <c r="D213" s="31"/>
      <c r="E213" s="24">
        <v>98040043.202986404</v>
      </c>
      <c r="F213" s="40"/>
      <c r="G213" s="24">
        <v>2728600.8384004976</v>
      </c>
      <c r="H213" s="40"/>
      <c r="I213" s="24">
        <v>0</v>
      </c>
      <c r="J213" s="40"/>
      <c r="K213" s="24">
        <v>0</v>
      </c>
      <c r="L213" s="40"/>
      <c r="M213" s="24">
        <v>2728600.8384004976</v>
      </c>
      <c r="N213" s="40"/>
      <c r="O213" s="24">
        <v>100768644.0413869</v>
      </c>
      <c r="P213" s="40"/>
      <c r="Q213" s="24">
        <v>99510269.818480313</v>
      </c>
      <c r="R213" s="37"/>
      <c r="S213" s="24">
        <v>-42277713.032690033</v>
      </c>
      <c r="T213" s="31"/>
      <c r="U213" s="24">
        <v>57232556.785790265</v>
      </c>
      <c r="V213" s="40"/>
      <c r="W213" s="17">
        <v>2018.5170970463137</v>
      </c>
      <c r="X213" s="40"/>
      <c r="Y213" s="24">
        <v>-42275694.515592992</v>
      </c>
      <c r="Z213" s="40">
        <v>0</v>
      </c>
      <c r="AA213" s="24">
        <v>100768644.04138692</v>
      </c>
      <c r="AB213" s="24">
        <v>9.3132257461547852E-9</v>
      </c>
    </row>
    <row r="214" spans="1:28">
      <c r="B214" s="2" t="s">
        <v>3416</v>
      </c>
      <c r="D214" s="31"/>
      <c r="E214" s="24"/>
      <c r="F214" s="40"/>
      <c r="G214" s="24"/>
      <c r="H214" s="40"/>
      <c r="I214" s="24"/>
      <c r="J214" s="40"/>
      <c r="K214" s="24"/>
      <c r="L214" s="40"/>
      <c r="M214" s="24"/>
      <c r="N214" s="40"/>
      <c r="O214" s="24"/>
      <c r="P214" s="40"/>
      <c r="Q214" s="24"/>
      <c r="R214" s="37"/>
      <c r="S214" s="31"/>
      <c r="T214" s="31"/>
      <c r="U214" s="31"/>
      <c r="V214" s="40"/>
      <c r="W214" s="24"/>
      <c r="X214" s="40"/>
      <c r="Y214" s="24"/>
      <c r="Z214" s="40"/>
      <c r="AA214" s="24"/>
      <c r="AB214" s="24"/>
    </row>
    <row r="215" spans="1:28">
      <c r="B215" s="2" t="s">
        <v>3416</v>
      </c>
      <c r="D215" s="34" t="s">
        <v>3424</v>
      </c>
      <c r="E215" s="24"/>
      <c r="F215" s="40"/>
      <c r="G215" s="24"/>
      <c r="H215" s="40"/>
      <c r="I215" s="24"/>
      <c r="J215" s="40"/>
      <c r="K215" s="24"/>
      <c r="L215" s="40"/>
      <c r="M215" s="24"/>
      <c r="N215" s="40"/>
      <c r="O215" s="24"/>
      <c r="P215" s="40"/>
      <c r="Q215" s="24"/>
      <c r="R215" s="37"/>
      <c r="S215" s="31"/>
      <c r="T215" s="31"/>
      <c r="U215" s="31"/>
      <c r="V215" s="40"/>
      <c r="W215" s="24"/>
      <c r="X215" s="40"/>
      <c r="Y215" s="24"/>
      <c r="Z215" s="40"/>
      <c r="AA215" s="24"/>
      <c r="AB215" s="24"/>
    </row>
    <row r="216" spans="1:28">
      <c r="A216" s="2" t="s">
        <v>101</v>
      </c>
      <c r="B216" s="2" t="s">
        <v>3416</v>
      </c>
      <c r="C216" s="2" t="str">
        <f>MID(D216,2,3)</f>
        <v>389</v>
      </c>
      <c r="D216" s="31" t="s">
        <v>33</v>
      </c>
      <c r="E216" s="24">
        <v>987247.70290000003</v>
      </c>
      <c r="F216" s="40"/>
      <c r="G216" s="24">
        <v>0</v>
      </c>
      <c r="H216" s="40"/>
      <c r="I216" s="24">
        <v>0</v>
      </c>
      <c r="J216" s="40"/>
      <c r="K216" s="24">
        <v>0</v>
      </c>
      <c r="L216" s="40"/>
      <c r="M216" s="24">
        <v>0</v>
      </c>
      <c r="N216" s="40"/>
      <c r="O216" s="24">
        <v>987247.70290000003</v>
      </c>
      <c r="P216" s="40"/>
      <c r="Q216" s="24">
        <v>987247.70290000003</v>
      </c>
      <c r="R216" s="37"/>
      <c r="S216" s="38">
        <v>0</v>
      </c>
      <c r="T216" s="31"/>
      <c r="U216" s="38">
        <v>987247.70290000003</v>
      </c>
      <c r="V216" s="40"/>
      <c r="W216" s="17">
        <v>0</v>
      </c>
      <c r="X216" s="18"/>
      <c r="Y216" s="17">
        <v>0</v>
      </c>
      <c r="Z216" s="18"/>
      <c r="AA216" s="17">
        <v>987247.70290000003</v>
      </c>
      <c r="AB216" s="17">
        <v>0</v>
      </c>
    </row>
    <row r="217" spans="1:28">
      <c r="A217" s="2" t="s">
        <v>101</v>
      </c>
      <c r="B217" s="2" t="s">
        <v>3416</v>
      </c>
      <c r="C217" s="2" t="str">
        <f t="shared" ref="C217:C222" si="13">MID(D217,2,3)</f>
        <v>390</v>
      </c>
      <c r="D217" s="31" t="s">
        <v>34</v>
      </c>
      <c r="E217" s="24">
        <v>1160904.0651407999</v>
      </c>
      <c r="F217" s="40"/>
      <c r="G217" s="24">
        <v>4728720.133808</v>
      </c>
      <c r="H217" s="40"/>
      <c r="I217" s="24">
        <v>0</v>
      </c>
      <c r="J217" s="40"/>
      <c r="K217" s="24">
        <v>0</v>
      </c>
      <c r="L217" s="40"/>
      <c r="M217" s="24">
        <v>4728720.133808</v>
      </c>
      <c r="N217" s="40"/>
      <c r="O217" s="24">
        <v>5889624.1989487996</v>
      </c>
      <c r="P217" s="40"/>
      <c r="Q217" s="24">
        <v>4828946.3478504904</v>
      </c>
      <c r="R217" s="37"/>
      <c r="S217" s="38">
        <v>-430349.46384615364</v>
      </c>
      <c r="T217" s="31"/>
      <c r="U217" s="38">
        <v>4398596.8840043368</v>
      </c>
      <c r="V217" s="40"/>
      <c r="W217" s="24">
        <v>0</v>
      </c>
      <c r="X217" s="40"/>
      <c r="Y217" s="24">
        <v>-430349.46384615364</v>
      </c>
      <c r="Z217" s="40"/>
      <c r="AA217" s="24">
        <v>5889624.1989487996</v>
      </c>
      <c r="AB217" s="24">
        <v>0</v>
      </c>
    </row>
    <row r="218" spans="1:28">
      <c r="A218" s="2" t="s">
        <v>101</v>
      </c>
      <c r="B218" s="2" t="s">
        <v>3416</v>
      </c>
      <c r="D218" s="31" t="s">
        <v>103</v>
      </c>
      <c r="E218" s="24">
        <v>0</v>
      </c>
      <c r="F218" s="40"/>
      <c r="G218" s="24">
        <v>0</v>
      </c>
      <c r="H218" s="40"/>
      <c r="I218" s="24">
        <v>0</v>
      </c>
      <c r="J218" s="40"/>
      <c r="K218" s="24">
        <v>0</v>
      </c>
      <c r="L218" s="40"/>
      <c r="M218" s="24">
        <v>0</v>
      </c>
      <c r="N218" s="40"/>
      <c r="O218" s="24">
        <v>0</v>
      </c>
      <c r="P218" s="40"/>
      <c r="Q218" s="24">
        <v>0</v>
      </c>
      <c r="R218" s="37"/>
      <c r="S218" s="38">
        <v>0</v>
      </c>
      <c r="T218" s="31"/>
      <c r="U218" s="38">
        <v>0</v>
      </c>
      <c r="V218" s="40"/>
      <c r="W218" s="24">
        <v>0</v>
      </c>
      <c r="X218" s="40"/>
      <c r="Y218" s="24">
        <v>0</v>
      </c>
      <c r="Z218" s="40"/>
      <c r="AA218" s="24">
        <v>0</v>
      </c>
      <c r="AB218" s="24">
        <v>0</v>
      </c>
    </row>
    <row r="219" spans="1:28">
      <c r="A219" s="2" t="s">
        <v>101</v>
      </c>
      <c r="B219" s="2" t="s">
        <v>3416</v>
      </c>
      <c r="C219" s="2" t="str">
        <f t="shared" si="13"/>
        <v>391</v>
      </c>
      <c r="D219" s="31" t="s">
        <v>36</v>
      </c>
      <c r="E219" s="24">
        <v>0</v>
      </c>
      <c r="F219" s="40"/>
      <c r="G219" s="24">
        <v>0</v>
      </c>
      <c r="H219" s="40"/>
      <c r="I219" s="24">
        <v>0</v>
      </c>
      <c r="J219" s="40"/>
      <c r="K219" s="24">
        <v>0</v>
      </c>
      <c r="L219" s="40"/>
      <c r="M219" s="24">
        <v>0</v>
      </c>
      <c r="N219" s="40"/>
      <c r="O219" s="24">
        <v>0</v>
      </c>
      <c r="P219" s="40"/>
      <c r="Q219" s="24">
        <v>0</v>
      </c>
      <c r="R219" s="37"/>
      <c r="S219" s="38">
        <v>308.65000000000003</v>
      </c>
      <c r="T219" s="31"/>
      <c r="U219" s="38">
        <v>308.65000000000003</v>
      </c>
      <c r="V219" s="40"/>
      <c r="W219" s="24">
        <v>0</v>
      </c>
      <c r="X219" s="40"/>
      <c r="Y219" s="24">
        <v>308.65000000000003</v>
      </c>
      <c r="Z219" s="40"/>
      <c r="AA219" s="24">
        <v>0</v>
      </c>
      <c r="AB219" s="24">
        <v>0</v>
      </c>
    </row>
    <row r="220" spans="1:28">
      <c r="A220" s="2" t="s">
        <v>101</v>
      </c>
      <c r="B220" s="2" t="s">
        <v>3416</v>
      </c>
      <c r="D220" s="31" t="s">
        <v>104</v>
      </c>
      <c r="E220" s="24">
        <v>0</v>
      </c>
      <c r="F220" s="40"/>
      <c r="G220" s="24">
        <v>0</v>
      </c>
      <c r="H220" s="40"/>
      <c r="I220" s="24">
        <v>0</v>
      </c>
      <c r="J220" s="40"/>
      <c r="K220" s="24">
        <v>0</v>
      </c>
      <c r="L220" s="40"/>
      <c r="M220" s="24">
        <v>0</v>
      </c>
      <c r="N220" s="40"/>
      <c r="O220" s="24">
        <v>0</v>
      </c>
      <c r="P220" s="40"/>
      <c r="Q220" s="24">
        <v>0</v>
      </c>
      <c r="R220" s="37"/>
      <c r="S220" s="38">
        <v>0</v>
      </c>
      <c r="T220" s="31"/>
      <c r="U220" s="38">
        <v>0</v>
      </c>
      <c r="V220" s="40"/>
      <c r="W220" s="24">
        <v>0</v>
      </c>
      <c r="X220" s="40"/>
      <c r="Y220" s="24">
        <v>0</v>
      </c>
      <c r="Z220" s="40"/>
      <c r="AA220" s="24">
        <v>0</v>
      </c>
      <c r="AB220" s="24">
        <v>0</v>
      </c>
    </row>
    <row r="221" spans="1:28">
      <c r="A221" s="2" t="s">
        <v>101</v>
      </c>
      <c r="B221" s="2" t="s">
        <v>3416</v>
      </c>
      <c r="C221" s="2" t="str">
        <f t="shared" si="13"/>
        <v>392</v>
      </c>
      <c r="D221" s="31" t="s">
        <v>40</v>
      </c>
      <c r="E221" s="24">
        <v>14946.400000000001</v>
      </c>
      <c r="F221" s="40"/>
      <c r="G221" s="24">
        <v>0</v>
      </c>
      <c r="H221" s="40"/>
      <c r="I221" s="24">
        <v>0</v>
      </c>
      <c r="J221" s="40"/>
      <c r="K221" s="24">
        <v>0</v>
      </c>
      <c r="L221" s="40"/>
      <c r="M221" s="24">
        <v>0</v>
      </c>
      <c r="N221" s="40"/>
      <c r="O221" s="24">
        <v>14946.400000000001</v>
      </c>
      <c r="P221" s="40"/>
      <c r="Q221" s="24">
        <v>14946.400000000001</v>
      </c>
      <c r="R221" s="37"/>
      <c r="S221" s="38">
        <v>-503.07</v>
      </c>
      <c r="T221" s="31"/>
      <c r="U221" s="38">
        <v>14443.330000000002</v>
      </c>
      <c r="V221" s="40"/>
      <c r="W221" s="24">
        <v>0</v>
      </c>
      <c r="X221" s="40"/>
      <c r="Y221" s="24">
        <v>-503.07</v>
      </c>
      <c r="Z221" s="40"/>
      <c r="AA221" s="24">
        <v>14946.400000000001</v>
      </c>
      <c r="AB221" s="24">
        <v>0</v>
      </c>
    </row>
    <row r="222" spans="1:28">
      <c r="A222" s="2" t="s">
        <v>101</v>
      </c>
      <c r="B222" s="2" t="s">
        <v>3416</v>
      </c>
      <c r="C222" s="2" t="str">
        <f t="shared" si="13"/>
        <v>393</v>
      </c>
      <c r="D222" s="31" t="s">
        <v>42</v>
      </c>
      <c r="E222" s="24">
        <v>876.55000000000007</v>
      </c>
      <c r="F222" s="40"/>
      <c r="G222" s="24">
        <v>0</v>
      </c>
      <c r="H222" s="40"/>
      <c r="I222" s="24">
        <v>0</v>
      </c>
      <c r="J222" s="40"/>
      <c r="K222" s="24">
        <v>0</v>
      </c>
      <c r="L222" s="40"/>
      <c r="M222" s="24">
        <v>0</v>
      </c>
      <c r="N222" s="40"/>
      <c r="O222" s="24">
        <v>876.55000000000007</v>
      </c>
      <c r="P222" s="40"/>
      <c r="Q222" s="24">
        <v>876.55000000000007</v>
      </c>
      <c r="R222" s="37"/>
      <c r="S222" s="38">
        <v>-241.34</v>
      </c>
      <c r="T222" s="31"/>
      <c r="U222" s="38">
        <v>635.21</v>
      </c>
      <c r="V222" s="40"/>
      <c r="W222" s="24">
        <v>0</v>
      </c>
      <c r="X222" s="40"/>
      <c r="Y222" s="24">
        <v>-241.34</v>
      </c>
      <c r="Z222" s="40"/>
      <c r="AA222" s="24">
        <v>876.55000000000007</v>
      </c>
      <c r="AB222" s="24">
        <v>0</v>
      </c>
    </row>
    <row r="223" spans="1:28" s="9" customFormat="1">
      <c r="A223" s="2" t="s">
        <v>101</v>
      </c>
      <c r="B223" s="2" t="s">
        <v>3416</v>
      </c>
      <c r="C223" s="2" t="str">
        <f>MID(D223,2,3)</f>
        <v>394</v>
      </c>
      <c r="D223" s="31" t="s">
        <v>43</v>
      </c>
      <c r="E223" s="24">
        <v>680439.66995649994</v>
      </c>
      <c r="F223" s="40"/>
      <c r="G223" s="24">
        <v>39404.871500000001</v>
      </c>
      <c r="H223" s="40"/>
      <c r="I223" s="24">
        <v>-12996.19999999999</v>
      </c>
      <c r="J223" s="40"/>
      <c r="K223" s="24">
        <v>0</v>
      </c>
      <c r="L223" s="40"/>
      <c r="M223" s="24">
        <v>26408.671500000011</v>
      </c>
      <c r="N223" s="40"/>
      <c r="O223" s="24">
        <v>706848.3414565</v>
      </c>
      <c r="P223" s="40"/>
      <c r="Q223" s="24">
        <v>696188.62328265386</v>
      </c>
      <c r="R223" s="37"/>
      <c r="S223" s="38">
        <v>-235348.30307692307</v>
      </c>
      <c r="T223" s="31"/>
      <c r="U223" s="38">
        <v>460840.32020573079</v>
      </c>
      <c r="V223" s="40"/>
      <c r="W223" s="24">
        <v>0</v>
      </c>
      <c r="X223" s="40"/>
      <c r="Y223" s="24">
        <v>-235348.30307692307</v>
      </c>
      <c r="Z223" s="40"/>
      <c r="AA223" s="24">
        <v>706848.3414565</v>
      </c>
      <c r="AB223" s="24">
        <v>0</v>
      </c>
    </row>
    <row r="224" spans="1:28">
      <c r="A224" s="2" t="s">
        <v>101</v>
      </c>
      <c r="B224" s="2" t="s">
        <v>3416</v>
      </c>
      <c r="C224" s="2" t="str">
        <f>MID(D224,2,3)</f>
        <v>395</v>
      </c>
      <c r="D224" s="31" t="s">
        <v>44</v>
      </c>
      <c r="E224" s="24">
        <v>0</v>
      </c>
      <c r="F224" s="40"/>
      <c r="G224" s="24">
        <v>0</v>
      </c>
      <c r="H224" s="40"/>
      <c r="I224" s="24">
        <v>0</v>
      </c>
      <c r="J224" s="40"/>
      <c r="K224" s="24">
        <v>0</v>
      </c>
      <c r="L224" s="40"/>
      <c r="M224" s="24">
        <v>0</v>
      </c>
      <c r="N224" s="40"/>
      <c r="O224" s="24">
        <v>0</v>
      </c>
      <c r="P224" s="40"/>
      <c r="Q224" s="24">
        <v>0</v>
      </c>
      <c r="R224" s="37"/>
      <c r="S224" s="38">
        <v>0</v>
      </c>
      <c r="T224" s="31"/>
      <c r="U224" s="38">
        <v>0</v>
      </c>
      <c r="V224" s="40"/>
      <c r="W224" s="24">
        <v>0</v>
      </c>
      <c r="X224" s="40"/>
      <c r="Y224" s="24">
        <v>0</v>
      </c>
      <c r="Z224" s="40"/>
      <c r="AA224" s="24">
        <v>0</v>
      </c>
      <c r="AB224" s="24">
        <v>0</v>
      </c>
    </row>
    <row r="225" spans="1:28">
      <c r="A225" s="2" t="s">
        <v>101</v>
      </c>
      <c r="B225" s="2" t="s">
        <v>3416</v>
      </c>
      <c r="C225" s="2" t="str">
        <f>MID(D225,2,3)</f>
        <v>396</v>
      </c>
      <c r="D225" s="31" t="s">
        <v>2488</v>
      </c>
      <c r="E225" s="24">
        <v>282277.26</v>
      </c>
      <c r="F225" s="40"/>
      <c r="G225" s="24">
        <v>0</v>
      </c>
      <c r="H225" s="40"/>
      <c r="I225" s="24">
        <v>0</v>
      </c>
      <c r="J225" s="40"/>
      <c r="K225" s="24">
        <v>0</v>
      </c>
      <c r="L225" s="40"/>
      <c r="M225" s="24">
        <v>0</v>
      </c>
      <c r="N225" s="40"/>
      <c r="O225" s="24">
        <v>282277.26</v>
      </c>
      <c r="P225" s="40"/>
      <c r="Q225" s="24">
        <v>282277.25999999995</v>
      </c>
      <c r="R225" s="37"/>
      <c r="S225" s="38">
        <v>-143508.42000000001</v>
      </c>
      <c r="T225" s="31"/>
      <c r="U225" s="38">
        <v>138768.83999999994</v>
      </c>
      <c r="V225" s="40"/>
      <c r="W225" s="24">
        <v>0</v>
      </c>
      <c r="X225" s="40"/>
      <c r="Y225" s="24">
        <v>-143508.42000000001</v>
      </c>
      <c r="Z225" s="40"/>
      <c r="AA225" s="24">
        <v>282277.26</v>
      </c>
      <c r="AB225" s="24">
        <v>0</v>
      </c>
    </row>
    <row r="226" spans="1:28">
      <c r="A226" s="2" t="s">
        <v>101</v>
      </c>
      <c r="B226" s="2" t="s">
        <v>3416</v>
      </c>
      <c r="C226" s="2" t="str">
        <f t="shared" ref="C226:C228" si="14">MID(D226,2,3)</f>
        <v>397</v>
      </c>
      <c r="D226" s="31" t="s">
        <v>2189</v>
      </c>
      <c r="E226" s="24">
        <v>980098.61</v>
      </c>
      <c r="F226" s="40"/>
      <c r="G226" s="24">
        <v>0</v>
      </c>
      <c r="H226" s="40"/>
      <c r="I226" s="24">
        <v>0</v>
      </c>
      <c r="J226" s="40"/>
      <c r="K226" s="24">
        <v>0</v>
      </c>
      <c r="L226" s="40"/>
      <c r="M226" s="24">
        <v>0</v>
      </c>
      <c r="N226" s="40"/>
      <c r="O226" s="24">
        <v>980098.61</v>
      </c>
      <c r="P226" s="40"/>
      <c r="Q226" s="24">
        <v>980098.61000000034</v>
      </c>
      <c r="R226" s="37"/>
      <c r="S226" s="38">
        <v>-764942.36999999895</v>
      </c>
      <c r="T226" s="31"/>
      <c r="U226" s="38">
        <v>215156.24000000139</v>
      </c>
      <c r="V226" s="40"/>
      <c r="W226" s="24">
        <v>0</v>
      </c>
      <c r="X226" s="40"/>
      <c r="Y226" s="24">
        <v>-764942.36999999895</v>
      </c>
      <c r="Z226" s="40"/>
      <c r="AA226" s="24">
        <v>980098.61</v>
      </c>
      <c r="AB226" s="24">
        <v>0</v>
      </c>
    </row>
    <row r="227" spans="1:28">
      <c r="A227" s="2" t="s">
        <v>101</v>
      </c>
      <c r="B227" s="2" t="s">
        <v>3416</v>
      </c>
      <c r="D227" s="5" t="s">
        <v>2190</v>
      </c>
      <c r="E227" s="17">
        <v>0</v>
      </c>
      <c r="F227" s="43"/>
      <c r="G227" s="17">
        <v>0</v>
      </c>
      <c r="H227" s="43"/>
      <c r="I227" s="17">
        <v>0</v>
      </c>
      <c r="J227" s="43"/>
      <c r="K227" s="17">
        <v>0</v>
      </c>
      <c r="L227" s="43"/>
      <c r="M227" s="17">
        <v>0</v>
      </c>
      <c r="N227" s="43"/>
      <c r="O227" s="17">
        <v>0</v>
      </c>
      <c r="P227" s="43"/>
      <c r="Q227" s="17">
        <v>0</v>
      </c>
      <c r="R227" s="39"/>
      <c r="S227" s="13">
        <v>0</v>
      </c>
      <c r="T227" s="5"/>
      <c r="U227" s="13">
        <v>0</v>
      </c>
      <c r="V227" s="43"/>
      <c r="W227" s="17">
        <v>0</v>
      </c>
      <c r="X227" s="43"/>
      <c r="Y227" s="17">
        <v>0</v>
      </c>
      <c r="Z227" s="43"/>
      <c r="AA227" s="17">
        <v>0</v>
      </c>
      <c r="AB227" s="17">
        <v>0</v>
      </c>
    </row>
    <row r="228" spans="1:28">
      <c r="A228" s="2" t="s">
        <v>101</v>
      </c>
      <c r="B228" s="2" t="s">
        <v>3416</v>
      </c>
      <c r="C228" s="2" t="str">
        <f t="shared" si="14"/>
        <v>398</v>
      </c>
      <c r="D228" s="31" t="s">
        <v>46</v>
      </c>
      <c r="E228" s="41">
        <v>0</v>
      </c>
      <c r="F228" s="40"/>
      <c r="G228" s="41">
        <v>0</v>
      </c>
      <c r="H228" s="40"/>
      <c r="I228" s="41">
        <v>0</v>
      </c>
      <c r="J228" s="40"/>
      <c r="K228" s="41">
        <v>0</v>
      </c>
      <c r="L228" s="40"/>
      <c r="M228" s="41">
        <v>0</v>
      </c>
      <c r="N228" s="40"/>
      <c r="O228" s="41">
        <v>0</v>
      </c>
      <c r="P228" s="40"/>
      <c r="Q228" s="41">
        <v>0</v>
      </c>
      <c r="R228" s="37"/>
      <c r="S228" s="42">
        <v>0</v>
      </c>
      <c r="T228" s="31"/>
      <c r="U228" s="42">
        <v>0</v>
      </c>
      <c r="V228" s="40"/>
      <c r="W228" s="41">
        <v>0</v>
      </c>
      <c r="X228" s="40"/>
      <c r="Y228" s="41">
        <v>0</v>
      </c>
      <c r="Z228" s="40"/>
      <c r="AA228" s="41">
        <v>0</v>
      </c>
      <c r="AB228" s="41">
        <v>0</v>
      </c>
    </row>
    <row r="229" spans="1:28">
      <c r="B229" s="2" t="s">
        <v>3416</v>
      </c>
      <c r="D229" s="31"/>
      <c r="E229" s="24">
        <v>4106790.2579972991</v>
      </c>
      <c r="F229" s="40"/>
      <c r="G229" s="24">
        <v>4768125.0053080004</v>
      </c>
      <c r="H229" s="40"/>
      <c r="I229" s="24">
        <v>-12996.19999999999</v>
      </c>
      <c r="J229" s="40"/>
      <c r="K229" s="24">
        <v>0</v>
      </c>
      <c r="L229" s="40"/>
      <c r="M229" s="24">
        <v>4755128.8053080002</v>
      </c>
      <c r="N229" s="40"/>
      <c r="O229" s="24">
        <v>8861919.0633052997</v>
      </c>
      <c r="P229" s="40"/>
      <c r="Q229" s="24">
        <v>7790581.4940331448</v>
      </c>
      <c r="R229" s="37"/>
      <c r="S229" s="24">
        <v>-1574584.3169230758</v>
      </c>
      <c r="T229" s="31"/>
      <c r="U229" s="24">
        <v>6215997.1771100685</v>
      </c>
      <c r="V229" s="40"/>
      <c r="W229" s="17">
        <v>0</v>
      </c>
      <c r="X229" s="40"/>
      <c r="Y229" s="24">
        <v>-1574584.3169230758</v>
      </c>
      <c r="Z229" s="40">
        <v>0</v>
      </c>
      <c r="AA229" s="24">
        <v>8861919.0633052997</v>
      </c>
      <c r="AB229" s="24">
        <v>0</v>
      </c>
    </row>
    <row r="230" spans="1:28">
      <c r="B230" s="2" t="s">
        <v>3416</v>
      </c>
      <c r="D230" s="31"/>
      <c r="E230" s="24"/>
      <c r="F230" s="40"/>
      <c r="G230" s="24"/>
      <c r="H230" s="40"/>
      <c r="I230" s="24"/>
      <c r="J230" s="40"/>
      <c r="K230" s="24"/>
      <c r="L230" s="40"/>
      <c r="M230" s="24"/>
      <c r="N230" s="40"/>
      <c r="O230" s="24"/>
      <c r="P230" s="40"/>
      <c r="Q230" s="24"/>
      <c r="R230" s="37"/>
      <c r="S230" s="31"/>
      <c r="T230" s="31"/>
      <c r="U230" s="31"/>
      <c r="V230" s="40"/>
      <c r="W230" s="24"/>
      <c r="X230" s="40"/>
      <c r="Y230" s="24"/>
      <c r="Z230" s="40"/>
      <c r="AA230" s="24"/>
      <c r="AB230" s="24"/>
    </row>
    <row r="231" spans="1:28">
      <c r="B231" s="2" t="s">
        <v>3416</v>
      </c>
      <c r="D231" s="34" t="s">
        <v>3426</v>
      </c>
      <c r="E231" s="24"/>
      <c r="F231" s="40"/>
      <c r="G231" s="24"/>
      <c r="H231" s="40"/>
      <c r="I231" s="24"/>
      <c r="J231" s="40"/>
      <c r="K231" s="24"/>
      <c r="L231" s="40"/>
      <c r="M231" s="24"/>
      <c r="N231" s="40"/>
      <c r="O231" s="24"/>
      <c r="P231" s="40"/>
      <c r="Q231" s="24"/>
      <c r="R231" s="37"/>
      <c r="S231" s="31"/>
      <c r="T231" s="31"/>
      <c r="U231" s="31"/>
      <c r="V231" s="40"/>
      <c r="W231" s="24"/>
      <c r="X231" s="40"/>
      <c r="Y231" s="24"/>
      <c r="Z231" s="40"/>
      <c r="AA231" s="24"/>
      <c r="AB231" s="24"/>
    </row>
    <row r="232" spans="1:28">
      <c r="A232" s="2" t="s">
        <v>101</v>
      </c>
      <c r="B232" s="2" t="s">
        <v>3416</v>
      </c>
      <c r="C232" s="2" t="str">
        <f t="shared" ref="C232" si="15">MID(D232,2,3)</f>
        <v>301</v>
      </c>
      <c r="D232" s="31" t="s">
        <v>57</v>
      </c>
      <c r="E232" s="41">
        <v>5338.69</v>
      </c>
      <c r="F232" s="40"/>
      <c r="G232" s="41">
        <v>0</v>
      </c>
      <c r="H232" s="40"/>
      <c r="I232" s="41">
        <v>0</v>
      </c>
      <c r="J232" s="40"/>
      <c r="K232" s="41">
        <v>0</v>
      </c>
      <c r="L232" s="40"/>
      <c r="M232" s="41">
        <v>0</v>
      </c>
      <c r="N232" s="40"/>
      <c r="O232" s="41">
        <v>5338.69</v>
      </c>
      <c r="P232" s="40"/>
      <c r="Q232" s="41">
        <v>5338.69</v>
      </c>
      <c r="R232" s="37"/>
      <c r="S232" s="42">
        <v>0</v>
      </c>
      <c r="T232" s="31"/>
      <c r="U232" s="42">
        <v>5338.69</v>
      </c>
      <c r="V232" s="40"/>
      <c r="W232" s="41"/>
      <c r="X232" s="40"/>
      <c r="Y232" s="41">
        <v>0</v>
      </c>
      <c r="Z232" s="40"/>
      <c r="AA232" s="41">
        <v>5338.69</v>
      </c>
      <c r="AB232" s="41">
        <v>0</v>
      </c>
    </row>
    <row r="233" spans="1:28">
      <c r="B233" s="2" t="s">
        <v>3416</v>
      </c>
      <c r="D233" s="31"/>
      <c r="E233" s="24">
        <v>5338.69</v>
      </c>
      <c r="F233" s="40"/>
      <c r="G233" s="24">
        <v>0</v>
      </c>
      <c r="H233" s="40"/>
      <c r="I233" s="24">
        <v>0</v>
      </c>
      <c r="J233" s="40"/>
      <c r="K233" s="24">
        <v>0</v>
      </c>
      <c r="L233" s="40"/>
      <c r="M233" s="24">
        <v>0</v>
      </c>
      <c r="N233" s="40"/>
      <c r="O233" s="24">
        <v>5338.69</v>
      </c>
      <c r="P233" s="40"/>
      <c r="Q233" s="24">
        <v>5338.69</v>
      </c>
      <c r="R233" s="37"/>
      <c r="S233" s="24">
        <v>0</v>
      </c>
      <c r="T233" s="31"/>
      <c r="U233" s="24">
        <v>5338.69</v>
      </c>
      <c r="V233" s="40"/>
      <c r="W233" s="24">
        <v>0</v>
      </c>
      <c r="X233" s="40"/>
      <c r="Y233" s="24">
        <v>0</v>
      </c>
      <c r="Z233" s="40">
        <v>0</v>
      </c>
      <c r="AA233" s="24">
        <v>5338.69</v>
      </c>
      <c r="AB233" s="24">
        <v>0</v>
      </c>
    </row>
    <row r="234" spans="1:28">
      <c r="B234" s="2" t="s">
        <v>3416</v>
      </c>
      <c r="D234" s="31"/>
      <c r="E234" s="24"/>
      <c r="F234" s="40"/>
      <c r="G234" s="24"/>
      <c r="H234" s="40"/>
      <c r="I234" s="24"/>
      <c r="J234" s="40"/>
      <c r="K234" s="24"/>
      <c r="L234" s="40"/>
      <c r="M234" s="24"/>
      <c r="N234" s="40"/>
      <c r="O234" s="24"/>
      <c r="P234" s="40"/>
      <c r="Q234" s="24"/>
      <c r="R234" s="37"/>
      <c r="S234" s="31"/>
      <c r="T234" s="31"/>
      <c r="U234" s="31"/>
      <c r="V234" s="40"/>
      <c r="W234" s="24"/>
      <c r="X234" s="40"/>
      <c r="Y234" s="24"/>
      <c r="Z234" s="40"/>
      <c r="AA234" s="24"/>
      <c r="AB234" s="24"/>
    </row>
    <row r="235" spans="1:28">
      <c r="B235" s="2" t="s">
        <v>3416</v>
      </c>
      <c r="D235" s="34" t="s">
        <v>3428</v>
      </c>
      <c r="E235" s="24"/>
      <c r="F235" s="40"/>
      <c r="G235" s="24"/>
      <c r="H235" s="40"/>
      <c r="I235" s="24"/>
      <c r="J235" s="40"/>
      <c r="K235" s="24"/>
      <c r="L235" s="40"/>
      <c r="M235" s="24"/>
      <c r="N235" s="40"/>
      <c r="O235" s="24"/>
      <c r="P235" s="40"/>
      <c r="Q235" s="24"/>
      <c r="R235" s="37"/>
      <c r="S235" s="31"/>
      <c r="T235" s="31"/>
      <c r="U235" s="31"/>
      <c r="V235" s="40"/>
      <c r="W235" s="24"/>
      <c r="X235" s="40"/>
      <c r="Y235" s="24"/>
      <c r="Z235" s="40"/>
      <c r="AA235" s="24"/>
      <c r="AB235" s="24"/>
    </row>
    <row r="236" spans="1:28">
      <c r="A236" s="2" t="s">
        <v>101</v>
      </c>
      <c r="B236" s="2" t="s">
        <v>3416</v>
      </c>
      <c r="C236" s="2" t="str">
        <f t="shared" ref="C236:C244" si="16">MID(D236,2,3)</f>
        <v>350</v>
      </c>
      <c r="D236" s="31" t="s">
        <v>85</v>
      </c>
      <c r="E236" s="24">
        <v>2265176.1</v>
      </c>
      <c r="F236" s="40"/>
      <c r="G236" s="24">
        <v>304449.7953</v>
      </c>
      <c r="H236" s="40"/>
      <c r="I236" s="24">
        <v>0</v>
      </c>
      <c r="J236" s="40"/>
      <c r="K236" s="24">
        <v>0</v>
      </c>
      <c r="L236" s="40"/>
      <c r="M236" s="24">
        <v>304449.7953</v>
      </c>
      <c r="N236" s="40"/>
      <c r="O236" s="24">
        <v>2569625.8953</v>
      </c>
      <c r="P236" s="40"/>
      <c r="Q236" s="24">
        <v>2382272.1751153846</v>
      </c>
      <c r="R236" s="37"/>
      <c r="S236" s="38">
        <v>-1980862.6099999901</v>
      </c>
      <c r="T236" s="31"/>
      <c r="U236" s="38">
        <v>401409.56511539454</v>
      </c>
      <c r="V236" s="40"/>
      <c r="W236" s="17">
        <v>20283.746475076929</v>
      </c>
      <c r="X236" s="43"/>
      <c r="Y236" s="17">
        <v>-1960578.8635249131</v>
      </c>
      <c r="Z236" s="43"/>
      <c r="AA236" s="17">
        <v>2569625.8953</v>
      </c>
      <c r="AB236" s="17">
        <v>0</v>
      </c>
    </row>
    <row r="237" spans="1:28">
      <c r="A237" s="2" t="s">
        <v>101</v>
      </c>
      <c r="B237" s="2" t="s">
        <v>3416</v>
      </c>
      <c r="D237" s="31" t="s">
        <v>86</v>
      </c>
      <c r="E237" s="24">
        <v>0</v>
      </c>
      <c r="F237" s="40"/>
      <c r="G237" s="24">
        <v>0</v>
      </c>
      <c r="H237" s="40"/>
      <c r="I237" s="24">
        <v>0</v>
      </c>
      <c r="J237" s="40"/>
      <c r="K237" s="24">
        <v>0</v>
      </c>
      <c r="L237" s="40"/>
      <c r="M237" s="24">
        <v>0</v>
      </c>
      <c r="N237" s="40"/>
      <c r="O237" s="24">
        <v>0</v>
      </c>
      <c r="P237" s="40"/>
      <c r="Q237" s="24">
        <v>0</v>
      </c>
      <c r="R237" s="37"/>
      <c r="S237" s="38">
        <v>0</v>
      </c>
      <c r="T237" s="31"/>
      <c r="U237" s="38">
        <v>0</v>
      </c>
      <c r="V237" s="40"/>
      <c r="W237" s="24">
        <v>0</v>
      </c>
      <c r="X237" s="40"/>
      <c r="Y237" s="24">
        <v>0</v>
      </c>
      <c r="Z237" s="40"/>
      <c r="AA237" s="24">
        <v>0</v>
      </c>
      <c r="AB237" s="24">
        <v>0</v>
      </c>
    </row>
    <row r="238" spans="1:28">
      <c r="A238" s="2" t="s">
        <v>101</v>
      </c>
      <c r="B238" s="2" t="s">
        <v>3416</v>
      </c>
      <c r="C238" s="2" t="str">
        <f t="shared" si="16"/>
        <v>352</v>
      </c>
      <c r="D238" s="31" t="s">
        <v>87</v>
      </c>
      <c r="E238" s="24">
        <v>1743198.88</v>
      </c>
      <c r="F238" s="40"/>
      <c r="G238" s="24">
        <v>0</v>
      </c>
      <c r="H238" s="40"/>
      <c r="I238" s="24">
        <v>0</v>
      </c>
      <c r="J238" s="40"/>
      <c r="K238" s="24">
        <v>0</v>
      </c>
      <c r="L238" s="40"/>
      <c r="M238" s="24">
        <v>0</v>
      </c>
      <c r="N238" s="40"/>
      <c r="O238" s="24">
        <v>1743198.88</v>
      </c>
      <c r="P238" s="40"/>
      <c r="Q238" s="24">
        <v>1743198.88</v>
      </c>
      <c r="R238" s="37"/>
      <c r="S238" s="38">
        <v>-839968.77999999921</v>
      </c>
      <c r="T238" s="31"/>
      <c r="U238" s="38">
        <v>903230.10000000068</v>
      </c>
      <c r="V238" s="40"/>
      <c r="W238" s="24">
        <v>0</v>
      </c>
      <c r="X238" s="40"/>
      <c r="Y238" s="24">
        <v>-839968.77999999921</v>
      </c>
      <c r="Z238" s="40"/>
      <c r="AA238" s="24">
        <v>1743198.88</v>
      </c>
      <c r="AB238" s="24">
        <v>0</v>
      </c>
    </row>
    <row r="239" spans="1:28" s="9" customFormat="1">
      <c r="A239" s="2" t="s">
        <v>101</v>
      </c>
      <c r="B239" s="2" t="s">
        <v>3416</v>
      </c>
      <c r="C239" s="2" t="str">
        <f t="shared" si="16"/>
        <v>353</v>
      </c>
      <c r="D239" s="31" t="s">
        <v>89</v>
      </c>
      <c r="E239" s="24">
        <v>22952135.109999999</v>
      </c>
      <c r="F239" s="40"/>
      <c r="G239" s="24">
        <v>0</v>
      </c>
      <c r="H239" s="40"/>
      <c r="I239" s="24">
        <v>0</v>
      </c>
      <c r="J239" s="40"/>
      <c r="K239" s="24">
        <v>0</v>
      </c>
      <c r="L239" s="40"/>
      <c r="M239" s="24">
        <v>0</v>
      </c>
      <c r="N239" s="40"/>
      <c r="O239" s="24">
        <v>22952135.109999999</v>
      </c>
      <c r="P239" s="40"/>
      <c r="Q239" s="24">
        <v>22952135.109999996</v>
      </c>
      <c r="R239" s="37"/>
      <c r="S239" s="38">
        <v>-8680622.4299999904</v>
      </c>
      <c r="T239" s="31"/>
      <c r="U239" s="38">
        <v>14271512.680000005</v>
      </c>
      <c r="V239" s="40"/>
      <c r="W239" s="24">
        <v>0</v>
      </c>
      <c r="X239" s="40"/>
      <c r="Y239" s="24">
        <v>-8680622.4299999904</v>
      </c>
      <c r="Z239" s="40"/>
      <c r="AA239" s="24">
        <v>22952135.109999999</v>
      </c>
      <c r="AB239" s="24">
        <v>0</v>
      </c>
    </row>
    <row r="240" spans="1:28" s="9" customFormat="1">
      <c r="A240" s="2" t="s">
        <v>101</v>
      </c>
      <c r="B240" s="2" t="s">
        <v>3416</v>
      </c>
      <c r="C240" s="2" t="str">
        <f t="shared" si="16"/>
        <v>354</v>
      </c>
      <c r="D240" s="31" t="s">
        <v>92</v>
      </c>
      <c r="E240" s="24">
        <v>7181081.2999999998</v>
      </c>
      <c r="F240" s="40"/>
      <c r="G240" s="24">
        <v>0</v>
      </c>
      <c r="H240" s="40"/>
      <c r="I240" s="24">
        <v>0</v>
      </c>
      <c r="J240" s="40"/>
      <c r="K240" s="24">
        <v>0</v>
      </c>
      <c r="L240" s="40"/>
      <c r="M240" s="24">
        <v>0</v>
      </c>
      <c r="N240" s="40"/>
      <c r="O240" s="24">
        <v>7181081.2999999998</v>
      </c>
      <c r="P240" s="40"/>
      <c r="Q240" s="24">
        <v>7181081.3000000007</v>
      </c>
      <c r="R240" s="37"/>
      <c r="S240" s="38">
        <v>-5257056.129999999</v>
      </c>
      <c r="T240" s="31"/>
      <c r="U240" s="38">
        <v>1924025.1700000018</v>
      </c>
      <c r="V240" s="40"/>
      <c r="W240" s="24">
        <v>0</v>
      </c>
      <c r="X240" s="40"/>
      <c r="Y240" s="24">
        <v>-5257056.129999999</v>
      </c>
      <c r="Z240" s="40"/>
      <c r="AA240" s="24">
        <v>7181081.2999999998</v>
      </c>
      <c r="AB240" s="24">
        <v>0</v>
      </c>
    </row>
    <row r="241" spans="1:28">
      <c r="A241" s="2" t="s">
        <v>101</v>
      </c>
      <c r="B241" s="2" t="s">
        <v>3416</v>
      </c>
      <c r="C241" s="2" t="str">
        <f t="shared" si="16"/>
        <v>355</v>
      </c>
      <c r="D241" s="31" t="s">
        <v>93</v>
      </c>
      <c r="E241" s="24">
        <v>14553423.949170299</v>
      </c>
      <c r="F241" s="40"/>
      <c r="G241" s="24">
        <v>484452.71</v>
      </c>
      <c r="H241" s="40"/>
      <c r="I241" s="24">
        <v>0</v>
      </c>
      <c r="J241" s="40"/>
      <c r="K241" s="24">
        <v>0</v>
      </c>
      <c r="L241" s="40"/>
      <c r="M241" s="24">
        <v>484452.71</v>
      </c>
      <c r="N241" s="40"/>
      <c r="O241" s="24">
        <v>15037876.6591703</v>
      </c>
      <c r="P241" s="40"/>
      <c r="Q241" s="24">
        <v>14963345.47301645</v>
      </c>
      <c r="R241" s="37"/>
      <c r="S241" s="38">
        <v>-5056705.1977999993</v>
      </c>
      <c r="T241" s="31"/>
      <c r="U241" s="38">
        <v>9906640.2752164509</v>
      </c>
      <c r="V241" s="40"/>
      <c r="W241" s="24">
        <v>32276.30992203845</v>
      </c>
      <c r="X241" s="40"/>
      <c r="Y241" s="24">
        <v>-5024428.8878779607</v>
      </c>
      <c r="Z241" s="40"/>
      <c r="AA241" s="24">
        <v>15037876.6591703</v>
      </c>
      <c r="AB241" s="24">
        <v>0</v>
      </c>
    </row>
    <row r="242" spans="1:28">
      <c r="A242" s="2" t="s">
        <v>101</v>
      </c>
      <c r="B242" s="2" t="s">
        <v>3416</v>
      </c>
      <c r="C242" s="2" t="str">
        <f t="shared" si="16"/>
        <v>356</v>
      </c>
      <c r="D242" s="31" t="s">
        <v>94</v>
      </c>
      <c r="E242" s="24">
        <v>18696501.291008499</v>
      </c>
      <c r="F242" s="40"/>
      <c r="G242" s="24">
        <v>0</v>
      </c>
      <c r="H242" s="40"/>
      <c r="I242" s="24">
        <v>0</v>
      </c>
      <c r="J242" s="40"/>
      <c r="K242" s="24">
        <v>0</v>
      </c>
      <c r="L242" s="40"/>
      <c r="M242" s="24">
        <v>0</v>
      </c>
      <c r="N242" s="40"/>
      <c r="O242" s="24">
        <v>18696501.291008499</v>
      </c>
      <c r="P242" s="40"/>
      <c r="Q242" s="24">
        <v>18696501.291008495</v>
      </c>
      <c r="R242" s="37"/>
      <c r="S242" s="38">
        <v>-10925770.599999899</v>
      </c>
      <c r="T242" s="31"/>
      <c r="U242" s="38">
        <v>7770730.6910085957</v>
      </c>
      <c r="V242" s="40"/>
      <c r="W242" s="24">
        <v>0</v>
      </c>
      <c r="X242" s="40"/>
      <c r="Y242" s="24">
        <v>-10925770.599999899</v>
      </c>
      <c r="Z242" s="40"/>
      <c r="AA242" s="24">
        <v>18696501.291008499</v>
      </c>
      <c r="AB242" s="24">
        <v>0</v>
      </c>
    </row>
    <row r="243" spans="1:28">
      <c r="A243" s="2" t="s">
        <v>101</v>
      </c>
      <c r="B243" s="2" t="s">
        <v>3416</v>
      </c>
      <c r="C243" s="2" t="str">
        <f t="shared" si="16"/>
        <v>357</v>
      </c>
      <c r="D243" s="5" t="s">
        <v>95</v>
      </c>
      <c r="E243" s="17">
        <v>0</v>
      </c>
      <c r="F243" s="43"/>
      <c r="G243" s="17">
        <v>0</v>
      </c>
      <c r="H243" s="43"/>
      <c r="I243" s="17">
        <v>0</v>
      </c>
      <c r="J243" s="43"/>
      <c r="K243" s="17">
        <v>0</v>
      </c>
      <c r="L243" s="43"/>
      <c r="M243" s="17">
        <v>0</v>
      </c>
      <c r="N243" s="43"/>
      <c r="O243" s="17">
        <v>0</v>
      </c>
      <c r="P243" s="43"/>
      <c r="Q243" s="17">
        <v>0</v>
      </c>
      <c r="R243" s="39"/>
      <c r="S243" s="13">
        <v>0</v>
      </c>
      <c r="T243" s="5"/>
      <c r="U243" s="13">
        <v>0</v>
      </c>
      <c r="V243" s="43"/>
      <c r="W243" s="17">
        <v>0</v>
      </c>
      <c r="X243" s="43"/>
      <c r="Y243" s="17">
        <v>0</v>
      </c>
      <c r="Z243" s="43"/>
      <c r="AA243" s="17">
        <v>0</v>
      </c>
      <c r="AB243" s="17">
        <v>0</v>
      </c>
    </row>
    <row r="244" spans="1:28">
      <c r="A244" s="2" t="s">
        <v>101</v>
      </c>
      <c r="B244" s="2" t="s">
        <v>3416</v>
      </c>
      <c r="C244" s="2" t="str">
        <f t="shared" si="16"/>
        <v>358</v>
      </c>
      <c r="D244" s="5" t="s">
        <v>105</v>
      </c>
      <c r="E244" s="20">
        <v>0</v>
      </c>
      <c r="F244" s="43"/>
      <c r="G244" s="20">
        <v>0</v>
      </c>
      <c r="H244" s="43"/>
      <c r="I244" s="20">
        <v>0</v>
      </c>
      <c r="J244" s="43"/>
      <c r="K244" s="20">
        <v>0</v>
      </c>
      <c r="L244" s="43"/>
      <c r="M244" s="20">
        <v>0</v>
      </c>
      <c r="N244" s="43"/>
      <c r="O244" s="20">
        <v>0</v>
      </c>
      <c r="P244" s="43"/>
      <c r="Q244" s="20">
        <v>0</v>
      </c>
      <c r="R244" s="39"/>
      <c r="S244" s="21">
        <v>0</v>
      </c>
      <c r="T244" s="5"/>
      <c r="U244" s="21">
        <v>0</v>
      </c>
      <c r="V244" s="43"/>
      <c r="W244" s="20">
        <v>0</v>
      </c>
      <c r="X244" s="43"/>
      <c r="Y244" s="20">
        <v>0</v>
      </c>
      <c r="Z244" s="43"/>
      <c r="AA244" s="20">
        <v>0</v>
      </c>
      <c r="AB244" s="20">
        <v>0</v>
      </c>
    </row>
    <row r="245" spans="1:28">
      <c r="B245" s="2" t="s">
        <v>3416</v>
      </c>
      <c r="D245" s="31"/>
      <c r="E245" s="24">
        <v>67391516.630178794</v>
      </c>
      <c r="F245" s="40"/>
      <c r="G245" s="24">
        <v>788902.50530000008</v>
      </c>
      <c r="H245" s="40"/>
      <c r="I245" s="24">
        <v>0</v>
      </c>
      <c r="J245" s="40"/>
      <c r="K245" s="24">
        <v>0</v>
      </c>
      <c r="L245" s="40"/>
      <c r="M245" s="24">
        <v>788902.50530000008</v>
      </c>
      <c r="N245" s="40"/>
      <c r="O245" s="24">
        <v>68180419.135478795</v>
      </c>
      <c r="P245" s="40"/>
      <c r="Q245" s="24">
        <v>67918534.229140326</v>
      </c>
      <c r="R245" s="37"/>
      <c r="S245" s="24">
        <v>-32740985.747799873</v>
      </c>
      <c r="T245" s="31"/>
      <c r="U245" s="24">
        <v>35177548.481340453</v>
      </c>
      <c r="V245" s="40"/>
      <c r="W245" s="17">
        <v>52560.056397115382</v>
      </c>
      <c r="X245" s="40"/>
      <c r="Y245" s="24">
        <v>-32688425.691402763</v>
      </c>
      <c r="Z245" s="40">
        <v>0</v>
      </c>
      <c r="AA245" s="24">
        <v>68180419.135478795</v>
      </c>
      <c r="AB245" s="24">
        <v>0</v>
      </c>
    </row>
    <row r="246" spans="1:28">
      <c r="B246" s="2" t="s">
        <v>3416</v>
      </c>
      <c r="D246" s="31"/>
      <c r="E246" s="24"/>
      <c r="F246" s="37"/>
      <c r="G246" s="24"/>
      <c r="H246" s="37"/>
      <c r="I246" s="24"/>
      <c r="J246" s="37"/>
      <c r="K246" s="24"/>
      <c r="L246" s="37"/>
      <c r="M246" s="24"/>
      <c r="N246" s="37"/>
      <c r="O246" s="24"/>
      <c r="P246" s="37"/>
      <c r="Q246" s="24"/>
      <c r="R246" s="37"/>
      <c r="S246" s="31"/>
      <c r="T246" s="31"/>
      <c r="U246" s="31"/>
      <c r="V246" s="37"/>
      <c r="W246" s="24"/>
      <c r="X246" s="37"/>
      <c r="Y246" s="24"/>
      <c r="Z246" s="37"/>
      <c r="AA246" s="24"/>
      <c r="AB246" s="24"/>
    </row>
    <row r="247" spans="1:28" s="29" customFormat="1">
      <c r="B247" s="2" t="s">
        <v>3416</v>
      </c>
      <c r="D247" s="31"/>
      <c r="E247" s="26"/>
      <c r="F247" s="37"/>
      <c r="G247" s="26"/>
      <c r="H247" s="37"/>
      <c r="I247" s="26"/>
      <c r="J247" s="37"/>
      <c r="K247" s="26"/>
      <c r="L247" s="37"/>
      <c r="M247" s="26"/>
      <c r="N247" s="37"/>
      <c r="O247" s="26"/>
      <c r="P247" s="37"/>
      <c r="Q247" s="26"/>
      <c r="R247" s="37"/>
      <c r="S247" s="31"/>
      <c r="T247" s="31"/>
      <c r="U247" s="31"/>
      <c r="V247" s="37"/>
      <c r="W247" s="26"/>
      <c r="X247" s="37"/>
      <c r="Y247" s="26"/>
      <c r="Z247" s="37"/>
      <c r="AA247" s="26"/>
      <c r="AB247" s="26"/>
    </row>
    <row r="248" spans="1:28" s="29" customFormat="1" ht="13.5" thickBot="1">
      <c r="B248" s="2" t="s">
        <v>3416</v>
      </c>
      <c r="D248" s="34" t="s">
        <v>106</v>
      </c>
      <c r="E248" s="44">
        <v>169543688.7811625</v>
      </c>
      <c r="F248" s="40"/>
      <c r="G248" s="44">
        <v>8285628.3490084987</v>
      </c>
      <c r="H248" s="40"/>
      <c r="I248" s="44">
        <v>-12996.19999999999</v>
      </c>
      <c r="J248" s="40"/>
      <c r="K248" s="44">
        <v>0</v>
      </c>
      <c r="L248" s="40"/>
      <c r="M248" s="44">
        <v>8272632.1490084976</v>
      </c>
      <c r="N248" s="40"/>
      <c r="O248" s="44">
        <v>177816320.93017101</v>
      </c>
      <c r="P248" s="40"/>
      <c r="Q248" s="44">
        <v>175224724.23165378</v>
      </c>
      <c r="R248" s="40"/>
      <c r="S248" s="44">
        <v>-76593283.097412974</v>
      </c>
      <c r="T248" s="31"/>
      <c r="U248" s="44">
        <v>98631441.134240776</v>
      </c>
      <c r="V248" s="40"/>
      <c r="W248" s="44">
        <v>54578.573494161697</v>
      </c>
      <c r="X248" s="40"/>
      <c r="Y248" s="44">
        <v>-76538704.523918837</v>
      </c>
      <c r="Z248" s="40"/>
      <c r="AA248" s="44">
        <v>177816320.93017101</v>
      </c>
      <c r="AB248" s="44">
        <v>9.3132257461547852E-9</v>
      </c>
    </row>
    <row r="249" spans="1:28" s="29" customFormat="1" ht="13.5" thickTop="1">
      <c r="D249" s="2"/>
      <c r="E249" s="66"/>
      <c r="F249" s="503"/>
      <c r="G249" s="66"/>
      <c r="H249" s="503"/>
      <c r="I249" s="66"/>
      <c r="J249" s="503"/>
      <c r="K249" s="66"/>
      <c r="L249" s="503"/>
      <c r="M249" s="66"/>
      <c r="N249" s="503"/>
      <c r="O249" s="66"/>
      <c r="P249" s="503"/>
      <c r="Q249" s="66"/>
      <c r="R249" s="2"/>
      <c r="S249" s="2"/>
      <c r="T249" s="2"/>
      <c r="U249" s="2"/>
      <c r="V249" s="37"/>
      <c r="W249" s="66"/>
      <c r="X249" s="37"/>
      <c r="Y249" s="66"/>
      <c r="Z249" s="37"/>
      <c r="AA249" s="66"/>
      <c r="AB249" s="66"/>
    </row>
    <row r="250" spans="1:28" s="29" customFormat="1">
      <c r="D250" s="2"/>
      <c r="E250" s="66"/>
      <c r="F250" s="503"/>
      <c r="G250" s="66"/>
      <c r="H250" s="503"/>
      <c r="I250" s="66"/>
      <c r="J250" s="503"/>
      <c r="K250" s="66"/>
      <c r="L250" s="503"/>
      <c r="M250" s="66"/>
      <c r="N250" s="503"/>
      <c r="O250" s="66"/>
      <c r="P250" s="503"/>
      <c r="Q250" s="66"/>
      <c r="R250" s="2"/>
      <c r="S250" s="2"/>
      <c r="T250" s="2"/>
      <c r="U250" s="2"/>
      <c r="V250" s="37"/>
      <c r="W250" s="66"/>
      <c r="X250" s="37"/>
      <c r="Y250" s="66"/>
      <c r="Z250" s="37"/>
      <c r="AA250" s="66"/>
      <c r="AB250" s="66"/>
    </row>
    <row r="251" spans="1:28" s="29" customFormat="1">
      <c r="D251" s="28"/>
      <c r="E251" s="232"/>
      <c r="F251" s="504"/>
      <c r="G251" s="232"/>
      <c r="H251" s="504"/>
      <c r="I251" s="232"/>
      <c r="J251" s="504"/>
      <c r="K251" s="232"/>
      <c r="L251" s="504"/>
      <c r="M251" s="232"/>
      <c r="N251" s="504"/>
      <c r="O251" s="232"/>
      <c r="P251" s="504"/>
      <c r="Q251" s="232"/>
      <c r="V251" s="40"/>
      <c r="W251" s="232"/>
      <c r="X251" s="40"/>
      <c r="Y251" s="232"/>
      <c r="Z251" s="40"/>
      <c r="AA251" s="232"/>
      <c r="AB251" s="232"/>
    </row>
    <row r="252" spans="1:28" s="29" customFormat="1">
      <c r="D252" s="28"/>
      <c r="E252" s="232"/>
      <c r="F252" s="504"/>
      <c r="G252" s="232"/>
      <c r="H252" s="504"/>
      <c r="I252" s="232"/>
      <c r="J252" s="504"/>
      <c r="K252" s="232"/>
      <c r="L252" s="504"/>
      <c r="M252" s="232"/>
      <c r="N252" s="504"/>
      <c r="O252" s="232"/>
      <c r="P252" s="504"/>
      <c r="Q252" s="232"/>
      <c r="V252" s="40"/>
      <c r="W252" s="232"/>
      <c r="X252" s="40"/>
      <c r="Y252" s="232"/>
      <c r="Z252" s="40"/>
      <c r="AA252" s="232"/>
      <c r="AB252" s="232"/>
    </row>
    <row r="253" spans="1:28" s="29" customFormat="1">
      <c r="E253" s="232"/>
      <c r="F253" s="504"/>
      <c r="G253" s="232"/>
      <c r="H253" s="504"/>
      <c r="I253" s="232"/>
      <c r="J253" s="504"/>
      <c r="K253" s="232"/>
      <c r="L253" s="504"/>
      <c r="M253" s="232"/>
      <c r="N253" s="504"/>
      <c r="O253" s="232"/>
      <c r="P253" s="504"/>
      <c r="Q253" s="232"/>
      <c r="V253" s="40"/>
      <c r="W253" s="232"/>
      <c r="X253" s="40"/>
      <c r="Y253" s="232"/>
      <c r="Z253" s="40"/>
      <c r="AA253" s="232"/>
      <c r="AB253" s="232"/>
    </row>
    <row r="254" spans="1:28" s="29" customFormat="1">
      <c r="E254" s="232"/>
      <c r="F254" s="504"/>
      <c r="G254" s="232"/>
      <c r="H254" s="504"/>
      <c r="I254" s="232"/>
      <c r="J254" s="504"/>
      <c r="K254" s="232"/>
      <c r="L254" s="504"/>
      <c r="M254" s="232"/>
      <c r="N254" s="504"/>
      <c r="O254" s="232"/>
      <c r="P254" s="504"/>
      <c r="Q254" s="232"/>
      <c r="V254" s="40"/>
      <c r="W254" s="232"/>
      <c r="X254" s="40"/>
      <c r="Y254" s="232"/>
      <c r="Z254" s="40"/>
      <c r="AA254" s="232"/>
      <c r="AB254" s="232"/>
    </row>
    <row r="255" spans="1:28" s="29" customFormat="1">
      <c r="E255" s="232"/>
      <c r="F255" s="504"/>
      <c r="G255" s="232"/>
      <c r="H255" s="504"/>
      <c r="I255" s="232"/>
      <c r="J255" s="504"/>
      <c r="K255" s="232"/>
      <c r="L255" s="504"/>
      <c r="M255" s="232"/>
      <c r="N255" s="504"/>
      <c r="O255" s="232"/>
      <c r="P255" s="504"/>
      <c r="Q255" s="232"/>
      <c r="V255" s="40"/>
      <c r="W255" s="232"/>
      <c r="X255" s="40"/>
      <c r="Y255" s="232"/>
      <c r="Z255" s="40"/>
      <c r="AA255" s="232"/>
      <c r="AB255" s="232"/>
    </row>
    <row r="256" spans="1:28" s="29" customFormat="1">
      <c r="E256" s="232"/>
      <c r="F256" s="504"/>
      <c r="G256" s="232"/>
      <c r="H256" s="504"/>
      <c r="I256" s="232"/>
      <c r="J256" s="504"/>
      <c r="K256" s="232"/>
      <c r="L256" s="504"/>
      <c r="M256" s="232"/>
      <c r="N256" s="504"/>
      <c r="O256" s="232"/>
      <c r="P256" s="504"/>
      <c r="Q256" s="232"/>
      <c r="V256" s="40"/>
      <c r="W256" s="232"/>
      <c r="X256" s="40"/>
      <c r="Y256" s="232"/>
      <c r="Z256" s="40"/>
      <c r="AA256" s="232"/>
      <c r="AB256" s="232"/>
    </row>
    <row r="257" spans="4:28" s="29" customFormat="1">
      <c r="E257" s="232"/>
      <c r="F257" s="504"/>
      <c r="G257" s="232"/>
      <c r="H257" s="504"/>
      <c r="I257" s="232"/>
      <c r="J257" s="504"/>
      <c r="K257" s="232"/>
      <c r="L257" s="504"/>
      <c r="M257" s="232"/>
      <c r="N257" s="504"/>
      <c r="O257" s="232"/>
      <c r="P257" s="504"/>
      <c r="Q257" s="232"/>
      <c r="V257" s="40"/>
      <c r="W257" s="232"/>
      <c r="X257" s="40"/>
      <c r="Y257" s="232"/>
      <c r="Z257" s="40"/>
      <c r="AA257" s="232"/>
      <c r="AB257" s="232"/>
    </row>
    <row r="258" spans="4:28" s="29" customFormat="1">
      <c r="E258" s="232"/>
      <c r="F258" s="504"/>
      <c r="G258" s="232"/>
      <c r="H258" s="504"/>
      <c r="I258" s="232"/>
      <c r="J258" s="504"/>
      <c r="K258" s="232"/>
      <c r="L258" s="504"/>
      <c r="M258" s="232"/>
      <c r="N258" s="504"/>
      <c r="O258" s="232"/>
      <c r="P258" s="504"/>
      <c r="Q258" s="232"/>
      <c r="V258" s="40"/>
      <c r="W258" s="232"/>
      <c r="X258" s="40"/>
      <c r="Y258" s="232"/>
      <c r="Z258" s="40"/>
      <c r="AA258" s="232"/>
      <c r="AB258" s="232"/>
    </row>
    <row r="259" spans="4:28" s="29" customFormat="1">
      <c r="E259" s="232"/>
      <c r="F259" s="504"/>
      <c r="G259" s="232"/>
      <c r="H259" s="504"/>
      <c r="I259" s="232"/>
      <c r="J259" s="504"/>
      <c r="K259" s="232"/>
      <c r="L259" s="504"/>
      <c r="M259" s="232"/>
      <c r="N259" s="504"/>
      <c r="O259" s="232"/>
      <c r="P259" s="504"/>
      <c r="Q259" s="232"/>
      <c r="V259" s="40"/>
      <c r="W259" s="232"/>
      <c r="X259" s="40"/>
      <c r="Y259" s="232"/>
      <c r="Z259" s="40"/>
      <c r="AA259" s="232"/>
      <c r="AB259" s="232"/>
    </row>
    <row r="260" spans="4:28" s="29" customFormat="1">
      <c r="E260" s="232"/>
      <c r="F260" s="504"/>
      <c r="G260" s="232"/>
      <c r="H260" s="504"/>
      <c r="I260" s="232"/>
      <c r="J260" s="504"/>
      <c r="K260" s="232"/>
      <c r="L260" s="504"/>
      <c r="M260" s="232"/>
      <c r="N260" s="504"/>
      <c r="O260" s="232"/>
      <c r="P260" s="504"/>
      <c r="Q260" s="232"/>
      <c r="V260" s="40"/>
      <c r="W260" s="232"/>
      <c r="X260" s="40"/>
      <c r="Y260" s="232"/>
      <c r="Z260" s="40"/>
      <c r="AA260" s="232"/>
      <c r="AB260" s="232"/>
    </row>
    <row r="261" spans="4:28" s="29" customFormat="1">
      <c r="E261" s="232"/>
      <c r="F261" s="504"/>
      <c r="G261" s="232"/>
      <c r="H261" s="504"/>
      <c r="I261" s="232"/>
      <c r="J261" s="504"/>
      <c r="K261" s="232"/>
      <c r="L261" s="504"/>
      <c r="M261" s="232"/>
      <c r="N261" s="504"/>
      <c r="O261" s="232"/>
      <c r="P261" s="504"/>
      <c r="Q261" s="232"/>
      <c r="V261" s="40"/>
      <c r="W261" s="232"/>
      <c r="X261" s="40"/>
      <c r="Y261" s="232"/>
      <c r="Z261" s="40"/>
      <c r="AA261" s="232"/>
      <c r="AB261" s="232"/>
    </row>
    <row r="262" spans="4:28" s="29" customFormat="1">
      <c r="E262" s="232"/>
      <c r="F262" s="504"/>
      <c r="G262" s="232"/>
      <c r="H262" s="504"/>
      <c r="I262" s="232"/>
      <c r="J262" s="504"/>
      <c r="K262" s="232"/>
      <c r="L262" s="504"/>
      <c r="M262" s="232"/>
      <c r="N262" s="504"/>
      <c r="O262" s="232"/>
      <c r="P262" s="504"/>
      <c r="Q262" s="232"/>
      <c r="V262" s="40"/>
      <c r="W262" s="232"/>
      <c r="X262" s="40"/>
      <c r="Y262" s="232"/>
      <c r="Z262" s="40"/>
      <c r="AA262" s="232"/>
      <c r="AB262" s="232"/>
    </row>
    <row r="263" spans="4:28" s="29" customFormat="1">
      <c r="E263" s="232"/>
      <c r="F263" s="504"/>
      <c r="G263" s="232"/>
      <c r="H263" s="504"/>
      <c r="I263" s="232"/>
      <c r="J263" s="504"/>
      <c r="K263" s="232"/>
      <c r="L263" s="504"/>
      <c r="M263" s="232"/>
      <c r="N263" s="504"/>
      <c r="O263" s="232"/>
      <c r="P263" s="504"/>
      <c r="Q263" s="232"/>
      <c r="V263" s="40"/>
      <c r="W263" s="232"/>
      <c r="X263" s="40"/>
      <c r="Y263" s="232"/>
      <c r="Z263" s="40"/>
      <c r="AA263" s="232"/>
      <c r="AB263" s="232"/>
    </row>
    <row r="264" spans="4:28" s="29" customFormat="1">
      <c r="D264" s="28"/>
      <c r="E264" s="232"/>
      <c r="F264" s="504"/>
      <c r="G264" s="232"/>
      <c r="H264" s="504"/>
      <c r="I264" s="232"/>
      <c r="J264" s="504"/>
      <c r="K264" s="232"/>
      <c r="L264" s="504"/>
      <c r="M264" s="232"/>
      <c r="N264" s="504"/>
      <c r="O264" s="232"/>
      <c r="P264" s="504"/>
      <c r="Q264" s="232"/>
      <c r="V264" s="40"/>
      <c r="W264" s="232"/>
      <c r="X264" s="40"/>
      <c r="Y264" s="232"/>
      <c r="Z264" s="40"/>
      <c r="AA264" s="232"/>
      <c r="AB264" s="232"/>
    </row>
    <row r="265" spans="4:28" s="29" customFormat="1">
      <c r="E265" s="232"/>
      <c r="F265" s="504"/>
      <c r="G265" s="232"/>
      <c r="H265" s="504"/>
      <c r="I265" s="232"/>
      <c r="J265" s="504"/>
      <c r="K265" s="232"/>
      <c r="L265" s="504"/>
      <c r="M265" s="232"/>
      <c r="N265" s="504"/>
      <c r="O265" s="232"/>
      <c r="P265" s="504"/>
      <c r="Q265" s="232"/>
      <c r="V265" s="40"/>
      <c r="W265" s="232"/>
      <c r="X265" s="40"/>
      <c r="Y265" s="232"/>
      <c r="Z265" s="40"/>
      <c r="AA265" s="232"/>
      <c r="AB265" s="232"/>
    </row>
    <row r="266" spans="4:28" s="29" customFormat="1">
      <c r="E266" s="232"/>
      <c r="F266" s="504"/>
      <c r="G266" s="232"/>
      <c r="H266" s="504"/>
      <c r="I266" s="232"/>
      <c r="J266" s="504"/>
      <c r="K266" s="232"/>
      <c r="L266" s="504"/>
      <c r="M266" s="232"/>
      <c r="N266" s="504"/>
      <c r="O266" s="232"/>
      <c r="P266" s="504"/>
      <c r="Q266" s="232"/>
      <c r="V266" s="40"/>
      <c r="W266" s="232"/>
      <c r="X266" s="40"/>
      <c r="Y266" s="232"/>
      <c r="Z266" s="40"/>
      <c r="AA266" s="232"/>
      <c r="AB266" s="232"/>
    </row>
    <row r="267" spans="4:28" s="29" customFormat="1">
      <c r="E267" s="232"/>
      <c r="F267" s="504"/>
      <c r="G267" s="232"/>
      <c r="H267" s="504"/>
      <c r="I267" s="232"/>
      <c r="J267" s="504"/>
      <c r="K267" s="232"/>
      <c r="L267" s="504"/>
      <c r="M267" s="232"/>
      <c r="N267" s="504"/>
      <c r="O267" s="232"/>
      <c r="P267" s="504"/>
      <c r="Q267" s="232"/>
      <c r="V267" s="40"/>
      <c r="W267" s="232"/>
      <c r="X267" s="40"/>
      <c r="Y267" s="232"/>
      <c r="Z267" s="40"/>
      <c r="AA267" s="232"/>
      <c r="AB267" s="232"/>
    </row>
    <row r="268" spans="4:28" s="29" customFormat="1">
      <c r="D268" s="28"/>
      <c r="E268" s="232"/>
      <c r="F268" s="504"/>
      <c r="G268" s="232"/>
      <c r="H268" s="504"/>
      <c r="I268" s="232"/>
      <c r="J268" s="504"/>
      <c r="K268" s="232"/>
      <c r="L268" s="504"/>
      <c r="M268" s="232"/>
      <c r="N268" s="504"/>
      <c r="O268" s="232"/>
      <c r="P268" s="504"/>
      <c r="Q268" s="232"/>
      <c r="V268" s="40"/>
      <c r="W268" s="232"/>
      <c r="X268" s="40"/>
      <c r="Y268" s="232"/>
      <c r="Z268" s="40"/>
      <c r="AA268" s="232"/>
      <c r="AB268" s="232"/>
    </row>
    <row r="269" spans="4:28" s="29" customFormat="1">
      <c r="E269" s="232"/>
      <c r="F269" s="504"/>
      <c r="G269" s="232"/>
      <c r="H269" s="504"/>
      <c r="I269" s="232"/>
      <c r="J269" s="504"/>
      <c r="K269" s="232"/>
      <c r="L269" s="504"/>
      <c r="M269" s="232"/>
      <c r="N269" s="504"/>
      <c r="O269" s="232"/>
      <c r="P269" s="504"/>
      <c r="Q269" s="232"/>
      <c r="V269" s="40"/>
      <c r="W269" s="232"/>
      <c r="X269" s="40"/>
      <c r="Y269" s="232"/>
      <c r="Z269" s="40"/>
      <c r="AA269" s="232"/>
      <c r="AB269" s="232"/>
    </row>
    <row r="270" spans="4:28" s="29" customFormat="1">
      <c r="E270" s="232"/>
      <c r="F270" s="504"/>
      <c r="G270" s="232"/>
      <c r="H270" s="504"/>
      <c r="I270" s="232"/>
      <c r="J270" s="504"/>
      <c r="K270" s="232"/>
      <c r="L270" s="504"/>
      <c r="M270" s="232"/>
      <c r="N270" s="504"/>
      <c r="O270" s="232"/>
      <c r="P270" s="504"/>
      <c r="Q270" s="232"/>
      <c r="V270" s="40"/>
      <c r="W270" s="232"/>
      <c r="X270" s="40"/>
      <c r="Y270" s="232"/>
      <c r="Z270" s="40"/>
      <c r="AA270" s="232"/>
      <c r="AB270" s="232"/>
    </row>
    <row r="271" spans="4:28" s="29" customFormat="1">
      <c r="E271" s="232"/>
      <c r="F271" s="504"/>
      <c r="G271" s="232"/>
      <c r="H271" s="504"/>
      <c r="I271" s="232"/>
      <c r="J271" s="504"/>
      <c r="K271" s="232"/>
      <c r="L271" s="504"/>
      <c r="M271" s="232"/>
      <c r="N271" s="504"/>
      <c r="O271" s="232"/>
      <c r="P271" s="504"/>
      <c r="Q271" s="232"/>
      <c r="V271" s="40"/>
      <c r="W271" s="232"/>
      <c r="X271" s="40"/>
      <c r="Y271" s="232"/>
      <c r="Z271" s="40"/>
      <c r="AA271" s="232"/>
      <c r="AB271" s="232"/>
    </row>
    <row r="272" spans="4:28" s="29" customFormat="1">
      <c r="E272" s="232"/>
      <c r="F272" s="504"/>
      <c r="G272" s="232"/>
      <c r="H272" s="504"/>
      <c r="I272" s="232"/>
      <c r="J272" s="504"/>
      <c r="K272" s="232"/>
      <c r="L272" s="504"/>
      <c r="M272" s="232"/>
      <c r="N272" s="504"/>
      <c r="O272" s="232"/>
      <c r="P272" s="504"/>
      <c r="Q272" s="232"/>
      <c r="V272" s="40"/>
      <c r="W272" s="232"/>
      <c r="X272" s="40"/>
      <c r="Y272" s="232"/>
      <c r="Z272" s="40"/>
      <c r="AA272" s="232"/>
      <c r="AB272" s="232"/>
    </row>
    <row r="273" spans="4:28" s="29" customFormat="1">
      <c r="E273" s="232"/>
      <c r="F273" s="504"/>
      <c r="G273" s="232"/>
      <c r="H273" s="504"/>
      <c r="I273" s="232"/>
      <c r="J273" s="504"/>
      <c r="K273" s="232"/>
      <c r="L273" s="504"/>
      <c r="M273" s="232"/>
      <c r="N273" s="504"/>
      <c r="O273" s="232"/>
      <c r="P273" s="504"/>
      <c r="Q273" s="232"/>
      <c r="V273" s="40"/>
      <c r="W273" s="232"/>
      <c r="X273" s="40"/>
      <c r="Y273" s="232"/>
      <c r="Z273" s="40"/>
      <c r="AA273" s="232"/>
      <c r="AB273" s="232"/>
    </row>
    <row r="274" spans="4:28" s="29" customFormat="1">
      <c r="E274" s="232"/>
      <c r="F274" s="504"/>
      <c r="G274" s="232"/>
      <c r="H274" s="504"/>
      <c r="I274" s="232"/>
      <c r="J274" s="504"/>
      <c r="K274" s="232"/>
      <c r="L274" s="504"/>
      <c r="M274" s="232"/>
      <c r="N274" s="504"/>
      <c r="O274" s="232"/>
      <c r="P274" s="504"/>
      <c r="Q274" s="232"/>
      <c r="V274" s="40"/>
      <c r="W274" s="232"/>
      <c r="X274" s="40"/>
      <c r="Y274" s="232"/>
      <c r="Z274" s="40"/>
      <c r="AA274" s="232"/>
      <c r="AB274" s="232"/>
    </row>
    <row r="275" spans="4:28">
      <c r="D275" s="28"/>
      <c r="E275" s="232"/>
      <c r="F275" s="504"/>
      <c r="G275" s="232"/>
      <c r="H275" s="504"/>
      <c r="I275" s="232"/>
      <c r="J275" s="504"/>
      <c r="K275" s="232"/>
      <c r="L275" s="504"/>
      <c r="M275" s="232"/>
      <c r="N275" s="504"/>
      <c r="O275" s="232"/>
      <c r="P275" s="504"/>
      <c r="Q275" s="232"/>
      <c r="R275" s="29"/>
      <c r="S275" s="29"/>
      <c r="T275" s="29"/>
      <c r="U275" s="29"/>
      <c r="V275" s="40"/>
      <c r="W275" s="232"/>
      <c r="X275" s="40"/>
      <c r="Y275" s="232"/>
      <c r="Z275" s="40"/>
      <c r="AA275" s="232"/>
      <c r="AB275" s="232"/>
    </row>
    <row r="276" spans="4:28">
      <c r="D276" s="28"/>
      <c r="E276" s="232"/>
      <c r="F276" s="504"/>
      <c r="G276" s="232"/>
      <c r="H276" s="504"/>
      <c r="I276" s="232"/>
      <c r="J276" s="504"/>
      <c r="K276" s="232"/>
      <c r="L276" s="504"/>
      <c r="M276" s="232"/>
      <c r="N276" s="504"/>
      <c r="O276" s="232"/>
      <c r="P276" s="504"/>
      <c r="Q276" s="232"/>
      <c r="R276" s="29"/>
      <c r="S276" s="29"/>
      <c r="T276" s="29"/>
      <c r="U276" s="29"/>
      <c r="V276" s="40"/>
      <c r="W276" s="232"/>
      <c r="X276" s="40"/>
      <c r="Y276" s="232"/>
      <c r="Z276" s="40"/>
      <c r="AA276" s="232"/>
      <c r="AB276" s="232"/>
    </row>
    <row r="277" spans="4:28">
      <c r="D277" s="29"/>
      <c r="E277" s="232"/>
      <c r="F277" s="504"/>
      <c r="G277" s="232"/>
      <c r="H277" s="504"/>
      <c r="I277" s="232"/>
      <c r="J277" s="504"/>
      <c r="K277" s="232"/>
      <c r="L277" s="504"/>
      <c r="M277" s="232"/>
      <c r="N277" s="504"/>
      <c r="O277" s="232"/>
      <c r="P277" s="504"/>
      <c r="Q277" s="232"/>
      <c r="R277" s="29"/>
      <c r="S277" s="29"/>
      <c r="T277" s="29"/>
      <c r="U277" s="29"/>
      <c r="V277" s="40"/>
      <c r="W277" s="232"/>
      <c r="X277" s="40"/>
      <c r="Y277" s="232"/>
      <c r="Z277" s="40"/>
      <c r="AA277" s="232"/>
      <c r="AB277" s="232"/>
    </row>
    <row r="278" spans="4:28">
      <c r="D278" s="28"/>
      <c r="E278" s="232"/>
      <c r="F278" s="504"/>
      <c r="G278" s="232"/>
      <c r="H278" s="504"/>
      <c r="I278" s="232"/>
      <c r="J278" s="504"/>
      <c r="K278" s="232"/>
      <c r="L278" s="504"/>
      <c r="M278" s="232"/>
      <c r="N278" s="504"/>
      <c r="O278" s="232"/>
      <c r="P278" s="504"/>
      <c r="Q278" s="232"/>
      <c r="R278" s="29"/>
      <c r="S278" s="29"/>
      <c r="T278" s="29"/>
      <c r="U278" s="29"/>
      <c r="V278" s="40"/>
      <c r="W278" s="232"/>
      <c r="X278" s="40"/>
      <c r="Y278" s="232"/>
      <c r="Z278" s="40"/>
      <c r="AA278" s="232"/>
      <c r="AB278" s="232"/>
    </row>
    <row r="281" spans="4:28">
      <c r="D281" s="498" t="s">
        <v>0</v>
      </c>
      <c r="E281" s="498"/>
      <c r="F281" s="498"/>
      <c r="G281" s="498"/>
      <c r="H281" s="498"/>
      <c r="I281" s="498"/>
      <c r="J281" s="498"/>
      <c r="K281" s="498"/>
      <c r="L281" s="498"/>
      <c r="M281" s="498"/>
      <c r="N281" s="498"/>
      <c r="O281" s="498"/>
      <c r="P281" s="498"/>
      <c r="Q281" s="498"/>
      <c r="R281" s="498"/>
      <c r="S281" s="498"/>
      <c r="T281" s="498"/>
      <c r="U281" s="498"/>
      <c r="V281" s="423"/>
      <c r="W281" s="423"/>
      <c r="X281" s="423"/>
      <c r="Y281" s="423"/>
      <c r="Z281" s="423"/>
      <c r="AA281" s="423"/>
      <c r="AB281" s="423"/>
    </row>
    <row r="282" spans="4:28">
      <c r="D282" s="498" t="s">
        <v>107</v>
      </c>
      <c r="E282" s="498"/>
      <c r="F282" s="498"/>
      <c r="G282" s="498"/>
      <c r="H282" s="498"/>
      <c r="I282" s="498"/>
      <c r="J282" s="498"/>
      <c r="K282" s="498"/>
      <c r="L282" s="498"/>
      <c r="M282" s="498"/>
      <c r="N282" s="498"/>
      <c r="O282" s="498"/>
      <c r="P282" s="498"/>
      <c r="Q282" s="498"/>
      <c r="R282" s="498"/>
      <c r="S282" s="498"/>
      <c r="T282" s="498"/>
      <c r="U282" s="498"/>
      <c r="V282" s="423"/>
      <c r="W282" s="423"/>
      <c r="X282" s="423"/>
      <c r="Y282" s="423"/>
      <c r="Z282" s="423"/>
      <c r="AA282" s="423"/>
      <c r="AB282" s="423"/>
    </row>
    <row r="283" spans="4:28">
      <c r="D283" s="499" t="str">
        <f>D$3</f>
        <v>FORECAST PERIOD: APRIL 2020</v>
      </c>
      <c r="E283" s="500"/>
      <c r="F283" s="500"/>
      <c r="G283" s="500"/>
      <c r="H283" s="500"/>
      <c r="I283" s="500"/>
      <c r="J283" s="500"/>
      <c r="K283" s="500"/>
      <c r="L283" s="500"/>
      <c r="M283" s="500"/>
      <c r="N283" s="500"/>
      <c r="O283" s="500"/>
      <c r="P283" s="500"/>
      <c r="Q283" s="500"/>
      <c r="R283" s="500"/>
      <c r="S283" s="500"/>
      <c r="T283" s="500"/>
      <c r="U283" s="500"/>
      <c r="V283" s="425"/>
      <c r="W283" s="425"/>
      <c r="X283" s="425"/>
      <c r="Y283" s="425"/>
      <c r="Z283" s="425"/>
      <c r="AA283" s="425"/>
      <c r="AB283" s="425"/>
    </row>
    <row r="284" spans="4:28">
      <c r="D284" s="3"/>
      <c r="E284" s="45"/>
      <c r="F284" s="3"/>
      <c r="G284" s="45"/>
      <c r="H284" s="3"/>
      <c r="I284" s="45"/>
      <c r="J284" s="3"/>
      <c r="K284" s="45"/>
      <c r="L284" s="3"/>
      <c r="M284" s="45"/>
      <c r="N284" s="3"/>
      <c r="O284" s="45"/>
      <c r="P284" s="3"/>
      <c r="Q284" s="45"/>
      <c r="R284" s="31"/>
      <c r="S284" s="31"/>
      <c r="T284" s="31"/>
      <c r="U284" s="31"/>
      <c r="V284" s="3"/>
      <c r="W284" s="45"/>
      <c r="X284" s="3"/>
      <c r="Y284" s="45"/>
      <c r="Z284" s="3"/>
      <c r="AA284" s="45"/>
      <c r="AB284" s="45"/>
    </row>
    <row r="285" spans="4:28">
      <c r="D285" s="3"/>
      <c r="E285" s="45"/>
      <c r="F285" s="3"/>
      <c r="G285" s="45"/>
      <c r="H285" s="3"/>
      <c r="I285" s="45"/>
      <c r="J285" s="3"/>
      <c r="K285" s="45"/>
      <c r="L285" s="3"/>
      <c r="M285" s="45"/>
      <c r="N285" s="3"/>
      <c r="O285" s="45"/>
      <c r="P285" s="3"/>
      <c r="Q285" s="45"/>
      <c r="R285" s="31"/>
      <c r="S285" s="31"/>
      <c r="T285" s="31"/>
      <c r="U285" s="31"/>
      <c r="V285" s="3"/>
      <c r="W285" s="3"/>
      <c r="X285" s="3"/>
      <c r="Y285" s="3"/>
      <c r="Z285" s="3"/>
      <c r="AA285" s="32" t="s">
        <v>1717</v>
      </c>
      <c r="AB285" s="32"/>
    </row>
    <row r="286" spans="4:28" ht="15">
      <c r="D286" s="31"/>
      <c r="E286" s="505" t="s">
        <v>2526</v>
      </c>
      <c r="F286" s="31"/>
      <c r="G286" s="26"/>
      <c r="H286" s="31"/>
      <c r="I286" s="26"/>
      <c r="J286" s="31"/>
      <c r="K286" s="26"/>
      <c r="L286" s="31"/>
      <c r="M286" s="26"/>
      <c r="N286" s="31"/>
      <c r="O286" s="505" t="s">
        <v>2527</v>
      </c>
      <c r="P286" s="31"/>
      <c r="Q286" s="505" t="s">
        <v>1718</v>
      </c>
      <c r="R286" s="31"/>
      <c r="S286" s="34"/>
      <c r="T286" s="34"/>
      <c r="U286" s="432" t="s">
        <v>1718</v>
      </c>
      <c r="V286" s="32"/>
      <c r="W286" s="432" t="s">
        <v>1718</v>
      </c>
      <c r="X286" s="32"/>
      <c r="Y286" s="432" t="s">
        <v>1718</v>
      </c>
      <c r="Z286" s="3"/>
      <c r="AA286" s="505" t="s">
        <v>2527</v>
      </c>
      <c r="AB286" s="4"/>
    </row>
    <row r="287" spans="4:28" ht="15">
      <c r="D287" s="31"/>
      <c r="E287" s="33" t="s">
        <v>2</v>
      </c>
      <c r="F287" s="31"/>
      <c r="G287" s="26"/>
      <c r="H287" s="31"/>
      <c r="I287" s="26"/>
      <c r="J287" s="31"/>
      <c r="K287" s="33" t="s">
        <v>3</v>
      </c>
      <c r="L287" s="31"/>
      <c r="M287" s="26"/>
      <c r="N287" s="31"/>
      <c r="O287" s="33" t="s">
        <v>4</v>
      </c>
      <c r="P287" s="31"/>
      <c r="Q287" s="33" t="s">
        <v>4</v>
      </c>
      <c r="R287" s="31"/>
      <c r="S287" s="432" t="s">
        <v>1718</v>
      </c>
      <c r="T287" s="31"/>
      <c r="U287" s="516" t="s">
        <v>5</v>
      </c>
      <c r="V287" s="31"/>
      <c r="W287" s="231" t="s">
        <v>1204</v>
      </c>
      <c r="X287" s="5"/>
      <c r="Y287" s="231" t="s">
        <v>11</v>
      </c>
      <c r="Z287" s="5"/>
      <c r="AA287" s="6" t="s">
        <v>4</v>
      </c>
      <c r="AB287" s="6"/>
    </row>
    <row r="288" spans="4:28">
      <c r="D288" s="5"/>
      <c r="E288" s="35" t="s">
        <v>6</v>
      </c>
      <c r="F288" s="31"/>
      <c r="G288" s="35" t="s">
        <v>7</v>
      </c>
      <c r="H288" s="31"/>
      <c r="I288" s="35" t="s">
        <v>8</v>
      </c>
      <c r="J288" s="31"/>
      <c r="K288" s="35" t="s">
        <v>9</v>
      </c>
      <c r="L288" s="31"/>
      <c r="M288" s="35" t="s">
        <v>10</v>
      </c>
      <c r="N288" s="31"/>
      <c r="O288" s="35" t="s">
        <v>6</v>
      </c>
      <c r="P288" s="31"/>
      <c r="Q288" s="35" t="s">
        <v>6</v>
      </c>
      <c r="R288" s="5"/>
      <c r="S288" s="35" t="s">
        <v>11</v>
      </c>
      <c r="T288" s="5"/>
      <c r="U288" s="35" t="s">
        <v>12</v>
      </c>
      <c r="V288" s="31"/>
      <c r="W288" s="10" t="s">
        <v>1205</v>
      </c>
      <c r="X288" s="5"/>
      <c r="Y288" s="10" t="s">
        <v>2187</v>
      </c>
      <c r="Z288" s="5"/>
      <c r="AA288" s="10" t="s">
        <v>6</v>
      </c>
      <c r="AB288" s="10" t="s">
        <v>13</v>
      </c>
    </row>
    <row r="289" spans="1:28">
      <c r="D289" s="8" t="s">
        <v>14</v>
      </c>
      <c r="E289" s="36"/>
      <c r="F289" s="31"/>
      <c r="G289" s="36"/>
      <c r="H289" s="31"/>
      <c r="I289" s="36"/>
      <c r="J289" s="31"/>
      <c r="K289" s="36"/>
      <c r="L289" s="31"/>
      <c r="M289" s="36"/>
      <c r="N289" s="31"/>
      <c r="O289" s="36"/>
      <c r="P289" s="31"/>
      <c r="Q289" s="36"/>
      <c r="R289" s="5"/>
      <c r="S289" s="5"/>
      <c r="T289" s="5"/>
      <c r="U289" s="5"/>
      <c r="V289" s="31"/>
      <c r="W289" s="36"/>
      <c r="X289" s="31"/>
      <c r="Y289" s="36"/>
      <c r="Z289" s="31"/>
      <c r="AA289" s="36"/>
      <c r="AB289" s="36"/>
    </row>
    <row r="290" spans="1:28">
      <c r="D290" s="34" t="s">
        <v>15</v>
      </c>
      <c r="E290" s="26"/>
      <c r="F290" s="31"/>
      <c r="G290" s="26"/>
      <c r="H290" s="31"/>
      <c r="I290" s="26"/>
      <c r="J290" s="31"/>
      <c r="K290" s="26"/>
      <c r="L290" s="31"/>
      <c r="M290" s="26"/>
      <c r="N290" s="31"/>
      <c r="O290" s="26"/>
      <c r="P290" s="31"/>
      <c r="Q290" s="26"/>
      <c r="R290" s="5"/>
      <c r="S290" s="5"/>
      <c r="T290" s="5"/>
      <c r="U290" s="5"/>
      <c r="V290" s="31"/>
      <c r="W290" s="26"/>
      <c r="X290" s="31"/>
      <c r="Y290" s="26"/>
      <c r="Z290" s="31"/>
      <c r="AA290" s="26"/>
      <c r="AB290" s="26"/>
    </row>
    <row r="291" spans="1:28">
      <c r="D291" s="34" t="s">
        <v>3423</v>
      </c>
      <c r="E291" s="26"/>
      <c r="F291" s="31"/>
      <c r="G291" s="26"/>
      <c r="H291" s="31"/>
      <c r="I291" s="26"/>
      <c r="J291" s="31"/>
      <c r="K291" s="26"/>
      <c r="L291" s="31"/>
      <c r="M291" s="26"/>
      <c r="N291" s="31"/>
      <c r="O291" s="26"/>
      <c r="P291" s="31"/>
      <c r="Q291" s="26"/>
      <c r="R291" s="31"/>
      <c r="S291" s="31"/>
      <c r="T291" s="31"/>
      <c r="U291" s="31"/>
      <c r="V291" s="31"/>
      <c r="W291" s="26"/>
      <c r="X291" s="31"/>
      <c r="Y291" s="26"/>
      <c r="Z291" s="31"/>
      <c r="AA291" s="26"/>
      <c r="AB291" s="26"/>
    </row>
    <row r="292" spans="1:28">
      <c r="A292" s="2" t="s">
        <v>108</v>
      </c>
      <c r="B292" s="2" t="s">
        <v>3416</v>
      </c>
      <c r="C292" s="2" t="str">
        <f t="shared" ref="C292:C302" si="17">MID(D292,2,3)</f>
        <v>360</v>
      </c>
      <c r="D292" s="31" t="s">
        <v>102</v>
      </c>
      <c r="E292" s="26">
        <v>475572.52999999997</v>
      </c>
      <c r="F292" s="37"/>
      <c r="G292" s="26">
        <v>0</v>
      </c>
      <c r="H292" s="37"/>
      <c r="I292" s="26">
        <v>0</v>
      </c>
      <c r="J292" s="37"/>
      <c r="K292" s="26">
        <v>0</v>
      </c>
      <c r="L292" s="37"/>
      <c r="M292" s="26">
        <v>0</v>
      </c>
      <c r="N292" s="37"/>
      <c r="O292" s="26">
        <v>475572.52999999997</v>
      </c>
      <c r="P292" s="37"/>
      <c r="Q292" s="26">
        <v>475572.53000000009</v>
      </c>
      <c r="R292" s="31"/>
      <c r="S292" s="38">
        <v>-2499.9499999999903</v>
      </c>
      <c r="T292" s="31"/>
      <c r="U292" s="38">
        <v>473072.58000000007</v>
      </c>
      <c r="V292" s="37"/>
      <c r="W292" s="434"/>
      <c r="X292" s="43"/>
      <c r="Y292" s="17">
        <v>-2499.9499999999903</v>
      </c>
      <c r="Z292" s="43"/>
      <c r="AA292" s="17">
        <v>475572.52999999997</v>
      </c>
      <c r="AB292" s="17">
        <v>0</v>
      </c>
    </row>
    <row r="293" spans="1:28">
      <c r="A293" s="2" t="s">
        <v>108</v>
      </c>
      <c r="B293" s="2" t="s">
        <v>3416</v>
      </c>
      <c r="D293" s="31" t="s">
        <v>18</v>
      </c>
      <c r="E293" s="26">
        <v>0</v>
      </c>
      <c r="F293" s="37"/>
      <c r="G293" s="26">
        <v>0</v>
      </c>
      <c r="H293" s="37"/>
      <c r="I293" s="26">
        <v>0</v>
      </c>
      <c r="J293" s="37"/>
      <c r="K293" s="26">
        <v>0</v>
      </c>
      <c r="L293" s="37"/>
      <c r="M293" s="26">
        <v>0</v>
      </c>
      <c r="N293" s="37"/>
      <c r="O293" s="26">
        <v>0</v>
      </c>
      <c r="P293" s="37"/>
      <c r="Q293" s="26">
        <v>0</v>
      </c>
      <c r="R293" s="31"/>
      <c r="S293" s="38">
        <v>0</v>
      </c>
      <c r="T293" s="31"/>
      <c r="U293" s="38">
        <v>0</v>
      </c>
      <c r="V293" s="37"/>
      <c r="W293" s="26"/>
      <c r="X293" s="37"/>
      <c r="Y293" s="26">
        <v>0</v>
      </c>
      <c r="Z293" s="37"/>
      <c r="AA293" s="26">
        <v>0</v>
      </c>
      <c r="AB293" s="26">
        <v>0</v>
      </c>
    </row>
    <row r="294" spans="1:28">
      <c r="A294" s="2" t="s">
        <v>108</v>
      </c>
      <c r="B294" s="2" t="s">
        <v>3416</v>
      </c>
      <c r="C294" s="2" t="str">
        <f t="shared" si="17"/>
        <v>361</v>
      </c>
      <c r="D294" s="31" t="s">
        <v>19</v>
      </c>
      <c r="E294" s="26">
        <v>2545.13</v>
      </c>
      <c r="F294" s="37"/>
      <c r="G294" s="26">
        <v>0</v>
      </c>
      <c r="H294" s="37"/>
      <c r="I294" s="26">
        <v>0</v>
      </c>
      <c r="J294" s="37"/>
      <c r="K294" s="26">
        <v>0</v>
      </c>
      <c r="L294" s="37"/>
      <c r="M294" s="26">
        <v>0</v>
      </c>
      <c r="N294" s="37"/>
      <c r="O294" s="26">
        <v>2545.13</v>
      </c>
      <c r="P294" s="37"/>
      <c r="Q294" s="26">
        <v>2545.13</v>
      </c>
      <c r="R294" s="31"/>
      <c r="S294" s="38">
        <v>-2558.1800000000003</v>
      </c>
      <c r="T294" s="31"/>
      <c r="U294" s="38">
        <v>-13.050000000000182</v>
      </c>
      <c r="V294" s="37"/>
      <c r="W294" s="26"/>
      <c r="X294" s="37"/>
      <c r="Y294" s="26">
        <v>-2558.1800000000003</v>
      </c>
      <c r="Z294" s="37"/>
      <c r="AA294" s="26">
        <v>2545.13</v>
      </c>
      <c r="AB294" s="26">
        <v>0</v>
      </c>
    </row>
    <row r="295" spans="1:28">
      <c r="A295" s="2" t="s">
        <v>108</v>
      </c>
      <c r="B295" s="2" t="s">
        <v>3416</v>
      </c>
      <c r="C295" s="2" t="str">
        <f t="shared" si="17"/>
        <v>362</v>
      </c>
      <c r="D295" s="31" t="s">
        <v>20</v>
      </c>
      <c r="E295" s="26">
        <v>66880.149999999994</v>
      </c>
      <c r="F295" s="37"/>
      <c r="G295" s="26">
        <v>0</v>
      </c>
      <c r="H295" s="37"/>
      <c r="I295" s="26">
        <v>0</v>
      </c>
      <c r="J295" s="37"/>
      <c r="K295" s="26">
        <v>0</v>
      </c>
      <c r="L295" s="37"/>
      <c r="M295" s="26">
        <v>0</v>
      </c>
      <c r="N295" s="37"/>
      <c r="O295" s="26">
        <v>66880.149999999994</v>
      </c>
      <c r="P295" s="37"/>
      <c r="Q295" s="26">
        <v>66880.14999999998</v>
      </c>
      <c r="R295" s="31"/>
      <c r="S295" s="38">
        <v>-37255.07</v>
      </c>
      <c r="T295" s="31"/>
      <c r="U295" s="38">
        <v>29625.07999999998</v>
      </c>
      <c r="V295" s="37"/>
      <c r="W295" s="26"/>
      <c r="X295" s="37"/>
      <c r="Y295" s="26">
        <v>-37255.07</v>
      </c>
      <c r="Z295" s="37"/>
      <c r="AA295" s="26">
        <v>66880.149999999994</v>
      </c>
      <c r="AB295" s="26">
        <v>0</v>
      </c>
    </row>
    <row r="296" spans="1:28">
      <c r="A296" s="2" t="s">
        <v>108</v>
      </c>
      <c r="B296" s="2" t="s">
        <v>3416</v>
      </c>
      <c r="C296" s="2" t="str">
        <f t="shared" si="17"/>
        <v>364</v>
      </c>
      <c r="D296" s="31" t="s">
        <v>21</v>
      </c>
      <c r="E296" s="26">
        <v>47785.56</v>
      </c>
      <c r="F296" s="37"/>
      <c r="G296" s="26">
        <v>0</v>
      </c>
      <c r="H296" s="37"/>
      <c r="I296" s="26">
        <v>0</v>
      </c>
      <c r="J296" s="37"/>
      <c r="K296" s="26">
        <v>0</v>
      </c>
      <c r="L296" s="37"/>
      <c r="M296" s="26">
        <v>0</v>
      </c>
      <c r="N296" s="37"/>
      <c r="O296" s="26">
        <v>47785.56</v>
      </c>
      <c r="P296" s="37"/>
      <c r="Q296" s="26">
        <v>47785.56</v>
      </c>
      <c r="R296" s="31"/>
      <c r="S296" s="38">
        <v>-49982.530000000006</v>
      </c>
      <c r="T296" s="31"/>
      <c r="U296" s="38">
        <v>-2196.9700000000084</v>
      </c>
      <c r="V296" s="37"/>
      <c r="W296" s="26"/>
      <c r="X296" s="37"/>
      <c r="Y296" s="26">
        <v>-49982.530000000006</v>
      </c>
      <c r="Z296" s="37"/>
      <c r="AA296" s="26">
        <v>47785.56</v>
      </c>
      <c r="AB296" s="26">
        <v>0</v>
      </c>
    </row>
    <row r="297" spans="1:28">
      <c r="A297" s="2" t="s">
        <v>108</v>
      </c>
      <c r="B297" s="2" t="s">
        <v>3416</v>
      </c>
      <c r="C297" s="2" t="str">
        <f t="shared" si="17"/>
        <v>365</v>
      </c>
      <c r="D297" s="31" t="s">
        <v>22</v>
      </c>
      <c r="E297" s="26">
        <v>46763.219999999994</v>
      </c>
      <c r="F297" s="37"/>
      <c r="G297" s="26">
        <v>0</v>
      </c>
      <c r="H297" s="37"/>
      <c r="I297" s="26">
        <v>0</v>
      </c>
      <c r="J297" s="37"/>
      <c r="K297" s="26">
        <v>0</v>
      </c>
      <c r="L297" s="37"/>
      <c r="M297" s="26">
        <v>0</v>
      </c>
      <c r="N297" s="37"/>
      <c r="O297" s="26">
        <v>46763.219999999994</v>
      </c>
      <c r="P297" s="37"/>
      <c r="Q297" s="26">
        <v>46763.22</v>
      </c>
      <c r="R297" s="31"/>
      <c r="S297" s="38">
        <v>-54780.719999999827</v>
      </c>
      <c r="T297" s="31"/>
      <c r="U297" s="38">
        <v>-8017.4999999998254</v>
      </c>
      <c r="V297" s="37"/>
      <c r="W297" s="26"/>
      <c r="X297" s="37"/>
      <c r="Y297" s="26">
        <v>-54780.719999999827</v>
      </c>
      <c r="Z297" s="37"/>
      <c r="AA297" s="26">
        <v>46763.219999999994</v>
      </c>
      <c r="AB297" s="26">
        <v>0</v>
      </c>
    </row>
    <row r="298" spans="1:28">
      <c r="A298" s="2" t="s">
        <v>108</v>
      </c>
      <c r="B298" s="2" t="s">
        <v>3416</v>
      </c>
      <c r="C298" s="2" t="str">
        <f t="shared" si="17"/>
        <v>366</v>
      </c>
      <c r="D298" s="31" t="s">
        <v>23</v>
      </c>
      <c r="E298" s="26">
        <v>0</v>
      </c>
      <c r="F298" s="37"/>
      <c r="G298" s="26">
        <v>0</v>
      </c>
      <c r="H298" s="37"/>
      <c r="I298" s="26">
        <v>0</v>
      </c>
      <c r="J298" s="37"/>
      <c r="K298" s="26">
        <v>0</v>
      </c>
      <c r="L298" s="37"/>
      <c r="M298" s="26">
        <v>0</v>
      </c>
      <c r="N298" s="37"/>
      <c r="O298" s="26">
        <v>0</v>
      </c>
      <c r="P298" s="37"/>
      <c r="Q298" s="26">
        <v>0</v>
      </c>
      <c r="R298" s="31"/>
      <c r="S298" s="38">
        <v>0</v>
      </c>
      <c r="T298" s="31"/>
      <c r="U298" s="38">
        <v>0</v>
      </c>
      <c r="V298" s="37"/>
      <c r="W298" s="26"/>
      <c r="X298" s="37"/>
      <c r="Y298" s="26">
        <v>0</v>
      </c>
      <c r="Z298" s="37"/>
      <c r="AA298" s="26">
        <v>0</v>
      </c>
      <c r="AB298" s="26">
        <v>0</v>
      </c>
    </row>
    <row r="299" spans="1:28">
      <c r="A299" s="2" t="s">
        <v>108</v>
      </c>
      <c r="B299" s="2" t="s">
        <v>3416</v>
      </c>
      <c r="C299" s="2" t="str">
        <f t="shared" si="17"/>
        <v>367</v>
      </c>
      <c r="D299" s="31" t="s">
        <v>109</v>
      </c>
      <c r="E299" s="26">
        <v>0</v>
      </c>
      <c r="F299" s="37"/>
      <c r="G299" s="26">
        <v>0</v>
      </c>
      <c r="H299" s="37"/>
      <c r="I299" s="26">
        <v>0</v>
      </c>
      <c r="J299" s="37"/>
      <c r="K299" s="26">
        <v>0</v>
      </c>
      <c r="L299" s="37"/>
      <c r="M299" s="26">
        <v>0</v>
      </c>
      <c r="N299" s="37"/>
      <c r="O299" s="26">
        <v>0</v>
      </c>
      <c r="P299" s="37"/>
      <c r="Q299" s="26">
        <v>0</v>
      </c>
      <c r="R299" s="31"/>
      <c r="S299" s="38">
        <v>0</v>
      </c>
      <c r="T299" s="31"/>
      <c r="U299" s="38">
        <v>0</v>
      </c>
      <c r="V299" s="37"/>
      <c r="W299" s="26"/>
      <c r="X299" s="37"/>
      <c r="Y299" s="26">
        <v>0</v>
      </c>
      <c r="Z299" s="37"/>
      <c r="AA299" s="26">
        <v>0</v>
      </c>
      <c r="AB299" s="26">
        <v>0</v>
      </c>
    </row>
    <row r="300" spans="1:28">
      <c r="A300" s="2" t="s">
        <v>108</v>
      </c>
      <c r="B300" s="2" t="s">
        <v>3416</v>
      </c>
      <c r="C300" s="2" t="str">
        <f t="shared" si="17"/>
        <v>368</v>
      </c>
      <c r="D300" s="31" t="s">
        <v>25</v>
      </c>
      <c r="E300" s="26">
        <v>3118.2799999999997</v>
      </c>
      <c r="F300" s="37"/>
      <c r="G300" s="26">
        <v>0</v>
      </c>
      <c r="H300" s="37"/>
      <c r="I300" s="26">
        <v>0</v>
      </c>
      <c r="J300" s="37"/>
      <c r="K300" s="26">
        <v>0</v>
      </c>
      <c r="L300" s="37"/>
      <c r="M300" s="26">
        <v>0</v>
      </c>
      <c r="N300" s="37"/>
      <c r="O300" s="26">
        <v>3118.2799999999997</v>
      </c>
      <c r="P300" s="37"/>
      <c r="Q300" s="26">
        <v>3118.2799999999988</v>
      </c>
      <c r="R300" s="31"/>
      <c r="S300" s="38">
        <v>-5301.4099999999771</v>
      </c>
      <c r="T300" s="31"/>
      <c r="U300" s="38">
        <v>-2183.1299999999783</v>
      </c>
      <c r="V300" s="37"/>
      <c r="W300" s="26"/>
      <c r="X300" s="37"/>
      <c r="Y300" s="26">
        <v>-5301.4099999999771</v>
      </c>
      <c r="Z300" s="37"/>
      <c r="AA300" s="26">
        <v>3118.2799999999997</v>
      </c>
      <c r="AB300" s="26">
        <v>0</v>
      </c>
    </row>
    <row r="301" spans="1:28">
      <c r="A301" s="2" t="s">
        <v>108</v>
      </c>
      <c r="B301" s="2" t="s">
        <v>3416</v>
      </c>
      <c r="C301" s="2" t="str">
        <f t="shared" si="17"/>
        <v>369</v>
      </c>
      <c r="D301" s="31" t="s">
        <v>26</v>
      </c>
      <c r="E301" s="26">
        <v>254.62</v>
      </c>
      <c r="F301" s="37"/>
      <c r="G301" s="26">
        <v>0</v>
      </c>
      <c r="H301" s="37"/>
      <c r="I301" s="26">
        <v>0</v>
      </c>
      <c r="J301" s="37"/>
      <c r="K301" s="26">
        <v>0</v>
      </c>
      <c r="L301" s="37"/>
      <c r="M301" s="26">
        <v>0</v>
      </c>
      <c r="N301" s="37"/>
      <c r="O301" s="26">
        <v>254.62</v>
      </c>
      <c r="P301" s="37"/>
      <c r="Q301" s="26">
        <v>254.62</v>
      </c>
      <c r="R301" s="31"/>
      <c r="S301" s="38">
        <v>-1156.8499999999999</v>
      </c>
      <c r="T301" s="31"/>
      <c r="U301" s="38">
        <v>-902.2299999999999</v>
      </c>
      <c r="V301" s="37"/>
      <c r="W301" s="26"/>
      <c r="X301" s="37"/>
      <c r="Y301" s="26">
        <v>-1156.8499999999999</v>
      </c>
      <c r="Z301" s="37"/>
      <c r="AA301" s="26">
        <v>254.62</v>
      </c>
      <c r="AB301" s="26">
        <v>0</v>
      </c>
    </row>
    <row r="302" spans="1:28">
      <c r="A302" s="2" t="s">
        <v>108</v>
      </c>
      <c r="B302" s="2" t="s">
        <v>3416</v>
      </c>
      <c r="C302" s="2" t="str">
        <f t="shared" si="17"/>
        <v>370</v>
      </c>
      <c r="D302" s="31" t="s">
        <v>27</v>
      </c>
      <c r="E302" s="26">
        <v>4199.21</v>
      </c>
      <c r="F302" s="37"/>
      <c r="G302" s="26">
        <v>0</v>
      </c>
      <c r="H302" s="37"/>
      <c r="I302" s="26">
        <v>0</v>
      </c>
      <c r="J302" s="37"/>
      <c r="K302" s="26">
        <v>0</v>
      </c>
      <c r="L302" s="37"/>
      <c r="M302" s="26">
        <v>0</v>
      </c>
      <c r="N302" s="37"/>
      <c r="O302" s="26">
        <v>4199.21</v>
      </c>
      <c r="P302" s="37"/>
      <c r="Q302" s="26">
        <v>4199.21</v>
      </c>
      <c r="R302" s="31"/>
      <c r="S302" s="38">
        <v>-755.04000000000042</v>
      </c>
      <c r="T302" s="31"/>
      <c r="U302" s="38">
        <v>3444.1699999999996</v>
      </c>
      <c r="V302" s="37"/>
      <c r="W302" s="26"/>
      <c r="X302" s="37"/>
      <c r="Y302" s="26">
        <v>-755.04000000000042</v>
      </c>
      <c r="Z302" s="37"/>
      <c r="AA302" s="26">
        <v>4199.21</v>
      </c>
      <c r="AB302" s="26">
        <v>0</v>
      </c>
    </row>
    <row r="303" spans="1:28">
      <c r="A303" s="9" t="s">
        <v>108</v>
      </c>
      <c r="B303" s="2" t="s">
        <v>3416</v>
      </c>
      <c r="C303" s="9"/>
      <c r="D303" s="5" t="s">
        <v>2486</v>
      </c>
      <c r="E303" s="7">
        <v>0</v>
      </c>
      <c r="F303" s="39"/>
      <c r="G303" s="7">
        <v>0</v>
      </c>
      <c r="H303" s="39"/>
      <c r="I303" s="7">
        <v>0</v>
      </c>
      <c r="J303" s="39"/>
      <c r="K303" s="7">
        <v>0</v>
      </c>
      <c r="L303" s="39"/>
      <c r="M303" s="7">
        <v>0</v>
      </c>
      <c r="N303" s="39"/>
      <c r="O303" s="7">
        <v>0</v>
      </c>
      <c r="P303" s="39"/>
      <c r="Q303" s="7">
        <v>0</v>
      </c>
      <c r="R303" s="5"/>
      <c r="S303" s="13">
        <v>0</v>
      </c>
      <c r="T303" s="5"/>
      <c r="U303" s="13">
        <v>0</v>
      </c>
      <c r="V303" s="39"/>
      <c r="W303" s="7"/>
      <c r="X303" s="39"/>
      <c r="Y303" s="7">
        <v>0</v>
      </c>
      <c r="Z303" s="39"/>
      <c r="AA303" s="7">
        <v>0</v>
      </c>
      <c r="AB303" s="7">
        <v>0</v>
      </c>
    </row>
    <row r="304" spans="1:28">
      <c r="A304" s="2" t="s">
        <v>108</v>
      </c>
      <c r="B304" s="2" t="s">
        <v>3416</v>
      </c>
      <c r="C304" s="2" t="str">
        <f t="shared" ref="C304" si="18">MID(D304,2,3)</f>
        <v>371</v>
      </c>
      <c r="D304" s="31" t="s">
        <v>28</v>
      </c>
      <c r="E304" s="41">
        <v>0</v>
      </c>
      <c r="F304" s="40"/>
      <c r="G304" s="41">
        <v>0</v>
      </c>
      <c r="H304" s="40"/>
      <c r="I304" s="41">
        <v>0</v>
      </c>
      <c r="J304" s="40"/>
      <c r="K304" s="41">
        <v>0</v>
      </c>
      <c r="L304" s="40"/>
      <c r="M304" s="41">
        <v>0</v>
      </c>
      <c r="N304" s="40"/>
      <c r="O304" s="41">
        <v>0</v>
      </c>
      <c r="P304" s="40"/>
      <c r="Q304" s="41">
        <v>0</v>
      </c>
      <c r="R304" s="46"/>
      <c r="S304" s="42">
        <v>0</v>
      </c>
      <c r="T304" s="31"/>
      <c r="U304" s="42">
        <v>0</v>
      </c>
      <c r="V304" s="40"/>
      <c r="W304" s="41"/>
      <c r="X304" s="40"/>
      <c r="Y304" s="41">
        <v>0</v>
      </c>
      <c r="Z304" s="40"/>
      <c r="AA304" s="41">
        <v>0</v>
      </c>
      <c r="AB304" s="41">
        <v>0</v>
      </c>
    </row>
    <row r="305" spans="1:28">
      <c r="B305" s="2" t="s">
        <v>3416</v>
      </c>
      <c r="D305" s="31"/>
      <c r="E305" s="24">
        <v>647118.69999999984</v>
      </c>
      <c r="F305" s="40"/>
      <c r="G305" s="24">
        <v>0</v>
      </c>
      <c r="H305" s="40"/>
      <c r="I305" s="24">
        <v>0</v>
      </c>
      <c r="J305" s="40"/>
      <c r="K305" s="24">
        <v>0</v>
      </c>
      <c r="L305" s="40"/>
      <c r="M305" s="24">
        <v>0</v>
      </c>
      <c r="N305" s="40"/>
      <c r="O305" s="24">
        <v>647118.69999999984</v>
      </c>
      <c r="P305" s="40"/>
      <c r="Q305" s="24">
        <v>647118.70000000007</v>
      </c>
      <c r="R305" s="46"/>
      <c r="S305" s="24">
        <v>-154289.74999999983</v>
      </c>
      <c r="T305" s="31"/>
      <c r="U305" s="24">
        <v>492828.95000000019</v>
      </c>
      <c r="V305" s="40"/>
      <c r="W305" s="24">
        <v>0</v>
      </c>
      <c r="X305" s="40"/>
      <c r="Y305" s="24">
        <v>-154289.74999999983</v>
      </c>
      <c r="Z305" s="40">
        <v>0</v>
      </c>
      <c r="AA305" s="24">
        <v>647118.69999999984</v>
      </c>
      <c r="AB305" s="24">
        <v>0</v>
      </c>
    </row>
    <row r="306" spans="1:28">
      <c r="B306" s="2" t="s">
        <v>3416</v>
      </c>
      <c r="D306" s="31"/>
      <c r="E306" s="24"/>
      <c r="F306" s="40"/>
      <c r="G306" s="24"/>
      <c r="H306" s="40"/>
      <c r="I306" s="24"/>
      <c r="J306" s="40"/>
      <c r="K306" s="24"/>
      <c r="L306" s="40"/>
      <c r="M306" s="24"/>
      <c r="N306" s="40"/>
      <c r="O306" s="24"/>
      <c r="P306" s="40"/>
      <c r="Q306" s="24"/>
      <c r="R306" s="46"/>
      <c r="S306" s="31"/>
      <c r="T306" s="31"/>
      <c r="U306" s="31"/>
      <c r="V306" s="40"/>
      <c r="W306" s="24"/>
      <c r="X306" s="40"/>
      <c r="Y306" s="24"/>
      <c r="Z306" s="40"/>
      <c r="AA306" s="24"/>
      <c r="AB306" s="24"/>
    </row>
    <row r="307" spans="1:28">
      <c r="B307" s="2" t="s">
        <v>3416</v>
      </c>
      <c r="D307" s="34" t="s">
        <v>3428</v>
      </c>
      <c r="E307" s="24"/>
      <c r="F307" s="40"/>
      <c r="G307" s="24"/>
      <c r="H307" s="40"/>
      <c r="I307" s="24"/>
      <c r="J307" s="40"/>
      <c r="K307" s="24"/>
      <c r="L307" s="40"/>
      <c r="M307" s="24"/>
      <c r="N307" s="40"/>
      <c r="O307" s="24"/>
      <c r="P307" s="40"/>
      <c r="Q307" s="24"/>
      <c r="R307" s="46"/>
      <c r="S307" s="31"/>
      <c r="T307" s="31"/>
      <c r="U307" s="31"/>
      <c r="V307" s="40"/>
      <c r="W307" s="24"/>
      <c r="X307" s="40"/>
      <c r="Y307" s="24"/>
      <c r="Z307" s="40"/>
      <c r="AA307" s="24"/>
      <c r="AB307" s="24"/>
    </row>
    <row r="308" spans="1:28">
      <c r="A308" s="2" t="s">
        <v>108</v>
      </c>
      <c r="B308" s="2" t="s">
        <v>3416</v>
      </c>
      <c r="C308" s="2" t="str">
        <f t="shared" ref="C308:C310" si="19">MID(D308,2,3)</f>
        <v>350</v>
      </c>
      <c r="D308" s="31" t="s">
        <v>85</v>
      </c>
      <c r="E308" s="24">
        <v>439.53</v>
      </c>
      <c r="F308" s="40"/>
      <c r="G308" s="24">
        <v>0</v>
      </c>
      <c r="H308" s="40"/>
      <c r="I308" s="24">
        <v>0</v>
      </c>
      <c r="J308" s="40"/>
      <c r="K308" s="24">
        <v>0</v>
      </c>
      <c r="L308" s="40"/>
      <c r="M308" s="24">
        <v>0</v>
      </c>
      <c r="N308" s="40"/>
      <c r="O308" s="24">
        <v>439.53</v>
      </c>
      <c r="P308" s="40"/>
      <c r="Q308" s="24">
        <v>439.52999999999992</v>
      </c>
      <c r="R308" s="46"/>
      <c r="S308" s="38">
        <v>-376.03999999999905</v>
      </c>
      <c r="T308" s="31"/>
      <c r="U308" s="38">
        <v>63.490000000000862</v>
      </c>
      <c r="V308" s="40"/>
      <c r="W308" s="24"/>
      <c r="X308" s="40"/>
      <c r="Y308" s="24">
        <v>-376.03999999999905</v>
      </c>
      <c r="Z308" s="40"/>
      <c r="AA308" s="24">
        <v>439.53</v>
      </c>
      <c r="AB308" s="24">
        <v>0</v>
      </c>
    </row>
    <row r="309" spans="1:28">
      <c r="A309" s="2" t="s">
        <v>108</v>
      </c>
      <c r="B309" s="2" t="s">
        <v>3416</v>
      </c>
      <c r="C309" s="2" t="str">
        <f t="shared" si="19"/>
        <v>355</v>
      </c>
      <c r="D309" s="31" t="s">
        <v>93</v>
      </c>
      <c r="E309" s="24">
        <v>128751.53</v>
      </c>
      <c r="F309" s="40"/>
      <c r="G309" s="24">
        <v>0</v>
      </c>
      <c r="H309" s="40"/>
      <c r="I309" s="24">
        <v>0</v>
      </c>
      <c r="J309" s="40"/>
      <c r="K309" s="24">
        <v>0</v>
      </c>
      <c r="L309" s="40"/>
      <c r="M309" s="24">
        <v>0</v>
      </c>
      <c r="N309" s="40"/>
      <c r="O309" s="24">
        <v>128751.53</v>
      </c>
      <c r="P309" s="40"/>
      <c r="Q309" s="24">
        <v>128751.53</v>
      </c>
      <c r="R309" s="46"/>
      <c r="S309" s="38">
        <v>-95114.469999999899</v>
      </c>
      <c r="T309" s="31"/>
      <c r="U309" s="38">
        <v>33637.0600000001</v>
      </c>
      <c r="V309" s="40"/>
      <c r="W309" s="24"/>
      <c r="X309" s="40"/>
      <c r="Y309" s="24">
        <v>-95114.469999999899</v>
      </c>
      <c r="Z309" s="40"/>
      <c r="AA309" s="24">
        <v>128751.53</v>
      </c>
      <c r="AB309" s="24">
        <v>0</v>
      </c>
    </row>
    <row r="310" spans="1:28">
      <c r="A310" s="2" t="s">
        <v>108</v>
      </c>
      <c r="B310" s="2" t="s">
        <v>3416</v>
      </c>
      <c r="C310" s="2" t="str">
        <f t="shared" si="19"/>
        <v>356</v>
      </c>
      <c r="D310" s="31" t="s">
        <v>94</v>
      </c>
      <c r="E310" s="41">
        <v>80691.329999999987</v>
      </c>
      <c r="F310" s="40"/>
      <c r="G310" s="41">
        <v>0</v>
      </c>
      <c r="H310" s="40"/>
      <c r="I310" s="41">
        <v>0</v>
      </c>
      <c r="J310" s="40"/>
      <c r="K310" s="41">
        <v>0</v>
      </c>
      <c r="L310" s="40"/>
      <c r="M310" s="41">
        <v>0</v>
      </c>
      <c r="N310" s="40"/>
      <c r="O310" s="41">
        <v>80691.329999999987</v>
      </c>
      <c r="P310" s="40"/>
      <c r="Q310" s="41">
        <v>80691.33</v>
      </c>
      <c r="R310" s="46"/>
      <c r="S310" s="42">
        <v>-56359.369999999995</v>
      </c>
      <c r="T310" s="31"/>
      <c r="U310" s="42">
        <v>24331.960000000006</v>
      </c>
      <c r="V310" s="40"/>
      <c r="W310" s="41"/>
      <c r="X310" s="40"/>
      <c r="Y310" s="41">
        <v>-56359.369999999995</v>
      </c>
      <c r="Z310" s="40"/>
      <c r="AA310" s="41">
        <v>80691.329999999987</v>
      </c>
      <c r="AB310" s="41">
        <v>0</v>
      </c>
    </row>
    <row r="311" spans="1:28">
      <c r="B311" s="2" t="s">
        <v>3416</v>
      </c>
      <c r="D311" s="31"/>
      <c r="E311" s="24">
        <v>209882.38999999998</v>
      </c>
      <c r="F311" s="40"/>
      <c r="G311" s="24">
        <v>0</v>
      </c>
      <c r="H311" s="40"/>
      <c r="I311" s="24">
        <v>0</v>
      </c>
      <c r="J311" s="40"/>
      <c r="K311" s="24">
        <v>0</v>
      </c>
      <c r="L311" s="40"/>
      <c r="M311" s="24">
        <v>0</v>
      </c>
      <c r="N311" s="40"/>
      <c r="O311" s="24">
        <v>209882.38999999998</v>
      </c>
      <c r="P311" s="40"/>
      <c r="Q311" s="24">
        <v>209882.39</v>
      </c>
      <c r="R311" s="46"/>
      <c r="S311" s="24">
        <v>-151849.87999999989</v>
      </c>
      <c r="T311" s="31"/>
      <c r="U311" s="24">
        <v>58032.510000000104</v>
      </c>
      <c r="V311" s="40"/>
      <c r="W311" s="24">
        <v>0</v>
      </c>
      <c r="X311" s="40"/>
      <c r="Y311" s="24">
        <v>-151849.87999999989</v>
      </c>
      <c r="Z311" s="40">
        <v>0</v>
      </c>
      <c r="AA311" s="24">
        <v>209882.38999999998</v>
      </c>
      <c r="AB311" s="24">
        <v>0</v>
      </c>
    </row>
    <row r="312" spans="1:28">
      <c r="B312" s="2" t="s">
        <v>3416</v>
      </c>
      <c r="D312" s="31"/>
      <c r="E312" s="24"/>
      <c r="F312" s="40"/>
      <c r="G312" s="24"/>
      <c r="H312" s="40"/>
      <c r="I312" s="24"/>
      <c r="J312" s="40"/>
      <c r="K312" s="24"/>
      <c r="L312" s="40"/>
      <c r="M312" s="24"/>
      <c r="N312" s="40"/>
      <c r="O312" s="24"/>
      <c r="P312" s="40"/>
      <c r="Q312" s="24"/>
      <c r="R312" s="46"/>
      <c r="S312" s="31"/>
      <c r="T312" s="31"/>
      <c r="U312" s="31"/>
      <c r="V312" s="40"/>
      <c r="W312" s="24"/>
      <c r="X312" s="40"/>
      <c r="Y312" s="24"/>
      <c r="Z312" s="40"/>
      <c r="AA312" s="24"/>
      <c r="AB312" s="24"/>
    </row>
    <row r="313" spans="1:28">
      <c r="B313" s="2" t="s">
        <v>3416</v>
      </c>
      <c r="D313" s="31"/>
      <c r="E313" s="26"/>
      <c r="F313" s="37"/>
      <c r="G313" s="26"/>
      <c r="H313" s="37"/>
      <c r="I313" s="26"/>
      <c r="J313" s="37"/>
      <c r="K313" s="26"/>
      <c r="L313" s="37"/>
      <c r="M313" s="26"/>
      <c r="N313" s="37"/>
      <c r="O313" s="26"/>
      <c r="P313" s="37"/>
      <c r="Q313" s="26"/>
      <c r="R313" s="31"/>
      <c r="S313" s="31"/>
      <c r="T313" s="31"/>
      <c r="U313" s="31"/>
      <c r="V313" s="37"/>
      <c r="W313" s="26"/>
      <c r="X313" s="37"/>
      <c r="Y313" s="26"/>
      <c r="Z313" s="37"/>
      <c r="AA313" s="26"/>
      <c r="AB313" s="26"/>
    </row>
    <row r="314" spans="1:28" ht="13.5" thickBot="1">
      <c r="B314" s="2" t="s">
        <v>3416</v>
      </c>
      <c r="D314" s="34" t="s">
        <v>110</v>
      </c>
      <c r="E314" s="44">
        <v>857001.08999999985</v>
      </c>
      <c r="F314" s="37"/>
      <c r="G314" s="44">
        <v>0</v>
      </c>
      <c r="H314" s="37"/>
      <c r="I314" s="44">
        <v>0</v>
      </c>
      <c r="J314" s="37"/>
      <c r="K314" s="44">
        <v>0</v>
      </c>
      <c r="L314" s="37"/>
      <c r="M314" s="44">
        <v>0</v>
      </c>
      <c r="N314" s="37"/>
      <c r="O314" s="44">
        <v>857001.08999999985</v>
      </c>
      <c r="P314" s="37"/>
      <c r="Q314" s="44">
        <v>857001.09000000008</v>
      </c>
      <c r="R314" s="31"/>
      <c r="S314" s="44">
        <v>-306139.62999999971</v>
      </c>
      <c r="T314" s="31"/>
      <c r="U314" s="44">
        <v>550861.46000000031</v>
      </c>
      <c r="V314" s="37"/>
      <c r="W314" s="44">
        <v>0</v>
      </c>
      <c r="X314" s="37"/>
      <c r="Y314" s="44">
        <v>-306139.62999999971</v>
      </c>
      <c r="Z314" s="37"/>
      <c r="AA314" s="44">
        <v>857001.08999999985</v>
      </c>
      <c r="AB314" s="44">
        <v>0</v>
      </c>
    </row>
    <row r="315" spans="1:28" ht="13.5" thickTop="1"/>
    <row r="318" spans="1:28">
      <c r="D318" s="506" t="s">
        <v>0</v>
      </c>
      <c r="E318" s="506"/>
      <c r="F318" s="506"/>
      <c r="G318" s="506"/>
      <c r="H318" s="506"/>
      <c r="I318" s="506"/>
      <c r="J318" s="506"/>
      <c r="K318" s="506"/>
      <c r="L318" s="506"/>
      <c r="M318" s="506"/>
      <c r="N318" s="506"/>
      <c r="O318" s="506"/>
      <c r="P318" s="506"/>
      <c r="Q318" s="506"/>
    </row>
    <row r="319" spans="1:28">
      <c r="D319" s="506" t="s">
        <v>111</v>
      </c>
      <c r="E319" s="506"/>
      <c r="F319" s="506"/>
      <c r="G319" s="506"/>
      <c r="H319" s="506"/>
      <c r="I319" s="506"/>
      <c r="J319" s="506"/>
      <c r="K319" s="506"/>
      <c r="L319" s="506"/>
      <c r="M319" s="506"/>
      <c r="N319" s="506"/>
      <c r="O319" s="506"/>
      <c r="P319" s="506"/>
      <c r="Q319" s="506"/>
    </row>
    <row r="320" spans="1:28">
      <c r="D320" s="499" t="str">
        <f>D$3</f>
        <v>FORECAST PERIOD: APRIL 2020</v>
      </c>
      <c r="E320" s="507"/>
      <c r="F320" s="507"/>
      <c r="G320" s="507"/>
      <c r="H320" s="507"/>
      <c r="I320" s="507"/>
      <c r="J320" s="507"/>
      <c r="K320" s="507"/>
      <c r="L320" s="507"/>
      <c r="M320" s="507"/>
      <c r="N320" s="507"/>
      <c r="O320" s="507"/>
      <c r="P320" s="507"/>
      <c r="Q320" s="507"/>
      <c r="W320" s="2"/>
      <c r="Y320" s="2"/>
      <c r="AA320" s="2"/>
      <c r="AB320" s="2"/>
    </row>
    <row r="321" spans="1:28">
      <c r="D321" s="32"/>
      <c r="E321" s="32"/>
      <c r="F321" s="32"/>
      <c r="G321" s="32"/>
      <c r="H321" s="32"/>
      <c r="I321" s="32"/>
      <c r="J321" s="32"/>
      <c r="K321" s="32"/>
      <c r="L321" s="32"/>
      <c r="M321" s="32"/>
      <c r="N321" s="32"/>
      <c r="O321" s="32"/>
      <c r="P321" s="32"/>
      <c r="Q321" s="32"/>
      <c r="W321" s="2"/>
      <c r="Y321" s="2"/>
      <c r="AA321" s="32" t="s">
        <v>1717</v>
      </c>
      <c r="AB321" s="2"/>
    </row>
    <row r="322" spans="1:28">
      <c r="E322" s="508" t="s">
        <v>2526</v>
      </c>
      <c r="G322" s="2"/>
      <c r="I322" s="2"/>
      <c r="K322" s="2"/>
      <c r="M322" s="2"/>
      <c r="O322" s="508" t="s">
        <v>2527</v>
      </c>
      <c r="Q322" s="508" t="s">
        <v>1718</v>
      </c>
      <c r="W322" s="2"/>
      <c r="Y322" s="2"/>
      <c r="AA322" s="508" t="s">
        <v>2527</v>
      </c>
      <c r="AB322" s="2"/>
    </row>
    <row r="323" spans="1:28">
      <c r="E323" s="62" t="s">
        <v>2</v>
      </c>
      <c r="K323" s="62" t="s">
        <v>3</v>
      </c>
      <c r="O323" s="62" t="s">
        <v>4</v>
      </c>
      <c r="Q323" s="62" t="s">
        <v>4</v>
      </c>
      <c r="V323" s="32"/>
      <c r="W323" s="32"/>
      <c r="X323" s="32"/>
      <c r="Y323" s="32"/>
      <c r="Z323" s="32"/>
      <c r="AA323" s="6" t="s">
        <v>4</v>
      </c>
      <c r="AB323" s="32"/>
    </row>
    <row r="324" spans="1:28">
      <c r="D324" s="9"/>
      <c r="E324" s="63" t="s">
        <v>6</v>
      </c>
      <c r="G324" s="63" t="s">
        <v>7</v>
      </c>
      <c r="I324" s="63" t="s">
        <v>8</v>
      </c>
      <c r="K324" s="63" t="s">
        <v>9</v>
      </c>
      <c r="M324" s="63" t="s">
        <v>10</v>
      </c>
      <c r="O324" s="63" t="s">
        <v>6</v>
      </c>
      <c r="Q324" s="63" t="s">
        <v>6</v>
      </c>
      <c r="V324" s="3"/>
      <c r="W324" s="435"/>
      <c r="X324" s="435"/>
      <c r="Y324" s="435"/>
      <c r="Z324" s="3"/>
      <c r="AA324" s="10" t="s">
        <v>6</v>
      </c>
      <c r="AB324" s="10" t="s">
        <v>13</v>
      </c>
    </row>
    <row r="325" spans="1:28">
      <c r="D325" s="9"/>
      <c r="E325" s="64"/>
      <c r="G325" s="64"/>
      <c r="I325" s="64"/>
      <c r="K325" s="64"/>
      <c r="M325" s="64"/>
      <c r="O325" s="64"/>
      <c r="Q325" s="64"/>
      <c r="W325" s="64"/>
      <c r="X325" s="29"/>
      <c r="Y325" s="64"/>
      <c r="AA325" s="64"/>
      <c r="AB325" s="64"/>
    </row>
    <row r="326" spans="1:28">
      <c r="D326" s="47" t="s">
        <v>112</v>
      </c>
      <c r="E326" s="2"/>
      <c r="G326" s="2"/>
      <c r="I326" s="2"/>
      <c r="K326" s="2"/>
      <c r="M326" s="2"/>
      <c r="O326" s="2"/>
      <c r="Q326" s="2"/>
      <c r="W326" s="64"/>
      <c r="X326" s="29"/>
      <c r="Y326" s="64"/>
      <c r="AA326" s="2"/>
      <c r="AB326" s="2"/>
    </row>
    <row r="327" spans="1:28">
      <c r="D327" s="23" t="s">
        <v>16</v>
      </c>
      <c r="E327" s="2"/>
      <c r="G327" s="2"/>
      <c r="I327" s="2"/>
      <c r="K327" s="2"/>
      <c r="M327" s="2"/>
      <c r="O327" s="2"/>
      <c r="Q327" s="2"/>
      <c r="W327" s="64"/>
      <c r="X327" s="29"/>
      <c r="Y327" s="64"/>
      <c r="AA327" s="2"/>
      <c r="AB327" s="2"/>
    </row>
    <row r="328" spans="1:28">
      <c r="A328" s="9" t="s">
        <v>17</v>
      </c>
      <c r="B328" s="9" t="s">
        <v>3417</v>
      </c>
      <c r="D328" s="2" t="s">
        <v>18</v>
      </c>
      <c r="E328" s="232">
        <v>1147334.75</v>
      </c>
      <c r="F328" s="232"/>
      <c r="G328" s="232">
        <v>0</v>
      </c>
      <c r="H328" s="232"/>
      <c r="I328" s="232">
        <v>0</v>
      </c>
      <c r="J328" s="232"/>
      <c r="K328" s="232">
        <v>0</v>
      </c>
      <c r="L328" s="232"/>
      <c r="M328" s="232">
        <v>0</v>
      </c>
      <c r="N328" s="232"/>
      <c r="O328" s="232">
        <v>1147334.75</v>
      </c>
      <c r="P328" s="232"/>
      <c r="Q328" s="232">
        <v>1147334.75</v>
      </c>
      <c r="S328" s="232">
        <v>0</v>
      </c>
      <c r="W328" s="29"/>
      <c r="X328" s="29"/>
      <c r="Y328" s="29"/>
      <c r="AA328" s="232">
        <v>1147334.75</v>
      </c>
      <c r="AB328" s="232">
        <v>0</v>
      </c>
    </row>
    <row r="329" spans="1:28">
      <c r="A329" s="9" t="s">
        <v>101</v>
      </c>
      <c r="B329" s="9" t="s">
        <v>3417</v>
      </c>
      <c r="D329" s="2" t="s">
        <v>2191</v>
      </c>
      <c r="E329" s="233">
        <v>324087.84000000003</v>
      </c>
      <c r="G329" s="233">
        <v>0</v>
      </c>
      <c r="I329" s="233">
        <v>0</v>
      </c>
      <c r="K329" s="233">
        <v>0</v>
      </c>
      <c r="M329" s="233">
        <v>0</v>
      </c>
      <c r="O329" s="233">
        <v>324087.84000000003</v>
      </c>
      <c r="Q329" s="233">
        <v>324087.84000000008</v>
      </c>
      <c r="S329" s="233">
        <v>0</v>
      </c>
      <c r="W329" s="29"/>
      <c r="X329" s="29"/>
      <c r="Y329" s="29"/>
      <c r="AA329" s="233">
        <v>324087.84000000003</v>
      </c>
      <c r="AB329" s="233">
        <v>0</v>
      </c>
    </row>
    <row r="330" spans="1:28">
      <c r="B330" s="9" t="s">
        <v>3417</v>
      </c>
      <c r="E330" s="232">
        <v>1471422.5899999999</v>
      </c>
      <c r="F330" s="232"/>
      <c r="G330" s="232"/>
      <c r="H330" s="232"/>
      <c r="I330" s="232"/>
      <c r="J330" s="232"/>
      <c r="K330" s="232"/>
      <c r="L330" s="232"/>
      <c r="M330" s="232"/>
      <c r="N330" s="232"/>
      <c r="O330" s="232">
        <v>1471422.5899999999</v>
      </c>
      <c r="P330" s="232"/>
      <c r="Q330" s="232">
        <v>1471422.5899999999</v>
      </c>
      <c r="S330" s="232"/>
      <c r="V330" s="232"/>
      <c r="W330" s="232"/>
      <c r="X330" s="232"/>
      <c r="Y330" s="232"/>
      <c r="Z330" s="232"/>
      <c r="AA330" s="232">
        <v>1471422.59</v>
      </c>
      <c r="AB330" s="232">
        <v>0</v>
      </c>
    </row>
    <row r="331" spans="1:28">
      <c r="B331" s="9" t="s">
        <v>3417</v>
      </c>
      <c r="D331" s="47"/>
      <c r="E331" s="2"/>
      <c r="G331" s="2"/>
      <c r="I331" s="2"/>
      <c r="K331" s="2"/>
      <c r="M331" s="2"/>
      <c r="O331" s="2"/>
      <c r="Q331" s="2"/>
      <c r="W331" s="232"/>
      <c r="X331" s="29"/>
      <c r="Y331" s="232"/>
      <c r="AA331" s="2"/>
      <c r="AB331" s="2"/>
    </row>
    <row r="332" spans="1:28" ht="15">
      <c r="B332" s="9" t="s">
        <v>3417</v>
      </c>
      <c r="D332" s="436" t="s">
        <v>2192</v>
      </c>
      <c r="E332"/>
      <c r="F332"/>
      <c r="G332"/>
      <c r="H332"/>
      <c r="I332"/>
      <c r="J332"/>
      <c r="K332"/>
      <c r="L332"/>
      <c r="M332"/>
      <c r="N332"/>
      <c r="O332"/>
      <c r="P332"/>
      <c r="Q332"/>
      <c r="R332" s="293"/>
      <c r="S332"/>
      <c r="T332" s="293"/>
      <c r="U332" s="293"/>
      <c r="V332" s="232"/>
      <c r="W332" s="232"/>
      <c r="X332" s="232"/>
      <c r="Y332" s="232"/>
      <c r="Z332" s="232"/>
      <c r="AA332"/>
      <c r="AB332"/>
    </row>
    <row r="333" spans="1:28" ht="15">
      <c r="A333" s="2" t="s">
        <v>17</v>
      </c>
      <c r="B333" s="9" t="s">
        <v>3417</v>
      </c>
      <c r="D333" s="198" t="s">
        <v>62</v>
      </c>
      <c r="E333" s="233">
        <v>309540.84999999998</v>
      </c>
      <c r="G333" s="233">
        <v>0</v>
      </c>
      <c r="I333" s="233">
        <v>0</v>
      </c>
      <c r="K333" s="233">
        <v>0</v>
      </c>
      <c r="M333" s="233">
        <v>0</v>
      </c>
      <c r="O333" s="233">
        <v>309540.84999999998</v>
      </c>
      <c r="Q333" s="233">
        <v>309540.84999999992</v>
      </c>
      <c r="R333" s="293"/>
      <c r="S333" s="233">
        <v>0</v>
      </c>
      <c r="T333" s="293"/>
      <c r="U333" s="293"/>
      <c r="W333" s="29"/>
      <c r="X333" s="29"/>
      <c r="Y333" s="29"/>
      <c r="AA333" s="233">
        <v>309540.84999999998</v>
      </c>
      <c r="AB333" s="233">
        <v>0</v>
      </c>
    </row>
    <row r="334" spans="1:28" ht="15">
      <c r="B334" s="9" t="s">
        <v>3417</v>
      </c>
      <c r="D334" s="436"/>
      <c r="E334" s="232">
        <v>309540.84999999998</v>
      </c>
      <c r="F334" s="232"/>
      <c r="G334" s="232"/>
      <c r="H334" s="232"/>
      <c r="I334" s="232"/>
      <c r="J334" s="232"/>
      <c r="K334" s="232"/>
      <c r="L334" s="232"/>
      <c r="M334" s="232"/>
      <c r="N334" s="232"/>
      <c r="O334" s="232">
        <v>309540.84999999998</v>
      </c>
      <c r="P334" s="232"/>
      <c r="Q334" s="232">
        <v>309540.84999999998</v>
      </c>
      <c r="R334" s="293"/>
      <c r="S334" s="232"/>
      <c r="T334" s="293"/>
      <c r="U334" s="293"/>
      <c r="V334"/>
      <c r="W334" s="437"/>
      <c r="X334" s="437"/>
      <c r="Y334" s="437"/>
      <c r="Z334"/>
      <c r="AA334" s="232">
        <v>309540.84999999998</v>
      </c>
      <c r="AB334" s="232">
        <v>0</v>
      </c>
    </row>
    <row r="335" spans="1:28" ht="15">
      <c r="B335" s="9" t="s">
        <v>3417</v>
      </c>
      <c r="D335" s="436"/>
      <c r="E335"/>
      <c r="F335"/>
      <c r="G335"/>
      <c r="H335"/>
      <c r="I335"/>
      <c r="J335"/>
      <c r="K335"/>
      <c r="L335"/>
      <c r="M335"/>
      <c r="N335"/>
      <c r="O335"/>
      <c r="P335"/>
      <c r="Q335"/>
      <c r="R335" s="293"/>
      <c r="S335"/>
      <c r="T335" s="293"/>
      <c r="U335" s="293"/>
      <c r="W335" s="232"/>
      <c r="X335" s="29"/>
      <c r="Y335" s="232"/>
      <c r="AA335"/>
      <c r="AB335"/>
    </row>
    <row r="336" spans="1:28">
      <c r="B336" s="9" t="s">
        <v>3417</v>
      </c>
      <c r="D336" s="47"/>
      <c r="E336" s="2"/>
      <c r="G336" s="2"/>
      <c r="I336" s="2"/>
      <c r="K336" s="2"/>
      <c r="M336" s="2"/>
      <c r="O336" s="2"/>
      <c r="Q336" s="2"/>
      <c r="V336" s="232"/>
      <c r="W336" s="232"/>
      <c r="X336" s="232"/>
      <c r="Y336" s="232"/>
      <c r="Z336" s="232"/>
      <c r="AA336" s="2"/>
      <c r="AB336" s="2"/>
    </row>
    <row r="337" spans="1:28" ht="15">
      <c r="B337" s="9" t="s">
        <v>3417</v>
      </c>
      <c r="D337" s="23" t="s">
        <v>113</v>
      </c>
      <c r="E337" s="232"/>
      <c r="F337" s="232"/>
      <c r="G337" s="232"/>
      <c r="H337" s="232"/>
      <c r="I337" s="232"/>
      <c r="J337" s="232"/>
      <c r="K337" s="232"/>
      <c r="L337" s="232"/>
      <c r="M337" s="232"/>
      <c r="N337" s="232"/>
      <c r="O337" s="232"/>
      <c r="P337" s="232"/>
      <c r="Q337" s="232"/>
      <c r="S337" s="232"/>
      <c r="V337"/>
      <c r="W337" s="437"/>
      <c r="X337" s="437"/>
      <c r="Y337" s="437"/>
      <c r="Z337"/>
      <c r="AA337"/>
      <c r="AB337"/>
    </row>
    <row r="338" spans="1:28">
      <c r="B338" s="9" t="s">
        <v>3417</v>
      </c>
      <c r="D338" s="2" t="s">
        <v>73</v>
      </c>
      <c r="E338" s="232">
        <v>0</v>
      </c>
      <c r="F338" s="232"/>
      <c r="G338" s="232">
        <v>0</v>
      </c>
      <c r="H338" s="232"/>
      <c r="I338" s="232">
        <v>0</v>
      </c>
      <c r="J338" s="232"/>
      <c r="K338" s="232">
        <v>0</v>
      </c>
      <c r="L338" s="232"/>
      <c r="M338" s="232">
        <v>0</v>
      </c>
      <c r="N338" s="232"/>
      <c r="O338" s="232">
        <v>0</v>
      </c>
      <c r="P338" s="232"/>
      <c r="Q338" s="232">
        <v>0</v>
      </c>
      <c r="S338" s="232">
        <v>0</v>
      </c>
      <c r="W338" s="29"/>
      <c r="X338" s="29"/>
      <c r="Y338" s="29"/>
      <c r="AA338" s="2"/>
      <c r="AB338" s="2"/>
    </row>
    <row r="339" spans="1:28">
      <c r="B339" s="9" t="s">
        <v>3417</v>
      </c>
      <c r="D339" s="2" t="s">
        <v>74</v>
      </c>
      <c r="E339" s="232">
        <v>0</v>
      </c>
      <c r="F339" s="232"/>
      <c r="G339" s="232">
        <v>0</v>
      </c>
      <c r="H339" s="232"/>
      <c r="I339" s="232">
        <v>0</v>
      </c>
      <c r="J339" s="232"/>
      <c r="K339" s="232">
        <v>0</v>
      </c>
      <c r="L339" s="232"/>
      <c r="M339" s="232">
        <v>0</v>
      </c>
      <c r="N339" s="232"/>
      <c r="O339" s="232">
        <v>0</v>
      </c>
      <c r="P339" s="232"/>
      <c r="Q339" s="232">
        <v>0</v>
      </c>
      <c r="S339" s="232">
        <v>0</v>
      </c>
      <c r="V339" s="232"/>
      <c r="W339" s="232"/>
      <c r="X339" s="232"/>
      <c r="Y339" s="232"/>
      <c r="Z339" s="232"/>
      <c r="AA339" s="232"/>
      <c r="AB339" s="232"/>
    </row>
    <row r="340" spans="1:28">
      <c r="B340" s="9" t="s">
        <v>3417</v>
      </c>
      <c r="D340" s="2" t="s">
        <v>76</v>
      </c>
      <c r="E340" s="232">
        <v>0</v>
      </c>
      <c r="F340" s="232"/>
      <c r="G340" s="232">
        <v>0</v>
      </c>
      <c r="H340" s="232"/>
      <c r="I340" s="232">
        <v>0</v>
      </c>
      <c r="J340" s="232"/>
      <c r="K340" s="232">
        <v>0</v>
      </c>
      <c r="L340" s="232"/>
      <c r="M340" s="232">
        <v>0</v>
      </c>
      <c r="N340" s="232"/>
      <c r="O340" s="232">
        <v>0</v>
      </c>
      <c r="P340" s="232"/>
      <c r="Q340" s="232">
        <v>0</v>
      </c>
      <c r="S340" s="232">
        <v>0</v>
      </c>
      <c r="V340" s="232"/>
      <c r="W340" s="232"/>
      <c r="X340" s="232"/>
      <c r="Y340" s="232"/>
      <c r="Z340" s="232"/>
      <c r="AA340" s="232"/>
      <c r="AB340" s="232"/>
    </row>
    <row r="341" spans="1:28">
      <c r="B341" s="9" t="s">
        <v>3417</v>
      </c>
      <c r="D341" s="2" t="s">
        <v>78</v>
      </c>
      <c r="E341" s="232">
        <v>0</v>
      </c>
      <c r="F341" s="232"/>
      <c r="G341" s="232">
        <v>0</v>
      </c>
      <c r="H341" s="232"/>
      <c r="I341" s="232">
        <v>0</v>
      </c>
      <c r="J341" s="232"/>
      <c r="K341" s="232">
        <v>0</v>
      </c>
      <c r="L341" s="232"/>
      <c r="M341" s="232">
        <v>0</v>
      </c>
      <c r="N341" s="232"/>
      <c r="O341" s="232">
        <v>0</v>
      </c>
      <c r="P341" s="232"/>
      <c r="Q341" s="232">
        <v>0</v>
      </c>
      <c r="S341" s="232">
        <v>0</v>
      </c>
      <c r="V341" s="232"/>
      <c r="W341" s="232"/>
      <c r="X341" s="232"/>
      <c r="Y341" s="232"/>
      <c r="Z341" s="232"/>
      <c r="AA341" s="232"/>
      <c r="AB341" s="232"/>
    </row>
    <row r="342" spans="1:28">
      <c r="B342" s="9" t="s">
        <v>3417</v>
      </c>
      <c r="D342" s="2" t="s">
        <v>114</v>
      </c>
      <c r="E342" s="232">
        <v>0</v>
      </c>
      <c r="F342" s="232"/>
      <c r="G342" s="232">
        <v>0</v>
      </c>
      <c r="H342" s="232"/>
      <c r="I342" s="232">
        <v>0</v>
      </c>
      <c r="J342" s="232"/>
      <c r="K342" s="232">
        <v>0</v>
      </c>
      <c r="L342" s="232"/>
      <c r="M342" s="232">
        <v>0</v>
      </c>
      <c r="N342" s="232"/>
      <c r="O342" s="232">
        <v>0</v>
      </c>
      <c r="P342" s="232"/>
      <c r="Q342" s="232">
        <v>0</v>
      </c>
      <c r="S342" s="232">
        <v>0</v>
      </c>
      <c r="V342" s="232"/>
      <c r="W342" s="232"/>
      <c r="X342" s="232"/>
      <c r="Y342" s="232"/>
      <c r="Z342" s="232"/>
      <c r="AA342" s="232"/>
      <c r="AB342" s="232"/>
    </row>
    <row r="343" spans="1:28">
      <c r="B343" s="9" t="s">
        <v>3417</v>
      </c>
      <c r="D343" s="2" t="s">
        <v>82</v>
      </c>
      <c r="E343" s="233">
        <v>0</v>
      </c>
      <c r="F343" s="232"/>
      <c r="G343" s="233">
        <v>0</v>
      </c>
      <c r="H343" s="232"/>
      <c r="I343" s="233">
        <v>0</v>
      </c>
      <c r="J343" s="232"/>
      <c r="K343" s="233">
        <v>0</v>
      </c>
      <c r="L343" s="232"/>
      <c r="M343" s="233">
        <v>0</v>
      </c>
      <c r="N343" s="232"/>
      <c r="O343" s="233">
        <v>0</v>
      </c>
      <c r="P343" s="232"/>
      <c r="Q343" s="233">
        <v>0</v>
      </c>
      <c r="S343" s="233">
        <v>0</v>
      </c>
      <c r="V343" s="232"/>
      <c r="W343" s="232"/>
      <c r="X343" s="232"/>
      <c r="Y343" s="232"/>
      <c r="Z343" s="232"/>
      <c r="AA343" s="232"/>
      <c r="AB343" s="232"/>
    </row>
    <row r="344" spans="1:28" ht="15">
      <c r="A344" s="48"/>
      <c r="B344" s="9" t="s">
        <v>3417</v>
      </c>
      <c r="C344" s="48"/>
      <c r="E344" s="232">
        <v>0</v>
      </c>
      <c r="F344" s="232"/>
      <c r="G344" s="232"/>
      <c r="H344" s="232"/>
      <c r="I344" s="232"/>
      <c r="J344" s="232"/>
      <c r="K344" s="232"/>
      <c r="L344" s="232"/>
      <c r="M344" s="232"/>
      <c r="N344" s="232"/>
      <c r="O344" s="232">
        <v>0</v>
      </c>
      <c r="P344" s="232"/>
      <c r="Q344" s="232">
        <v>0</v>
      </c>
      <c r="S344" s="232"/>
      <c r="V344" s="232"/>
      <c r="W344" s="232"/>
      <c r="X344" s="232"/>
      <c r="Y344" s="232"/>
      <c r="Z344" s="232"/>
      <c r="AA344" s="232"/>
      <c r="AB344" s="232"/>
    </row>
    <row r="345" spans="1:28" ht="15">
      <c r="A345" s="48"/>
      <c r="B345" s="9" t="s">
        <v>3417</v>
      </c>
      <c r="C345" s="48"/>
      <c r="E345" s="232"/>
      <c r="F345" s="66"/>
      <c r="G345" s="232"/>
      <c r="H345" s="66"/>
      <c r="I345" s="232"/>
      <c r="J345" s="66"/>
      <c r="K345" s="232"/>
      <c r="L345" s="66"/>
      <c r="M345" s="232"/>
      <c r="N345" s="66"/>
      <c r="O345" s="232"/>
      <c r="P345" s="66"/>
      <c r="Q345" s="232"/>
      <c r="S345" s="232"/>
      <c r="V345" s="232"/>
      <c r="W345" s="232"/>
      <c r="X345" s="232"/>
      <c r="Y345" s="232"/>
      <c r="Z345" s="232"/>
      <c r="AA345" s="233"/>
      <c r="AB345" s="233"/>
    </row>
    <row r="346" spans="1:28">
      <c r="A346" s="49"/>
      <c r="B346" s="9" t="s">
        <v>3417</v>
      </c>
      <c r="C346" s="49"/>
      <c r="D346" s="2" t="s">
        <v>32</v>
      </c>
      <c r="E346" s="232"/>
      <c r="F346" s="66"/>
      <c r="G346" s="232"/>
      <c r="H346" s="66"/>
      <c r="I346" s="232"/>
      <c r="J346" s="66"/>
      <c r="K346" s="232"/>
      <c r="L346" s="66"/>
      <c r="M346" s="232"/>
      <c r="N346" s="66"/>
      <c r="O346" s="232"/>
      <c r="P346" s="66"/>
      <c r="Q346" s="232"/>
      <c r="S346" s="232"/>
      <c r="V346" s="232"/>
      <c r="W346" s="232"/>
      <c r="X346" s="232"/>
      <c r="Y346" s="232"/>
      <c r="Z346" s="232"/>
      <c r="AA346" s="232"/>
      <c r="AB346" s="232"/>
    </row>
    <row r="347" spans="1:28" ht="15">
      <c r="A347" s="2" t="s">
        <v>17</v>
      </c>
      <c r="B347" s="9" t="s">
        <v>3417</v>
      </c>
      <c r="D347" s="198" t="s">
        <v>33</v>
      </c>
      <c r="E347" s="233">
        <v>131956.31</v>
      </c>
      <c r="G347" s="233">
        <v>0</v>
      </c>
      <c r="I347" s="233">
        <v>0</v>
      </c>
      <c r="K347" s="233">
        <v>0</v>
      </c>
      <c r="M347" s="233">
        <v>0</v>
      </c>
      <c r="O347" s="233">
        <v>131956.31</v>
      </c>
      <c r="Q347" s="233">
        <v>131956.31</v>
      </c>
      <c r="R347" s="293"/>
      <c r="S347" s="233">
        <v>0</v>
      </c>
      <c r="T347" s="293"/>
      <c r="U347" s="293"/>
      <c r="W347" s="29"/>
      <c r="X347" s="29"/>
      <c r="Y347" s="29"/>
      <c r="AA347" s="233">
        <v>131956.31</v>
      </c>
      <c r="AB347" s="233">
        <v>0</v>
      </c>
    </row>
    <row r="348" spans="1:28" s="48" customFormat="1" ht="15">
      <c r="A348" s="49"/>
      <c r="B348" s="9" t="s">
        <v>3417</v>
      </c>
      <c r="C348" s="49"/>
      <c r="D348" s="2"/>
      <c r="E348" s="232">
        <v>131956.31</v>
      </c>
      <c r="F348" s="66"/>
      <c r="G348" s="232"/>
      <c r="H348" s="66"/>
      <c r="I348" s="232"/>
      <c r="J348" s="66"/>
      <c r="K348" s="232"/>
      <c r="L348" s="66"/>
      <c r="M348" s="232"/>
      <c r="N348" s="66"/>
      <c r="O348" s="232">
        <v>131956.31</v>
      </c>
      <c r="P348" s="66"/>
      <c r="Q348" s="232">
        <v>131956.31</v>
      </c>
      <c r="R348" s="2"/>
      <c r="S348" s="232"/>
      <c r="T348" s="2"/>
      <c r="U348" s="2"/>
      <c r="V348" s="66"/>
      <c r="W348" s="232"/>
      <c r="X348" s="232"/>
      <c r="Y348" s="232"/>
      <c r="Z348" s="66"/>
      <c r="AA348" s="232">
        <v>131956.31</v>
      </c>
      <c r="AB348" s="232">
        <v>0</v>
      </c>
    </row>
    <row r="349" spans="1:28" s="49" customFormat="1">
      <c r="B349" s="9" t="s">
        <v>3417</v>
      </c>
      <c r="D349" s="2"/>
      <c r="E349" s="66"/>
      <c r="F349" s="66"/>
      <c r="G349" s="66"/>
      <c r="H349" s="66"/>
      <c r="I349" s="66"/>
      <c r="J349" s="66"/>
      <c r="K349" s="66"/>
      <c r="L349" s="66"/>
      <c r="M349" s="66"/>
      <c r="N349" s="66"/>
      <c r="O349" s="66"/>
      <c r="P349" s="66"/>
      <c r="Q349" s="66"/>
      <c r="R349" s="2"/>
      <c r="S349" s="66"/>
      <c r="T349" s="2"/>
      <c r="U349" s="2"/>
      <c r="V349" s="66"/>
      <c r="W349" s="232"/>
      <c r="X349" s="232"/>
      <c r="Y349" s="232"/>
      <c r="Z349" s="66"/>
      <c r="AA349" s="66"/>
      <c r="AB349" s="66"/>
    </row>
    <row r="350" spans="1:28" s="49" customFormat="1" ht="13.5" thickBot="1">
      <c r="B350" s="9" t="s">
        <v>3417</v>
      </c>
      <c r="D350" s="23" t="s">
        <v>115</v>
      </c>
      <c r="E350" s="234">
        <v>1912919.75</v>
      </c>
      <c r="F350" s="66"/>
      <c r="G350" s="234"/>
      <c r="H350" s="66"/>
      <c r="I350" s="234"/>
      <c r="J350" s="66"/>
      <c r="K350" s="234"/>
      <c r="L350" s="66"/>
      <c r="M350" s="234"/>
      <c r="N350" s="66"/>
      <c r="O350" s="234">
        <v>1912919.75</v>
      </c>
      <c r="P350" s="66"/>
      <c r="Q350" s="234">
        <v>1912919.75</v>
      </c>
      <c r="R350" s="2"/>
      <c r="S350" s="234"/>
      <c r="T350" s="2"/>
      <c r="U350" s="2"/>
      <c r="V350" s="2"/>
      <c r="W350" s="232"/>
      <c r="X350" s="29"/>
      <c r="Y350" s="232"/>
      <c r="Z350" s="2"/>
      <c r="AA350" s="234">
        <v>1912919.75</v>
      </c>
      <c r="AB350" s="234">
        <v>0</v>
      </c>
    </row>
    <row r="351" spans="1:28" s="49" customFormat="1" ht="13.5" thickTop="1">
      <c r="D351" s="2"/>
      <c r="E351" s="66"/>
      <c r="F351" s="2"/>
      <c r="G351" s="66"/>
      <c r="H351" s="2"/>
      <c r="I351" s="66"/>
      <c r="J351" s="2"/>
      <c r="K351" s="66"/>
      <c r="L351" s="2"/>
      <c r="M351" s="66"/>
      <c r="N351" s="2"/>
      <c r="O351" s="66"/>
      <c r="P351" s="2"/>
      <c r="Q351" s="66"/>
      <c r="R351" s="2"/>
      <c r="S351" s="66"/>
      <c r="T351" s="2"/>
      <c r="U351" s="2"/>
      <c r="V351" s="2"/>
      <c r="W351" s="232"/>
      <c r="X351" s="29"/>
      <c r="Y351" s="232"/>
      <c r="Z351" s="2"/>
      <c r="AA351" s="66"/>
      <c r="AB351" s="66"/>
    </row>
    <row r="352" spans="1:28" s="49" customFormat="1">
      <c r="A352" s="53"/>
      <c r="B352" s="53"/>
      <c r="C352" s="53"/>
      <c r="D352" s="2"/>
      <c r="E352" s="66"/>
      <c r="F352" s="2"/>
      <c r="G352" s="66"/>
      <c r="H352" s="2"/>
      <c r="I352" s="66"/>
      <c r="J352" s="2"/>
      <c r="K352" s="66"/>
      <c r="L352" s="2"/>
      <c r="M352" s="66"/>
      <c r="N352" s="2"/>
      <c r="O352" s="66"/>
      <c r="P352" s="2"/>
      <c r="Q352" s="66"/>
      <c r="R352" s="2"/>
      <c r="S352" s="2"/>
      <c r="T352" s="2"/>
      <c r="U352" s="2"/>
      <c r="V352" s="2"/>
      <c r="W352" s="232"/>
      <c r="X352" s="29"/>
      <c r="Y352" s="232"/>
      <c r="Z352" s="2"/>
      <c r="AA352" s="66"/>
      <c r="AB352" s="66"/>
    </row>
    <row r="353" spans="1:28" s="53" customFormat="1" ht="15">
      <c r="D353" s="509" t="s">
        <v>0</v>
      </c>
      <c r="E353" s="509"/>
      <c r="F353" s="509"/>
      <c r="G353" s="509"/>
      <c r="H353" s="509"/>
      <c r="I353" s="509"/>
      <c r="J353" s="509"/>
      <c r="K353" s="509"/>
      <c r="L353" s="509"/>
      <c r="M353" s="509"/>
      <c r="N353" s="509"/>
      <c r="O353" s="509"/>
      <c r="P353" s="509"/>
      <c r="Q353" s="509"/>
      <c r="R353" s="48"/>
      <c r="S353" s="48"/>
      <c r="T353" s="48"/>
      <c r="U353" s="48"/>
      <c r="V353" s="2"/>
      <c r="W353" s="232"/>
      <c r="X353" s="29"/>
      <c r="Y353" s="232"/>
      <c r="Z353" s="2"/>
      <c r="AA353" s="66"/>
      <c r="AB353" s="66"/>
    </row>
    <row r="354" spans="1:28" s="53" customFormat="1" ht="15">
      <c r="D354" s="509" t="s">
        <v>116</v>
      </c>
      <c r="E354" s="509"/>
      <c r="F354" s="509"/>
      <c r="G354" s="509"/>
      <c r="H354" s="509"/>
      <c r="I354" s="509"/>
      <c r="J354" s="509"/>
      <c r="K354" s="509"/>
      <c r="L354" s="509"/>
      <c r="M354" s="509"/>
      <c r="N354" s="509"/>
      <c r="O354" s="509"/>
      <c r="P354" s="509"/>
      <c r="Q354" s="509"/>
      <c r="R354" s="48"/>
      <c r="S354" s="48"/>
      <c r="T354" s="48"/>
      <c r="U354" s="48"/>
      <c r="V354" s="48"/>
      <c r="W354" s="438"/>
      <c r="X354" s="438"/>
      <c r="Y354" s="438"/>
      <c r="Z354" s="48"/>
      <c r="AA354" s="48"/>
      <c r="AB354" s="48"/>
    </row>
    <row r="355" spans="1:28" s="53" customFormat="1" ht="15">
      <c r="A355" s="49"/>
      <c r="B355" s="49"/>
      <c r="C355" s="49"/>
      <c r="D355" s="499" t="str">
        <f>D$3</f>
        <v>FORECAST PERIOD: APRIL 2020</v>
      </c>
      <c r="E355" s="507"/>
      <c r="F355" s="507"/>
      <c r="G355" s="507"/>
      <c r="H355" s="507"/>
      <c r="I355" s="507"/>
      <c r="J355" s="507"/>
      <c r="K355" s="507"/>
      <c r="L355" s="507"/>
      <c r="M355" s="507"/>
      <c r="N355" s="507"/>
      <c r="O355" s="507"/>
      <c r="P355" s="507"/>
      <c r="Q355" s="507"/>
      <c r="R355" s="49"/>
      <c r="S355" s="49"/>
      <c r="T355" s="49"/>
      <c r="U355" s="49"/>
      <c r="V355" s="48"/>
      <c r="W355" s="438"/>
      <c r="X355" s="438"/>
      <c r="Y355" s="438"/>
      <c r="Z355" s="48"/>
      <c r="AA355" s="48"/>
      <c r="AB355" s="48"/>
    </row>
    <row r="356" spans="1:28" s="49" customFormat="1">
      <c r="D356" s="50"/>
      <c r="E356" s="50"/>
      <c r="F356" s="50"/>
      <c r="G356" s="50"/>
      <c r="H356" s="50"/>
      <c r="I356" s="50"/>
      <c r="J356" s="50"/>
      <c r="K356" s="50"/>
      <c r="L356" s="50"/>
      <c r="M356" s="50"/>
      <c r="N356" s="50"/>
      <c r="O356" s="50"/>
      <c r="P356" s="50"/>
      <c r="Q356" s="50"/>
      <c r="W356" s="59"/>
      <c r="X356" s="59"/>
      <c r="Y356" s="59"/>
    </row>
    <row r="357" spans="1:28">
      <c r="A357" s="49"/>
      <c r="B357" s="49"/>
      <c r="D357" s="49"/>
      <c r="E357" s="508" t="s">
        <v>2483</v>
      </c>
      <c r="G357" s="2"/>
      <c r="I357" s="2"/>
      <c r="K357" s="2"/>
      <c r="M357" s="2"/>
      <c r="O357" s="508"/>
      <c r="Q357" s="508"/>
      <c r="W357" s="2"/>
      <c r="Y357" s="2"/>
      <c r="AA357" s="508" t="s">
        <v>1717</v>
      </c>
      <c r="AB357" s="2"/>
    </row>
    <row r="358" spans="1:28" s="49" customFormat="1">
      <c r="E358" s="51" t="s">
        <v>2</v>
      </c>
      <c r="G358" s="52"/>
      <c r="I358" s="52"/>
      <c r="K358" s="51" t="s">
        <v>3</v>
      </c>
      <c r="M358" s="52"/>
      <c r="O358" s="51" t="s">
        <v>4</v>
      </c>
      <c r="Q358" s="51" t="s">
        <v>4</v>
      </c>
      <c r="V358" s="3"/>
      <c r="W358" s="435"/>
      <c r="X358" s="435"/>
      <c r="Y358" s="435"/>
      <c r="Z358" s="3"/>
      <c r="AA358" s="6" t="s">
        <v>2484</v>
      </c>
      <c r="AB358" s="62"/>
    </row>
    <row r="359" spans="1:28" s="49" customFormat="1">
      <c r="D359" s="53"/>
      <c r="E359" s="54" t="s">
        <v>6</v>
      </c>
      <c r="G359" s="54" t="s">
        <v>7</v>
      </c>
      <c r="I359" s="54" t="s">
        <v>8</v>
      </c>
      <c r="K359" s="54" t="s">
        <v>9</v>
      </c>
      <c r="M359" s="54" t="s">
        <v>10</v>
      </c>
      <c r="O359" s="54" t="s">
        <v>6</v>
      </c>
      <c r="Q359" s="54" t="s">
        <v>6</v>
      </c>
      <c r="R359" s="53"/>
      <c r="S359" s="53"/>
      <c r="T359" s="53"/>
      <c r="U359" s="53"/>
      <c r="W359" s="55"/>
      <c r="X359" s="59"/>
      <c r="Y359" s="55"/>
      <c r="AA359" s="10" t="s">
        <v>4</v>
      </c>
      <c r="AB359" s="10"/>
    </row>
    <row r="360" spans="1:28" s="49" customFormat="1">
      <c r="A360" s="59"/>
      <c r="B360" s="59"/>
      <c r="C360" s="59"/>
      <c r="D360" s="53"/>
      <c r="E360" s="55"/>
      <c r="G360" s="55"/>
      <c r="I360" s="55"/>
      <c r="K360" s="55"/>
      <c r="M360" s="55"/>
      <c r="O360" s="55"/>
      <c r="Q360" s="55"/>
      <c r="R360" s="53"/>
      <c r="S360" s="53"/>
      <c r="T360" s="53"/>
      <c r="U360" s="53"/>
      <c r="W360" s="55"/>
      <c r="X360" s="59"/>
      <c r="Y360" s="55"/>
      <c r="AA360" s="55" t="s">
        <v>6</v>
      </c>
      <c r="AB360" s="55" t="s">
        <v>13</v>
      </c>
    </row>
    <row r="361" spans="1:28" s="59" customFormat="1">
      <c r="A361" s="49"/>
      <c r="B361" s="49"/>
      <c r="C361" s="49"/>
      <c r="D361" s="56" t="s">
        <v>117</v>
      </c>
      <c r="E361" s="49"/>
      <c r="F361" s="49"/>
      <c r="G361" s="49"/>
      <c r="H361" s="49"/>
      <c r="I361" s="49"/>
      <c r="J361" s="49"/>
      <c r="K361" s="49"/>
      <c r="L361" s="49"/>
      <c r="M361" s="49"/>
      <c r="N361" s="49"/>
      <c r="O361" s="49"/>
      <c r="P361" s="49"/>
      <c r="Q361" s="49"/>
      <c r="R361" s="53"/>
      <c r="S361" s="53"/>
      <c r="T361" s="53"/>
      <c r="U361" s="53"/>
      <c r="V361" s="49"/>
      <c r="W361" s="55"/>
      <c r="Y361" s="55"/>
      <c r="Z361" s="49"/>
      <c r="AA361" s="49"/>
      <c r="AB361" s="49"/>
    </row>
    <row r="362" spans="1:28" s="49" customFormat="1">
      <c r="D362" s="57" t="s">
        <v>113</v>
      </c>
      <c r="E362" s="58"/>
      <c r="F362" s="58"/>
      <c r="G362" s="58"/>
      <c r="H362" s="58"/>
      <c r="I362" s="58"/>
      <c r="J362" s="58"/>
      <c r="K362" s="58"/>
      <c r="L362" s="58"/>
      <c r="M362" s="58"/>
      <c r="N362" s="58"/>
      <c r="O362" s="58"/>
      <c r="P362" s="58"/>
      <c r="Q362" s="58"/>
      <c r="R362" s="40"/>
      <c r="S362" s="37"/>
      <c r="W362" s="59"/>
      <c r="X362" s="59"/>
      <c r="Y362" s="59"/>
      <c r="AA362" s="58"/>
      <c r="AB362" s="58"/>
    </row>
    <row r="363" spans="1:28" s="49" customFormat="1">
      <c r="D363" s="49" t="s">
        <v>118</v>
      </c>
      <c r="E363" s="58">
        <v>0</v>
      </c>
      <c r="F363" s="58"/>
      <c r="G363" s="58">
        <v>0</v>
      </c>
      <c r="H363" s="58"/>
      <c r="I363" s="58">
        <v>0</v>
      </c>
      <c r="J363" s="58"/>
      <c r="K363" s="58">
        <v>0</v>
      </c>
      <c r="L363" s="58"/>
      <c r="M363" s="58">
        <v>0</v>
      </c>
      <c r="N363" s="58"/>
      <c r="O363" s="58">
        <v>0</v>
      </c>
      <c r="P363" s="58"/>
      <c r="Q363" s="58">
        <v>0</v>
      </c>
      <c r="R363" s="40"/>
      <c r="S363" s="37"/>
      <c r="V363" s="58"/>
      <c r="W363" s="58"/>
      <c r="X363" s="58"/>
      <c r="Y363" s="58"/>
      <c r="Z363" s="58"/>
      <c r="AA363" s="58"/>
      <c r="AB363" s="58"/>
    </row>
    <row r="364" spans="1:28" s="49" customFormat="1">
      <c r="D364" s="49" t="s">
        <v>74</v>
      </c>
      <c r="E364" s="58">
        <v>0</v>
      </c>
      <c r="F364" s="58"/>
      <c r="G364" s="58">
        <v>0</v>
      </c>
      <c r="H364" s="58"/>
      <c r="I364" s="58">
        <v>0</v>
      </c>
      <c r="J364" s="58"/>
      <c r="K364" s="58">
        <v>0</v>
      </c>
      <c r="L364" s="58"/>
      <c r="M364" s="58">
        <v>0</v>
      </c>
      <c r="N364" s="58"/>
      <c r="O364" s="58">
        <v>0</v>
      </c>
      <c r="P364" s="58"/>
      <c r="Q364" s="58">
        <v>0</v>
      </c>
      <c r="R364" s="40"/>
      <c r="S364" s="37"/>
      <c r="V364" s="58"/>
      <c r="W364" s="58"/>
      <c r="X364" s="58"/>
      <c r="Y364" s="58"/>
      <c r="Z364" s="58"/>
      <c r="AA364" s="58"/>
      <c r="AB364" s="58">
        <v>0</v>
      </c>
    </row>
    <row r="365" spans="1:28" s="49" customFormat="1">
      <c r="D365" s="49" t="s">
        <v>76</v>
      </c>
      <c r="E365" s="58">
        <v>0</v>
      </c>
      <c r="F365" s="58"/>
      <c r="G365" s="58">
        <v>0</v>
      </c>
      <c r="H365" s="58"/>
      <c r="I365" s="58">
        <v>0</v>
      </c>
      <c r="J365" s="58"/>
      <c r="K365" s="58">
        <v>0</v>
      </c>
      <c r="L365" s="58"/>
      <c r="M365" s="58">
        <v>0</v>
      </c>
      <c r="N365" s="58"/>
      <c r="O365" s="58">
        <v>0</v>
      </c>
      <c r="P365" s="58"/>
      <c r="Q365" s="58">
        <v>0</v>
      </c>
      <c r="R365" s="40"/>
      <c r="S365" s="37"/>
      <c r="V365" s="58"/>
      <c r="W365" s="58"/>
      <c r="X365" s="58"/>
      <c r="Y365" s="58"/>
      <c r="Z365" s="58"/>
      <c r="AA365" s="58"/>
      <c r="AB365" s="58">
        <v>0</v>
      </c>
    </row>
    <row r="366" spans="1:28" s="49" customFormat="1">
      <c r="A366" s="2"/>
      <c r="B366" s="2"/>
      <c r="C366" s="2"/>
      <c r="D366" s="49" t="s">
        <v>78</v>
      </c>
      <c r="E366" s="58">
        <v>0</v>
      </c>
      <c r="F366" s="58"/>
      <c r="G366" s="58">
        <v>0</v>
      </c>
      <c r="H366" s="58"/>
      <c r="I366" s="58">
        <v>0</v>
      </c>
      <c r="J366" s="58"/>
      <c r="K366" s="58">
        <v>0</v>
      </c>
      <c r="L366" s="58"/>
      <c r="M366" s="58">
        <v>0</v>
      </c>
      <c r="N366" s="58"/>
      <c r="O366" s="58">
        <v>0</v>
      </c>
      <c r="P366" s="58"/>
      <c r="Q366" s="58">
        <v>0</v>
      </c>
      <c r="R366" s="40"/>
      <c r="S366" s="37"/>
      <c r="V366" s="58"/>
      <c r="W366" s="58"/>
      <c r="X366" s="58"/>
      <c r="Y366" s="58"/>
      <c r="Z366" s="58"/>
      <c r="AA366" s="58"/>
      <c r="AB366" s="58">
        <v>0</v>
      </c>
    </row>
    <row r="367" spans="1:28">
      <c r="D367" s="59" t="s">
        <v>114</v>
      </c>
      <c r="E367" s="58">
        <v>0</v>
      </c>
      <c r="F367" s="58"/>
      <c r="G367" s="58">
        <v>0</v>
      </c>
      <c r="H367" s="58"/>
      <c r="I367" s="58">
        <v>0</v>
      </c>
      <c r="J367" s="58"/>
      <c r="K367" s="58">
        <v>0</v>
      </c>
      <c r="L367" s="58"/>
      <c r="M367" s="58">
        <v>0</v>
      </c>
      <c r="N367" s="58"/>
      <c r="O367" s="58">
        <v>0</v>
      </c>
      <c r="P367" s="58"/>
      <c r="Q367" s="58">
        <v>0</v>
      </c>
      <c r="R367" s="40"/>
      <c r="S367" s="40"/>
      <c r="T367" s="59"/>
      <c r="U367" s="59"/>
      <c r="V367" s="58"/>
      <c r="W367" s="58"/>
      <c r="X367" s="58"/>
      <c r="Y367" s="58"/>
      <c r="Z367" s="58"/>
      <c r="AA367" s="58"/>
      <c r="AB367" s="58">
        <v>0</v>
      </c>
    </row>
    <row r="368" spans="1:28">
      <c r="D368" s="49" t="s">
        <v>82</v>
      </c>
      <c r="E368" s="60">
        <v>0</v>
      </c>
      <c r="F368" s="58"/>
      <c r="G368" s="60">
        <v>0</v>
      </c>
      <c r="H368" s="58"/>
      <c r="I368" s="60">
        <v>0</v>
      </c>
      <c r="J368" s="58"/>
      <c r="K368" s="60">
        <v>0</v>
      </c>
      <c r="L368" s="58"/>
      <c r="M368" s="60">
        <v>0</v>
      </c>
      <c r="N368" s="58"/>
      <c r="O368" s="60">
        <v>0</v>
      </c>
      <c r="P368" s="58"/>
      <c r="Q368" s="60">
        <v>0</v>
      </c>
      <c r="R368" s="40"/>
      <c r="S368" s="37"/>
      <c r="T368" s="49"/>
      <c r="U368" s="49"/>
      <c r="V368" s="58"/>
      <c r="W368" s="58"/>
      <c r="X368" s="58"/>
      <c r="Y368" s="58"/>
      <c r="Z368" s="58"/>
      <c r="AA368" s="60"/>
      <c r="AB368" s="60">
        <v>0</v>
      </c>
    </row>
    <row r="369" spans="4:28">
      <c r="D369" s="49"/>
      <c r="E369" s="58">
        <v>0</v>
      </c>
      <c r="F369" s="58"/>
      <c r="G369" s="58">
        <v>0</v>
      </c>
      <c r="H369" s="58"/>
      <c r="I369" s="58">
        <v>0</v>
      </c>
      <c r="J369" s="58"/>
      <c r="K369" s="58">
        <v>0</v>
      </c>
      <c r="L369" s="58"/>
      <c r="M369" s="58">
        <v>0</v>
      </c>
      <c r="N369" s="58"/>
      <c r="O369" s="58">
        <v>0</v>
      </c>
      <c r="P369" s="58"/>
      <c r="Q369" s="58">
        <v>0</v>
      </c>
      <c r="R369" s="40"/>
      <c r="S369" s="37"/>
      <c r="T369" s="49"/>
      <c r="U369" s="49"/>
      <c r="V369" s="58"/>
      <c r="W369" s="58"/>
      <c r="X369" s="58"/>
      <c r="Y369" s="58"/>
      <c r="Z369" s="58"/>
      <c r="AA369" s="58"/>
      <c r="AB369" s="58">
        <v>0</v>
      </c>
    </row>
    <row r="370" spans="4:28">
      <c r="D370" s="49"/>
      <c r="E370" s="58"/>
      <c r="F370" s="52"/>
      <c r="G370" s="58"/>
      <c r="H370" s="52"/>
      <c r="I370" s="58"/>
      <c r="J370" s="52"/>
      <c r="K370" s="58"/>
      <c r="L370" s="52"/>
      <c r="M370" s="58"/>
      <c r="N370" s="52"/>
      <c r="O370" s="58"/>
      <c r="P370" s="52"/>
      <c r="Q370" s="58"/>
      <c r="R370" s="37"/>
      <c r="S370" s="37"/>
      <c r="T370" s="49"/>
      <c r="U370" s="49"/>
      <c r="V370" s="58"/>
      <c r="W370" s="58"/>
      <c r="X370" s="58"/>
      <c r="Y370" s="58"/>
      <c r="Z370" s="58"/>
      <c r="AA370" s="58"/>
      <c r="AB370" s="58"/>
    </row>
    <row r="371" spans="4:28">
      <c r="D371" s="49"/>
      <c r="E371" s="52"/>
      <c r="F371" s="52"/>
      <c r="G371" s="52"/>
      <c r="H371" s="52"/>
      <c r="I371" s="52"/>
      <c r="J371" s="52"/>
      <c r="K371" s="52"/>
      <c r="L371" s="52"/>
      <c r="M371" s="52"/>
      <c r="N371" s="52"/>
      <c r="O371" s="52"/>
      <c r="P371" s="52"/>
      <c r="Q371" s="52"/>
      <c r="R371" s="37"/>
      <c r="S371" s="37"/>
      <c r="T371" s="49"/>
      <c r="U371" s="49"/>
      <c r="V371" s="52"/>
      <c r="W371" s="58"/>
      <c r="X371" s="58"/>
      <c r="Y371" s="58"/>
      <c r="Z371" s="52"/>
      <c r="AA371" s="52"/>
      <c r="AB371" s="52"/>
    </row>
    <row r="372" spans="4:28" ht="13.5" thickBot="1">
      <c r="D372" s="57" t="s">
        <v>119</v>
      </c>
      <c r="E372" s="61">
        <v>0</v>
      </c>
      <c r="F372" s="52"/>
      <c r="G372" s="61">
        <v>0</v>
      </c>
      <c r="H372" s="52"/>
      <c r="I372" s="61">
        <v>0</v>
      </c>
      <c r="J372" s="52"/>
      <c r="K372" s="61">
        <v>0</v>
      </c>
      <c r="L372" s="52"/>
      <c r="M372" s="61">
        <v>0</v>
      </c>
      <c r="N372" s="52"/>
      <c r="O372" s="61">
        <v>0</v>
      </c>
      <c r="P372" s="52"/>
      <c r="Q372" s="61">
        <v>0</v>
      </c>
      <c r="R372" s="37"/>
      <c r="S372" s="37"/>
      <c r="T372" s="49"/>
      <c r="U372" s="49"/>
      <c r="V372" s="52"/>
      <c r="W372" s="58"/>
      <c r="X372" s="58"/>
      <c r="Y372" s="58"/>
      <c r="Z372" s="52"/>
      <c r="AA372" s="61"/>
      <c r="AB372" s="61"/>
    </row>
    <row r="373" spans="4:28" ht="13.5" thickTop="1">
      <c r="V373" s="52"/>
      <c r="W373" s="58"/>
      <c r="X373" s="58"/>
      <c r="Y373" s="58"/>
      <c r="Z373" s="52"/>
      <c r="AA373" s="66">
        <v>0</v>
      </c>
      <c r="AB373" s="66">
        <v>0</v>
      </c>
    </row>
    <row r="374" spans="4:28">
      <c r="W374" s="232"/>
      <c r="X374" s="29"/>
      <c r="Y374" s="232"/>
    </row>
  </sheetData>
  <pageMargins left="0.75" right="0.75" top="1" bottom="1" header="0.5" footer="0.5"/>
  <pageSetup scale="44" fitToHeight="0" orientation="landscape" r:id="rId1"/>
  <headerFooter alignWithMargins="0"/>
  <rowBreaks count="7" manualBreakCount="7">
    <brk id="46" min="3" max="16" man="1"/>
    <brk id="79" max="16383" man="1"/>
    <brk id="113" min="3" max="16" man="1"/>
    <brk id="149" max="16383" man="1"/>
    <brk id="179" max="16383" man="1"/>
    <brk id="255" max="16383" man="1"/>
    <brk id="29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X959"/>
  <sheetViews>
    <sheetView zoomScale="85" zoomScaleNormal="85" workbookViewId="0">
      <pane xSplit="6" ySplit="3" topLeftCell="G533" activePane="bottomRight" state="frozen"/>
      <selection activeCell="A52" sqref="A52"/>
      <selection pane="topRight" activeCell="A52" sqref="A52"/>
      <selection pane="bottomLeft" activeCell="A52" sqref="A52"/>
      <selection pane="bottomRight" activeCell="O548" sqref="O548"/>
    </sheetView>
  </sheetViews>
  <sheetFormatPr defaultColWidth="7.77734375" defaultRowHeight="15"/>
  <cols>
    <col min="1" max="1" width="5.21875" style="427" customWidth="1"/>
    <col min="2" max="3" width="4.21875" style="427" customWidth="1"/>
    <col min="4" max="4" width="6.44140625" style="427" customWidth="1"/>
    <col min="5" max="5" width="5.33203125" style="427" customWidth="1"/>
    <col min="6" max="6" width="48.44140625" style="758" bestFit="1" customWidth="1"/>
    <col min="7" max="7" width="11.6640625" style="426" customWidth="1"/>
    <col min="8" max="20" width="9.33203125" style="427" customWidth="1"/>
    <col min="21" max="21" width="12.21875" style="427" customWidth="1"/>
    <col min="22" max="22" width="10.21875" style="427" customWidth="1"/>
    <col min="23" max="24" width="10.33203125" style="235" bestFit="1" customWidth="1"/>
    <col min="25" max="16384" width="7.77734375" style="235"/>
  </cols>
  <sheetData>
    <row r="1" spans="1:22" s="400" customFormat="1" ht="18.75">
      <c r="A1" s="430"/>
      <c r="B1" s="431"/>
      <c r="C1" s="431"/>
      <c r="D1" s="431"/>
      <c r="E1" s="431"/>
      <c r="F1" s="754"/>
      <c r="G1" s="755"/>
      <c r="H1" s="431"/>
      <c r="I1" s="431"/>
      <c r="J1" s="431"/>
      <c r="K1" s="431"/>
      <c r="L1" s="431"/>
      <c r="M1" s="431"/>
      <c r="N1" s="431"/>
      <c r="O1" s="431"/>
      <c r="P1" s="431"/>
      <c r="Q1" s="431"/>
      <c r="R1" s="431"/>
      <c r="S1" s="431"/>
      <c r="T1" s="431"/>
      <c r="U1" s="431"/>
      <c r="V1" s="431"/>
    </row>
    <row r="2" spans="1:22" s="400" customFormat="1" ht="30">
      <c r="A2" s="431" t="s">
        <v>1719</v>
      </c>
      <c r="B2" s="431" t="s">
        <v>1720</v>
      </c>
      <c r="C2" s="431" t="s">
        <v>3429</v>
      </c>
      <c r="D2" s="431" t="s">
        <v>3430</v>
      </c>
      <c r="E2" s="431" t="s">
        <v>1721</v>
      </c>
      <c r="F2" s="756" t="s">
        <v>2528</v>
      </c>
      <c r="G2" s="757" t="s">
        <v>3431</v>
      </c>
      <c r="H2" s="431" t="s">
        <v>2529</v>
      </c>
      <c r="I2" s="431" t="s">
        <v>2530</v>
      </c>
      <c r="J2" s="431" t="s">
        <v>2531</v>
      </c>
      <c r="K2" s="431" t="s">
        <v>2532</v>
      </c>
      <c r="L2" s="431" t="s">
        <v>2533</v>
      </c>
      <c r="M2" s="431" t="s">
        <v>2534</v>
      </c>
      <c r="N2" s="431" t="s">
        <v>2535</v>
      </c>
      <c r="O2" s="431" t="s">
        <v>2536</v>
      </c>
      <c r="P2" s="431" t="s">
        <v>2537</v>
      </c>
      <c r="Q2" s="431" t="s">
        <v>2538</v>
      </c>
      <c r="R2" s="431" t="s">
        <v>2539</v>
      </c>
      <c r="S2" s="431" t="s">
        <v>2540</v>
      </c>
      <c r="T2" s="431" t="s">
        <v>2541</v>
      </c>
      <c r="U2" s="431" t="s">
        <v>2542</v>
      </c>
      <c r="V2" s="431" t="s">
        <v>2216</v>
      </c>
    </row>
    <row r="3" spans="1:22" s="400" customFormat="1">
      <c r="A3" s="431"/>
      <c r="B3" s="431"/>
      <c r="C3" s="431"/>
      <c r="D3" s="431"/>
      <c r="E3" s="431"/>
      <c r="F3" s="756" t="s">
        <v>2543</v>
      </c>
      <c r="G3" s="755"/>
      <c r="H3" s="431"/>
      <c r="I3" s="431"/>
      <c r="J3" s="431"/>
      <c r="K3" s="431"/>
      <c r="L3" s="431"/>
      <c r="M3" s="431"/>
      <c r="N3" s="431"/>
      <c r="O3" s="431"/>
      <c r="P3" s="431"/>
      <c r="Q3" s="431"/>
      <c r="R3" s="431"/>
      <c r="S3" s="431"/>
      <c r="T3" s="431"/>
      <c r="U3" s="431"/>
      <c r="V3" s="431"/>
    </row>
    <row r="5" spans="1:22">
      <c r="F5" s="759" t="s">
        <v>1722</v>
      </c>
      <c r="G5" s="760"/>
    </row>
    <row r="6" spans="1:22">
      <c r="A6" s="427" t="str">
        <f t="shared" ref="A6:A69" si="0">MID($F6,4,2)</f>
        <v>KU</v>
      </c>
      <c r="B6" s="427" t="str">
        <f t="shared" ref="B6:B65" si="1">IF(MID($F6,12,2)="- ","KY",IF(MID($F6,12,2)="SY","KY",MID($F6,12,2)))</f>
        <v>KY</v>
      </c>
      <c r="C6" s="427" t="str">
        <f>IF(ISTEXT(MID($F6,SEARCH("FUTURE USE",$F6),3)),"F",IF(MID($F6,7,1)="1","E",IF(MID($F6,7,1)="2","G",IF(MID($F6,7,1)="3","C",""))))</f>
        <v>E</v>
      </c>
      <c r="D6" s="427" t="s">
        <v>3418</v>
      </c>
      <c r="E6" s="427" t="str">
        <f t="shared" ref="E6:E69" si="2">MID($F6,8,3)</f>
        <v>301</v>
      </c>
      <c r="F6" s="756" t="s">
        <v>1723</v>
      </c>
      <c r="G6" s="426" t="str">
        <f t="shared" ref="G6:G19" si="3">IF(ISTEXT(MID($F6,SEARCH("FUTURE USE",$F6),3)),"FUTURE USE",IF(ISTEXT(MID($F6,SEARCH("ECR",$F6),3)),"ECR",IF(ISTEXT(MID($F6,SEARCH("ARO",$F6),3)),"ARO",IF(ISTEXT(MID($F6,SEARCH("DSM",$F6),3)),"DSM",""))))</f>
        <v/>
      </c>
      <c r="H6" s="427">
        <v>39.116889999999998</v>
      </c>
      <c r="I6" s="427">
        <v>39.116889999999998</v>
      </c>
      <c r="J6" s="427">
        <v>39.116889999999998</v>
      </c>
      <c r="K6" s="427">
        <v>39.116889999999998</v>
      </c>
      <c r="L6" s="427">
        <v>39.116889999999998</v>
      </c>
      <c r="M6" s="427">
        <v>39.116889999999998</v>
      </c>
      <c r="N6" s="427">
        <v>39.116889999999998</v>
      </c>
      <c r="O6" s="427">
        <v>39.116889999999998</v>
      </c>
      <c r="P6" s="427">
        <v>39.116889999999998</v>
      </c>
      <c r="Q6" s="427">
        <v>39.116889999999998</v>
      </c>
      <c r="R6" s="427">
        <v>39.116889999999998</v>
      </c>
      <c r="S6" s="427">
        <v>39.116889999999998</v>
      </c>
      <c r="T6" s="427">
        <v>39.116889999999998</v>
      </c>
      <c r="V6" s="427">
        <f>SUM(H6:T6)/13</f>
        <v>39.116890000000005</v>
      </c>
    </row>
    <row r="7" spans="1:22">
      <c r="A7" s="427" t="str">
        <f t="shared" si="0"/>
        <v>KU</v>
      </c>
      <c r="B7" s="427" t="str">
        <f t="shared" si="1"/>
        <v>VA</v>
      </c>
      <c r="C7" s="427" t="str">
        <f t="shared" ref="C7:C70" si="4">IF(ISTEXT(MID($F7,SEARCH("FUTURE USE",$F7),3)),"F",IF(MID($F7,7,1)="1","E",IF(MID($F7,7,1)="2","G",IF(MID($F7,7,1)="3","C",""))))</f>
        <v>E</v>
      </c>
      <c r="D7" s="427" t="s">
        <v>3418</v>
      </c>
      <c r="E7" s="427" t="str">
        <f t="shared" si="2"/>
        <v>301</v>
      </c>
      <c r="F7" s="756" t="s">
        <v>1724</v>
      </c>
      <c r="G7" s="426" t="str">
        <f t="shared" si="3"/>
        <v/>
      </c>
      <c r="H7" s="427">
        <v>5.3386899999999997</v>
      </c>
      <c r="I7" s="427">
        <v>5.3386899999999997</v>
      </c>
      <c r="J7" s="427">
        <v>5.3386899999999997</v>
      </c>
      <c r="K7" s="427">
        <v>5.3386899999999997</v>
      </c>
      <c r="L7" s="427">
        <v>5.3386899999999997</v>
      </c>
      <c r="M7" s="427">
        <v>5.3386899999999997</v>
      </c>
      <c r="N7" s="427">
        <v>5.3386899999999997</v>
      </c>
      <c r="O7" s="427">
        <v>5.3386899999999997</v>
      </c>
      <c r="P7" s="427">
        <v>5.3386899999999997</v>
      </c>
      <c r="Q7" s="427">
        <v>5.3386899999999997</v>
      </c>
      <c r="R7" s="427">
        <v>5.3386899999999997</v>
      </c>
      <c r="S7" s="427">
        <v>5.3386899999999997</v>
      </c>
      <c r="T7" s="427">
        <v>5.3386899999999997</v>
      </c>
      <c r="V7" s="427">
        <f t="shared" ref="V7:V70" si="5">SUM(H7:T7)/13</f>
        <v>5.3386899999999997</v>
      </c>
    </row>
    <row r="8" spans="1:22">
      <c r="A8" s="427" t="str">
        <f t="shared" si="0"/>
        <v>KU</v>
      </c>
      <c r="B8" s="427" t="str">
        <f t="shared" si="1"/>
        <v>KY</v>
      </c>
      <c r="C8" s="427" t="str">
        <f t="shared" si="4"/>
        <v>E</v>
      </c>
      <c r="D8" s="427" t="s">
        <v>3418</v>
      </c>
      <c r="E8" s="427" t="str">
        <f t="shared" si="2"/>
        <v>302</v>
      </c>
      <c r="F8" s="756" t="s">
        <v>1725</v>
      </c>
      <c r="G8" s="426" t="str">
        <f t="shared" si="3"/>
        <v/>
      </c>
      <c r="H8" s="427">
        <v>55.91883</v>
      </c>
      <c r="I8" s="427">
        <v>55.91883</v>
      </c>
      <c r="J8" s="427">
        <v>55.91883</v>
      </c>
      <c r="K8" s="427">
        <v>55.91883</v>
      </c>
      <c r="L8" s="427">
        <v>55.91883</v>
      </c>
      <c r="M8" s="427">
        <v>55.91883</v>
      </c>
      <c r="N8" s="427">
        <v>55.91883</v>
      </c>
      <c r="O8" s="427">
        <v>55.91883</v>
      </c>
      <c r="P8" s="427">
        <v>55.91883</v>
      </c>
      <c r="Q8" s="427">
        <v>55.91883</v>
      </c>
      <c r="R8" s="427">
        <v>55.91883</v>
      </c>
      <c r="S8" s="427">
        <v>55.91883</v>
      </c>
      <c r="T8" s="427">
        <v>55.91883</v>
      </c>
      <c r="V8" s="427">
        <f t="shared" si="5"/>
        <v>55.918829999999993</v>
      </c>
    </row>
    <row r="9" spans="1:22">
      <c r="A9" s="427" t="str">
        <f t="shared" si="0"/>
        <v>KU</v>
      </c>
      <c r="B9" s="427" t="str">
        <f t="shared" si="1"/>
        <v>KY</v>
      </c>
      <c r="C9" s="427" t="str">
        <f t="shared" si="4"/>
        <v>E</v>
      </c>
      <c r="D9" s="427" t="s">
        <v>3418</v>
      </c>
      <c r="E9" s="427" t="str">
        <f t="shared" si="2"/>
        <v>303</v>
      </c>
      <c r="F9" s="756" t="s">
        <v>1726</v>
      </c>
      <c r="G9" s="426" t="str">
        <f t="shared" si="3"/>
        <v/>
      </c>
      <c r="H9" s="427">
        <v>73028.5576420773</v>
      </c>
      <c r="I9" s="427">
        <v>73228.7424264773</v>
      </c>
      <c r="J9" s="427">
        <v>79482.144746577294</v>
      </c>
      <c r="K9" s="427">
        <v>79959.956117427297</v>
      </c>
      <c r="L9" s="427">
        <v>79502.8007324973</v>
      </c>
      <c r="M9" s="427">
        <v>79642.946070597303</v>
      </c>
      <c r="N9" s="427">
        <v>78353.554337897294</v>
      </c>
      <c r="O9" s="427">
        <v>75970.240103897304</v>
      </c>
      <c r="P9" s="427">
        <v>77904.0896152473</v>
      </c>
      <c r="Q9" s="427">
        <v>76981.022155247294</v>
      </c>
      <c r="R9" s="427">
        <v>74345.115505247304</v>
      </c>
      <c r="S9" s="427">
        <v>82289.243213247304</v>
      </c>
      <c r="T9" s="427">
        <v>83252.064343057296</v>
      </c>
      <c r="V9" s="427">
        <f t="shared" si="5"/>
        <v>77995.421308422679</v>
      </c>
    </row>
    <row r="10" spans="1:22">
      <c r="A10" s="427" t="str">
        <f t="shared" si="0"/>
        <v>KU</v>
      </c>
      <c r="B10" s="427" t="str">
        <f t="shared" si="1"/>
        <v>KY</v>
      </c>
      <c r="C10" s="427" t="str">
        <f t="shared" si="4"/>
        <v>E</v>
      </c>
      <c r="D10" s="427" t="s">
        <v>3418</v>
      </c>
      <c r="E10" s="427" t="str">
        <f t="shared" si="2"/>
        <v>303</v>
      </c>
      <c r="F10" s="756" t="s">
        <v>1727</v>
      </c>
      <c r="G10" s="426" t="str">
        <f t="shared" si="3"/>
        <v/>
      </c>
      <c r="H10" s="427">
        <v>19142.454614026901</v>
      </c>
      <c r="I10" s="427">
        <v>19196.2297340269</v>
      </c>
      <c r="J10" s="427">
        <v>19196.2297340269</v>
      </c>
      <c r="K10" s="427">
        <v>19196.2297340269</v>
      </c>
      <c r="L10" s="427">
        <v>19196.2297340269</v>
      </c>
      <c r="M10" s="427">
        <v>19196.2297340269</v>
      </c>
      <c r="N10" s="427">
        <v>19196.2297340269</v>
      </c>
      <c r="O10" s="427">
        <v>19196.2297340269</v>
      </c>
      <c r="P10" s="427">
        <v>19302.615166526899</v>
      </c>
      <c r="Q10" s="427">
        <v>19302.615166526899</v>
      </c>
      <c r="R10" s="427">
        <v>19398.642166526901</v>
      </c>
      <c r="S10" s="427">
        <v>19398.642166526901</v>
      </c>
      <c r="T10" s="427">
        <v>19559.9675265269</v>
      </c>
      <c r="V10" s="427">
        <f t="shared" si="5"/>
        <v>19267.580380373052</v>
      </c>
    </row>
    <row r="11" spans="1:22">
      <c r="A11" s="427" t="str">
        <f t="shared" si="0"/>
        <v>KU</v>
      </c>
      <c r="B11" s="427" t="str">
        <f t="shared" si="1"/>
        <v>KY</v>
      </c>
      <c r="C11" s="427" t="str">
        <f t="shared" si="4"/>
        <v>E</v>
      </c>
      <c r="D11" s="427" t="s">
        <v>3418</v>
      </c>
      <c r="E11" s="427" t="str">
        <f t="shared" si="2"/>
        <v>310</v>
      </c>
      <c r="F11" s="756" t="s">
        <v>1728</v>
      </c>
      <c r="G11" s="426" t="str">
        <f t="shared" si="3"/>
        <v>ECR</v>
      </c>
      <c r="H11" s="427">
        <v>11621.0685599999</v>
      </c>
      <c r="I11" s="427">
        <v>11621.0685599999</v>
      </c>
      <c r="J11" s="427">
        <v>11621.0685599999</v>
      </c>
      <c r="K11" s="427">
        <v>11621.0685599999</v>
      </c>
      <c r="L11" s="427">
        <v>11621.0685599999</v>
      </c>
      <c r="M11" s="427">
        <v>11621.0685599999</v>
      </c>
      <c r="N11" s="427">
        <v>11621.0685599999</v>
      </c>
      <c r="O11" s="427">
        <v>11621.0685599999</v>
      </c>
      <c r="P11" s="427">
        <v>11621.0685599999</v>
      </c>
      <c r="Q11" s="427">
        <v>11621.0685599999</v>
      </c>
      <c r="R11" s="427">
        <v>11621.0685599999</v>
      </c>
      <c r="S11" s="427">
        <v>11621.0685599999</v>
      </c>
      <c r="T11" s="427">
        <v>11621.0685599999</v>
      </c>
      <c r="V11" s="427">
        <f t="shared" si="5"/>
        <v>11621.0685599999</v>
      </c>
    </row>
    <row r="12" spans="1:22">
      <c r="A12" s="427" t="str">
        <f t="shared" si="0"/>
        <v>KU</v>
      </c>
      <c r="B12" s="427" t="str">
        <f t="shared" si="1"/>
        <v>KY</v>
      </c>
      <c r="C12" s="427" t="str">
        <f t="shared" si="4"/>
        <v>E</v>
      </c>
      <c r="D12" s="427" t="s">
        <v>3418</v>
      </c>
      <c r="E12" s="427" t="str">
        <f t="shared" si="2"/>
        <v>310</v>
      </c>
      <c r="F12" s="756" t="s">
        <v>1729</v>
      </c>
      <c r="G12" s="426" t="str">
        <f t="shared" si="3"/>
        <v>ECR</v>
      </c>
      <c r="H12" s="427">
        <v>1406.9974500000001</v>
      </c>
      <c r="I12" s="427">
        <v>1406.9974500000001</v>
      </c>
      <c r="J12" s="427">
        <v>1406.9974500000001</v>
      </c>
      <c r="K12" s="427">
        <v>1406.9974500000001</v>
      </c>
      <c r="L12" s="427">
        <v>1406.9974500000001</v>
      </c>
      <c r="M12" s="427">
        <v>1406.9974500000001</v>
      </c>
      <c r="N12" s="427">
        <v>1406.9974500000001</v>
      </c>
      <c r="O12" s="427">
        <v>1406.9974500000001</v>
      </c>
      <c r="P12" s="427">
        <v>1406.9974500000001</v>
      </c>
      <c r="Q12" s="427">
        <v>1406.9974500000001</v>
      </c>
      <c r="R12" s="427">
        <v>1406.9974500000001</v>
      </c>
      <c r="S12" s="427">
        <v>1406.9974500000001</v>
      </c>
      <c r="T12" s="427">
        <v>1406.9974500000001</v>
      </c>
      <c r="V12" s="427">
        <f t="shared" si="5"/>
        <v>1406.9974500000003</v>
      </c>
    </row>
    <row r="13" spans="1:22">
      <c r="A13" s="427" t="str">
        <f t="shared" si="0"/>
        <v>KU</v>
      </c>
      <c r="B13" s="427" t="str">
        <f t="shared" si="1"/>
        <v>KY</v>
      </c>
      <c r="C13" s="427" t="str">
        <f t="shared" si="4"/>
        <v>E</v>
      </c>
      <c r="D13" s="427" t="s">
        <v>3418</v>
      </c>
      <c r="E13" s="427" t="str">
        <f t="shared" si="2"/>
        <v>310</v>
      </c>
      <c r="F13" s="756" t="s">
        <v>2503</v>
      </c>
      <c r="G13" s="426" t="str">
        <f t="shared" si="3"/>
        <v>ECR</v>
      </c>
      <c r="H13" s="427">
        <v>12.94003</v>
      </c>
      <c r="I13" s="427">
        <v>12.94003</v>
      </c>
      <c r="J13" s="427">
        <v>12.94003</v>
      </c>
      <c r="K13" s="427">
        <v>12.94003</v>
      </c>
      <c r="L13" s="427">
        <v>12.94003</v>
      </c>
      <c r="M13" s="427">
        <v>12.94003</v>
      </c>
      <c r="N13" s="427">
        <v>12.94003</v>
      </c>
      <c r="O13" s="427">
        <v>12.94003</v>
      </c>
      <c r="P13" s="427">
        <v>12.94003</v>
      </c>
      <c r="Q13" s="427">
        <v>12.94003</v>
      </c>
      <c r="R13" s="427">
        <v>12.94003</v>
      </c>
      <c r="S13" s="427">
        <v>12.94003</v>
      </c>
      <c r="T13" s="427">
        <v>12.94003</v>
      </c>
      <c r="V13" s="427">
        <f t="shared" si="5"/>
        <v>12.940030000000005</v>
      </c>
    </row>
    <row r="14" spans="1:22">
      <c r="A14" s="427" t="str">
        <f t="shared" si="0"/>
        <v>KU</v>
      </c>
      <c r="B14" s="427" t="str">
        <f t="shared" si="1"/>
        <v>KY</v>
      </c>
      <c r="C14" s="427" t="str">
        <f t="shared" si="4"/>
        <v>E</v>
      </c>
      <c r="D14" s="427" t="s">
        <v>3418</v>
      </c>
      <c r="E14" s="427" t="str">
        <f t="shared" si="2"/>
        <v>310</v>
      </c>
      <c r="F14" s="756" t="s">
        <v>1730</v>
      </c>
      <c r="G14" s="426" t="str">
        <f t="shared" si="3"/>
        <v/>
      </c>
      <c r="H14" s="427">
        <v>11405.4677904</v>
      </c>
      <c r="I14" s="427">
        <v>11405.4677904</v>
      </c>
      <c r="J14" s="427">
        <v>11405.4677904</v>
      </c>
      <c r="K14" s="427">
        <v>11405.4677904</v>
      </c>
      <c r="L14" s="427">
        <v>11405.4677904</v>
      </c>
      <c r="M14" s="427">
        <v>11405.4677904</v>
      </c>
      <c r="N14" s="427">
        <v>11405.4677904</v>
      </c>
      <c r="O14" s="427">
        <v>11405.4677904</v>
      </c>
      <c r="P14" s="427">
        <v>11405.4677904</v>
      </c>
      <c r="Q14" s="427">
        <v>11405.4677904</v>
      </c>
      <c r="R14" s="427">
        <v>11405.4677904</v>
      </c>
      <c r="S14" s="427">
        <v>11405.4677904</v>
      </c>
      <c r="T14" s="427">
        <v>11405.4677904</v>
      </c>
      <c r="V14" s="427">
        <f t="shared" si="5"/>
        <v>11405.4677904</v>
      </c>
    </row>
    <row r="15" spans="1:22">
      <c r="A15" s="427" t="str">
        <f t="shared" si="0"/>
        <v>KU</v>
      </c>
      <c r="B15" s="427" t="str">
        <f t="shared" si="1"/>
        <v>KY</v>
      </c>
      <c r="C15" s="427" t="str">
        <f t="shared" si="4"/>
        <v>E</v>
      </c>
      <c r="D15" s="427" t="s">
        <v>3418</v>
      </c>
      <c r="E15" s="427" t="str">
        <f t="shared" si="2"/>
        <v>311</v>
      </c>
      <c r="F15" s="756" t="s">
        <v>1731</v>
      </c>
      <c r="G15" s="426" t="str">
        <f t="shared" si="3"/>
        <v>ECR</v>
      </c>
      <c r="H15" s="427">
        <v>10539.653910000001</v>
      </c>
      <c r="I15" s="427">
        <v>10539.653910000001</v>
      </c>
      <c r="J15" s="427">
        <v>10539.653910000001</v>
      </c>
      <c r="K15" s="427">
        <v>10539.653910000001</v>
      </c>
      <c r="L15" s="427">
        <v>10539.653910000001</v>
      </c>
      <c r="M15" s="427">
        <v>10539.653910000001</v>
      </c>
      <c r="N15" s="427">
        <v>10539.653910000001</v>
      </c>
      <c r="O15" s="427">
        <v>10539.653910000001</v>
      </c>
      <c r="P15" s="427">
        <v>10539.653910000001</v>
      </c>
      <c r="Q15" s="427">
        <v>10539.653910000001</v>
      </c>
      <c r="R15" s="427">
        <v>10539.653910000001</v>
      </c>
      <c r="S15" s="427">
        <v>10539.653910000001</v>
      </c>
      <c r="T15" s="427">
        <v>10539.653910000001</v>
      </c>
      <c r="V15" s="427">
        <f t="shared" si="5"/>
        <v>10539.653909999997</v>
      </c>
    </row>
    <row r="16" spans="1:22">
      <c r="A16" s="427" t="str">
        <f t="shared" si="0"/>
        <v>KU</v>
      </c>
      <c r="B16" s="427" t="str">
        <f t="shared" si="1"/>
        <v>KY</v>
      </c>
      <c r="C16" s="427" t="str">
        <f t="shared" si="4"/>
        <v>E</v>
      </c>
      <c r="D16" s="427" t="s">
        <v>3418</v>
      </c>
      <c r="E16" s="427" t="str">
        <f t="shared" si="2"/>
        <v>311</v>
      </c>
      <c r="F16" s="756" t="s">
        <v>2193</v>
      </c>
      <c r="G16" s="426" t="str">
        <f t="shared" si="3"/>
        <v>ECR</v>
      </c>
      <c r="H16" s="427">
        <v>14263.553749999999</v>
      </c>
      <c r="I16" s="427">
        <v>14263.553749999999</v>
      </c>
      <c r="J16" s="427">
        <v>14263.553749999999</v>
      </c>
      <c r="K16" s="427">
        <v>14263.553749999999</v>
      </c>
      <c r="L16" s="427">
        <v>14263.553749999999</v>
      </c>
      <c r="M16" s="427">
        <v>14263.553749999999</v>
      </c>
      <c r="N16" s="427">
        <v>14263.553749999999</v>
      </c>
      <c r="O16" s="427">
        <v>14263.553749999999</v>
      </c>
      <c r="P16" s="427">
        <v>14263.553749999999</v>
      </c>
      <c r="Q16" s="427">
        <v>14263.553749999999</v>
      </c>
      <c r="R16" s="427">
        <v>14263.553749999999</v>
      </c>
      <c r="S16" s="427">
        <v>14263.553749999999</v>
      </c>
      <c r="T16" s="427">
        <v>14263.553749999999</v>
      </c>
      <c r="V16" s="427">
        <f t="shared" si="5"/>
        <v>14263.553749999994</v>
      </c>
    </row>
    <row r="17" spans="1:22">
      <c r="A17" s="427" t="str">
        <f t="shared" si="0"/>
        <v>KU</v>
      </c>
      <c r="B17" s="427" t="str">
        <f t="shared" si="1"/>
        <v>KY</v>
      </c>
      <c r="C17" s="427" t="str">
        <f t="shared" si="4"/>
        <v>E</v>
      </c>
      <c r="D17" s="427" t="s">
        <v>3418</v>
      </c>
      <c r="E17" s="427" t="str">
        <f t="shared" si="2"/>
        <v>311</v>
      </c>
      <c r="F17" s="756" t="s">
        <v>1732</v>
      </c>
      <c r="G17" s="426" t="str">
        <f t="shared" si="3"/>
        <v/>
      </c>
      <c r="H17" s="427">
        <v>333281.34110845398</v>
      </c>
      <c r="I17" s="427">
        <v>333771.69867235399</v>
      </c>
      <c r="J17" s="427">
        <v>334132.48189647403</v>
      </c>
      <c r="K17" s="427">
        <v>335260.49438560399</v>
      </c>
      <c r="L17" s="427">
        <v>335678.01724651398</v>
      </c>
      <c r="M17" s="427">
        <v>335698.49684798397</v>
      </c>
      <c r="N17" s="427">
        <v>335913.02537200402</v>
      </c>
      <c r="O17" s="427">
        <v>336279.831870544</v>
      </c>
      <c r="P17" s="427">
        <v>325604.32686054398</v>
      </c>
      <c r="Q17" s="427">
        <v>325604.32686054398</v>
      </c>
      <c r="R17" s="427">
        <v>325604.32686054398</v>
      </c>
      <c r="S17" s="427">
        <v>325792.68190050399</v>
      </c>
      <c r="T17" s="427">
        <v>325843.57159160398</v>
      </c>
      <c r="V17" s="427">
        <f t="shared" si="5"/>
        <v>331420.35549797479</v>
      </c>
    </row>
    <row r="18" spans="1:22">
      <c r="A18" s="427" t="str">
        <f t="shared" si="0"/>
        <v>KU</v>
      </c>
      <c r="B18" s="427" t="str">
        <f t="shared" si="1"/>
        <v>KY</v>
      </c>
      <c r="C18" s="427" t="str">
        <f t="shared" si="4"/>
        <v>E</v>
      </c>
      <c r="D18" s="427" t="s">
        <v>3418</v>
      </c>
      <c r="E18" s="427" t="str">
        <f t="shared" si="2"/>
        <v>312</v>
      </c>
      <c r="F18" s="756" t="s">
        <v>1733</v>
      </c>
      <c r="G18" s="426" t="str">
        <f t="shared" si="3"/>
        <v/>
      </c>
      <c r="H18" s="427">
        <v>2680561.5822859099</v>
      </c>
      <c r="I18" s="427">
        <v>2683440.7461074102</v>
      </c>
      <c r="J18" s="427">
        <v>2697512.6544290902</v>
      </c>
      <c r="K18" s="427">
        <v>2700000.5948711201</v>
      </c>
      <c r="L18" s="427">
        <v>2700706.0600178801</v>
      </c>
      <c r="M18" s="427">
        <v>2701646.74633042</v>
      </c>
      <c r="N18" s="427">
        <v>2702931.16301395</v>
      </c>
      <c r="O18" s="427">
        <v>2714848.0382962502</v>
      </c>
      <c r="P18" s="427">
        <v>2715173.0099641499</v>
      </c>
      <c r="Q18" s="427">
        <v>2715109.6081493599</v>
      </c>
      <c r="R18" s="427">
        <v>2711115.3942661602</v>
      </c>
      <c r="S18" s="427">
        <v>2717484.2767835502</v>
      </c>
      <c r="T18" s="427">
        <v>2720807.2634077501</v>
      </c>
      <c r="V18" s="427">
        <f t="shared" si="5"/>
        <v>2704718.2413786924</v>
      </c>
    </row>
    <row r="19" spans="1:22">
      <c r="A19" s="427" t="str">
        <f t="shared" si="0"/>
        <v>KU</v>
      </c>
      <c r="B19" s="427" t="str">
        <f t="shared" si="1"/>
        <v>KY</v>
      </c>
      <c r="C19" s="427" t="str">
        <f t="shared" si="4"/>
        <v>E</v>
      </c>
      <c r="D19" s="427" t="s">
        <v>3418</v>
      </c>
      <c r="E19" s="427" t="str">
        <f t="shared" si="2"/>
        <v>312</v>
      </c>
      <c r="F19" s="756" t="s">
        <v>1734</v>
      </c>
      <c r="G19" s="426" t="str">
        <f t="shared" si="3"/>
        <v>ECR</v>
      </c>
      <c r="H19" s="427">
        <v>517380.45497999998</v>
      </c>
      <c r="I19" s="427">
        <v>517405.95497999998</v>
      </c>
      <c r="J19" s="427">
        <v>517431.45497999998</v>
      </c>
      <c r="K19" s="427">
        <v>517456.95497999998</v>
      </c>
      <c r="L19" s="427">
        <v>517482.45497999998</v>
      </c>
      <c r="M19" s="427">
        <v>517507.95497999998</v>
      </c>
      <c r="N19" s="427">
        <v>517533.45497999998</v>
      </c>
      <c r="O19" s="427">
        <v>541070.73806</v>
      </c>
      <c r="P19" s="427">
        <v>580593.66137999995</v>
      </c>
      <c r="Q19" s="427">
        <v>581068.98137999896</v>
      </c>
      <c r="R19" s="427">
        <v>582539.58137999906</v>
      </c>
      <c r="S19" s="427">
        <v>582603.78137999901</v>
      </c>
      <c r="T19" s="427">
        <v>582743.18137999903</v>
      </c>
      <c r="V19" s="427">
        <f t="shared" si="5"/>
        <v>544062.96998615353</v>
      </c>
    </row>
    <row r="20" spans="1:22">
      <c r="A20" s="427" t="str">
        <f t="shared" si="0"/>
        <v>KU</v>
      </c>
      <c r="B20" s="427" t="str">
        <f t="shared" si="1"/>
        <v>KY</v>
      </c>
      <c r="C20" s="427" t="str">
        <f t="shared" si="4"/>
        <v>E</v>
      </c>
      <c r="D20" s="427" t="s">
        <v>3418</v>
      </c>
      <c r="E20" s="427" t="str">
        <f t="shared" si="2"/>
        <v>312</v>
      </c>
      <c r="F20" s="756" t="s">
        <v>1735</v>
      </c>
      <c r="G20" s="426" t="str">
        <f>IF(ISTEXT(MID($F20,SEARCH("FUTURE USE",$F20),3)),"FUTURE USE",IF(ISTEXT(MID($F20,SEARCH("ECR",$F20),3)),"ECR",IF(ISTEXT(MID($F20,SEARCH("ARO",$F20),3)),"ARO",IF(ISTEXT(MID($F20,SEARCH("DSM",$F20),3)),"DSM",""))))</f>
        <v>ECR</v>
      </c>
      <c r="H20" s="427">
        <v>823225.25812999997</v>
      </c>
      <c r="I20" s="427">
        <v>823225.25812999997</v>
      </c>
      <c r="J20" s="427">
        <v>823225.25812999997</v>
      </c>
      <c r="K20" s="427">
        <v>823225.25812999997</v>
      </c>
      <c r="L20" s="427">
        <v>823225.25812999997</v>
      </c>
      <c r="M20" s="427">
        <v>823225.25812999997</v>
      </c>
      <c r="N20" s="427">
        <v>823225.25812999997</v>
      </c>
      <c r="O20" s="427">
        <v>823225.25812999997</v>
      </c>
      <c r="P20" s="427">
        <v>824691.69634000002</v>
      </c>
      <c r="Q20" s="427">
        <v>824691.69634000002</v>
      </c>
      <c r="R20" s="427">
        <v>824691.69634000002</v>
      </c>
      <c r="S20" s="427">
        <v>825184.45545999997</v>
      </c>
      <c r="T20" s="427">
        <v>825184.45545999997</v>
      </c>
      <c r="V20" s="427">
        <f t="shared" si="5"/>
        <v>823865.08192153857</v>
      </c>
    </row>
    <row r="21" spans="1:22">
      <c r="A21" s="427" t="str">
        <f t="shared" si="0"/>
        <v>KU</v>
      </c>
      <c r="B21" s="427" t="str">
        <f t="shared" si="1"/>
        <v>KY</v>
      </c>
      <c r="C21" s="427" t="str">
        <f t="shared" si="4"/>
        <v>E</v>
      </c>
      <c r="D21" s="427" t="s">
        <v>3418</v>
      </c>
      <c r="E21" s="427" t="str">
        <f t="shared" si="2"/>
        <v>312</v>
      </c>
      <c r="F21" s="756" t="s">
        <v>2194</v>
      </c>
      <c r="G21" s="426" t="str">
        <f t="shared" ref="G21:G85" si="6">IF(ISTEXT(MID($F21,SEARCH("FUTURE USE",$F21),3)),"FUTURE USE",IF(ISTEXT(MID($F21,SEARCH("ECR",$F21),3)),"ECR",IF(ISTEXT(MID($F21,SEARCH("ARO",$F21),3)),"ARO",IF(ISTEXT(MID($F21,SEARCH("DSM",$F21),3)),"DSM",""))))</f>
        <v>ECR</v>
      </c>
      <c r="H21" s="427">
        <v>44741.62672</v>
      </c>
      <c r="I21" s="427">
        <v>177691.90109</v>
      </c>
      <c r="J21" s="427">
        <v>181979.82633000001</v>
      </c>
      <c r="K21" s="427">
        <v>182986.82743999999</v>
      </c>
      <c r="L21" s="427">
        <v>184054.82858</v>
      </c>
      <c r="M21" s="427">
        <v>184972.82954999999</v>
      </c>
      <c r="N21" s="427">
        <v>202710.68168000001</v>
      </c>
      <c r="O21" s="427">
        <v>203591.83165000001</v>
      </c>
      <c r="P21" s="427">
        <v>235664.02953999999</v>
      </c>
      <c r="Q21" s="427">
        <v>235664.02953999999</v>
      </c>
      <c r="R21" s="427">
        <v>235764.02953999999</v>
      </c>
      <c r="S21" s="427">
        <v>235864.02953999999</v>
      </c>
      <c r="T21" s="427">
        <v>236064.02953999999</v>
      </c>
      <c r="V21" s="427">
        <f t="shared" si="5"/>
        <v>195519.26928769232</v>
      </c>
    </row>
    <row r="22" spans="1:22">
      <c r="A22" s="427" t="str">
        <f t="shared" si="0"/>
        <v>KU</v>
      </c>
      <c r="B22" s="427" t="str">
        <f t="shared" si="1"/>
        <v>KY</v>
      </c>
      <c r="C22" s="427" t="str">
        <f t="shared" si="4"/>
        <v>E</v>
      </c>
      <c r="D22" s="427" t="s">
        <v>3418</v>
      </c>
      <c r="E22" s="427" t="str">
        <f t="shared" si="2"/>
        <v>314</v>
      </c>
      <c r="F22" s="756" t="s">
        <v>1737</v>
      </c>
      <c r="G22" s="426" t="str">
        <f t="shared" si="6"/>
        <v/>
      </c>
      <c r="H22" s="427">
        <v>330028.89346397098</v>
      </c>
      <c r="I22" s="427">
        <v>330543.073069971</v>
      </c>
      <c r="J22" s="427">
        <v>331556.84296697099</v>
      </c>
      <c r="K22" s="427">
        <v>331726.45765609102</v>
      </c>
      <c r="L22" s="427">
        <v>331726.45765609102</v>
      </c>
      <c r="M22" s="427">
        <v>331726.45765609102</v>
      </c>
      <c r="N22" s="427">
        <v>331726.45765609102</v>
      </c>
      <c r="O22" s="427">
        <v>333792.71103299101</v>
      </c>
      <c r="P22" s="427">
        <v>340061.73618521099</v>
      </c>
      <c r="Q22" s="427">
        <v>340061.73618521099</v>
      </c>
      <c r="R22" s="427">
        <v>340061.73618521099</v>
      </c>
      <c r="S22" s="427">
        <v>340061.73618521099</v>
      </c>
      <c r="T22" s="427">
        <v>332931.71580521099</v>
      </c>
      <c r="V22" s="427">
        <f t="shared" si="5"/>
        <v>334308.15474648628</v>
      </c>
    </row>
    <row r="23" spans="1:22">
      <c r="A23" s="427" t="str">
        <f t="shared" si="0"/>
        <v>KU</v>
      </c>
      <c r="B23" s="427" t="str">
        <f t="shared" si="1"/>
        <v>KY</v>
      </c>
      <c r="C23" s="427" t="str">
        <f t="shared" si="4"/>
        <v>E</v>
      </c>
      <c r="D23" s="427" t="s">
        <v>3418</v>
      </c>
      <c r="E23" s="427" t="str">
        <f t="shared" si="2"/>
        <v>315</v>
      </c>
      <c r="F23" s="756" t="s">
        <v>1738</v>
      </c>
      <c r="G23" s="426" t="str">
        <f t="shared" si="6"/>
        <v/>
      </c>
      <c r="H23" s="427">
        <v>213982.390418136</v>
      </c>
      <c r="I23" s="427">
        <v>214053.37704310601</v>
      </c>
      <c r="J23" s="427">
        <v>214053.37704310601</v>
      </c>
      <c r="K23" s="427">
        <v>214053.37704310601</v>
      </c>
      <c r="L23" s="427">
        <v>214053.37704310601</v>
      </c>
      <c r="M23" s="427">
        <v>214053.37704310601</v>
      </c>
      <c r="N23" s="427">
        <v>214053.37704310601</v>
      </c>
      <c r="O23" s="427">
        <v>220900.94208510601</v>
      </c>
      <c r="P23" s="427">
        <v>221267.948715306</v>
      </c>
      <c r="Q23" s="427">
        <v>221267.948715306</v>
      </c>
      <c r="R23" s="427">
        <v>221267.948715306</v>
      </c>
      <c r="S23" s="427">
        <v>221267.948715306</v>
      </c>
      <c r="T23" s="427">
        <v>220879.38197530599</v>
      </c>
      <c r="V23" s="427">
        <f t="shared" si="5"/>
        <v>217319.59781526215</v>
      </c>
    </row>
    <row r="24" spans="1:22">
      <c r="A24" s="427" t="str">
        <f t="shared" si="0"/>
        <v>KU</v>
      </c>
      <c r="B24" s="427" t="str">
        <f t="shared" si="1"/>
        <v>KY</v>
      </c>
      <c r="C24" s="427" t="str">
        <f t="shared" si="4"/>
        <v>E</v>
      </c>
      <c r="D24" s="427" t="s">
        <v>3418</v>
      </c>
      <c r="E24" s="427" t="str">
        <f t="shared" si="2"/>
        <v>315</v>
      </c>
      <c r="F24" s="756" t="s">
        <v>2195</v>
      </c>
      <c r="G24" s="426" t="str">
        <f t="shared" si="6"/>
        <v>ECR</v>
      </c>
      <c r="H24" s="427">
        <v>21548.085609999998</v>
      </c>
      <c r="I24" s="427">
        <v>21548.085609999998</v>
      </c>
      <c r="J24" s="427">
        <v>21548.085609999998</v>
      </c>
      <c r="K24" s="427">
        <v>21548.085609999998</v>
      </c>
      <c r="L24" s="427">
        <v>21548.085609999998</v>
      </c>
      <c r="M24" s="427">
        <v>21548.085609999998</v>
      </c>
      <c r="N24" s="427">
        <v>21548.085609999998</v>
      </c>
      <c r="O24" s="427">
        <v>21548.085609999998</v>
      </c>
      <c r="P24" s="427">
        <v>21548.085609999998</v>
      </c>
      <c r="Q24" s="427">
        <v>21548.085609999998</v>
      </c>
      <c r="R24" s="427">
        <v>21548.085609999998</v>
      </c>
      <c r="S24" s="427">
        <v>21548.085609999998</v>
      </c>
      <c r="T24" s="427">
        <v>21548.085609999998</v>
      </c>
      <c r="V24" s="427">
        <f t="shared" si="5"/>
        <v>21548.085610000002</v>
      </c>
    </row>
    <row r="25" spans="1:22">
      <c r="A25" s="427" t="str">
        <f t="shared" si="0"/>
        <v>KU</v>
      </c>
      <c r="B25" s="427" t="str">
        <f t="shared" si="1"/>
        <v>KY</v>
      </c>
      <c r="C25" s="427" t="str">
        <f t="shared" si="4"/>
        <v>E</v>
      </c>
      <c r="D25" s="427" t="s">
        <v>3418</v>
      </c>
      <c r="E25" s="427" t="str">
        <f t="shared" si="2"/>
        <v>315</v>
      </c>
      <c r="F25" s="756" t="s">
        <v>1739</v>
      </c>
      <c r="G25" s="426" t="str">
        <f t="shared" si="6"/>
        <v>ECR</v>
      </c>
      <c r="H25" s="427">
        <v>14764.05416</v>
      </c>
      <c r="I25" s="427">
        <v>14764.05416</v>
      </c>
      <c r="J25" s="427">
        <v>14764.05416</v>
      </c>
      <c r="K25" s="427">
        <v>14764.05416</v>
      </c>
      <c r="L25" s="427">
        <v>14764.05416</v>
      </c>
      <c r="M25" s="427">
        <v>14764.05416</v>
      </c>
      <c r="N25" s="427">
        <v>14764.05416</v>
      </c>
      <c r="O25" s="427">
        <v>14764.05416</v>
      </c>
      <c r="P25" s="427">
        <v>14764.05416</v>
      </c>
      <c r="Q25" s="427">
        <v>14764.05416</v>
      </c>
      <c r="R25" s="427">
        <v>14764.05416</v>
      </c>
      <c r="S25" s="427">
        <v>14764.05416</v>
      </c>
      <c r="T25" s="427">
        <v>14764.05416</v>
      </c>
      <c r="V25" s="427">
        <f t="shared" si="5"/>
        <v>14764.05416</v>
      </c>
    </row>
    <row r="26" spans="1:22">
      <c r="A26" s="427" t="str">
        <f t="shared" si="0"/>
        <v>KU</v>
      </c>
      <c r="B26" s="427" t="str">
        <f t="shared" si="1"/>
        <v>KY</v>
      </c>
      <c r="C26" s="427" t="str">
        <f t="shared" si="4"/>
        <v>E</v>
      </c>
      <c r="D26" s="427" t="s">
        <v>3418</v>
      </c>
      <c r="E26" s="427" t="str">
        <f t="shared" si="2"/>
        <v>316</v>
      </c>
      <c r="F26" s="756" t="s">
        <v>2196</v>
      </c>
      <c r="G26" s="426" t="str">
        <f t="shared" si="6"/>
        <v>ECR</v>
      </c>
      <c r="H26" s="427">
        <v>824.92337999999995</v>
      </c>
      <c r="I26" s="427">
        <v>824.92337999999995</v>
      </c>
      <c r="J26" s="427">
        <v>824.92337999999995</v>
      </c>
      <c r="K26" s="427">
        <v>824.92337999999995</v>
      </c>
      <c r="L26" s="427">
        <v>824.92337999999995</v>
      </c>
      <c r="M26" s="427">
        <v>824.92337999999995</v>
      </c>
      <c r="N26" s="427">
        <v>824.92337999999995</v>
      </c>
      <c r="O26" s="427">
        <v>824.92337999999995</v>
      </c>
      <c r="P26" s="427">
        <v>824.92337999999995</v>
      </c>
      <c r="Q26" s="427">
        <v>824.92337999999995</v>
      </c>
      <c r="R26" s="427">
        <v>824.92337999999995</v>
      </c>
      <c r="S26" s="427">
        <v>824.92337999999995</v>
      </c>
      <c r="T26" s="427">
        <v>824.92337999999995</v>
      </c>
      <c r="V26" s="427">
        <f t="shared" si="5"/>
        <v>824.92338000000007</v>
      </c>
    </row>
    <row r="27" spans="1:22">
      <c r="A27" s="427" t="str">
        <f t="shared" si="0"/>
        <v>KU</v>
      </c>
      <c r="B27" s="427" t="str">
        <f t="shared" si="1"/>
        <v>KY</v>
      </c>
      <c r="C27" s="427" t="str">
        <f t="shared" si="4"/>
        <v>E</v>
      </c>
      <c r="D27" s="427" t="s">
        <v>3418</v>
      </c>
      <c r="E27" s="427" t="str">
        <f t="shared" si="2"/>
        <v>316</v>
      </c>
      <c r="F27" s="756" t="s">
        <v>1740</v>
      </c>
      <c r="G27" s="426" t="str">
        <f t="shared" si="6"/>
        <v/>
      </c>
      <c r="H27" s="427">
        <v>38853.613154277002</v>
      </c>
      <c r="I27" s="427">
        <v>40778.934050287004</v>
      </c>
      <c r="J27" s="427">
        <v>40843.290222167001</v>
      </c>
      <c r="K27" s="427">
        <v>40843.290222167001</v>
      </c>
      <c r="L27" s="427">
        <v>41251.332558187001</v>
      </c>
      <c r="M27" s="427">
        <v>41251.332558187001</v>
      </c>
      <c r="N27" s="427">
        <v>41648.483387086999</v>
      </c>
      <c r="O27" s="427">
        <v>42072.615719126901</v>
      </c>
      <c r="P27" s="427">
        <v>44937.076772686902</v>
      </c>
      <c r="Q27" s="427">
        <v>44937.076772686902</v>
      </c>
      <c r="R27" s="427">
        <v>44937.076772686902</v>
      </c>
      <c r="S27" s="427">
        <v>45146.991852306899</v>
      </c>
      <c r="T27" s="427">
        <v>45457.115185686896</v>
      </c>
      <c r="V27" s="427">
        <f t="shared" si="5"/>
        <v>42535.248402118494</v>
      </c>
    </row>
    <row r="28" spans="1:22">
      <c r="A28" s="427" t="str">
        <f t="shared" si="0"/>
        <v>KU</v>
      </c>
      <c r="B28" s="427" t="str">
        <f t="shared" si="1"/>
        <v>KY</v>
      </c>
      <c r="C28" s="427" t="str">
        <f t="shared" si="4"/>
        <v>E</v>
      </c>
      <c r="D28" s="427" t="s">
        <v>3418</v>
      </c>
      <c r="E28" s="427" t="str">
        <f t="shared" si="2"/>
        <v>317</v>
      </c>
      <c r="F28" s="756" t="s">
        <v>1741</v>
      </c>
      <c r="G28" s="426" t="str">
        <f t="shared" si="6"/>
        <v>ARO</v>
      </c>
      <c r="H28" s="427">
        <v>32810.029009999998</v>
      </c>
      <c r="I28" s="427">
        <v>32810.029009999998</v>
      </c>
      <c r="J28" s="427">
        <v>32810.029009999998</v>
      </c>
      <c r="K28" s="427">
        <v>32810.029009999998</v>
      </c>
      <c r="L28" s="427">
        <v>32810.029009999998</v>
      </c>
      <c r="M28" s="427">
        <v>32810.029009999998</v>
      </c>
      <c r="N28" s="427">
        <v>32810.029009999998</v>
      </c>
      <c r="O28" s="427">
        <v>32810.029009999998</v>
      </c>
      <c r="P28" s="427">
        <v>32810.029009999998</v>
      </c>
      <c r="Q28" s="427">
        <v>19190.190600000002</v>
      </c>
      <c r="R28" s="427">
        <v>19190.190600000002</v>
      </c>
      <c r="S28" s="427">
        <v>19190.190600000002</v>
      </c>
      <c r="T28" s="427">
        <v>19190.190600000002</v>
      </c>
      <c r="V28" s="427">
        <f t="shared" si="5"/>
        <v>28619.309499230763</v>
      </c>
    </row>
    <row r="29" spans="1:22">
      <c r="A29" s="427" t="str">
        <f t="shared" si="0"/>
        <v>KU</v>
      </c>
      <c r="B29" s="427" t="str">
        <f t="shared" si="1"/>
        <v>KY</v>
      </c>
      <c r="C29" s="427" t="str">
        <f t="shared" si="4"/>
        <v>E</v>
      </c>
      <c r="D29" s="427" t="s">
        <v>3418</v>
      </c>
      <c r="E29" s="427" t="str">
        <f t="shared" si="2"/>
        <v>317</v>
      </c>
      <c r="F29" s="756" t="s">
        <v>2504</v>
      </c>
      <c r="G29" s="426" t="str">
        <f t="shared" si="6"/>
        <v>ARO</v>
      </c>
      <c r="H29" s="427">
        <v>164566.70180000001</v>
      </c>
      <c r="I29" s="427">
        <v>164566.70180000001</v>
      </c>
      <c r="J29" s="427">
        <v>164566.70180000001</v>
      </c>
      <c r="K29" s="427">
        <v>164566.70180000001</v>
      </c>
      <c r="L29" s="427">
        <v>164566.70180000001</v>
      </c>
      <c r="M29" s="427">
        <v>164566.70180000001</v>
      </c>
      <c r="N29" s="427">
        <v>164566.70180000001</v>
      </c>
      <c r="O29" s="427">
        <v>164566.70180000001</v>
      </c>
      <c r="P29" s="427">
        <v>164566.70180000001</v>
      </c>
      <c r="Q29" s="427">
        <v>116221.78539</v>
      </c>
      <c r="R29" s="427">
        <v>116221.78539</v>
      </c>
      <c r="S29" s="427">
        <v>116221.78539</v>
      </c>
      <c r="T29" s="427">
        <v>116221.78539</v>
      </c>
      <c r="V29" s="427">
        <f t="shared" si="5"/>
        <v>149691.34290461542</v>
      </c>
    </row>
    <row r="30" spans="1:22">
      <c r="A30" s="427" t="str">
        <f t="shared" si="0"/>
        <v>KU</v>
      </c>
      <c r="B30" s="427" t="str">
        <f t="shared" si="1"/>
        <v>KY</v>
      </c>
      <c r="C30" s="427" t="str">
        <f t="shared" si="4"/>
        <v>E</v>
      </c>
      <c r="D30" s="427" t="s">
        <v>3418</v>
      </c>
      <c r="E30" s="427" t="str">
        <f t="shared" si="2"/>
        <v>330</v>
      </c>
      <c r="F30" s="756" t="s">
        <v>1742</v>
      </c>
      <c r="G30" s="426" t="str">
        <f t="shared" si="6"/>
        <v/>
      </c>
      <c r="H30" s="427">
        <v>855.63647000000003</v>
      </c>
      <c r="I30" s="427">
        <v>855.63647000000003</v>
      </c>
      <c r="J30" s="427">
        <v>855.63647000000003</v>
      </c>
      <c r="K30" s="427">
        <v>855.63647000000003</v>
      </c>
      <c r="L30" s="427">
        <v>855.63647000000003</v>
      </c>
      <c r="M30" s="427">
        <v>855.63647000000003</v>
      </c>
      <c r="N30" s="427">
        <v>855.63647000000003</v>
      </c>
      <c r="O30" s="427">
        <v>855.63647000000003</v>
      </c>
      <c r="P30" s="427">
        <v>855.63647000000003</v>
      </c>
      <c r="Q30" s="427">
        <v>855.63647000000003</v>
      </c>
      <c r="R30" s="427">
        <v>855.63647000000003</v>
      </c>
      <c r="S30" s="427">
        <v>855.63647000000003</v>
      </c>
      <c r="T30" s="427">
        <v>855.63647000000003</v>
      </c>
      <c r="V30" s="427">
        <f t="shared" si="5"/>
        <v>855.63647000000003</v>
      </c>
    </row>
    <row r="31" spans="1:22">
      <c r="A31" s="427" t="str">
        <f t="shared" si="0"/>
        <v>KU</v>
      </c>
      <c r="B31" s="427" t="str">
        <f t="shared" si="1"/>
        <v>KY</v>
      </c>
      <c r="C31" s="427" t="str">
        <f t="shared" si="4"/>
        <v>E</v>
      </c>
      <c r="D31" s="427" t="s">
        <v>3418</v>
      </c>
      <c r="E31" s="427" t="str">
        <f t="shared" si="2"/>
        <v>331</v>
      </c>
      <c r="F31" s="756" t="s">
        <v>1743</v>
      </c>
      <c r="G31" s="426" t="str">
        <f t="shared" si="6"/>
        <v/>
      </c>
      <c r="H31" s="427">
        <v>4393.1914699999998</v>
      </c>
      <c r="I31" s="427">
        <v>4393.1914699999998</v>
      </c>
      <c r="J31" s="427">
        <v>4486.6968009799903</v>
      </c>
      <c r="K31" s="427">
        <v>4486.6968009799903</v>
      </c>
      <c r="L31" s="427">
        <v>4486.6968009799903</v>
      </c>
      <c r="M31" s="427">
        <v>4486.6968009799903</v>
      </c>
      <c r="N31" s="427">
        <v>4486.6968009799903</v>
      </c>
      <c r="O31" s="427">
        <v>4486.6968009799903</v>
      </c>
      <c r="P31" s="427">
        <v>4486.6968009799903</v>
      </c>
      <c r="Q31" s="427">
        <v>4486.6968009799903</v>
      </c>
      <c r="R31" s="427">
        <v>4486.6968009799903</v>
      </c>
      <c r="S31" s="427">
        <v>4486.6968009799903</v>
      </c>
      <c r="T31" s="427">
        <v>4486.6968009799903</v>
      </c>
      <c r="V31" s="427">
        <f t="shared" si="5"/>
        <v>4472.311365444607</v>
      </c>
    </row>
    <row r="32" spans="1:22">
      <c r="A32" s="427" t="str">
        <f t="shared" si="0"/>
        <v>KU</v>
      </c>
      <c r="B32" s="427" t="str">
        <f t="shared" si="1"/>
        <v>KY</v>
      </c>
      <c r="C32" s="427" t="str">
        <f t="shared" si="4"/>
        <v>E</v>
      </c>
      <c r="D32" s="427" t="s">
        <v>3418</v>
      </c>
      <c r="E32" s="427" t="str">
        <f t="shared" si="2"/>
        <v>332</v>
      </c>
      <c r="F32" s="756" t="s">
        <v>1744</v>
      </c>
      <c r="G32" s="426" t="str">
        <f t="shared" si="6"/>
        <v/>
      </c>
      <c r="H32" s="427">
        <v>21885.646369999999</v>
      </c>
      <c r="I32" s="427">
        <v>21885.646369999999</v>
      </c>
      <c r="J32" s="427">
        <v>21885.646369999999</v>
      </c>
      <c r="K32" s="427">
        <v>21885.646369999999</v>
      </c>
      <c r="L32" s="427">
        <v>21885.646369999999</v>
      </c>
      <c r="M32" s="427">
        <v>21885.646369999999</v>
      </c>
      <c r="N32" s="427">
        <v>21885.646369999999</v>
      </c>
      <c r="O32" s="427">
        <v>21885.646369999999</v>
      </c>
      <c r="P32" s="427">
        <v>21885.646369999999</v>
      </c>
      <c r="Q32" s="427">
        <v>21885.646369999999</v>
      </c>
      <c r="R32" s="427">
        <v>21885.646369999999</v>
      </c>
      <c r="S32" s="427">
        <v>21885.646369999999</v>
      </c>
      <c r="T32" s="427">
        <v>21885.646369999999</v>
      </c>
      <c r="V32" s="427">
        <f t="shared" si="5"/>
        <v>21885.646369999995</v>
      </c>
    </row>
    <row r="33" spans="1:22">
      <c r="A33" s="427" t="str">
        <f t="shared" si="0"/>
        <v>KU</v>
      </c>
      <c r="B33" s="427" t="str">
        <f t="shared" si="1"/>
        <v>KY</v>
      </c>
      <c r="C33" s="427" t="str">
        <f t="shared" si="4"/>
        <v>E</v>
      </c>
      <c r="D33" s="427" t="s">
        <v>3418</v>
      </c>
      <c r="E33" s="427" t="str">
        <f t="shared" si="2"/>
        <v>333</v>
      </c>
      <c r="F33" s="756" t="s">
        <v>1745</v>
      </c>
      <c r="G33" s="426" t="str">
        <f t="shared" si="6"/>
        <v/>
      </c>
      <c r="H33" s="427">
        <v>14046.74158</v>
      </c>
      <c r="I33" s="427">
        <v>14046.74158</v>
      </c>
      <c r="J33" s="427">
        <v>14046.74158</v>
      </c>
      <c r="K33" s="427">
        <v>14046.74158</v>
      </c>
      <c r="L33" s="427">
        <v>14046.74158</v>
      </c>
      <c r="M33" s="427">
        <v>14046.74158</v>
      </c>
      <c r="N33" s="427">
        <v>14046.74158</v>
      </c>
      <c r="O33" s="427">
        <v>14046.74158</v>
      </c>
      <c r="P33" s="427">
        <v>14046.74158</v>
      </c>
      <c r="Q33" s="427">
        <v>14046.74158</v>
      </c>
      <c r="R33" s="427">
        <v>14046.74158</v>
      </c>
      <c r="S33" s="427">
        <v>14046.74158</v>
      </c>
      <c r="T33" s="427">
        <v>14046.74158</v>
      </c>
      <c r="V33" s="427">
        <f t="shared" si="5"/>
        <v>14046.74158</v>
      </c>
    </row>
    <row r="34" spans="1:22">
      <c r="A34" s="427" t="str">
        <f t="shared" si="0"/>
        <v>KU</v>
      </c>
      <c r="B34" s="427" t="str">
        <f t="shared" si="1"/>
        <v>KY</v>
      </c>
      <c r="C34" s="427" t="str">
        <f t="shared" si="4"/>
        <v>E</v>
      </c>
      <c r="D34" s="427" t="s">
        <v>3418</v>
      </c>
      <c r="E34" s="427" t="str">
        <f t="shared" si="2"/>
        <v>334</v>
      </c>
      <c r="F34" s="756" t="s">
        <v>1746</v>
      </c>
      <c r="G34" s="426" t="str">
        <f t="shared" si="6"/>
        <v/>
      </c>
      <c r="H34" s="427">
        <v>1381.87067</v>
      </c>
      <c r="I34" s="427">
        <v>1381.87067</v>
      </c>
      <c r="J34" s="427">
        <v>1381.87067</v>
      </c>
      <c r="K34" s="427">
        <v>1381.87067</v>
      </c>
      <c r="L34" s="427">
        <v>1381.87067</v>
      </c>
      <c r="M34" s="427">
        <v>1381.87067</v>
      </c>
      <c r="N34" s="427">
        <v>1381.87067</v>
      </c>
      <c r="O34" s="427">
        <v>1381.87067</v>
      </c>
      <c r="P34" s="427">
        <v>1381.87067</v>
      </c>
      <c r="Q34" s="427">
        <v>1381.87067</v>
      </c>
      <c r="R34" s="427">
        <v>1381.87067</v>
      </c>
      <c r="S34" s="427">
        <v>1381.87067</v>
      </c>
      <c r="T34" s="427">
        <v>1381.87067</v>
      </c>
      <c r="V34" s="427">
        <f t="shared" si="5"/>
        <v>1381.87067</v>
      </c>
    </row>
    <row r="35" spans="1:22">
      <c r="A35" s="427" t="str">
        <f t="shared" si="0"/>
        <v>KU</v>
      </c>
      <c r="B35" s="427" t="str">
        <f t="shared" si="1"/>
        <v>KY</v>
      </c>
      <c r="C35" s="427" t="str">
        <f t="shared" si="4"/>
        <v>E</v>
      </c>
      <c r="D35" s="427" t="s">
        <v>3418</v>
      </c>
      <c r="E35" s="427" t="str">
        <f t="shared" si="2"/>
        <v>335</v>
      </c>
      <c r="F35" s="756" t="s">
        <v>1747</v>
      </c>
      <c r="G35" s="426" t="str">
        <f t="shared" si="6"/>
        <v/>
      </c>
      <c r="H35" s="427">
        <v>329.37418000000002</v>
      </c>
      <c r="I35" s="427">
        <v>329.37418000000002</v>
      </c>
      <c r="J35" s="427">
        <v>329.37418000000002</v>
      </c>
      <c r="K35" s="427">
        <v>329.37418000000002</v>
      </c>
      <c r="L35" s="427">
        <v>329.37418000000002</v>
      </c>
      <c r="M35" s="427">
        <v>329.37418000000002</v>
      </c>
      <c r="N35" s="427">
        <v>329.37418000000002</v>
      </c>
      <c r="O35" s="427">
        <v>329.37418000000002</v>
      </c>
      <c r="P35" s="427">
        <v>329.37418000000002</v>
      </c>
      <c r="Q35" s="427">
        <v>329.37418000000002</v>
      </c>
      <c r="R35" s="427">
        <v>329.37418000000002</v>
      </c>
      <c r="S35" s="427">
        <v>329.37418000000002</v>
      </c>
      <c r="T35" s="427">
        <v>329.37418000000002</v>
      </c>
      <c r="V35" s="427">
        <f t="shared" si="5"/>
        <v>329.37417999999991</v>
      </c>
    </row>
    <row r="36" spans="1:22">
      <c r="A36" s="427" t="str">
        <f t="shared" si="0"/>
        <v>KU</v>
      </c>
      <c r="B36" s="427" t="str">
        <f t="shared" si="1"/>
        <v>KY</v>
      </c>
      <c r="C36" s="427" t="str">
        <f t="shared" si="4"/>
        <v>E</v>
      </c>
      <c r="D36" s="427" t="s">
        <v>3418</v>
      </c>
      <c r="E36" s="427" t="str">
        <f t="shared" si="2"/>
        <v>336</v>
      </c>
      <c r="F36" s="756" t="s">
        <v>1748</v>
      </c>
      <c r="G36" s="426" t="str">
        <f t="shared" si="6"/>
        <v/>
      </c>
      <c r="H36" s="427">
        <v>234.50913</v>
      </c>
      <c r="I36" s="427">
        <v>234.50913</v>
      </c>
      <c r="J36" s="427">
        <v>234.50913</v>
      </c>
      <c r="K36" s="427">
        <v>234.50913</v>
      </c>
      <c r="L36" s="427">
        <v>234.50913</v>
      </c>
      <c r="M36" s="427">
        <v>234.50913</v>
      </c>
      <c r="N36" s="427">
        <v>234.50913</v>
      </c>
      <c r="O36" s="427">
        <v>234.50913</v>
      </c>
      <c r="P36" s="427">
        <v>234.50913</v>
      </c>
      <c r="Q36" s="427">
        <v>234.50913</v>
      </c>
      <c r="R36" s="427">
        <v>234.50913</v>
      </c>
      <c r="S36" s="427">
        <v>234.50913</v>
      </c>
      <c r="T36" s="427">
        <v>234.50913</v>
      </c>
      <c r="V36" s="427">
        <f t="shared" si="5"/>
        <v>234.50912999999994</v>
      </c>
    </row>
    <row r="37" spans="1:22">
      <c r="A37" s="427" t="str">
        <f t="shared" si="0"/>
        <v>KU</v>
      </c>
      <c r="B37" s="427" t="str">
        <f t="shared" si="1"/>
        <v>KY</v>
      </c>
      <c r="C37" s="427" t="str">
        <f t="shared" si="4"/>
        <v>E</v>
      </c>
      <c r="D37" s="427" t="s">
        <v>3418</v>
      </c>
      <c r="E37" s="427" t="str">
        <f t="shared" si="2"/>
        <v>337</v>
      </c>
      <c r="F37" s="756" t="s">
        <v>1749</v>
      </c>
      <c r="G37" s="426" t="str">
        <f t="shared" si="6"/>
        <v>ARO</v>
      </c>
      <c r="H37" s="427">
        <v>645.78799000000004</v>
      </c>
      <c r="I37" s="427">
        <v>645.78799000000004</v>
      </c>
      <c r="J37" s="427">
        <v>645.78799000000004</v>
      </c>
      <c r="K37" s="427">
        <v>645.78799000000004</v>
      </c>
      <c r="L37" s="427">
        <v>645.78799000000004</v>
      </c>
      <c r="M37" s="427">
        <v>645.78799000000004</v>
      </c>
      <c r="N37" s="427">
        <v>645.78799000000004</v>
      </c>
      <c r="O37" s="427">
        <v>645.78799000000004</v>
      </c>
      <c r="P37" s="427">
        <v>645.78799000000004</v>
      </c>
      <c r="Q37" s="427">
        <v>645.78799000000004</v>
      </c>
      <c r="R37" s="427">
        <v>645.78799000000004</v>
      </c>
      <c r="S37" s="427">
        <v>645.78799000000004</v>
      </c>
      <c r="T37" s="427">
        <v>645.78799000000004</v>
      </c>
      <c r="V37" s="427">
        <f t="shared" si="5"/>
        <v>645.78798999999992</v>
      </c>
    </row>
    <row r="38" spans="1:22">
      <c r="A38" s="427" t="str">
        <f t="shared" si="0"/>
        <v>KU</v>
      </c>
      <c r="B38" s="427" t="str">
        <f t="shared" si="1"/>
        <v>KY</v>
      </c>
      <c r="C38" s="427" t="str">
        <f t="shared" si="4"/>
        <v>F</v>
      </c>
      <c r="D38" s="427" t="s">
        <v>3418</v>
      </c>
      <c r="E38" s="427" t="str">
        <f t="shared" si="2"/>
        <v>340</v>
      </c>
      <c r="F38" s="756" t="s">
        <v>2197</v>
      </c>
      <c r="G38" s="426" t="str">
        <f t="shared" si="6"/>
        <v>FUTURE USE</v>
      </c>
      <c r="H38" s="427">
        <v>309.54084999999998</v>
      </c>
      <c r="I38" s="427">
        <v>309.54084999999998</v>
      </c>
      <c r="J38" s="427">
        <v>309.54084999999998</v>
      </c>
      <c r="K38" s="427">
        <v>309.54084999999998</v>
      </c>
      <c r="L38" s="427">
        <v>309.54084999999998</v>
      </c>
      <c r="M38" s="427">
        <v>309.54084999999998</v>
      </c>
      <c r="N38" s="427">
        <v>309.54084999999998</v>
      </c>
      <c r="O38" s="427">
        <v>309.54084999999998</v>
      </c>
      <c r="P38" s="427">
        <v>309.54084999999998</v>
      </c>
      <c r="Q38" s="427">
        <v>309.54084999999998</v>
      </c>
      <c r="R38" s="427">
        <v>309.54084999999998</v>
      </c>
      <c r="S38" s="427">
        <v>309.54084999999998</v>
      </c>
      <c r="T38" s="427">
        <v>309.54084999999998</v>
      </c>
      <c r="V38" s="427">
        <f t="shared" si="5"/>
        <v>309.54084999999992</v>
      </c>
    </row>
    <row r="39" spans="1:22">
      <c r="A39" s="427" t="str">
        <f t="shared" si="0"/>
        <v>KU</v>
      </c>
      <c r="B39" s="427" t="str">
        <f t="shared" si="1"/>
        <v>KY</v>
      </c>
      <c r="C39" s="427" t="str">
        <f t="shared" si="4"/>
        <v>E</v>
      </c>
      <c r="D39" s="427" t="s">
        <v>3418</v>
      </c>
      <c r="E39" s="427" t="str">
        <f t="shared" si="2"/>
        <v>340</v>
      </c>
      <c r="F39" s="756" t="s">
        <v>2198</v>
      </c>
      <c r="G39" s="426" t="str">
        <f t="shared" si="6"/>
        <v/>
      </c>
      <c r="H39" s="427">
        <v>236.73195999999999</v>
      </c>
      <c r="I39" s="427">
        <v>236.73195999999999</v>
      </c>
      <c r="J39" s="427">
        <v>236.73195999999999</v>
      </c>
      <c r="K39" s="427">
        <v>236.73195999999999</v>
      </c>
      <c r="L39" s="427">
        <v>236.73195999999999</v>
      </c>
      <c r="M39" s="427">
        <v>236.73195999999999</v>
      </c>
      <c r="N39" s="427">
        <v>236.73195999999999</v>
      </c>
      <c r="O39" s="427">
        <v>236.73195999999999</v>
      </c>
      <c r="P39" s="427">
        <v>236.73195999999999</v>
      </c>
      <c r="Q39" s="427">
        <v>236.73195999999999</v>
      </c>
      <c r="R39" s="427">
        <v>236.73195999999999</v>
      </c>
      <c r="S39" s="427">
        <v>236.73195999999999</v>
      </c>
      <c r="T39" s="427">
        <v>236.73195999999999</v>
      </c>
      <c r="V39" s="427">
        <f t="shared" si="5"/>
        <v>236.73196000000004</v>
      </c>
    </row>
    <row r="40" spans="1:22">
      <c r="A40" s="427" t="str">
        <f t="shared" si="0"/>
        <v>KU</v>
      </c>
      <c r="B40" s="427" t="str">
        <f t="shared" si="1"/>
        <v>KY</v>
      </c>
      <c r="C40" s="427" t="str">
        <f t="shared" si="4"/>
        <v>E</v>
      </c>
      <c r="D40" s="427" t="s">
        <v>3418</v>
      </c>
      <c r="E40" s="427" t="str">
        <f t="shared" si="2"/>
        <v>340</v>
      </c>
      <c r="F40" s="756" t="s">
        <v>1750</v>
      </c>
      <c r="G40" s="426" t="str">
        <f t="shared" si="6"/>
        <v/>
      </c>
      <c r="H40" s="427">
        <v>666.06949799999995</v>
      </c>
      <c r="I40" s="427">
        <v>666.06949799999995</v>
      </c>
      <c r="J40" s="427">
        <v>666.06949799999995</v>
      </c>
      <c r="K40" s="427">
        <v>666.06949799999995</v>
      </c>
      <c r="L40" s="427">
        <v>666.06949799999995</v>
      </c>
      <c r="M40" s="427">
        <v>666.06949799999995</v>
      </c>
      <c r="N40" s="427">
        <v>666.06949799999995</v>
      </c>
      <c r="O40" s="427">
        <v>666.06949799999995</v>
      </c>
      <c r="P40" s="427">
        <v>666.06949799999995</v>
      </c>
      <c r="Q40" s="427">
        <v>666.06949799999995</v>
      </c>
      <c r="R40" s="427">
        <v>666.06949799999995</v>
      </c>
      <c r="S40" s="427">
        <v>666.06949799999995</v>
      </c>
      <c r="T40" s="427">
        <v>666.06949799999995</v>
      </c>
      <c r="V40" s="427">
        <f t="shared" si="5"/>
        <v>666.06949799999995</v>
      </c>
    </row>
    <row r="41" spans="1:22">
      <c r="A41" s="427" t="str">
        <f t="shared" si="0"/>
        <v>KU</v>
      </c>
      <c r="B41" s="427" t="str">
        <f t="shared" si="1"/>
        <v>KY</v>
      </c>
      <c r="C41" s="427" t="str">
        <f t="shared" si="4"/>
        <v>E</v>
      </c>
      <c r="D41" s="427" t="s">
        <v>3418</v>
      </c>
      <c r="E41" s="427" t="str">
        <f t="shared" si="2"/>
        <v>341</v>
      </c>
      <c r="F41" s="756" t="s">
        <v>1751</v>
      </c>
      <c r="G41" s="426" t="str">
        <f t="shared" si="6"/>
        <v/>
      </c>
      <c r="H41" s="427">
        <v>36520.731565249996</v>
      </c>
      <c r="I41" s="427">
        <v>36520.731565249996</v>
      </c>
      <c r="J41" s="427">
        <v>36520.731565249996</v>
      </c>
      <c r="K41" s="427">
        <v>36520.731565249996</v>
      </c>
      <c r="L41" s="427">
        <v>36520.731565249996</v>
      </c>
      <c r="M41" s="427">
        <v>36520.731565249996</v>
      </c>
      <c r="N41" s="427">
        <v>36520.731565249996</v>
      </c>
      <c r="O41" s="427">
        <v>36520.731565249996</v>
      </c>
      <c r="P41" s="427">
        <v>36520.731565249996</v>
      </c>
      <c r="Q41" s="427">
        <v>36520.731565249996</v>
      </c>
      <c r="R41" s="427">
        <v>36520.731565249996</v>
      </c>
      <c r="S41" s="427">
        <v>36520.731565249996</v>
      </c>
      <c r="T41" s="427">
        <v>36520.731565249996</v>
      </c>
      <c r="V41" s="427">
        <f t="shared" si="5"/>
        <v>36520.731565249982</v>
      </c>
    </row>
    <row r="42" spans="1:22">
      <c r="A42" s="427" t="str">
        <f t="shared" si="0"/>
        <v>KU</v>
      </c>
      <c r="B42" s="427" t="str">
        <f t="shared" si="1"/>
        <v>KY</v>
      </c>
      <c r="C42" s="427" t="str">
        <f t="shared" si="4"/>
        <v>E</v>
      </c>
      <c r="D42" s="427" t="s">
        <v>3418</v>
      </c>
      <c r="E42" s="427" t="str">
        <f t="shared" si="2"/>
        <v>341</v>
      </c>
      <c r="F42" s="756" t="s">
        <v>2199</v>
      </c>
      <c r="G42" s="426" t="str">
        <f t="shared" si="6"/>
        <v/>
      </c>
      <c r="H42" s="427">
        <v>49180.174098431999</v>
      </c>
      <c r="I42" s="427">
        <v>49180.174098431999</v>
      </c>
      <c r="J42" s="427">
        <v>49180.174098431999</v>
      </c>
      <c r="K42" s="427">
        <v>49180.174098431999</v>
      </c>
      <c r="L42" s="427">
        <v>49180.174098431999</v>
      </c>
      <c r="M42" s="427">
        <v>49180.174098431999</v>
      </c>
      <c r="N42" s="427">
        <v>49180.174098431999</v>
      </c>
      <c r="O42" s="427">
        <v>49180.174098431999</v>
      </c>
      <c r="P42" s="427">
        <v>49180.174098431999</v>
      </c>
      <c r="Q42" s="427">
        <v>49180.174098431999</v>
      </c>
      <c r="R42" s="427">
        <v>49180.174098431999</v>
      </c>
      <c r="S42" s="427">
        <v>49180.174098431999</v>
      </c>
      <c r="T42" s="427">
        <v>49180.174098431999</v>
      </c>
      <c r="V42" s="427">
        <f t="shared" si="5"/>
        <v>49180.174098431991</v>
      </c>
    </row>
    <row r="43" spans="1:22">
      <c r="A43" s="427" t="str">
        <f t="shared" si="0"/>
        <v>KU</v>
      </c>
      <c r="B43" s="427" t="str">
        <f t="shared" si="1"/>
        <v>KY</v>
      </c>
      <c r="C43" s="427" t="str">
        <f t="shared" si="4"/>
        <v>E</v>
      </c>
      <c r="D43" s="427" t="s">
        <v>3418</v>
      </c>
      <c r="E43" s="427" t="str">
        <f t="shared" si="2"/>
        <v>341</v>
      </c>
      <c r="F43" s="756" t="s">
        <v>2200</v>
      </c>
      <c r="G43" s="426" t="str">
        <f t="shared" si="6"/>
        <v/>
      </c>
      <c r="H43" s="427">
        <v>1443.8100400000001</v>
      </c>
      <c r="I43" s="427">
        <v>1443.8100400000001</v>
      </c>
      <c r="J43" s="427">
        <v>1443.8100400000001</v>
      </c>
      <c r="K43" s="427">
        <v>1443.8100400000001</v>
      </c>
      <c r="L43" s="427">
        <v>1443.8100400000001</v>
      </c>
      <c r="M43" s="427">
        <v>1443.8100400000001</v>
      </c>
      <c r="N43" s="427">
        <v>1443.8100400000001</v>
      </c>
      <c r="O43" s="427">
        <v>1443.8100400000001</v>
      </c>
      <c r="P43" s="427">
        <v>1443.8100400000001</v>
      </c>
      <c r="Q43" s="427">
        <v>1443.8100400000001</v>
      </c>
      <c r="R43" s="427">
        <v>1443.8100400000001</v>
      </c>
      <c r="S43" s="427">
        <v>1443.8100400000001</v>
      </c>
      <c r="T43" s="427">
        <v>1443.8100400000001</v>
      </c>
      <c r="V43" s="427">
        <f t="shared" si="5"/>
        <v>1443.8100400000001</v>
      </c>
    </row>
    <row r="44" spans="1:22">
      <c r="A44" s="427" t="str">
        <f t="shared" si="0"/>
        <v>KU</v>
      </c>
      <c r="B44" s="427" t="str">
        <f t="shared" si="1"/>
        <v>KY</v>
      </c>
      <c r="C44" s="427" t="str">
        <f t="shared" si="4"/>
        <v>E</v>
      </c>
      <c r="D44" s="427" t="s">
        <v>3418</v>
      </c>
      <c r="E44" s="427" t="str">
        <f t="shared" si="2"/>
        <v>342</v>
      </c>
      <c r="F44" s="756" t="s">
        <v>1752</v>
      </c>
      <c r="G44" s="426" t="str">
        <f t="shared" si="6"/>
        <v/>
      </c>
      <c r="H44" s="427">
        <v>12293.3835342</v>
      </c>
      <c r="I44" s="427">
        <v>12293.3835342</v>
      </c>
      <c r="J44" s="427">
        <v>12293.3835342</v>
      </c>
      <c r="K44" s="427">
        <v>12293.3835342</v>
      </c>
      <c r="L44" s="427">
        <v>12293.3835342</v>
      </c>
      <c r="M44" s="427">
        <v>12293.3835342</v>
      </c>
      <c r="N44" s="427">
        <v>12293.3835342</v>
      </c>
      <c r="O44" s="427">
        <v>12293.3835342</v>
      </c>
      <c r="P44" s="427">
        <v>12293.3835342</v>
      </c>
      <c r="Q44" s="427">
        <v>12293.3835342</v>
      </c>
      <c r="R44" s="427">
        <v>12293.3835342</v>
      </c>
      <c r="S44" s="427">
        <v>12293.3835342</v>
      </c>
      <c r="T44" s="427">
        <v>12293.3835342</v>
      </c>
      <c r="V44" s="427">
        <f t="shared" si="5"/>
        <v>12293.383534199997</v>
      </c>
    </row>
    <row r="45" spans="1:22">
      <c r="A45" s="427" t="str">
        <f t="shared" si="0"/>
        <v>KU</v>
      </c>
      <c r="B45" s="427" t="str">
        <f t="shared" si="1"/>
        <v>KY</v>
      </c>
      <c r="C45" s="427" t="str">
        <f t="shared" si="4"/>
        <v>E</v>
      </c>
      <c r="D45" s="427" t="s">
        <v>3418</v>
      </c>
      <c r="E45" s="427" t="str">
        <f t="shared" si="2"/>
        <v>342</v>
      </c>
      <c r="F45" s="756" t="s">
        <v>2201</v>
      </c>
      <c r="G45" s="426" t="str">
        <f t="shared" si="6"/>
        <v/>
      </c>
      <c r="H45" s="427">
        <v>6319.3980999999903</v>
      </c>
      <c r="I45" s="427">
        <v>6319.3980999999903</v>
      </c>
      <c r="J45" s="427">
        <v>6319.3980999999903</v>
      </c>
      <c r="K45" s="427">
        <v>6319.3980999999903</v>
      </c>
      <c r="L45" s="427">
        <v>6319.3980999999903</v>
      </c>
      <c r="M45" s="427">
        <v>6319.3980999999903</v>
      </c>
      <c r="N45" s="427">
        <v>6319.3980999999903</v>
      </c>
      <c r="O45" s="427">
        <v>6319.3980999999903</v>
      </c>
      <c r="P45" s="427">
        <v>6319.3980999999903</v>
      </c>
      <c r="Q45" s="427">
        <v>6319.3980999999903</v>
      </c>
      <c r="R45" s="427">
        <v>6319.3980999999903</v>
      </c>
      <c r="S45" s="427">
        <v>6319.3980999999903</v>
      </c>
      <c r="T45" s="427">
        <v>6319.3980999999903</v>
      </c>
      <c r="V45" s="427">
        <f t="shared" si="5"/>
        <v>6319.3980999999903</v>
      </c>
    </row>
    <row r="46" spans="1:22">
      <c r="A46" s="427" t="str">
        <f t="shared" si="0"/>
        <v>KU</v>
      </c>
      <c r="B46" s="427" t="str">
        <f t="shared" si="1"/>
        <v>KY</v>
      </c>
      <c r="C46" s="427" t="str">
        <f t="shared" si="4"/>
        <v>E</v>
      </c>
      <c r="D46" s="427" t="s">
        <v>3418</v>
      </c>
      <c r="E46" s="427" t="str">
        <f t="shared" si="2"/>
        <v>342</v>
      </c>
      <c r="F46" s="756" t="s">
        <v>2202</v>
      </c>
      <c r="G46" s="426" t="str">
        <f t="shared" si="6"/>
        <v/>
      </c>
      <c r="H46" s="427">
        <v>44483.6130999999</v>
      </c>
      <c r="I46" s="427">
        <v>44483.6130999999</v>
      </c>
      <c r="J46" s="427">
        <v>44483.6130999999</v>
      </c>
      <c r="K46" s="427">
        <v>44483.6130999999</v>
      </c>
      <c r="L46" s="427">
        <v>44483.6130999999</v>
      </c>
      <c r="M46" s="427">
        <v>62957.252249999903</v>
      </c>
      <c r="N46" s="427">
        <v>64431.266699999898</v>
      </c>
      <c r="O46" s="427">
        <v>64431.266699999898</v>
      </c>
      <c r="P46" s="427">
        <v>64431.266699999898</v>
      </c>
      <c r="Q46" s="427">
        <v>64431.266699999898</v>
      </c>
      <c r="R46" s="427">
        <v>64431.266699999898</v>
      </c>
      <c r="S46" s="427">
        <v>64431.266699999898</v>
      </c>
      <c r="T46" s="427">
        <v>64431.266699999898</v>
      </c>
      <c r="V46" s="427">
        <f t="shared" si="5"/>
        <v>56645.706511538367</v>
      </c>
    </row>
    <row r="47" spans="1:22">
      <c r="A47" s="427" t="str">
        <f t="shared" si="0"/>
        <v>KU</v>
      </c>
      <c r="B47" s="427" t="str">
        <f t="shared" si="1"/>
        <v>KY</v>
      </c>
      <c r="C47" s="427" t="str">
        <f t="shared" si="4"/>
        <v>E</v>
      </c>
      <c r="D47" s="427" t="s">
        <v>3418</v>
      </c>
      <c r="E47" s="427" t="str">
        <f t="shared" si="2"/>
        <v>343</v>
      </c>
      <c r="F47" s="756" t="s">
        <v>1753</v>
      </c>
      <c r="G47" s="426" t="str">
        <f t="shared" si="6"/>
        <v/>
      </c>
      <c r="H47" s="427">
        <v>403785.08309129003</v>
      </c>
      <c r="I47" s="427">
        <v>416522.14008308999</v>
      </c>
      <c r="J47" s="427">
        <v>416522.14008308999</v>
      </c>
      <c r="K47" s="427">
        <v>416522.14008308999</v>
      </c>
      <c r="L47" s="427">
        <v>416522.14008308999</v>
      </c>
      <c r="M47" s="427">
        <v>417043.29157568997</v>
      </c>
      <c r="N47" s="427">
        <v>417229.36987309001</v>
      </c>
      <c r="O47" s="427">
        <v>417477.94576549</v>
      </c>
      <c r="P47" s="427">
        <v>418413.21386850002</v>
      </c>
      <c r="Q47" s="427">
        <v>418413.21386850002</v>
      </c>
      <c r="R47" s="427">
        <v>418413.21386850002</v>
      </c>
      <c r="S47" s="427">
        <v>418413.21386850002</v>
      </c>
      <c r="T47" s="427">
        <v>418413.21386850002</v>
      </c>
      <c r="V47" s="427">
        <f t="shared" si="5"/>
        <v>416437.71692157077</v>
      </c>
    </row>
    <row r="48" spans="1:22">
      <c r="A48" s="427" t="str">
        <f t="shared" si="0"/>
        <v>KU</v>
      </c>
      <c r="B48" s="427" t="str">
        <f t="shared" si="1"/>
        <v>KY</v>
      </c>
      <c r="C48" s="427" t="str">
        <f t="shared" si="4"/>
        <v>E</v>
      </c>
      <c r="D48" s="427" t="s">
        <v>3418</v>
      </c>
      <c r="E48" s="427" t="str">
        <f t="shared" si="2"/>
        <v>343</v>
      </c>
      <c r="F48" s="756" t="s">
        <v>2203</v>
      </c>
      <c r="G48" s="426" t="str">
        <f t="shared" si="6"/>
        <v/>
      </c>
      <c r="H48" s="427">
        <v>261916.30478595701</v>
      </c>
      <c r="I48" s="427">
        <v>261916.30478595701</v>
      </c>
      <c r="J48" s="427">
        <v>262015.080587637</v>
      </c>
      <c r="K48" s="427">
        <v>262015.080587637</v>
      </c>
      <c r="L48" s="427">
        <v>262015.080587637</v>
      </c>
      <c r="M48" s="427">
        <v>262113.85638931699</v>
      </c>
      <c r="N48" s="427">
        <v>262182.33561488701</v>
      </c>
      <c r="O48" s="427">
        <v>262182.33561488701</v>
      </c>
      <c r="P48" s="427">
        <v>262281.111416567</v>
      </c>
      <c r="Q48" s="427">
        <v>262281.111416567</v>
      </c>
      <c r="R48" s="427">
        <v>262281.111416567</v>
      </c>
      <c r="S48" s="427">
        <v>262380.116213837</v>
      </c>
      <c r="T48" s="427">
        <v>275313.31835980702</v>
      </c>
      <c r="V48" s="427">
        <f t="shared" si="5"/>
        <v>263145.62675209704</v>
      </c>
    </row>
    <row r="49" spans="1:22">
      <c r="A49" s="427" t="str">
        <f t="shared" si="0"/>
        <v>KU</v>
      </c>
      <c r="B49" s="427" t="str">
        <f t="shared" si="1"/>
        <v>KY</v>
      </c>
      <c r="C49" s="427" t="str">
        <f t="shared" si="4"/>
        <v>E</v>
      </c>
      <c r="D49" s="427" t="s">
        <v>3418</v>
      </c>
      <c r="E49" s="427" t="str">
        <f t="shared" si="2"/>
        <v>344</v>
      </c>
      <c r="F49" s="756" t="s">
        <v>1754</v>
      </c>
      <c r="G49" s="426" t="str">
        <f t="shared" si="6"/>
        <v/>
      </c>
      <c r="H49" s="427">
        <v>61098.011865949898</v>
      </c>
      <c r="I49" s="427">
        <v>61098.011865949898</v>
      </c>
      <c r="J49" s="427">
        <v>61098.011865949898</v>
      </c>
      <c r="K49" s="427">
        <v>61098.011865949898</v>
      </c>
      <c r="L49" s="427">
        <v>61098.011865949898</v>
      </c>
      <c r="M49" s="427">
        <v>61098.011865949898</v>
      </c>
      <c r="N49" s="427">
        <v>61098.011865949898</v>
      </c>
      <c r="O49" s="427">
        <v>61098.011865949898</v>
      </c>
      <c r="P49" s="427">
        <v>61098.011865949898</v>
      </c>
      <c r="Q49" s="427">
        <v>61098.011865949898</v>
      </c>
      <c r="R49" s="427">
        <v>61098.011865949898</v>
      </c>
      <c r="S49" s="427">
        <v>61098.011865949898</v>
      </c>
      <c r="T49" s="427">
        <v>61893.384522449996</v>
      </c>
      <c r="V49" s="427">
        <f t="shared" si="5"/>
        <v>61159.194377988388</v>
      </c>
    </row>
    <row r="50" spans="1:22">
      <c r="A50" s="427" t="str">
        <f t="shared" si="0"/>
        <v>KU</v>
      </c>
      <c r="B50" s="427" t="str">
        <f t="shared" si="1"/>
        <v>KY</v>
      </c>
      <c r="C50" s="427" t="str">
        <f t="shared" si="4"/>
        <v>E</v>
      </c>
      <c r="D50" s="427" t="s">
        <v>3418</v>
      </c>
      <c r="E50" s="427" t="str">
        <f t="shared" si="2"/>
        <v>344</v>
      </c>
      <c r="F50" s="756" t="s">
        <v>2204</v>
      </c>
      <c r="G50" s="426" t="str">
        <f t="shared" si="6"/>
        <v/>
      </c>
      <c r="H50" s="427">
        <v>58194.056089999998</v>
      </c>
      <c r="I50" s="427">
        <v>58194.056089999998</v>
      </c>
      <c r="J50" s="427">
        <v>58194.056089999998</v>
      </c>
      <c r="K50" s="427">
        <v>58194.056089999998</v>
      </c>
      <c r="L50" s="427">
        <v>58194.056089999998</v>
      </c>
      <c r="M50" s="427">
        <v>58194.056089999998</v>
      </c>
      <c r="N50" s="427">
        <v>58194.056089999998</v>
      </c>
      <c r="O50" s="427">
        <v>58194.056089999998</v>
      </c>
      <c r="P50" s="427">
        <v>58194.056089999998</v>
      </c>
      <c r="Q50" s="427">
        <v>58194.056089999998</v>
      </c>
      <c r="R50" s="427">
        <v>58194.056089999998</v>
      </c>
      <c r="S50" s="427">
        <v>58194.056089999998</v>
      </c>
      <c r="T50" s="427">
        <v>58194.056089999998</v>
      </c>
      <c r="V50" s="427">
        <f t="shared" si="5"/>
        <v>58194.056089999976</v>
      </c>
    </row>
    <row r="51" spans="1:22">
      <c r="A51" s="427" t="str">
        <f t="shared" si="0"/>
        <v>KU</v>
      </c>
      <c r="B51" s="427" t="str">
        <f t="shared" si="1"/>
        <v>KY</v>
      </c>
      <c r="C51" s="427" t="str">
        <f t="shared" si="4"/>
        <v>E</v>
      </c>
      <c r="D51" s="427" t="s">
        <v>3418</v>
      </c>
      <c r="E51" s="427" t="str">
        <f t="shared" si="2"/>
        <v>344</v>
      </c>
      <c r="F51" s="756" t="s">
        <v>2205</v>
      </c>
      <c r="G51" s="426" t="str">
        <f t="shared" si="6"/>
        <v/>
      </c>
      <c r="H51" s="427">
        <v>13068.659229999999</v>
      </c>
      <c r="I51" s="427">
        <v>13068.659229999999</v>
      </c>
      <c r="J51" s="427">
        <v>13068.659229999999</v>
      </c>
      <c r="K51" s="427">
        <v>13068.659229999999</v>
      </c>
      <c r="L51" s="427">
        <v>13068.659229999999</v>
      </c>
      <c r="M51" s="427">
        <v>13068.659229999999</v>
      </c>
      <c r="N51" s="427">
        <v>13068.659229999999</v>
      </c>
      <c r="O51" s="427">
        <v>13068.659229999999</v>
      </c>
      <c r="P51" s="427">
        <v>13068.659229999999</v>
      </c>
      <c r="Q51" s="427">
        <v>13068.659229999999</v>
      </c>
      <c r="R51" s="427">
        <v>13068.659229999999</v>
      </c>
      <c r="S51" s="427">
        <v>13068.659229999999</v>
      </c>
      <c r="T51" s="427">
        <v>13068.659229999999</v>
      </c>
      <c r="V51" s="427">
        <f t="shared" si="5"/>
        <v>13068.659229999999</v>
      </c>
    </row>
    <row r="52" spans="1:22">
      <c r="A52" s="427" t="str">
        <f t="shared" si="0"/>
        <v>KU</v>
      </c>
      <c r="B52" s="427" t="str">
        <f t="shared" si="1"/>
        <v>KY</v>
      </c>
      <c r="C52" s="427" t="str">
        <f t="shared" si="4"/>
        <v>E</v>
      </c>
      <c r="D52" s="427" t="s">
        <v>3418</v>
      </c>
      <c r="E52" s="427" t="str">
        <f t="shared" si="2"/>
        <v>345</v>
      </c>
      <c r="F52" s="756" t="s">
        <v>1755</v>
      </c>
      <c r="G52" s="426" t="str">
        <f t="shared" si="6"/>
        <v/>
      </c>
      <c r="H52" s="427">
        <v>52040.236721039997</v>
      </c>
      <c r="I52" s="427">
        <v>52040.236721039997</v>
      </c>
      <c r="J52" s="427">
        <v>52040.236721039997</v>
      </c>
      <c r="K52" s="427">
        <v>52040.236721039997</v>
      </c>
      <c r="L52" s="427">
        <v>52040.236721039997</v>
      </c>
      <c r="M52" s="427">
        <v>52040.236721039997</v>
      </c>
      <c r="N52" s="427">
        <v>52040.236721039997</v>
      </c>
      <c r="O52" s="427">
        <v>52040.236721039997</v>
      </c>
      <c r="P52" s="427">
        <v>52040.236721039997</v>
      </c>
      <c r="Q52" s="427">
        <v>52040.236721039997</v>
      </c>
      <c r="R52" s="427">
        <v>52040.236721039997</v>
      </c>
      <c r="S52" s="427">
        <v>52040.236721039997</v>
      </c>
      <c r="T52" s="427">
        <v>52324.182251059901</v>
      </c>
      <c r="V52" s="427">
        <f t="shared" si="5"/>
        <v>52062.078684887681</v>
      </c>
    </row>
    <row r="53" spans="1:22">
      <c r="A53" s="427" t="str">
        <f t="shared" si="0"/>
        <v>KU</v>
      </c>
      <c r="B53" s="427" t="str">
        <f t="shared" si="1"/>
        <v>KY</v>
      </c>
      <c r="C53" s="427" t="str">
        <f t="shared" si="4"/>
        <v>E</v>
      </c>
      <c r="D53" s="427" t="s">
        <v>3418</v>
      </c>
      <c r="E53" s="427" t="str">
        <f t="shared" si="2"/>
        <v>345</v>
      </c>
      <c r="F53" s="756" t="s">
        <v>2206</v>
      </c>
      <c r="G53" s="426" t="str">
        <f t="shared" si="6"/>
        <v/>
      </c>
      <c r="H53" s="427">
        <v>26411.208507109899</v>
      </c>
      <c r="I53" s="427">
        <v>26411.208507109899</v>
      </c>
      <c r="J53" s="427">
        <v>26411.208507109899</v>
      </c>
      <c r="K53" s="427">
        <v>26411.208507109899</v>
      </c>
      <c r="L53" s="427">
        <v>26411.208507109899</v>
      </c>
      <c r="M53" s="427">
        <v>26411.208507109899</v>
      </c>
      <c r="N53" s="427">
        <v>26411.208507109899</v>
      </c>
      <c r="O53" s="427">
        <v>26411.208507109899</v>
      </c>
      <c r="P53" s="427">
        <v>26411.208507109899</v>
      </c>
      <c r="Q53" s="427">
        <v>26411.208507109899</v>
      </c>
      <c r="R53" s="427">
        <v>26411.208507109899</v>
      </c>
      <c r="S53" s="427">
        <v>26411.208507109899</v>
      </c>
      <c r="T53" s="427">
        <v>26411.208507109899</v>
      </c>
      <c r="V53" s="427">
        <f t="shared" si="5"/>
        <v>26411.208507109899</v>
      </c>
    </row>
    <row r="54" spans="1:22">
      <c r="A54" s="427" t="str">
        <f t="shared" si="0"/>
        <v>KU</v>
      </c>
      <c r="B54" s="427" t="str">
        <f t="shared" si="1"/>
        <v>KY</v>
      </c>
      <c r="C54" s="427" t="str">
        <f t="shared" si="4"/>
        <v>E</v>
      </c>
      <c r="D54" s="427" t="s">
        <v>3418</v>
      </c>
      <c r="E54" s="427" t="str">
        <f t="shared" si="2"/>
        <v>345</v>
      </c>
      <c r="F54" s="756" t="s">
        <v>2207</v>
      </c>
      <c r="G54" s="426" t="str">
        <f t="shared" si="6"/>
        <v/>
      </c>
      <c r="H54" s="427">
        <v>445.46972</v>
      </c>
      <c r="I54" s="427">
        <v>445.46972</v>
      </c>
      <c r="J54" s="427">
        <v>445.46972</v>
      </c>
      <c r="K54" s="427">
        <v>445.46972</v>
      </c>
      <c r="L54" s="427">
        <v>445.46972</v>
      </c>
      <c r="M54" s="427">
        <v>445.46972</v>
      </c>
      <c r="N54" s="427">
        <v>445.46972</v>
      </c>
      <c r="O54" s="427">
        <v>445.46972</v>
      </c>
      <c r="P54" s="427">
        <v>1475.351613</v>
      </c>
      <c r="Q54" s="427">
        <v>1516.32320342</v>
      </c>
      <c r="R54" s="427">
        <v>1557.29471702</v>
      </c>
      <c r="S54" s="427">
        <v>1598.26623062</v>
      </c>
      <c r="T54" s="427">
        <v>1639.23774422</v>
      </c>
      <c r="V54" s="427">
        <f t="shared" si="5"/>
        <v>873.09471294461537</v>
      </c>
    </row>
    <row r="55" spans="1:22">
      <c r="A55" s="427" t="str">
        <f t="shared" si="0"/>
        <v>KU</v>
      </c>
      <c r="B55" s="427" t="str">
        <f t="shared" si="1"/>
        <v>KY</v>
      </c>
      <c r="C55" s="427" t="str">
        <f t="shared" si="4"/>
        <v>E</v>
      </c>
      <c r="D55" s="427" t="s">
        <v>3418</v>
      </c>
      <c r="E55" s="427" t="str">
        <f t="shared" si="2"/>
        <v>346</v>
      </c>
      <c r="F55" s="756" t="s">
        <v>1756</v>
      </c>
      <c r="G55" s="426" t="str">
        <f t="shared" si="6"/>
        <v/>
      </c>
      <c r="H55" s="427">
        <v>6055.3311941100001</v>
      </c>
      <c r="I55" s="427">
        <v>6055.3311941100001</v>
      </c>
      <c r="J55" s="427">
        <v>6066.51378793</v>
      </c>
      <c r="K55" s="427">
        <v>6066.51378793</v>
      </c>
      <c r="L55" s="427">
        <v>6066.51378793</v>
      </c>
      <c r="M55" s="427">
        <v>8940.4845529300001</v>
      </c>
      <c r="N55" s="427">
        <v>8940.4845529300001</v>
      </c>
      <c r="O55" s="427">
        <v>8940.4845529300001</v>
      </c>
      <c r="P55" s="427">
        <v>8940.4845529300001</v>
      </c>
      <c r="Q55" s="427">
        <v>8940.4845529300001</v>
      </c>
      <c r="R55" s="427">
        <v>9481.9924444299995</v>
      </c>
      <c r="S55" s="427">
        <v>9481.9924444299995</v>
      </c>
      <c r="T55" s="427">
        <v>9990.1803401199995</v>
      </c>
      <c r="V55" s="427">
        <f t="shared" si="5"/>
        <v>7997.4455188953852</v>
      </c>
    </row>
    <row r="56" spans="1:22">
      <c r="A56" s="427" t="str">
        <f t="shared" si="0"/>
        <v>KU</v>
      </c>
      <c r="B56" s="427" t="str">
        <f t="shared" si="1"/>
        <v>KY</v>
      </c>
      <c r="C56" s="427" t="str">
        <f t="shared" si="4"/>
        <v>E</v>
      </c>
      <c r="D56" s="427" t="s">
        <v>3418</v>
      </c>
      <c r="E56" s="427" t="str">
        <f t="shared" si="2"/>
        <v>346</v>
      </c>
      <c r="F56" s="756" t="s">
        <v>2208</v>
      </c>
      <c r="G56" s="426" t="str">
        <f t="shared" si="6"/>
        <v/>
      </c>
      <c r="H56" s="427">
        <v>3797.2246917000002</v>
      </c>
      <c r="I56" s="427">
        <v>3797.2246917000002</v>
      </c>
      <c r="J56" s="427">
        <v>4064.6276696999998</v>
      </c>
      <c r="K56" s="427">
        <v>4064.6276696999998</v>
      </c>
      <c r="L56" s="427">
        <v>4064.6276696999998</v>
      </c>
      <c r="M56" s="427">
        <v>4235.3644055000004</v>
      </c>
      <c r="N56" s="427">
        <v>4235.3644055000004</v>
      </c>
      <c r="O56" s="427">
        <v>4235.3644055000004</v>
      </c>
      <c r="P56" s="427">
        <v>4235.3644055000004</v>
      </c>
      <c r="Q56" s="427">
        <v>4235.3644055000004</v>
      </c>
      <c r="R56" s="427">
        <v>4235.3644055000004</v>
      </c>
      <c r="S56" s="427">
        <v>4506.3161669000001</v>
      </c>
      <c r="T56" s="427">
        <v>4506.3161669000001</v>
      </c>
      <c r="V56" s="427">
        <f t="shared" si="5"/>
        <v>4170.242396869231</v>
      </c>
    </row>
    <row r="57" spans="1:22">
      <c r="A57" s="427" t="str">
        <f t="shared" si="0"/>
        <v>KU</v>
      </c>
      <c r="B57" s="427" t="str">
        <f t="shared" si="1"/>
        <v>KY</v>
      </c>
      <c r="C57" s="427" t="str">
        <f t="shared" si="4"/>
        <v>E</v>
      </c>
      <c r="D57" s="427" t="s">
        <v>3418</v>
      </c>
      <c r="E57" s="427" t="str">
        <f t="shared" si="2"/>
        <v>346</v>
      </c>
      <c r="F57" s="756" t="s">
        <v>2209</v>
      </c>
      <c r="G57" s="426" t="str">
        <f t="shared" si="6"/>
        <v/>
      </c>
      <c r="H57" s="427">
        <v>424.77828</v>
      </c>
      <c r="I57" s="427">
        <v>424.77828</v>
      </c>
      <c r="J57" s="427">
        <v>424.77828</v>
      </c>
      <c r="K57" s="427">
        <v>424.77828</v>
      </c>
      <c r="L57" s="427">
        <v>424.77828</v>
      </c>
      <c r="M57" s="427">
        <v>424.77828</v>
      </c>
      <c r="N57" s="427">
        <v>424.77828</v>
      </c>
      <c r="O57" s="427">
        <v>424.77828</v>
      </c>
      <c r="P57" s="427">
        <v>424.77828</v>
      </c>
      <c r="Q57" s="427">
        <v>424.77828</v>
      </c>
      <c r="R57" s="427">
        <v>424.77828</v>
      </c>
      <c r="S57" s="427">
        <v>424.77828</v>
      </c>
      <c r="T57" s="427">
        <v>424.77828</v>
      </c>
      <c r="V57" s="427">
        <f t="shared" si="5"/>
        <v>424.77828000000005</v>
      </c>
    </row>
    <row r="58" spans="1:22">
      <c r="A58" s="427" t="str">
        <f t="shared" si="0"/>
        <v>KU</v>
      </c>
      <c r="B58" s="427" t="str">
        <f t="shared" si="1"/>
        <v>KY</v>
      </c>
      <c r="C58" s="427" t="str">
        <f t="shared" si="4"/>
        <v>E</v>
      </c>
      <c r="D58" s="427" t="s">
        <v>3418</v>
      </c>
      <c r="E58" s="427" t="str">
        <f t="shared" si="2"/>
        <v>347</v>
      </c>
      <c r="F58" s="756" t="s">
        <v>2210</v>
      </c>
      <c r="G58" s="426" t="str">
        <f t="shared" si="6"/>
        <v>ARO</v>
      </c>
      <c r="H58" s="427">
        <v>406.99112000000002</v>
      </c>
      <c r="I58" s="427">
        <v>406.99112000000002</v>
      </c>
      <c r="J58" s="427">
        <v>406.99112000000002</v>
      </c>
      <c r="K58" s="427">
        <v>406.99112000000002</v>
      </c>
      <c r="L58" s="427">
        <v>406.99112000000002</v>
      </c>
      <c r="M58" s="427">
        <v>406.99112000000002</v>
      </c>
      <c r="N58" s="427">
        <v>406.99112000000002</v>
      </c>
      <c r="O58" s="427">
        <v>406.99112000000002</v>
      </c>
      <c r="P58" s="427">
        <v>406.99112000000002</v>
      </c>
      <c r="Q58" s="427">
        <v>406.99112000000002</v>
      </c>
      <c r="R58" s="427">
        <v>406.99112000000002</v>
      </c>
      <c r="S58" s="427">
        <v>406.99112000000002</v>
      </c>
      <c r="T58" s="427">
        <v>406.99112000000002</v>
      </c>
      <c r="V58" s="427">
        <f t="shared" si="5"/>
        <v>406.99112000000002</v>
      </c>
    </row>
    <row r="59" spans="1:22">
      <c r="A59" s="427" t="str">
        <f t="shared" si="0"/>
        <v>KU</v>
      </c>
      <c r="B59" s="427" t="str">
        <f t="shared" si="1"/>
        <v>KY</v>
      </c>
      <c r="C59" s="427" t="str">
        <f t="shared" si="4"/>
        <v>E</v>
      </c>
      <c r="D59" s="427" t="s">
        <v>3418</v>
      </c>
      <c r="E59" s="427" t="str">
        <f t="shared" si="2"/>
        <v>350</v>
      </c>
      <c r="F59" s="756" t="s">
        <v>1757</v>
      </c>
      <c r="G59" s="426" t="str">
        <f t="shared" si="6"/>
        <v/>
      </c>
      <c r="H59" s="427">
        <v>29761.602978327901</v>
      </c>
      <c r="I59" s="427">
        <v>29761.602978327901</v>
      </c>
      <c r="J59" s="427">
        <v>29761.602978327901</v>
      </c>
      <c r="K59" s="427">
        <v>29761.602978327901</v>
      </c>
      <c r="L59" s="427">
        <v>29761.602978327901</v>
      </c>
      <c r="M59" s="427">
        <v>29761.602978327901</v>
      </c>
      <c r="N59" s="427">
        <v>29761.602978327901</v>
      </c>
      <c r="O59" s="427">
        <v>29761.602978327901</v>
      </c>
      <c r="P59" s="427">
        <v>29761.602978327901</v>
      </c>
      <c r="Q59" s="427">
        <v>29761.602978327901</v>
      </c>
      <c r="R59" s="427">
        <v>29761.602978327901</v>
      </c>
      <c r="S59" s="427">
        <v>29761.602978327901</v>
      </c>
      <c r="T59" s="427">
        <v>29761.602978327901</v>
      </c>
      <c r="V59" s="427">
        <f t="shared" si="5"/>
        <v>29761.602978327897</v>
      </c>
    </row>
    <row r="60" spans="1:22">
      <c r="A60" s="427" t="str">
        <f t="shared" si="0"/>
        <v>KU</v>
      </c>
      <c r="B60" s="427" t="str">
        <f t="shared" si="1"/>
        <v>TN</v>
      </c>
      <c r="C60" s="427" t="str">
        <f t="shared" si="4"/>
        <v>E</v>
      </c>
      <c r="D60" s="427" t="s">
        <v>3418</v>
      </c>
      <c r="E60" s="427" t="str">
        <f t="shared" si="2"/>
        <v>350</v>
      </c>
      <c r="F60" s="756" t="s">
        <v>1758</v>
      </c>
      <c r="G60" s="426" t="str">
        <f t="shared" si="6"/>
        <v/>
      </c>
      <c r="H60" s="427">
        <v>0.43952999999999998</v>
      </c>
      <c r="I60" s="427">
        <v>0.43952999999999998</v>
      </c>
      <c r="J60" s="427">
        <v>0.43952999999999998</v>
      </c>
      <c r="K60" s="427">
        <v>0.43952999999999998</v>
      </c>
      <c r="L60" s="427">
        <v>0.43952999999999998</v>
      </c>
      <c r="M60" s="427">
        <v>0.43952999999999998</v>
      </c>
      <c r="N60" s="427">
        <v>0.43952999999999998</v>
      </c>
      <c r="O60" s="427">
        <v>0.43952999999999998</v>
      </c>
      <c r="P60" s="427">
        <v>0.43952999999999998</v>
      </c>
      <c r="Q60" s="427">
        <v>0.43952999999999998</v>
      </c>
      <c r="R60" s="427">
        <v>0.43952999999999998</v>
      </c>
      <c r="S60" s="427">
        <v>0.43952999999999998</v>
      </c>
      <c r="T60" s="427">
        <v>0.43952999999999998</v>
      </c>
      <c r="V60" s="427">
        <f t="shared" si="5"/>
        <v>0.43952999999999992</v>
      </c>
    </row>
    <row r="61" spans="1:22">
      <c r="A61" s="427" t="str">
        <f t="shared" si="0"/>
        <v>KU</v>
      </c>
      <c r="B61" s="427" t="str">
        <f t="shared" si="1"/>
        <v>VA</v>
      </c>
      <c r="C61" s="427" t="str">
        <f t="shared" si="4"/>
        <v>E</v>
      </c>
      <c r="D61" s="427" t="s">
        <v>3418</v>
      </c>
      <c r="E61" s="427" t="str">
        <f t="shared" si="2"/>
        <v>350</v>
      </c>
      <c r="F61" s="756" t="s">
        <v>1759</v>
      </c>
      <c r="G61" s="426" t="str">
        <f t="shared" si="6"/>
        <v/>
      </c>
      <c r="H61" s="427">
        <v>2265.1761000000001</v>
      </c>
      <c r="I61" s="427">
        <v>2265.1761000000001</v>
      </c>
      <c r="J61" s="427">
        <v>2265.1761000000001</v>
      </c>
      <c r="K61" s="427">
        <v>2265.1761000000001</v>
      </c>
      <c r="L61" s="427">
        <v>2265.1761000000001</v>
      </c>
      <c r="M61" s="427">
        <v>2265.1761000000001</v>
      </c>
      <c r="N61" s="427">
        <v>2265.1761000000001</v>
      </c>
      <c r="O61" s="427">
        <v>2265.1761000000001</v>
      </c>
      <c r="P61" s="427">
        <v>2569.6258953000001</v>
      </c>
      <c r="Q61" s="427">
        <v>2569.6258953000001</v>
      </c>
      <c r="R61" s="427">
        <v>2569.6258953000001</v>
      </c>
      <c r="S61" s="427">
        <v>2569.6258953000001</v>
      </c>
      <c r="T61" s="427">
        <v>2569.6258953000001</v>
      </c>
      <c r="V61" s="427">
        <f t="shared" si="5"/>
        <v>2382.2721751153845</v>
      </c>
    </row>
    <row r="62" spans="1:22">
      <c r="A62" s="427" t="str">
        <f t="shared" si="0"/>
        <v>KU</v>
      </c>
      <c r="B62" s="427" t="str">
        <f t="shared" si="1"/>
        <v>KY</v>
      </c>
      <c r="C62" s="427" t="str">
        <f t="shared" si="4"/>
        <v>E</v>
      </c>
      <c r="D62" s="427" t="s">
        <v>3418</v>
      </c>
      <c r="E62" s="427" t="str">
        <f t="shared" si="2"/>
        <v>352</v>
      </c>
      <c r="F62" s="756" t="s">
        <v>1760</v>
      </c>
      <c r="G62" s="426" t="str">
        <f t="shared" si="6"/>
        <v/>
      </c>
      <c r="H62" s="427">
        <v>1332.49217</v>
      </c>
      <c r="I62" s="427">
        <v>1332.49217</v>
      </c>
      <c r="J62" s="427">
        <v>1332.49217</v>
      </c>
      <c r="K62" s="427">
        <v>1332.49217</v>
      </c>
      <c r="L62" s="427">
        <v>1332.49217</v>
      </c>
      <c r="M62" s="427">
        <v>1332.49217</v>
      </c>
      <c r="N62" s="427">
        <v>1410.2816453400001</v>
      </c>
      <c r="O62" s="427">
        <v>1410.2816453400001</v>
      </c>
      <c r="P62" s="427">
        <v>1410.2816453400001</v>
      </c>
      <c r="Q62" s="427">
        <v>1410.2816453400001</v>
      </c>
      <c r="R62" s="427">
        <v>1410.2816453400001</v>
      </c>
      <c r="S62" s="427">
        <v>1410.2816453400001</v>
      </c>
      <c r="T62" s="427">
        <v>1410.2816453400001</v>
      </c>
      <c r="V62" s="427">
        <f t="shared" si="5"/>
        <v>1374.3788105676927</v>
      </c>
    </row>
    <row r="63" spans="1:22">
      <c r="A63" s="427" t="str">
        <f t="shared" si="0"/>
        <v>KU</v>
      </c>
      <c r="B63" s="427" t="str">
        <f t="shared" si="1"/>
        <v>KY</v>
      </c>
      <c r="C63" s="427" t="str">
        <f t="shared" si="4"/>
        <v>E</v>
      </c>
      <c r="D63" s="427" t="s">
        <v>3418</v>
      </c>
      <c r="E63" s="427" t="str">
        <f t="shared" si="2"/>
        <v>352</v>
      </c>
      <c r="F63" s="756" t="s">
        <v>1761</v>
      </c>
      <c r="G63" s="426" t="str">
        <f t="shared" si="6"/>
        <v/>
      </c>
      <c r="H63" s="427">
        <v>26550.403569999999</v>
      </c>
      <c r="I63" s="427">
        <v>26550.403569999999</v>
      </c>
      <c r="J63" s="427">
        <v>26550.403569999999</v>
      </c>
      <c r="K63" s="427">
        <v>26550.403569999999</v>
      </c>
      <c r="L63" s="427">
        <v>26550.403569999999</v>
      </c>
      <c r="M63" s="427">
        <v>26550.403569999999</v>
      </c>
      <c r="N63" s="427">
        <v>26550.403569999999</v>
      </c>
      <c r="O63" s="427">
        <v>26550.403569999999</v>
      </c>
      <c r="P63" s="427">
        <v>26550.403569999999</v>
      </c>
      <c r="Q63" s="427">
        <v>26550.403569999999</v>
      </c>
      <c r="R63" s="427">
        <v>26550.403569999999</v>
      </c>
      <c r="S63" s="427">
        <v>26550.403569999999</v>
      </c>
      <c r="T63" s="427">
        <v>26550.403569999999</v>
      </c>
      <c r="V63" s="427">
        <f t="shared" si="5"/>
        <v>26550.403570000006</v>
      </c>
    </row>
    <row r="64" spans="1:22">
      <c r="A64" s="427" t="str">
        <f t="shared" si="0"/>
        <v>KU</v>
      </c>
      <c r="B64" s="427" t="str">
        <f t="shared" si="1"/>
        <v>VA</v>
      </c>
      <c r="C64" s="427" t="str">
        <f t="shared" si="4"/>
        <v>E</v>
      </c>
      <c r="D64" s="427" t="s">
        <v>3418</v>
      </c>
      <c r="E64" s="427" t="str">
        <f t="shared" si="2"/>
        <v>352</v>
      </c>
      <c r="F64" s="756" t="s">
        <v>1762</v>
      </c>
      <c r="G64" s="426" t="str">
        <f t="shared" si="6"/>
        <v/>
      </c>
      <c r="H64" s="427">
        <v>1743.1988799999999</v>
      </c>
      <c r="I64" s="427">
        <v>1743.1988799999999</v>
      </c>
      <c r="J64" s="427">
        <v>1743.1988799999999</v>
      </c>
      <c r="K64" s="427">
        <v>1743.1988799999999</v>
      </c>
      <c r="L64" s="427">
        <v>1743.1988799999999</v>
      </c>
      <c r="M64" s="427">
        <v>1743.1988799999999</v>
      </c>
      <c r="N64" s="427">
        <v>1743.1988799999999</v>
      </c>
      <c r="O64" s="427">
        <v>1743.1988799999999</v>
      </c>
      <c r="P64" s="427">
        <v>1743.1988799999999</v>
      </c>
      <c r="Q64" s="427">
        <v>1743.1988799999999</v>
      </c>
      <c r="R64" s="427">
        <v>1743.1988799999999</v>
      </c>
      <c r="S64" s="427">
        <v>1743.1988799999999</v>
      </c>
      <c r="T64" s="427">
        <v>1743.1988799999999</v>
      </c>
      <c r="V64" s="427">
        <f t="shared" si="5"/>
        <v>1743.1988799999999</v>
      </c>
    </row>
    <row r="65" spans="1:22">
      <c r="A65" s="427" t="str">
        <f t="shared" si="0"/>
        <v>KU</v>
      </c>
      <c r="B65" s="427" t="str">
        <f t="shared" si="1"/>
        <v>KY</v>
      </c>
      <c r="C65" s="427" t="str">
        <f t="shared" si="4"/>
        <v>E</v>
      </c>
      <c r="D65" s="427" t="s">
        <v>3418</v>
      </c>
      <c r="E65" s="427" t="str">
        <f t="shared" si="2"/>
        <v>353</v>
      </c>
      <c r="F65" s="756" t="s">
        <v>1763</v>
      </c>
      <c r="G65" s="426" t="str">
        <f t="shared" si="6"/>
        <v/>
      </c>
      <c r="H65" s="427">
        <v>331043.91510241001</v>
      </c>
      <c r="I65" s="427">
        <v>331355.42966783</v>
      </c>
      <c r="J65" s="427">
        <v>333431.62497772003</v>
      </c>
      <c r="K65" s="427">
        <v>335967.49570859998</v>
      </c>
      <c r="L65" s="427">
        <v>335909.614888524</v>
      </c>
      <c r="M65" s="427">
        <v>336364.85173617402</v>
      </c>
      <c r="N65" s="427">
        <v>336426.89478825399</v>
      </c>
      <c r="O65" s="427">
        <v>336475.59614634397</v>
      </c>
      <c r="P65" s="427">
        <v>354965.95631565398</v>
      </c>
      <c r="Q65" s="427">
        <v>355207.06649199</v>
      </c>
      <c r="R65" s="427">
        <v>355581.40998651902</v>
      </c>
      <c r="S65" s="427">
        <v>357865.73588280001</v>
      </c>
      <c r="T65" s="427">
        <v>358929.83765507198</v>
      </c>
      <c r="V65" s="427">
        <f t="shared" si="5"/>
        <v>343040.41764214548</v>
      </c>
    </row>
    <row r="66" spans="1:22">
      <c r="A66" s="427" t="str">
        <f t="shared" si="0"/>
        <v>KU</v>
      </c>
      <c r="B66" s="427" t="str">
        <f>IF(MID($F66,12,2)="- ","KY",IF(MID($F66,12,2)="SY","KY",MID($F66,12,2)))</f>
        <v>KY</v>
      </c>
      <c r="C66" s="427" t="str">
        <f t="shared" si="4"/>
        <v>E</v>
      </c>
      <c r="D66" s="427" t="s">
        <v>3418</v>
      </c>
      <c r="E66" s="427" t="str">
        <f t="shared" si="2"/>
        <v>353</v>
      </c>
      <c r="F66" s="756" t="s">
        <v>1764</v>
      </c>
      <c r="G66" s="426" t="str">
        <f t="shared" si="6"/>
        <v/>
      </c>
      <c r="H66" s="427">
        <v>3160.7372704519998</v>
      </c>
      <c r="I66" s="427">
        <v>3160.7372704519998</v>
      </c>
      <c r="J66" s="427">
        <v>3160.7372704519998</v>
      </c>
      <c r="K66" s="427">
        <v>3160.7372704519998</v>
      </c>
      <c r="L66" s="427">
        <v>3160.7372704519998</v>
      </c>
      <c r="M66" s="427">
        <v>3160.7372704519998</v>
      </c>
      <c r="N66" s="427">
        <v>3160.7372704519998</v>
      </c>
      <c r="O66" s="427">
        <v>3160.7372704519998</v>
      </c>
      <c r="P66" s="427">
        <v>3160.7372704519998</v>
      </c>
      <c r="Q66" s="427">
        <v>3160.7372704519998</v>
      </c>
      <c r="R66" s="427">
        <v>3160.7372704519998</v>
      </c>
      <c r="S66" s="427">
        <v>3160.7372704519998</v>
      </c>
      <c r="T66" s="427">
        <v>3160.7372704519998</v>
      </c>
      <c r="V66" s="427">
        <f t="shared" si="5"/>
        <v>3160.7372704519998</v>
      </c>
    </row>
    <row r="67" spans="1:22">
      <c r="A67" s="427" t="str">
        <f t="shared" si="0"/>
        <v>KU</v>
      </c>
      <c r="B67" s="427" t="str">
        <f t="shared" ref="B67:B131" si="7">IF(MID($F67,12,2)="- ","KY",IF(MID($F67,12,2)="SY","KY",MID($F67,12,2)))</f>
        <v>VA</v>
      </c>
      <c r="C67" s="427" t="str">
        <f t="shared" si="4"/>
        <v>E</v>
      </c>
      <c r="D67" s="427" t="s">
        <v>3418</v>
      </c>
      <c r="E67" s="427" t="str">
        <f t="shared" si="2"/>
        <v>353</v>
      </c>
      <c r="F67" s="756" t="s">
        <v>1765</v>
      </c>
      <c r="G67" s="426" t="str">
        <f t="shared" si="6"/>
        <v/>
      </c>
      <c r="H67" s="427">
        <v>22952.135109999999</v>
      </c>
      <c r="I67" s="427">
        <v>22952.135109999999</v>
      </c>
      <c r="J67" s="427">
        <v>22952.135109999999</v>
      </c>
      <c r="K67" s="427">
        <v>22952.135109999999</v>
      </c>
      <c r="L67" s="427">
        <v>22952.135109999999</v>
      </c>
      <c r="M67" s="427">
        <v>22952.135109999999</v>
      </c>
      <c r="N67" s="427">
        <v>22952.135109999999</v>
      </c>
      <c r="O67" s="427">
        <v>22952.135109999999</v>
      </c>
      <c r="P67" s="427">
        <v>22952.135109999999</v>
      </c>
      <c r="Q67" s="427">
        <v>22952.135109999999</v>
      </c>
      <c r="R67" s="427">
        <v>22952.135109999999</v>
      </c>
      <c r="S67" s="427">
        <v>22952.135109999999</v>
      </c>
      <c r="T67" s="427">
        <v>22952.135109999999</v>
      </c>
      <c r="V67" s="427">
        <f t="shared" si="5"/>
        <v>22952.135109999996</v>
      </c>
    </row>
    <row r="68" spans="1:22">
      <c r="A68" s="427" t="str">
        <f t="shared" si="0"/>
        <v>KU</v>
      </c>
      <c r="B68" s="427" t="str">
        <f t="shared" si="7"/>
        <v>KY</v>
      </c>
      <c r="C68" s="427" t="str">
        <f t="shared" si="4"/>
        <v>E</v>
      </c>
      <c r="D68" s="427" t="s">
        <v>3418</v>
      </c>
      <c r="E68" s="427" t="str">
        <f t="shared" si="2"/>
        <v>354</v>
      </c>
      <c r="F68" s="756" t="s">
        <v>1766</v>
      </c>
      <c r="G68" s="426" t="str">
        <f t="shared" si="6"/>
        <v/>
      </c>
      <c r="H68" s="427">
        <v>70852.012849999999</v>
      </c>
      <c r="I68" s="427">
        <v>70852.012849999999</v>
      </c>
      <c r="J68" s="427">
        <v>70852.012849999999</v>
      </c>
      <c r="K68" s="427">
        <v>70852.012849999999</v>
      </c>
      <c r="L68" s="427">
        <v>70852.012849999999</v>
      </c>
      <c r="M68" s="427">
        <v>70852.012849999999</v>
      </c>
      <c r="N68" s="427">
        <v>70852.012849999999</v>
      </c>
      <c r="O68" s="427">
        <v>70852.012849999999</v>
      </c>
      <c r="P68" s="427">
        <v>70852.012849999999</v>
      </c>
      <c r="Q68" s="427">
        <v>70852.012849999999</v>
      </c>
      <c r="R68" s="427">
        <v>70852.012849999999</v>
      </c>
      <c r="S68" s="427">
        <v>70852.012849999999</v>
      </c>
      <c r="T68" s="427">
        <v>70852.012849999999</v>
      </c>
      <c r="V68" s="427">
        <f t="shared" si="5"/>
        <v>70852.012850000028</v>
      </c>
    </row>
    <row r="69" spans="1:22">
      <c r="A69" s="427" t="str">
        <f t="shared" si="0"/>
        <v>KU</v>
      </c>
      <c r="B69" s="427" t="str">
        <f t="shared" si="7"/>
        <v>VA</v>
      </c>
      <c r="C69" s="427" t="str">
        <f t="shared" si="4"/>
        <v>E</v>
      </c>
      <c r="D69" s="427" t="s">
        <v>3418</v>
      </c>
      <c r="E69" s="427" t="str">
        <f t="shared" si="2"/>
        <v>354</v>
      </c>
      <c r="F69" s="756" t="s">
        <v>1767</v>
      </c>
      <c r="G69" s="426" t="str">
        <f t="shared" si="6"/>
        <v/>
      </c>
      <c r="H69" s="427">
        <v>7181.0812999999998</v>
      </c>
      <c r="I69" s="427">
        <v>7181.0812999999998</v>
      </c>
      <c r="J69" s="427">
        <v>7181.0812999999998</v>
      </c>
      <c r="K69" s="427">
        <v>7181.0812999999998</v>
      </c>
      <c r="L69" s="427">
        <v>7181.0812999999998</v>
      </c>
      <c r="M69" s="427">
        <v>7181.0812999999998</v>
      </c>
      <c r="N69" s="427">
        <v>7181.0812999999998</v>
      </c>
      <c r="O69" s="427">
        <v>7181.0812999999998</v>
      </c>
      <c r="P69" s="427">
        <v>7181.0812999999998</v>
      </c>
      <c r="Q69" s="427">
        <v>7181.0812999999998</v>
      </c>
      <c r="R69" s="427">
        <v>7181.0812999999998</v>
      </c>
      <c r="S69" s="427">
        <v>7181.0812999999998</v>
      </c>
      <c r="T69" s="427">
        <v>7181.0812999999998</v>
      </c>
      <c r="V69" s="427">
        <f t="shared" si="5"/>
        <v>7181.0813000000007</v>
      </c>
    </row>
    <row r="70" spans="1:22">
      <c r="A70" s="427" t="str">
        <f t="shared" ref="A70:A134" si="8">MID($F70,4,2)</f>
        <v>KU</v>
      </c>
      <c r="B70" s="427" t="str">
        <f t="shared" si="7"/>
        <v>KY</v>
      </c>
      <c r="C70" s="427" t="str">
        <f t="shared" si="4"/>
        <v>E</v>
      </c>
      <c r="D70" s="427" t="s">
        <v>3418</v>
      </c>
      <c r="E70" s="427" t="str">
        <f t="shared" ref="E70:E157" si="9">MID($F70,8,3)</f>
        <v>355</v>
      </c>
      <c r="F70" s="756" t="s">
        <v>1768</v>
      </c>
      <c r="G70" s="426" t="str">
        <f t="shared" si="6"/>
        <v/>
      </c>
      <c r="H70" s="427">
        <v>389488.91696358798</v>
      </c>
      <c r="I70" s="427">
        <v>395510.46271298302</v>
      </c>
      <c r="J70" s="427">
        <v>398555.12567250303</v>
      </c>
      <c r="K70" s="427">
        <v>402527.29310706299</v>
      </c>
      <c r="L70" s="427">
        <v>405572.58025879302</v>
      </c>
      <c r="M70" s="427">
        <v>408297.07149421301</v>
      </c>
      <c r="N70" s="427">
        <v>411769.75906833302</v>
      </c>
      <c r="O70" s="427">
        <v>414219.20541085303</v>
      </c>
      <c r="P70" s="427">
        <v>438579.06057194801</v>
      </c>
      <c r="Q70" s="427">
        <v>438568.48304303602</v>
      </c>
      <c r="R70" s="427">
        <v>442966.91315372702</v>
      </c>
      <c r="S70" s="427">
        <v>443475.78009141801</v>
      </c>
      <c r="T70" s="427">
        <v>447947.06693511899</v>
      </c>
      <c r="V70" s="427">
        <f t="shared" si="5"/>
        <v>418267.51680642902</v>
      </c>
    </row>
    <row r="71" spans="1:22">
      <c r="A71" s="427" t="str">
        <f t="shared" si="8"/>
        <v>KU</v>
      </c>
      <c r="B71" s="427" t="str">
        <f t="shared" si="7"/>
        <v>TN</v>
      </c>
      <c r="C71" s="427" t="str">
        <f t="shared" ref="C71:C135" si="10">IF(ISTEXT(MID($F71,SEARCH("FUTURE USE",$F71),3)),"F",IF(MID($F71,7,1)="1","E",IF(MID($F71,7,1)="2","G",IF(MID($F71,7,1)="3","C",""))))</f>
        <v>E</v>
      </c>
      <c r="D71" s="427" t="s">
        <v>3418</v>
      </c>
      <c r="E71" s="427" t="str">
        <f t="shared" si="9"/>
        <v>355</v>
      </c>
      <c r="F71" s="756" t="s">
        <v>1769</v>
      </c>
      <c r="G71" s="426" t="str">
        <f t="shared" si="6"/>
        <v/>
      </c>
      <c r="H71" s="427">
        <v>128.75153</v>
      </c>
      <c r="I71" s="427">
        <v>128.75153</v>
      </c>
      <c r="J71" s="427">
        <v>128.75153</v>
      </c>
      <c r="K71" s="427">
        <v>128.75153</v>
      </c>
      <c r="L71" s="427">
        <v>128.75153</v>
      </c>
      <c r="M71" s="427">
        <v>128.75153</v>
      </c>
      <c r="N71" s="427">
        <v>128.75153</v>
      </c>
      <c r="O71" s="427">
        <v>128.75153</v>
      </c>
      <c r="P71" s="427">
        <v>128.75153</v>
      </c>
      <c r="Q71" s="427">
        <v>128.75153</v>
      </c>
      <c r="R71" s="427">
        <v>128.75153</v>
      </c>
      <c r="S71" s="427">
        <v>128.75153</v>
      </c>
      <c r="T71" s="427">
        <v>128.75153</v>
      </c>
      <c r="V71" s="427">
        <f t="shared" ref="V71:V135" si="11">SUM(H71:T71)/13</f>
        <v>128.75153</v>
      </c>
    </row>
    <row r="72" spans="1:22">
      <c r="A72" s="427" t="str">
        <f t="shared" si="8"/>
        <v>KU</v>
      </c>
      <c r="B72" s="427" t="str">
        <f t="shared" si="7"/>
        <v>VA</v>
      </c>
      <c r="C72" s="427" t="str">
        <f t="shared" si="10"/>
        <v>E</v>
      </c>
      <c r="D72" s="427" t="s">
        <v>3418</v>
      </c>
      <c r="E72" s="427" t="str">
        <f t="shared" si="9"/>
        <v>355</v>
      </c>
      <c r="F72" s="756" t="s">
        <v>1770</v>
      </c>
      <c r="G72" s="426" t="str">
        <f t="shared" si="6"/>
        <v/>
      </c>
      <c r="H72" s="427">
        <v>14553.423949170299</v>
      </c>
      <c r="I72" s="427">
        <v>14553.423949170299</v>
      </c>
      <c r="J72" s="427">
        <v>15037.876659170301</v>
      </c>
      <c r="K72" s="427">
        <v>15037.876659170301</v>
      </c>
      <c r="L72" s="427">
        <v>15037.876659170301</v>
      </c>
      <c r="M72" s="427">
        <v>15037.876659170301</v>
      </c>
      <c r="N72" s="427">
        <v>15037.876659170301</v>
      </c>
      <c r="O72" s="427">
        <v>15037.876659170301</v>
      </c>
      <c r="P72" s="427">
        <v>15037.876659170301</v>
      </c>
      <c r="Q72" s="427">
        <v>15037.876659170301</v>
      </c>
      <c r="R72" s="427">
        <v>15037.876659170301</v>
      </c>
      <c r="S72" s="427">
        <v>15037.876659170301</v>
      </c>
      <c r="T72" s="427">
        <v>15037.876659170301</v>
      </c>
      <c r="V72" s="427">
        <f t="shared" si="11"/>
        <v>14963.34547301645</v>
      </c>
    </row>
    <row r="73" spans="1:22">
      <c r="A73" s="427" t="str">
        <f t="shared" si="8"/>
        <v>KU</v>
      </c>
      <c r="B73" s="427" t="str">
        <f t="shared" si="7"/>
        <v>KY</v>
      </c>
      <c r="C73" s="427" t="str">
        <f t="shared" si="10"/>
        <v>E</v>
      </c>
      <c r="D73" s="427" t="s">
        <v>3418</v>
      </c>
      <c r="E73" s="427" t="str">
        <f t="shared" si="9"/>
        <v>356</v>
      </c>
      <c r="F73" s="756" t="s">
        <v>1771</v>
      </c>
      <c r="G73" s="426" t="str">
        <f t="shared" si="6"/>
        <v/>
      </c>
      <c r="H73" s="427">
        <v>170842.02411028999</v>
      </c>
      <c r="I73" s="427">
        <v>170798.64078707999</v>
      </c>
      <c r="J73" s="427">
        <v>170657.67361386999</v>
      </c>
      <c r="K73" s="427">
        <v>170669.08990066001</v>
      </c>
      <c r="L73" s="427">
        <v>170574.36359744999</v>
      </c>
      <c r="M73" s="427">
        <v>170606.31335424</v>
      </c>
      <c r="N73" s="427">
        <v>170526.31926103</v>
      </c>
      <c r="O73" s="427">
        <v>170502.62763782</v>
      </c>
      <c r="P73" s="427">
        <v>170390.86586461001</v>
      </c>
      <c r="Q73" s="427">
        <v>170443.51776690999</v>
      </c>
      <c r="R73" s="427">
        <v>170429.5179296</v>
      </c>
      <c r="S73" s="427">
        <v>170440.49915228999</v>
      </c>
      <c r="T73" s="427">
        <v>174938.20457998</v>
      </c>
      <c r="V73" s="427">
        <f t="shared" si="11"/>
        <v>170909.20442737156</v>
      </c>
    </row>
    <row r="74" spans="1:22">
      <c r="A74" s="427" t="str">
        <f t="shared" si="8"/>
        <v>KU</v>
      </c>
      <c r="B74" s="427" t="str">
        <f t="shared" si="7"/>
        <v>TN</v>
      </c>
      <c r="C74" s="427" t="str">
        <f t="shared" si="10"/>
        <v>E</v>
      </c>
      <c r="D74" s="427" t="s">
        <v>3418</v>
      </c>
      <c r="E74" s="427" t="str">
        <f t="shared" si="9"/>
        <v>356</v>
      </c>
      <c r="F74" s="756" t="s">
        <v>1772</v>
      </c>
      <c r="G74" s="426" t="str">
        <f t="shared" si="6"/>
        <v/>
      </c>
      <c r="H74" s="427">
        <v>80.691329999999994</v>
      </c>
      <c r="I74" s="427">
        <v>80.691329999999994</v>
      </c>
      <c r="J74" s="427">
        <v>80.691329999999994</v>
      </c>
      <c r="K74" s="427">
        <v>80.691329999999994</v>
      </c>
      <c r="L74" s="427">
        <v>80.691329999999994</v>
      </c>
      <c r="M74" s="427">
        <v>80.691329999999994</v>
      </c>
      <c r="N74" s="427">
        <v>80.691329999999994</v>
      </c>
      <c r="O74" s="427">
        <v>80.691329999999994</v>
      </c>
      <c r="P74" s="427">
        <v>80.691329999999994</v>
      </c>
      <c r="Q74" s="427">
        <v>80.691329999999994</v>
      </c>
      <c r="R74" s="427">
        <v>80.691329999999994</v>
      </c>
      <c r="S74" s="427">
        <v>80.691329999999994</v>
      </c>
      <c r="T74" s="427">
        <v>80.691329999999994</v>
      </c>
      <c r="V74" s="427">
        <f t="shared" si="11"/>
        <v>80.691330000000008</v>
      </c>
    </row>
    <row r="75" spans="1:22">
      <c r="A75" s="427" t="str">
        <f t="shared" si="8"/>
        <v>KU</v>
      </c>
      <c r="B75" s="427" t="str">
        <f t="shared" si="7"/>
        <v>VA</v>
      </c>
      <c r="C75" s="427" t="str">
        <f t="shared" si="10"/>
        <v>E</v>
      </c>
      <c r="D75" s="427" t="s">
        <v>3418</v>
      </c>
      <c r="E75" s="427" t="str">
        <f t="shared" si="9"/>
        <v>356</v>
      </c>
      <c r="F75" s="756" t="s">
        <v>1773</v>
      </c>
      <c r="G75" s="426" t="str">
        <f t="shared" si="6"/>
        <v/>
      </c>
      <c r="H75" s="427">
        <v>18696.501291008499</v>
      </c>
      <c r="I75" s="427">
        <v>18696.501291008499</v>
      </c>
      <c r="J75" s="427">
        <v>18696.501291008499</v>
      </c>
      <c r="K75" s="427">
        <v>18696.501291008499</v>
      </c>
      <c r="L75" s="427">
        <v>18696.501291008499</v>
      </c>
      <c r="M75" s="427">
        <v>18696.501291008499</v>
      </c>
      <c r="N75" s="427">
        <v>18696.501291008499</v>
      </c>
      <c r="O75" s="427">
        <v>18696.501291008499</v>
      </c>
      <c r="P75" s="427">
        <v>18696.501291008499</v>
      </c>
      <c r="Q75" s="427">
        <v>18696.501291008499</v>
      </c>
      <c r="R75" s="427">
        <v>18696.501291008499</v>
      </c>
      <c r="S75" s="427">
        <v>18696.501291008499</v>
      </c>
      <c r="T75" s="427">
        <v>18696.501291008499</v>
      </c>
      <c r="V75" s="427">
        <f t="shared" si="11"/>
        <v>18696.501291008495</v>
      </c>
    </row>
    <row r="76" spans="1:22">
      <c r="A76" s="427" t="str">
        <f t="shared" si="8"/>
        <v>KU</v>
      </c>
      <c r="B76" s="427" t="str">
        <f t="shared" si="7"/>
        <v>KY</v>
      </c>
      <c r="C76" s="427" t="str">
        <f t="shared" si="10"/>
        <v>E</v>
      </c>
      <c r="D76" s="427" t="s">
        <v>3418</v>
      </c>
      <c r="E76" s="427" t="str">
        <f t="shared" si="9"/>
        <v>357</v>
      </c>
      <c r="F76" s="756" t="s">
        <v>1774</v>
      </c>
      <c r="G76" s="426" t="str">
        <f t="shared" si="6"/>
        <v/>
      </c>
      <c r="H76" s="427">
        <v>448.76026000000002</v>
      </c>
      <c r="I76" s="427">
        <v>448.76026000000002</v>
      </c>
      <c r="J76" s="427">
        <v>448.76026000000002</v>
      </c>
      <c r="K76" s="427">
        <v>448.76026000000002</v>
      </c>
      <c r="L76" s="427">
        <v>448.76026000000002</v>
      </c>
      <c r="M76" s="427">
        <v>448.76026000000002</v>
      </c>
      <c r="N76" s="427">
        <v>448.76026000000002</v>
      </c>
      <c r="O76" s="427">
        <v>448.76026000000002</v>
      </c>
      <c r="P76" s="427">
        <v>448.76026000000002</v>
      </c>
      <c r="Q76" s="427">
        <v>448.76026000000002</v>
      </c>
      <c r="R76" s="427">
        <v>448.76026000000002</v>
      </c>
      <c r="S76" s="427">
        <v>448.76026000000002</v>
      </c>
      <c r="T76" s="427">
        <v>448.76026000000002</v>
      </c>
      <c r="V76" s="427">
        <f t="shared" si="11"/>
        <v>448.76026000000002</v>
      </c>
    </row>
    <row r="77" spans="1:22">
      <c r="A77" s="427" t="str">
        <f t="shared" si="8"/>
        <v>KU</v>
      </c>
      <c r="B77" s="427" t="str">
        <f t="shared" si="7"/>
        <v>KY</v>
      </c>
      <c r="C77" s="427" t="str">
        <f t="shared" si="10"/>
        <v>E</v>
      </c>
      <c r="D77" s="427" t="s">
        <v>3418</v>
      </c>
      <c r="E77" s="427" t="str">
        <f t="shared" si="9"/>
        <v>358</v>
      </c>
      <c r="F77" s="756" t="s">
        <v>1775</v>
      </c>
      <c r="G77" s="426" t="str">
        <f t="shared" si="6"/>
        <v/>
      </c>
      <c r="H77" s="427">
        <v>1299.5925500000001</v>
      </c>
      <c r="I77" s="427">
        <v>1299.5925500000001</v>
      </c>
      <c r="J77" s="427">
        <v>1299.5925500000001</v>
      </c>
      <c r="K77" s="427">
        <v>1299.5925500000001</v>
      </c>
      <c r="L77" s="427">
        <v>1299.5925500000001</v>
      </c>
      <c r="M77" s="427">
        <v>1299.5925500000001</v>
      </c>
      <c r="N77" s="427">
        <v>1299.5925500000001</v>
      </c>
      <c r="O77" s="427">
        <v>1299.5925500000001</v>
      </c>
      <c r="P77" s="427">
        <v>10184.642008000001</v>
      </c>
      <c r="Q77" s="427">
        <v>10328.2095558</v>
      </c>
      <c r="R77" s="427">
        <v>10591.8108536</v>
      </c>
      <c r="S77" s="427">
        <v>10855.4121514</v>
      </c>
      <c r="T77" s="427">
        <v>10855.4121514</v>
      </c>
      <c r="V77" s="427">
        <f t="shared" si="11"/>
        <v>4862.4790092461535</v>
      </c>
    </row>
    <row r="78" spans="1:22">
      <c r="A78" s="427" t="str">
        <f t="shared" si="8"/>
        <v>KU</v>
      </c>
      <c r="B78" s="427" t="str">
        <f t="shared" si="7"/>
        <v>KY</v>
      </c>
      <c r="C78" s="427" t="str">
        <f t="shared" si="10"/>
        <v>E</v>
      </c>
      <c r="D78" s="427" t="s">
        <v>3418</v>
      </c>
      <c r="E78" s="427" t="str">
        <f t="shared" si="9"/>
        <v>359</v>
      </c>
      <c r="F78" s="756" t="s">
        <v>1776</v>
      </c>
      <c r="G78" s="426" t="str">
        <f t="shared" si="6"/>
        <v>ARO</v>
      </c>
      <c r="H78" s="427">
        <v>551.32388000000003</v>
      </c>
      <c r="I78" s="427">
        <v>551.32388000000003</v>
      </c>
      <c r="J78" s="427">
        <v>551.32388000000003</v>
      </c>
      <c r="K78" s="427">
        <v>551.32388000000003</v>
      </c>
      <c r="L78" s="427">
        <v>551.32388000000003</v>
      </c>
      <c r="M78" s="427">
        <v>551.32388000000003</v>
      </c>
      <c r="N78" s="427">
        <v>551.32388000000003</v>
      </c>
      <c r="O78" s="427">
        <v>551.32388000000003</v>
      </c>
      <c r="P78" s="427">
        <v>551.32388000000003</v>
      </c>
      <c r="Q78" s="427">
        <v>551.32388000000003</v>
      </c>
      <c r="R78" s="427">
        <v>551.32388000000003</v>
      </c>
      <c r="S78" s="427">
        <v>551.32388000000003</v>
      </c>
      <c r="T78" s="427">
        <v>551.32388000000003</v>
      </c>
      <c r="V78" s="427">
        <f t="shared" si="11"/>
        <v>551.32388000000003</v>
      </c>
    </row>
    <row r="79" spans="1:22">
      <c r="A79" s="427" t="str">
        <f t="shared" si="8"/>
        <v>KU</v>
      </c>
      <c r="B79" s="427" t="str">
        <f t="shared" si="7"/>
        <v>KY</v>
      </c>
      <c r="C79" s="427" t="str">
        <f t="shared" si="10"/>
        <v>F</v>
      </c>
      <c r="D79" s="427" t="s">
        <v>3418</v>
      </c>
      <c r="E79" s="427" t="str">
        <f t="shared" si="9"/>
        <v>360</v>
      </c>
      <c r="F79" s="756" t="s">
        <v>1777</v>
      </c>
      <c r="G79" s="426" t="str">
        <f t="shared" si="6"/>
        <v>FUTURE USE</v>
      </c>
      <c r="H79" s="427">
        <v>1147.33475</v>
      </c>
      <c r="I79" s="427">
        <v>1147.33475</v>
      </c>
      <c r="J79" s="427">
        <v>1147.33475</v>
      </c>
      <c r="K79" s="427">
        <v>1147.33475</v>
      </c>
      <c r="L79" s="427">
        <v>1147.33475</v>
      </c>
      <c r="M79" s="427">
        <v>1147.33475</v>
      </c>
      <c r="N79" s="427">
        <v>1147.33475</v>
      </c>
      <c r="O79" s="427">
        <v>1147.33475</v>
      </c>
      <c r="P79" s="427">
        <v>1147.33475</v>
      </c>
      <c r="Q79" s="427">
        <v>1147.33475</v>
      </c>
      <c r="R79" s="427">
        <v>1147.33475</v>
      </c>
      <c r="S79" s="427">
        <v>1147.33475</v>
      </c>
      <c r="T79" s="427">
        <v>1147.33475</v>
      </c>
      <c r="V79" s="427">
        <f t="shared" si="11"/>
        <v>1147.33475</v>
      </c>
    </row>
    <row r="80" spans="1:22">
      <c r="A80" s="427" t="str">
        <f t="shared" si="8"/>
        <v>KU</v>
      </c>
      <c r="B80" s="427" t="str">
        <f t="shared" si="7"/>
        <v>VA</v>
      </c>
      <c r="C80" s="427" t="str">
        <f t="shared" si="10"/>
        <v>F</v>
      </c>
      <c r="D80" s="427" t="s">
        <v>3418</v>
      </c>
      <c r="E80" s="427" t="str">
        <f t="shared" si="9"/>
        <v>360</v>
      </c>
      <c r="F80" s="756" t="s">
        <v>3432</v>
      </c>
      <c r="G80" s="426" t="str">
        <f t="shared" si="6"/>
        <v>FUTURE USE</v>
      </c>
      <c r="H80" s="427">
        <v>324.08784000000003</v>
      </c>
      <c r="I80" s="427">
        <v>324.08784000000003</v>
      </c>
      <c r="J80" s="427">
        <v>324.08784000000003</v>
      </c>
      <c r="K80" s="427">
        <v>324.08784000000003</v>
      </c>
      <c r="L80" s="427">
        <v>324.08784000000003</v>
      </c>
      <c r="M80" s="427">
        <v>324.08784000000003</v>
      </c>
      <c r="N80" s="427">
        <v>324.08784000000003</v>
      </c>
      <c r="O80" s="427">
        <v>324.08784000000003</v>
      </c>
      <c r="P80" s="427">
        <v>324.08784000000003</v>
      </c>
      <c r="Q80" s="427">
        <v>324.08784000000003</v>
      </c>
      <c r="R80" s="427">
        <v>324.08784000000003</v>
      </c>
      <c r="S80" s="427">
        <v>324.08784000000003</v>
      </c>
      <c r="T80" s="427">
        <v>324.08784000000003</v>
      </c>
      <c r="V80" s="427">
        <f t="shared" si="11"/>
        <v>324.08784000000009</v>
      </c>
    </row>
    <row r="81" spans="1:22">
      <c r="A81" s="427" t="str">
        <f t="shared" si="8"/>
        <v>KU</v>
      </c>
      <c r="B81" s="427" t="str">
        <f t="shared" si="7"/>
        <v>KY</v>
      </c>
      <c r="C81" s="427" t="str">
        <f t="shared" si="10"/>
        <v>E</v>
      </c>
      <c r="D81" s="427" t="s">
        <v>3418</v>
      </c>
      <c r="E81" s="427" t="str">
        <f t="shared" si="9"/>
        <v>360</v>
      </c>
      <c r="F81" s="756" t="s">
        <v>1778</v>
      </c>
      <c r="G81" s="426" t="str">
        <f t="shared" si="6"/>
        <v/>
      </c>
      <c r="H81" s="427">
        <v>9123.7510063599893</v>
      </c>
      <c r="I81" s="427">
        <v>9123.7510063599893</v>
      </c>
      <c r="J81" s="427">
        <v>9123.7510063599893</v>
      </c>
      <c r="K81" s="427">
        <v>9123.7510063599893</v>
      </c>
      <c r="L81" s="427">
        <v>9123.7510063599893</v>
      </c>
      <c r="M81" s="427">
        <v>9123.7510063599893</v>
      </c>
      <c r="N81" s="427">
        <v>9123.7510063599893</v>
      </c>
      <c r="O81" s="427">
        <v>9123.7510063599893</v>
      </c>
      <c r="P81" s="427">
        <v>9411.8325921599899</v>
      </c>
      <c r="Q81" s="427">
        <v>9411.8325921599899</v>
      </c>
      <c r="R81" s="427">
        <v>9411.8325921599899</v>
      </c>
      <c r="S81" s="427">
        <v>9411.8325921599899</v>
      </c>
      <c r="T81" s="427">
        <v>9411.8325921599899</v>
      </c>
      <c r="V81" s="427">
        <f t="shared" si="11"/>
        <v>9234.5516162830663</v>
      </c>
    </row>
    <row r="82" spans="1:22">
      <c r="A82" s="427" t="str">
        <f t="shared" si="8"/>
        <v>KU</v>
      </c>
      <c r="B82" s="427" t="str">
        <f t="shared" si="7"/>
        <v>TN</v>
      </c>
      <c r="C82" s="427" t="str">
        <f t="shared" si="10"/>
        <v>E</v>
      </c>
      <c r="D82" s="427" t="s">
        <v>3418</v>
      </c>
      <c r="E82" s="427" t="str">
        <f t="shared" si="9"/>
        <v>360</v>
      </c>
      <c r="F82" s="756" t="s">
        <v>1779</v>
      </c>
      <c r="G82" s="426" t="str">
        <f t="shared" si="6"/>
        <v/>
      </c>
      <c r="H82" s="427">
        <v>475.57252999999997</v>
      </c>
      <c r="I82" s="427">
        <v>475.57252999999997</v>
      </c>
      <c r="J82" s="427">
        <v>475.57252999999997</v>
      </c>
      <c r="K82" s="427">
        <v>475.57252999999997</v>
      </c>
      <c r="L82" s="427">
        <v>475.57252999999997</v>
      </c>
      <c r="M82" s="427">
        <v>475.57252999999997</v>
      </c>
      <c r="N82" s="427">
        <v>475.57252999999997</v>
      </c>
      <c r="O82" s="427">
        <v>475.57252999999997</v>
      </c>
      <c r="P82" s="427">
        <v>475.57252999999997</v>
      </c>
      <c r="Q82" s="427">
        <v>475.57252999999997</v>
      </c>
      <c r="R82" s="427">
        <v>475.57252999999997</v>
      </c>
      <c r="S82" s="427">
        <v>475.57252999999997</v>
      </c>
      <c r="T82" s="427">
        <v>475.57252999999997</v>
      </c>
      <c r="V82" s="427">
        <f t="shared" si="11"/>
        <v>475.57253000000009</v>
      </c>
    </row>
    <row r="83" spans="1:22">
      <c r="A83" s="427" t="str">
        <f t="shared" si="8"/>
        <v>KU</v>
      </c>
      <c r="B83" s="427" t="str">
        <f t="shared" si="7"/>
        <v>VA</v>
      </c>
      <c r="C83" s="427" t="str">
        <f t="shared" si="10"/>
        <v>E</v>
      </c>
      <c r="D83" s="427" t="s">
        <v>3418</v>
      </c>
      <c r="E83" s="427" t="str">
        <f t="shared" si="9"/>
        <v>360</v>
      </c>
      <c r="F83" s="756" t="s">
        <v>1780</v>
      </c>
      <c r="G83" s="426" t="str">
        <f t="shared" si="6"/>
        <v/>
      </c>
      <c r="H83" s="427">
        <v>313.284189999999</v>
      </c>
      <c r="I83" s="427">
        <v>313.284189999999</v>
      </c>
      <c r="J83" s="427">
        <v>313.284189999999</v>
      </c>
      <c r="K83" s="427">
        <v>313.284189999999</v>
      </c>
      <c r="L83" s="427">
        <v>313.284189999999</v>
      </c>
      <c r="M83" s="427">
        <v>313.284189999999</v>
      </c>
      <c r="N83" s="427">
        <v>313.284189999999</v>
      </c>
      <c r="O83" s="427">
        <v>313.284189999999</v>
      </c>
      <c r="P83" s="427">
        <v>313.284189999999</v>
      </c>
      <c r="Q83" s="427">
        <v>313.284189999999</v>
      </c>
      <c r="R83" s="427">
        <v>313.284189999999</v>
      </c>
      <c r="S83" s="427">
        <v>313.284189999999</v>
      </c>
      <c r="T83" s="427">
        <v>313.284189999999</v>
      </c>
      <c r="V83" s="427">
        <f t="shared" si="11"/>
        <v>313.284189999999</v>
      </c>
    </row>
    <row r="84" spans="1:22">
      <c r="A84" s="427" t="str">
        <f t="shared" si="8"/>
        <v>KU</v>
      </c>
      <c r="B84" s="427" t="str">
        <f t="shared" si="7"/>
        <v>KY</v>
      </c>
      <c r="C84" s="427" t="str">
        <f t="shared" si="10"/>
        <v>E</v>
      </c>
      <c r="D84" s="427" t="s">
        <v>3418</v>
      </c>
      <c r="E84" s="427" t="str">
        <f t="shared" si="9"/>
        <v>361</v>
      </c>
      <c r="F84" s="756" t="s">
        <v>1781</v>
      </c>
      <c r="G84" s="426" t="str">
        <f t="shared" si="6"/>
        <v/>
      </c>
      <c r="H84" s="427">
        <v>23004.345073011998</v>
      </c>
      <c r="I84" s="427">
        <v>23767.192577911999</v>
      </c>
      <c r="J84" s="427">
        <v>24530.052364711999</v>
      </c>
      <c r="K84" s="427">
        <v>25292.895702112</v>
      </c>
      <c r="L84" s="427">
        <v>26055.740489512002</v>
      </c>
      <c r="M84" s="427">
        <v>26818.602705812002</v>
      </c>
      <c r="N84" s="427">
        <v>27581.456788611998</v>
      </c>
      <c r="O84" s="427">
        <v>28344.313387311999</v>
      </c>
      <c r="P84" s="427">
        <v>29765.860307311999</v>
      </c>
      <c r="Q84" s="427">
        <v>30446.093268212</v>
      </c>
      <c r="R84" s="427">
        <v>31126.332394112</v>
      </c>
      <c r="S84" s="427">
        <v>31806.565316611999</v>
      </c>
      <c r="T84" s="427">
        <v>32536.613340111999</v>
      </c>
      <c r="V84" s="427">
        <f t="shared" si="11"/>
        <v>27775.081824258152</v>
      </c>
    </row>
    <row r="85" spans="1:22">
      <c r="A85" s="427" t="str">
        <f t="shared" si="8"/>
        <v>KU</v>
      </c>
      <c r="B85" s="427" t="str">
        <f t="shared" si="7"/>
        <v>TN</v>
      </c>
      <c r="C85" s="427" t="str">
        <f t="shared" si="10"/>
        <v>E</v>
      </c>
      <c r="D85" s="427" t="s">
        <v>3418</v>
      </c>
      <c r="E85" s="427" t="str">
        <f t="shared" si="9"/>
        <v>361</v>
      </c>
      <c r="F85" s="756" t="s">
        <v>1782</v>
      </c>
      <c r="G85" s="426" t="str">
        <f t="shared" si="6"/>
        <v/>
      </c>
      <c r="H85" s="427">
        <v>2.5451299999999999</v>
      </c>
      <c r="I85" s="427">
        <v>2.5451299999999999</v>
      </c>
      <c r="J85" s="427">
        <v>2.5451299999999999</v>
      </c>
      <c r="K85" s="427">
        <v>2.5451299999999999</v>
      </c>
      <c r="L85" s="427">
        <v>2.5451299999999999</v>
      </c>
      <c r="M85" s="427">
        <v>2.5451299999999999</v>
      </c>
      <c r="N85" s="427">
        <v>2.5451299999999999</v>
      </c>
      <c r="O85" s="427">
        <v>2.5451299999999999</v>
      </c>
      <c r="P85" s="427">
        <v>2.5451299999999999</v>
      </c>
      <c r="Q85" s="427">
        <v>2.5451299999999999</v>
      </c>
      <c r="R85" s="427">
        <v>2.5451299999999999</v>
      </c>
      <c r="S85" s="427">
        <v>2.5451299999999999</v>
      </c>
      <c r="T85" s="427">
        <v>2.5451299999999999</v>
      </c>
      <c r="V85" s="427">
        <f t="shared" si="11"/>
        <v>2.5451299999999999</v>
      </c>
    </row>
    <row r="86" spans="1:22">
      <c r="A86" s="427" t="str">
        <f t="shared" si="8"/>
        <v>KU</v>
      </c>
      <c r="B86" s="427" t="str">
        <f t="shared" si="7"/>
        <v>VA</v>
      </c>
      <c r="C86" s="427" t="str">
        <f t="shared" si="10"/>
        <v>E</v>
      </c>
      <c r="D86" s="427" t="s">
        <v>3418</v>
      </c>
      <c r="E86" s="427" t="str">
        <f t="shared" si="9"/>
        <v>361</v>
      </c>
      <c r="F86" s="756" t="s">
        <v>1783</v>
      </c>
      <c r="G86" s="426" t="str">
        <f t="shared" ref="G86:G153" si="12">IF(ISTEXT(MID($F86,SEARCH("FUTURE USE",$F86),3)),"FUTURE USE",IF(ISTEXT(MID($F86,SEARCH("ECR",$F86),3)),"ECR",IF(ISTEXT(MID($F86,SEARCH("ARO",$F86),3)),"ARO",IF(ISTEXT(MID($F86,SEARCH("DSM",$F86),3)),"DSM",""))))</f>
        <v/>
      </c>
      <c r="H86" s="427">
        <v>767.59402317000001</v>
      </c>
      <c r="I86" s="427">
        <v>767.59402317000001</v>
      </c>
      <c r="J86" s="427">
        <v>767.59402317000001</v>
      </c>
      <c r="K86" s="427">
        <v>767.59402317000001</v>
      </c>
      <c r="L86" s="427">
        <v>767.59402317000001</v>
      </c>
      <c r="M86" s="427">
        <v>767.59402317000001</v>
      </c>
      <c r="N86" s="427">
        <v>767.59402317000001</v>
      </c>
      <c r="O86" s="427">
        <v>767.59402317000001</v>
      </c>
      <c r="P86" s="427">
        <v>767.59402317000001</v>
      </c>
      <c r="Q86" s="427">
        <v>767.59402317000001</v>
      </c>
      <c r="R86" s="427">
        <v>767.59402317000001</v>
      </c>
      <c r="S86" s="427">
        <v>767.59402317000001</v>
      </c>
      <c r="T86" s="427">
        <v>767.59402317000001</v>
      </c>
      <c r="V86" s="427">
        <f t="shared" si="11"/>
        <v>767.59402317000001</v>
      </c>
    </row>
    <row r="87" spans="1:22">
      <c r="A87" s="427" t="str">
        <f t="shared" si="8"/>
        <v>KU</v>
      </c>
      <c r="B87" s="427" t="str">
        <f t="shared" si="7"/>
        <v>KY</v>
      </c>
      <c r="C87" s="427" t="str">
        <f t="shared" si="10"/>
        <v>E</v>
      </c>
      <c r="D87" s="427" t="s">
        <v>3418</v>
      </c>
      <c r="E87" s="427" t="str">
        <f t="shared" si="9"/>
        <v>362</v>
      </c>
      <c r="F87" s="756" t="s">
        <v>1784</v>
      </c>
      <c r="G87" s="426" t="str">
        <f t="shared" si="12"/>
        <v/>
      </c>
      <c r="H87" s="427">
        <v>233344.80881363401</v>
      </c>
      <c r="I87" s="427">
        <v>233741.744259634</v>
      </c>
      <c r="J87" s="427">
        <v>236755.01393033401</v>
      </c>
      <c r="K87" s="427">
        <v>237321.63105017401</v>
      </c>
      <c r="L87" s="427">
        <v>237932.720982914</v>
      </c>
      <c r="M87" s="427">
        <v>239938.19200521399</v>
      </c>
      <c r="N87" s="427">
        <v>240433.342660814</v>
      </c>
      <c r="O87" s="427">
        <v>240937.78566274399</v>
      </c>
      <c r="P87" s="427">
        <v>256218.671943044</v>
      </c>
      <c r="Q87" s="427">
        <v>256467.916487404</v>
      </c>
      <c r="R87" s="427">
        <v>256747.435118044</v>
      </c>
      <c r="S87" s="427">
        <v>258453.41325690399</v>
      </c>
      <c r="T87" s="427">
        <v>259011.49071301401</v>
      </c>
      <c r="V87" s="427">
        <f t="shared" si="11"/>
        <v>245177.2436064517</v>
      </c>
    </row>
    <row r="88" spans="1:22">
      <c r="A88" s="427" t="str">
        <f t="shared" si="8"/>
        <v>KU</v>
      </c>
      <c r="B88" s="427" t="str">
        <f t="shared" si="7"/>
        <v>TN</v>
      </c>
      <c r="C88" s="427" t="str">
        <f t="shared" si="10"/>
        <v>E</v>
      </c>
      <c r="D88" s="427" t="s">
        <v>3418</v>
      </c>
      <c r="E88" s="427" t="str">
        <f t="shared" si="9"/>
        <v>362</v>
      </c>
      <c r="F88" s="756" t="s">
        <v>1785</v>
      </c>
      <c r="G88" s="426" t="str">
        <f t="shared" si="12"/>
        <v/>
      </c>
      <c r="H88" s="427">
        <v>66.88015</v>
      </c>
      <c r="I88" s="427">
        <v>66.88015</v>
      </c>
      <c r="J88" s="427">
        <v>66.88015</v>
      </c>
      <c r="K88" s="427">
        <v>66.88015</v>
      </c>
      <c r="L88" s="427">
        <v>66.88015</v>
      </c>
      <c r="M88" s="427">
        <v>66.88015</v>
      </c>
      <c r="N88" s="427">
        <v>66.88015</v>
      </c>
      <c r="O88" s="427">
        <v>66.88015</v>
      </c>
      <c r="P88" s="427">
        <v>66.88015</v>
      </c>
      <c r="Q88" s="427">
        <v>66.88015</v>
      </c>
      <c r="R88" s="427">
        <v>66.88015</v>
      </c>
      <c r="S88" s="427">
        <v>66.88015</v>
      </c>
      <c r="T88" s="427">
        <v>66.88015</v>
      </c>
      <c r="V88" s="427">
        <f t="shared" si="11"/>
        <v>66.880149999999986</v>
      </c>
    </row>
    <row r="89" spans="1:22">
      <c r="A89" s="427" t="str">
        <f t="shared" si="8"/>
        <v>KU</v>
      </c>
      <c r="B89" s="427" t="str">
        <f t="shared" si="7"/>
        <v>VA</v>
      </c>
      <c r="C89" s="427" t="str">
        <f t="shared" si="10"/>
        <v>E</v>
      </c>
      <c r="D89" s="427" t="s">
        <v>3418</v>
      </c>
      <c r="E89" s="427" t="str">
        <f t="shared" si="9"/>
        <v>362</v>
      </c>
      <c r="F89" s="756" t="s">
        <v>1786</v>
      </c>
      <c r="G89" s="426" t="str">
        <f t="shared" si="12"/>
        <v/>
      </c>
      <c r="H89" s="427">
        <v>8513.2319299999999</v>
      </c>
      <c r="I89" s="427">
        <v>8513.2319299999999</v>
      </c>
      <c r="J89" s="427">
        <v>8513.2319299999999</v>
      </c>
      <c r="K89" s="427">
        <v>8513.2319299999999</v>
      </c>
      <c r="L89" s="427">
        <v>8513.2319299999999</v>
      </c>
      <c r="M89" s="427">
        <v>8513.2319299999999</v>
      </c>
      <c r="N89" s="427">
        <v>8513.2319299999999</v>
      </c>
      <c r="O89" s="427">
        <v>8513.2319299999999</v>
      </c>
      <c r="P89" s="427">
        <v>8513.2319299999999</v>
      </c>
      <c r="Q89" s="427">
        <v>8513.2319299999999</v>
      </c>
      <c r="R89" s="427">
        <v>8513.2319299999999</v>
      </c>
      <c r="S89" s="427">
        <v>8513.2319299999999</v>
      </c>
      <c r="T89" s="427">
        <v>8513.2319299999999</v>
      </c>
      <c r="V89" s="427">
        <f t="shared" si="11"/>
        <v>8513.2319299999981</v>
      </c>
    </row>
    <row r="90" spans="1:22">
      <c r="A90" s="427" t="str">
        <f t="shared" si="8"/>
        <v>KU</v>
      </c>
      <c r="B90" s="427" t="str">
        <f t="shared" si="7"/>
        <v>KY</v>
      </c>
      <c r="C90" s="427" t="str">
        <f t="shared" si="10"/>
        <v>E</v>
      </c>
      <c r="D90" s="427" t="s">
        <v>3418</v>
      </c>
      <c r="E90" s="427" t="str">
        <f t="shared" si="9"/>
        <v>364</v>
      </c>
      <c r="F90" s="756" t="s">
        <v>2211</v>
      </c>
      <c r="G90" s="426" t="str">
        <f t="shared" si="12"/>
        <v>ECR</v>
      </c>
      <c r="H90" s="427">
        <v>26.531199999999998</v>
      </c>
      <c r="I90" s="427">
        <v>26.531199999999998</v>
      </c>
      <c r="J90" s="427">
        <v>26.531199999999998</v>
      </c>
      <c r="K90" s="427">
        <v>26.531199999999998</v>
      </c>
      <c r="L90" s="427">
        <v>26.531199999999998</v>
      </c>
      <c r="M90" s="427">
        <v>26.531199999999998</v>
      </c>
      <c r="N90" s="427">
        <v>26.531199999999998</v>
      </c>
      <c r="O90" s="427">
        <v>26.531199999999998</v>
      </c>
      <c r="P90" s="427">
        <v>26.531199999999998</v>
      </c>
      <c r="Q90" s="427">
        <v>26.531199999999998</v>
      </c>
      <c r="R90" s="427">
        <v>26.531199999999998</v>
      </c>
      <c r="S90" s="427">
        <v>26.531199999999998</v>
      </c>
      <c r="T90" s="427">
        <v>26.531199999999998</v>
      </c>
      <c r="V90" s="427">
        <f t="shared" si="11"/>
        <v>26.531200000000009</v>
      </c>
    </row>
    <row r="91" spans="1:22">
      <c r="A91" s="427" t="str">
        <f t="shared" si="8"/>
        <v>KU</v>
      </c>
      <c r="B91" s="427" t="str">
        <f t="shared" si="7"/>
        <v>KY</v>
      </c>
      <c r="C91" s="427" t="str">
        <f t="shared" si="10"/>
        <v>E</v>
      </c>
      <c r="D91" s="427" t="s">
        <v>3418</v>
      </c>
      <c r="E91" s="427" t="str">
        <f t="shared" si="9"/>
        <v>364</v>
      </c>
      <c r="F91" s="756" t="s">
        <v>1787</v>
      </c>
      <c r="G91" s="426" t="str">
        <f t="shared" si="12"/>
        <v/>
      </c>
      <c r="H91" s="427">
        <v>387838.162375352</v>
      </c>
      <c r="I91" s="427">
        <v>389438.05230139499</v>
      </c>
      <c r="J91" s="427">
        <v>391111.418184412</v>
      </c>
      <c r="K91" s="427">
        <v>392643.71901890298</v>
      </c>
      <c r="L91" s="427">
        <v>394443.86618075101</v>
      </c>
      <c r="M91" s="427">
        <v>396550.96302309399</v>
      </c>
      <c r="N91" s="427">
        <v>398164.567660562</v>
      </c>
      <c r="O91" s="427">
        <v>399473.54604558297</v>
      </c>
      <c r="P91" s="427">
        <v>400588.592991543</v>
      </c>
      <c r="Q91" s="427">
        <v>401904.78182034398</v>
      </c>
      <c r="R91" s="427">
        <v>403083.1890978</v>
      </c>
      <c r="S91" s="427">
        <v>404633.81180270598</v>
      </c>
      <c r="T91" s="427">
        <v>406265.39315079403</v>
      </c>
      <c r="V91" s="427">
        <f t="shared" si="11"/>
        <v>397395.38951178762</v>
      </c>
    </row>
    <row r="92" spans="1:22">
      <c r="A92" s="427" t="str">
        <f t="shared" si="8"/>
        <v>KU</v>
      </c>
      <c r="B92" s="427" t="str">
        <f t="shared" si="7"/>
        <v>TN</v>
      </c>
      <c r="C92" s="427" t="str">
        <f t="shared" si="10"/>
        <v>E</v>
      </c>
      <c r="D92" s="427" t="s">
        <v>3418</v>
      </c>
      <c r="E92" s="427" t="str">
        <f t="shared" si="9"/>
        <v>364</v>
      </c>
      <c r="F92" s="756" t="s">
        <v>1788</v>
      </c>
      <c r="G92" s="426" t="str">
        <f t="shared" si="12"/>
        <v/>
      </c>
      <c r="H92" s="427">
        <v>47.785559999999997</v>
      </c>
      <c r="I92" s="427">
        <v>47.785559999999997</v>
      </c>
      <c r="J92" s="427">
        <v>47.785559999999997</v>
      </c>
      <c r="K92" s="427">
        <v>47.785559999999997</v>
      </c>
      <c r="L92" s="427">
        <v>47.785559999999997</v>
      </c>
      <c r="M92" s="427">
        <v>47.785559999999997</v>
      </c>
      <c r="N92" s="427">
        <v>47.785559999999997</v>
      </c>
      <c r="O92" s="427">
        <v>47.785559999999997</v>
      </c>
      <c r="P92" s="427">
        <v>47.785559999999997</v>
      </c>
      <c r="Q92" s="427">
        <v>47.785559999999997</v>
      </c>
      <c r="R92" s="427">
        <v>47.785559999999997</v>
      </c>
      <c r="S92" s="427">
        <v>47.785559999999997</v>
      </c>
      <c r="T92" s="427">
        <v>47.785559999999997</v>
      </c>
      <c r="V92" s="427">
        <f t="shared" si="11"/>
        <v>47.785559999999997</v>
      </c>
    </row>
    <row r="93" spans="1:22">
      <c r="A93" s="427" t="str">
        <f t="shared" si="8"/>
        <v>KU</v>
      </c>
      <c r="B93" s="427" t="str">
        <f t="shared" si="7"/>
        <v>VA</v>
      </c>
      <c r="C93" s="427" t="str">
        <f t="shared" si="10"/>
        <v>E</v>
      </c>
      <c r="D93" s="427" t="s">
        <v>3418</v>
      </c>
      <c r="E93" s="427" t="str">
        <f t="shared" si="9"/>
        <v>364</v>
      </c>
      <c r="F93" s="756" t="s">
        <v>1789</v>
      </c>
      <c r="G93" s="426" t="str">
        <f t="shared" si="12"/>
        <v/>
      </c>
      <c r="H93" s="427">
        <v>30518.263492668098</v>
      </c>
      <c r="I93" s="427">
        <v>30553.793818760099</v>
      </c>
      <c r="J93" s="427">
        <v>30580.4965555901</v>
      </c>
      <c r="K93" s="427">
        <v>30620.665926850099</v>
      </c>
      <c r="L93" s="427">
        <v>30651.6016970901</v>
      </c>
      <c r="M93" s="427">
        <v>30681.8768783901</v>
      </c>
      <c r="N93" s="427">
        <v>30713.803964160099</v>
      </c>
      <c r="O93" s="427">
        <v>30740.790508790102</v>
      </c>
      <c r="P93" s="427">
        <v>30763.946930100101</v>
      </c>
      <c r="Q93" s="427">
        <v>30796.1098869901</v>
      </c>
      <c r="R93" s="427">
        <v>30822.366367151099</v>
      </c>
      <c r="S93" s="427">
        <v>30851.909054491</v>
      </c>
      <c r="T93" s="427">
        <v>30884.937723593099</v>
      </c>
      <c r="V93" s="427">
        <f t="shared" si="11"/>
        <v>30706.197138817246</v>
      </c>
    </row>
    <row r="94" spans="1:22">
      <c r="A94" s="427" t="str">
        <f t="shared" si="8"/>
        <v>KU</v>
      </c>
      <c r="B94" s="427" t="str">
        <f t="shared" si="7"/>
        <v>KY</v>
      </c>
      <c r="C94" s="427" t="str">
        <f t="shared" si="10"/>
        <v>E</v>
      </c>
      <c r="D94" s="427" t="s">
        <v>3418</v>
      </c>
      <c r="E94" s="427" t="str">
        <f t="shared" si="9"/>
        <v>365</v>
      </c>
      <c r="F94" s="756" t="s">
        <v>2212</v>
      </c>
      <c r="G94" s="426" t="str">
        <f t="shared" si="12"/>
        <v>ECR</v>
      </c>
      <c r="H94" s="427">
        <v>23.599409999999999</v>
      </c>
      <c r="I94" s="427">
        <v>23.599409999999999</v>
      </c>
      <c r="J94" s="427">
        <v>23.599409999999999</v>
      </c>
      <c r="K94" s="427">
        <v>23.599409999999999</v>
      </c>
      <c r="L94" s="427">
        <v>23.599409999999999</v>
      </c>
      <c r="M94" s="427">
        <v>23.599409999999999</v>
      </c>
      <c r="N94" s="427">
        <v>23.599409999999999</v>
      </c>
      <c r="O94" s="427">
        <v>23.599409999999999</v>
      </c>
      <c r="P94" s="427">
        <v>23.599409999999999</v>
      </c>
      <c r="Q94" s="427">
        <v>23.599409999999999</v>
      </c>
      <c r="R94" s="427">
        <v>23.599409999999999</v>
      </c>
      <c r="S94" s="427">
        <v>23.599409999999999</v>
      </c>
      <c r="T94" s="427">
        <v>23.599409999999999</v>
      </c>
      <c r="V94" s="427">
        <f t="shared" si="11"/>
        <v>23.599409999999999</v>
      </c>
    </row>
    <row r="95" spans="1:22">
      <c r="A95" s="427" t="str">
        <f t="shared" si="8"/>
        <v>KU</v>
      </c>
      <c r="B95" s="427" t="str">
        <f t="shared" si="7"/>
        <v>KY</v>
      </c>
      <c r="C95" s="427" t="str">
        <f t="shared" si="10"/>
        <v>E</v>
      </c>
      <c r="D95" s="427" t="s">
        <v>3418</v>
      </c>
      <c r="E95" s="427" t="str">
        <f t="shared" si="9"/>
        <v>365</v>
      </c>
      <c r="F95" s="756" t="s">
        <v>1790</v>
      </c>
      <c r="G95" s="426" t="str">
        <f t="shared" si="12"/>
        <v/>
      </c>
      <c r="H95" s="427">
        <v>386787.78526913101</v>
      </c>
      <c r="I95" s="427">
        <v>388668.54108216602</v>
      </c>
      <c r="J95" s="427">
        <v>390893.28297794302</v>
      </c>
      <c r="K95" s="427">
        <v>392102.93258276099</v>
      </c>
      <c r="L95" s="427">
        <v>395004.28009462298</v>
      </c>
      <c r="M95" s="427">
        <v>397024.25497125898</v>
      </c>
      <c r="N95" s="427">
        <v>398535.08973218198</v>
      </c>
      <c r="O95" s="427">
        <v>400376.21184774803</v>
      </c>
      <c r="P95" s="427">
        <v>403549.070207674</v>
      </c>
      <c r="Q95" s="427">
        <v>405410.43406050099</v>
      </c>
      <c r="R95" s="427">
        <v>406700.81167161098</v>
      </c>
      <c r="S95" s="427">
        <v>408499.83135267498</v>
      </c>
      <c r="T95" s="427">
        <v>409998.10049579502</v>
      </c>
      <c r="V95" s="427">
        <f t="shared" si="11"/>
        <v>398734.66356508224</v>
      </c>
    </row>
    <row r="96" spans="1:22">
      <c r="A96" s="427" t="str">
        <f t="shared" si="8"/>
        <v>KU</v>
      </c>
      <c r="B96" s="427" t="str">
        <f t="shared" si="7"/>
        <v>TN</v>
      </c>
      <c r="C96" s="427" t="str">
        <f t="shared" si="10"/>
        <v>E</v>
      </c>
      <c r="D96" s="427" t="s">
        <v>3418</v>
      </c>
      <c r="E96" s="427" t="str">
        <f t="shared" si="9"/>
        <v>365</v>
      </c>
      <c r="F96" s="756" t="s">
        <v>1791</v>
      </c>
      <c r="G96" s="426" t="str">
        <f t="shared" si="12"/>
        <v/>
      </c>
      <c r="H96" s="427">
        <v>46.763219999999997</v>
      </c>
      <c r="I96" s="427">
        <v>46.763219999999997</v>
      </c>
      <c r="J96" s="427">
        <v>46.763219999999997</v>
      </c>
      <c r="K96" s="427">
        <v>46.763219999999997</v>
      </c>
      <c r="L96" s="427">
        <v>46.763219999999997</v>
      </c>
      <c r="M96" s="427">
        <v>46.763219999999997</v>
      </c>
      <c r="N96" s="427">
        <v>46.763219999999997</v>
      </c>
      <c r="O96" s="427">
        <v>46.763219999999997</v>
      </c>
      <c r="P96" s="427">
        <v>46.763219999999997</v>
      </c>
      <c r="Q96" s="427">
        <v>46.763219999999997</v>
      </c>
      <c r="R96" s="427">
        <v>46.763219999999997</v>
      </c>
      <c r="S96" s="427">
        <v>46.763219999999997</v>
      </c>
      <c r="T96" s="427">
        <v>46.763219999999997</v>
      </c>
      <c r="V96" s="427">
        <f t="shared" si="11"/>
        <v>46.763220000000004</v>
      </c>
    </row>
    <row r="97" spans="1:22">
      <c r="A97" s="427" t="str">
        <f t="shared" si="8"/>
        <v>KU</v>
      </c>
      <c r="B97" s="427" t="str">
        <f t="shared" si="7"/>
        <v>VA</v>
      </c>
      <c r="C97" s="427" t="str">
        <f t="shared" si="10"/>
        <v>E</v>
      </c>
      <c r="D97" s="427" t="s">
        <v>3418</v>
      </c>
      <c r="E97" s="427" t="str">
        <f t="shared" si="9"/>
        <v>365</v>
      </c>
      <c r="F97" s="756" t="s">
        <v>1792</v>
      </c>
      <c r="G97" s="426" t="str">
        <f t="shared" si="12"/>
        <v/>
      </c>
      <c r="H97" s="427">
        <v>28401.34643378</v>
      </c>
      <c r="I97" s="427">
        <v>28526.327926940001</v>
      </c>
      <c r="J97" s="427">
        <v>28658.033912440002</v>
      </c>
      <c r="K97" s="427">
        <v>29019.548017267</v>
      </c>
      <c r="L97" s="427">
        <v>29146.390091185</v>
      </c>
      <c r="M97" s="427">
        <v>29251.755860978999</v>
      </c>
      <c r="N97" s="427">
        <v>29376.657296425001</v>
      </c>
      <c r="O97" s="427">
        <v>29466.350576367</v>
      </c>
      <c r="P97" s="427">
        <v>29544.585761019</v>
      </c>
      <c r="Q97" s="427">
        <v>29675.784195808999</v>
      </c>
      <c r="R97" s="427">
        <v>29787.583976249</v>
      </c>
      <c r="S97" s="427">
        <v>29881.020820770002</v>
      </c>
      <c r="T97" s="427">
        <v>29984.262290864001</v>
      </c>
      <c r="V97" s="427">
        <f t="shared" si="11"/>
        <v>29286.126704622617</v>
      </c>
    </row>
    <row r="98" spans="1:22">
      <c r="A98" s="427" t="str">
        <f t="shared" si="8"/>
        <v>KU</v>
      </c>
      <c r="B98" s="427" t="str">
        <f t="shared" si="7"/>
        <v>KY</v>
      </c>
      <c r="C98" s="427" t="str">
        <f t="shared" si="10"/>
        <v>E</v>
      </c>
      <c r="D98" s="427" t="s">
        <v>3418</v>
      </c>
      <c r="E98" s="427" t="str">
        <f t="shared" si="9"/>
        <v>366</v>
      </c>
      <c r="F98" s="756" t="s">
        <v>2213</v>
      </c>
      <c r="G98" s="426" t="str">
        <f t="shared" si="12"/>
        <v>ECR</v>
      </c>
      <c r="H98" s="427">
        <v>171.00252</v>
      </c>
      <c r="I98" s="427">
        <v>171.00252</v>
      </c>
      <c r="J98" s="427">
        <v>171.00252</v>
      </c>
      <c r="K98" s="427">
        <v>171.00252</v>
      </c>
      <c r="L98" s="427">
        <v>171.00252</v>
      </c>
      <c r="M98" s="427">
        <v>171.00252</v>
      </c>
      <c r="N98" s="427">
        <v>171.00252</v>
      </c>
      <c r="O98" s="427">
        <v>171.00252</v>
      </c>
      <c r="P98" s="427">
        <v>171.00252</v>
      </c>
      <c r="Q98" s="427">
        <v>171.00252</v>
      </c>
      <c r="R98" s="427">
        <v>171.00252</v>
      </c>
      <c r="S98" s="427">
        <v>171.00252</v>
      </c>
      <c r="T98" s="427">
        <v>171.00252</v>
      </c>
      <c r="V98" s="427">
        <f t="shared" si="11"/>
        <v>171.00252</v>
      </c>
    </row>
    <row r="99" spans="1:22">
      <c r="A99" s="427" t="str">
        <f t="shared" si="8"/>
        <v>KU</v>
      </c>
      <c r="B99" s="427" t="str">
        <f t="shared" si="7"/>
        <v>KY</v>
      </c>
      <c r="C99" s="427" t="str">
        <f t="shared" si="10"/>
        <v>E</v>
      </c>
      <c r="D99" s="427" t="s">
        <v>3418</v>
      </c>
      <c r="E99" s="427" t="str">
        <f t="shared" si="9"/>
        <v>366</v>
      </c>
      <c r="F99" s="756" t="s">
        <v>1793</v>
      </c>
      <c r="G99" s="426" t="str">
        <f t="shared" si="12"/>
        <v/>
      </c>
      <c r="H99" s="427">
        <v>2219.1035200000001</v>
      </c>
      <c r="I99" s="427">
        <v>2219.1035200000001</v>
      </c>
      <c r="J99" s="427">
        <v>2219.1035200000001</v>
      </c>
      <c r="K99" s="427">
        <v>2219.1035200000001</v>
      </c>
      <c r="L99" s="427">
        <v>2219.1035200000001</v>
      </c>
      <c r="M99" s="427">
        <v>2219.1035200000001</v>
      </c>
      <c r="N99" s="427">
        <v>2219.1035200000001</v>
      </c>
      <c r="O99" s="427">
        <v>2219.1035200000001</v>
      </c>
      <c r="P99" s="427">
        <v>2219.1035200000001</v>
      </c>
      <c r="Q99" s="427">
        <v>2219.1035200000001</v>
      </c>
      <c r="R99" s="427">
        <v>2219.1035200000001</v>
      </c>
      <c r="S99" s="427">
        <v>2219.1035200000001</v>
      </c>
      <c r="T99" s="427">
        <v>2219.1035200000001</v>
      </c>
      <c r="V99" s="427">
        <f t="shared" si="11"/>
        <v>2219.1035200000001</v>
      </c>
    </row>
    <row r="100" spans="1:22">
      <c r="A100" s="427" t="str">
        <f t="shared" si="8"/>
        <v>KU</v>
      </c>
      <c r="B100" s="427" t="str">
        <f t="shared" si="7"/>
        <v>KY</v>
      </c>
      <c r="C100" s="427" t="str">
        <f t="shared" si="10"/>
        <v>E</v>
      </c>
      <c r="D100" s="427" t="s">
        <v>3418</v>
      </c>
      <c r="E100" s="427" t="str">
        <f t="shared" si="9"/>
        <v>367</v>
      </c>
      <c r="F100" s="756" t="s">
        <v>2214</v>
      </c>
      <c r="G100" s="426" t="str">
        <f t="shared" si="12"/>
        <v>ECR</v>
      </c>
      <c r="H100" s="427">
        <v>1326.11537</v>
      </c>
      <c r="I100" s="427">
        <v>1326.11537</v>
      </c>
      <c r="J100" s="427">
        <v>1326.11537</v>
      </c>
      <c r="K100" s="427">
        <v>1326.11537</v>
      </c>
      <c r="L100" s="427">
        <v>1326.11537</v>
      </c>
      <c r="M100" s="427">
        <v>1326.11537</v>
      </c>
      <c r="N100" s="427">
        <v>1326.11537</v>
      </c>
      <c r="O100" s="427">
        <v>1326.11537</v>
      </c>
      <c r="P100" s="427">
        <v>1326.11537</v>
      </c>
      <c r="Q100" s="427">
        <v>1326.11537</v>
      </c>
      <c r="R100" s="427">
        <v>1326.11537</v>
      </c>
      <c r="S100" s="427">
        <v>1326.11537</v>
      </c>
      <c r="T100" s="427">
        <v>1326.11537</v>
      </c>
      <c r="V100" s="427">
        <f t="shared" si="11"/>
        <v>1326.1153699999998</v>
      </c>
    </row>
    <row r="101" spans="1:22">
      <c r="A101" s="427" t="str">
        <f t="shared" si="8"/>
        <v>KU</v>
      </c>
      <c r="B101" s="427" t="str">
        <f t="shared" si="7"/>
        <v>KY</v>
      </c>
      <c r="C101" s="427" t="str">
        <f t="shared" si="10"/>
        <v>E</v>
      </c>
      <c r="D101" s="427" t="s">
        <v>3418</v>
      </c>
      <c r="E101" s="427" t="str">
        <f t="shared" si="9"/>
        <v>367</v>
      </c>
      <c r="F101" s="756" t="s">
        <v>1794</v>
      </c>
      <c r="G101" s="426" t="str">
        <f t="shared" si="12"/>
        <v/>
      </c>
      <c r="H101" s="427">
        <v>206563.676007806</v>
      </c>
      <c r="I101" s="427">
        <v>207919.27140182501</v>
      </c>
      <c r="J101" s="427">
        <v>209097.432944992</v>
      </c>
      <c r="K101" s="427">
        <v>210506.21101085501</v>
      </c>
      <c r="L101" s="427">
        <v>211851.531419921</v>
      </c>
      <c r="M101" s="427">
        <v>213062.718578545</v>
      </c>
      <c r="N101" s="427">
        <v>215638.54876674601</v>
      </c>
      <c r="O101" s="427">
        <v>216748.658269968</v>
      </c>
      <c r="P101" s="427">
        <v>218765.019676236</v>
      </c>
      <c r="Q101" s="427">
        <v>220068.403000955</v>
      </c>
      <c r="R101" s="427">
        <v>221235.49459958199</v>
      </c>
      <c r="S101" s="427">
        <v>222482.75377253399</v>
      </c>
      <c r="T101" s="427">
        <v>223696.82371931901</v>
      </c>
      <c r="V101" s="427">
        <f t="shared" si="11"/>
        <v>215202.81101302183</v>
      </c>
    </row>
    <row r="102" spans="1:22">
      <c r="A102" s="427" t="str">
        <f t="shared" si="8"/>
        <v>KU</v>
      </c>
      <c r="B102" s="427" t="str">
        <f t="shared" si="7"/>
        <v>VA</v>
      </c>
      <c r="C102" s="427" t="str">
        <f t="shared" si="10"/>
        <v>E</v>
      </c>
      <c r="D102" s="427" t="s">
        <v>3418</v>
      </c>
      <c r="E102" s="427" t="str">
        <f t="shared" si="9"/>
        <v>367</v>
      </c>
      <c r="F102" s="756" t="s">
        <v>1795</v>
      </c>
      <c r="G102" s="426" t="str">
        <f t="shared" si="12"/>
        <v/>
      </c>
      <c r="H102" s="427">
        <v>4856.8629063525004</v>
      </c>
      <c r="I102" s="427">
        <v>4907.1487316755001</v>
      </c>
      <c r="J102" s="427">
        <v>4936.2324867825</v>
      </c>
      <c r="K102" s="427">
        <v>4988.3304184045001</v>
      </c>
      <c r="L102" s="427">
        <v>5046.9304726375003</v>
      </c>
      <c r="M102" s="427">
        <v>5084.3347368265004</v>
      </c>
      <c r="N102" s="427">
        <v>5143.3121195584999</v>
      </c>
      <c r="O102" s="427">
        <v>5171.6886069980001</v>
      </c>
      <c r="P102" s="427">
        <v>5189.6486616439997</v>
      </c>
      <c r="Q102" s="427">
        <v>5246.1343837889999</v>
      </c>
      <c r="R102" s="427">
        <v>5289.2844619360003</v>
      </c>
      <c r="S102" s="427">
        <v>5338.516026022</v>
      </c>
      <c r="T102" s="427">
        <v>5374.2930358780004</v>
      </c>
      <c r="V102" s="427">
        <f t="shared" si="11"/>
        <v>5120.9782345003468</v>
      </c>
    </row>
    <row r="103" spans="1:22">
      <c r="A103" s="427" t="str">
        <f t="shared" si="8"/>
        <v>KU</v>
      </c>
      <c r="B103" s="427" t="str">
        <f t="shared" si="7"/>
        <v>KY</v>
      </c>
      <c r="C103" s="427" t="str">
        <f t="shared" si="10"/>
        <v>E</v>
      </c>
      <c r="D103" s="427" t="s">
        <v>3418</v>
      </c>
      <c r="E103" s="427" t="str">
        <f t="shared" si="9"/>
        <v>368</v>
      </c>
      <c r="F103" s="756" t="s">
        <v>1796</v>
      </c>
      <c r="G103" s="426" t="str">
        <f t="shared" si="12"/>
        <v/>
      </c>
      <c r="H103" s="427">
        <v>312190.74645506102</v>
      </c>
      <c r="I103" s="427">
        <v>312743.09082883201</v>
      </c>
      <c r="J103" s="427">
        <v>313483.83612067101</v>
      </c>
      <c r="K103" s="427">
        <v>313466.20879825501</v>
      </c>
      <c r="L103" s="427">
        <v>313654.34570108098</v>
      </c>
      <c r="M103" s="427">
        <v>314541.87368593703</v>
      </c>
      <c r="N103" s="427">
        <v>315459.576930298</v>
      </c>
      <c r="O103" s="427">
        <v>316247.61949905899</v>
      </c>
      <c r="P103" s="427">
        <v>316762.59479437902</v>
      </c>
      <c r="Q103" s="427">
        <v>317151.559343678</v>
      </c>
      <c r="R103" s="427">
        <v>317732.01461995998</v>
      </c>
      <c r="S103" s="427">
        <v>318389.16521523101</v>
      </c>
      <c r="T103" s="427">
        <v>318860.22447817901</v>
      </c>
      <c r="V103" s="427">
        <f t="shared" si="11"/>
        <v>315437.14280543238</v>
      </c>
    </row>
    <row r="104" spans="1:22">
      <c r="A104" s="427" t="str">
        <f t="shared" si="8"/>
        <v>KU</v>
      </c>
      <c r="B104" s="427" t="str">
        <f t="shared" si="7"/>
        <v>TN</v>
      </c>
      <c r="C104" s="427" t="str">
        <f t="shared" si="10"/>
        <v>E</v>
      </c>
      <c r="D104" s="427" t="s">
        <v>3418</v>
      </c>
      <c r="E104" s="427" t="str">
        <f t="shared" si="9"/>
        <v>368</v>
      </c>
      <c r="F104" s="756" t="s">
        <v>1797</v>
      </c>
      <c r="G104" s="426" t="str">
        <f t="shared" si="12"/>
        <v/>
      </c>
      <c r="H104" s="427">
        <v>3.1182799999999999</v>
      </c>
      <c r="I104" s="427">
        <v>3.1182799999999999</v>
      </c>
      <c r="J104" s="427">
        <v>3.1182799999999999</v>
      </c>
      <c r="K104" s="427">
        <v>3.1182799999999999</v>
      </c>
      <c r="L104" s="427">
        <v>3.1182799999999999</v>
      </c>
      <c r="M104" s="427">
        <v>3.1182799999999999</v>
      </c>
      <c r="N104" s="427">
        <v>3.1182799999999999</v>
      </c>
      <c r="O104" s="427">
        <v>3.1182799999999999</v>
      </c>
      <c r="P104" s="427">
        <v>3.1182799999999999</v>
      </c>
      <c r="Q104" s="427">
        <v>3.1182799999999999</v>
      </c>
      <c r="R104" s="427">
        <v>3.1182799999999999</v>
      </c>
      <c r="S104" s="427">
        <v>3.1182799999999999</v>
      </c>
      <c r="T104" s="427">
        <v>3.1182799999999999</v>
      </c>
      <c r="V104" s="427">
        <f t="shared" si="11"/>
        <v>3.1182799999999991</v>
      </c>
    </row>
    <row r="105" spans="1:22">
      <c r="A105" s="427" t="str">
        <f t="shared" si="8"/>
        <v>KU</v>
      </c>
      <c r="B105" s="427" t="str">
        <f t="shared" si="7"/>
        <v>VA</v>
      </c>
      <c r="C105" s="427" t="str">
        <f t="shared" si="10"/>
        <v>E</v>
      </c>
      <c r="D105" s="427" t="s">
        <v>3418</v>
      </c>
      <c r="E105" s="427" t="str">
        <f t="shared" si="9"/>
        <v>368</v>
      </c>
      <c r="F105" s="756" t="s">
        <v>1798</v>
      </c>
      <c r="G105" s="426" t="str">
        <f t="shared" si="12"/>
        <v/>
      </c>
      <c r="H105" s="427">
        <v>11144.005800540001</v>
      </c>
      <c r="I105" s="427">
        <v>11150.862598872</v>
      </c>
      <c r="J105" s="427">
        <v>11154.29100284</v>
      </c>
      <c r="K105" s="427">
        <v>11160.426955290999</v>
      </c>
      <c r="L105" s="427">
        <v>11164.808945778999</v>
      </c>
      <c r="M105" s="427">
        <v>11169.474753668999</v>
      </c>
      <c r="N105" s="427">
        <v>11177.285148125</v>
      </c>
      <c r="O105" s="427">
        <v>11180.713552093001</v>
      </c>
      <c r="P105" s="427">
        <v>11182.904552139</v>
      </c>
      <c r="Q105" s="427">
        <v>11188.486688073001</v>
      </c>
      <c r="R105" s="427">
        <v>11194.068824006999</v>
      </c>
      <c r="S105" s="427">
        <v>11199.650959941</v>
      </c>
      <c r="T105" s="427">
        <v>11201.832923845999</v>
      </c>
      <c r="V105" s="427">
        <f t="shared" si="11"/>
        <v>11174.524054247308</v>
      </c>
    </row>
    <row r="106" spans="1:22">
      <c r="A106" s="427" t="str">
        <f t="shared" si="8"/>
        <v>KU</v>
      </c>
      <c r="B106" s="427" t="str">
        <f t="shared" si="7"/>
        <v>KY</v>
      </c>
      <c r="C106" s="427" t="str">
        <f t="shared" si="10"/>
        <v>E</v>
      </c>
      <c r="D106" s="427" t="s">
        <v>3418</v>
      </c>
      <c r="E106" s="427" t="str">
        <f t="shared" si="9"/>
        <v>369</v>
      </c>
      <c r="F106" s="756" t="s">
        <v>1799</v>
      </c>
      <c r="G106" s="426" t="str">
        <f t="shared" si="12"/>
        <v/>
      </c>
      <c r="H106" s="427">
        <v>108650.5497</v>
      </c>
      <c r="I106" s="427">
        <v>108650.5497</v>
      </c>
      <c r="J106" s="427">
        <v>108650.5497</v>
      </c>
      <c r="K106" s="427">
        <v>108650.5497</v>
      </c>
      <c r="L106" s="427">
        <v>108650.5497</v>
      </c>
      <c r="M106" s="427">
        <v>108650.5497</v>
      </c>
      <c r="N106" s="427">
        <v>108650.5497</v>
      </c>
      <c r="O106" s="427">
        <v>108650.5497</v>
      </c>
      <c r="P106" s="427">
        <v>108704.32481999999</v>
      </c>
      <c r="Q106" s="427">
        <v>108704.32481999999</v>
      </c>
      <c r="R106" s="427">
        <v>108704.32481999999</v>
      </c>
      <c r="S106" s="427">
        <v>108704.32481999999</v>
      </c>
      <c r="T106" s="427">
        <v>108704.32481999999</v>
      </c>
      <c r="V106" s="427">
        <f t="shared" si="11"/>
        <v>108671.23243846153</v>
      </c>
    </row>
    <row r="107" spans="1:22">
      <c r="A107" s="427" t="str">
        <f t="shared" si="8"/>
        <v>KU</v>
      </c>
      <c r="B107" s="427" t="str">
        <f t="shared" si="7"/>
        <v>TN</v>
      </c>
      <c r="C107" s="427" t="str">
        <f t="shared" si="10"/>
        <v>E</v>
      </c>
      <c r="D107" s="427" t="s">
        <v>3418</v>
      </c>
      <c r="E107" s="427" t="str">
        <f t="shared" si="9"/>
        <v>369</v>
      </c>
      <c r="F107" s="756" t="s">
        <v>1800</v>
      </c>
      <c r="G107" s="426" t="str">
        <f t="shared" si="12"/>
        <v/>
      </c>
      <c r="H107" s="427">
        <v>0.25462000000000001</v>
      </c>
      <c r="I107" s="427">
        <v>0.25462000000000001</v>
      </c>
      <c r="J107" s="427">
        <v>0.25462000000000001</v>
      </c>
      <c r="K107" s="427">
        <v>0.25462000000000001</v>
      </c>
      <c r="L107" s="427">
        <v>0.25462000000000001</v>
      </c>
      <c r="M107" s="427">
        <v>0.25462000000000001</v>
      </c>
      <c r="N107" s="427">
        <v>0.25462000000000001</v>
      </c>
      <c r="O107" s="427">
        <v>0.25462000000000001</v>
      </c>
      <c r="P107" s="427">
        <v>0.25462000000000001</v>
      </c>
      <c r="Q107" s="427">
        <v>0.25462000000000001</v>
      </c>
      <c r="R107" s="427">
        <v>0.25462000000000001</v>
      </c>
      <c r="S107" s="427">
        <v>0.25462000000000001</v>
      </c>
      <c r="T107" s="427">
        <v>0.25462000000000001</v>
      </c>
      <c r="V107" s="427">
        <f t="shared" si="11"/>
        <v>0.25462000000000001</v>
      </c>
    </row>
    <row r="108" spans="1:22">
      <c r="A108" s="427" t="str">
        <f t="shared" si="8"/>
        <v>KU</v>
      </c>
      <c r="B108" s="427" t="str">
        <f t="shared" si="7"/>
        <v>VA</v>
      </c>
      <c r="C108" s="427" t="str">
        <f t="shared" si="10"/>
        <v>E</v>
      </c>
      <c r="D108" s="427" t="s">
        <v>3418</v>
      </c>
      <c r="E108" s="427" t="str">
        <f t="shared" si="9"/>
        <v>369</v>
      </c>
      <c r="F108" s="756" t="s">
        <v>1801</v>
      </c>
      <c r="G108" s="426" t="str">
        <f t="shared" si="12"/>
        <v/>
      </c>
      <c r="H108" s="427">
        <v>5852.9475300000004</v>
      </c>
      <c r="I108" s="427">
        <v>5852.9475300000004</v>
      </c>
      <c r="J108" s="427">
        <v>5852.9475300000004</v>
      </c>
      <c r="K108" s="427">
        <v>5852.9475300000004</v>
      </c>
      <c r="L108" s="427">
        <v>5852.9475300000004</v>
      </c>
      <c r="M108" s="427">
        <v>5852.9475300000004</v>
      </c>
      <c r="N108" s="427">
        <v>5852.9475300000004</v>
      </c>
      <c r="O108" s="427">
        <v>5852.9475300000004</v>
      </c>
      <c r="P108" s="427">
        <v>5852.9475300000004</v>
      </c>
      <c r="Q108" s="427">
        <v>5852.9475300000004</v>
      </c>
      <c r="R108" s="427">
        <v>5852.9475300000004</v>
      </c>
      <c r="S108" s="427">
        <v>5852.9475300000004</v>
      </c>
      <c r="T108" s="427">
        <v>5852.9475300000004</v>
      </c>
      <c r="V108" s="427">
        <f t="shared" si="11"/>
        <v>5852.9475299999995</v>
      </c>
    </row>
    <row r="109" spans="1:22">
      <c r="A109" s="427" t="str">
        <f t="shared" si="8"/>
        <v>KU</v>
      </c>
      <c r="B109" s="427" t="str">
        <f t="shared" si="7"/>
        <v>KY</v>
      </c>
      <c r="C109" s="427" t="str">
        <f t="shared" si="10"/>
        <v>E</v>
      </c>
      <c r="D109" s="427" t="s">
        <v>3418</v>
      </c>
      <c r="E109" s="427" t="str">
        <f t="shared" si="9"/>
        <v>370</v>
      </c>
      <c r="F109" s="756" t="s">
        <v>1802</v>
      </c>
      <c r="G109" s="426" t="str">
        <f t="shared" si="12"/>
        <v/>
      </c>
      <c r="H109" s="427">
        <v>76398.372440100007</v>
      </c>
      <c r="I109" s="427">
        <v>76540.578334699996</v>
      </c>
      <c r="J109" s="427">
        <v>76678.122665799994</v>
      </c>
      <c r="K109" s="427">
        <v>76811.726202399994</v>
      </c>
      <c r="L109" s="427">
        <v>76952.758637399995</v>
      </c>
      <c r="M109" s="427">
        <v>77048.010248179999</v>
      </c>
      <c r="N109" s="427">
        <v>77181.192120680003</v>
      </c>
      <c r="O109" s="427">
        <v>77325.169953479999</v>
      </c>
      <c r="P109" s="427">
        <v>78155.546554469998</v>
      </c>
      <c r="Q109" s="427">
        <v>78216.552497969999</v>
      </c>
      <c r="R109" s="427">
        <v>78441.985137469994</v>
      </c>
      <c r="S109" s="427">
        <v>78540.508272909996</v>
      </c>
      <c r="T109" s="427">
        <v>78683.245830610002</v>
      </c>
      <c r="V109" s="427">
        <f t="shared" si="11"/>
        <v>77459.520684320771</v>
      </c>
    </row>
    <row r="110" spans="1:22">
      <c r="A110" s="427" t="str">
        <f t="shared" si="8"/>
        <v>KU</v>
      </c>
      <c r="B110" s="427" t="str">
        <f t="shared" si="7"/>
        <v>KY</v>
      </c>
      <c r="C110" s="427" t="str">
        <f t="shared" si="10"/>
        <v>E</v>
      </c>
      <c r="D110" s="427" t="s">
        <v>3418</v>
      </c>
      <c r="E110" s="427" t="str">
        <f t="shared" si="9"/>
        <v>370</v>
      </c>
      <c r="F110" s="756" t="s">
        <v>2505</v>
      </c>
      <c r="G110" s="426" t="str">
        <f t="shared" si="12"/>
        <v>DSM</v>
      </c>
      <c r="H110" s="427">
        <v>1331.3335999999999</v>
      </c>
      <c r="I110" s="427">
        <v>1331.3335999999999</v>
      </c>
      <c r="J110" s="427">
        <v>1331.3335999999999</v>
      </c>
      <c r="K110" s="427">
        <v>1331.3335999999999</v>
      </c>
      <c r="L110" s="427">
        <v>1331.3335999999999</v>
      </c>
      <c r="M110" s="427">
        <v>1331.3335999999999</v>
      </c>
      <c r="N110" s="427">
        <v>1331.3335999999999</v>
      </c>
      <c r="O110" s="427">
        <v>1331.3335999999999</v>
      </c>
      <c r="P110" s="427">
        <v>1331.3335999999999</v>
      </c>
      <c r="Q110" s="427">
        <v>1331.3335999999999</v>
      </c>
      <c r="R110" s="427">
        <v>1331.3335999999999</v>
      </c>
      <c r="S110" s="427">
        <v>1331.3335999999999</v>
      </c>
      <c r="T110" s="427">
        <v>1331.3335999999999</v>
      </c>
      <c r="V110" s="427">
        <f t="shared" si="11"/>
        <v>1331.3335999999997</v>
      </c>
    </row>
    <row r="111" spans="1:22">
      <c r="A111" s="427" t="str">
        <f t="shared" si="8"/>
        <v>KU</v>
      </c>
      <c r="B111" s="427" t="str">
        <f t="shared" si="7"/>
        <v>TN</v>
      </c>
      <c r="C111" s="427" t="str">
        <f t="shared" si="10"/>
        <v>E</v>
      </c>
      <c r="D111" s="427" t="s">
        <v>3418</v>
      </c>
      <c r="E111" s="427" t="str">
        <f t="shared" si="9"/>
        <v>370</v>
      </c>
      <c r="F111" s="756" t="s">
        <v>1803</v>
      </c>
      <c r="G111" s="426" t="str">
        <f t="shared" si="12"/>
        <v/>
      </c>
      <c r="H111" s="427">
        <v>4.1992099999999999</v>
      </c>
      <c r="I111" s="427">
        <v>4.1992099999999999</v>
      </c>
      <c r="J111" s="427">
        <v>4.1992099999999999</v>
      </c>
      <c r="K111" s="427">
        <v>4.1992099999999999</v>
      </c>
      <c r="L111" s="427">
        <v>4.1992099999999999</v>
      </c>
      <c r="M111" s="427">
        <v>4.1992099999999999</v>
      </c>
      <c r="N111" s="427">
        <v>4.1992099999999999</v>
      </c>
      <c r="O111" s="427">
        <v>4.1992099999999999</v>
      </c>
      <c r="P111" s="427">
        <v>4.1992099999999999</v>
      </c>
      <c r="Q111" s="427">
        <v>4.1992099999999999</v>
      </c>
      <c r="R111" s="427">
        <v>4.1992099999999999</v>
      </c>
      <c r="S111" s="427">
        <v>4.1992099999999999</v>
      </c>
      <c r="T111" s="427">
        <v>4.1992099999999999</v>
      </c>
      <c r="V111" s="427">
        <f t="shared" si="11"/>
        <v>4.1992099999999999</v>
      </c>
    </row>
    <row r="112" spans="1:22">
      <c r="A112" s="427" t="str">
        <f t="shared" si="8"/>
        <v>KU</v>
      </c>
      <c r="B112" s="427" t="str">
        <f t="shared" si="7"/>
        <v>VA</v>
      </c>
      <c r="C112" s="427" t="str">
        <f t="shared" si="10"/>
        <v>E</v>
      </c>
      <c r="D112" s="427" t="s">
        <v>3418</v>
      </c>
      <c r="E112" s="427" t="str">
        <f t="shared" si="9"/>
        <v>370</v>
      </c>
      <c r="F112" s="756" t="s">
        <v>1804</v>
      </c>
      <c r="G112" s="426" t="str">
        <f t="shared" si="12"/>
        <v/>
      </c>
      <c r="H112" s="427">
        <v>3783.5452</v>
      </c>
      <c r="I112" s="427">
        <v>3783.5452</v>
      </c>
      <c r="J112" s="427">
        <v>3783.5452</v>
      </c>
      <c r="K112" s="427">
        <v>3783.5452</v>
      </c>
      <c r="L112" s="427">
        <v>3783.5452</v>
      </c>
      <c r="M112" s="427">
        <v>3783.5452</v>
      </c>
      <c r="N112" s="427">
        <v>3783.5452</v>
      </c>
      <c r="O112" s="427">
        <v>3783.5452</v>
      </c>
      <c r="P112" s="427">
        <v>3783.5452</v>
      </c>
      <c r="Q112" s="427">
        <v>3783.5452</v>
      </c>
      <c r="R112" s="427">
        <v>3783.5452</v>
      </c>
      <c r="S112" s="427">
        <v>3783.5452</v>
      </c>
      <c r="T112" s="427">
        <v>3783.5452</v>
      </c>
      <c r="V112" s="427">
        <f t="shared" si="11"/>
        <v>3783.5452</v>
      </c>
    </row>
    <row r="113" spans="1:22">
      <c r="A113" s="427" t="str">
        <f t="shared" si="8"/>
        <v>KU</v>
      </c>
      <c r="B113" s="427" t="str">
        <f t="shared" si="7"/>
        <v>KY</v>
      </c>
      <c r="C113" s="427" t="str">
        <f t="shared" si="10"/>
        <v>E</v>
      </c>
      <c r="D113" s="427" t="s">
        <v>3418</v>
      </c>
      <c r="E113" s="427" t="str">
        <f t="shared" si="9"/>
        <v>371</v>
      </c>
      <c r="F113" s="756" t="s">
        <v>1805</v>
      </c>
      <c r="G113" s="426" t="str">
        <f t="shared" si="12"/>
        <v/>
      </c>
      <c r="H113" s="427">
        <v>8.3373600000000003</v>
      </c>
      <c r="I113" s="427">
        <v>8.3373600000000003</v>
      </c>
      <c r="J113" s="427">
        <v>8.3373600000000003</v>
      </c>
      <c r="K113" s="427">
        <v>8.3373600000000003</v>
      </c>
      <c r="L113" s="427">
        <v>8.3373600000000003</v>
      </c>
      <c r="M113" s="427">
        <v>8.3373600000000003</v>
      </c>
      <c r="N113" s="427">
        <v>8.3373600000000003</v>
      </c>
      <c r="O113" s="427">
        <v>8.3373600000000003</v>
      </c>
      <c r="P113" s="427">
        <v>8.3373600000000003</v>
      </c>
      <c r="Q113" s="427">
        <v>8.3373600000000003</v>
      </c>
      <c r="R113" s="427">
        <v>8.3373600000000003</v>
      </c>
      <c r="S113" s="427">
        <v>8.3373600000000003</v>
      </c>
      <c r="T113" s="427">
        <v>8.3373600000000003</v>
      </c>
      <c r="V113" s="427">
        <f t="shared" si="11"/>
        <v>8.3373600000000021</v>
      </c>
    </row>
    <row r="114" spans="1:22">
      <c r="A114" s="427" t="str">
        <f t="shared" si="8"/>
        <v>KU</v>
      </c>
      <c r="B114" s="427" t="str">
        <f t="shared" si="7"/>
        <v>KY</v>
      </c>
      <c r="C114" s="427" t="str">
        <f t="shared" si="10"/>
        <v>E</v>
      </c>
      <c r="D114" s="427" t="s">
        <v>3418</v>
      </c>
      <c r="E114" s="427" t="str">
        <f t="shared" si="9"/>
        <v>371</v>
      </c>
      <c r="F114" s="756" t="s">
        <v>2669</v>
      </c>
      <c r="G114" s="426" t="str">
        <f t="shared" si="12"/>
        <v/>
      </c>
      <c r="H114" s="427">
        <v>137.3226081</v>
      </c>
      <c r="I114" s="427">
        <v>137.3226081</v>
      </c>
      <c r="J114" s="427">
        <v>137.3226081</v>
      </c>
      <c r="K114" s="427">
        <v>137.3226081</v>
      </c>
      <c r="L114" s="427">
        <v>137.3226081</v>
      </c>
      <c r="M114" s="427">
        <v>137.3226081</v>
      </c>
      <c r="N114" s="427">
        <v>137.3226081</v>
      </c>
      <c r="O114" s="427">
        <v>137.3226081</v>
      </c>
      <c r="P114" s="427">
        <v>137.3226081</v>
      </c>
      <c r="Q114" s="427">
        <v>137.3226081</v>
      </c>
      <c r="R114" s="427">
        <v>137.3226081</v>
      </c>
      <c r="S114" s="427">
        <v>137.3226081</v>
      </c>
      <c r="T114" s="427">
        <v>137.3226081</v>
      </c>
      <c r="V114" s="427">
        <f t="shared" si="11"/>
        <v>137.3226081</v>
      </c>
    </row>
    <row r="115" spans="1:22">
      <c r="A115" s="427" t="str">
        <f t="shared" si="8"/>
        <v>KU</v>
      </c>
      <c r="B115" s="427" t="str">
        <f t="shared" si="7"/>
        <v>KY</v>
      </c>
      <c r="C115" s="427" t="str">
        <f t="shared" si="10"/>
        <v>E</v>
      </c>
      <c r="D115" s="427" t="s">
        <v>3418</v>
      </c>
      <c r="E115" s="427" t="str">
        <f t="shared" si="9"/>
        <v>373</v>
      </c>
      <c r="F115" s="756" t="s">
        <v>1806</v>
      </c>
      <c r="G115" s="426" t="str">
        <f t="shared" si="12"/>
        <v/>
      </c>
      <c r="H115" s="427">
        <v>125330.29101241499</v>
      </c>
      <c r="I115" s="427">
        <v>125537.056593913</v>
      </c>
      <c r="J115" s="427">
        <v>125995.011914508</v>
      </c>
      <c r="K115" s="427">
        <v>125753.819310226</v>
      </c>
      <c r="L115" s="427">
        <v>125673.704569054</v>
      </c>
      <c r="M115" s="427">
        <v>126220.096308184</v>
      </c>
      <c r="N115" s="427">
        <v>126631.75479445999</v>
      </c>
      <c r="O115" s="427">
        <v>127131.11803085799</v>
      </c>
      <c r="P115" s="427">
        <v>127279.024762806</v>
      </c>
      <c r="Q115" s="427">
        <v>127898.98800955201</v>
      </c>
      <c r="R115" s="427">
        <v>128186.463951602</v>
      </c>
      <c r="S115" s="427">
        <v>128596.445465692</v>
      </c>
      <c r="T115" s="427">
        <v>128905.518038122</v>
      </c>
      <c r="V115" s="427">
        <f t="shared" si="11"/>
        <v>126856.86867395324</v>
      </c>
    </row>
    <row r="116" spans="1:22">
      <c r="A116" s="427" t="str">
        <f t="shared" si="8"/>
        <v>KU</v>
      </c>
      <c r="B116" s="427" t="str">
        <f t="shared" si="7"/>
        <v>VA</v>
      </c>
      <c r="C116" s="427" t="str">
        <f t="shared" si="10"/>
        <v>E</v>
      </c>
      <c r="D116" s="427" t="s">
        <v>3418</v>
      </c>
      <c r="E116" s="427" t="str">
        <f t="shared" si="9"/>
        <v>373</v>
      </c>
      <c r="F116" s="756" t="s">
        <v>1807</v>
      </c>
      <c r="G116" s="426" t="str">
        <f t="shared" si="12"/>
        <v/>
      </c>
      <c r="H116" s="427">
        <v>3888.9616964757902</v>
      </c>
      <c r="I116" s="427">
        <v>3907.34110102779</v>
      </c>
      <c r="J116" s="427">
        <v>3923.5295055357901</v>
      </c>
      <c r="K116" s="427">
        <v>3943.1463140097999</v>
      </c>
      <c r="L116" s="427">
        <v>3963.7167186117999</v>
      </c>
      <c r="M116" s="427">
        <v>3982.0961327718001</v>
      </c>
      <c r="N116" s="427">
        <v>3997.0471333577998</v>
      </c>
      <c r="O116" s="427">
        <v>4007.6161434557998</v>
      </c>
      <c r="P116" s="427">
        <v>4016.9477592357998</v>
      </c>
      <c r="Q116" s="427">
        <v>4037.3487530068001</v>
      </c>
      <c r="R116" s="427">
        <v>4056.5315578527998</v>
      </c>
      <c r="S116" s="427">
        <v>4076.9325612187999</v>
      </c>
      <c r="T116" s="427">
        <v>4092.7151940357999</v>
      </c>
      <c r="V116" s="427">
        <f t="shared" si="11"/>
        <v>3991.840813122798</v>
      </c>
    </row>
    <row r="117" spans="1:22">
      <c r="A117" s="427" t="str">
        <f t="shared" si="8"/>
        <v>KU</v>
      </c>
      <c r="B117" s="427" t="str">
        <f t="shared" si="7"/>
        <v>KY</v>
      </c>
      <c r="C117" s="427" t="str">
        <f t="shared" si="10"/>
        <v>E</v>
      </c>
      <c r="D117" s="427" t="s">
        <v>3418</v>
      </c>
      <c r="E117" s="427" t="str">
        <f t="shared" si="9"/>
        <v>374</v>
      </c>
      <c r="F117" s="756" t="s">
        <v>1808</v>
      </c>
      <c r="G117" s="426" t="str">
        <f t="shared" si="12"/>
        <v>ARO</v>
      </c>
      <c r="H117" s="427">
        <v>658.28719000000001</v>
      </c>
      <c r="I117" s="427">
        <v>658.28719000000001</v>
      </c>
      <c r="J117" s="427">
        <v>658.28719000000001</v>
      </c>
      <c r="K117" s="427">
        <v>658.28719000000001</v>
      </c>
      <c r="L117" s="427">
        <v>658.28719000000001</v>
      </c>
      <c r="M117" s="427">
        <v>658.28719000000001</v>
      </c>
      <c r="N117" s="427">
        <v>658.28719000000001</v>
      </c>
      <c r="O117" s="427">
        <v>658.28719000000001</v>
      </c>
      <c r="P117" s="427">
        <v>658.28719000000001</v>
      </c>
      <c r="Q117" s="427">
        <v>658.28719000000001</v>
      </c>
      <c r="R117" s="427">
        <v>658.28719000000001</v>
      </c>
      <c r="S117" s="427">
        <v>658.28719000000001</v>
      </c>
      <c r="T117" s="427">
        <v>658.28719000000001</v>
      </c>
      <c r="V117" s="427">
        <f t="shared" si="11"/>
        <v>658.2871899999999</v>
      </c>
    </row>
    <row r="118" spans="1:22">
      <c r="A118" s="427" t="str">
        <f t="shared" si="8"/>
        <v>KU</v>
      </c>
      <c r="B118" s="427" t="str">
        <f t="shared" si="7"/>
        <v>KY</v>
      </c>
      <c r="C118" s="427" t="str">
        <f t="shared" si="10"/>
        <v>F</v>
      </c>
      <c r="D118" s="427" t="s">
        <v>3418</v>
      </c>
      <c r="E118" s="427" t="str">
        <f t="shared" si="9"/>
        <v>389</v>
      </c>
      <c r="F118" s="756" t="s">
        <v>2506</v>
      </c>
      <c r="G118" s="426" t="str">
        <f t="shared" si="12"/>
        <v>FUTURE USE</v>
      </c>
      <c r="H118" s="427">
        <v>131.95631</v>
      </c>
      <c r="I118" s="427">
        <v>131.95631</v>
      </c>
      <c r="J118" s="427">
        <v>131.95631</v>
      </c>
      <c r="K118" s="427">
        <v>131.95631</v>
      </c>
      <c r="L118" s="427">
        <v>131.95631</v>
      </c>
      <c r="M118" s="427">
        <v>131.95631</v>
      </c>
      <c r="N118" s="427">
        <v>131.95631</v>
      </c>
      <c r="O118" s="427">
        <v>131.95631</v>
      </c>
      <c r="P118" s="427">
        <v>131.95631</v>
      </c>
      <c r="Q118" s="427">
        <v>131.95631</v>
      </c>
      <c r="R118" s="427">
        <v>131.95631</v>
      </c>
      <c r="S118" s="427">
        <v>131.95631</v>
      </c>
      <c r="T118" s="427">
        <v>131.95631</v>
      </c>
      <c r="V118" s="427">
        <f t="shared" si="11"/>
        <v>131.95631</v>
      </c>
    </row>
    <row r="119" spans="1:22">
      <c r="A119" s="427" t="str">
        <f t="shared" si="8"/>
        <v>KU</v>
      </c>
      <c r="B119" s="427" t="str">
        <f t="shared" si="7"/>
        <v>KY</v>
      </c>
      <c r="C119" s="427" t="str">
        <f t="shared" si="10"/>
        <v>E</v>
      </c>
      <c r="D119" s="427" t="s">
        <v>3418</v>
      </c>
      <c r="E119" s="427" t="str">
        <f t="shared" si="9"/>
        <v>389</v>
      </c>
      <c r="F119" s="756" t="s">
        <v>1809</v>
      </c>
      <c r="G119" s="426" t="str">
        <f t="shared" si="12"/>
        <v/>
      </c>
      <c r="H119" s="427">
        <v>3127.4550698499902</v>
      </c>
      <c r="I119" s="427">
        <v>3127.4550698499902</v>
      </c>
      <c r="J119" s="427">
        <v>3127.4550698499902</v>
      </c>
      <c r="K119" s="427">
        <v>3127.4550698499902</v>
      </c>
      <c r="L119" s="427">
        <v>3127.4550698499902</v>
      </c>
      <c r="M119" s="427">
        <v>3127.4550698499902</v>
      </c>
      <c r="N119" s="427">
        <v>3127.4550698499902</v>
      </c>
      <c r="O119" s="427">
        <v>3745.0632161499998</v>
      </c>
      <c r="P119" s="427">
        <v>3764.2691347</v>
      </c>
      <c r="Q119" s="427">
        <v>3764.2691347</v>
      </c>
      <c r="R119" s="427">
        <v>3764.2691347</v>
      </c>
      <c r="S119" s="427">
        <v>3764.2691347</v>
      </c>
      <c r="T119" s="427">
        <v>3764.2691347</v>
      </c>
      <c r="V119" s="427">
        <f t="shared" si="11"/>
        <v>3419.8918752769177</v>
      </c>
    </row>
    <row r="120" spans="1:22">
      <c r="A120" s="427" t="str">
        <f t="shared" si="8"/>
        <v>KU</v>
      </c>
      <c r="B120" s="427" t="str">
        <f t="shared" si="7"/>
        <v>VA</v>
      </c>
      <c r="C120" s="427" t="str">
        <f t="shared" si="10"/>
        <v>E</v>
      </c>
      <c r="D120" s="427" t="s">
        <v>3418</v>
      </c>
      <c r="E120" s="427" t="str">
        <f t="shared" si="9"/>
        <v>389</v>
      </c>
      <c r="F120" s="756" t="s">
        <v>1810</v>
      </c>
      <c r="G120" s="426" t="str">
        <f t="shared" si="12"/>
        <v/>
      </c>
      <c r="H120" s="427">
        <v>987.24770290000004</v>
      </c>
      <c r="I120" s="427">
        <v>987.24770290000004</v>
      </c>
      <c r="J120" s="427">
        <v>987.24770290000004</v>
      </c>
      <c r="K120" s="427">
        <v>987.24770290000004</v>
      </c>
      <c r="L120" s="427">
        <v>987.24770290000004</v>
      </c>
      <c r="M120" s="427">
        <v>987.24770290000004</v>
      </c>
      <c r="N120" s="427">
        <v>987.24770290000004</v>
      </c>
      <c r="O120" s="427">
        <v>987.24770290000004</v>
      </c>
      <c r="P120" s="427">
        <v>987.24770290000004</v>
      </c>
      <c r="Q120" s="427">
        <v>987.24770290000004</v>
      </c>
      <c r="R120" s="427">
        <v>987.24770290000004</v>
      </c>
      <c r="S120" s="427">
        <v>987.24770290000004</v>
      </c>
      <c r="T120" s="427">
        <v>987.24770290000004</v>
      </c>
      <c r="V120" s="427">
        <f t="shared" si="11"/>
        <v>987.24770290000004</v>
      </c>
    </row>
    <row r="121" spans="1:22">
      <c r="A121" s="427" t="str">
        <f t="shared" si="8"/>
        <v>KU</v>
      </c>
      <c r="B121" s="427" t="str">
        <f t="shared" si="7"/>
        <v>KY</v>
      </c>
      <c r="C121" s="427" t="str">
        <f t="shared" si="10"/>
        <v>E</v>
      </c>
      <c r="D121" s="427" t="s">
        <v>3418</v>
      </c>
      <c r="E121" s="427" t="str">
        <f t="shared" si="9"/>
        <v>390</v>
      </c>
      <c r="F121" s="756" t="s">
        <v>1811</v>
      </c>
      <c r="G121" s="426" t="str">
        <f t="shared" si="12"/>
        <v/>
      </c>
      <c r="H121" s="427">
        <v>3097.0738104533998</v>
      </c>
      <c r="I121" s="427">
        <v>3097.0738104533998</v>
      </c>
      <c r="J121" s="427">
        <v>3097.0738104533998</v>
      </c>
      <c r="K121" s="427">
        <v>3097.0738104533998</v>
      </c>
      <c r="L121" s="427">
        <v>3097.0738104533998</v>
      </c>
      <c r="M121" s="427">
        <v>3097.0738104533998</v>
      </c>
      <c r="N121" s="427">
        <v>3097.0738104533998</v>
      </c>
      <c r="O121" s="427">
        <v>3097.0738104533998</v>
      </c>
      <c r="P121" s="427">
        <v>3097.0738104533998</v>
      </c>
      <c r="Q121" s="427">
        <v>3097.0738104533998</v>
      </c>
      <c r="R121" s="427">
        <v>3097.0738104533998</v>
      </c>
      <c r="S121" s="427">
        <v>3097.0738104533998</v>
      </c>
      <c r="T121" s="427">
        <v>3097.0738104533998</v>
      </c>
      <c r="V121" s="427">
        <f t="shared" si="11"/>
        <v>3097.0738104534003</v>
      </c>
    </row>
    <row r="122" spans="1:22">
      <c r="A122" s="427" t="str">
        <f t="shared" si="8"/>
        <v>KU</v>
      </c>
      <c r="B122" s="427" t="str">
        <f t="shared" si="7"/>
        <v>KY</v>
      </c>
      <c r="C122" s="427" t="str">
        <f t="shared" si="10"/>
        <v>E</v>
      </c>
      <c r="D122" s="427" t="s">
        <v>3418</v>
      </c>
      <c r="E122" s="427" t="str">
        <f t="shared" si="9"/>
        <v>390</v>
      </c>
      <c r="F122" s="756" t="s">
        <v>1812</v>
      </c>
      <c r="G122" s="426" t="str">
        <f t="shared" si="12"/>
        <v/>
      </c>
      <c r="H122" s="427">
        <v>65995.815039695706</v>
      </c>
      <c r="I122" s="427">
        <v>66023.360643918699</v>
      </c>
      <c r="J122" s="427">
        <v>73464.295265958703</v>
      </c>
      <c r="K122" s="427">
        <v>73486.509191868696</v>
      </c>
      <c r="L122" s="427">
        <v>73653.153679498704</v>
      </c>
      <c r="M122" s="427">
        <v>74061.004028788695</v>
      </c>
      <c r="N122" s="427">
        <v>74773.805007678704</v>
      </c>
      <c r="O122" s="427">
        <v>76271.210559708707</v>
      </c>
      <c r="P122" s="427">
        <v>78164.455826068704</v>
      </c>
      <c r="Q122" s="427">
        <v>78186.825315718699</v>
      </c>
      <c r="R122" s="427">
        <v>78203.734710148696</v>
      </c>
      <c r="S122" s="427">
        <v>78221.380631668697</v>
      </c>
      <c r="T122" s="427">
        <v>78236.098689958701</v>
      </c>
      <c r="V122" s="427">
        <f t="shared" si="11"/>
        <v>74518.588353129235</v>
      </c>
    </row>
    <row r="123" spans="1:22">
      <c r="A123" s="427" t="str">
        <f t="shared" si="8"/>
        <v>KU</v>
      </c>
      <c r="B123" s="427" t="str">
        <f t="shared" si="7"/>
        <v>VA</v>
      </c>
      <c r="C123" s="427" t="str">
        <f t="shared" si="10"/>
        <v>E</v>
      </c>
      <c r="D123" s="427" t="s">
        <v>3418</v>
      </c>
      <c r="E123" s="427" t="str">
        <f t="shared" si="9"/>
        <v>390</v>
      </c>
      <c r="F123" s="756" t="s">
        <v>1813</v>
      </c>
      <c r="G123" s="426" t="str">
        <f t="shared" si="12"/>
        <v/>
      </c>
      <c r="H123" s="427">
        <v>1160.9040651408</v>
      </c>
      <c r="I123" s="427">
        <v>1373.9842234588</v>
      </c>
      <c r="J123" s="427">
        <v>1373.9842234588</v>
      </c>
      <c r="K123" s="427">
        <v>5860.8122194587904</v>
      </c>
      <c r="L123" s="427">
        <v>5889.6241989487999</v>
      </c>
      <c r="M123" s="427">
        <v>5889.6241989487999</v>
      </c>
      <c r="N123" s="427">
        <v>5889.6241989487999</v>
      </c>
      <c r="O123" s="427">
        <v>5889.6241989487999</v>
      </c>
      <c r="P123" s="427">
        <v>5889.6241989487999</v>
      </c>
      <c r="Q123" s="427">
        <v>5889.6241989487999</v>
      </c>
      <c r="R123" s="427">
        <v>5889.6241989487999</v>
      </c>
      <c r="S123" s="427">
        <v>5889.6241989487999</v>
      </c>
      <c r="T123" s="427">
        <v>5889.6241989487999</v>
      </c>
      <c r="V123" s="427">
        <f t="shared" si="11"/>
        <v>4828.9463478504904</v>
      </c>
    </row>
    <row r="124" spans="1:22">
      <c r="A124" s="427" t="str">
        <f t="shared" si="8"/>
        <v>KU</v>
      </c>
      <c r="B124" s="427" t="str">
        <f t="shared" si="7"/>
        <v>KY</v>
      </c>
      <c r="C124" s="427" t="str">
        <f t="shared" si="10"/>
        <v>E</v>
      </c>
      <c r="D124" s="427" t="s">
        <v>3418</v>
      </c>
      <c r="E124" s="427" t="str">
        <f t="shared" si="9"/>
        <v>391</v>
      </c>
      <c r="F124" s="756" t="s">
        <v>1814</v>
      </c>
      <c r="G124" s="426" t="str">
        <f t="shared" si="12"/>
        <v/>
      </c>
      <c r="H124" s="427">
        <v>5848.5733926610001</v>
      </c>
      <c r="I124" s="427">
        <v>5848.5733926610001</v>
      </c>
      <c r="J124" s="427">
        <v>5848.5733926610001</v>
      </c>
      <c r="K124" s="427">
        <v>5848.5733926610001</v>
      </c>
      <c r="L124" s="427">
        <v>5848.5733926610001</v>
      </c>
      <c r="M124" s="427">
        <v>5836.0363252110001</v>
      </c>
      <c r="N124" s="427">
        <v>5083.3713452109996</v>
      </c>
      <c r="O124" s="427">
        <v>6307.6404928109996</v>
      </c>
      <c r="P124" s="427">
        <v>6395.0461119310003</v>
      </c>
      <c r="Q124" s="427">
        <v>6373.1135619309998</v>
      </c>
      <c r="R124" s="427">
        <v>6373.1135619309998</v>
      </c>
      <c r="S124" s="427">
        <v>6373.1135619309998</v>
      </c>
      <c r="T124" s="427">
        <v>6373.1135619309998</v>
      </c>
      <c r="V124" s="427">
        <f t="shared" si="11"/>
        <v>6027.4934989379217</v>
      </c>
    </row>
    <row r="125" spans="1:22">
      <c r="A125" s="427" t="str">
        <f t="shared" si="8"/>
        <v>KU</v>
      </c>
      <c r="B125" s="427" t="str">
        <f t="shared" si="7"/>
        <v>KY</v>
      </c>
      <c r="C125" s="427" t="str">
        <f t="shared" si="10"/>
        <v>E</v>
      </c>
      <c r="D125" s="427" t="s">
        <v>3418</v>
      </c>
      <c r="E125" s="427" t="str">
        <f t="shared" si="9"/>
        <v>391</v>
      </c>
      <c r="F125" s="756" t="s">
        <v>1815</v>
      </c>
      <c r="G125" s="426" t="str">
        <f t="shared" si="12"/>
        <v/>
      </c>
      <c r="H125" s="427">
        <v>39540.786268764503</v>
      </c>
      <c r="I125" s="427">
        <v>38103.393975364503</v>
      </c>
      <c r="J125" s="427">
        <v>37479.228873364496</v>
      </c>
      <c r="K125" s="427">
        <v>37432.282493364502</v>
      </c>
      <c r="L125" s="427">
        <v>37183.559469364503</v>
      </c>
      <c r="M125" s="427">
        <v>37593.3521183345</v>
      </c>
      <c r="N125" s="427">
        <v>37134.910736054502</v>
      </c>
      <c r="O125" s="427">
        <v>37730.4906247545</v>
      </c>
      <c r="P125" s="427">
        <v>38559.449269454497</v>
      </c>
      <c r="Q125" s="427">
        <v>37812.616069454503</v>
      </c>
      <c r="R125" s="427">
        <v>36125.700559454497</v>
      </c>
      <c r="S125" s="427">
        <v>35994.631499454503</v>
      </c>
      <c r="T125" s="427">
        <v>36067.831249454503</v>
      </c>
      <c r="V125" s="427">
        <f t="shared" si="11"/>
        <v>37442.941015895274</v>
      </c>
    </row>
    <row r="126" spans="1:22">
      <c r="A126" s="427" t="str">
        <f t="shared" si="8"/>
        <v>KU</v>
      </c>
      <c r="B126" s="427" t="str">
        <f t="shared" si="7"/>
        <v>KY</v>
      </c>
      <c r="C126" s="427" t="str">
        <f t="shared" si="10"/>
        <v>E</v>
      </c>
      <c r="D126" s="427" t="s">
        <v>3418</v>
      </c>
      <c r="E126" s="427" t="str">
        <f t="shared" si="9"/>
        <v>392</v>
      </c>
      <c r="F126" s="756" t="s">
        <v>1817</v>
      </c>
      <c r="G126" s="426" t="str">
        <f t="shared" si="12"/>
        <v>ECR</v>
      </c>
      <c r="H126" s="427">
        <v>19.40382</v>
      </c>
      <c r="I126" s="427">
        <v>19.40382</v>
      </c>
      <c r="J126" s="427">
        <v>19.40382</v>
      </c>
      <c r="K126" s="427">
        <v>19.40382</v>
      </c>
      <c r="L126" s="427">
        <v>19.40382</v>
      </c>
      <c r="M126" s="427">
        <v>19.40382</v>
      </c>
      <c r="N126" s="427">
        <v>19.40382</v>
      </c>
      <c r="O126" s="427">
        <v>19.40382</v>
      </c>
      <c r="P126" s="427">
        <v>19.40382</v>
      </c>
      <c r="Q126" s="427">
        <v>19.40382</v>
      </c>
      <c r="R126" s="427">
        <v>19.40382</v>
      </c>
      <c r="S126" s="427">
        <v>19.40382</v>
      </c>
      <c r="T126" s="427">
        <v>19.40382</v>
      </c>
      <c r="V126" s="427">
        <f t="shared" si="11"/>
        <v>19.40382</v>
      </c>
    </row>
    <row r="127" spans="1:22">
      <c r="A127" s="427" t="str">
        <f t="shared" si="8"/>
        <v>KU</v>
      </c>
      <c r="B127" s="427" t="str">
        <f t="shared" si="7"/>
        <v>KY</v>
      </c>
      <c r="C127" s="427" t="str">
        <f t="shared" si="10"/>
        <v>E</v>
      </c>
      <c r="D127" s="427" t="s">
        <v>3418</v>
      </c>
      <c r="E127" s="427" t="str">
        <f t="shared" si="9"/>
        <v>392</v>
      </c>
      <c r="F127" s="756" t="s">
        <v>1818</v>
      </c>
      <c r="G127" s="426" t="str">
        <f t="shared" si="12"/>
        <v/>
      </c>
      <c r="H127" s="427">
        <v>7503.92148</v>
      </c>
      <c r="I127" s="427">
        <v>7503.92148</v>
      </c>
      <c r="J127" s="427">
        <v>7503.92148</v>
      </c>
      <c r="K127" s="427">
        <v>7503.92148</v>
      </c>
      <c r="L127" s="427">
        <v>7503.92148</v>
      </c>
      <c r="M127" s="427">
        <v>7503.92148</v>
      </c>
      <c r="N127" s="427">
        <v>7503.92148</v>
      </c>
      <c r="O127" s="427">
        <v>7503.92148</v>
      </c>
      <c r="P127" s="427">
        <v>7503.92148</v>
      </c>
      <c r="Q127" s="427">
        <v>7503.92148</v>
      </c>
      <c r="R127" s="427">
        <v>7503.92148</v>
      </c>
      <c r="S127" s="427">
        <v>7503.92148</v>
      </c>
      <c r="T127" s="427">
        <v>7503.92148</v>
      </c>
      <c r="V127" s="427">
        <f t="shared" si="11"/>
        <v>7503.9214800000009</v>
      </c>
    </row>
    <row r="128" spans="1:22">
      <c r="A128" s="427" t="str">
        <f t="shared" si="8"/>
        <v>KU</v>
      </c>
      <c r="B128" s="427" t="str">
        <f t="shared" si="7"/>
        <v>VA</v>
      </c>
      <c r="C128" s="427" t="str">
        <f t="shared" si="10"/>
        <v>E</v>
      </c>
      <c r="D128" s="427" t="s">
        <v>3418</v>
      </c>
      <c r="E128" s="427" t="str">
        <f t="shared" si="9"/>
        <v>392</v>
      </c>
      <c r="F128" s="756" t="s">
        <v>2507</v>
      </c>
      <c r="G128" s="426" t="str">
        <f t="shared" si="12"/>
        <v/>
      </c>
      <c r="H128" s="427">
        <v>14.946400000000001</v>
      </c>
      <c r="I128" s="427">
        <v>14.946400000000001</v>
      </c>
      <c r="J128" s="427">
        <v>14.946400000000001</v>
      </c>
      <c r="K128" s="427">
        <v>14.946400000000001</v>
      </c>
      <c r="L128" s="427">
        <v>14.946400000000001</v>
      </c>
      <c r="M128" s="427">
        <v>14.946400000000001</v>
      </c>
      <c r="N128" s="427">
        <v>14.946400000000001</v>
      </c>
      <c r="O128" s="427">
        <v>14.946400000000001</v>
      </c>
      <c r="P128" s="427">
        <v>14.946400000000001</v>
      </c>
      <c r="Q128" s="427">
        <v>14.946400000000001</v>
      </c>
      <c r="R128" s="427">
        <v>14.946400000000001</v>
      </c>
      <c r="S128" s="427">
        <v>14.946400000000001</v>
      </c>
      <c r="T128" s="427">
        <v>14.946400000000001</v>
      </c>
      <c r="V128" s="427">
        <f t="shared" si="11"/>
        <v>14.946400000000002</v>
      </c>
    </row>
    <row r="129" spans="1:22">
      <c r="A129" s="427" t="str">
        <f t="shared" si="8"/>
        <v>KU</v>
      </c>
      <c r="B129" s="427" t="str">
        <f t="shared" si="7"/>
        <v>KY</v>
      </c>
      <c r="C129" s="427" t="str">
        <f t="shared" si="10"/>
        <v>E</v>
      </c>
      <c r="D129" s="427" t="s">
        <v>3418</v>
      </c>
      <c r="E129" s="427" t="str">
        <f t="shared" si="9"/>
        <v>393</v>
      </c>
      <c r="F129" s="756" t="s">
        <v>1819</v>
      </c>
      <c r="G129" s="426" t="str">
        <f t="shared" si="12"/>
        <v/>
      </c>
      <c r="H129" s="427">
        <v>930.09664741999995</v>
      </c>
      <c r="I129" s="427">
        <v>917.04896742000005</v>
      </c>
      <c r="J129" s="427">
        <v>917.04896742000005</v>
      </c>
      <c r="K129" s="427">
        <v>917.04896742000005</v>
      </c>
      <c r="L129" s="427">
        <v>915.45047741999997</v>
      </c>
      <c r="M129" s="427">
        <v>908.93032742000003</v>
      </c>
      <c r="N129" s="427">
        <v>898.25582741999995</v>
      </c>
      <c r="O129" s="427">
        <v>898.25582741999995</v>
      </c>
      <c r="P129" s="427">
        <v>898.25582741999995</v>
      </c>
      <c r="Q129" s="427">
        <v>898.25582741999995</v>
      </c>
      <c r="R129" s="427">
        <v>898.25582741999995</v>
      </c>
      <c r="S129" s="427">
        <v>898.25582741999995</v>
      </c>
      <c r="T129" s="427">
        <v>898.25582741999995</v>
      </c>
      <c r="V129" s="427">
        <f t="shared" si="11"/>
        <v>907.18578049692303</v>
      </c>
    </row>
    <row r="130" spans="1:22">
      <c r="A130" s="427" t="str">
        <f t="shared" si="8"/>
        <v>KU</v>
      </c>
      <c r="B130" s="427" t="str">
        <f t="shared" si="7"/>
        <v>VA</v>
      </c>
      <c r="C130" s="427" t="str">
        <f t="shared" si="10"/>
        <v>E</v>
      </c>
      <c r="D130" s="427" t="s">
        <v>3418</v>
      </c>
      <c r="E130" s="427" t="str">
        <f t="shared" si="9"/>
        <v>393</v>
      </c>
      <c r="F130" s="756" t="s">
        <v>1820</v>
      </c>
      <c r="G130" s="426" t="str">
        <f t="shared" si="12"/>
        <v/>
      </c>
      <c r="H130" s="427">
        <v>0.87655000000000005</v>
      </c>
      <c r="I130" s="427">
        <v>0.87655000000000005</v>
      </c>
      <c r="J130" s="427">
        <v>0.87655000000000005</v>
      </c>
      <c r="K130" s="427">
        <v>0.87655000000000005</v>
      </c>
      <c r="L130" s="427">
        <v>0.87655000000000005</v>
      </c>
      <c r="M130" s="427">
        <v>0.87655000000000005</v>
      </c>
      <c r="N130" s="427">
        <v>0.87655000000000005</v>
      </c>
      <c r="O130" s="427">
        <v>0.87655000000000005</v>
      </c>
      <c r="P130" s="427">
        <v>0.87655000000000005</v>
      </c>
      <c r="Q130" s="427">
        <v>0.87655000000000005</v>
      </c>
      <c r="R130" s="427">
        <v>0.87655000000000005</v>
      </c>
      <c r="S130" s="427">
        <v>0.87655000000000005</v>
      </c>
      <c r="T130" s="427">
        <v>0.87655000000000005</v>
      </c>
      <c r="V130" s="427">
        <f t="shared" si="11"/>
        <v>0.87655000000000005</v>
      </c>
    </row>
    <row r="131" spans="1:22">
      <c r="A131" s="427" t="str">
        <f t="shared" si="8"/>
        <v>KU</v>
      </c>
      <c r="B131" s="427" t="str">
        <f t="shared" si="7"/>
        <v>KY</v>
      </c>
      <c r="C131" s="427" t="str">
        <f t="shared" si="10"/>
        <v>E</v>
      </c>
      <c r="D131" s="427" t="s">
        <v>3418</v>
      </c>
      <c r="E131" s="427" t="str">
        <f t="shared" si="9"/>
        <v>394</v>
      </c>
      <c r="F131" s="756" t="s">
        <v>1821</v>
      </c>
      <c r="G131" s="426" t="str">
        <f t="shared" si="12"/>
        <v/>
      </c>
      <c r="H131" s="427">
        <v>14952.7809394587</v>
      </c>
      <c r="I131" s="427">
        <v>15207.0267055777</v>
      </c>
      <c r="J131" s="427">
        <v>15621.796156767699</v>
      </c>
      <c r="K131" s="427">
        <v>15689.1743357377</v>
      </c>
      <c r="L131" s="427">
        <v>15829.8102732877</v>
      </c>
      <c r="M131" s="427">
        <v>16487.376357021702</v>
      </c>
      <c r="N131" s="427">
        <v>16498.094145991701</v>
      </c>
      <c r="O131" s="427">
        <v>16512.9790402617</v>
      </c>
      <c r="P131" s="427">
        <v>16638.040556411699</v>
      </c>
      <c r="Q131" s="427">
        <v>16638.313897267199</v>
      </c>
      <c r="R131" s="427">
        <v>16654.515486283199</v>
      </c>
      <c r="S131" s="427">
        <v>16880.8507891847</v>
      </c>
      <c r="T131" s="427">
        <v>17186.705756778701</v>
      </c>
      <c r="V131" s="427">
        <f t="shared" si="11"/>
        <v>16215.189572310008</v>
      </c>
    </row>
    <row r="132" spans="1:22">
      <c r="A132" s="427" t="str">
        <f t="shared" si="8"/>
        <v>KU</v>
      </c>
      <c r="B132" s="427" t="str">
        <f t="shared" ref="B132:B195" si="13">IF(MID($F132,12,2)="- ","KY",IF(MID($F132,12,2)="SY","KY",MID($F132,12,2)))</f>
        <v>VA</v>
      </c>
      <c r="C132" s="427" t="str">
        <f t="shared" si="10"/>
        <v>E</v>
      </c>
      <c r="D132" s="427" t="s">
        <v>3418</v>
      </c>
      <c r="E132" s="427" t="str">
        <f t="shared" si="9"/>
        <v>394</v>
      </c>
      <c r="F132" s="756" t="s">
        <v>1822</v>
      </c>
      <c r="G132" s="426" t="str">
        <f t="shared" si="12"/>
        <v/>
      </c>
      <c r="H132" s="427">
        <v>680.43966995649998</v>
      </c>
      <c r="I132" s="427">
        <v>680.43966995649998</v>
      </c>
      <c r="J132" s="427">
        <v>694.05111309649999</v>
      </c>
      <c r="K132" s="427">
        <v>694.05111309649999</v>
      </c>
      <c r="L132" s="427">
        <v>700.94369623650005</v>
      </c>
      <c r="M132" s="427">
        <v>700.94369623650005</v>
      </c>
      <c r="N132" s="427">
        <v>700.94369623650005</v>
      </c>
      <c r="O132" s="427">
        <v>700.94369623650005</v>
      </c>
      <c r="P132" s="427">
        <v>694.66635623649995</v>
      </c>
      <c r="Q132" s="427">
        <v>694.66635623649995</v>
      </c>
      <c r="R132" s="427">
        <v>694.66635623649995</v>
      </c>
      <c r="S132" s="427">
        <v>706.84834145649995</v>
      </c>
      <c r="T132" s="427">
        <v>706.84834145649995</v>
      </c>
      <c r="V132" s="427">
        <f t="shared" si="11"/>
        <v>696.18862328265391</v>
      </c>
    </row>
    <row r="133" spans="1:22">
      <c r="A133" s="427" t="str">
        <f t="shared" si="8"/>
        <v>KU</v>
      </c>
      <c r="B133" s="427" t="str">
        <f t="shared" si="13"/>
        <v>KY</v>
      </c>
      <c r="C133" s="427" t="str">
        <f t="shared" si="10"/>
        <v>E</v>
      </c>
      <c r="D133" s="427" t="s">
        <v>3418</v>
      </c>
      <c r="E133" s="427" t="str">
        <f t="shared" si="9"/>
        <v>396</v>
      </c>
      <c r="F133" s="756" t="s">
        <v>1823</v>
      </c>
      <c r="G133" s="426" t="str">
        <f t="shared" si="12"/>
        <v/>
      </c>
      <c r="H133" s="427">
        <v>623.32951000000003</v>
      </c>
      <c r="I133" s="427">
        <v>623.32951000000003</v>
      </c>
      <c r="J133" s="427">
        <v>623.32951000000003</v>
      </c>
      <c r="K133" s="427">
        <v>623.32951000000003</v>
      </c>
      <c r="L133" s="427">
        <v>623.32951000000003</v>
      </c>
      <c r="M133" s="427">
        <v>623.32951000000003</v>
      </c>
      <c r="N133" s="427">
        <v>623.32951000000003</v>
      </c>
      <c r="O133" s="427">
        <v>623.32951000000003</v>
      </c>
      <c r="P133" s="427">
        <v>623.32951000000003</v>
      </c>
      <c r="Q133" s="427">
        <v>623.32951000000003</v>
      </c>
      <c r="R133" s="427">
        <v>623.32951000000003</v>
      </c>
      <c r="S133" s="427">
        <v>623.32951000000003</v>
      </c>
      <c r="T133" s="427">
        <v>623.32951000000003</v>
      </c>
      <c r="V133" s="427">
        <f t="shared" si="11"/>
        <v>623.3295099999998</v>
      </c>
    </row>
    <row r="134" spans="1:22">
      <c r="A134" s="427" t="str">
        <f t="shared" si="8"/>
        <v>KU</v>
      </c>
      <c r="B134" s="427" t="str">
        <f t="shared" si="13"/>
        <v>KY</v>
      </c>
      <c r="C134" s="427" t="str">
        <f t="shared" si="10"/>
        <v>E</v>
      </c>
      <c r="D134" s="427" t="s">
        <v>3418</v>
      </c>
      <c r="E134" s="427" t="str">
        <f t="shared" si="9"/>
        <v>396</v>
      </c>
      <c r="F134" s="756" t="s">
        <v>2508</v>
      </c>
      <c r="G134" s="426" t="str">
        <f t="shared" si="12"/>
        <v/>
      </c>
      <c r="H134" s="427">
        <v>3232.3006300000002</v>
      </c>
      <c r="I134" s="427">
        <v>3232.3006300000002</v>
      </c>
      <c r="J134" s="427">
        <v>3232.3006300000002</v>
      </c>
      <c r="K134" s="427">
        <v>3232.3006300000002</v>
      </c>
      <c r="L134" s="427">
        <v>3232.3006300000002</v>
      </c>
      <c r="M134" s="427">
        <v>3232.3006300000002</v>
      </c>
      <c r="N134" s="427">
        <v>3232.3006300000002</v>
      </c>
      <c r="O134" s="427">
        <v>3232.3006300000002</v>
      </c>
      <c r="P134" s="427">
        <v>3232.3006300000002</v>
      </c>
      <c r="Q134" s="427">
        <v>3232.3006300000002</v>
      </c>
      <c r="R134" s="427">
        <v>3232.3006300000002</v>
      </c>
      <c r="S134" s="427">
        <v>3232.3006300000002</v>
      </c>
      <c r="T134" s="427">
        <v>3232.3006300000002</v>
      </c>
      <c r="V134" s="427">
        <f t="shared" si="11"/>
        <v>3232.3006300000002</v>
      </c>
    </row>
    <row r="135" spans="1:22">
      <c r="A135" s="427" t="str">
        <f t="shared" ref="A135:A198" si="14">MID($F135,4,2)</f>
        <v>KU</v>
      </c>
      <c r="B135" s="427" t="str">
        <f t="shared" si="13"/>
        <v>VA</v>
      </c>
      <c r="C135" s="427" t="str">
        <f t="shared" si="10"/>
        <v>E</v>
      </c>
      <c r="D135" s="427" t="s">
        <v>3418</v>
      </c>
      <c r="E135" s="427" t="str">
        <f t="shared" si="9"/>
        <v>396</v>
      </c>
      <c r="F135" s="756" t="s">
        <v>1824</v>
      </c>
      <c r="G135" s="426" t="str">
        <f t="shared" si="12"/>
        <v/>
      </c>
      <c r="H135" s="427">
        <v>0</v>
      </c>
      <c r="I135" s="427">
        <v>0</v>
      </c>
      <c r="J135" s="427">
        <v>0</v>
      </c>
      <c r="K135" s="427">
        <v>0</v>
      </c>
      <c r="L135" s="427">
        <v>0</v>
      </c>
      <c r="M135" s="427">
        <v>0</v>
      </c>
      <c r="N135" s="427">
        <v>0</v>
      </c>
      <c r="O135" s="427">
        <v>0</v>
      </c>
      <c r="P135" s="427">
        <v>0</v>
      </c>
      <c r="Q135" s="427">
        <v>0</v>
      </c>
      <c r="R135" s="427">
        <v>0</v>
      </c>
      <c r="S135" s="427">
        <v>0</v>
      </c>
      <c r="T135" s="427">
        <v>0</v>
      </c>
      <c r="V135" s="427">
        <f t="shared" si="11"/>
        <v>0</v>
      </c>
    </row>
    <row r="136" spans="1:22">
      <c r="A136" s="427" t="str">
        <f t="shared" si="14"/>
        <v>KU</v>
      </c>
      <c r="B136" s="427" t="str">
        <f t="shared" si="13"/>
        <v>VA</v>
      </c>
      <c r="C136" s="427" t="str">
        <f t="shared" ref="C136:C199" si="15">IF(ISTEXT(MID($F136,SEARCH("FUTURE USE",$F136),3)),"F",IF(MID($F136,7,1)="1","E",IF(MID($F136,7,1)="2","G",IF(MID($F136,7,1)="3","C",""))))</f>
        <v>E</v>
      </c>
      <c r="D136" s="427" t="s">
        <v>3418</v>
      </c>
      <c r="E136" s="427" t="str">
        <f t="shared" si="9"/>
        <v>396</v>
      </c>
      <c r="F136" s="756" t="s">
        <v>2509</v>
      </c>
      <c r="G136" s="426" t="str">
        <f t="shared" si="12"/>
        <v/>
      </c>
      <c r="H136" s="427">
        <v>282.27726000000001</v>
      </c>
      <c r="I136" s="427">
        <v>282.27726000000001</v>
      </c>
      <c r="J136" s="427">
        <v>282.27726000000001</v>
      </c>
      <c r="K136" s="427">
        <v>282.27726000000001</v>
      </c>
      <c r="L136" s="427">
        <v>282.27726000000001</v>
      </c>
      <c r="M136" s="427">
        <v>282.27726000000001</v>
      </c>
      <c r="N136" s="427">
        <v>282.27726000000001</v>
      </c>
      <c r="O136" s="427">
        <v>282.27726000000001</v>
      </c>
      <c r="P136" s="427">
        <v>282.27726000000001</v>
      </c>
      <c r="Q136" s="427">
        <v>282.27726000000001</v>
      </c>
      <c r="R136" s="427">
        <v>282.27726000000001</v>
      </c>
      <c r="S136" s="427">
        <v>282.27726000000001</v>
      </c>
      <c r="T136" s="427">
        <v>282.27726000000001</v>
      </c>
      <c r="V136" s="427">
        <f>SUM(H136:T136)/13</f>
        <v>282.27725999999996</v>
      </c>
    </row>
    <row r="137" spans="1:22">
      <c r="A137" s="427" t="str">
        <f t="shared" si="14"/>
        <v>KU</v>
      </c>
      <c r="B137" s="427" t="str">
        <f t="shared" si="13"/>
        <v>KY</v>
      </c>
      <c r="C137" s="427" t="str">
        <f t="shared" si="15"/>
        <v>E</v>
      </c>
      <c r="D137" s="427" t="s">
        <v>3418</v>
      </c>
      <c r="E137" s="427" t="str">
        <f t="shared" si="9"/>
        <v>397</v>
      </c>
      <c r="F137" s="756" t="s">
        <v>1825</v>
      </c>
      <c r="G137" s="426" t="str">
        <f t="shared" si="12"/>
        <v>DSM</v>
      </c>
      <c r="H137" s="427">
        <v>7860.5236800000002</v>
      </c>
      <c r="I137" s="427">
        <v>7881.3570099999997</v>
      </c>
      <c r="J137" s="427">
        <v>7902.1903400000001</v>
      </c>
      <c r="K137" s="427">
        <v>7923.0236699999996</v>
      </c>
      <c r="L137" s="427">
        <v>7943.857</v>
      </c>
      <c r="M137" s="427">
        <v>7964.6903300000004</v>
      </c>
      <c r="N137" s="427">
        <v>7985.5236599999998</v>
      </c>
      <c r="O137" s="427">
        <v>8006.3569900000002</v>
      </c>
      <c r="P137" s="427">
        <v>8027.1903199999997</v>
      </c>
      <c r="Q137" s="427">
        <v>8029.7319799999996</v>
      </c>
      <c r="R137" s="427">
        <v>8032.2736500000001</v>
      </c>
      <c r="S137" s="427">
        <v>8034.8153199999997</v>
      </c>
      <c r="T137" s="427">
        <v>8037.3569900000002</v>
      </c>
      <c r="V137" s="427">
        <f>SUM(H137:T137)/13</f>
        <v>7971.4531492307678</v>
      </c>
    </row>
    <row r="138" spans="1:22">
      <c r="A138" s="427" t="str">
        <f t="shared" si="14"/>
        <v>KU</v>
      </c>
      <c r="B138" s="427" t="str">
        <f t="shared" si="13"/>
        <v>KY</v>
      </c>
      <c r="C138" s="427" t="str">
        <f t="shared" si="15"/>
        <v>E</v>
      </c>
      <c r="D138" s="427" t="s">
        <v>3418</v>
      </c>
      <c r="E138" s="427" t="str">
        <f t="shared" si="9"/>
        <v>397</v>
      </c>
      <c r="F138" s="756" t="s">
        <v>1826</v>
      </c>
      <c r="G138" s="426" t="str">
        <f t="shared" si="12"/>
        <v/>
      </c>
      <c r="H138" s="427">
        <v>57215.159408516301</v>
      </c>
      <c r="I138" s="427">
        <v>57215.159408516301</v>
      </c>
      <c r="J138" s="427">
        <v>57215.159408516301</v>
      </c>
      <c r="K138" s="427">
        <v>57215.159408516301</v>
      </c>
      <c r="L138" s="427">
        <v>57352.279386716298</v>
      </c>
      <c r="M138" s="427">
        <v>57649.9630867163</v>
      </c>
      <c r="N138" s="427">
        <v>57673.009566716297</v>
      </c>
      <c r="O138" s="427">
        <v>58923.825013616297</v>
      </c>
      <c r="P138" s="427">
        <v>59963.7827986763</v>
      </c>
      <c r="Q138" s="427">
        <v>59963.7827986763</v>
      </c>
      <c r="R138" s="427">
        <v>59963.7827986763</v>
      </c>
      <c r="S138" s="427">
        <v>59963.7827986763</v>
      </c>
      <c r="T138" s="427">
        <v>59963.7827986763</v>
      </c>
      <c r="V138" s="427">
        <f>SUM(H138:T138)/13</f>
        <v>58482.971437016298</v>
      </c>
    </row>
    <row r="139" spans="1:22">
      <c r="A139" s="427" t="str">
        <f t="shared" si="14"/>
        <v>KU</v>
      </c>
      <c r="B139" s="427" t="str">
        <f t="shared" si="13"/>
        <v>VA</v>
      </c>
      <c r="C139" s="427" t="str">
        <f t="shared" si="15"/>
        <v>E</v>
      </c>
      <c r="D139" s="427" t="s">
        <v>3418</v>
      </c>
      <c r="E139" s="427" t="str">
        <f t="shared" si="9"/>
        <v>397</v>
      </c>
      <c r="F139" s="756" t="s">
        <v>1827</v>
      </c>
      <c r="G139" s="426" t="str">
        <f t="shared" si="12"/>
        <v/>
      </c>
      <c r="H139" s="427">
        <v>980.09861000000001</v>
      </c>
      <c r="I139" s="427">
        <v>980.09861000000001</v>
      </c>
      <c r="J139" s="427">
        <v>980.09861000000001</v>
      </c>
      <c r="K139" s="427">
        <v>980.09861000000001</v>
      </c>
      <c r="L139" s="427">
        <v>980.09861000000001</v>
      </c>
      <c r="M139" s="427">
        <v>980.09861000000001</v>
      </c>
      <c r="N139" s="427">
        <v>980.09861000000001</v>
      </c>
      <c r="O139" s="427">
        <v>980.09861000000001</v>
      </c>
      <c r="P139" s="427">
        <v>980.09861000000001</v>
      </c>
      <c r="Q139" s="427">
        <v>980.09861000000001</v>
      </c>
      <c r="R139" s="427">
        <v>980.09861000000001</v>
      </c>
      <c r="S139" s="427">
        <v>980.09861000000001</v>
      </c>
      <c r="T139" s="427">
        <v>980.09861000000001</v>
      </c>
      <c r="V139" s="427">
        <f>SUM(H139:T139)/13</f>
        <v>980.09861000000035</v>
      </c>
    </row>
    <row r="140" spans="1:22">
      <c r="A140" s="427" t="str">
        <f t="shared" si="14"/>
        <v>KU</v>
      </c>
      <c r="B140" s="427" t="str">
        <f t="shared" si="13"/>
        <v>KY</v>
      </c>
      <c r="C140" s="427" t="str">
        <f t="shared" si="15"/>
        <v>C</v>
      </c>
      <c r="D140" s="427" t="s">
        <v>3418</v>
      </c>
      <c r="E140" s="427" t="str">
        <f t="shared" si="9"/>
        <v>121</v>
      </c>
      <c r="F140" s="756" t="s">
        <v>1828</v>
      </c>
      <c r="G140" s="426" t="str">
        <f t="shared" si="12"/>
        <v/>
      </c>
      <c r="H140" s="427">
        <v>178.71388999999999</v>
      </c>
      <c r="I140" s="427">
        <v>178.71388999999999</v>
      </c>
      <c r="J140" s="427">
        <v>178.71388999999999</v>
      </c>
      <c r="K140" s="427">
        <v>178.71388999999999</v>
      </c>
      <c r="L140" s="427">
        <v>178.71388999999999</v>
      </c>
      <c r="M140" s="427">
        <v>178.71388999999999</v>
      </c>
      <c r="N140" s="427">
        <v>178.71388999999999</v>
      </c>
      <c r="O140" s="427">
        <v>178.71388999999999</v>
      </c>
      <c r="P140" s="427">
        <v>178.71388999999999</v>
      </c>
      <c r="Q140" s="427">
        <v>178.71388999999999</v>
      </c>
      <c r="R140" s="427">
        <v>178.71388999999999</v>
      </c>
      <c r="S140" s="427">
        <v>178.71388999999999</v>
      </c>
      <c r="T140" s="427">
        <v>178.71388999999999</v>
      </c>
      <c r="V140" s="427">
        <f t="shared" ref="V140:V143" si="16">SUM(H140:T140)/13</f>
        <v>178.71388999999999</v>
      </c>
    </row>
    <row r="141" spans="1:22">
      <c r="A141" s="427" t="str">
        <f t="shared" si="14"/>
        <v>KY</v>
      </c>
      <c r="B141" s="427" t="str">
        <f t="shared" si="13"/>
        <v xml:space="preserve"> A</v>
      </c>
      <c r="C141" s="427" t="str">
        <f t="shared" si="15"/>
        <v/>
      </c>
      <c r="F141" s="758" t="s">
        <v>1829</v>
      </c>
      <c r="H141" s="427">
        <v>9723550.1545843109</v>
      </c>
      <c r="I141" s="427">
        <v>9887885.2700210791</v>
      </c>
      <c r="J141" s="427">
        <v>9937559.8624598198</v>
      </c>
      <c r="K141" s="427">
        <v>9959760.0108050033</v>
      </c>
      <c r="L141" s="427">
        <v>9972981.8184072729</v>
      </c>
      <c r="M141" s="427">
        <v>10011983.105197163</v>
      </c>
      <c r="N141" s="427">
        <v>10043819.262554912</v>
      </c>
      <c r="O141" s="427">
        <v>10102538.389246773</v>
      </c>
      <c r="P141" s="427">
        <v>10259763.10197557</v>
      </c>
      <c r="Q141" s="427">
        <v>10203737.517803913</v>
      </c>
      <c r="R141" s="427">
        <v>10208622.585266059</v>
      </c>
      <c r="S141" s="427">
        <v>10235944.126077736</v>
      </c>
      <c r="T141" s="427">
        <v>10265309.100384006</v>
      </c>
      <c r="V141" s="427">
        <f t="shared" si="16"/>
        <v>10062573.408060279</v>
      </c>
    </row>
    <row r="142" spans="1:22">
      <c r="A142" s="427" t="str">
        <f t="shared" si="14"/>
        <v/>
      </c>
      <c r="B142" s="427" t="str">
        <f t="shared" si="13"/>
        <v/>
      </c>
      <c r="C142" s="427" t="str">
        <f t="shared" si="15"/>
        <v/>
      </c>
      <c r="G142" s="426" t="str">
        <f t="shared" si="12"/>
        <v/>
      </c>
      <c r="U142" s="427">
        <f>SUM(I142:T142)</f>
        <v>0</v>
      </c>
      <c r="V142" s="427">
        <f t="shared" si="16"/>
        <v>0</v>
      </c>
    </row>
    <row r="143" spans="1:22">
      <c r="A143" s="427" t="str">
        <f t="shared" si="14"/>
        <v>it</v>
      </c>
      <c r="B143" s="427" t="str">
        <f t="shared" si="13"/>
        <v/>
      </c>
      <c r="C143" s="427" t="str">
        <f t="shared" si="15"/>
        <v/>
      </c>
      <c r="D143" s="427" t="s">
        <v>3419</v>
      </c>
      <c r="E143" s="427" t="str">
        <f t="shared" si="9"/>
        <v>ns</v>
      </c>
      <c r="F143" s="759" t="s">
        <v>7</v>
      </c>
      <c r="G143" s="426" t="str">
        <f t="shared" si="12"/>
        <v/>
      </c>
      <c r="U143" s="427">
        <f t="shared" ref="U143:U206" si="17">SUM(I143:T143)</f>
        <v>0</v>
      </c>
      <c r="V143" s="427">
        <f t="shared" si="16"/>
        <v>0</v>
      </c>
    </row>
    <row r="144" spans="1:22">
      <c r="A144" s="427" t="str">
        <f t="shared" si="14"/>
        <v>KU</v>
      </c>
      <c r="B144" s="427" t="str">
        <f t="shared" si="13"/>
        <v>KY</v>
      </c>
      <c r="C144" s="427" t="str">
        <f t="shared" si="15"/>
        <v>E</v>
      </c>
      <c r="D144" s="427" t="s">
        <v>3419</v>
      </c>
      <c r="E144" s="427" t="str">
        <f t="shared" si="9"/>
        <v>303</v>
      </c>
      <c r="F144" s="756" t="s">
        <v>1726</v>
      </c>
      <c r="G144" s="426" t="str">
        <f t="shared" si="12"/>
        <v/>
      </c>
      <c r="H144" s="427">
        <v>623.4904378</v>
      </c>
      <c r="I144" s="427">
        <v>443.82542439999997</v>
      </c>
      <c r="J144" s="427">
        <v>6477.5337800999996</v>
      </c>
      <c r="K144" s="427">
        <v>815.37894085000005</v>
      </c>
      <c r="L144" s="427">
        <v>704.90863506999995</v>
      </c>
      <c r="M144" s="427">
        <v>528.90409810000006</v>
      </c>
      <c r="N144" s="427">
        <v>655.22711730000003</v>
      </c>
      <c r="O144" s="427">
        <v>1348.987296</v>
      </c>
      <c r="P144" s="427">
        <v>2042.29993135</v>
      </c>
      <c r="Q144" s="427">
        <v>0</v>
      </c>
      <c r="R144" s="427">
        <v>0</v>
      </c>
      <c r="S144" s="427">
        <v>8205.2391179999995</v>
      </c>
      <c r="T144" s="427">
        <v>989.13006981000001</v>
      </c>
      <c r="U144" s="427">
        <f t="shared" si="17"/>
        <v>22211.434410979997</v>
      </c>
    </row>
    <row r="145" spans="1:21">
      <c r="A145" s="427" t="str">
        <f t="shared" si="14"/>
        <v>KU</v>
      </c>
      <c r="B145" s="427" t="str">
        <f t="shared" si="13"/>
        <v>KY</v>
      </c>
      <c r="C145" s="427" t="str">
        <f t="shared" si="15"/>
        <v>E</v>
      </c>
      <c r="D145" s="427" t="s">
        <v>3419</v>
      </c>
      <c r="E145" s="427" t="str">
        <f t="shared" si="9"/>
        <v>303</v>
      </c>
      <c r="F145" s="756" t="s">
        <v>1727</v>
      </c>
      <c r="G145" s="426" t="str">
        <f t="shared" si="12"/>
        <v/>
      </c>
      <c r="H145" s="427">
        <v>256.25722969999998</v>
      </c>
      <c r="I145" s="427">
        <v>53.775120000000001</v>
      </c>
      <c r="J145" s="427">
        <v>0</v>
      </c>
      <c r="K145" s="427">
        <v>0</v>
      </c>
      <c r="L145" s="427">
        <v>0</v>
      </c>
      <c r="M145" s="427">
        <v>0</v>
      </c>
      <c r="N145" s="427">
        <v>0</v>
      </c>
      <c r="O145" s="427">
        <v>0</v>
      </c>
      <c r="P145" s="427">
        <v>106.38543249999999</v>
      </c>
      <c r="Q145" s="427">
        <v>0</v>
      </c>
      <c r="R145" s="427">
        <v>96.027000000000001</v>
      </c>
      <c r="S145" s="427">
        <v>0</v>
      </c>
      <c r="T145" s="427">
        <v>161.32535999999999</v>
      </c>
      <c r="U145" s="427">
        <f t="shared" si="17"/>
        <v>417.51291249999997</v>
      </c>
    </row>
    <row r="146" spans="1:21">
      <c r="A146" s="427" t="str">
        <f t="shared" si="14"/>
        <v>KU</v>
      </c>
      <c r="B146" s="427" t="str">
        <f t="shared" si="13"/>
        <v>KY</v>
      </c>
      <c r="C146" s="427" t="str">
        <f t="shared" si="15"/>
        <v>E</v>
      </c>
      <c r="D146" s="427" t="s">
        <v>3419</v>
      </c>
      <c r="E146" s="427" t="str">
        <f t="shared" si="9"/>
        <v>310</v>
      </c>
      <c r="F146" s="756" t="s">
        <v>1728</v>
      </c>
      <c r="G146" s="426" t="str">
        <f t="shared" si="12"/>
        <v>ECR</v>
      </c>
      <c r="H146" s="427">
        <v>0</v>
      </c>
      <c r="I146" s="427">
        <v>0</v>
      </c>
      <c r="J146" s="427">
        <v>0</v>
      </c>
      <c r="K146" s="427">
        <v>0</v>
      </c>
      <c r="L146" s="427">
        <v>0</v>
      </c>
      <c r="M146" s="427">
        <v>0</v>
      </c>
      <c r="N146" s="427">
        <v>0</v>
      </c>
      <c r="O146" s="427">
        <v>0</v>
      </c>
      <c r="P146" s="427">
        <v>0</v>
      </c>
      <c r="Q146" s="427">
        <v>0</v>
      </c>
      <c r="R146" s="427">
        <v>0</v>
      </c>
      <c r="S146" s="427">
        <v>0</v>
      </c>
      <c r="T146" s="427">
        <v>0</v>
      </c>
      <c r="U146" s="427">
        <f t="shared" si="17"/>
        <v>0</v>
      </c>
    </row>
    <row r="147" spans="1:21">
      <c r="A147" s="427" t="str">
        <f t="shared" si="14"/>
        <v>KU</v>
      </c>
      <c r="B147" s="427" t="str">
        <f t="shared" si="13"/>
        <v>KY</v>
      </c>
      <c r="C147" s="427" t="str">
        <f t="shared" si="15"/>
        <v>E</v>
      </c>
      <c r="D147" s="427" t="s">
        <v>3419</v>
      </c>
      <c r="E147" s="427" t="str">
        <f t="shared" si="9"/>
        <v>310</v>
      </c>
      <c r="F147" s="756" t="s">
        <v>2503</v>
      </c>
      <c r="G147" s="426" t="str">
        <f t="shared" si="12"/>
        <v>ECR</v>
      </c>
      <c r="H147" s="427">
        <v>0</v>
      </c>
      <c r="I147" s="427">
        <v>0</v>
      </c>
      <c r="J147" s="427">
        <v>0</v>
      </c>
      <c r="K147" s="427">
        <v>0</v>
      </c>
      <c r="L147" s="427">
        <v>0</v>
      </c>
      <c r="M147" s="427">
        <v>0</v>
      </c>
      <c r="N147" s="427">
        <v>0</v>
      </c>
      <c r="O147" s="427">
        <v>0</v>
      </c>
      <c r="P147" s="427">
        <v>0</v>
      </c>
      <c r="Q147" s="427">
        <v>0</v>
      </c>
      <c r="R147" s="427">
        <v>0</v>
      </c>
      <c r="S147" s="427">
        <v>0</v>
      </c>
      <c r="T147" s="427">
        <v>0</v>
      </c>
      <c r="U147" s="427">
        <f t="shared" si="17"/>
        <v>0</v>
      </c>
    </row>
    <row r="148" spans="1:21">
      <c r="A148" s="427" t="str">
        <f t="shared" si="14"/>
        <v>KU</v>
      </c>
      <c r="B148" s="427" t="str">
        <f t="shared" si="13"/>
        <v>KY</v>
      </c>
      <c r="C148" s="427" t="str">
        <f t="shared" si="15"/>
        <v>E</v>
      </c>
      <c r="D148" s="427" t="s">
        <v>3419</v>
      </c>
      <c r="E148" s="427" t="str">
        <f t="shared" si="9"/>
        <v>310</v>
      </c>
      <c r="F148" s="756" t="s">
        <v>1730</v>
      </c>
      <c r="G148" s="426" t="str">
        <f t="shared" si="12"/>
        <v/>
      </c>
      <c r="H148" s="427">
        <v>0</v>
      </c>
      <c r="I148" s="427">
        <v>0</v>
      </c>
      <c r="J148" s="427">
        <v>0</v>
      </c>
      <c r="K148" s="427">
        <v>0</v>
      </c>
      <c r="L148" s="427">
        <v>0</v>
      </c>
      <c r="M148" s="427">
        <v>0</v>
      </c>
      <c r="N148" s="427">
        <v>0</v>
      </c>
      <c r="O148" s="427">
        <v>0</v>
      </c>
      <c r="P148" s="427">
        <v>0</v>
      </c>
      <c r="Q148" s="427">
        <v>0</v>
      </c>
      <c r="R148" s="427">
        <v>0</v>
      </c>
      <c r="S148" s="427">
        <v>0</v>
      </c>
      <c r="T148" s="427">
        <v>0</v>
      </c>
      <c r="U148" s="427">
        <f t="shared" si="17"/>
        <v>0</v>
      </c>
    </row>
    <row r="149" spans="1:21">
      <c r="A149" s="427" t="str">
        <f t="shared" si="14"/>
        <v>KU</v>
      </c>
      <c r="B149" s="427" t="str">
        <f t="shared" si="13"/>
        <v>KY</v>
      </c>
      <c r="C149" s="427" t="str">
        <f t="shared" si="15"/>
        <v>E</v>
      </c>
      <c r="D149" s="427" t="s">
        <v>3419</v>
      </c>
      <c r="E149" s="427" t="str">
        <f t="shared" si="9"/>
        <v>311</v>
      </c>
      <c r="F149" s="756" t="s">
        <v>1732</v>
      </c>
      <c r="G149" s="426" t="str">
        <f t="shared" si="12"/>
        <v/>
      </c>
      <c r="H149" s="427">
        <v>974.47236443999998</v>
      </c>
      <c r="I149" s="427">
        <v>490.3575639</v>
      </c>
      <c r="J149" s="427">
        <v>360.78322412</v>
      </c>
      <c r="K149" s="427">
        <v>1128.0124891299999</v>
      </c>
      <c r="L149" s="427">
        <v>417.52286091000002</v>
      </c>
      <c r="M149" s="427">
        <v>20.479601469999999</v>
      </c>
      <c r="N149" s="427">
        <v>214.52852401999999</v>
      </c>
      <c r="O149" s="427">
        <v>366.80649854000001</v>
      </c>
      <c r="P149" s="427">
        <v>0</v>
      </c>
      <c r="Q149" s="427">
        <v>0</v>
      </c>
      <c r="R149" s="427">
        <v>0</v>
      </c>
      <c r="S149" s="427">
        <v>188.35503996</v>
      </c>
      <c r="T149" s="427">
        <v>50.8896911</v>
      </c>
      <c r="U149" s="427">
        <f t="shared" si="17"/>
        <v>3237.7354931500004</v>
      </c>
    </row>
    <row r="150" spans="1:21">
      <c r="A150" s="427" t="str">
        <f t="shared" si="14"/>
        <v>KU</v>
      </c>
      <c r="B150" s="427" t="str">
        <f t="shared" si="13"/>
        <v>KY</v>
      </c>
      <c r="C150" s="427" t="str">
        <f t="shared" si="15"/>
        <v>E</v>
      </c>
      <c r="D150" s="427" t="s">
        <v>3419</v>
      </c>
      <c r="E150" s="427" t="str">
        <f t="shared" si="9"/>
        <v>312</v>
      </c>
      <c r="F150" s="756" t="s">
        <v>1733</v>
      </c>
      <c r="G150" s="426" t="str">
        <f t="shared" si="12"/>
        <v/>
      </c>
      <c r="H150" s="427">
        <v>3549.0473023589998</v>
      </c>
      <c r="I150" s="427">
        <v>3528.4935914990001</v>
      </c>
      <c r="J150" s="427">
        <v>14152.575811679</v>
      </c>
      <c r="K150" s="427">
        <v>2564.7815420390002</v>
      </c>
      <c r="L150" s="427">
        <v>1532.485386759</v>
      </c>
      <c r="M150" s="427">
        <v>1266.2453625390001</v>
      </c>
      <c r="N150" s="427">
        <v>1345.058173529</v>
      </c>
      <c r="O150" s="427">
        <v>12387.261072298899</v>
      </c>
      <c r="P150" s="427">
        <v>6374.8057478970004</v>
      </c>
      <c r="Q150" s="427">
        <v>8.0022852100000001</v>
      </c>
      <c r="R150" s="427">
        <v>8.0022467989999999</v>
      </c>
      <c r="S150" s="427">
        <v>6739.1983773889997</v>
      </c>
      <c r="T150" s="427">
        <v>3410.593254209</v>
      </c>
      <c r="U150" s="427">
        <f t="shared" si="17"/>
        <v>53317.502851846904</v>
      </c>
    </row>
    <row r="151" spans="1:21">
      <c r="A151" s="427" t="str">
        <f t="shared" si="14"/>
        <v>KU</v>
      </c>
      <c r="B151" s="427" t="str">
        <f t="shared" si="13"/>
        <v>KY</v>
      </c>
      <c r="C151" s="427" t="str">
        <f t="shared" si="15"/>
        <v>E</v>
      </c>
      <c r="D151" s="427" t="s">
        <v>3419</v>
      </c>
      <c r="E151" s="427" t="str">
        <f t="shared" si="9"/>
        <v>312</v>
      </c>
      <c r="F151" s="756" t="s">
        <v>1734</v>
      </c>
      <c r="G151" s="426" t="str">
        <f t="shared" si="12"/>
        <v>ECR</v>
      </c>
      <c r="H151" s="427">
        <v>123.9</v>
      </c>
      <c r="I151" s="427">
        <v>25.5</v>
      </c>
      <c r="J151" s="427">
        <v>25.5</v>
      </c>
      <c r="K151" s="427">
        <v>25.5</v>
      </c>
      <c r="L151" s="427">
        <v>25.5</v>
      </c>
      <c r="M151" s="427">
        <v>25.5</v>
      </c>
      <c r="N151" s="427">
        <v>25.5</v>
      </c>
      <c r="O151" s="427">
        <v>23537.283079999899</v>
      </c>
      <c r="P151" s="427">
        <v>40117.923320000002</v>
      </c>
      <c r="Q151" s="427">
        <v>475.32</v>
      </c>
      <c r="R151" s="427">
        <v>1470.6</v>
      </c>
      <c r="S151" s="427">
        <v>64.2</v>
      </c>
      <c r="T151" s="427">
        <v>139.4</v>
      </c>
      <c r="U151" s="427">
        <f t="shared" si="17"/>
        <v>65957.726399999898</v>
      </c>
    </row>
    <row r="152" spans="1:21">
      <c r="A152" s="427" t="str">
        <f t="shared" si="14"/>
        <v>KU</v>
      </c>
      <c r="B152" s="427" t="str">
        <f t="shared" si="13"/>
        <v>KY</v>
      </c>
      <c r="C152" s="427" t="str">
        <f t="shared" si="15"/>
        <v>E</v>
      </c>
      <c r="D152" s="427" t="s">
        <v>3419</v>
      </c>
      <c r="E152" s="427" t="str">
        <f t="shared" si="9"/>
        <v>312</v>
      </c>
      <c r="F152" s="756" t="s">
        <v>1735</v>
      </c>
      <c r="G152" s="426" t="str">
        <f t="shared" si="12"/>
        <v>ECR</v>
      </c>
      <c r="H152" s="427">
        <v>0</v>
      </c>
      <c r="I152" s="427">
        <v>0</v>
      </c>
      <c r="J152" s="427">
        <v>0</v>
      </c>
      <c r="K152" s="427">
        <v>0</v>
      </c>
      <c r="L152" s="427">
        <v>0</v>
      </c>
      <c r="M152" s="427">
        <v>0</v>
      </c>
      <c r="N152" s="427">
        <v>0</v>
      </c>
      <c r="O152" s="427">
        <v>0</v>
      </c>
      <c r="P152" s="427">
        <v>2574.5241599999999</v>
      </c>
      <c r="Q152" s="427">
        <v>0</v>
      </c>
      <c r="R152" s="427">
        <v>0</v>
      </c>
      <c r="S152" s="427">
        <v>2217.7591200000002</v>
      </c>
      <c r="T152" s="427">
        <v>0</v>
      </c>
      <c r="U152" s="427">
        <f t="shared" si="17"/>
        <v>4792.2832799999996</v>
      </c>
    </row>
    <row r="153" spans="1:21">
      <c r="A153" s="427" t="str">
        <f t="shared" si="14"/>
        <v>KU</v>
      </c>
      <c r="B153" s="427" t="str">
        <f t="shared" si="13"/>
        <v>KY</v>
      </c>
      <c r="C153" s="427" t="str">
        <f t="shared" si="15"/>
        <v>E</v>
      </c>
      <c r="D153" s="427" t="s">
        <v>3419</v>
      </c>
      <c r="E153" s="427" t="str">
        <f t="shared" si="9"/>
        <v>312</v>
      </c>
      <c r="F153" s="756" t="s">
        <v>2194</v>
      </c>
      <c r="G153" s="426" t="str">
        <f t="shared" si="12"/>
        <v>ECR</v>
      </c>
      <c r="H153" s="427">
        <v>38029.876029999999</v>
      </c>
      <c r="I153" s="427">
        <v>132950.27437</v>
      </c>
      <c r="J153" s="427">
        <v>4287.9252399999996</v>
      </c>
      <c r="K153" s="427">
        <v>1007.00111</v>
      </c>
      <c r="L153" s="427">
        <v>1068.0011399999901</v>
      </c>
      <c r="M153" s="427">
        <v>918.00096999999903</v>
      </c>
      <c r="N153" s="427">
        <v>17737.852129999999</v>
      </c>
      <c r="O153" s="427">
        <v>881.14996999999903</v>
      </c>
      <c r="P153" s="427">
        <v>32072.197889999999</v>
      </c>
      <c r="Q153" s="427">
        <v>0</v>
      </c>
      <c r="R153" s="427">
        <v>100</v>
      </c>
      <c r="S153" s="427">
        <v>100</v>
      </c>
      <c r="T153" s="427">
        <v>200</v>
      </c>
      <c r="U153" s="427">
        <f t="shared" si="17"/>
        <v>191322.40281999999</v>
      </c>
    </row>
    <row r="154" spans="1:21">
      <c r="A154" s="427" t="str">
        <f t="shared" si="14"/>
        <v>KU</v>
      </c>
      <c r="B154" s="427" t="str">
        <f t="shared" si="13"/>
        <v>KY</v>
      </c>
      <c r="C154" s="427" t="str">
        <f t="shared" si="15"/>
        <v>E</v>
      </c>
      <c r="D154" s="427" t="s">
        <v>3419</v>
      </c>
      <c r="E154" s="427" t="str">
        <f t="shared" si="9"/>
        <v>314</v>
      </c>
      <c r="F154" s="756" t="s">
        <v>1737</v>
      </c>
      <c r="G154" s="426" t="str">
        <f t="shared" ref="G154:G218" si="18">IF(ISTEXT(MID($F154,SEARCH("FUTURE USE",$F154),3)),"FUTURE USE",IF(ISTEXT(MID($F154,SEARCH("ECR",$F154),3)),"ECR",IF(ISTEXT(MID($F154,SEARCH("ARO",$F154),3)),"ARO",IF(ISTEXT(MID($F154,SEARCH("DSM",$F154),3)),"DSM",""))))</f>
        <v/>
      </c>
      <c r="H154" s="427">
        <v>653.72016550000001</v>
      </c>
      <c r="I154" s="427">
        <v>514.17960600000004</v>
      </c>
      <c r="J154" s="427">
        <v>1013.769897</v>
      </c>
      <c r="K154" s="427">
        <v>169.61468911999901</v>
      </c>
      <c r="L154" s="427">
        <v>0</v>
      </c>
      <c r="M154" s="427">
        <v>0</v>
      </c>
      <c r="N154" s="427">
        <v>0</v>
      </c>
      <c r="O154" s="427">
        <v>2066.2533769000001</v>
      </c>
      <c r="P154" s="427">
        <v>6433.5114122200002</v>
      </c>
      <c r="Q154" s="427">
        <v>0</v>
      </c>
      <c r="R154" s="427">
        <v>0</v>
      </c>
      <c r="S154" s="427">
        <v>0</v>
      </c>
      <c r="T154" s="427">
        <v>0</v>
      </c>
      <c r="U154" s="427">
        <f t="shared" si="17"/>
        <v>10197.32898124</v>
      </c>
    </row>
    <row r="155" spans="1:21">
      <c r="A155" s="427" t="str">
        <f t="shared" si="14"/>
        <v>KU</v>
      </c>
      <c r="B155" s="427" t="str">
        <f t="shared" si="13"/>
        <v>KY</v>
      </c>
      <c r="C155" s="427" t="str">
        <f t="shared" si="15"/>
        <v>E</v>
      </c>
      <c r="D155" s="427" t="s">
        <v>3419</v>
      </c>
      <c r="E155" s="427" t="str">
        <f t="shared" si="9"/>
        <v>315</v>
      </c>
      <c r="F155" s="756" t="s">
        <v>1738</v>
      </c>
      <c r="G155" s="426" t="str">
        <f t="shared" si="18"/>
        <v/>
      </c>
      <c r="H155" s="427">
        <v>0</v>
      </c>
      <c r="I155" s="427">
        <v>70.986624969999994</v>
      </c>
      <c r="J155" s="427">
        <v>0</v>
      </c>
      <c r="K155" s="427">
        <v>0</v>
      </c>
      <c r="L155" s="427">
        <v>0</v>
      </c>
      <c r="M155" s="427">
        <v>0</v>
      </c>
      <c r="N155" s="427">
        <v>0</v>
      </c>
      <c r="O155" s="427">
        <v>6847.5650420000002</v>
      </c>
      <c r="P155" s="427">
        <v>1037.4236902</v>
      </c>
      <c r="Q155" s="427">
        <v>0</v>
      </c>
      <c r="R155" s="427">
        <v>0</v>
      </c>
      <c r="S155" s="427">
        <v>0</v>
      </c>
      <c r="T155" s="427">
        <v>0</v>
      </c>
      <c r="U155" s="427">
        <f t="shared" si="17"/>
        <v>7955.9753571700003</v>
      </c>
    </row>
    <row r="156" spans="1:21">
      <c r="A156" s="427" t="str">
        <f t="shared" si="14"/>
        <v>KU</v>
      </c>
      <c r="B156" s="427" t="str">
        <f t="shared" si="13"/>
        <v>KY</v>
      </c>
      <c r="C156" s="427" t="str">
        <f t="shared" si="15"/>
        <v>E</v>
      </c>
      <c r="D156" s="427" t="s">
        <v>3419</v>
      </c>
      <c r="E156" s="427" t="str">
        <f t="shared" si="9"/>
        <v>315</v>
      </c>
      <c r="F156" s="756" t="s">
        <v>1739</v>
      </c>
      <c r="G156" s="426" t="str">
        <f t="shared" si="18"/>
        <v>ECR</v>
      </c>
      <c r="H156" s="427">
        <v>0</v>
      </c>
      <c r="I156" s="427">
        <v>0</v>
      </c>
      <c r="J156" s="427">
        <v>0</v>
      </c>
      <c r="K156" s="427">
        <v>0</v>
      </c>
      <c r="L156" s="427">
        <v>0</v>
      </c>
      <c r="M156" s="427">
        <v>0</v>
      </c>
      <c r="N156" s="427">
        <v>0</v>
      </c>
      <c r="O156" s="427">
        <v>0</v>
      </c>
      <c r="P156" s="427">
        <v>0</v>
      </c>
      <c r="Q156" s="427">
        <v>0</v>
      </c>
      <c r="R156" s="427">
        <v>0</v>
      </c>
      <c r="S156" s="427">
        <v>0</v>
      </c>
      <c r="T156" s="427">
        <v>0</v>
      </c>
      <c r="U156" s="427">
        <f t="shared" si="17"/>
        <v>0</v>
      </c>
    </row>
    <row r="157" spans="1:21">
      <c r="A157" s="427" t="str">
        <f t="shared" si="14"/>
        <v>KU</v>
      </c>
      <c r="B157" s="427" t="str">
        <f t="shared" si="13"/>
        <v>KY</v>
      </c>
      <c r="C157" s="427" t="str">
        <f t="shared" si="15"/>
        <v>E</v>
      </c>
      <c r="D157" s="427" t="s">
        <v>3419</v>
      </c>
      <c r="E157" s="427" t="str">
        <f t="shared" si="9"/>
        <v>316</v>
      </c>
      <c r="F157" s="756" t="s">
        <v>1740</v>
      </c>
      <c r="G157" s="426" t="str">
        <f t="shared" si="18"/>
        <v/>
      </c>
      <c r="H157" s="427">
        <v>1809.29450625</v>
      </c>
      <c r="I157" s="427">
        <v>1925.3208960100001</v>
      </c>
      <c r="J157" s="427">
        <v>64.356171880000005</v>
      </c>
      <c r="K157" s="427">
        <v>0</v>
      </c>
      <c r="L157" s="427">
        <v>408.04233601999999</v>
      </c>
      <c r="M157" s="427">
        <v>0</v>
      </c>
      <c r="N157" s="427">
        <v>397.150828899999</v>
      </c>
      <c r="O157" s="427">
        <v>424.13233203999999</v>
      </c>
      <c r="P157" s="427">
        <v>3389.7305335599999</v>
      </c>
      <c r="Q157" s="427">
        <v>0</v>
      </c>
      <c r="R157" s="427">
        <v>0</v>
      </c>
      <c r="S157" s="427">
        <v>209.91507961999901</v>
      </c>
      <c r="T157" s="427">
        <v>321.16612337999999</v>
      </c>
      <c r="U157" s="427">
        <f t="shared" si="17"/>
        <v>7139.8143014099978</v>
      </c>
    </row>
    <row r="158" spans="1:21">
      <c r="A158" s="427" t="str">
        <f t="shared" si="14"/>
        <v>KU</v>
      </c>
      <c r="B158" s="427" t="str">
        <f t="shared" si="13"/>
        <v>KY</v>
      </c>
      <c r="C158" s="427" t="str">
        <f t="shared" si="15"/>
        <v>E</v>
      </c>
      <c r="D158" s="427" t="s">
        <v>3419</v>
      </c>
      <c r="E158" s="427" t="str">
        <f t="shared" ref="E158:E239" si="19">MID($F158,8,3)</f>
        <v>317</v>
      </c>
      <c r="F158" s="756" t="s">
        <v>1741</v>
      </c>
      <c r="G158" s="426" t="str">
        <f t="shared" si="18"/>
        <v>ARO</v>
      </c>
      <c r="H158" s="427">
        <v>0</v>
      </c>
      <c r="I158" s="427">
        <v>0</v>
      </c>
      <c r="J158" s="427">
        <v>0</v>
      </c>
      <c r="K158" s="427">
        <v>0</v>
      </c>
      <c r="L158" s="427">
        <v>0</v>
      </c>
      <c r="M158" s="427">
        <v>0</v>
      </c>
      <c r="N158" s="427">
        <v>0</v>
      </c>
      <c r="O158" s="427">
        <v>0</v>
      </c>
      <c r="P158" s="427">
        <v>0</v>
      </c>
      <c r="Q158" s="427">
        <v>0</v>
      </c>
      <c r="R158" s="427">
        <v>0</v>
      </c>
      <c r="S158" s="427">
        <v>0</v>
      </c>
      <c r="T158" s="427">
        <v>0</v>
      </c>
      <c r="U158" s="427">
        <f t="shared" si="17"/>
        <v>0</v>
      </c>
    </row>
    <row r="159" spans="1:21">
      <c r="A159" s="427" t="str">
        <f t="shared" si="14"/>
        <v>KU</v>
      </c>
      <c r="B159" s="427" t="str">
        <f t="shared" si="13"/>
        <v>KY</v>
      </c>
      <c r="C159" s="427" t="str">
        <f t="shared" si="15"/>
        <v>E</v>
      </c>
      <c r="D159" s="427" t="s">
        <v>3419</v>
      </c>
      <c r="E159" s="427" t="str">
        <f t="shared" si="19"/>
        <v>317</v>
      </c>
      <c r="F159" s="756" t="s">
        <v>2504</v>
      </c>
      <c r="G159" s="426" t="str">
        <f t="shared" si="18"/>
        <v>ARO</v>
      </c>
      <c r="H159" s="427">
        <v>0</v>
      </c>
      <c r="I159" s="427">
        <v>0</v>
      </c>
      <c r="J159" s="427">
        <v>0</v>
      </c>
      <c r="K159" s="427">
        <v>0</v>
      </c>
      <c r="L159" s="427">
        <v>0</v>
      </c>
      <c r="M159" s="427">
        <v>0</v>
      </c>
      <c r="N159" s="427">
        <v>0</v>
      </c>
      <c r="O159" s="427">
        <v>0</v>
      </c>
      <c r="P159" s="427">
        <v>0</v>
      </c>
      <c r="Q159" s="427">
        <v>0</v>
      </c>
      <c r="R159" s="427">
        <v>0</v>
      </c>
      <c r="S159" s="427">
        <v>0</v>
      </c>
      <c r="T159" s="427">
        <v>0</v>
      </c>
      <c r="U159" s="427">
        <f t="shared" si="17"/>
        <v>0</v>
      </c>
    </row>
    <row r="160" spans="1:21">
      <c r="A160" s="427" t="str">
        <f t="shared" si="14"/>
        <v>KU</v>
      </c>
      <c r="B160" s="427" t="str">
        <f t="shared" si="13"/>
        <v>KY</v>
      </c>
      <c r="C160" s="427" t="str">
        <f t="shared" si="15"/>
        <v>E</v>
      </c>
      <c r="D160" s="427" t="s">
        <v>3419</v>
      </c>
      <c r="E160" s="427" t="str">
        <f t="shared" si="19"/>
        <v>331</v>
      </c>
      <c r="F160" s="756" t="s">
        <v>1743</v>
      </c>
      <c r="G160" s="426" t="str">
        <f t="shared" si="18"/>
        <v/>
      </c>
      <c r="H160" s="427">
        <v>0</v>
      </c>
      <c r="I160" s="427">
        <v>0</v>
      </c>
      <c r="J160" s="427">
        <v>93.505330979999997</v>
      </c>
      <c r="K160" s="427">
        <v>0</v>
      </c>
      <c r="L160" s="427">
        <v>0</v>
      </c>
      <c r="M160" s="427">
        <v>0</v>
      </c>
      <c r="N160" s="427">
        <v>0</v>
      </c>
      <c r="O160" s="427">
        <v>0</v>
      </c>
      <c r="P160" s="427">
        <v>0</v>
      </c>
      <c r="Q160" s="427">
        <v>0</v>
      </c>
      <c r="R160" s="427">
        <v>0</v>
      </c>
      <c r="S160" s="427">
        <v>0</v>
      </c>
      <c r="T160" s="427">
        <v>0</v>
      </c>
      <c r="U160" s="427">
        <f t="shared" si="17"/>
        <v>93.505330979999997</v>
      </c>
    </row>
    <row r="161" spans="1:21">
      <c r="A161" s="427" t="str">
        <f t="shared" si="14"/>
        <v>KU</v>
      </c>
      <c r="B161" s="427" t="str">
        <f t="shared" si="13"/>
        <v>KY</v>
      </c>
      <c r="C161" s="427" t="str">
        <f t="shared" si="15"/>
        <v>E</v>
      </c>
      <c r="D161" s="427" t="s">
        <v>3419</v>
      </c>
      <c r="E161" s="427" t="str">
        <f t="shared" si="19"/>
        <v>334</v>
      </c>
      <c r="F161" s="756" t="s">
        <v>1746</v>
      </c>
      <c r="G161" s="426" t="str">
        <f t="shared" si="18"/>
        <v/>
      </c>
      <c r="H161" s="427">
        <v>0</v>
      </c>
      <c r="I161" s="427">
        <v>0</v>
      </c>
      <c r="J161" s="427">
        <v>0</v>
      </c>
      <c r="K161" s="427">
        <v>0</v>
      </c>
      <c r="L161" s="427">
        <v>0</v>
      </c>
      <c r="M161" s="427">
        <v>0</v>
      </c>
      <c r="N161" s="427">
        <v>0</v>
      </c>
      <c r="O161" s="427">
        <v>0</v>
      </c>
      <c r="P161" s="427">
        <v>0</v>
      </c>
      <c r="Q161" s="427">
        <v>0</v>
      </c>
      <c r="R161" s="427">
        <v>0</v>
      </c>
      <c r="S161" s="427">
        <v>0</v>
      </c>
      <c r="T161" s="427">
        <v>0</v>
      </c>
      <c r="U161" s="427">
        <f t="shared" si="17"/>
        <v>0</v>
      </c>
    </row>
    <row r="162" spans="1:21">
      <c r="A162" s="427" t="str">
        <f t="shared" si="14"/>
        <v>KU</v>
      </c>
      <c r="B162" s="427" t="str">
        <f t="shared" si="13"/>
        <v>KY</v>
      </c>
      <c r="C162" s="427" t="str">
        <f t="shared" si="15"/>
        <v>E</v>
      </c>
      <c r="D162" s="427" t="s">
        <v>3419</v>
      </c>
      <c r="E162" s="427" t="str">
        <f t="shared" si="19"/>
        <v>340</v>
      </c>
      <c r="F162" s="756" t="s">
        <v>2198</v>
      </c>
      <c r="G162" s="426" t="str">
        <f t="shared" si="18"/>
        <v/>
      </c>
      <c r="H162" s="427">
        <v>0</v>
      </c>
      <c r="I162" s="427">
        <v>0</v>
      </c>
      <c r="J162" s="427">
        <v>0</v>
      </c>
      <c r="K162" s="427">
        <v>0</v>
      </c>
      <c r="L162" s="427">
        <v>0</v>
      </c>
      <c r="M162" s="427">
        <v>0</v>
      </c>
      <c r="N162" s="427">
        <v>0</v>
      </c>
      <c r="O162" s="427">
        <v>0</v>
      </c>
      <c r="P162" s="427">
        <v>0</v>
      </c>
      <c r="Q162" s="427">
        <v>0</v>
      </c>
      <c r="R162" s="427">
        <v>0</v>
      </c>
      <c r="S162" s="427">
        <v>0</v>
      </c>
      <c r="T162" s="427">
        <v>0</v>
      </c>
      <c r="U162" s="427">
        <f t="shared" si="17"/>
        <v>0</v>
      </c>
    </row>
    <row r="163" spans="1:21">
      <c r="A163" s="427" t="str">
        <f t="shared" si="14"/>
        <v>KU</v>
      </c>
      <c r="B163" s="427" t="str">
        <f t="shared" si="13"/>
        <v>KY</v>
      </c>
      <c r="C163" s="427" t="str">
        <f t="shared" si="15"/>
        <v>E</v>
      </c>
      <c r="D163" s="427" t="s">
        <v>3419</v>
      </c>
      <c r="E163" s="427" t="str">
        <f t="shared" si="19"/>
        <v>340</v>
      </c>
      <c r="F163" s="756" t="s">
        <v>1750</v>
      </c>
      <c r="G163" s="426" t="str">
        <f t="shared" si="18"/>
        <v/>
      </c>
      <c r="H163" s="427">
        <v>0</v>
      </c>
      <c r="I163" s="427">
        <v>0</v>
      </c>
      <c r="J163" s="427">
        <v>0</v>
      </c>
      <c r="K163" s="427">
        <v>0</v>
      </c>
      <c r="L163" s="427">
        <v>0</v>
      </c>
      <c r="M163" s="427">
        <v>0</v>
      </c>
      <c r="N163" s="427">
        <v>0</v>
      </c>
      <c r="O163" s="427">
        <v>0</v>
      </c>
      <c r="P163" s="427">
        <v>0</v>
      </c>
      <c r="Q163" s="427">
        <v>0</v>
      </c>
      <c r="R163" s="427">
        <v>0</v>
      </c>
      <c r="S163" s="427">
        <v>0</v>
      </c>
      <c r="T163" s="427">
        <v>0</v>
      </c>
      <c r="U163" s="427">
        <f t="shared" si="17"/>
        <v>0</v>
      </c>
    </row>
    <row r="164" spans="1:21">
      <c r="A164" s="427" t="str">
        <f t="shared" si="14"/>
        <v>KU</v>
      </c>
      <c r="B164" s="427" t="str">
        <f t="shared" si="13"/>
        <v>KY</v>
      </c>
      <c r="C164" s="427" t="str">
        <f t="shared" si="15"/>
        <v>E</v>
      </c>
      <c r="D164" s="427" t="s">
        <v>3419</v>
      </c>
      <c r="E164" s="427" t="str">
        <f t="shared" si="19"/>
        <v>341</v>
      </c>
      <c r="F164" s="756" t="s">
        <v>1751</v>
      </c>
      <c r="G164" s="426" t="str">
        <f t="shared" si="18"/>
        <v/>
      </c>
      <c r="H164" s="427">
        <v>0</v>
      </c>
      <c r="I164" s="427">
        <v>0</v>
      </c>
      <c r="J164" s="427">
        <v>0</v>
      </c>
      <c r="K164" s="427">
        <v>0</v>
      </c>
      <c r="L164" s="427">
        <v>0</v>
      </c>
      <c r="M164" s="427">
        <v>0</v>
      </c>
      <c r="N164" s="427">
        <v>0</v>
      </c>
      <c r="O164" s="427">
        <v>0</v>
      </c>
      <c r="P164" s="427">
        <v>0</v>
      </c>
      <c r="Q164" s="427">
        <v>0</v>
      </c>
      <c r="R164" s="427">
        <v>0</v>
      </c>
      <c r="S164" s="427">
        <v>0</v>
      </c>
      <c r="T164" s="427">
        <v>0</v>
      </c>
      <c r="U164" s="427">
        <f t="shared" si="17"/>
        <v>0</v>
      </c>
    </row>
    <row r="165" spans="1:21">
      <c r="A165" s="427" t="str">
        <f t="shared" si="14"/>
        <v>KU</v>
      </c>
      <c r="B165" s="427" t="str">
        <f t="shared" si="13"/>
        <v>KY</v>
      </c>
      <c r="C165" s="427" t="str">
        <f t="shared" si="15"/>
        <v>E</v>
      </c>
      <c r="D165" s="427" t="s">
        <v>3419</v>
      </c>
      <c r="E165" s="427" t="str">
        <f t="shared" si="19"/>
        <v>341</v>
      </c>
      <c r="F165" s="756" t="s">
        <v>2199</v>
      </c>
      <c r="G165" s="426" t="str">
        <f t="shared" si="18"/>
        <v/>
      </c>
      <c r="H165" s="427">
        <v>0</v>
      </c>
      <c r="I165" s="427">
        <v>0</v>
      </c>
      <c r="J165" s="427">
        <v>0</v>
      </c>
      <c r="K165" s="427">
        <v>0</v>
      </c>
      <c r="L165" s="427">
        <v>0</v>
      </c>
      <c r="M165" s="427">
        <v>0</v>
      </c>
      <c r="N165" s="427">
        <v>0</v>
      </c>
      <c r="O165" s="427">
        <v>0</v>
      </c>
      <c r="P165" s="427">
        <v>0</v>
      </c>
      <c r="Q165" s="427">
        <v>0</v>
      </c>
      <c r="R165" s="427">
        <v>0</v>
      </c>
      <c r="S165" s="427">
        <v>0</v>
      </c>
      <c r="T165" s="427">
        <v>0</v>
      </c>
      <c r="U165" s="427">
        <f t="shared" si="17"/>
        <v>0</v>
      </c>
    </row>
    <row r="166" spans="1:21">
      <c r="A166" s="427" t="str">
        <f t="shared" si="14"/>
        <v>KU</v>
      </c>
      <c r="B166" s="427" t="str">
        <f t="shared" si="13"/>
        <v>KY</v>
      </c>
      <c r="C166" s="427" t="str">
        <f t="shared" si="15"/>
        <v>E</v>
      </c>
      <c r="D166" s="427" t="s">
        <v>3419</v>
      </c>
      <c r="E166" s="427" t="str">
        <f t="shared" si="19"/>
        <v>341</v>
      </c>
      <c r="F166" s="756" t="s">
        <v>2200</v>
      </c>
      <c r="G166" s="426" t="str">
        <f t="shared" si="18"/>
        <v/>
      </c>
      <c r="H166" s="427">
        <v>0</v>
      </c>
      <c r="I166" s="427">
        <v>0</v>
      </c>
      <c r="J166" s="427">
        <v>0</v>
      </c>
      <c r="K166" s="427">
        <v>0</v>
      </c>
      <c r="L166" s="427">
        <v>0</v>
      </c>
      <c r="M166" s="427">
        <v>0</v>
      </c>
      <c r="N166" s="427">
        <v>0</v>
      </c>
      <c r="O166" s="427">
        <v>0</v>
      </c>
      <c r="P166" s="427">
        <v>0</v>
      </c>
      <c r="Q166" s="427">
        <v>0</v>
      </c>
      <c r="R166" s="427">
        <v>0</v>
      </c>
      <c r="S166" s="427">
        <v>0</v>
      </c>
      <c r="T166" s="427">
        <v>0</v>
      </c>
      <c r="U166" s="427">
        <f t="shared" si="17"/>
        <v>0</v>
      </c>
    </row>
    <row r="167" spans="1:21">
      <c r="A167" s="427" t="str">
        <f t="shared" si="14"/>
        <v>KU</v>
      </c>
      <c r="B167" s="427" t="str">
        <f t="shared" si="13"/>
        <v>KY</v>
      </c>
      <c r="C167" s="427" t="str">
        <f t="shared" si="15"/>
        <v>E</v>
      </c>
      <c r="D167" s="427" t="s">
        <v>3419</v>
      </c>
      <c r="E167" s="427" t="str">
        <f t="shared" si="19"/>
        <v>342</v>
      </c>
      <c r="F167" s="756" t="s">
        <v>1752</v>
      </c>
      <c r="G167" s="426" t="str">
        <f t="shared" si="18"/>
        <v/>
      </c>
      <c r="H167" s="427">
        <v>0</v>
      </c>
      <c r="I167" s="427">
        <v>0</v>
      </c>
      <c r="J167" s="427">
        <v>0</v>
      </c>
      <c r="K167" s="427">
        <v>0</v>
      </c>
      <c r="L167" s="427">
        <v>0</v>
      </c>
      <c r="M167" s="427">
        <v>0</v>
      </c>
      <c r="N167" s="427">
        <v>0</v>
      </c>
      <c r="O167" s="427">
        <v>0</v>
      </c>
      <c r="P167" s="427">
        <v>0</v>
      </c>
      <c r="Q167" s="427">
        <v>0</v>
      </c>
      <c r="R167" s="427">
        <v>0</v>
      </c>
      <c r="S167" s="427">
        <v>0</v>
      </c>
      <c r="T167" s="427">
        <v>0</v>
      </c>
      <c r="U167" s="427">
        <f t="shared" si="17"/>
        <v>0</v>
      </c>
    </row>
    <row r="168" spans="1:21">
      <c r="A168" s="427" t="str">
        <f t="shared" si="14"/>
        <v>KU</v>
      </c>
      <c r="B168" s="427" t="str">
        <f t="shared" si="13"/>
        <v>KY</v>
      </c>
      <c r="C168" s="427" t="str">
        <f t="shared" si="15"/>
        <v>E</v>
      </c>
      <c r="D168" s="427" t="s">
        <v>3419</v>
      </c>
      <c r="E168" s="427" t="str">
        <f t="shared" si="19"/>
        <v>342</v>
      </c>
      <c r="F168" s="756" t="s">
        <v>2202</v>
      </c>
      <c r="G168" s="426" t="str">
        <f t="shared" si="18"/>
        <v/>
      </c>
      <c r="H168" s="427">
        <v>0</v>
      </c>
      <c r="I168" s="427">
        <v>0</v>
      </c>
      <c r="J168" s="427">
        <v>0</v>
      </c>
      <c r="K168" s="427">
        <v>0</v>
      </c>
      <c r="L168" s="427">
        <v>0</v>
      </c>
      <c r="M168" s="427">
        <v>18473.639149999999</v>
      </c>
      <c r="N168" s="427">
        <v>1474.0144499999999</v>
      </c>
      <c r="O168" s="427">
        <v>0</v>
      </c>
      <c r="P168" s="427">
        <v>0</v>
      </c>
      <c r="Q168" s="427">
        <v>0</v>
      </c>
      <c r="R168" s="427">
        <v>0</v>
      </c>
      <c r="S168" s="427">
        <v>0</v>
      </c>
      <c r="T168" s="427">
        <v>0</v>
      </c>
      <c r="U168" s="427">
        <f t="shared" si="17"/>
        <v>19947.653599999998</v>
      </c>
    </row>
    <row r="169" spans="1:21">
      <c r="A169" s="427" t="str">
        <f t="shared" si="14"/>
        <v>KU</v>
      </c>
      <c r="B169" s="427" t="str">
        <f t="shared" si="13"/>
        <v>KY</v>
      </c>
      <c r="C169" s="427" t="str">
        <f t="shared" si="15"/>
        <v>E</v>
      </c>
      <c r="D169" s="427" t="s">
        <v>3419</v>
      </c>
      <c r="E169" s="427" t="str">
        <f t="shared" si="19"/>
        <v>343</v>
      </c>
      <c r="F169" s="756" t="s">
        <v>1753</v>
      </c>
      <c r="G169" s="426" t="str">
        <f t="shared" si="18"/>
        <v/>
      </c>
      <c r="H169" s="427">
        <v>111.38672990000001</v>
      </c>
      <c r="I169" s="427">
        <v>12737.0569918</v>
      </c>
      <c r="J169" s="427">
        <v>0</v>
      </c>
      <c r="K169" s="427">
        <v>0</v>
      </c>
      <c r="L169" s="427">
        <v>0</v>
      </c>
      <c r="M169" s="427">
        <v>521.15149259999998</v>
      </c>
      <c r="N169" s="427">
        <v>186.0782974</v>
      </c>
      <c r="O169" s="427">
        <v>248.57589239999999</v>
      </c>
      <c r="P169" s="427">
        <v>935.26810301</v>
      </c>
      <c r="Q169" s="427">
        <v>0</v>
      </c>
      <c r="R169" s="427">
        <v>0</v>
      </c>
      <c r="S169" s="427">
        <v>0</v>
      </c>
      <c r="T169" s="427">
        <v>0</v>
      </c>
      <c r="U169" s="427">
        <f t="shared" si="17"/>
        <v>14628.130777209999</v>
      </c>
    </row>
    <row r="170" spans="1:21">
      <c r="A170" s="427" t="str">
        <f t="shared" si="14"/>
        <v>KU</v>
      </c>
      <c r="B170" s="427" t="str">
        <f t="shared" si="13"/>
        <v>KY</v>
      </c>
      <c r="C170" s="427" t="str">
        <f t="shared" si="15"/>
        <v>E</v>
      </c>
      <c r="D170" s="427" t="s">
        <v>3419</v>
      </c>
      <c r="E170" s="427" t="str">
        <f t="shared" si="19"/>
        <v>343</v>
      </c>
      <c r="F170" s="756" t="s">
        <v>2203</v>
      </c>
      <c r="G170" s="426" t="str">
        <f t="shared" si="18"/>
        <v/>
      </c>
      <c r="H170" s="427">
        <v>0</v>
      </c>
      <c r="I170" s="427">
        <v>0</v>
      </c>
      <c r="J170" s="427">
        <v>98.775801680000001</v>
      </c>
      <c r="K170" s="427">
        <v>0</v>
      </c>
      <c r="L170" s="427">
        <v>0</v>
      </c>
      <c r="M170" s="427">
        <v>98.775801680000001</v>
      </c>
      <c r="N170" s="427">
        <v>68.479225569999997</v>
      </c>
      <c r="O170" s="427">
        <v>0</v>
      </c>
      <c r="P170" s="427">
        <v>98.775801680000001</v>
      </c>
      <c r="Q170" s="427">
        <v>0</v>
      </c>
      <c r="R170" s="427">
        <v>0</v>
      </c>
      <c r="S170" s="427">
        <v>99.004797269999997</v>
      </c>
      <c r="T170" s="427">
        <v>17026.565345970001</v>
      </c>
      <c r="U170" s="427">
        <f t="shared" si="17"/>
        <v>17490.376773849999</v>
      </c>
    </row>
    <row r="171" spans="1:21">
      <c r="A171" s="427" t="str">
        <f t="shared" si="14"/>
        <v>KU</v>
      </c>
      <c r="B171" s="427" t="str">
        <f t="shared" si="13"/>
        <v>KY</v>
      </c>
      <c r="C171" s="427" t="str">
        <f t="shared" si="15"/>
        <v>E</v>
      </c>
      <c r="D171" s="427" t="s">
        <v>3419</v>
      </c>
      <c r="E171" s="427" t="str">
        <f t="shared" si="19"/>
        <v>344</v>
      </c>
      <c r="F171" s="756" t="s">
        <v>1754</v>
      </c>
      <c r="G171" s="426" t="str">
        <f t="shared" si="18"/>
        <v/>
      </c>
      <c r="H171" s="427">
        <v>0</v>
      </c>
      <c r="I171" s="427">
        <v>0</v>
      </c>
      <c r="J171" s="427">
        <v>0</v>
      </c>
      <c r="K171" s="427">
        <v>0</v>
      </c>
      <c r="L171" s="427">
        <v>0</v>
      </c>
      <c r="M171" s="427">
        <v>0</v>
      </c>
      <c r="N171" s="427">
        <v>0</v>
      </c>
      <c r="O171" s="427">
        <v>0</v>
      </c>
      <c r="P171" s="427">
        <v>0</v>
      </c>
      <c r="Q171" s="427">
        <v>0</v>
      </c>
      <c r="R171" s="427">
        <v>0</v>
      </c>
      <c r="S171" s="427">
        <v>0</v>
      </c>
      <c r="T171" s="427">
        <v>795.37265649999995</v>
      </c>
      <c r="U171" s="427">
        <f t="shared" si="17"/>
        <v>795.37265649999995</v>
      </c>
    </row>
    <row r="172" spans="1:21">
      <c r="A172" s="427" t="str">
        <f t="shared" si="14"/>
        <v>KU</v>
      </c>
      <c r="B172" s="427" t="str">
        <f t="shared" si="13"/>
        <v>KY</v>
      </c>
      <c r="C172" s="427" t="str">
        <f t="shared" si="15"/>
        <v>E</v>
      </c>
      <c r="D172" s="427" t="s">
        <v>3419</v>
      </c>
      <c r="E172" s="427" t="str">
        <f t="shared" si="19"/>
        <v>344</v>
      </c>
      <c r="F172" s="756" t="s">
        <v>2204</v>
      </c>
      <c r="G172" s="426" t="str">
        <f t="shared" si="18"/>
        <v/>
      </c>
      <c r="H172" s="427">
        <v>0</v>
      </c>
      <c r="I172" s="427">
        <v>0</v>
      </c>
      <c r="J172" s="427">
        <v>0</v>
      </c>
      <c r="K172" s="427">
        <v>0</v>
      </c>
      <c r="L172" s="427">
        <v>0</v>
      </c>
      <c r="M172" s="427">
        <v>0</v>
      </c>
      <c r="N172" s="427">
        <v>0</v>
      </c>
      <c r="O172" s="427">
        <v>0</v>
      </c>
      <c r="P172" s="427">
        <v>0</v>
      </c>
      <c r="Q172" s="427">
        <v>0</v>
      </c>
      <c r="R172" s="427">
        <v>0</v>
      </c>
      <c r="S172" s="427">
        <v>0</v>
      </c>
      <c r="T172" s="427">
        <v>0</v>
      </c>
      <c r="U172" s="427">
        <f t="shared" si="17"/>
        <v>0</v>
      </c>
    </row>
    <row r="173" spans="1:21">
      <c r="A173" s="427" t="str">
        <f t="shared" si="14"/>
        <v>KU</v>
      </c>
      <c r="B173" s="427" t="str">
        <f t="shared" si="13"/>
        <v>KY</v>
      </c>
      <c r="C173" s="427" t="str">
        <f t="shared" si="15"/>
        <v>E</v>
      </c>
      <c r="D173" s="427" t="s">
        <v>3419</v>
      </c>
      <c r="E173" s="427" t="str">
        <f t="shared" si="19"/>
        <v>344</v>
      </c>
      <c r="F173" s="756" t="s">
        <v>2205</v>
      </c>
      <c r="G173" s="426" t="str">
        <f t="shared" si="18"/>
        <v/>
      </c>
      <c r="H173" s="427">
        <v>0</v>
      </c>
      <c r="I173" s="427">
        <v>0</v>
      </c>
      <c r="J173" s="427">
        <v>0</v>
      </c>
      <c r="K173" s="427">
        <v>0</v>
      </c>
      <c r="L173" s="427">
        <v>0</v>
      </c>
      <c r="M173" s="427">
        <v>0</v>
      </c>
      <c r="N173" s="427">
        <v>0</v>
      </c>
      <c r="O173" s="427">
        <v>0</v>
      </c>
      <c r="P173" s="427">
        <v>0</v>
      </c>
      <c r="Q173" s="427">
        <v>0</v>
      </c>
      <c r="R173" s="427">
        <v>0</v>
      </c>
      <c r="S173" s="427">
        <v>0</v>
      </c>
      <c r="T173" s="427">
        <v>0</v>
      </c>
      <c r="U173" s="427">
        <f t="shared" si="17"/>
        <v>0</v>
      </c>
    </row>
    <row r="174" spans="1:21">
      <c r="A174" s="427" t="str">
        <f t="shared" si="14"/>
        <v>KU</v>
      </c>
      <c r="B174" s="427" t="str">
        <f t="shared" si="13"/>
        <v>KY</v>
      </c>
      <c r="C174" s="427" t="str">
        <f t="shared" si="15"/>
        <v>E</v>
      </c>
      <c r="D174" s="427" t="s">
        <v>3419</v>
      </c>
      <c r="E174" s="427" t="str">
        <f t="shared" si="19"/>
        <v>345</v>
      </c>
      <c r="F174" s="756" t="s">
        <v>1755</v>
      </c>
      <c r="G174" s="426" t="str">
        <f t="shared" si="18"/>
        <v/>
      </c>
      <c r="H174" s="427">
        <v>47.423971039999998</v>
      </c>
      <c r="I174" s="427">
        <v>0</v>
      </c>
      <c r="J174" s="427">
        <v>0</v>
      </c>
      <c r="K174" s="427">
        <v>0</v>
      </c>
      <c r="L174" s="427">
        <v>0</v>
      </c>
      <c r="M174" s="427">
        <v>0</v>
      </c>
      <c r="N174" s="427">
        <v>0</v>
      </c>
      <c r="O174" s="427">
        <v>0</v>
      </c>
      <c r="P174" s="427">
        <v>0</v>
      </c>
      <c r="Q174" s="427">
        <v>0</v>
      </c>
      <c r="R174" s="427">
        <v>0</v>
      </c>
      <c r="S174" s="427">
        <v>0</v>
      </c>
      <c r="T174" s="427">
        <v>283.94553001999998</v>
      </c>
      <c r="U174" s="427">
        <f t="shared" si="17"/>
        <v>283.94553001999998</v>
      </c>
    </row>
    <row r="175" spans="1:21">
      <c r="A175" s="427" t="str">
        <f t="shared" si="14"/>
        <v>KU</v>
      </c>
      <c r="B175" s="427" t="str">
        <f t="shared" si="13"/>
        <v>KY</v>
      </c>
      <c r="C175" s="427" t="str">
        <f t="shared" si="15"/>
        <v>E</v>
      </c>
      <c r="D175" s="427" t="s">
        <v>3419</v>
      </c>
      <c r="E175" s="427" t="str">
        <f t="shared" si="19"/>
        <v>345</v>
      </c>
      <c r="F175" s="756" t="s">
        <v>2206</v>
      </c>
      <c r="G175" s="426" t="str">
        <f t="shared" si="18"/>
        <v/>
      </c>
      <c r="H175" s="427">
        <v>0</v>
      </c>
      <c r="I175" s="427">
        <v>0</v>
      </c>
      <c r="J175" s="427">
        <v>0</v>
      </c>
      <c r="K175" s="427">
        <v>0</v>
      </c>
      <c r="L175" s="427">
        <v>0</v>
      </c>
      <c r="M175" s="427">
        <v>0</v>
      </c>
      <c r="N175" s="427">
        <v>0</v>
      </c>
      <c r="O175" s="427">
        <v>0</v>
      </c>
      <c r="P175" s="427">
        <v>0</v>
      </c>
      <c r="Q175" s="427">
        <v>0</v>
      </c>
      <c r="R175" s="427">
        <v>0</v>
      </c>
      <c r="S175" s="427">
        <v>0</v>
      </c>
      <c r="T175" s="427">
        <v>0</v>
      </c>
      <c r="U175" s="427">
        <f t="shared" si="17"/>
        <v>0</v>
      </c>
    </row>
    <row r="176" spans="1:21">
      <c r="A176" s="427" t="str">
        <f t="shared" si="14"/>
        <v>KU</v>
      </c>
      <c r="B176" s="427" t="str">
        <f t="shared" si="13"/>
        <v>KY</v>
      </c>
      <c r="C176" s="427" t="str">
        <f t="shared" si="15"/>
        <v>E</v>
      </c>
      <c r="D176" s="427" t="s">
        <v>3419</v>
      </c>
      <c r="E176" s="427" t="str">
        <f t="shared" si="19"/>
        <v>345</v>
      </c>
      <c r="F176" s="756" t="s">
        <v>2207</v>
      </c>
      <c r="G176" s="426" t="str">
        <f t="shared" si="18"/>
        <v/>
      </c>
      <c r="H176" s="427">
        <v>0</v>
      </c>
      <c r="I176" s="427">
        <v>0</v>
      </c>
      <c r="J176" s="427">
        <v>0</v>
      </c>
      <c r="K176" s="427">
        <v>0</v>
      </c>
      <c r="L176" s="427">
        <v>0</v>
      </c>
      <c r="M176" s="427">
        <v>0</v>
      </c>
      <c r="N176" s="427">
        <v>0</v>
      </c>
      <c r="O176" s="427">
        <v>0</v>
      </c>
      <c r="P176" s="427">
        <v>1029.881893</v>
      </c>
      <c r="Q176" s="427">
        <v>40.971590419999998</v>
      </c>
      <c r="R176" s="427">
        <v>40.971513600000002</v>
      </c>
      <c r="S176" s="427">
        <v>40.971513600000002</v>
      </c>
      <c r="T176" s="427">
        <v>40.971513600000002</v>
      </c>
      <c r="U176" s="427">
        <f t="shared" si="17"/>
        <v>1193.7680242199999</v>
      </c>
    </row>
    <row r="177" spans="1:21">
      <c r="A177" s="427" t="str">
        <f t="shared" si="14"/>
        <v>KU</v>
      </c>
      <c r="B177" s="427" t="str">
        <f t="shared" si="13"/>
        <v>KY</v>
      </c>
      <c r="C177" s="427" t="str">
        <f t="shared" si="15"/>
        <v>E</v>
      </c>
      <c r="D177" s="427" t="s">
        <v>3419</v>
      </c>
      <c r="E177" s="427" t="str">
        <f t="shared" si="19"/>
        <v>346</v>
      </c>
      <c r="F177" s="756" t="s">
        <v>1756</v>
      </c>
      <c r="G177" s="426" t="str">
        <f t="shared" si="18"/>
        <v/>
      </c>
      <c r="H177" s="427">
        <v>426.08111359999998</v>
      </c>
      <c r="I177" s="427">
        <v>0</v>
      </c>
      <c r="J177" s="427">
        <v>11.182593819999999</v>
      </c>
      <c r="K177" s="427">
        <v>0</v>
      </c>
      <c r="L177" s="427">
        <v>0</v>
      </c>
      <c r="M177" s="427">
        <v>2873.970765</v>
      </c>
      <c r="N177" s="427">
        <v>0</v>
      </c>
      <c r="O177" s="427">
        <v>0</v>
      </c>
      <c r="P177" s="427">
        <v>0</v>
      </c>
      <c r="Q177" s="427">
        <v>0</v>
      </c>
      <c r="R177" s="427">
        <v>541.50789150000003</v>
      </c>
      <c r="S177" s="427">
        <v>0</v>
      </c>
      <c r="T177" s="427">
        <v>508.18789569</v>
      </c>
      <c r="U177" s="427">
        <f t="shared" si="17"/>
        <v>3934.8491460099999</v>
      </c>
    </row>
    <row r="178" spans="1:21">
      <c r="A178" s="427" t="str">
        <f t="shared" si="14"/>
        <v>KU</v>
      </c>
      <c r="B178" s="427" t="str">
        <f t="shared" si="13"/>
        <v>KY</v>
      </c>
      <c r="C178" s="427" t="str">
        <f t="shared" si="15"/>
        <v>E</v>
      </c>
      <c r="D178" s="427" t="s">
        <v>3419</v>
      </c>
      <c r="E178" s="427" t="str">
        <f t="shared" si="19"/>
        <v>346</v>
      </c>
      <c r="F178" s="756" t="s">
        <v>2208</v>
      </c>
      <c r="G178" s="426" t="str">
        <f t="shared" si="18"/>
        <v/>
      </c>
      <c r="H178" s="427">
        <v>0</v>
      </c>
      <c r="I178" s="427">
        <v>0</v>
      </c>
      <c r="J178" s="427">
        <v>267.40297800000002</v>
      </c>
      <c r="K178" s="427">
        <v>0</v>
      </c>
      <c r="L178" s="427">
        <v>0</v>
      </c>
      <c r="M178" s="427">
        <v>170.73673579999999</v>
      </c>
      <c r="N178" s="427">
        <v>0</v>
      </c>
      <c r="O178" s="427">
        <v>0</v>
      </c>
      <c r="P178" s="427">
        <v>0</v>
      </c>
      <c r="Q178" s="427">
        <v>0</v>
      </c>
      <c r="R178" s="427">
        <v>0</v>
      </c>
      <c r="S178" s="427">
        <v>270.95176140000001</v>
      </c>
      <c r="T178" s="427">
        <v>0</v>
      </c>
      <c r="U178" s="427">
        <f t="shared" si="17"/>
        <v>709.09147519999999</v>
      </c>
    </row>
    <row r="179" spans="1:21">
      <c r="A179" s="427" t="str">
        <f t="shared" si="14"/>
        <v>KU</v>
      </c>
      <c r="B179" s="427" t="str">
        <f t="shared" si="13"/>
        <v>KY</v>
      </c>
      <c r="C179" s="427" t="str">
        <f t="shared" si="15"/>
        <v>E</v>
      </c>
      <c r="D179" s="427" t="s">
        <v>3419</v>
      </c>
      <c r="E179" s="427" t="str">
        <f t="shared" si="19"/>
        <v>346</v>
      </c>
      <c r="F179" s="756" t="s">
        <v>2209</v>
      </c>
      <c r="G179" s="426" t="str">
        <f t="shared" si="18"/>
        <v/>
      </c>
      <c r="H179" s="427">
        <v>0</v>
      </c>
      <c r="I179" s="427">
        <v>0</v>
      </c>
      <c r="J179" s="427">
        <v>0</v>
      </c>
      <c r="K179" s="427">
        <v>0</v>
      </c>
      <c r="L179" s="427">
        <v>0</v>
      </c>
      <c r="M179" s="427">
        <v>0</v>
      </c>
      <c r="N179" s="427">
        <v>0</v>
      </c>
      <c r="O179" s="427">
        <v>0</v>
      </c>
      <c r="P179" s="427">
        <v>0</v>
      </c>
      <c r="Q179" s="427">
        <v>0</v>
      </c>
      <c r="R179" s="427">
        <v>0</v>
      </c>
      <c r="S179" s="427">
        <v>0</v>
      </c>
      <c r="T179" s="427">
        <v>0</v>
      </c>
      <c r="U179" s="427">
        <f t="shared" si="17"/>
        <v>0</v>
      </c>
    </row>
    <row r="180" spans="1:21">
      <c r="A180" s="427" t="str">
        <f t="shared" si="14"/>
        <v>KU</v>
      </c>
      <c r="B180" s="427" t="str">
        <f t="shared" si="13"/>
        <v>KY</v>
      </c>
      <c r="C180" s="427" t="str">
        <f t="shared" si="15"/>
        <v>E</v>
      </c>
      <c r="D180" s="427" t="s">
        <v>3419</v>
      </c>
      <c r="E180" s="427" t="str">
        <f t="shared" si="19"/>
        <v>350</v>
      </c>
      <c r="F180" s="756" t="s">
        <v>1757</v>
      </c>
      <c r="G180" s="426" t="str">
        <f t="shared" si="18"/>
        <v/>
      </c>
      <c r="H180" s="427">
        <v>0</v>
      </c>
      <c r="I180" s="427">
        <v>0</v>
      </c>
      <c r="J180" s="427">
        <v>0</v>
      </c>
      <c r="K180" s="427">
        <v>0</v>
      </c>
      <c r="L180" s="427">
        <v>0</v>
      </c>
      <c r="M180" s="427">
        <v>0</v>
      </c>
      <c r="N180" s="427">
        <v>0</v>
      </c>
      <c r="O180" s="427">
        <v>0</v>
      </c>
      <c r="P180" s="427">
        <v>0</v>
      </c>
      <c r="Q180" s="427">
        <v>0</v>
      </c>
      <c r="R180" s="427">
        <v>0</v>
      </c>
      <c r="S180" s="427">
        <v>0</v>
      </c>
      <c r="T180" s="427">
        <v>0</v>
      </c>
      <c r="U180" s="427">
        <f t="shared" si="17"/>
        <v>0</v>
      </c>
    </row>
    <row r="181" spans="1:21">
      <c r="A181" s="427" t="str">
        <f t="shared" si="14"/>
        <v>KU</v>
      </c>
      <c r="B181" s="427" t="str">
        <f t="shared" si="13"/>
        <v>VA</v>
      </c>
      <c r="C181" s="427" t="str">
        <f t="shared" si="15"/>
        <v>E</v>
      </c>
      <c r="D181" s="427" t="s">
        <v>3419</v>
      </c>
      <c r="E181" s="427" t="str">
        <f t="shared" si="19"/>
        <v>350</v>
      </c>
      <c r="F181" s="756" t="s">
        <v>1759</v>
      </c>
      <c r="G181" s="426" t="str">
        <f t="shared" si="18"/>
        <v/>
      </c>
      <c r="H181" s="427">
        <v>0</v>
      </c>
      <c r="I181" s="427">
        <v>0</v>
      </c>
      <c r="J181" s="427">
        <v>0</v>
      </c>
      <c r="K181" s="427">
        <v>0</v>
      </c>
      <c r="L181" s="427">
        <v>0</v>
      </c>
      <c r="M181" s="427">
        <v>0</v>
      </c>
      <c r="N181" s="427">
        <v>0</v>
      </c>
      <c r="O181" s="427">
        <v>0</v>
      </c>
      <c r="P181" s="427">
        <v>304.44979530000001</v>
      </c>
      <c r="Q181" s="427">
        <v>0</v>
      </c>
      <c r="R181" s="427">
        <v>0</v>
      </c>
      <c r="S181" s="427">
        <v>0</v>
      </c>
      <c r="T181" s="427">
        <v>0</v>
      </c>
      <c r="U181" s="427">
        <f t="shared" si="17"/>
        <v>304.44979530000001</v>
      </c>
    </row>
    <row r="182" spans="1:21">
      <c r="A182" s="427" t="str">
        <f t="shared" si="14"/>
        <v>KU</v>
      </c>
      <c r="B182" s="427" t="str">
        <f t="shared" si="13"/>
        <v>KY</v>
      </c>
      <c r="C182" s="427" t="str">
        <f t="shared" si="15"/>
        <v>E</v>
      </c>
      <c r="D182" s="427" t="s">
        <v>3419</v>
      </c>
      <c r="E182" s="427" t="str">
        <f t="shared" si="19"/>
        <v>352</v>
      </c>
      <c r="F182" s="756" t="s">
        <v>1760</v>
      </c>
      <c r="G182" s="426" t="str">
        <f t="shared" si="18"/>
        <v/>
      </c>
      <c r="H182" s="427">
        <v>0</v>
      </c>
      <c r="I182" s="427">
        <v>0</v>
      </c>
      <c r="J182" s="427">
        <v>0</v>
      </c>
      <c r="K182" s="427">
        <v>0</v>
      </c>
      <c r="L182" s="427">
        <v>0</v>
      </c>
      <c r="M182" s="427">
        <v>0</v>
      </c>
      <c r="N182" s="427">
        <v>77.789475339999996</v>
      </c>
      <c r="O182" s="427">
        <v>0</v>
      </c>
      <c r="P182" s="427">
        <v>0</v>
      </c>
      <c r="Q182" s="427">
        <v>0</v>
      </c>
      <c r="R182" s="427">
        <v>0</v>
      </c>
      <c r="S182" s="427">
        <v>0</v>
      </c>
      <c r="T182" s="427">
        <v>0</v>
      </c>
      <c r="U182" s="427">
        <f t="shared" si="17"/>
        <v>77.789475339999996</v>
      </c>
    </row>
    <row r="183" spans="1:21">
      <c r="A183" s="427" t="str">
        <f t="shared" si="14"/>
        <v>KU</v>
      </c>
      <c r="B183" s="427" t="str">
        <f t="shared" si="13"/>
        <v>KY</v>
      </c>
      <c r="C183" s="427" t="str">
        <f t="shared" si="15"/>
        <v>E</v>
      </c>
      <c r="D183" s="427" t="s">
        <v>3419</v>
      </c>
      <c r="E183" s="427" t="str">
        <f t="shared" si="19"/>
        <v>352</v>
      </c>
      <c r="F183" s="756" t="s">
        <v>1761</v>
      </c>
      <c r="G183" s="426" t="str">
        <f t="shared" si="18"/>
        <v/>
      </c>
      <c r="H183" s="427">
        <v>0</v>
      </c>
      <c r="I183" s="427">
        <v>0</v>
      </c>
      <c r="J183" s="427">
        <v>0</v>
      </c>
      <c r="K183" s="427">
        <v>0</v>
      </c>
      <c r="L183" s="427">
        <v>0</v>
      </c>
      <c r="M183" s="427">
        <v>0</v>
      </c>
      <c r="N183" s="427">
        <v>0</v>
      </c>
      <c r="O183" s="427">
        <v>0</v>
      </c>
      <c r="P183" s="427">
        <v>0</v>
      </c>
      <c r="Q183" s="427">
        <v>0</v>
      </c>
      <c r="R183" s="427">
        <v>0</v>
      </c>
      <c r="S183" s="427">
        <v>0</v>
      </c>
      <c r="T183" s="427">
        <v>0</v>
      </c>
      <c r="U183" s="427">
        <f t="shared" si="17"/>
        <v>0</v>
      </c>
    </row>
    <row r="184" spans="1:21">
      <c r="A184" s="427" t="str">
        <f t="shared" si="14"/>
        <v>KU</v>
      </c>
      <c r="B184" s="427" t="str">
        <f t="shared" si="13"/>
        <v>KY</v>
      </c>
      <c r="C184" s="427" t="str">
        <f t="shared" si="15"/>
        <v>E</v>
      </c>
      <c r="D184" s="427" t="s">
        <v>3419</v>
      </c>
      <c r="E184" s="427" t="str">
        <f t="shared" si="19"/>
        <v>353</v>
      </c>
      <c r="F184" s="756" t="s">
        <v>1763</v>
      </c>
      <c r="G184" s="426" t="str">
        <f t="shared" si="18"/>
        <v/>
      </c>
      <c r="H184" s="427">
        <v>2659.9651516599902</v>
      </c>
      <c r="I184" s="427">
        <v>441.29819542000001</v>
      </c>
      <c r="J184" s="427">
        <v>2326.2132198899999</v>
      </c>
      <c r="K184" s="427">
        <v>2598.1350708800001</v>
      </c>
      <c r="L184" s="427">
        <v>135.16313992369999</v>
      </c>
      <c r="M184" s="427">
        <v>492.20163764999899</v>
      </c>
      <c r="N184" s="427">
        <v>236.93527208</v>
      </c>
      <c r="O184" s="427">
        <v>154.22259808999999</v>
      </c>
      <c r="P184" s="427">
        <v>18704.393739310501</v>
      </c>
      <c r="Q184" s="427">
        <v>254.41290633599999</v>
      </c>
      <c r="R184" s="427">
        <v>469.7686645288</v>
      </c>
      <c r="S184" s="427">
        <v>2348.9715762809901</v>
      </c>
      <c r="T184" s="427">
        <v>1268.97995227209</v>
      </c>
      <c r="U184" s="427">
        <f t="shared" si="17"/>
        <v>29430.695972662081</v>
      </c>
    </row>
    <row r="185" spans="1:21">
      <c r="A185" s="427" t="str">
        <f t="shared" si="14"/>
        <v>KU</v>
      </c>
      <c r="B185" s="427" t="str">
        <f t="shared" si="13"/>
        <v>KY</v>
      </c>
      <c r="C185" s="427" t="str">
        <f t="shared" si="15"/>
        <v>E</v>
      </c>
      <c r="D185" s="427" t="s">
        <v>3419</v>
      </c>
      <c r="E185" s="427" t="str">
        <f t="shared" si="19"/>
        <v>353</v>
      </c>
      <c r="F185" s="756" t="s">
        <v>1764</v>
      </c>
      <c r="G185" s="426" t="str">
        <f t="shared" si="18"/>
        <v/>
      </c>
      <c r="H185" s="427">
        <v>0</v>
      </c>
      <c r="I185" s="427">
        <v>0</v>
      </c>
      <c r="J185" s="427">
        <v>0</v>
      </c>
      <c r="K185" s="427">
        <v>0</v>
      </c>
      <c r="L185" s="427">
        <v>0</v>
      </c>
      <c r="M185" s="427">
        <v>0</v>
      </c>
      <c r="N185" s="427">
        <v>0</v>
      </c>
      <c r="O185" s="427">
        <v>0</v>
      </c>
      <c r="P185" s="427">
        <v>0</v>
      </c>
      <c r="Q185" s="427">
        <v>0</v>
      </c>
      <c r="R185" s="427">
        <v>0</v>
      </c>
      <c r="S185" s="427">
        <v>0</v>
      </c>
      <c r="T185" s="427">
        <v>0</v>
      </c>
      <c r="U185" s="427">
        <f t="shared" si="17"/>
        <v>0</v>
      </c>
    </row>
    <row r="186" spans="1:21">
      <c r="A186" s="427" t="str">
        <f t="shared" si="14"/>
        <v>KU</v>
      </c>
      <c r="B186" s="427" t="str">
        <f t="shared" si="13"/>
        <v>VA</v>
      </c>
      <c r="C186" s="427" t="str">
        <f t="shared" si="15"/>
        <v>E</v>
      </c>
      <c r="D186" s="427" t="s">
        <v>3419</v>
      </c>
      <c r="E186" s="427" t="str">
        <f t="shared" si="19"/>
        <v>353</v>
      </c>
      <c r="F186" s="756" t="s">
        <v>1765</v>
      </c>
      <c r="G186" s="426" t="str">
        <f t="shared" si="18"/>
        <v/>
      </c>
      <c r="H186" s="427">
        <v>0</v>
      </c>
      <c r="I186" s="427">
        <v>0</v>
      </c>
      <c r="J186" s="427">
        <v>0</v>
      </c>
      <c r="K186" s="427">
        <v>0</v>
      </c>
      <c r="L186" s="427">
        <v>0</v>
      </c>
      <c r="M186" s="427">
        <v>0</v>
      </c>
      <c r="N186" s="427">
        <v>0</v>
      </c>
      <c r="O186" s="427">
        <v>0</v>
      </c>
      <c r="P186" s="427">
        <v>0</v>
      </c>
      <c r="Q186" s="427">
        <v>0</v>
      </c>
      <c r="R186" s="427">
        <v>0</v>
      </c>
      <c r="S186" s="427">
        <v>0</v>
      </c>
      <c r="T186" s="427">
        <v>0</v>
      </c>
      <c r="U186" s="427">
        <f t="shared" si="17"/>
        <v>0</v>
      </c>
    </row>
    <row r="187" spans="1:21">
      <c r="A187" s="427" t="str">
        <f t="shared" si="14"/>
        <v>KU</v>
      </c>
      <c r="B187" s="427" t="str">
        <f t="shared" si="13"/>
        <v>KY</v>
      </c>
      <c r="C187" s="427" t="str">
        <f t="shared" si="15"/>
        <v>E</v>
      </c>
      <c r="D187" s="427" t="s">
        <v>3419</v>
      </c>
      <c r="E187" s="427" t="str">
        <f t="shared" si="19"/>
        <v>355</v>
      </c>
      <c r="F187" s="756" t="s">
        <v>1768</v>
      </c>
      <c r="G187" s="426" t="str">
        <f t="shared" si="18"/>
        <v/>
      </c>
      <c r="H187" s="427">
        <v>4906.82469322</v>
      </c>
      <c r="I187" s="427">
        <v>6206.5566593949998</v>
      </c>
      <c r="J187" s="427">
        <v>3401.07187952</v>
      </c>
      <c r="K187" s="427">
        <v>4060.92733456</v>
      </c>
      <c r="L187" s="427">
        <v>3320.4777917299998</v>
      </c>
      <c r="M187" s="427">
        <v>2777.1857854199998</v>
      </c>
      <c r="N187" s="427">
        <v>3722.0023041200002</v>
      </c>
      <c r="O187" s="427">
        <v>2599.8704125200002</v>
      </c>
      <c r="P187" s="427">
        <v>24664.967181094999</v>
      </c>
      <c r="Q187" s="427">
        <v>8.3859610880000002</v>
      </c>
      <c r="R187" s="427">
        <v>4534.4618806910003</v>
      </c>
      <c r="S187" s="427">
        <v>601.02151769099999</v>
      </c>
      <c r="T187" s="427">
        <v>4763.3475637009997</v>
      </c>
      <c r="U187" s="427">
        <f t="shared" si="17"/>
        <v>60660.276271530995</v>
      </c>
    </row>
    <row r="188" spans="1:21">
      <c r="A188" s="427" t="str">
        <f t="shared" si="14"/>
        <v>KU</v>
      </c>
      <c r="B188" s="427" t="str">
        <f t="shared" si="13"/>
        <v>TN</v>
      </c>
      <c r="C188" s="427" t="str">
        <f t="shared" si="15"/>
        <v>E</v>
      </c>
      <c r="D188" s="427" t="s">
        <v>3419</v>
      </c>
      <c r="E188" s="427" t="str">
        <f t="shared" si="19"/>
        <v>355</v>
      </c>
      <c r="F188" s="756" t="s">
        <v>1769</v>
      </c>
      <c r="G188" s="426" t="str">
        <f t="shared" si="18"/>
        <v/>
      </c>
      <c r="H188" s="427">
        <v>0</v>
      </c>
      <c r="I188" s="427">
        <v>0</v>
      </c>
      <c r="J188" s="427">
        <v>0</v>
      </c>
      <c r="K188" s="427">
        <v>0</v>
      </c>
      <c r="L188" s="427">
        <v>0</v>
      </c>
      <c r="M188" s="427">
        <v>0</v>
      </c>
      <c r="N188" s="427">
        <v>0</v>
      </c>
      <c r="O188" s="427">
        <v>0</v>
      </c>
      <c r="P188" s="427">
        <v>0</v>
      </c>
      <c r="Q188" s="427">
        <v>0</v>
      </c>
      <c r="R188" s="427">
        <v>0</v>
      </c>
      <c r="S188" s="427">
        <v>0</v>
      </c>
      <c r="T188" s="427">
        <v>0</v>
      </c>
      <c r="U188" s="427">
        <f t="shared" si="17"/>
        <v>0</v>
      </c>
    </row>
    <row r="189" spans="1:21">
      <c r="A189" s="427" t="str">
        <f t="shared" si="14"/>
        <v>KU</v>
      </c>
      <c r="B189" s="427" t="str">
        <f t="shared" si="13"/>
        <v>VA</v>
      </c>
      <c r="C189" s="427" t="str">
        <f t="shared" si="15"/>
        <v>E</v>
      </c>
      <c r="D189" s="427" t="s">
        <v>3419</v>
      </c>
      <c r="E189" s="427" t="str">
        <f t="shared" si="19"/>
        <v>355</v>
      </c>
      <c r="F189" s="756" t="s">
        <v>1770</v>
      </c>
      <c r="G189" s="426" t="str">
        <f t="shared" si="18"/>
        <v/>
      </c>
      <c r="H189" s="427">
        <v>0</v>
      </c>
      <c r="I189" s="427">
        <v>0</v>
      </c>
      <c r="J189" s="427">
        <v>484.45271000000002</v>
      </c>
      <c r="K189" s="427">
        <v>0</v>
      </c>
      <c r="L189" s="427">
        <v>0</v>
      </c>
      <c r="M189" s="427">
        <v>0</v>
      </c>
      <c r="N189" s="427">
        <v>0</v>
      </c>
      <c r="O189" s="427">
        <v>0</v>
      </c>
      <c r="P189" s="427">
        <v>0</v>
      </c>
      <c r="Q189" s="427">
        <v>0</v>
      </c>
      <c r="R189" s="427">
        <v>0</v>
      </c>
      <c r="S189" s="427">
        <v>0</v>
      </c>
      <c r="T189" s="427">
        <v>0</v>
      </c>
      <c r="U189" s="427">
        <f t="shared" si="17"/>
        <v>484.45271000000002</v>
      </c>
    </row>
    <row r="190" spans="1:21">
      <c r="A190" s="427" t="str">
        <f t="shared" si="14"/>
        <v>KU</v>
      </c>
      <c r="B190" s="427" t="str">
        <f t="shared" si="13"/>
        <v>KY</v>
      </c>
      <c r="C190" s="427" t="str">
        <f t="shared" si="15"/>
        <v>E</v>
      </c>
      <c r="D190" s="427" t="s">
        <v>3419</v>
      </c>
      <c r="E190" s="427" t="str">
        <f t="shared" si="19"/>
        <v>356</v>
      </c>
      <c r="F190" s="756" t="s">
        <v>1771</v>
      </c>
      <c r="G190" s="426" t="str">
        <f t="shared" si="18"/>
        <v/>
      </c>
      <c r="H190" s="427">
        <v>61.950906789999998</v>
      </c>
      <c r="I190" s="427">
        <v>61.950906789999998</v>
      </c>
      <c r="J190" s="427">
        <v>61.950906789999998</v>
      </c>
      <c r="K190" s="427">
        <v>61.950906789999998</v>
      </c>
      <c r="L190" s="427">
        <v>61.950906789999998</v>
      </c>
      <c r="M190" s="427">
        <v>61.950906789999998</v>
      </c>
      <c r="N190" s="427">
        <v>61.950906789999998</v>
      </c>
      <c r="O190" s="427">
        <v>61.950906789999998</v>
      </c>
      <c r="P190" s="427">
        <v>61.950906789999998</v>
      </c>
      <c r="Q190" s="427">
        <v>63.448582299999998</v>
      </c>
      <c r="R190" s="427">
        <v>63.448572689999999</v>
      </c>
      <c r="S190" s="427">
        <v>63.448572689999999</v>
      </c>
      <c r="T190" s="427">
        <v>4663.9874576900002</v>
      </c>
      <c r="U190" s="427">
        <f t="shared" si="17"/>
        <v>5349.9404396899999</v>
      </c>
    </row>
    <row r="191" spans="1:21">
      <c r="A191" s="427" t="str">
        <f t="shared" si="14"/>
        <v>KU</v>
      </c>
      <c r="B191" s="427" t="str">
        <f t="shared" si="13"/>
        <v>TN</v>
      </c>
      <c r="C191" s="427" t="str">
        <f t="shared" si="15"/>
        <v>E</v>
      </c>
      <c r="D191" s="427" t="s">
        <v>3419</v>
      </c>
      <c r="E191" s="427" t="str">
        <f t="shared" si="19"/>
        <v>356</v>
      </c>
      <c r="F191" s="756" t="s">
        <v>1772</v>
      </c>
      <c r="G191" s="426" t="str">
        <f t="shared" si="18"/>
        <v/>
      </c>
      <c r="H191" s="427">
        <v>0</v>
      </c>
      <c r="I191" s="427">
        <v>0</v>
      </c>
      <c r="J191" s="427">
        <v>0</v>
      </c>
      <c r="K191" s="427">
        <v>0</v>
      </c>
      <c r="L191" s="427">
        <v>0</v>
      </c>
      <c r="M191" s="427">
        <v>0</v>
      </c>
      <c r="N191" s="427">
        <v>0</v>
      </c>
      <c r="O191" s="427">
        <v>0</v>
      </c>
      <c r="P191" s="427">
        <v>0</v>
      </c>
      <c r="Q191" s="427">
        <v>0</v>
      </c>
      <c r="R191" s="427">
        <v>0</v>
      </c>
      <c r="S191" s="427">
        <v>0</v>
      </c>
      <c r="T191" s="427">
        <v>0</v>
      </c>
      <c r="U191" s="427">
        <f t="shared" si="17"/>
        <v>0</v>
      </c>
    </row>
    <row r="192" spans="1:21">
      <c r="A192" s="427" t="str">
        <f t="shared" si="14"/>
        <v>KU</v>
      </c>
      <c r="B192" s="427" t="str">
        <f t="shared" si="13"/>
        <v>VA</v>
      </c>
      <c r="C192" s="427" t="str">
        <f t="shared" si="15"/>
        <v>E</v>
      </c>
      <c r="D192" s="427" t="s">
        <v>3419</v>
      </c>
      <c r="E192" s="427" t="str">
        <f t="shared" si="19"/>
        <v>356</v>
      </c>
      <c r="F192" s="756" t="s">
        <v>1773</v>
      </c>
      <c r="G192" s="426" t="str">
        <f t="shared" si="18"/>
        <v/>
      </c>
      <c r="H192" s="427">
        <v>0</v>
      </c>
      <c r="I192" s="427">
        <v>0</v>
      </c>
      <c r="J192" s="427">
        <v>0</v>
      </c>
      <c r="K192" s="427">
        <v>0</v>
      </c>
      <c r="L192" s="427">
        <v>0</v>
      </c>
      <c r="M192" s="427">
        <v>0</v>
      </c>
      <c r="N192" s="427">
        <v>0</v>
      </c>
      <c r="O192" s="427">
        <v>0</v>
      </c>
      <c r="P192" s="427">
        <v>0</v>
      </c>
      <c r="Q192" s="427">
        <v>0</v>
      </c>
      <c r="R192" s="427">
        <v>0</v>
      </c>
      <c r="S192" s="427">
        <v>0</v>
      </c>
      <c r="T192" s="427">
        <v>0</v>
      </c>
      <c r="U192" s="427">
        <f t="shared" si="17"/>
        <v>0</v>
      </c>
    </row>
    <row r="193" spans="1:21">
      <c r="A193" s="427" t="str">
        <f t="shared" si="14"/>
        <v>KU</v>
      </c>
      <c r="B193" s="427" t="str">
        <f t="shared" si="13"/>
        <v>KY</v>
      </c>
      <c r="C193" s="427" t="str">
        <f t="shared" si="15"/>
        <v>E</v>
      </c>
      <c r="D193" s="427" t="s">
        <v>3419</v>
      </c>
      <c r="E193" s="427" t="str">
        <f t="shared" si="19"/>
        <v>358</v>
      </c>
      <c r="F193" s="756" t="s">
        <v>1775</v>
      </c>
      <c r="G193" s="426" t="str">
        <f t="shared" si="18"/>
        <v/>
      </c>
      <c r="H193" s="427">
        <v>0</v>
      </c>
      <c r="I193" s="427">
        <v>0</v>
      </c>
      <c r="J193" s="427">
        <v>0</v>
      </c>
      <c r="K193" s="427">
        <v>0</v>
      </c>
      <c r="L193" s="427">
        <v>0</v>
      </c>
      <c r="M193" s="427">
        <v>0</v>
      </c>
      <c r="N193" s="427">
        <v>0</v>
      </c>
      <c r="O193" s="427">
        <v>0</v>
      </c>
      <c r="P193" s="427">
        <v>8885.0494579999995</v>
      </c>
      <c r="Q193" s="427">
        <v>143.5675478</v>
      </c>
      <c r="R193" s="427">
        <v>263.6012978</v>
      </c>
      <c r="S193" s="427">
        <v>263.6012978</v>
      </c>
      <c r="T193" s="427">
        <v>0</v>
      </c>
      <c r="U193" s="427">
        <f t="shared" si="17"/>
        <v>9555.8196013999986</v>
      </c>
    </row>
    <row r="194" spans="1:21">
      <c r="A194" s="427" t="str">
        <f t="shared" si="14"/>
        <v>KU</v>
      </c>
      <c r="B194" s="427" t="str">
        <f t="shared" si="13"/>
        <v>KY</v>
      </c>
      <c r="C194" s="427" t="str">
        <f t="shared" si="15"/>
        <v>E</v>
      </c>
      <c r="D194" s="427" t="s">
        <v>3419</v>
      </c>
      <c r="E194" s="427" t="str">
        <f t="shared" si="19"/>
        <v>360</v>
      </c>
      <c r="F194" s="756" t="s">
        <v>1778</v>
      </c>
      <c r="G194" s="426" t="str">
        <f t="shared" si="18"/>
        <v/>
      </c>
      <c r="H194" s="427">
        <v>0</v>
      </c>
      <c r="I194" s="427">
        <v>0</v>
      </c>
      <c r="J194" s="427">
        <v>0</v>
      </c>
      <c r="K194" s="427">
        <v>0</v>
      </c>
      <c r="L194" s="427">
        <v>0</v>
      </c>
      <c r="M194" s="427">
        <v>0</v>
      </c>
      <c r="N194" s="427">
        <v>0</v>
      </c>
      <c r="O194" s="427">
        <v>0</v>
      </c>
      <c r="P194" s="427">
        <v>288.08158580000003</v>
      </c>
      <c r="Q194" s="427">
        <v>0</v>
      </c>
      <c r="R194" s="427">
        <v>0</v>
      </c>
      <c r="S194" s="427">
        <v>0</v>
      </c>
      <c r="T194" s="427">
        <v>0</v>
      </c>
      <c r="U194" s="427">
        <f t="shared" si="17"/>
        <v>288.08158580000003</v>
      </c>
    </row>
    <row r="195" spans="1:21">
      <c r="A195" s="427" t="str">
        <f t="shared" si="14"/>
        <v>KU</v>
      </c>
      <c r="B195" s="427" t="str">
        <f t="shared" si="13"/>
        <v>TN</v>
      </c>
      <c r="C195" s="427" t="str">
        <f t="shared" si="15"/>
        <v>E</v>
      </c>
      <c r="D195" s="427" t="s">
        <v>3419</v>
      </c>
      <c r="E195" s="427" t="str">
        <f t="shared" si="19"/>
        <v>360</v>
      </c>
      <c r="F195" s="756" t="s">
        <v>1779</v>
      </c>
      <c r="G195" s="426" t="str">
        <f t="shared" si="18"/>
        <v/>
      </c>
      <c r="H195" s="427">
        <v>0</v>
      </c>
      <c r="I195" s="427">
        <v>0</v>
      </c>
      <c r="J195" s="427">
        <v>0</v>
      </c>
      <c r="K195" s="427">
        <v>0</v>
      </c>
      <c r="L195" s="427">
        <v>0</v>
      </c>
      <c r="M195" s="427">
        <v>0</v>
      </c>
      <c r="N195" s="427">
        <v>0</v>
      </c>
      <c r="O195" s="427">
        <v>0</v>
      </c>
      <c r="P195" s="427">
        <v>0</v>
      </c>
      <c r="Q195" s="427">
        <v>0</v>
      </c>
      <c r="R195" s="427">
        <v>0</v>
      </c>
      <c r="S195" s="427">
        <v>0</v>
      </c>
      <c r="T195" s="427">
        <v>0</v>
      </c>
      <c r="U195" s="427">
        <f t="shared" si="17"/>
        <v>0</v>
      </c>
    </row>
    <row r="196" spans="1:21">
      <c r="A196" s="427" t="str">
        <f t="shared" si="14"/>
        <v>KU</v>
      </c>
      <c r="B196" s="427" t="str">
        <f t="shared" ref="B196:B259" si="20">IF(MID($F196,12,2)="- ","KY",IF(MID($F196,12,2)="SY","KY",MID($F196,12,2)))</f>
        <v>VA</v>
      </c>
      <c r="C196" s="427" t="str">
        <f t="shared" si="15"/>
        <v>E</v>
      </c>
      <c r="D196" s="427" t="s">
        <v>3419</v>
      </c>
      <c r="E196" s="427" t="str">
        <f t="shared" si="19"/>
        <v>360</v>
      </c>
      <c r="F196" s="756" t="s">
        <v>1780</v>
      </c>
      <c r="G196" s="426" t="str">
        <f t="shared" si="18"/>
        <v/>
      </c>
      <c r="H196" s="427">
        <v>0</v>
      </c>
      <c r="I196" s="427">
        <v>0</v>
      </c>
      <c r="J196" s="427">
        <v>0</v>
      </c>
      <c r="K196" s="427">
        <v>0</v>
      </c>
      <c r="L196" s="427">
        <v>0</v>
      </c>
      <c r="M196" s="427">
        <v>0</v>
      </c>
      <c r="N196" s="427">
        <v>0</v>
      </c>
      <c r="O196" s="427">
        <v>0</v>
      </c>
      <c r="P196" s="427">
        <v>0</v>
      </c>
      <c r="Q196" s="427">
        <v>0</v>
      </c>
      <c r="R196" s="427">
        <v>0</v>
      </c>
      <c r="S196" s="427">
        <v>0</v>
      </c>
      <c r="T196" s="427">
        <v>0</v>
      </c>
      <c r="U196" s="427">
        <f t="shared" si="17"/>
        <v>0</v>
      </c>
    </row>
    <row r="197" spans="1:21">
      <c r="A197" s="427" t="str">
        <f t="shared" si="14"/>
        <v>KU</v>
      </c>
      <c r="B197" s="427" t="str">
        <f t="shared" si="20"/>
        <v>KY</v>
      </c>
      <c r="C197" s="427" t="str">
        <f t="shared" si="15"/>
        <v>E</v>
      </c>
      <c r="D197" s="427" t="s">
        <v>3419</v>
      </c>
      <c r="E197" s="427" t="str">
        <f t="shared" si="19"/>
        <v>361</v>
      </c>
      <c r="F197" s="756" t="s">
        <v>1781</v>
      </c>
      <c r="G197" s="426" t="str">
        <f t="shared" si="18"/>
        <v/>
      </c>
      <c r="H197" s="427">
        <v>762.84862850000002</v>
      </c>
      <c r="I197" s="427">
        <v>762.84750489999999</v>
      </c>
      <c r="J197" s="427">
        <v>762.85978680000005</v>
      </c>
      <c r="K197" s="427">
        <v>762.8433374</v>
      </c>
      <c r="L197" s="427">
        <v>762.84478739999997</v>
      </c>
      <c r="M197" s="427">
        <v>762.8622163</v>
      </c>
      <c r="N197" s="427">
        <v>762.85408280000001</v>
      </c>
      <c r="O197" s="427">
        <v>762.85659869999995</v>
      </c>
      <c r="P197" s="427">
        <v>1421.54692</v>
      </c>
      <c r="Q197" s="427">
        <v>680.23296089999997</v>
      </c>
      <c r="R197" s="427">
        <v>680.23912589999998</v>
      </c>
      <c r="S197" s="427">
        <v>680.23292249999997</v>
      </c>
      <c r="T197" s="427">
        <v>730.0480235</v>
      </c>
      <c r="U197" s="427">
        <f t="shared" si="17"/>
        <v>9532.2682670999984</v>
      </c>
    </row>
    <row r="198" spans="1:21">
      <c r="A198" s="427" t="str">
        <f t="shared" si="14"/>
        <v>KU</v>
      </c>
      <c r="B198" s="427" t="str">
        <f t="shared" si="20"/>
        <v>VA</v>
      </c>
      <c r="C198" s="427" t="str">
        <f t="shared" si="15"/>
        <v>E</v>
      </c>
      <c r="D198" s="427" t="s">
        <v>3419</v>
      </c>
      <c r="E198" s="427" t="str">
        <f t="shared" si="19"/>
        <v>361</v>
      </c>
      <c r="F198" s="756" t="s">
        <v>1783</v>
      </c>
      <c r="G198" s="426" t="str">
        <f t="shared" si="18"/>
        <v/>
      </c>
      <c r="H198" s="427">
        <v>0</v>
      </c>
      <c r="I198" s="427">
        <v>0</v>
      </c>
      <c r="J198" s="427">
        <v>0</v>
      </c>
      <c r="K198" s="427">
        <v>0</v>
      </c>
      <c r="L198" s="427">
        <v>0</v>
      </c>
      <c r="M198" s="427">
        <v>0</v>
      </c>
      <c r="N198" s="427">
        <v>0</v>
      </c>
      <c r="O198" s="427">
        <v>0</v>
      </c>
      <c r="P198" s="427">
        <v>0</v>
      </c>
      <c r="Q198" s="427">
        <v>0</v>
      </c>
      <c r="R198" s="427">
        <v>0</v>
      </c>
      <c r="S198" s="427">
        <v>0</v>
      </c>
      <c r="T198" s="427">
        <v>0</v>
      </c>
      <c r="U198" s="427">
        <f t="shared" si="17"/>
        <v>0</v>
      </c>
    </row>
    <row r="199" spans="1:21">
      <c r="A199" s="427" t="str">
        <f t="shared" ref="A199:A262" si="21">MID($F199,4,2)</f>
        <v>KU</v>
      </c>
      <c r="B199" s="427" t="str">
        <f t="shared" si="20"/>
        <v>KY</v>
      </c>
      <c r="C199" s="427" t="str">
        <f t="shared" si="15"/>
        <v>E</v>
      </c>
      <c r="D199" s="427" t="s">
        <v>3419</v>
      </c>
      <c r="E199" s="427" t="str">
        <f t="shared" si="19"/>
        <v>362</v>
      </c>
      <c r="F199" s="756" t="s">
        <v>1784</v>
      </c>
      <c r="G199" s="426" t="str">
        <f t="shared" si="18"/>
        <v/>
      </c>
      <c r="H199" s="427">
        <v>514.84660959999997</v>
      </c>
      <c r="I199" s="427">
        <v>509.894766</v>
      </c>
      <c r="J199" s="427">
        <v>3058.3059807</v>
      </c>
      <c r="K199" s="427">
        <v>817.53757984000003</v>
      </c>
      <c r="L199" s="427">
        <v>813.49485273999903</v>
      </c>
      <c r="M199" s="427">
        <v>2017.0104623</v>
      </c>
      <c r="N199" s="427">
        <v>559.28426560000003</v>
      </c>
      <c r="O199" s="427">
        <v>526.97186192999902</v>
      </c>
      <c r="P199" s="427">
        <v>15403.9884303</v>
      </c>
      <c r="Q199" s="427">
        <v>256.07052435999998</v>
      </c>
      <c r="R199" s="427">
        <v>364.67877063999998</v>
      </c>
      <c r="S199" s="427">
        <v>1770.5247288599901</v>
      </c>
      <c r="T199" s="427">
        <v>638.77203611000004</v>
      </c>
      <c r="U199" s="427">
        <f t="shared" si="17"/>
        <v>26736.534259379987</v>
      </c>
    </row>
    <row r="200" spans="1:21">
      <c r="A200" s="427" t="str">
        <f t="shared" si="21"/>
        <v>KU</v>
      </c>
      <c r="B200" s="427" t="str">
        <f t="shared" si="20"/>
        <v>VA</v>
      </c>
      <c r="C200" s="427" t="str">
        <f t="shared" ref="C200:C263" si="22">IF(ISTEXT(MID($F200,SEARCH("FUTURE USE",$F200),3)),"F",IF(MID($F200,7,1)="1","E",IF(MID($F200,7,1)="2","G",IF(MID($F200,7,1)="3","C",""))))</f>
        <v>E</v>
      </c>
      <c r="D200" s="427" t="s">
        <v>3419</v>
      </c>
      <c r="E200" s="427" t="str">
        <f t="shared" si="19"/>
        <v>362</v>
      </c>
      <c r="F200" s="756" t="s">
        <v>1786</v>
      </c>
      <c r="G200" s="426" t="str">
        <f t="shared" si="18"/>
        <v/>
      </c>
      <c r="H200" s="427">
        <v>0</v>
      </c>
      <c r="I200" s="427">
        <v>0</v>
      </c>
      <c r="J200" s="427">
        <v>0</v>
      </c>
      <c r="K200" s="427">
        <v>0</v>
      </c>
      <c r="L200" s="427">
        <v>0</v>
      </c>
      <c r="M200" s="427">
        <v>0</v>
      </c>
      <c r="N200" s="427">
        <v>0</v>
      </c>
      <c r="O200" s="427">
        <v>0</v>
      </c>
      <c r="P200" s="427">
        <v>0</v>
      </c>
      <c r="Q200" s="427">
        <v>0</v>
      </c>
      <c r="R200" s="427">
        <v>0</v>
      </c>
      <c r="S200" s="427">
        <v>0</v>
      </c>
      <c r="T200" s="427">
        <v>0</v>
      </c>
      <c r="U200" s="427">
        <f t="shared" si="17"/>
        <v>0</v>
      </c>
    </row>
    <row r="201" spans="1:21">
      <c r="A201" s="427" t="str">
        <f t="shared" si="21"/>
        <v>KU</v>
      </c>
      <c r="B201" s="427" t="str">
        <f t="shared" si="20"/>
        <v>KY</v>
      </c>
      <c r="C201" s="427" t="str">
        <f t="shared" si="22"/>
        <v>E</v>
      </c>
      <c r="D201" s="427" t="s">
        <v>3419</v>
      </c>
      <c r="E201" s="427" t="str">
        <f t="shared" si="19"/>
        <v>364</v>
      </c>
      <c r="F201" s="756" t="s">
        <v>1787</v>
      </c>
      <c r="G201" s="426" t="str">
        <f t="shared" si="18"/>
        <v/>
      </c>
      <c r="H201" s="427">
        <v>1750.8220913749999</v>
      </c>
      <c r="I201" s="427">
        <v>1794.67100604299</v>
      </c>
      <c r="J201" s="427">
        <v>1751.024113017</v>
      </c>
      <c r="K201" s="427">
        <v>1964.974794491</v>
      </c>
      <c r="L201" s="427">
        <v>2149.1634918479899</v>
      </c>
      <c r="M201" s="427">
        <v>2126.9948523429898</v>
      </c>
      <c r="N201" s="427">
        <v>1724.19324746799</v>
      </c>
      <c r="O201" s="427">
        <v>1347.82595502099</v>
      </c>
      <c r="P201" s="427">
        <v>1327.3177759599901</v>
      </c>
      <c r="Q201" s="427">
        <v>1327.9591788006001</v>
      </c>
      <c r="R201" s="427">
        <v>1325.25290745599</v>
      </c>
      <c r="S201" s="427">
        <v>1661.92343490599</v>
      </c>
      <c r="T201" s="427">
        <v>1770.7268080879901</v>
      </c>
      <c r="U201" s="427">
        <f t="shared" si="17"/>
        <v>20272.027565441513</v>
      </c>
    </row>
    <row r="202" spans="1:21">
      <c r="A202" s="427" t="str">
        <f t="shared" si="21"/>
        <v>KU</v>
      </c>
      <c r="B202" s="427" t="str">
        <f t="shared" si="20"/>
        <v>VA</v>
      </c>
      <c r="C202" s="427" t="str">
        <f t="shared" si="22"/>
        <v>E</v>
      </c>
      <c r="D202" s="427" t="s">
        <v>3419</v>
      </c>
      <c r="E202" s="427" t="str">
        <f t="shared" si="19"/>
        <v>364</v>
      </c>
      <c r="F202" s="756" t="s">
        <v>1789</v>
      </c>
      <c r="G202" s="426" t="str">
        <f t="shared" si="18"/>
        <v/>
      </c>
      <c r="H202" s="427">
        <v>31.046326123</v>
      </c>
      <c r="I202" s="427">
        <v>35.530326092000003</v>
      </c>
      <c r="J202" s="427">
        <v>26.702736829999999</v>
      </c>
      <c r="K202" s="427">
        <v>40.169371259999998</v>
      </c>
      <c r="L202" s="427">
        <v>30.93577024</v>
      </c>
      <c r="M202" s="427">
        <v>30.2751813</v>
      </c>
      <c r="N202" s="427">
        <v>31.927085770000001</v>
      </c>
      <c r="O202" s="427">
        <v>26.986544630000001</v>
      </c>
      <c r="P202" s="427">
        <v>23.156421309999999</v>
      </c>
      <c r="Q202" s="427">
        <v>32.162956889999997</v>
      </c>
      <c r="R202" s="427">
        <v>26.256480160999999</v>
      </c>
      <c r="S202" s="427">
        <v>29.542687340000001</v>
      </c>
      <c r="T202" s="427">
        <v>33.028669102000002</v>
      </c>
      <c r="U202" s="427">
        <f t="shared" si="17"/>
        <v>366.67423092499996</v>
      </c>
    </row>
    <row r="203" spans="1:21">
      <c r="A203" s="427" t="str">
        <f t="shared" si="21"/>
        <v>KU</v>
      </c>
      <c r="B203" s="427" t="str">
        <f t="shared" si="20"/>
        <v>KY</v>
      </c>
      <c r="C203" s="427" t="str">
        <f t="shared" si="22"/>
        <v>E</v>
      </c>
      <c r="D203" s="427" t="s">
        <v>3419</v>
      </c>
      <c r="E203" s="427" t="str">
        <f t="shared" si="19"/>
        <v>365</v>
      </c>
      <c r="F203" s="756" t="s">
        <v>1790</v>
      </c>
      <c r="G203" s="426" t="str">
        <f t="shared" si="18"/>
        <v/>
      </c>
      <c r="H203" s="427">
        <v>2159.9972964039898</v>
      </c>
      <c r="I203" s="427">
        <v>2583.5779630349898</v>
      </c>
      <c r="J203" s="427">
        <v>2504.9535257772</v>
      </c>
      <c r="K203" s="427">
        <v>2770.8528048179901</v>
      </c>
      <c r="L203" s="427">
        <v>4160.6916318619897</v>
      </c>
      <c r="M203" s="427">
        <v>2091.77219663599</v>
      </c>
      <c r="N203" s="427">
        <v>1909.868000923</v>
      </c>
      <c r="O203" s="427">
        <v>1981.2945255659899</v>
      </c>
      <c r="P203" s="427">
        <v>3938.7882599260001</v>
      </c>
      <c r="Q203" s="427">
        <v>1903.834422827</v>
      </c>
      <c r="R203" s="427">
        <v>1820.2358711100001</v>
      </c>
      <c r="S203" s="427">
        <v>2200.62243106399</v>
      </c>
      <c r="T203" s="427">
        <v>2000.34312311999</v>
      </c>
      <c r="U203" s="427">
        <f t="shared" si="17"/>
        <v>29866.834756664128</v>
      </c>
    </row>
    <row r="204" spans="1:21">
      <c r="A204" s="427" t="str">
        <f t="shared" si="21"/>
        <v>KU</v>
      </c>
      <c r="B204" s="427" t="str">
        <f t="shared" si="20"/>
        <v>VA</v>
      </c>
      <c r="C204" s="427" t="str">
        <f t="shared" si="22"/>
        <v>E</v>
      </c>
      <c r="D204" s="427" t="s">
        <v>3419</v>
      </c>
      <c r="E204" s="427" t="str">
        <f t="shared" si="19"/>
        <v>365</v>
      </c>
      <c r="F204" s="756" t="s">
        <v>1792</v>
      </c>
      <c r="G204" s="426" t="str">
        <f t="shared" si="18"/>
        <v/>
      </c>
      <c r="H204" s="427">
        <v>103.322824175999</v>
      </c>
      <c r="I204" s="427">
        <v>124.98149316</v>
      </c>
      <c r="J204" s="427">
        <v>131.7059855</v>
      </c>
      <c r="K204" s="427">
        <v>361.51410482699902</v>
      </c>
      <c r="L204" s="427">
        <v>126.842073917999</v>
      </c>
      <c r="M204" s="427">
        <v>105.365769794</v>
      </c>
      <c r="N204" s="427">
        <v>124.90143544599999</v>
      </c>
      <c r="O204" s="427">
        <v>89.693279942000004</v>
      </c>
      <c r="P204" s="427">
        <v>78.235184652000001</v>
      </c>
      <c r="Q204" s="427">
        <v>131.19843478999999</v>
      </c>
      <c r="R204" s="427">
        <v>111.799780439999</v>
      </c>
      <c r="S204" s="427">
        <v>93.436844520999998</v>
      </c>
      <c r="T204" s="427">
        <v>103.24147009399999</v>
      </c>
      <c r="U204" s="427">
        <f t="shared" si="17"/>
        <v>1582.9158570839973</v>
      </c>
    </row>
    <row r="205" spans="1:21">
      <c r="A205" s="427" t="str">
        <f t="shared" si="21"/>
        <v>KU</v>
      </c>
      <c r="B205" s="427" t="str">
        <f t="shared" si="20"/>
        <v>KY</v>
      </c>
      <c r="C205" s="427" t="str">
        <f t="shared" si="22"/>
        <v>E</v>
      </c>
      <c r="D205" s="427" t="s">
        <v>3419</v>
      </c>
      <c r="E205" s="427" t="str">
        <f t="shared" si="19"/>
        <v>366</v>
      </c>
      <c r="F205" s="756" t="s">
        <v>1793</v>
      </c>
      <c r="G205" s="426" t="str">
        <f t="shared" si="18"/>
        <v/>
      </c>
      <c r="H205" s="427">
        <v>0</v>
      </c>
      <c r="I205" s="427">
        <v>0</v>
      </c>
      <c r="J205" s="427">
        <v>0</v>
      </c>
      <c r="K205" s="427">
        <v>0</v>
      </c>
      <c r="L205" s="427">
        <v>0</v>
      </c>
      <c r="M205" s="427">
        <v>0</v>
      </c>
      <c r="N205" s="427">
        <v>0</v>
      </c>
      <c r="O205" s="427">
        <v>0</v>
      </c>
      <c r="P205" s="427">
        <v>0</v>
      </c>
      <c r="Q205" s="427">
        <v>0</v>
      </c>
      <c r="R205" s="427">
        <v>0</v>
      </c>
      <c r="S205" s="427">
        <v>0</v>
      </c>
      <c r="T205" s="427">
        <v>0</v>
      </c>
      <c r="U205" s="427">
        <f t="shared" si="17"/>
        <v>0</v>
      </c>
    </row>
    <row r="206" spans="1:21">
      <c r="A206" s="427" t="str">
        <f t="shared" si="21"/>
        <v>KU</v>
      </c>
      <c r="B206" s="427" t="str">
        <f t="shared" si="20"/>
        <v>KY</v>
      </c>
      <c r="C206" s="427" t="str">
        <f t="shared" si="22"/>
        <v>E</v>
      </c>
      <c r="D206" s="427" t="s">
        <v>3419</v>
      </c>
      <c r="E206" s="427" t="str">
        <f t="shared" si="19"/>
        <v>367</v>
      </c>
      <c r="F206" s="756" t="s">
        <v>1794</v>
      </c>
      <c r="G206" s="426" t="str">
        <f t="shared" si="18"/>
        <v/>
      </c>
      <c r="H206" s="427">
        <v>1179.73314026199</v>
      </c>
      <c r="I206" s="427">
        <v>1355.59539401899</v>
      </c>
      <c r="J206" s="427">
        <v>1178.16154316699</v>
      </c>
      <c r="K206" s="427">
        <v>1408.7780658629999</v>
      </c>
      <c r="L206" s="427">
        <v>1345.3204090659999</v>
      </c>
      <c r="M206" s="427">
        <v>1211.1871586239999</v>
      </c>
      <c r="N206" s="427">
        <v>2575.8301882009901</v>
      </c>
      <c r="O206" s="427">
        <v>1110.1095032220001</v>
      </c>
      <c r="P206" s="427">
        <v>2016.3614062680001</v>
      </c>
      <c r="Q206" s="427">
        <v>1303.38332471949</v>
      </c>
      <c r="R206" s="427">
        <v>1167.0915986269999</v>
      </c>
      <c r="S206" s="427">
        <v>1247.25917295199</v>
      </c>
      <c r="T206" s="427">
        <v>1214.06994678499</v>
      </c>
      <c r="U206" s="427">
        <f t="shared" si="17"/>
        <v>17133.14771151344</v>
      </c>
    </row>
    <row r="207" spans="1:21">
      <c r="A207" s="427" t="str">
        <f t="shared" si="21"/>
        <v>KU</v>
      </c>
      <c r="B207" s="427" t="str">
        <f t="shared" si="20"/>
        <v>VA</v>
      </c>
      <c r="C207" s="427" t="str">
        <f t="shared" si="22"/>
        <v>E</v>
      </c>
      <c r="D207" s="427" t="s">
        <v>3419</v>
      </c>
      <c r="E207" s="427" t="str">
        <f t="shared" si="19"/>
        <v>367</v>
      </c>
      <c r="F207" s="756" t="s">
        <v>1795</v>
      </c>
      <c r="G207" s="426" t="str">
        <f t="shared" si="18"/>
        <v/>
      </c>
      <c r="H207" s="427">
        <v>32.592543278000001</v>
      </c>
      <c r="I207" s="427">
        <v>50.285825322999997</v>
      </c>
      <c r="J207" s="427">
        <v>29.083755107000002</v>
      </c>
      <c r="K207" s="427">
        <v>52.097931621999997</v>
      </c>
      <c r="L207" s="427">
        <v>58.600054233000002</v>
      </c>
      <c r="M207" s="427">
        <v>37.404264189000003</v>
      </c>
      <c r="N207" s="427">
        <v>58.977382731999903</v>
      </c>
      <c r="O207" s="427">
        <v>28.3764874395</v>
      </c>
      <c r="P207" s="427">
        <v>17.960054646</v>
      </c>
      <c r="Q207" s="427">
        <v>56.485722144999997</v>
      </c>
      <c r="R207" s="427">
        <v>43.150078147000002</v>
      </c>
      <c r="S207" s="427">
        <v>49.231564085999999</v>
      </c>
      <c r="T207" s="427">
        <v>35.777009855999999</v>
      </c>
      <c r="U207" s="427">
        <f t="shared" ref="U207:U270" si="23">SUM(I207:T207)</f>
        <v>517.43012952549986</v>
      </c>
    </row>
    <row r="208" spans="1:21">
      <c r="A208" s="427" t="str">
        <f t="shared" si="21"/>
        <v>KU</v>
      </c>
      <c r="B208" s="427" t="str">
        <f t="shared" si="20"/>
        <v>KY</v>
      </c>
      <c r="C208" s="427" t="str">
        <f t="shared" si="22"/>
        <v>E</v>
      </c>
      <c r="D208" s="427" t="s">
        <v>3419</v>
      </c>
      <c r="E208" s="427" t="str">
        <f t="shared" si="19"/>
        <v>368</v>
      </c>
      <c r="F208" s="756" t="s">
        <v>1796</v>
      </c>
      <c r="G208" s="426" t="str">
        <f t="shared" si="18"/>
        <v/>
      </c>
      <c r="H208" s="427">
        <v>711.39929199000005</v>
      </c>
      <c r="I208" s="427">
        <v>920.62354377099996</v>
      </c>
      <c r="J208" s="427">
        <v>887.5763318393</v>
      </c>
      <c r="K208" s="427">
        <v>800.44395758399901</v>
      </c>
      <c r="L208" s="427">
        <v>848.03387282599999</v>
      </c>
      <c r="M208" s="427">
        <v>925.14981485599901</v>
      </c>
      <c r="N208" s="427">
        <v>1126.796864361</v>
      </c>
      <c r="O208" s="427">
        <v>861.49297876099899</v>
      </c>
      <c r="P208" s="427">
        <v>916.32295532059902</v>
      </c>
      <c r="Q208" s="427">
        <v>411.21914929899998</v>
      </c>
      <c r="R208" s="427">
        <v>858.10127628199996</v>
      </c>
      <c r="S208" s="427">
        <v>867.59064527099997</v>
      </c>
      <c r="T208" s="427">
        <v>734.146282947999</v>
      </c>
      <c r="U208" s="427">
        <f t="shared" si="23"/>
        <v>10157.497673118894</v>
      </c>
    </row>
    <row r="209" spans="1:21">
      <c r="A209" s="427" t="str">
        <f t="shared" si="21"/>
        <v>KU</v>
      </c>
      <c r="B209" s="427" t="str">
        <f t="shared" si="20"/>
        <v>VA</v>
      </c>
      <c r="C209" s="427" t="str">
        <f t="shared" si="22"/>
        <v>E</v>
      </c>
      <c r="D209" s="427" t="s">
        <v>3419</v>
      </c>
      <c r="E209" s="427" t="str">
        <f t="shared" si="19"/>
        <v>368</v>
      </c>
      <c r="F209" s="756" t="s">
        <v>1798</v>
      </c>
      <c r="G209" s="426" t="str">
        <f t="shared" si="18"/>
        <v/>
      </c>
      <c r="H209" s="427">
        <v>3.428403968</v>
      </c>
      <c r="I209" s="427">
        <v>6.8567983320000003</v>
      </c>
      <c r="J209" s="427">
        <v>3.428403968</v>
      </c>
      <c r="K209" s="427">
        <v>6.1359524509999996</v>
      </c>
      <c r="L209" s="427">
        <v>4.3819904879999996</v>
      </c>
      <c r="M209" s="427">
        <v>4.66580789</v>
      </c>
      <c r="N209" s="427">
        <v>7.810394456</v>
      </c>
      <c r="O209" s="427">
        <v>3.428403968</v>
      </c>
      <c r="P209" s="427">
        <v>2.1910000460000001</v>
      </c>
      <c r="Q209" s="427">
        <v>5.5821359340000001</v>
      </c>
      <c r="R209" s="427">
        <v>5.5821359340000001</v>
      </c>
      <c r="S209" s="427">
        <v>5.5821359340000001</v>
      </c>
      <c r="T209" s="427">
        <v>2.1819639049999999</v>
      </c>
      <c r="U209" s="427">
        <f t="shared" si="23"/>
        <v>57.82712330599999</v>
      </c>
    </row>
    <row r="210" spans="1:21">
      <c r="A210" s="427" t="str">
        <f t="shared" si="21"/>
        <v>KU</v>
      </c>
      <c r="B210" s="427" t="str">
        <f t="shared" si="20"/>
        <v>KY</v>
      </c>
      <c r="C210" s="427" t="str">
        <f t="shared" si="22"/>
        <v>E</v>
      </c>
      <c r="D210" s="427" t="s">
        <v>3419</v>
      </c>
      <c r="E210" s="427" t="str">
        <f t="shared" si="19"/>
        <v>369</v>
      </c>
      <c r="F210" s="756" t="s">
        <v>1799</v>
      </c>
      <c r="G210" s="426" t="str">
        <f t="shared" si="18"/>
        <v/>
      </c>
      <c r="H210" s="427">
        <v>0</v>
      </c>
      <c r="I210" s="427">
        <v>0</v>
      </c>
      <c r="J210" s="427">
        <v>0</v>
      </c>
      <c r="K210" s="427">
        <v>0</v>
      </c>
      <c r="L210" s="427">
        <v>0</v>
      </c>
      <c r="M210" s="427">
        <v>0</v>
      </c>
      <c r="N210" s="427">
        <v>0</v>
      </c>
      <c r="O210" s="427">
        <v>0</v>
      </c>
      <c r="P210" s="427">
        <v>53.775120000000001</v>
      </c>
      <c r="Q210" s="427">
        <v>0</v>
      </c>
      <c r="R210" s="427">
        <v>0</v>
      </c>
      <c r="S210" s="427">
        <v>0</v>
      </c>
      <c r="T210" s="427">
        <v>0</v>
      </c>
      <c r="U210" s="427">
        <f t="shared" si="23"/>
        <v>53.775120000000001</v>
      </c>
    </row>
    <row r="211" spans="1:21">
      <c r="A211" s="427" t="str">
        <f t="shared" si="21"/>
        <v>KU</v>
      </c>
      <c r="B211" s="427" t="str">
        <f t="shared" si="20"/>
        <v>KY</v>
      </c>
      <c r="C211" s="427" t="str">
        <f t="shared" si="22"/>
        <v>E</v>
      </c>
      <c r="D211" s="427" t="s">
        <v>3419</v>
      </c>
      <c r="E211" s="427" t="str">
        <f t="shared" si="19"/>
        <v>370</v>
      </c>
      <c r="F211" s="756" t="s">
        <v>1802</v>
      </c>
      <c r="G211" s="426" t="str">
        <f t="shared" si="18"/>
        <v/>
      </c>
      <c r="H211" s="427">
        <v>136.7384533</v>
      </c>
      <c r="I211" s="427">
        <v>142.20589459999999</v>
      </c>
      <c r="J211" s="427">
        <v>137.54433109999999</v>
      </c>
      <c r="K211" s="427">
        <v>133.60353659999899</v>
      </c>
      <c r="L211" s="427">
        <v>141.03243499999999</v>
      </c>
      <c r="M211" s="427">
        <v>95.251610779999993</v>
      </c>
      <c r="N211" s="427">
        <v>133.1818725</v>
      </c>
      <c r="O211" s="427">
        <v>143.97783279999999</v>
      </c>
      <c r="P211" s="427">
        <v>830.37660099000004</v>
      </c>
      <c r="Q211" s="427">
        <v>61.005943500000001</v>
      </c>
      <c r="R211" s="427">
        <v>225.43263949999999</v>
      </c>
      <c r="S211" s="427">
        <v>98.523135440000004</v>
      </c>
      <c r="T211" s="427">
        <v>142.7375577</v>
      </c>
      <c r="U211" s="427">
        <f t="shared" si="23"/>
        <v>2284.8733905099989</v>
      </c>
    </row>
    <row r="212" spans="1:21">
      <c r="A212" s="427" t="str">
        <f t="shared" si="21"/>
        <v>KU</v>
      </c>
      <c r="B212" s="427" t="str">
        <f t="shared" si="20"/>
        <v>KY</v>
      </c>
      <c r="C212" s="427" t="str">
        <f t="shared" si="22"/>
        <v>E</v>
      </c>
      <c r="D212" s="427" t="s">
        <v>3419</v>
      </c>
      <c r="E212" s="427" t="str">
        <f t="shared" si="19"/>
        <v>370</v>
      </c>
      <c r="F212" s="756" t="s">
        <v>2505</v>
      </c>
      <c r="G212" s="426" t="str">
        <f t="shared" si="18"/>
        <v>DSM</v>
      </c>
      <c r="H212" s="427">
        <v>0</v>
      </c>
      <c r="I212" s="427">
        <v>0</v>
      </c>
      <c r="J212" s="427">
        <v>0</v>
      </c>
      <c r="K212" s="427">
        <v>0</v>
      </c>
      <c r="L212" s="427">
        <v>0</v>
      </c>
      <c r="M212" s="427">
        <v>0</v>
      </c>
      <c r="N212" s="427">
        <v>0</v>
      </c>
      <c r="O212" s="427">
        <v>0</v>
      </c>
      <c r="P212" s="427">
        <v>0</v>
      </c>
      <c r="Q212" s="427">
        <v>0</v>
      </c>
      <c r="R212" s="427">
        <v>0</v>
      </c>
      <c r="S212" s="427">
        <v>0</v>
      </c>
      <c r="T212" s="427">
        <v>0</v>
      </c>
      <c r="U212" s="427">
        <f t="shared" si="23"/>
        <v>0</v>
      </c>
    </row>
    <row r="213" spans="1:21">
      <c r="A213" s="427" t="str">
        <f t="shared" si="21"/>
        <v>KU</v>
      </c>
      <c r="B213" s="427" t="str">
        <f t="shared" si="20"/>
        <v>VA</v>
      </c>
      <c r="C213" s="427" t="str">
        <f t="shared" si="22"/>
        <v>E</v>
      </c>
      <c r="D213" s="427" t="s">
        <v>3419</v>
      </c>
      <c r="E213" s="427" t="str">
        <f t="shared" si="19"/>
        <v>370</v>
      </c>
      <c r="F213" s="756" t="s">
        <v>1804</v>
      </c>
      <c r="G213" s="426" t="str">
        <f t="shared" si="18"/>
        <v/>
      </c>
      <c r="H213" s="427">
        <v>0</v>
      </c>
      <c r="I213" s="427">
        <v>0</v>
      </c>
      <c r="J213" s="427">
        <v>0</v>
      </c>
      <c r="K213" s="427">
        <v>0</v>
      </c>
      <c r="L213" s="427">
        <v>0</v>
      </c>
      <c r="M213" s="427">
        <v>0</v>
      </c>
      <c r="N213" s="427">
        <v>0</v>
      </c>
      <c r="O213" s="427">
        <v>0</v>
      </c>
      <c r="P213" s="427">
        <v>0</v>
      </c>
      <c r="Q213" s="427">
        <v>0</v>
      </c>
      <c r="R213" s="427">
        <v>0</v>
      </c>
      <c r="S213" s="427">
        <v>0</v>
      </c>
      <c r="T213" s="427">
        <v>0</v>
      </c>
      <c r="U213" s="427">
        <f t="shared" si="23"/>
        <v>0</v>
      </c>
    </row>
    <row r="214" spans="1:21">
      <c r="A214" s="427" t="str">
        <f t="shared" si="21"/>
        <v>KU</v>
      </c>
      <c r="B214" s="427" t="str">
        <f t="shared" si="20"/>
        <v>KY</v>
      </c>
      <c r="C214" s="427" t="str">
        <f t="shared" si="22"/>
        <v>E</v>
      </c>
      <c r="D214" s="427" t="s">
        <v>3419</v>
      </c>
      <c r="E214" s="427" t="str">
        <f t="shared" si="19"/>
        <v>371</v>
      </c>
      <c r="F214" s="756" t="s">
        <v>1805</v>
      </c>
      <c r="G214" s="426" t="str">
        <f t="shared" si="18"/>
        <v/>
      </c>
      <c r="H214" s="427">
        <v>0</v>
      </c>
      <c r="I214" s="427">
        <v>0</v>
      </c>
      <c r="J214" s="427">
        <v>0</v>
      </c>
      <c r="K214" s="427">
        <v>0</v>
      </c>
      <c r="L214" s="427">
        <v>0</v>
      </c>
      <c r="M214" s="427">
        <v>0</v>
      </c>
      <c r="N214" s="427">
        <v>0</v>
      </c>
      <c r="O214" s="427">
        <v>0</v>
      </c>
      <c r="P214" s="427">
        <v>0</v>
      </c>
      <c r="Q214" s="427">
        <v>0</v>
      </c>
      <c r="R214" s="427">
        <v>0</v>
      </c>
      <c r="S214" s="427">
        <v>0</v>
      </c>
      <c r="T214" s="427">
        <v>0</v>
      </c>
      <c r="U214" s="427">
        <f t="shared" si="23"/>
        <v>0</v>
      </c>
    </row>
    <row r="215" spans="1:21">
      <c r="A215" s="427" t="str">
        <f t="shared" si="21"/>
        <v>KU</v>
      </c>
      <c r="B215" s="427" t="str">
        <f t="shared" si="20"/>
        <v>KY</v>
      </c>
      <c r="C215" s="427" t="str">
        <f t="shared" si="22"/>
        <v>E</v>
      </c>
      <c r="D215" s="427" t="s">
        <v>3419</v>
      </c>
      <c r="E215" s="427" t="str">
        <f t="shared" si="19"/>
        <v>371</v>
      </c>
      <c r="F215" s="756" t="s">
        <v>2669</v>
      </c>
      <c r="G215" s="426" t="str">
        <f t="shared" si="18"/>
        <v/>
      </c>
      <c r="H215" s="427">
        <v>0</v>
      </c>
      <c r="I215" s="427">
        <v>0</v>
      </c>
      <c r="J215" s="427">
        <v>0</v>
      </c>
      <c r="K215" s="427">
        <v>0</v>
      </c>
      <c r="L215" s="427">
        <v>0</v>
      </c>
      <c r="M215" s="427">
        <v>0</v>
      </c>
      <c r="N215" s="427">
        <v>0</v>
      </c>
      <c r="O215" s="427">
        <v>0</v>
      </c>
      <c r="P215" s="427">
        <v>0</v>
      </c>
      <c r="Q215" s="427">
        <v>0</v>
      </c>
      <c r="R215" s="427">
        <v>0</v>
      </c>
      <c r="S215" s="427">
        <v>0</v>
      </c>
      <c r="T215" s="427">
        <v>0</v>
      </c>
      <c r="U215" s="427">
        <f t="shared" si="23"/>
        <v>0</v>
      </c>
    </row>
    <row r="216" spans="1:21">
      <c r="A216" s="427" t="str">
        <f t="shared" si="21"/>
        <v>KU</v>
      </c>
      <c r="B216" s="427" t="str">
        <f t="shared" si="20"/>
        <v>KY</v>
      </c>
      <c r="C216" s="427" t="str">
        <f t="shared" si="22"/>
        <v>E</v>
      </c>
      <c r="D216" s="427" t="s">
        <v>3419</v>
      </c>
      <c r="E216" s="427" t="str">
        <f t="shared" si="19"/>
        <v>373</v>
      </c>
      <c r="F216" s="756" t="s">
        <v>1806</v>
      </c>
      <c r="G216" s="426" t="str">
        <f t="shared" si="18"/>
        <v/>
      </c>
      <c r="H216" s="427">
        <v>566.62778648599897</v>
      </c>
      <c r="I216" s="427">
        <v>597.11267149799903</v>
      </c>
      <c r="J216" s="427">
        <v>613.58472059500002</v>
      </c>
      <c r="K216" s="427">
        <v>625.89891571799899</v>
      </c>
      <c r="L216" s="427">
        <v>619.324388828</v>
      </c>
      <c r="M216" s="427">
        <v>586.26793912999995</v>
      </c>
      <c r="N216" s="427">
        <v>633.281356276</v>
      </c>
      <c r="O216" s="427">
        <v>577.21492639799999</v>
      </c>
      <c r="P216" s="427">
        <v>573.30386194799996</v>
      </c>
      <c r="Q216" s="427">
        <v>643.55137674599996</v>
      </c>
      <c r="R216" s="427">
        <v>581.75897204999899</v>
      </c>
      <c r="S216" s="427">
        <v>633.03149409000002</v>
      </c>
      <c r="T216" s="427">
        <v>587.92422242999999</v>
      </c>
      <c r="U216" s="427">
        <f t="shared" si="23"/>
        <v>7272.2548457069961</v>
      </c>
    </row>
    <row r="217" spans="1:21">
      <c r="A217" s="427" t="str">
        <f t="shared" si="21"/>
        <v>KU</v>
      </c>
      <c r="B217" s="427" t="str">
        <f t="shared" si="20"/>
        <v>VA</v>
      </c>
      <c r="C217" s="427" t="str">
        <f t="shared" si="22"/>
        <v>E</v>
      </c>
      <c r="D217" s="427" t="s">
        <v>3419</v>
      </c>
      <c r="E217" s="427" t="str">
        <f t="shared" si="19"/>
        <v>373</v>
      </c>
      <c r="F217" s="756" t="s">
        <v>1807</v>
      </c>
      <c r="G217" s="426" t="str">
        <f t="shared" si="18"/>
        <v/>
      </c>
      <c r="H217" s="427">
        <v>13.713596664000001</v>
      </c>
      <c r="I217" s="427">
        <v>18.379404552</v>
      </c>
      <c r="J217" s="427">
        <v>16.188404507999898</v>
      </c>
      <c r="K217" s="427">
        <v>19.616808473999999</v>
      </c>
      <c r="L217" s="427">
        <v>20.570404602</v>
      </c>
      <c r="M217" s="427">
        <v>18.37941416</v>
      </c>
      <c r="N217" s="427">
        <v>14.951000585999999</v>
      </c>
      <c r="O217" s="427">
        <v>10.569010098</v>
      </c>
      <c r="P217" s="427">
        <v>9.3316157799999999</v>
      </c>
      <c r="Q217" s="427">
        <v>20.400993771</v>
      </c>
      <c r="R217" s="427">
        <v>19.182804846</v>
      </c>
      <c r="S217" s="427">
        <v>20.401003366000001</v>
      </c>
      <c r="T217" s="427">
        <v>15.782632817</v>
      </c>
      <c r="U217" s="427">
        <f t="shared" si="23"/>
        <v>203.75349755999991</v>
      </c>
    </row>
    <row r="218" spans="1:21">
      <c r="A218" s="427" t="str">
        <f t="shared" si="21"/>
        <v>KU</v>
      </c>
      <c r="B218" s="427" t="str">
        <f t="shared" si="20"/>
        <v>KY</v>
      </c>
      <c r="C218" s="427" t="str">
        <f t="shared" si="22"/>
        <v>E</v>
      </c>
      <c r="D218" s="427" t="s">
        <v>3419</v>
      </c>
      <c r="E218" s="427" t="str">
        <f t="shared" si="19"/>
        <v>389</v>
      </c>
      <c r="F218" s="756" t="s">
        <v>1809</v>
      </c>
      <c r="G218" s="426" t="str">
        <f t="shared" si="18"/>
        <v/>
      </c>
      <c r="H218" s="427">
        <v>0</v>
      </c>
      <c r="I218" s="427">
        <v>0</v>
      </c>
      <c r="J218" s="427">
        <v>0</v>
      </c>
      <c r="K218" s="427">
        <v>0</v>
      </c>
      <c r="L218" s="427">
        <v>0</v>
      </c>
      <c r="M218" s="427">
        <v>0</v>
      </c>
      <c r="N218" s="427">
        <v>0</v>
      </c>
      <c r="O218" s="427">
        <v>617.60814630000004</v>
      </c>
      <c r="P218" s="427">
        <v>19.20591855</v>
      </c>
      <c r="Q218" s="427">
        <v>0</v>
      </c>
      <c r="R218" s="427">
        <v>0</v>
      </c>
      <c r="S218" s="427">
        <v>0</v>
      </c>
      <c r="T218" s="427">
        <v>0</v>
      </c>
      <c r="U218" s="427">
        <f t="shared" si="23"/>
        <v>636.81406485000002</v>
      </c>
    </row>
    <row r="219" spans="1:21">
      <c r="A219" s="427" t="str">
        <f t="shared" si="21"/>
        <v>KU</v>
      </c>
      <c r="B219" s="427" t="str">
        <f t="shared" si="20"/>
        <v>VA</v>
      </c>
      <c r="C219" s="427" t="str">
        <f t="shared" si="22"/>
        <v>E</v>
      </c>
      <c r="D219" s="427" t="s">
        <v>3419</v>
      </c>
      <c r="E219" s="427" t="str">
        <f t="shared" si="19"/>
        <v>389</v>
      </c>
      <c r="F219" s="756" t="s">
        <v>1810</v>
      </c>
      <c r="G219" s="426" t="str">
        <f t="shared" ref="G219:G282" si="24">IF(ISTEXT(MID($F219,SEARCH("FUTURE USE",$F219),3)),"FUTURE USE",IF(ISTEXT(MID($F219,SEARCH("ECR",$F219),3)),"ECR",IF(ISTEXT(MID($F219,SEARCH("ARO",$F219),3)),"ARO",IF(ISTEXT(MID($F219,SEARCH("DSM",$F219),3)),"DSM",""))))</f>
        <v/>
      </c>
      <c r="H219" s="427">
        <v>0</v>
      </c>
      <c r="I219" s="427">
        <v>0</v>
      </c>
      <c r="J219" s="427">
        <v>0</v>
      </c>
      <c r="K219" s="427">
        <v>0</v>
      </c>
      <c r="L219" s="427">
        <v>0</v>
      </c>
      <c r="M219" s="427">
        <v>0</v>
      </c>
      <c r="N219" s="427">
        <v>0</v>
      </c>
      <c r="O219" s="427">
        <v>0</v>
      </c>
      <c r="P219" s="427">
        <v>0</v>
      </c>
      <c r="Q219" s="427">
        <v>0</v>
      </c>
      <c r="R219" s="427">
        <v>0</v>
      </c>
      <c r="S219" s="427">
        <v>0</v>
      </c>
      <c r="T219" s="427">
        <v>0</v>
      </c>
      <c r="U219" s="427">
        <f t="shared" si="23"/>
        <v>0</v>
      </c>
    </row>
    <row r="220" spans="1:21">
      <c r="A220" s="427" t="str">
        <f t="shared" si="21"/>
        <v>KU</v>
      </c>
      <c r="B220" s="427" t="str">
        <f t="shared" si="20"/>
        <v>KY</v>
      </c>
      <c r="C220" s="427" t="str">
        <f t="shared" si="22"/>
        <v>E</v>
      </c>
      <c r="D220" s="427" t="s">
        <v>3419</v>
      </c>
      <c r="E220" s="427" t="str">
        <f t="shared" si="19"/>
        <v>390</v>
      </c>
      <c r="F220" s="756" t="s">
        <v>1811</v>
      </c>
      <c r="G220" s="426" t="str">
        <f t="shared" si="24"/>
        <v/>
      </c>
      <c r="H220" s="427">
        <v>0</v>
      </c>
      <c r="I220" s="427">
        <v>0</v>
      </c>
      <c r="J220" s="427">
        <v>0</v>
      </c>
      <c r="K220" s="427">
        <v>0</v>
      </c>
      <c r="L220" s="427">
        <v>0</v>
      </c>
      <c r="M220" s="427">
        <v>0</v>
      </c>
      <c r="N220" s="427">
        <v>0</v>
      </c>
      <c r="O220" s="427">
        <v>0</v>
      </c>
      <c r="P220" s="427">
        <v>0</v>
      </c>
      <c r="Q220" s="427">
        <v>0</v>
      </c>
      <c r="R220" s="427">
        <v>0</v>
      </c>
      <c r="S220" s="427">
        <v>0</v>
      </c>
      <c r="T220" s="427">
        <v>0</v>
      </c>
      <c r="U220" s="427">
        <f t="shared" si="23"/>
        <v>0</v>
      </c>
    </row>
    <row r="221" spans="1:21">
      <c r="A221" s="427" t="str">
        <f t="shared" si="21"/>
        <v>KU</v>
      </c>
      <c r="B221" s="427" t="str">
        <f t="shared" si="20"/>
        <v>KY</v>
      </c>
      <c r="C221" s="427" t="str">
        <f t="shared" si="22"/>
        <v>E</v>
      </c>
      <c r="D221" s="427" t="s">
        <v>3419</v>
      </c>
      <c r="E221" s="427" t="str">
        <f t="shared" si="19"/>
        <v>390</v>
      </c>
      <c r="F221" s="756" t="s">
        <v>1812</v>
      </c>
      <c r="G221" s="426" t="str">
        <f t="shared" si="24"/>
        <v/>
      </c>
      <c r="H221" s="427">
        <v>19.063280039999999</v>
      </c>
      <c r="I221" s="427">
        <v>27.545604222999899</v>
      </c>
      <c r="J221" s="427">
        <v>7440.9346220399902</v>
      </c>
      <c r="K221" s="427">
        <v>22.21392591</v>
      </c>
      <c r="L221" s="427">
        <v>166.64448762999999</v>
      </c>
      <c r="M221" s="427">
        <v>407.85034928999897</v>
      </c>
      <c r="N221" s="427">
        <v>712.80097889000001</v>
      </c>
      <c r="O221" s="427">
        <v>1497.4055520300001</v>
      </c>
      <c r="P221" s="427">
        <v>1893.24526635999</v>
      </c>
      <c r="Q221" s="427">
        <v>22.369489649999998</v>
      </c>
      <c r="R221" s="427">
        <v>16.909394429999999</v>
      </c>
      <c r="S221" s="427">
        <v>17.645921520000002</v>
      </c>
      <c r="T221" s="427">
        <v>14.71805829</v>
      </c>
      <c r="U221" s="427">
        <f t="shared" si="23"/>
        <v>12240.283650262982</v>
      </c>
    </row>
    <row r="222" spans="1:21">
      <c r="A222" s="427" t="str">
        <f t="shared" si="21"/>
        <v>KU</v>
      </c>
      <c r="B222" s="427" t="str">
        <f t="shared" si="20"/>
        <v>VA</v>
      </c>
      <c r="C222" s="427" t="str">
        <f t="shared" si="22"/>
        <v>E</v>
      </c>
      <c r="D222" s="427" t="s">
        <v>3419</v>
      </c>
      <c r="E222" s="427" t="str">
        <f t="shared" si="19"/>
        <v>390</v>
      </c>
      <c r="F222" s="756" t="s">
        <v>1813</v>
      </c>
      <c r="G222" s="426" t="str">
        <f t="shared" si="24"/>
        <v/>
      </c>
      <c r="H222" s="427">
        <v>6.7221492730000003</v>
      </c>
      <c r="I222" s="427">
        <v>213.080158318</v>
      </c>
      <c r="J222" s="427">
        <v>0</v>
      </c>
      <c r="K222" s="427">
        <v>4486.827996</v>
      </c>
      <c r="L222" s="427">
        <v>28.811979489999999</v>
      </c>
      <c r="M222" s="427">
        <v>0</v>
      </c>
      <c r="N222" s="427">
        <v>0</v>
      </c>
      <c r="O222" s="427">
        <v>0</v>
      </c>
      <c r="P222" s="427">
        <v>0</v>
      </c>
      <c r="Q222" s="427">
        <v>0</v>
      </c>
      <c r="R222" s="427">
        <v>0</v>
      </c>
      <c r="S222" s="427">
        <v>0</v>
      </c>
      <c r="T222" s="427">
        <v>0</v>
      </c>
      <c r="U222" s="427">
        <f t="shared" si="23"/>
        <v>4728.7201338080004</v>
      </c>
    </row>
    <row r="223" spans="1:21">
      <c r="A223" s="427" t="str">
        <f t="shared" si="21"/>
        <v>KU</v>
      </c>
      <c r="B223" s="427" t="str">
        <f t="shared" si="20"/>
        <v>KY</v>
      </c>
      <c r="C223" s="427" t="str">
        <f t="shared" si="22"/>
        <v>E</v>
      </c>
      <c r="D223" s="427" t="s">
        <v>3419</v>
      </c>
      <c r="E223" s="427" t="str">
        <f t="shared" si="19"/>
        <v>391</v>
      </c>
      <c r="F223" s="756" t="s">
        <v>1814</v>
      </c>
      <c r="G223" s="426" t="str">
        <f t="shared" si="24"/>
        <v/>
      </c>
      <c r="H223" s="427">
        <v>0</v>
      </c>
      <c r="I223" s="427">
        <v>0</v>
      </c>
      <c r="J223" s="427">
        <v>0</v>
      </c>
      <c r="K223" s="427">
        <v>0</v>
      </c>
      <c r="L223" s="427">
        <v>0</v>
      </c>
      <c r="M223" s="427">
        <v>37.96746255</v>
      </c>
      <c r="N223" s="427">
        <v>0</v>
      </c>
      <c r="O223" s="427">
        <v>1234.9174276000001</v>
      </c>
      <c r="P223" s="427">
        <v>87.405619119999997</v>
      </c>
      <c r="Q223" s="427">
        <v>0</v>
      </c>
      <c r="R223" s="427">
        <v>0</v>
      </c>
      <c r="S223" s="427">
        <v>0</v>
      </c>
      <c r="T223" s="427">
        <v>0</v>
      </c>
      <c r="U223" s="427">
        <f t="shared" si="23"/>
        <v>1360.29050927</v>
      </c>
    </row>
    <row r="224" spans="1:21">
      <c r="A224" s="427" t="str">
        <f t="shared" si="21"/>
        <v>KU</v>
      </c>
      <c r="B224" s="427" t="str">
        <f t="shared" si="20"/>
        <v>KY</v>
      </c>
      <c r="C224" s="427" t="str">
        <f t="shared" si="22"/>
        <v>E</v>
      </c>
      <c r="D224" s="427" t="s">
        <v>3419</v>
      </c>
      <c r="E224" s="427" t="str">
        <f t="shared" si="19"/>
        <v>391</v>
      </c>
      <c r="F224" s="756" t="s">
        <v>1815</v>
      </c>
      <c r="G224" s="426" t="str">
        <f t="shared" si="24"/>
        <v/>
      </c>
      <c r="H224" s="427">
        <v>0</v>
      </c>
      <c r="I224" s="427">
        <v>222.53304660000001</v>
      </c>
      <c r="J224" s="427">
        <v>232.76944800000001</v>
      </c>
      <c r="K224" s="427">
        <v>142.11995999999999</v>
      </c>
      <c r="L224" s="427">
        <v>532.75779599999998</v>
      </c>
      <c r="M224" s="427">
        <v>409.79264897000002</v>
      </c>
      <c r="N224" s="427">
        <v>147.00281772</v>
      </c>
      <c r="O224" s="427">
        <v>706.82666870000003</v>
      </c>
      <c r="P224" s="427">
        <v>1222.5468647</v>
      </c>
      <c r="Q224" s="427">
        <v>0</v>
      </c>
      <c r="R224" s="427">
        <v>0</v>
      </c>
      <c r="S224" s="427">
        <v>115.2324</v>
      </c>
      <c r="T224" s="427">
        <v>115.2324</v>
      </c>
      <c r="U224" s="427">
        <f t="shared" si="23"/>
        <v>3846.8140506899999</v>
      </c>
    </row>
    <row r="225" spans="1:21">
      <c r="A225" s="427" t="str">
        <f t="shared" si="21"/>
        <v>KU</v>
      </c>
      <c r="B225" s="427" t="str">
        <f t="shared" si="20"/>
        <v>KY</v>
      </c>
      <c r="C225" s="427" t="str">
        <f t="shared" si="22"/>
        <v>E</v>
      </c>
      <c r="D225" s="427" t="s">
        <v>3419</v>
      </c>
      <c r="E225" s="427" t="str">
        <f t="shared" si="19"/>
        <v>392</v>
      </c>
      <c r="F225" s="756" t="s">
        <v>1818</v>
      </c>
      <c r="G225" s="426" t="str">
        <f t="shared" si="24"/>
        <v/>
      </c>
      <c r="H225" s="427">
        <v>0</v>
      </c>
      <c r="I225" s="427">
        <v>0</v>
      </c>
      <c r="J225" s="427">
        <v>0</v>
      </c>
      <c r="K225" s="427">
        <v>0</v>
      </c>
      <c r="L225" s="427">
        <v>0</v>
      </c>
      <c r="M225" s="427">
        <v>0</v>
      </c>
      <c r="N225" s="427">
        <v>0</v>
      </c>
      <c r="O225" s="427">
        <v>0</v>
      </c>
      <c r="P225" s="427">
        <v>0</v>
      </c>
      <c r="Q225" s="427">
        <v>0</v>
      </c>
      <c r="R225" s="427">
        <v>0</v>
      </c>
      <c r="S225" s="427">
        <v>0</v>
      </c>
      <c r="T225" s="427">
        <v>0</v>
      </c>
      <c r="U225" s="427">
        <f t="shared" si="23"/>
        <v>0</v>
      </c>
    </row>
    <row r="226" spans="1:21">
      <c r="A226" s="427" t="str">
        <f t="shared" si="21"/>
        <v>KU</v>
      </c>
      <c r="B226" s="427" t="str">
        <f t="shared" si="20"/>
        <v>VA</v>
      </c>
      <c r="C226" s="427" t="str">
        <f t="shared" si="22"/>
        <v>E</v>
      </c>
      <c r="D226" s="427" t="s">
        <v>3419</v>
      </c>
      <c r="E226" s="427" t="str">
        <f t="shared" si="19"/>
        <v>392</v>
      </c>
      <c r="F226" s="756" t="s">
        <v>2507</v>
      </c>
      <c r="G226" s="426" t="str">
        <f t="shared" si="24"/>
        <v/>
      </c>
      <c r="H226" s="427">
        <v>0</v>
      </c>
      <c r="I226" s="427">
        <v>0</v>
      </c>
      <c r="J226" s="427">
        <v>0</v>
      </c>
      <c r="K226" s="427">
        <v>0</v>
      </c>
      <c r="L226" s="427">
        <v>0</v>
      </c>
      <c r="M226" s="427">
        <v>0</v>
      </c>
      <c r="N226" s="427">
        <v>0</v>
      </c>
      <c r="O226" s="427">
        <v>0</v>
      </c>
      <c r="P226" s="427">
        <v>0</v>
      </c>
      <c r="Q226" s="427">
        <v>0</v>
      </c>
      <c r="R226" s="427">
        <v>0</v>
      </c>
      <c r="S226" s="427">
        <v>0</v>
      </c>
      <c r="T226" s="427">
        <v>0</v>
      </c>
      <c r="U226" s="427">
        <f t="shared" si="23"/>
        <v>0</v>
      </c>
    </row>
    <row r="227" spans="1:21">
      <c r="A227" s="427" t="str">
        <f t="shared" si="21"/>
        <v>KU</v>
      </c>
      <c r="B227" s="427" t="str">
        <f t="shared" si="20"/>
        <v>KY</v>
      </c>
      <c r="C227" s="427" t="str">
        <f t="shared" si="22"/>
        <v>E</v>
      </c>
      <c r="D227" s="427" t="s">
        <v>3419</v>
      </c>
      <c r="E227" s="427" t="str">
        <f t="shared" si="19"/>
        <v>393</v>
      </c>
      <c r="F227" s="756" t="s">
        <v>1819</v>
      </c>
      <c r="G227" s="426" t="str">
        <f t="shared" si="24"/>
        <v/>
      </c>
      <c r="H227" s="427">
        <v>0</v>
      </c>
      <c r="I227" s="427">
        <v>0</v>
      </c>
      <c r="J227" s="427">
        <v>0</v>
      </c>
      <c r="K227" s="427">
        <v>0</v>
      </c>
      <c r="L227" s="427">
        <v>0</v>
      </c>
      <c r="M227" s="427">
        <v>0</v>
      </c>
      <c r="N227" s="427">
        <v>0</v>
      </c>
      <c r="O227" s="427">
        <v>0</v>
      </c>
      <c r="P227" s="427">
        <v>0</v>
      </c>
      <c r="Q227" s="427">
        <v>0</v>
      </c>
      <c r="R227" s="427">
        <v>0</v>
      </c>
      <c r="S227" s="427">
        <v>0</v>
      </c>
      <c r="T227" s="427">
        <v>0</v>
      </c>
      <c r="U227" s="427">
        <f t="shared" si="23"/>
        <v>0</v>
      </c>
    </row>
    <row r="228" spans="1:21">
      <c r="A228" s="427" t="str">
        <f t="shared" si="21"/>
        <v>KU</v>
      </c>
      <c r="B228" s="427" t="str">
        <f t="shared" si="20"/>
        <v>KY</v>
      </c>
      <c r="C228" s="427" t="str">
        <f t="shared" si="22"/>
        <v>E</v>
      </c>
      <c r="D228" s="427" t="s">
        <v>3419</v>
      </c>
      <c r="E228" s="427" t="str">
        <f t="shared" si="19"/>
        <v>394</v>
      </c>
      <c r="F228" s="756" t="s">
        <v>1821</v>
      </c>
      <c r="G228" s="426" t="str">
        <f t="shared" si="24"/>
        <v/>
      </c>
      <c r="H228" s="427">
        <v>104.87483174899999</v>
      </c>
      <c r="I228" s="427">
        <v>256.60318611899999</v>
      </c>
      <c r="J228" s="427">
        <v>430.51248119000002</v>
      </c>
      <c r="K228" s="427">
        <v>69.918218969999998</v>
      </c>
      <c r="L228" s="427">
        <v>162.35940754999999</v>
      </c>
      <c r="M228" s="427">
        <v>678.48009373399998</v>
      </c>
      <c r="N228" s="427">
        <v>12.302018969999899</v>
      </c>
      <c r="O228" s="427">
        <v>17.127894269999999</v>
      </c>
      <c r="P228" s="427">
        <v>135.94488615</v>
      </c>
      <c r="Q228" s="427">
        <v>0.27334085549999998</v>
      </c>
      <c r="R228" s="427">
        <v>16.201589016</v>
      </c>
      <c r="S228" s="427">
        <v>226.3353029015</v>
      </c>
      <c r="T228" s="427">
        <v>320.885167594</v>
      </c>
      <c r="U228" s="427">
        <f t="shared" si="23"/>
        <v>2326.94358732</v>
      </c>
    </row>
    <row r="229" spans="1:21">
      <c r="A229" s="427" t="str">
        <f t="shared" si="21"/>
        <v>KU</v>
      </c>
      <c r="B229" s="427" t="str">
        <f t="shared" si="20"/>
        <v>VA</v>
      </c>
      <c r="C229" s="427" t="str">
        <f t="shared" si="22"/>
        <v>E</v>
      </c>
      <c r="D229" s="427" t="s">
        <v>3419</v>
      </c>
      <c r="E229" s="427" t="str">
        <f t="shared" si="19"/>
        <v>394</v>
      </c>
      <c r="F229" s="756" t="s">
        <v>1822</v>
      </c>
      <c r="G229" s="426" t="str">
        <f t="shared" si="24"/>
        <v/>
      </c>
      <c r="H229" s="427">
        <v>0</v>
      </c>
      <c r="I229" s="427">
        <v>0</v>
      </c>
      <c r="J229" s="427">
        <v>13.61144314</v>
      </c>
      <c r="K229" s="427">
        <v>0</v>
      </c>
      <c r="L229" s="427">
        <v>13.61144314</v>
      </c>
      <c r="M229" s="427">
        <v>0</v>
      </c>
      <c r="N229" s="427">
        <v>0</v>
      </c>
      <c r="O229" s="427">
        <v>0</v>
      </c>
      <c r="P229" s="427">
        <v>0</v>
      </c>
      <c r="Q229" s="427">
        <v>0</v>
      </c>
      <c r="R229" s="427">
        <v>0</v>
      </c>
      <c r="S229" s="427">
        <v>12.18198522</v>
      </c>
      <c r="T229" s="427">
        <v>0</v>
      </c>
      <c r="U229" s="427">
        <f t="shared" si="23"/>
        <v>39.404871499999999</v>
      </c>
    </row>
    <row r="230" spans="1:21">
      <c r="A230" s="427" t="str">
        <f t="shared" si="21"/>
        <v>KU</v>
      </c>
      <c r="B230" s="427" t="str">
        <f t="shared" si="20"/>
        <v>KY</v>
      </c>
      <c r="C230" s="427" t="str">
        <f t="shared" si="22"/>
        <v>E</v>
      </c>
      <c r="D230" s="427" t="s">
        <v>3419</v>
      </c>
      <c r="E230" s="427" t="str">
        <f t="shared" si="19"/>
        <v>396</v>
      </c>
      <c r="F230" s="756" t="s">
        <v>1823</v>
      </c>
      <c r="G230" s="426" t="str">
        <f t="shared" si="24"/>
        <v/>
      </c>
      <c r="H230" s="427">
        <v>0</v>
      </c>
      <c r="I230" s="427">
        <v>0</v>
      </c>
      <c r="J230" s="427">
        <v>0</v>
      </c>
      <c r="K230" s="427">
        <v>0</v>
      </c>
      <c r="L230" s="427">
        <v>0</v>
      </c>
      <c r="M230" s="427">
        <v>0</v>
      </c>
      <c r="N230" s="427">
        <v>0</v>
      </c>
      <c r="O230" s="427">
        <v>0</v>
      </c>
      <c r="P230" s="427">
        <v>0</v>
      </c>
      <c r="Q230" s="427">
        <v>0</v>
      </c>
      <c r="R230" s="427">
        <v>0</v>
      </c>
      <c r="S230" s="427">
        <v>0</v>
      </c>
      <c r="T230" s="427">
        <v>0</v>
      </c>
      <c r="U230" s="427">
        <f t="shared" si="23"/>
        <v>0</v>
      </c>
    </row>
    <row r="231" spans="1:21">
      <c r="A231" s="427" t="str">
        <f t="shared" si="21"/>
        <v>KU</v>
      </c>
      <c r="B231" s="427" t="str">
        <f t="shared" si="20"/>
        <v>KY</v>
      </c>
      <c r="C231" s="427" t="str">
        <f t="shared" si="22"/>
        <v>E</v>
      </c>
      <c r="D231" s="427" t="s">
        <v>3419</v>
      </c>
      <c r="E231" s="427" t="str">
        <f t="shared" si="19"/>
        <v>396</v>
      </c>
      <c r="F231" s="756" t="s">
        <v>2508</v>
      </c>
      <c r="G231" s="426" t="str">
        <f t="shared" si="24"/>
        <v/>
      </c>
      <c r="H231" s="427">
        <v>0</v>
      </c>
      <c r="I231" s="427">
        <v>0</v>
      </c>
      <c r="J231" s="427">
        <v>0</v>
      </c>
      <c r="K231" s="427">
        <v>0</v>
      </c>
      <c r="L231" s="427">
        <v>0</v>
      </c>
      <c r="M231" s="427">
        <v>0</v>
      </c>
      <c r="N231" s="427">
        <v>0</v>
      </c>
      <c r="O231" s="427">
        <v>0</v>
      </c>
      <c r="P231" s="427">
        <v>0</v>
      </c>
      <c r="Q231" s="427">
        <v>0</v>
      </c>
      <c r="R231" s="427">
        <v>0</v>
      </c>
      <c r="S231" s="427">
        <v>0</v>
      </c>
      <c r="T231" s="427">
        <v>0</v>
      </c>
      <c r="U231" s="427">
        <f t="shared" si="23"/>
        <v>0</v>
      </c>
    </row>
    <row r="232" spans="1:21">
      <c r="A232" s="427" t="str">
        <f t="shared" si="21"/>
        <v>KU</v>
      </c>
      <c r="B232" s="427" t="str">
        <f t="shared" si="20"/>
        <v>KY</v>
      </c>
      <c r="C232" s="427" t="str">
        <f t="shared" si="22"/>
        <v>E</v>
      </c>
      <c r="D232" s="427" t="s">
        <v>3419</v>
      </c>
      <c r="E232" s="427" t="str">
        <f t="shared" si="19"/>
        <v>397</v>
      </c>
      <c r="F232" s="756" t="s">
        <v>1825</v>
      </c>
      <c r="G232" s="426" t="str">
        <f t="shared" si="24"/>
        <v>DSM</v>
      </c>
      <c r="H232" s="427">
        <v>20.83333</v>
      </c>
      <c r="I232" s="427">
        <v>20.83333</v>
      </c>
      <c r="J232" s="427">
        <v>20.83333</v>
      </c>
      <c r="K232" s="427">
        <v>20.83333</v>
      </c>
      <c r="L232" s="427">
        <v>20.83333</v>
      </c>
      <c r="M232" s="427">
        <v>20.83333</v>
      </c>
      <c r="N232" s="427">
        <v>20.83333</v>
      </c>
      <c r="O232" s="427">
        <v>20.83333</v>
      </c>
      <c r="P232" s="427">
        <v>20.83333</v>
      </c>
      <c r="Q232" s="427">
        <v>2.5416599999999998</v>
      </c>
      <c r="R232" s="427">
        <v>2.5416699999999999</v>
      </c>
      <c r="S232" s="427">
        <v>2.5416699999999999</v>
      </c>
      <c r="T232" s="427">
        <v>2.5416699999999999</v>
      </c>
      <c r="U232" s="427">
        <f t="shared" si="23"/>
        <v>176.83331000000004</v>
      </c>
    </row>
    <row r="233" spans="1:21">
      <c r="A233" s="427" t="str">
        <f t="shared" si="21"/>
        <v>KU</v>
      </c>
      <c r="B233" s="427" t="str">
        <f t="shared" si="20"/>
        <v>KY</v>
      </c>
      <c r="C233" s="427" t="str">
        <f t="shared" si="22"/>
        <v>E</v>
      </c>
      <c r="D233" s="427" t="s">
        <v>3419</v>
      </c>
      <c r="E233" s="427" t="str">
        <f t="shared" si="19"/>
        <v>397</v>
      </c>
      <c r="F233" s="756" t="s">
        <v>1826</v>
      </c>
      <c r="G233" s="426" t="str">
        <f t="shared" si="24"/>
        <v/>
      </c>
      <c r="H233" s="427">
        <v>0</v>
      </c>
      <c r="I233" s="427">
        <v>0</v>
      </c>
      <c r="J233" s="427">
        <v>0</v>
      </c>
      <c r="K233" s="427">
        <v>0</v>
      </c>
      <c r="L233" s="427">
        <v>137.11997819999999</v>
      </c>
      <c r="M233" s="427">
        <v>297.68369999999999</v>
      </c>
      <c r="N233" s="427">
        <v>23.046479999999999</v>
      </c>
      <c r="O233" s="427">
        <v>1250.8154468999901</v>
      </c>
      <c r="P233" s="427">
        <v>1039.9577850599901</v>
      </c>
      <c r="Q233" s="427">
        <v>0</v>
      </c>
      <c r="R233" s="427">
        <v>0</v>
      </c>
      <c r="S233" s="427">
        <v>0</v>
      </c>
      <c r="T233" s="427">
        <v>0</v>
      </c>
      <c r="U233" s="427">
        <f t="shared" si="23"/>
        <v>2748.6233901599799</v>
      </c>
    </row>
    <row r="234" spans="1:21">
      <c r="A234" s="427" t="str">
        <f t="shared" si="21"/>
        <v>KY</v>
      </c>
      <c r="B234" s="427" t="str">
        <f t="shared" si="20"/>
        <v xml:space="preserve"> A</v>
      </c>
      <c r="C234" s="427" t="str">
        <f t="shared" si="22"/>
        <v/>
      </c>
      <c r="F234" s="758" t="s">
        <v>1829</v>
      </c>
      <c r="G234" s="426" t="str">
        <f t="shared" si="24"/>
        <v/>
      </c>
      <c r="H234" s="427">
        <v>62352.301185446966</v>
      </c>
      <c r="I234" s="427">
        <v>169092.73386676901</v>
      </c>
      <c r="J234" s="427">
        <v>52366.78048873748</v>
      </c>
      <c r="K234" s="427">
        <v>26937.682675196986</v>
      </c>
      <c r="L234" s="427">
        <v>19817.426782263672</v>
      </c>
      <c r="M234" s="427">
        <v>40093.936579894958</v>
      </c>
      <c r="N234" s="427">
        <v>36782.409507747972</v>
      </c>
      <c r="O234" s="427">
        <v>63740.390851854267</v>
      </c>
      <c r="P234" s="427">
        <v>180153.41585879913</v>
      </c>
      <c r="Q234" s="427">
        <v>7852.3804883415887</v>
      </c>
      <c r="R234" s="427">
        <v>14852.804162147788</v>
      </c>
      <c r="S234" s="427">
        <v>31144.477251672444</v>
      </c>
      <c r="T234" s="427">
        <v>43086.01945628105</v>
      </c>
      <c r="U234" s="427">
        <f t="shared" si="23"/>
        <v>685920.45796970639</v>
      </c>
    </row>
    <row r="235" spans="1:21">
      <c r="A235" s="427" t="str">
        <f t="shared" si="21"/>
        <v/>
      </c>
      <c r="B235" s="427" t="str">
        <f t="shared" si="20"/>
        <v/>
      </c>
      <c r="C235" s="427" t="str">
        <f t="shared" si="22"/>
        <v/>
      </c>
      <c r="E235" s="427" t="str">
        <f t="shared" si="19"/>
        <v/>
      </c>
      <c r="G235" s="426" t="str">
        <f t="shared" si="24"/>
        <v/>
      </c>
      <c r="U235" s="427">
        <f t="shared" si="23"/>
        <v>0</v>
      </c>
    </row>
    <row r="236" spans="1:21">
      <c r="A236" s="427" t="str">
        <f t="shared" si="21"/>
        <v>s:</v>
      </c>
      <c r="B236" s="427" t="str">
        <f t="shared" si="20"/>
        <v>em</v>
      </c>
      <c r="C236" s="427" t="str">
        <f t="shared" si="22"/>
        <v/>
      </c>
      <c r="E236" s="427" t="str">
        <f t="shared" si="19"/>
        <v>eti</v>
      </c>
      <c r="F236" s="759" t="s">
        <v>1830</v>
      </c>
      <c r="G236" s="426" t="str">
        <f t="shared" si="24"/>
        <v/>
      </c>
      <c r="U236" s="427">
        <f t="shared" si="23"/>
        <v>0</v>
      </c>
    </row>
    <row r="237" spans="1:21">
      <c r="A237" s="427" t="str">
        <f t="shared" si="21"/>
        <v>KU</v>
      </c>
      <c r="B237" s="427" t="str">
        <f t="shared" si="20"/>
        <v>KY</v>
      </c>
      <c r="C237" s="427" t="str">
        <f t="shared" si="22"/>
        <v>E</v>
      </c>
      <c r="D237" s="427" t="s">
        <v>3420</v>
      </c>
      <c r="E237" s="427" t="str">
        <f t="shared" si="19"/>
        <v>303</v>
      </c>
      <c r="F237" s="756" t="s">
        <v>1726</v>
      </c>
      <c r="G237" s="426" t="str">
        <f t="shared" si="24"/>
        <v/>
      </c>
      <c r="H237" s="427">
        <v>625.15374999999995</v>
      </c>
      <c r="I237" s="427">
        <v>243.64063999999999</v>
      </c>
      <c r="J237" s="427">
        <v>224.13146</v>
      </c>
      <c r="K237" s="427">
        <v>337.56756999999999</v>
      </c>
      <c r="L237" s="427">
        <v>1162.06402</v>
      </c>
      <c r="M237" s="427">
        <v>388.75876</v>
      </c>
      <c r="N237" s="427">
        <v>1944.6188500000001</v>
      </c>
      <c r="O237" s="427">
        <v>3732.3015299999902</v>
      </c>
      <c r="P237" s="427">
        <v>108.45041999999999</v>
      </c>
      <c r="Q237" s="427">
        <v>923.06745999999998</v>
      </c>
      <c r="R237" s="427">
        <v>2635.9066499999999</v>
      </c>
      <c r="S237" s="427">
        <v>261.11140999999998</v>
      </c>
      <c r="T237" s="427">
        <v>26.30894</v>
      </c>
      <c r="U237" s="427">
        <f t="shared" si="23"/>
        <v>11987.927709999989</v>
      </c>
    </row>
    <row r="238" spans="1:21">
      <c r="A238" s="427" t="str">
        <f t="shared" si="21"/>
        <v>KU</v>
      </c>
      <c r="B238" s="427" t="str">
        <f t="shared" si="20"/>
        <v>KY</v>
      </c>
      <c r="C238" s="427" t="str">
        <f t="shared" si="22"/>
        <v>E</v>
      </c>
      <c r="D238" s="427" t="s">
        <v>3420</v>
      </c>
      <c r="E238" s="427" t="str">
        <f t="shared" si="19"/>
        <v>303</v>
      </c>
      <c r="F238" s="756" t="s">
        <v>1727</v>
      </c>
      <c r="G238" s="426" t="str">
        <f t="shared" si="24"/>
        <v/>
      </c>
      <c r="H238" s="427">
        <v>37077.853470000002</v>
      </c>
      <c r="I238" s="427">
        <v>0</v>
      </c>
      <c r="J238" s="427">
        <v>0</v>
      </c>
      <c r="K238" s="427">
        <v>0</v>
      </c>
      <c r="L238" s="427">
        <v>0</v>
      </c>
      <c r="M238" s="427">
        <v>0</v>
      </c>
      <c r="N238" s="427">
        <v>0</v>
      </c>
      <c r="O238" s="427">
        <v>0</v>
      </c>
      <c r="P238" s="427">
        <v>0</v>
      </c>
      <c r="Q238" s="427">
        <v>0</v>
      </c>
      <c r="R238" s="427">
        <v>0</v>
      </c>
      <c r="S238" s="427">
        <v>0</v>
      </c>
      <c r="T238" s="427">
        <v>0</v>
      </c>
      <c r="U238" s="427">
        <f t="shared" si="23"/>
        <v>0</v>
      </c>
    </row>
    <row r="239" spans="1:21">
      <c r="A239" s="427" t="str">
        <f t="shared" si="21"/>
        <v>KU</v>
      </c>
      <c r="B239" s="427" t="str">
        <f t="shared" si="20"/>
        <v>KY</v>
      </c>
      <c r="C239" s="427" t="str">
        <f t="shared" si="22"/>
        <v>E</v>
      </c>
      <c r="D239" s="427" t="s">
        <v>3420</v>
      </c>
      <c r="E239" s="427" t="str">
        <f t="shared" si="19"/>
        <v>311</v>
      </c>
      <c r="F239" s="756" t="s">
        <v>1732</v>
      </c>
      <c r="G239" s="426" t="str">
        <f t="shared" si="24"/>
        <v/>
      </c>
      <c r="H239" s="427">
        <v>0</v>
      </c>
      <c r="I239" s="427">
        <v>0</v>
      </c>
      <c r="J239" s="427">
        <v>0</v>
      </c>
      <c r="K239" s="427">
        <v>0</v>
      </c>
      <c r="L239" s="427">
        <v>0</v>
      </c>
      <c r="M239" s="427">
        <v>0</v>
      </c>
      <c r="N239" s="427">
        <v>0</v>
      </c>
      <c r="O239" s="427">
        <v>0</v>
      </c>
      <c r="P239" s="427">
        <v>10675.505010000001</v>
      </c>
      <c r="Q239" s="427">
        <v>0</v>
      </c>
      <c r="R239" s="427">
        <v>0</v>
      </c>
      <c r="S239" s="427">
        <v>0</v>
      </c>
      <c r="T239" s="427">
        <v>0</v>
      </c>
      <c r="U239" s="427">
        <f t="shared" si="23"/>
        <v>10675.505010000001</v>
      </c>
    </row>
    <row r="240" spans="1:21">
      <c r="A240" s="427" t="str">
        <f t="shared" si="21"/>
        <v>KU</v>
      </c>
      <c r="B240" s="427" t="str">
        <f t="shared" si="20"/>
        <v>KY</v>
      </c>
      <c r="C240" s="427" t="str">
        <f t="shared" si="22"/>
        <v>E</v>
      </c>
      <c r="D240" s="427" t="s">
        <v>3420</v>
      </c>
      <c r="E240" s="427" t="str">
        <f t="shared" ref="E240:E303" si="25">MID($F240,8,3)</f>
        <v>312</v>
      </c>
      <c r="F240" s="756" t="s">
        <v>1733</v>
      </c>
      <c r="G240" s="426" t="str">
        <f t="shared" si="24"/>
        <v/>
      </c>
      <c r="H240" s="427">
        <v>87.606629999999996</v>
      </c>
      <c r="I240" s="427">
        <v>649.32977000000005</v>
      </c>
      <c r="J240" s="427">
        <v>80.667490000000001</v>
      </c>
      <c r="K240" s="427">
        <v>76.841099999999997</v>
      </c>
      <c r="L240" s="427">
        <v>827.02023999999994</v>
      </c>
      <c r="M240" s="427">
        <v>325.55905000000001</v>
      </c>
      <c r="N240" s="427">
        <v>60.641489999999997</v>
      </c>
      <c r="O240" s="427">
        <v>470.38578999999999</v>
      </c>
      <c r="P240" s="427">
        <v>6049.8340799999996</v>
      </c>
      <c r="Q240" s="427">
        <v>71.4041</v>
      </c>
      <c r="R240" s="427">
        <v>4002.2161299999998</v>
      </c>
      <c r="S240" s="427">
        <v>370.31585999999999</v>
      </c>
      <c r="T240" s="427">
        <v>87.606629999999996</v>
      </c>
      <c r="U240" s="427">
        <f t="shared" si="23"/>
        <v>13071.82173</v>
      </c>
    </row>
    <row r="241" spans="1:21">
      <c r="A241" s="427" t="str">
        <f t="shared" si="21"/>
        <v>KU</v>
      </c>
      <c r="B241" s="427" t="str">
        <f t="shared" si="20"/>
        <v>KY</v>
      </c>
      <c r="C241" s="427" t="str">
        <f t="shared" si="22"/>
        <v>E</v>
      </c>
      <c r="D241" s="427" t="s">
        <v>3420</v>
      </c>
      <c r="E241" s="427" t="str">
        <f t="shared" si="25"/>
        <v>312</v>
      </c>
      <c r="F241" s="756" t="s">
        <v>1734</v>
      </c>
      <c r="G241" s="426" t="str">
        <f t="shared" si="24"/>
        <v>ECR</v>
      </c>
      <c r="H241" s="427">
        <v>0</v>
      </c>
      <c r="I241" s="427">
        <v>0</v>
      </c>
      <c r="J241" s="427">
        <v>0</v>
      </c>
      <c r="K241" s="427">
        <v>0</v>
      </c>
      <c r="L241" s="427">
        <v>0</v>
      </c>
      <c r="M241" s="427">
        <v>0</v>
      </c>
      <c r="N241" s="427">
        <v>0</v>
      </c>
      <c r="O241" s="427">
        <v>0</v>
      </c>
      <c r="P241" s="427">
        <v>595</v>
      </c>
      <c r="Q241" s="427">
        <v>0</v>
      </c>
      <c r="R241" s="427">
        <v>0</v>
      </c>
      <c r="S241" s="427">
        <v>0</v>
      </c>
      <c r="T241" s="427">
        <v>0</v>
      </c>
      <c r="U241" s="427">
        <f t="shared" si="23"/>
        <v>595</v>
      </c>
    </row>
    <row r="242" spans="1:21">
      <c r="A242" s="427" t="str">
        <f t="shared" si="21"/>
        <v>KU</v>
      </c>
      <c r="B242" s="427" t="str">
        <f t="shared" si="20"/>
        <v>KY</v>
      </c>
      <c r="C242" s="427" t="str">
        <f t="shared" si="22"/>
        <v>E</v>
      </c>
      <c r="D242" s="427" t="s">
        <v>3420</v>
      </c>
      <c r="E242" s="427" t="str">
        <f t="shared" si="25"/>
        <v>312</v>
      </c>
      <c r="F242" s="756" t="s">
        <v>1735</v>
      </c>
      <c r="G242" s="426" t="str">
        <f t="shared" si="24"/>
        <v>ECR</v>
      </c>
      <c r="H242" s="427">
        <v>0</v>
      </c>
      <c r="I242" s="427">
        <v>0</v>
      </c>
      <c r="J242" s="427">
        <v>0</v>
      </c>
      <c r="K242" s="427">
        <v>0</v>
      </c>
      <c r="L242" s="427">
        <v>0</v>
      </c>
      <c r="M242" s="427">
        <v>0</v>
      </c>
      <c r="N242" s="427">
        <v>0</v>
      </c>
      <c r="O242" s="427">
        <v>0</v>
      </c>
      <c r="P242" s="427">
        <v>1108.0859499999999</v>
      </c>
      <c r="Q242" s="427">
        <v>0</v>
      </c>
      <c r="R242" s="427">
        <v>0</v>
      </c>
      <c r="S242" s="427">
        <v>1725</v>
      </c>
      <c r="T242" s="427">
        <v>0</v>
      </c>
      <c r="U242" s="427">
        <f t="shared" si="23"/>
        <v>2833.0859499999997</v>
      </c>
    </row>
    <row r="243" spans="1:21">
      <c r="A243" s="427" t="str">
        <f t="shared" si="21"/>
        <v>KU</v>
      </c>
      <c r="B243" s="427" t="str">
        <f t="shared" si="20"/>
        <v>KY</v>
      </c>
      <c r="C243" s="427" t="str">
        <f t="shared" si="22"/>
        <v>E</v>
      </c>
      <c r="D243" s="427" t="s">
        <v>3420</v>
      </c>
      <c r="E243" s="427" t="str">
        <f t="shared" si="25"/>
        <v>314</v>
      </c>
      <c r="F243" s="756" t="s">
        <v>1737</v>
      </c>
      <c r="G243" s="426" t="str">
        <f t="shared" si="24"/>
        <v/>
      </c>
      <c r="H243" s="427">
        <v>0</v>
      </c>
      <c r="I243" s="427">
        <v>0</v>
      </c>
      <c r="J243" s="427">
        <v>0</v>
      </c>
      <c r="K243" s="427">
        <v>0</v>
      </c>
      <c r="L243" s="427">
        <v>0</v>
      </c>
      <c r="M243" s="427">
        <v>0</v>
      </c>
      <c r="N243" s="427">
        <v>0</v>
      </c>
      <c r="O243" s="427">
        <v>0</v>
      </c>
      <c r="P243" s="427">
        <v>164.48625999999999</v>
      </c>
      <c r="Q243" s="427">
        <v>0</v>
      </c>
      <c r="R243" s="427">
        <v>0</v>
      </c>
      <c r="S243" s="427">
        <v>0</v>
      </c>
      <c r="T243" s="427">
        <v>7130.0203799999999</v>
      </c>
      <c r="U243" s="427">
        <f t="shared" si="23"/>
        <v>7294.5066399999996</v>
      </c>
    </row>
    <row r="244" spans="1:21">
      <c r="A244" s="427" t="str">
        <f t="shared" si="21"/>
        <v>KU</v>
      </c>
      <c r="B244" s="427" t="str">
        <f t="shared" si="20"/>
        <v>KY</v>
      </c>
      <c r="C244" s="427" t="str">
        <f t="shared" si="22"/>
        <v>E</v>
      </c>
      <c r="D244" s="427" t="s">
        <v>3420</v>
      </c>
      <c r="E244" s="427" t="str">
        <f t="shared" si="25"/>
        <v>315</v>
      </c>
      <c r="F244" s="756" t="s">
        <v>1738</v>
      </c>
      <c r="G244" s="426" t="str">
        <f t="shared" si="24"/>
        <v/>
      </c>
      <c r="H244" s="427">
        <v>0</v>
      </c>
      <c r="I244" s="427">
        <v>0</v>
      </c>
      <c r="J244" s="427">
        <v>0</v>
      </c>
      <c r="K244" s="427">
        <v>0</v>
      </c>
      <c r="L244" s="427">
        <v>0</v>
      </c>
      <c r="M244" s="427">
        <v>0</v>
      </c>
      <c r="N244" s="427">
        <v>0</v>
      </c>
      <c r="O244" s="427">
        <v>0</v>
      </c>
      <c r="P244" s="427">
        <v>670.41705999999999</v>
      </c>
      <c r="Q244" s="427">
        <v>0</v>
      </c>
      <c r="R244" s="427">
        <v>0</v>
      </c>
      <c r="S244" s="427">
        <v>0</v>
      </c>
      <c r="T244" s="427">
        <v>388.56673999999998</v>
      </c>
      <c r="U244" s="427">
        <f t="shared" si="23"/>
        <v>1058.9838</v>
      </c>
    </row>
    <row r="245" spans="1:21">
      <c r="A245" s="427" t="str">
        <f t="shared" si="21"/>
        <v>KU</v>
      </c>
      <c r="B245" s="427" t="str">
        <f t="shared" si="20"/>
        <v>KY</v>
      </c>
      <c r="C245" s="427" t="str">
        <f t="shared" si="22"/>
        <v>E</v>
      </c>
      <c r="D245" s="427" t="s">
        <v>3420</v>
      </c>
      <c r="E245" s="427" t="str">
        <f t="shared" si="25"/>
        <v>316</v>
      </c>
      <c r="F245" s="756" t="s">
        <v>1740</v>
      </c>
      <c r="G245" s="426" t="str">
        <f t="shared" si="24"/>
        <v/>
      </c>
      <c r="H245" s="427">
        <v>0</v>
      </c>
      <c r="I245" s="427">
        <v>0</v>
      </c>
      <c r="J245" s="427">
        <v>0</v>
      </c>
      <c r="K245" s="427">
        <v>0</v>
      </c>
      <c r="L245" s="427">
        <v>0</v>
      </c>
      <c r="M245" s="427">
        <v>0</v>
      </c>
      <c r="N245" s="427">
        <v>0</v>
      </c>
      <c r="O245" s="427">
        <v>0</v>
      </c>
      <c r="P245" s="427">
        <v>525.26948000000004</v>
      </c>
      <c r="Q245" s="427">
        <v>0</v>
      </c>
      <c r="R245" s="427">
        <v>0</v>
      </c>
      <c r="S245" s="427">
        <v>0</v>
      </c>
      <c r="T245" s="427">
        <v>11.04279</v>
      </c>
      <c r="U245" s="427">
        <f t="shared" si="23"/>
        <v>536.31227000000001</v>
      </c>
    </row>
    <row r="246" spans="1:21">
      <c r="A246" s="427" t="str">
        <f t="shared" si="21"/>
        <v>KU</v>
      </c>
      <c r="B246" s="427" t="str">
        <f t="shared" si="20"/>
        <v>KY</v>
      </c>
      <c r="C246" s="427" t="str">
        <f t="shared" si="22"/>
        <v>E</v>
      </c>
      <c r="D246" s="427" t="s">
        <v>3420</v>
      </c>
      <c r="E246" s="427" t="str">
        <f t="shared" si="25"/>
        <v>317</v>
      </c>
      <c r="F246" s="756" t="s">
        <v>1741</v>
      </c>
      <c r="G246" s="426" t="str">
        <f t="shared" si="24"/>
        <v>ARO</v>
      </c>
      <c r="H246" s="427">
        <v>0</v>
      </c>
      <c r="I246" s="427">
        <v>0</v>
      </c>
      <c r="J246" s="427">
        <v>0</v>
      </c>
      <c r="K246" s="427">
        <v>0</v>
      </c>
      <c r="L246" s="427">
        <v>0</v>
      </c>
      <c r="M246" s="427">
        <v>0</v>
      </c>
      <c r="N246" s="427">
        <v>0</v>
      </c>
      <c r="O246" s="427">
        <v>0</v>
      </c>
      <c r="P246" s="427">
        <v>0</v>
      </c>
      <c r="Q246" s="427">
        <v>13619.83841</v>
      </c>
      <c r="R246" s="427">
        <v>0</v>
      </c>
      <c r="S246" s="427">
        <v>0</v>
      </c>
      <c r="T246" s="427">
        <v>0</v>
      </c>
      <c r="U246" s="427">
        <f t="shared" si="23"/>
        <v>13619.83841</v>
      </c>
    </row>
    <row r="247" spans="1:21">
      <c r="A247" s="427" t="str">
        <f t="shared" si="21"/>
        <v>KU</v>
      </c>
      <c r="B247" s="427" t="str">
        <f t="shared" si="20"/>
        <v>KY</v>
      </c>
      <c r="C247" s="427" t="str">
        <f t="shared" si="22"/>
        <v>E</v>
      </c>
      <c r="D247" s="427" t="s">
        <v>3420</v>
      </c>
      <c r="E247" s="427" t="str">
        <f t="shared" si="25"/>
        <v>317</v>
      </c>
      <c r="F247" s="756" t="s">
        <v>2504</v>
      </c>
      <c r="G247" s="426" t="str">
        <f t="shared" si="24"/>
        <v>ARO</v>
      </c>
      <c r="H247" s="427">
        <v>0</v>
      </c>
      <c r="I247" s="427">
        <v>0</v>
      </c>
      <c r="J247" s="427">
        <v>0</v>
      </c>
      <c r="K247" s="427">
        <v>0</v>
      </c>
      <c r="L247" s="427">
        <v>0</v>
      </c>
      <c r="M247" s="427">
        <v>0</v>
      </c>
      <c r="N247" s="427">
        <v>0</v>
      </c>
      <c r="O247" s="427">
        <v>0</v>
      </c>
      <c r="P247" s="427">
        <v>0</v>
      </c>
      <c r="Q247" s="427">
        <v>48344.916409999998</v>
      </c>
      <c r="R247" s="427">
        <v>0</v>
      </c>
      <c r="S247" s="427">
        <v>0</v>
      </c>
      <c r="T247" s="427">
        <v>0</v>
      </c>
      <c r="U247" s="427">
        <f t="shared" si="23"/>
        <v>48344.916409999998</v>
      </c>
    </row>
    <row r="248" spans="1:21">
      <c r="A248" s="427" t="str">
        <f t="shared" si="21"/>
        <v>KU</v>
      </c>
      <c r="B248" s="427" t="str">
        <f t="shared" si="20"/>
        <v>KY</v>
      </c>
      <c r="C248" s="427" t="str">
        <f t="shared" si="22"/>
        <v>E</v>
      </c>
      <c r="D248" s="427" t="s">
        <v>3420</v>
      </c>
      <c r="E248" s="427" t="str">
        <f t="shared" si="25"/>
        <v>343</v>
      </c>
      <c r="F248" s="756" t="s">
        <v>1753</v>
      </c>
      <c r="G248" s="426" t="str">
        <f t="shared" si="24"/>
        <v/>
      </c>
      <c r="H248" s="427">
        <v>0</v>
      </c>
      <c r="I248" s="427">
        <v>0</v>
      </c>
      <c r="J248" s="427">
        <v>0</v>
      </c>
      <c r="K248" s="427">
        <v>0</v>
      </c>
      <c r="L248" s="427">
        <v>0</v>
      </c>
      <c r="M248" s="427">
        <v>0</v>
      </c>
      <c r="N248" s="427">
        <v>0</v>
      </c>
      <c r="O248" s="427">
        <v>0</v>
      </c>
      <c r="P248" s="427">
        <v>0</v>
      </c>
      <c r="Q248" s="427">
        <v>0</v>
      </c>
      <c r="R248" s="427">
        <v>0</v>
      </c>
      <c r="S248" s="427">
        <v>0</v>
      </c>
      <c r="T248" s="427">
        <v>0</v>
      </c>
      <c r="U248" s="427">
        <f t="shared" si="23"/>
        <v>0</v>
      </c>
    </row>
    <row r="249" spans="1:21">
      <c r="A249" s="427" t="str">
        <f t="shared" si="21"/>
        <v>KU</v>
      </c>
      <c r="B249" s="427" t="str">
        <f t="shared" si="20"/>
        <v>KY</v>
      </c>
      <c r="C249" s="427" t="str">
        <f t="shared" si="22"/>
        <v>E</v>
      </c>
      <c r="D249" s="427" t="s">
        <v>3420</v>
      </c>
      <c r="E249" s="427" t="str">
        <f t="shared" si="25"/>
        <v>343</v>
      </c>
      <c r="F249" s="756" t="s">
        <v>2203</v>
      </c>
      <c r="G249" s="426" t="str">
        <f t="shared" si="24"/>
        <v/>
      </c>
      <c r="H249" s="427">
        <v>0</v>
      </c>
      <c r="I249" s="427">
        <v>0</v>
      </c>
      <c r="J249" s="427">
        <v>0</v>
      </c>
      <c r="K249" s="427">
        <v>0</v>
      </c>
      <c r="L249" s="427">
        <v>0</v>
      </c>
      <c r="M249" s="427">
        <v>0</v>
      </c>
      <c r="N249" s="427">
        <v>0</v>
      </c>
      <c r="O249" s="427">
        <v>0</v>
      </c>
      <c r="P249" s="427">
        <v>0</v>
      </c>
      <c r="Q249" s="427">
        <v>0</v>
      </c>
      <c r="R249" s="427">
        <v>0</v>
      </c>
      <c r="S249" s="427">
        <v>0</v>
      </c>
      <c r="T249" s="427">
        <v>4093.3631999999998</v>
      </c>
      <c r="U249" s="427">
        <f t="shared" si="23"/>
        <v>4093.3631999999998</v>
      </c>
    </row>
    <row r="250" spans="1:21">
      <c r="A250" s="427" t="str">
        <f t="shared" si="21"/>
        <v>KU</v>
      </c>
      <c r="B250" s="427" t="str">
        <f t="shared" si="20"/>
        <v>KY</v>
      </c>
      <c r="C250" s="427" t="str">
        <f t="shared" si="22"/>
        <v>E</v>
      </c>
      <c r="D250" s="427" t="s">
        <v>3420</v>
      </c>
      <c r="E250" s="427" t="str">
        <f t="shared" si="25"/>
        <v>352</v>
      </c>
      <c r="F250" s="756" t="s">
        <v>1761</v>
      </c>
      <c r="G250" s="426" t="str">
        <f t="shared" si="24"/>
        <v/>
      </c>
      <c r="H250" s="427">
        <v>0</v>
      </c>
      <c r="I250" s="427">
        <v>0</v>
      </c>
      <c r="J250" s="427">
        <v>0</v>
      </c>
      <c r="K250" s="427">
        <v>0</v>
      </c>
      <c r="L250" s="427">
        <v>0</v>
      </c>
      <c r="M250" s="427">
        <v>0</v>
      </c>
      <c r="N250" s="427">
        <v>0</v>
      </c>
      <c r="O250" s="427">
        <v>0</v>
      </c>
      <c r="P250" s="427">
        <v>0</v>
      </c>
      <c r="Q250" s="427">
        <v>0</v>
      </c>
      <c r="R250" s="427">
        <v>0</v>
      </c>
      <c r="S250" s="427">
        <v>0</v>
      </c>
      <c r="T250" s="427">
        <v>0</v>
      </c>
      <c r="U250" s="427">
        <f t="shared" si="23"/>
        <v>0</v>
      </c>
    </row>
    <row r="251" spans="1:21">
      <c r="A251" s="427" t="str">
        <f t="shared" si="21"/>
        <v>KU</v>
      </c>
      <c r="B251" s="427" t="str">
        <f t="shared" si="20"/>
        <v>KY</v>
      </c>
      <c r="C251" s="427" t="str">
        <f t="shared" si="22"/>
        <v>E</v>
      </c>
      <c r="D251" s="427" t="s">
        <v>3420</v>
      </c>
      <c r="E251" s="427" t="str">
        <f t="shared" si="25"/>
        <v>353</v>
      </c>
      <c r="F251" s="756" t="s">
        <v>1763</v>
      </c>
      <c r="G251" s="426" t="str">
        <f t="shared" si="24"/>
        <v/>
      </c>
      <c r="H251" s="427">
        <v>204.87817999999999</v>
      </c>
      <c r="I251" s="427">
        <v>129.78362999999999</v>
      </c>
      <c r="J251" s="427">
        <v>250.01791</v>
      </c>
      <c r="K251" s="427">
        <v>62.264339999999997</v>
      </c>
      <c r="L251" s="427">
        <v>193.04396</v>
      </c>
      <c r="M251" s="427">
        <v>36.964790000000001</v>
      </c>
      <c r="N251" s="427">
        <v>174.89222000000001</v>
      </c>
      <c r="O251" s="427">
        <v>105.52124000000001</v>
      </c>
      <c r="P251" s="427">
        <v>214.03357</v>
      </c>
      <c r="Q251" s="427">
        <v>13.30273</v>
      </c>
      <c r="R251" s="427">
        <v>95.425169999999994</v>
      </c>
      <c r="S251" s="427">
        <v>64.645679999999999</v>
      </c>
      <c r="T251" s="427">
        <v>204.87817999999999</v>
      </c>
      <c r="U251" s="427">
        <f t="shared" si="23"/>
        <v>1544.7734200000002</v>
      </c>
    </row>
    <row r="252" spans="1:21">
      <c r="A252" s="427" t="str">
        <f t="shared" si="21"/>
        <v>KU</v>
      </c>
      <c r="B252" s="427" t="str">
        <f t="shared" si="20"/>
        <v>KY</v>
      </c>
      <c r="C252" s="427" t="str">
        <f t="shared" si="22"/>
        <v>E</v>
      </c>
      <c r="D252" s="427" t="s">
        <v>3420</v>
      </c>
      <c r="E252" s="427" t="str">
        <f t="shared" si="25"/>
        <v>353</v>
      </c>
      <c r="F252" s="756" t="s">
        <v>1764</v>
      </c>
      <c r="G252" s="426" t="str">
        <f t="shared" si="24"/>
        <v/>
      </c>
      <c r="H252" s="427">
        <v>0</v>
      </c>
      <c r="I252" s="427">
        <v>0</v>
      </c>
      <c r="J252" s="427">
        <v>0</v>
      </c>
      <c r="K252" s="427">
        <v>0</v>
      </c>
      <c r="L252" s="427">
        <v>0</v>
      </c>
      <c r="M252" s="427">
        <v>0</v>
      </c>
      <c r="N252" s="427">
        <v>0</v>
      </c>
      <c r="O252" s="427">
        <v>0</v>
      </c>
      <c r="P252" s="427">
        <v>0</v>
      </c>
      <c r="Q252" s="427">
        <v>0</v>
      </c>
      <c r="R252" s="427">
        <v>0</v>
      </c>
      <c r="S252" s="427">
        <v>0</v>
      </c>
      <c r="T252" s="427">
        <v>0</v>
      </c>
      <c r="U252" s="427">
        <f t="shared" si="23"/>
        <v>0</v>
      </c>
    </row>
    <row r="253" spans="1:21">
      <c r="A253" s="427" t="str">
        <f t="shared" si="21"/>
        <v>KU</v>
      </c>
      <c r="B253" s="427" t="str">
        <f t="shared" si="20"/>
        <v>VA</v>
      </c>
      <c r="C253" s="427" t="str">
        <f t="shared" si="22"/>
        <v>E</v>
      </c>
      <c r="D253" s="427" t="s">
        <v>3420</v>
      </c>
      <c r="E253" s="427" t="str">
        <f t="shared" si="25"/>
        <v>353</v>
      </c>
      <c r="F253" s="756" t="s">
        <v>1765</v>
      </c>
      <c r="G253" s="426" t="str">
        <f t="shared" si="24"/>
        <v/>
      </c>
      <c r="H253" s="427">
        <v>0</v>
      </c>
      <c r="I253" s="427">
        <v>0</v>
      </c>
      <c r="J253" s="427">
        <v>0</v>
      </c>
      <c r="K253" s="427">
        <v>0</v>
      </c>
      <c r="L253" s="427">
        <v>0</v>
      </c>
      <c r="M253" s="427">
        <v>0</v>
      </c>
      <c r="N253" s="427">
        <v>0</v>
      </c>
      <c r="O253" s="427">
        <v>0</v>
      </c>
      <c r="P253" s="427">
        <v>0</v>
      </c>
      <c r="Q253" s="427">
        <v>0</v>
      </c>
      <c r="R253" s="427">
        <v>0</v>
      </c>
      <c r="S253" s="427">
        <v>0</v>
      </c>
      <c r="T253" s="427">
        <v>0</v>
      </c>
      <c r="U253" s="427">
        <f t="shared" si="23"/>
        <v>0</v>
      </c>
    </row>
    <row r="254" spans="1:21">
      <c r="A254" s="427" t="str">
        <f t="shared" si="21"/>
        <v>KU</v>
      </c>
      <c r="B254" s="427" t="str">
        <f t="shared" si="20"/>
        <v>KY</v>
      </c>
      <c r="C254" s="427" t="str">
        <f t="shared" si="22"/>
        <v>E</v>
      </c>
      <c r="D254" s="427" t="s">
        <v>3420</v>
      </c>
      <c r="E254" s="427" t="str">
        <f t="shared" si="25"/>
        <v>355</v>
      </c>
      <c r="F254" s="756" t="s">
        <v>1768</v>
      </c>
      <c r="G254" s="426" t="str">
        <f t="shared" si="24"/>
        <v/>
      </c>
      <c r="H254" s="427">
        <v>292.06072</v>
      </c>
      <c r="I254" s="427">
        <v>185.01091</v>
      </c>
      <c r="J254" s="427">
        <v>356.408919999999</v>
      </c>
      <c r="K254" s="427">
        <v>88.759900000000002</v>
      </c>
      <c r="L254" s="427">
        <v>275.19063999999997</v>
      </c>
      <c r="M254" s="427">
        <v>52.69455</v>
      </c>
      <c r="N254" s="427">
        <v>249.31473</v>
      </c>
      <c r="O254" s="427">
        <v>150.42407</v>
      </c>
      <c r="P254" s="427">
        <v>305.11201999999997</v>
      </c>
      <c r="Q254" s="427">
        <v>18.96349</v>
      </c>
      <c r="R254" s="427">
        <v>136.03176999999999</v>
      </c>
      <c r="S254" s="427">
        <v>92.154579999999996</v>
      </c>
      <c r="T254" s="427">
        <v>292.06072</v>
      </c>
      <c r="U254" s="427">
        <f t="shared" si="23"/>
        <v>2202.126299999999</v>
      </c>
    </row>
    <row r="255" spans="1:21">
      <c r="A255" s="427" t="str">
        <f t="shared" si="21"/>
        <v>KU</v>
      </c>
      <c r="B255" s="427" t="str">
        <f t="shared" si="20"/>
        <v>TN</v>
      </c>
      <c r="C255" s="427" t="str">
        <f t="shared" si="22"/>
        <v>E</v>
      </c>
      <c r="D255" s="427" t="s">
        <v>3420</v>
      </c>
      <c r="E255" s="427" t="str">
        <f t="shared" si="25"/>
        <v>355</v>
      </c>
      <c r="F255" s="756" t="s">
        <v>1769</v>
      </c>
      <c r="G255" s="426" t="str">
        <f t="shared" si="24"/>
        <v/>
      </c>
      <c r="H255" s="427">
        <v>0</v>
      </c>
      <c r="I255" s="427">
        <v>0</v>
      </c>
      <c r="J255" s="427">
        <v>0</v>
      </c>
      <c r="K255" s="427">
        <v>0</v>
      </c>
      <c r="L255" s="427">
        <v>0</v>
      </c>
      <c r="M255" s="427">
        <v>0</v>
      </c>
      <c r="N255" s="427">
        <v>0</v>
      </c>
      <c r="O255" s="427">
        <v>0</v>
      </c>
      <c r="P255" s="427">
        <v>0</v>
      </c>
      <c r="Q255" s="427">
        <v>0</v>
      </c>
      <c r="R255" s="427">
        <v>0</v>
      </c>
      <c r="S255" s="427">
        <v>0</v>
      </c>
      <c r="T255" s="427">
        <v>0</v>
      </c>
      <c r="U255" s="427">
        <f t="shared" si="23"/>
        <v>0</v>
      </c>
    </row>
    <row r="256" spans="1:21">
      <c r="A256" s="427" t="str">
        <f t="shared" si="21"/>
        <v>KU</v>
      </c>
      <c r="B256" s="427" t="str">
        <f t="shared" si="20"/>
        <v>VA</v>
      </c>
      <c r="C256" s="427" t="str">
        <f t="shared" si="22"/>
        <v>E</v>
      </c>
      <c r="D256" s="427" t="s">
        <v>3420</v>
      </c>
      <c r="E256" s="427" t="str">
        <f t="shared" si="25"/>
        <v>355</v>
      </c>
      <c r="F256" s="756" t="s">
        <v>1770</v>
      </c>
      <c r="G256" s="426" t="str">
        <f t="shared" si="24"/>
        <v/>
      </c>
      <c r="H256" s="427">
        <v>0</v>
      </c>
      <c r="I256" s="427">
        <v>0</v>
      </c>
      <c r="J256" s="427">
        <v>0</v>
      </c>
      <c r="K256" s="427">
        <v>0</v>
      </c>
      <c r="L256" s="427">
        <v>0</v>
      </c>
      <c r="M256" s="427">
        <v>0</v>
      </c>
      <c r="N256" s="427">
        <v>0</v>
      </c>
      <c r="O256" s="427">
        <v>0</v>
      </c>
      <c r="P256" s="427">
        <v>0</v>
      </c>
      <c r="Q256" s="427">
        <v>0</v>
      </c>
      <c r="R256" s="427">
        <v>0</v>
      </c>
      <c r="S256" s="427">
        <v>0</v>
      </c>
      <c r="T256" s="427">
        <v>0</v>
      </c>
      <c r="U256" s="427">
        <f t="shared" si="23"/>
        <v>0</v>
      </c>
    </row>
    <row r="257" spans="1:21">
      <c r="A257" s="427" t="str">
        <f t="shared" si="21"/>
        <v>KU</v>
      </c>
      <c r="B257" s="427" t="str">
        <f t="shared" si="20"/>
        <v>KY</v>
      </c>
      <c r="C257" s="427" t="str">
        <f t="shared" si="22"/>
        <v>E</v>
      </c>
      <c r="D257" s="427" t="s">
        <v>3420</v>
      </c>
      <c r="E257" s="427" t="str">
        <f t="shared" si="25"/>
        <v>356</v>
      </c>
      <c r="F257" s="756" t="s">
        <v>1771</v>
      </c>
      <c r="G257" s="426" t="str">
        <f t="shared" si="24"/>
        <v/>
      </c>
      <c r="H257" s="427">
        <v>166.28202999999999</v>
      </c>
      <c r="I257" s="427">
        <v>105.33423000000001</v>
      </c>
      <c r="J257" s="427">
        <v>202.91808</v>
      </c>
      <c r="K257" s="427">
        <v>50.534619999999997</v>
      </c>
      <c r="L257" s="427">
        <v>156.67721</v>
      </c>
      <c r="M257" s="427">
        <v>30.001149999999999</v>
      </c>
      <c r="N257" s="427">
        <v>141.94499999999999</v>
      </c>
      <c r="O257" s="427">
        <v>85.642529999999994</v>
      </c>
      <c r="P257" s="427">
        <v>173.71268000000001</v>
      </c>
      <c r="Q257" s="427">
        <v>10.79668</v>
      </c>
      <c r="R257" s="427">
        <v>77.448409999999996</v>
      </c>
      <c r="S257" s="427">
        <v>52.467349999999897</v>
      </c>
      <c r="T257" s="427">
        <v>166.28202999999999</v>
      </c>
      <c r="U257" s="427">
        <f t="shared" si="23"/>
        <v>1253.7599700000001</v>
      </c>
    </row>
    <row r="258" spans="1:21">
      <c r="A258" s="427" t="str">
        <f t="shared" si="21"/>
        <v>KU</v>
      </c>
      <c r="B258" s="427" t="str">
        <f t="shared" si="20"/>
        <v>TN</v>
      </c>
      <c r="C258" s="427" t="str">
        <f t="shared" si="22"/>
        <v>E</v>
      </c>
      <c r="D258" s="427" t="s">
        <v>3420</v>
      </c>
      <c r="E258" s="427" t="str">
        <f t="shared" si="25"/>
        <v>356</v>
      </c>
      <c r="F258" s="756" t="s">
        <v>1772</v>
      </c>
      <c r="G258" s="426" t="str">
        <f t="shared" si="24"/>
        <v/>
      </c>
      <c r="H258" s="427">
        <v>0</v>
      </c>
      <c r="I258" s="427">
        <v>0</v>
      </c>
      <c r="J258" s="427">
        <v>0</v>
      </c>
      <c r="K258" s="427">
        <v>0</v>
      </c>
      <c r="L258" s="427">
        <v>0</v>
      </c>
      <c r="M258" s="427">
        <v>0</v>
      </c>
      <c r="N258" s="427">
        <v>0</v>
      </c>
      <c r="O258" s="427">
        <v>0</v>
      </c>
      <c r="P258" s="427">
        <v>0</v>
      </c>
      <c r="Q258" s="427">
        <v>0</v>
      </c>
      <c r="R258" s="427">
        <v>0</v>
      </c>
      <c r="S258" s="427">
        <v>0</v>
      </c>
      <c r="T258" s="427">
        <v>0</v>
      </c>
      <c r="U258" s="427">
        <f t="shared" si="23"/>
        <v>0</v>
      </c>
    </row>
    <row r="259" spans="1:21">
      <c r="A259" s="427" t="str">
        <f t="shared" si="21"/>
        <v>KU</v>
      </c>
      <c r="B259" s="427" t="str">
        <f t="shared" si="20"/>
        <v>VA</v>
      </c>
      <c r="C259" s="427" t="str">
        <f t="shared" si="22"/>
        <v>E</v>
      </c>
      <c r="D259" s="427" t="s">
        <v>3420</v>
      </c>
      <c r="E259" s="427" t="str">
        <f t="shared" si="25"/>
        <v>356</v>
      </c>
      <c r="F259" s="756" t="s">
        <v>1773</v>
      </c>
      <c r="G259" s="426" t="str">
        <f t="shared" si="24"/>
        <v/>
      </c>
      <c r="H259" s="427">
        <v>0</v>
      </c>
      <c r="I259" s="427">
        <v>0</v>
      </c>
      <c r="J259" s="427">
        <v>0</v>
      </c>
      <c r="K259" s="427">
        <v>0</v>
      </c>
      <c r="L259" s="427">
        <v>0</v>
      </c>
      <c r="M259" s="427">
        <v>0</v>
      </c>
      <c r="N259" s="427">
        <v>0</v>
      </c>
      <c r="O259" s="427">
        <v>0</v>
      </c>
      <c r="P259" s="427">
        <v>0</v>
      </c>
      <c r="Q259" s="427">
        <v>0</v>
      </c>
      <c r="R259" s="427">
        <v>0</v>
      </c>
      <c r="S259" s="427">
        <v>0</v>
      </c>
      <c r="T259" s="427">
        <v>0</v>
      </c>
      <c r="U259" s="427">
        <f t="shared" si="23"/>
        <v>0</v>
      </c>
    </row>
    <row r="260" spans="1:21">
      <c r="A260" s="427" t="str">
        <f t="shared" si="21"/>
        <v>KU</v>
      </c>
      <c r="B260" s="427" t="str">
        <f t="shared" ref="B260:B342" si="26">IF(MID($F260,12,2)="- ","KY",IF(MID($F260,12,2)="SY","KY",MID($F260,12,2)))</f>
        <v>KY</v>
      </c>
      <c r="C260" s="427" t="str">
        <f t="shared" si="22"/>
        <v>E</v>
      </c>
      <c r="D260" s="427" t="s">
        <v>3420</v>
      </c>
      <c r="E260" s="427" t="str">
        <f t="shared" si="25"/>
        <v>359</v>
      </c>
      <c r="F260" s="756" t="s">
        <v>1776</v>
      </c>
      <c r="G260" s="426" t="str">
        <f t="shared" si="24"/>
        <v>ARO</v>
      </c>
      <c r="H260" s="427">
        <v>0</v>
      </c>
      <c r="I260" s="427">
        <v>0</v>
      </c>
      <c r="J260" s="427">
        <v>0</v>
      </c>
      <c r="K260" s="427">
        <v>0</v>
      </c>
      <c r="L260" s="427">
        <v>0</v>
      </c>
      <c r="M260" s="427">
        <v>0</v>
      </c>
      <c r="N260" s="427">
        <v>0</v>
      </c>
      <c r="O260" s="427">
        <v>0</v>
      </c>
      <c r="P260" s="427">
        <v>0</v>
      </c>
      <c r="Q260" s="427">
        <v>0</v>
      </c>
      <c r="R260" s="427">
        <v>0</v>
      </c>
      <c r="S260" s="427">
        <v>0</v>
      </c>
      <c r="T260" s="427">
        <v>0</v>
      </c>
      <c r="U260" s="427">
        <f t="shared" si="23"/>
        <v>0</v>
      </c>
    </row>
    <row r="261" spans="1:21">
      <c r="A261" s="427" t="str">
        <f t="shared" si="21"/>
        <v>KU</v>
      </c>
      <c r="B261" s="427" t="str">
        <f t="shared" si="26"/>
        <v>KY</v>
      </c>
      <c r="C261" s="427" t="str">
        <f t="shared" si="22"/>
        <v>E</v>
      </c>
      <c r="D261" s="427" t="s">
        <v>3420</v>
      </c>
      <c r="E261" s="427" t="str">
        <f t="shared" si="25"/>
        <v>361</v>
      </c>
      <c r="F261" s="756" t="s">
        <v>1781</v>
      </c>
      <c r="G261" s="426" t="str">
        <f t="shared" si="24"/>
        <v/>
      </c>
      <c r="H261" s="427">
        <v>0</v>
      </c>
      <c r="I261" s="427">
        <v>0</v>
      </c>
      <c r="J261" s="427">
        <v>0</v>
      </c>
      <c r="K261" s="427">
        <v>0</v>
      </c>
      <c r="L261" s="427">
        <v>0</v>
      </c>
      <c r="M261" s="427">
        <v>0</v>
      </c>
      <c r="N261" s="427">
        <v>0</v>
      </c>
      <c r="O261" s="427">
        <v>0</v>
      </c>
      <c r="P261" s="427">
        <v>0</v>
      </c>
      <c r="Q261" s="427">
        <v>0</v>
      </c>
      <c r="R261" s="427">
        <v>0</v>
      </c>
      <c r="S261" s="427">
        <v>0</v>
      </c>
      <c r="T261" s="427">
        <v>0</v>
      </c>
      <c r="U261" s="427">
        <f t="shared" si="23"/>
        <v>0</v>
      </c>
    </row>
    <row r="262" spans="1:21">
      <c r="A262" s="427" t="str">
        <f t="shared" si="21"/>
        <v>KU</v>
      </c>
      <c r="B262" s="427" t="str">
        <f t="shared" si="26"/>
        <v>KY</v>
      </c>
      <c r="C262" s="427" t="str">
        <f t="shared" si="22"/>
        <v>E</v>
      </c>
      <c r="D262" s="427" t="s">
        <v>3420</v>
      </c>
      <c r="E262" s="427" t="str">
        <f t="shared" si="25"/>
        <v>362</v>
      </c>
      <c r="F262" s="756" t="s">
        <v>1784</v>
      </c>
      <c r="G262" s="426" t="str">
        <f t="shared" si="24"/>
        <v/>
      </c>
      <c r="H262" s="427">
        <v>80.694580000000002</v>
      </c>
      <c r="I262" s="427">
        <v>112.95932000000001</v>
      </c>
      <c r="J262" s="427">
        <v>45.03631</v>
      </c>
      <c r="K262" s="427">
        <v>250.92045999999999</v>
      </c>
      <c r="L262" s="427">
        <v>202.40492</v>
      </c>
      <c r="M262" s="427">
        <v>11.539440000000001</v>
      </c>
      <c r="N262" s="427">
        <v>64.133610000000004</v>
      </c>
      <c r="O262" s="427">
        <v>22.528860000000002</v>
      </c>
      <c r="P262" s="427">
        <v>123.10214999999999</v>
      </c>
      <c r="Q262" s="427">
        <v>6.8259799999999897</v>
      </c>
      <c r="R262" s="427">
        <v>85.160139999999998</v>
      </c>
      <c r="S262" s="427">
        <v>64.546589999999995</v>
      </c>
      <c r="T262" s="427">
        <v>80.694580000000002</v>
      </c>
      <c r="U262" s="427">
        <f t="shared" si="23"/>
        <v>1069.8523600000001</v>
      </c>
    </row>
    <row r="263" spans="1:21">
      <c r="A263" s="427" t="str">
        <f t="shared" ref="A263:A329" si="27">MID($F263,4,2)</f>
        <v>KU</v>
      </c>
      <c r="B263" s="427" t="str">
        <f t="shared" si="26"/>
        <v>VA</v>
      </c>
      <c r="C263" s="427" t="str">
        <f t="shared" si="22"/>
        <v>E</v>
      </c>
      <c r="D263" s="427" t="s">
        <v>3420</v>
      </c>
      <c r="E263" s="427" t="str">
        <f t="shared" si="25"/>
        <v>362</v>
      </c>
      <c r="F263" s="756" t="s">
        <v>1786</v>
      </c>
      <c r="G263" s="426" t="str">
        <f t="shared" si="24"/>
        <v/>
      </c>
      <c r="H263" s="427">
        <v>0</v>
      </c>
      <c r="I263" s="427">
        <v>0</v>
      </c>
      <c r="J263" s="427">
        <v>0</v>
      </c>
      <c r="K263" s="427">
        <v>0</v>
      </c>
      <c r="L263" s="427">
        <v>0</v>
      </c>
      <c r="M263" s="427">
        <v>0</v>
      </c>
      <c r="N263" s="427">
        <v>0</v>
      </c>
      <c r="O263" s="427">
        <v>0</v>
      </c>
      <c r="P263" s="427">
        <v>0</v>
      </c>
      <c r="Q263" s="427">
        <v>0</v>
      </c>
      <c r="R263" s="427">
        <v>0</v>
      </c>
      <c r="S263" s="427">
        <v>0</v>
      </c>
      <c r="T263" s="427">
        <v>0</v>
      </c>
      <c r="U263" s="427">
        <f t="shared" si="23"/>
        <v>0</v>
      </c>
    </row>
    <row r="264" spans="1:21">
      <c r="A264" s="427" t="str">
        <f t="shared" si="27"/>
        <v>KU</v>
      </c>
      <c r="B264" s="427" t="str">
        <f t="shared" si="26"/>
        <v>KY</v>
      </c>
      <c r="C264" s="427" t="str">
        <f t="shared" ref="C264:C346" si="28">IF(ISTEXT(MID($F264,SEARCH("FUTURE USE",$F264),3)),"F",IF(MID($F264,7,1)="1","E",IF(MID($F264,7,1)="2","G",IF(MID($F264,7,1)="3","C",""))))</f>
        <v>E</v>
      </c>
      <c r="D264" s="427" t="s">
        <v>3420</v>
      </c>
      <c r="E264" s="427" t="str">
        <f t="shared" si="25"/>
        <v>364</v>
      </c>
      <c r="F264" s="756" t="s">
        <v>1787</v>
      </c>
      <c r="G264" s="426" t="str">
        <f t="shared" si="24"/>
        <v/>
      </c>
      <c r="H264" s="427">
        <v>139.14545999999899</v>
      </c>
      <c r="I264" s="427">
        <v>194.78108</v>
      </c>
      <c r="J264" s="427">
        <v>77.658230000000003</v>
      </c>
      <c r="K264" s="427">
        <v>432.67396000000002</v>
      </c>
      <c r="L264" s="427">
        <v>349.01632999999998</v>
      </c>
      <c r="M264" s="427">
        <v>19.898009999999999</v>
      </c>
      <c r="N264" s="427">
        <v>110.58861</v>
      </c>
      <c r="O264" s="427">
        <v>38.847569999999997</v>
      </c>
      <c r="P264" s="427">
        <v>212.27082999999999</v>
      </c>
      <c r="Q264" s="427">
        <v>11.770350000000001</v>
      </c>
      <c r="R264" s="427">
        <v>146.84563</v>
      </c>
      <c r="S264" s="427">
        <v>111.30073</v>
      </c>
      <c r="T264" s="427">
        <v>139.14545999999899</v>
      </c>
      <c r="U264" s="427">
        <f t="shared" si="23"/>
        <v>1844.796789999999</v>
      </c>
    </row>
    <row r="265" spans="1:21">
      <c r="A265" s="427" t="str">
        <f t="shared" si="27"/>
        <v>KU</v>
      </c>
      <c r="B265" s="427" t="str">
        <f t="shared" si="26"/>
        <v>VA</v>
      </c>
      <c r="C265" s="427" t="str">
        <f t="shared" si="28"/>
        <v>E</v>
      </c>
      <c r="D265" s="427" t="s">
        <v>3420</v>
      </c>
      <c r="E265" s="427" t="str">
        <f t="shared" si="25"/>
        <v>364</v>
      </c>
      <c r="F265" s="756" t="s">
        <v>1789</v>
      </c>
      <c r="G265" s="426" t="str">
        <f t="shared" si="24"/>
        <v/>
      </c>
      <c r="H265" s="427">
        <v>0</v>
      </c>
      <c r="I265" s="427">
        <v>0</v>
      </c>
      <c r="J265" s="427">
        <v>0</v>
      </c>
      <c r="K265" s="427">
        <v>0</v>
      </c>
      <c r="L265" s="427">
        <v>0</v>
      </c>
      <c r="M265" s="427">
        <v>0</v>
      </c>
      <c r="N265" s="427">
        <v>0</v>
      </c>
      <c r="O265" s="427">
        <v>0</v>
      </c>
      <c r="P265" s="427">
        <v>0</v>
      </c>
      <c r="Q265" s="427">
        <v>0</v>
      </c>
      <c r="R265" s="427">
        <v>0</v>
      </c>
      <c r="S265" s="427">
        <v>0</v>
      </c>
      <c r="T265" s="427">
        <v>0</v>
      </c>
      <c r="U265" s="427">
        <f t="shared" si="23"/>
        <v>0</v>
      </c>
    </row>
    <row r="266" spans="1:21">
      <c r="A266" s="427" t="str">
        <f t="shared" si="27"/>
        <v>KU</v>
      </c>
      <c r="B266" s="427" t="str">
        <f t="shared" si="26"/>
        <v>KY</v>
      </c>
      <c r="C266" s="427" t="str">
        <f t="shared" si="28"/>
        <v>E</v>
      </c>
      <c r="D266" s="427" t="s">
        <v>3420</v>
      </c>
      <c r="E266" s="427" t="str">
        <f t="shared" si="25"/>
        <v>365</v>
      </c>
      <c r="F266" s="756" t="s">
        <v>1790</v>
      </c>
      <c r="G266" s="426" t="str">
        <f t="shared" si="24"/>
        <v/>
      </c>
      <c r="H266" s="427">
        <v>502.07398000000001</v>
      </c>
      <c r="I266" s="427">
        <v>702.82214999999997</v>
      </c>
      <c r="J266" s="427">
        <v>280.21163000000001</v>
      </c>
      <c r="K266" s="427">
        <v>1561.2031999999999</v>
      </c>
      <c r="L266" s="427">
        <v>1259.34412</v>
      </c>
      <c r="M266" s="427">
        <v>71.797319999999999</v>
      </c>
      <c r="N266" s="427">
        <v>399.03323999999998</v>
      </c>
      <c r="O266" s="427">
        <v>140.17241000000001</v>
      </c>
      <c r="P266" s="427">
        <v>765.92989999999998</v>
      </c>
      <c r="Q266" s="427">
        <v>42.470570000000002</v>
      </c>
      <c r="R266" s="427">
        <v>529.85825999999997</v>
      </c>
      <c r="S266" s="427">
        <v>401.60275000000001</v>
      </c>
      <c r="T266" s="427">
        <v>502.07398000000001</v>
      </c>
      <c r="U266" s="427">
        <f t="shared" si="23"/>
        <v>6656.5195300000005</v>
      </c>
    </row>
    <row r="267" spans="1:21">
      <c r="A267" s="427" t="str">
        <f t="shared" si="27"/>
        <v>KU</v>
      </c>
      <c r="B267" s="427" t="str">
        <f t="shared" si="26"/>
        <v>VA</v>
      </c>
      <c r="C267" s="427" t="str">
        <f t="shared" si="28"/>
        <v>E</v>
      </c>
      <c r="D267" s="427" t="s">
        <v>3420</v>
      </c>
      <c r="E267" s="427" t="str">
        <f t="shared" si="25"/>
        <v>365</v>
      </c>
      <c r="F267" s="756" t="s">
        <v>1792</v>
      </c>
      <c r="G267" s="426" t="str">
        <f t="shared" si="24"/>
        <v/>
      </c>
      <c r="H267" s="427">
        <v>0</v>
      </c>
      <c r="I267" s="427">
        <v>0</v>
      </c>
      <c r="J267" s="427">
        <v>0</v>
      </c>
      <c r="K267" s="427">
        <v>0</v>
      </c>
      <c r="L267" s="427">
        <v>0</v>
      </c>
      <c r="M267" s="427">
        <v>0</v>
      </c>
      <c r="N267" s="427">
        <v>0</v>
      </c>
      <c r="O267" s="427">
        <v>0</v>
      </c>
      <c r="P267" s="427">
        <v>0</v>
      </c>
      <c r="Q267" s="427">
        <v>0</v>
      </c>
      <c r="R267" s="427">
        <v>0</v>
      </c>
      <c r="S267" s="427">
        <v>0</v>
      </c>
      <c r="T267" s="427">
        <v>0</v>
      </c>
      <c r="U267" s="427">
        <f t="shared" si="23"/>
        <v>0</v>
      </c>
    </row>
    <row r="268" spans="1:21">
      <c r="A268" s="427" t="str">
        <f t="shared" si="27"/>
        <v>KU</v>
      </c>
      <c r="B268" s="427" t="str">
        <f t="shared" si="26"/>
        <v>KY</v>
      </c>
      <c r="C268" s="427" t="str">
        <f t="shared" si="28"/>
        <v>E</v>
      </c>
      <c r="D268" s="427" t="s">
        <v>3420</v>
      </c>
      <c r="E268" s="427" t="str">
        <f t="shared" si="25"/>
        <v>367</v>
      </c>
      <c r="F268" s="756" t="s">
        <v>1794</v>
      </c>
      <c r="G268" s="426" t="str">
        <f t="shared" si="24"/>
        <v/>
      </c>
      <c r="H268" s="427">
        <v>0</v>
      </c>
      <c r="I268" s="427">
        <v>0</v>
      </c>
      <c r="J268" s="427">
        <v>0</v>
      </c>
      <c r="K268" s="427">
        <v>0</v>
      </c>
      <c r="L268" s="427">
        <v>0</v>
      </c>
      <c r="M268" s="427">
        <v>0</v>
      </c>
      <c r="N268" s="427">
        <v>0</v>
      </c>
      <c r="O268" s="427">
        <v>0</v>
      </c>
      <c r="P268" s="427">
        <v>0</v>
      </c>
      <c r="Q268" s="427">
        <v>0</v>
      </c>
      <c r="R268" s="427">
        <v>0</v>
      </c>
      <c r="S268" s="427">
        <v>0</v>
      </c>
      <c r="T268" s="427">
        <v>0</v>
      </c>
      <c r="U268" s="427">
        <f t="shared" si="23"/>
        <v>0</v>
      </c>
    </row>
    <row r="269" spans="1:21">
      <c r="A269" s="427" t="str">
        <f t="shared" si="27"/>
        <v>KU</v>
      </c>
      <c r="B269" s="427" t="str">
        <f t="shared" si="26"/>
        <v>VA</v>
      </c>
      <c r="C269" s="427" t="str">
        <f t="shared" si="28"/>
        <v>E</v>
      </c>
      <c r="D269" s="427" t="s">
        <v>3420</v>
      </c>
      <c r="E269" s="427" t="str">
        <f t="shared" si="25"/>
        <v>367</v>
      </c>
      <c r="F269" s="756" t="s">
        <v>1795</v>
      </c>
      <c r="G269" s="426" t="str">
        <f t="shared" si="24"/>
        <v/>
      </c>
      <c r="H269" s="427">
        <v>0</v>
      </c>
      <c r="I269" s="427">
        <v>0</v>
      </c>
      <c r="J269" s="427">
        <v>0</v>
      </c>
      <c r="K269" s="427">
        <v>0</v>
      </c>
      <c r="L269" s="427">
        <v>0</v>
      </c>
      <c r="M269" s="427">
        <v>0</v>
      </c>
      <c r="N269" s="427">
        <v>0</v>
      </c>
      <c r="O269" s="427">
        <v>0</v>
      </c>
      <c r="P269" s="427">
        <v>0</v>
      </c>
      <c r="Q269" s="427">
        <v>0</v>
      </c>
      <c r="R269" s="427">
        <v>0</v>
      </c>
      <c r="S269" s="427">
        <v>0</v>
      </c>
      <c r="T269" s="427">
        <v>0</v>
      </c>
      <c r="U269" s="427">
        <f t="shared" si="23"/>
        <v>0</v>
      </c>
    </row>
    <row r="270" spans="1:21">
      <c r="A270" s="427" t="str">
        <f t="shared" si="27"/>
        <v>KU</v>
      </c>
      <c r="B270" s="427" t="str">
        <f t="shared" si="26"/>
        <v>KY</v>
      </c>
      <c r="C270" s="427" t="str">
        <f t="shared" si="28"/>
        <v>E</v>
      </c>
      <c r="D270" s="427" t="s">
        <v>3420</v>
      </c>
      <c r="E270" s="427" t="str">
        <f t="shared" si="25"/>
        <v>368</v>
      </c>
      <c r="F270" s="756" t="s">
        <v>1796</v>
      </c>
      <c r="G270" s="426" t="str">
        <f t="shared" si="24"/>
        <v/>
      </c>
      <c r="H270" s="427">
        <v>263.08702</v>
      </c>
      <c r="I270" s="427">
        <v>368.279169999999</v>
      </c>
      <c r="J270" s="427">
        <v>146.83104</v>
      </c>
      <c r="K270" s="427">
        <v>818.07128</v>
      </c>
      <c r="L270" s="427">
        <v>659.89697000000001</v>
      </c>
      <c r="M270" s="427">
        <v>37.621830000000003</v>
      </c>
      <c r="N270" s="427">
        <v>209.09361999999999</v>
      </c>
      <c r="O270" s="427">
        <v>73.450410000000005</v>
      </c>
      <c r="P270" s="427">
        <v>401.347659999999</v>
      </c>
      <c r="Q270" s="427">
        <v>22.2546</v>
      </c>
      <c r="R270" s="427">
        <v>277.64600000000002</v>
      </c>
      <c r="S270" s="427">
        <v>210.44004999999899</v>
      </c>
      <c r="T270" s="427">
        <v>263.08702</v>
      </c>
      <c r="U270" s="427">
        <f t="shared" si="23"/>
        <v>3488.019649999997</v>
      </c>
    </row>
    <row r="271" spans="1:21">
      <c r="A271" s="427" t="str">
        <f t="shared" si="27"/>
        <v>KU</v>
      </c>
      <c r="B271" s="427" t="str">
        <f t="shared" si="26"/>
        <v>VA</v>
      </c>
      <c r="C271" s="427" t="str">
        <f t="shared" si="28"/>
        <v>E</v>
      </c>
      <c r="D271" s="427" t="s">
        <v>3420</v>
      </c>
      <c r="E271" s="427" t="str">
        <f t="shared" si="25"/>
        <v>368</v>
      </c>
      <c r="F271" s="756" t="s">
        <v>1798</v>
      </c>
      <c r="G271" s="426" t="str">
        <f t="shared" si="24"/>
        <v/>
      </c>
      <c r="H271" s="427">
        <v>0</v>
      </c>
      <c r="I271" s="427">
        <v>0</v>
      </c>
      <c r="J271" s="427">
        <v>0</v>
      </c>
      <c r="K271" s="427">
        <v>0</v>
      </c>
      <c r="L271" s="427">
        <v>0</v>
      </c>
      <c r="M271" s="427">
        <v>0</v>
      </c>
      <c r="N271" s="427">
        <v>0</v>
      </c>
      <c r="O271" s="427">
        <v>0</v>
      </c>
      <c r="P271" s="427">
        <v>0</v>
      </c>
      <c r="Q271" s="427">
        <v>0</v>
      </c>
      <c r="R271" s="427">
        <v>0</v>
      </c>
      <c r="S271" s="427">
        <v>0</v>
      </c>
      <c r="T271" s="427">
        <v>0</v>
      </c>
      <c r="U271" s="427">
        <f t="shared" ref="U271:U306" si="29">SUM(I271:T271)</f>
        <v>0</v>
      </c>
    </row>
    <row r="272" spans="1:21">
      <c r="A272" s="427" t="str">
        <f t="shared" si="27"/>
        <v>KU</v>
      </c>
      <c r="B272" s="427" t="str">
        <f t="shared" si="26"/>
        <v>KY</v>
      </c>
      <c r="C272" s="427" t="str">
        <f t="shared" si="28"/>
        <v>E</v>
      </c>
      <c r="D272" s="427" t="s">
        <v>3420</v>
      </c>
      <c r="E272" s="427" t="str">
        <f t="shared" si="25"/>
        <v>370</v>
      </c>
      <c r="F272" s="756" t="s">
        <v>1802</v>
      </c>
      <c r="G272" s="426" t="str">
        <f t="shared" si="24"/>
        <v/>
      </c>
      <c r="H272" s="427">
        <v>0</v>
      </c>
      <c r="I272" s="427">
        <v>0</v>
      </c>
      <c r="J272" s="427">
        <v>0</v>
      </c>
      <c r="K272" s="427">
        <v>0</v>
      </c>
      <c r="L272" s="427">
        <v>0</v>
      </c>
      <c r="M272" s="427">
        <v>0</v>
      </c>
      <c r="N272" s="427">
        <v>0</v>
      </c>
      <c r="O272" s="427">
        <v>0</v>
      </c>
      <c r="P272" s="427">
        <v>0</v>
      </c>
      <c r="Q272" s="427">
        <v>0</v>
      </c>
      <c r="R272" s="427">
        <v>0</v>
      </c>
      <c r="S272" s="427">
        <v>0</v>
      </c>
      <c r="T272" s="427">
        <v>0</v>
      </c>
      <c r="U272" s="427">
        <f t="shared" si="29"/>
        <v>0</v>
      </c>
    </row>
    <row r="273" spans="1:22">
      <c r="A273" s="427" t="str">
        <f t="shared" si="27"/>
        <v>KU</v>
      </c>
      <c r="B273" s="427" t="str">
        <f t="shared" si="26"/>
        <v>VA</v>
      </c>
      <c r="C273" s="427" t="str">
        <f t="shared" si="28"/>
        <v>E</v>
      </c>
      <c r="D273" s="427" t="s">
        <v>3420</v>
      </c>
      <c r="E273" s="427" t="str">
        <f t="shared" si="25"/>
        <v>370</v>
      </c>
      <c r="F273" s="756" t="s">
        <v>1804</v>
      </c>
      <c r="G273" s="426" t="str">
        <f t="shared" si="24"/>
        <v/>
      </c>
      <c r="H273" s="427">
        <v>0</v>
      </c>
      <c r="I273" s="427">
        <v>0</v>
      </c>
      <c r="J273" s="427">
        <v>0</v>
      </c>
      <c r="K273" s="427">
        <v>0</v>
      </c>
      <c r="L273" s="427">
        <v>0</v>
      </c>
      <c r="M273" s="427">
        <v>0</v>
      </c>
      <c r="N273" s="427">
        <v>0</v>
      </c>
      <c r="O273" s="427">
        <v>0</v>
      </c>
      <c r="P273" s="427">
        <v>0</v>
      </c>
      <c r="Q273" s="427">
        <v>0</v>
      </c>
      <c r="R273" s="427">
        <v>0</v>
      </c>
      <c r="S273" s="427">
        <v>0</v>
      </c>
      <c r="T273" s="427">
        <v>0</v>
      </c>
      <c r="U273" s="427">
        <f t="shared" si="29"/>
        <v>0</v>
      </c>
    </row>
    <row r="274" spans="1:22">
      <c r="A274" s="427" t="str">
        <f t="shared" si="27"/>
        <v>KU</v>
      </c>
      <c r="B274" s="427" t="str">
        <f t="shared" si="26"/>
        <v>KY</v>
      </c>
      <c r="C274" s="427" t="str">
        <f t="shared" si="28"/>
        <v>E</v>
      </c>
      <c r="D274" s="427" t="s">
        <v>3420</v>
      </c>
      <c r="E274" s="427" t="str">
        <f t="shared" si="25"/>
        <v>373</v>
      </c>
      <c r="F274" s="756" t="s">
        <v>1806</v>
      </c>
      <c r="G274" s="426" t="str">
        <f t="shared" si="24"/>
        <v/>
      </c>
      <c r="H274" s="427">
        <v>278.85165000000001</v>
      </c>
      <c r="I274" s="427">
        <v>390.34708999999998</v>
      </c>
      <c r="J274" s="427">
        <v>155.6294</v>
      </c>
      <c r="K274" s="427">
        <v>867.09151999999995</v>
      </c>
      <c r="L274" s="427">
        <v>699.43912999999998</v>
      </c>
      <c r="M274" s="427">
        <v>39.876199999999997</v>
      </c>
      <c r="N274" s="427">
        <v>221.62287000000001</v>
      </c>
      <c r="O274" s="427">
        <v>77.851690000000005</v>
      </c>
      <c r="P274" s="427">
        <v>425.39713</v>
      </c>
      <c r="Q274" s="427">
        <v>23.58813</v>
      </c>
      <c r="R274" s="427">
        <v>294.28303</v>
      </c>
      <c r="S274" s="427">
        <v>223.04998000000001</v>
      </c>
      <c r="T274" s="427">
        <v>278.85165000000001</v>
      </c>
      <c r="U274" s="427">
        <f t="shared" si="29"/>
        <v>3697.0278199999998</v>
      </c>
    </row>
    <row r="275" spans="1:22">
      <c r="A275" s="427" t="str">
        <f t="shared" si="27"/>
        <v>KU</v>
      </c>
      <c r="B275" s="427" t="str">
        <f t="shared" si="26"/>
        <v>VA</v>
      </c>
      <c r="C275" s="427" t="str">
        <f t="shared" si="28"/>
        <v>E</v>
      </c>
      <c r="D275" s="427" t="s">
        <v>3420</v>
      </c>
      <c r="E275" s="427" t="str">
        <f t="shared" si="25"/>
        <v>373</v>
      </c>
      <c r="F275" s="756" t="s">
        <v>1807</v>
      </c>
      <c r="G275" s="426" t="str">
        <f t="shared" si="24"/>
        <v/>
      </c>
      <c r="H275" s="427">
        <v>0</v>
      </c>
      <c r="I275" s="427">
        <v>0</v>
      </c>
      <c r="J275" s="427">
        <v>0</v>
      </c>
      <c r="K275" s="427">
        <v>0</v>
      </c>
      <c r="L275" s="427">
        <v>0</v>
      </c>
      <c r="M275" s="427">
        <v>0</v>
      </c>
      <c r="N275" s="427">
        <v>0</v>
      </c>
      <c r="O275" s="427">
        <v>0</v>
      </c>
      <c r="P275" s="427">
        <v>0</v>
      </c>
      <c r="Q275" s="427">
        <v>0</v>
      </c>
      <c r="R275" s="427">
        <v>0</v>
      </c>
      <c r="S275" s="427">
        <v>0</v>
      </c>
      <c r="T275" s="427">
        <v>0</v>
      </c>
      <c r="U275" s="427">
        <f t="shared" si="29"/>
        <v>0</v>
      </c>
    </row>
    <row r="276" spans="1:22">
      <c r="A276" s="427" t="str">
        <f t="shared" si="27"/>
        <v>KU</v>
      </c>
      <c r="B276" s="427" t="str">
        <f t="shared" si="26"/>
        <v>KY</v>
      </c>
      <c r="C276" s="427" t="str">
        <f t="shared" si="28"/>
        <v>E</v>
      </c>
      <c r="D276" s="427" t="s">
        <v>3420</v>
      </c>
      <c r="E276" s="427" t="str">
        <f t="shared" si="25"/>
        <v>374</v>
      </c>
      <c r="F276" s="756" t="s">
        <v>1808</v>
      </c>
      <c r="G276" s="426" t="str">
        <f t="shared" si="24"/>
        <v>ARO</v>
      </c>
      <c r="H276" s="427">
        <v>0</v>
      </c>
      <c r="I276" s="427">
        <v>0</v>
      </c>
      <c r="J276" s="427">
        <v>0</v>
      </c>
      <c r="K276" s="427">
        <v>0</v>
      </c>
      <c r="L276" s="427">
        <v>0</v>
      </c>
      <c r="M276" s="427">
        <v>0</v>
      </c>
      <c r="N276" s="427">
        <v>0</v>
      </c>
      <c r="O276" s="427">
        <v>0</v>
      </c>
      <c r="P276" s="427">
        <v>0</v>
      </c>
      <c r="Q276" s="427">
        <v>0</v>
      </c>
      <c r="R276" s="427">
        <v>0</v>
      </c>
      <c r="S276" s="427">
        <v>0</v>
      </c>
      <c r="T276" s="427">
        <v>0</v>
      </c>
      <c r="U276" s="427">
        <f t="shared" si="29"/>
        <v>0</v>
      </c>
    </row>
    <row r="277" spans="1:22">
      <c r="A277" s="427" t="str">
        <f t="shared" si="27"/>
        <v>KU</v>
      </c>
      <c r="B277" s="427" t="str">
        <f t="shared" si="26"/>
        <v>KY</v>
      </c>
      <c r="C277" s="427" t="str">
        <f t="shared" si="28"/>
        <v>E</v>
      </c>
      <c r="D277" s="427" t="s">
        <v>3420</v>
      </c>
      <c r="E277" s="427" t="str">
        <f t="shared" si="25"/>
        <v>390</v>
      </c>
      <c r="F277" s="756" t="s">
        <v>1811</v>
      </c>
      <c r="G277" s="426" t="str">
        <f t="shared" si="24"/>
        <v/>
      </c>
      <c r="H277" s="427">
        <v>0</v>
      </c>
      <c r="I277" s="427">
        <v>0</v>
      </c>
      <c r="J277" s="427">
        <v>0</v>
      </c>
      <c r="K277" s="427">
        <v>0</v>
      </c>
      <c r="L277" s="427">
        <v>0</v>
      </c>
      <c r="M277" s="427">
        <v>0</v>
      </c>
      <c r="N277" s="427">
        <v>0</v>
      </c>
      <c r="O277" s="427">
        <v>0</v>
      </c>
      <c r="P277" s="427">
        <v>0</v>
      </c>
      <c r="Q277" s="427">
        <v>0</v>
      </c>
      <c r="R277" s="427">
        <v>0</v>
      </c>
      <c r="S277" s="427">
        <v>0</v>
      </c>
      <c r="T277" s="427">
        <v>0</v>
      </c>
      <c r="U277" s="427">
        <f t="shared" si="29"/>
        <v>0</v>
      </c>
    </row>
    <row r="278" spans="1:22">
      <c r="A278" s="427" t="str">
        <f t="shared" si="27"/>
        <v>KU</v>
      </c>
      <c r="B278" s="427" t="str">
        <f t="shared" si="26"/>
        <v>KY</v>
      </c>
      <c r="C278" s="427" t="str">
        <f t="shared" si="28"/>
        <v>E</v>
      </c>
      <c r="D278" s="427" t="s">
        <v>3420</v>
      </c>
      <c r="E278" s="427" t="str">
        <f t="shared" si="25"/>
        <v>390</v>
      </c>
      <c r="F278" s="756" t="s">
        <v>1812</v>
      </c>
      <c r="G278" s="426" t="str">
        <f t="shared" si="24"/>
        <v/>
      </c>
      <c r="H278" s="427">
        <v>0</v>
      </c>
      <c r="I278" s="427">
        <v>0</v>
      </c>
      <c r="J278" s="427">
        <v>0</v>
      </c>
      <c r="K278" s="427">
        <v>0</v>
      </c>
      <c r="L278" s="427">
        <v>0</v>
      </c>
      <c r="M278" s="427">
        <v>0</v>
      </c>
      <c r="N278" s="427">
        <v>0</v>
      </c>
      <c r="O278" s="427">
        <v>0</v>
      </c>
      <c r="P278" s="427">
        <v>0</v>
      </c>
      <c r="Q278" s="427">
        <v>0</v>
      </c>
      <c r="R278" s="427">
        <v>0</v>
      </c>
      <c r="S278" s="427">
        <v>0</v>
      </c>
      <c r="T278" s="427">
        <v>0</v>
      </c>
      <c r="U278" s="427">
        <f t="shared" si="29"/>
        <v>0</v>
      </c>
    </row>
    <row r="279" spans="1:22">
      <c r="A279" s="427" t="str">
        <f t="shared" si="27"/>
        <v>KU</v>
      </c>
      <c r="B279" s="427" t="str">
        <f t="shared" si="26"/>
        <v>VA</v>
      </c>
      <c r="C279" s="427" t="str">
        <f t="shared" si="28"/>
        <v>E</v>
      </c>
      <c r="D279" s="427" t="s">
        <v>3420</v>
      </c>
      <c r="E279" s="427" t="str">
        <f t="shared" si="25"/>
        <v>390</v>
      </c>
      <c r="F279" s="756" t="s">
        <v>1813</v>
      </c>
      <c r="G279" s="426" t="str">
        <f t="shared" si="24"/>
        <v/>
      </c>
      <c r="H279" s="427">
        <v>0</v>
      </c>
      <c r="I279" s="427">
        <v>0</v>
      </c>
      <c r="J279" s="427">
        <v>0</v>
      </c>
      <c r="K279" s="427">
        <v>0</v>
      </c>
      <c r="L279" s="427">
        <v>0</v>
      </c>
      <c r="M279" s="427">
        <v>0</v>
      </c>
      <c r="N279" s="427">
        <v>0</v>
      </c>
      <c r="O279" s="427">
        <v>0</v>
      </c>
      <c r="P279" s="427">
        <v>0</v>
      </c>
      <c r="Q279" s="427">
        <v>0</v>
      </c>
      <c r="R279" s="427">
        <v>0</v>
      </c>
      <c r="S279" s="427">
        <v>0</v>
      </c>
      <c r="T279" s="427">
        <v>0</v>
      </c>
      <c r="U279" s="427">
        <f t="shared" si="29"/>
        <v>0</v>
      </c>
    </row>
    <row r="280" spans="1:22">
      <c r="A280" s="427" t="str">
        <f t="shared" si="27"/>
        <v>KU</v>
      </c>
      <c r="B280" s="427" t="str">
        <f t="shared" si="26"/>
        <v>KY</v>
      </c>
      <c r="C280" s="427" t="str">
        <f t="shared" si="28"/>
        <v>E</v>
      </c>
      <c r="D280" s="427" t="s">
        <v>3420</v>
      </c>
      <c r="E280" s="427" t="str">
        <f t="shared" si="25"/>
        <v>391</v>
      </c>
      <c r="F280" s="756" t="s">
        <v>1814</v>
      </c>
      <c r="G280" s="426" t="str">
        <f t="shared" si="24"/>
        <v/>
      </c>
      <c r="H280" s="427">
        <v>4.9642200000000001</v>
      </c>
      <c r="I280" s="427">
        <v>0</v>
      </c>
      <c r="J280" s="427">
        <v>0</v>
      </c>
      <c r="K280" s="427">
        <v>0</v>
      </c>
      <c r="L280" s="427">
        <v>0</v>
      </c>
      <c r="M280" s="427">
        <v>50.504530000000003</v>
      </c>
      <c r="N280" s="427">
        <v>752.66498000000001</v>
      </c>
      <c r="O280" s="427">
        <v>10.64828</v>
      </c>
      <c r="P280" s="427">
        <v>0</v>
      </c>
      <c r="Q280" s="427">
        <v>21.932549999999999</v>
      </c>
      <c r="R280" s="427">
        <v>0</v>
      </c>
      <c r="S280" s="427">
        <v>0</v>
      </c>
      <c r="T280" s="427">
        <v>0</v>
      </c>
      <c r="U280" s="427">
        <f t="shared" si="29"/>
        <v>835.75034000000005</v>
      </c>
    </row>
    <row r="281" spans="1:22">
      <c r="A281" s="427" t="str">
        <f t="shared" si="27"/>
        <v>KU</v>
      </c>
      <c r="B281" s="427" t="str">
        <f t="shared" si="26"/>
        <v>KY</v>
      </c>
      <c r="C281" s="427" t="str">
        <f t="shared" si="28"/>
        <v>E</v>
      </c>
      <c r="D281" s="427" t="s">
        <v>3420</v>
      </c>
      <c r="E281" s="427" t="str">
        <f t="shared" si="25"/>
        <v>391</v>
      </c>
      <c r="F281" s="756" t="s">
        <v>1815</v>
      </c>
      <c r="G281" s="426" t="str">
        <f t="shared" si="24"/>
        <v/>
      </c>
      <c r="H281" s="427">
        <v>252.41788</v>
      </c>
      <c r="I281" s="427">
        <v>1659.92534</v>
      </c>
      <c r="J281" s="427">
        <v>856.93454999999994</v>
      </c>
      <c r="K281" s="427">
        <v>189.06634</v>
      </c>
      <c r="L281" s="427">
        <v>781.48081999999999</v>
      </c>
      <c r="M281" s="427">
        <v>0</v>
      </c>
      <c r="N281" s="427">
        <v>605.444199999999</v>
      </c>
      <c r="O281" s="427">
        <v>111.24678</v>
      </c>
      <c r="P281" s="427">
        <v>393.58821999999998</v>
      </c>
      <c r="Q281" s="427">
        <v>746.83319999999901</v>
      </c>
      <c r="R281" s="427">
        <v>1686.91551</v>
      </c>
      <c r="S281" s="427">
        <v>246.30145999999999</v>
      </c>
      <c r="T281" s="427">
        <v>42.032649999999997</v>
      </c>
      <c r="U281" s="427">
        <f t="shared" si="29"/>
        <v>7319.7690699999976</v>
      </c>
    </row>
    <row r="282" spans="1:22">
      <c r="A282" s="427" t="str">
        <f t="shared" si="27"/>
        <v>KU</v>
      </c>
      <c r="B282" s="427" t="str">
        <f t="shared" si="26"/>
        <v>KY</v>
      </c>
      <c r="C282" s="427" t="str">
        <f t="shared" si="28"/>
        <v>E</v>
      </c>
      <c r="D282" s="427" t="s">
        <v>3420</v>
      </c>
      <c r="E282" s="427" t="str">
        <f t="shared" si="25"/>
        <v>392</v>
      </c>
      <c r="F282" s="756" t="s">
        <v>1818</v>
      </c>
      <c r="G282" s="426" t="str">
        <f t="shared" si="24"/>
        <v/>
      </c>
      <c r="H282" s="427">
        <v>0</v>
      </c>
      <c r="I282" s="427">
        <v>0</v>
      </c>
      <c r="J282" s="427">
        <v>0</v>
      </c>
      <c r="K282" s="427">
        <v>0</v>
      </c>
      <c r="L282" s="427">
        <v>0</v>
      </c>
      <c r="M282" s="427">
        <v>0</v>
      </c>
      <c r="N282" s="427">
        <v>0</v>
      </c>
      <c r="O282" s="427">
        <v>0</v>
      </c>
      <c r="P282" s="427">
        <v>0</v>
      </c>
      <c r="Q282" s="427">
        <v>0</v>
      </c>
      <c r="R282" s="427">
        <v>0</v>
      </c>
      <c r="S282" s="427">
        <v>0</v>
      </c>
      <c r="T282" s="427">
        <v>0</v>
      </c>
      <c r="U282" s="427">
        <f t="shared" si="29"/>
        <v>0</v>
      </c>
    </row>
    <row r="283" spans="1:22">
      <c r="A283" s="427" t="str">
        <f t="shared" si="27"/>
        <v>KU</v>
      </c>
      <c r="B283" s="427" t="str">
        <f t="shared" si="26"/>
        <v>KY</v>
      </c>
      <c r="C283" s="427" t="str">
        <f t="shared" si="28"/>
        <v>E</v>
      </c>
      <c r="D283" s="427" t="s">
        <v>3420</v>
      </c>
      <c r="E283" s="427" t="str">
        <f t="shared" si="25"/>
        <v>393</v>
      </c>
      <c r="F283" s="756" t="s">
        <v>1819</v>
      </c>
      <c r="G283" s="426" t="str">
        <f t="shared" ref="G283:G349" si="30">IF(ISTEXT(MID($F283,SEARCH("FUTURE USE",$F283),3)),"FUTURE USE",IF(ISTEXT(MID($F283,SEARCH("ECR",$F283),3)),"ECR",IF(ISTEXT(MID($F283,SEARCH("ARO",$F283),3)),"ARO",IF(ISTEXT(MID($F283,SEARCH("DSM",$F283),3)),"DSM",""))))</f>
        <v/>
      </c>
      <c r="H283" s="427">
        <v>10.1326</v>
      </c>
      <c r="I283" s="427">
        <v>13.04768</v>
      </c>
      <c r="J283" s="427">
        <v>0</v>
      </c>
      <c r="K283" s="427">
        <v>0</v>
      </c>
      <c r="L283" s="427">
        <v>1.59849</v>
      </c>
      <c r="M283" s="427">
        <v>6.5201500000000001</v>
      </c>
      <c r="N283" s="427">
        <v>10.6745</v>
      </c>
      <c r="O283" s="427">
        <v>0</v>
      </c>
      <c r="P283" s="427">
        <v>0</v>
      </c>
      <c r="Q283" s="427">
        <v>0</v>
      </c>
      <c r="R283" s="427">
        <v>0</v>
      </c>
      <c r="S283" s="427">
        <v>0</v>
      </c>
      <c r="T283" s="427">
        <v>0</v>
      </c>
      <c r="U283" s="427">
        <f t="shared" si="29"/>
        <v>31.840820000000001</v>
      </c>
    </row>
    <row r="284" spans="1:22">
      <c r="A284" s="427" t="str">
        <f t="shared" si="27"/>
        <v>KU</v>
      </c>
      <c r="B284" s="427" t="str">
        <f t="shared" si="26"/>
        <v>VA</v>
      </c>
      <c r="C284" s="427" t="str">
        <f t="shared" si="28"/>
        <v>E</v>
      </c>
      <c r="D284" s="427" t="s">
        <v>3420</v>
      </c>
      <c r="E284" s="427" t="str">
        <f t="shared" si="25"/>
        <v>393</v>
      </c>
      <c r="F284" s="756" t="s">
        <v>1820</v>
      </c>
      <c r="G284" s="426" t="str">
        <f t="shared" si="30"/>
        <v/>
      </c>
      <c r="H284" s="427">
        <v>0</v>
      </c>
      <c r="I284" s="427">
        <v>0</v>
      </c>
      <c r="J284" s="427">
        <v>0</v>
      </c>
      <c r="K284" s="427">
        <v>0</v>
      </c>
      <c r="L284" s="427">
        <v>0</v>
      </c>
      <c r="M284" s="427">
        <v>0</v>
      </c>
      <c r="N284" s="427">
        <v>0</v>
      </c>
      <c r="O284" s="427">
        <v>0</v>
      </c>
      <c r="P284" s="427">
        <v>0</v>
      </c>
      <c r="Q284" s="427">
        <v>0</v>
      </c>
      <c r="R284" s="427">
        <v>0</v>
      </c>
      <c r="S284" s="427">
        <v>0</v>
      </c>
      <c r="T284" s="427">
        <v>0</v>
      </c>
      <c r="U284" s="427">
        <f t="shared" si="29"/>
        <v>0</v>
      </c>
    </row>
    <row r="285" spans="1:22">
      <c r="A285" s="427" t="str">
        <f t="shared" si="27"/>
        <v>KU</v>
      </c>
      <c r="B285" s="427" t="str">
        <f t="shared" si="26"/>
        <v>KY</v>
      </c>
      <c r="C285" s="427" t="str">
        <f t="shared" si="28"/>
        <v>E</v>
      </c>
      <c r="D285" s="427" t="s">
        <v>3420</v>
      </c>
      <c r="E285" s="427" t="str">
        <f t="shared" si="25"/>
        <v>394</v>
      </c>
      <c r="F285" s="756" t="s">
        <v>1821</v>
      </c>
      <c r="G285" s="426" t="str">
        <f t="shared" si="30"/>
        <v/>
      </c>
      <c r="H285" s="427">
        <v>9.5558999999999994</v>
      </c>
      <c r="I285" s="427">
        <v>2.3574199999999998</v>
      </c>
      <c r="J285" s="427">
        <v>15.743029999999999</v>
      </c>
      <c r="K285" s="427">
        <v>2.5400399999999999</v>
      </c>
      <c r="L285" s="427">
        <v>21.723469999999999</v>
      </c>
      <c r="M285" s="427">
        <v>20.914009999999902</v>
      </c>
      <c r="N285" s="427">
        <v>1.58423</v>
      </c>
      <c r="O285" s="427">
        <v>2.2429999999999999</v>
      </c>
      <c r="P285" s="427">
        <v>10.883369999999999</v>
      </c>
      <c r="Q285" s="427">
        <v>0</v>
      </c>
      <c r="R285" s="427">
        <v>0</v>
      </c>
      <c r="S285" s="427">
        <v>0</v>
      </c>
      <c r="T285" s="427">
        <v>15.030200000000001</v>
      </c>
      <c r="U285" s="427">
        <f t="shared" si="29"/>
        <v>93.018769999999904</v>
      </c>
    </row>
    <row r="286" spans="1:22">
      <c r="A286" s="427" t="str">
        <f t="shared" si="27"/>
        <v>KU</v>
      </c>
      <c r="B286" s="427" t="str">
        <f t="shared" si="26"/>
        <v>VA</v>
      </c>
      <c r="C286" s="427" t="str">
        <f t="shared" si="28"/>
        <v>E</v>
      </c>
      <c r="D286" s="427" t="s">
        <v>3420</v>
      </c>
      <c r="E286" s="427" t="str">
        <f t="shared" si="25"/>
        <v>394</v>
      </c>
      <c r="F286" s="756" t="s">
        <v>1822</v>
      </c>
      <c r="G286" s="426" t="str">
        <f t="shared" si="30"/>
        <v/>
      </c>
      <c r="H286" s="427">
        <v>0</v>
      </c>
      <c r="I286" s="427">
        <v>0</v>
      </c>
      <c r="J286" s="427">
        <v>0</v>
      </c>
      <c r="K286" s="427">
        <v>0</v>
      </c>
      <c r="L286" s="427">
        <v>6.7188599999999896</v>
      </c>
      <c r="M286" s="427">
        <v>0</v>
      </c>
      <c r="N286" s="427">
        <v>0</v>
      </c>
      <c r="O286" s="427">
        <v>0</v>
      </c>
      <c r="P286" s="427">
        <v>6.2773399999999997</v>
      </c>
      <c r="Q286" s="427">
        <v>0</v>
      </c>
      <c r="R286" s="427">
        <v>0</v>
      </c>
      <c r="S286" s="427">
        <v>0</v>
      </c>
      <c r="T286" s="427">
        <v>0</v>
      </c>
      <c r="U286" s="427">
        <f t="shared" si="29"/>
        <v>12.996199999999989</v>
      </c>
    </row>
    <row r="287" spans="1:22">
      <c r="A287" s="427" t="str">
        <f t="shared" si="27"/>
        <v>KY</v>
      </c>
      <c r="B287" s="427" t="str">
        <f t="shared" si="26"/>
        <v xml:space="preserve"> A</v>
      </c>
      <c r="C287" s="427" t="str">
        <f t="shared" si="28"/>
        <v/>
      </c>
      <c r="E287" s="427" t="str">
        <f t="shared" si="25"/>
        <v>lan</v>
      </c>
      <c r="F287" s="758" t="s">
        <v>1829</v>
      </c>
      <c r="G287" s="426" t="str">
        <f t="shared" si="30"/>
        <v/>
      </c>
      <c r="H287" s="427">
        <v>39994.758070000003</v>
      </c>
      <c r="I287" s="427">
        <v>4757.6184299999986</v>
      </c>
      <c r="J287" s="427">
        <v>2692.1880499999993</v>
      </c>
      <c r="K287" s="427">
        <v>4737.5343300000004</v>
      </c>
      <c r="L287" s="427">
        <v>6595.6191799999988</v>
      </c>
      <c r="M287" s="427">
        <v>1092.6497900000002</v>
      </c>
      <c r="N287" s="427">
        <v>4946.2521499999993</v>
      </c>
      <c r="O287" s="427">
        <v>5021.2641599999924</v>
      </c>
      <c r="P287" s="427">
        <v>22928.703130000002</v>
      </c>
      <c r="Q287" s="427">
        <v>63877.964659999998</v>
      </c>
      <c r="R287" s="427">
        <v>9967.7366999999995</v>
      </c>
      <c r="S287" s="427">
        <v>3822.936439999999</v>
      </c>
      <c r="T287" s="427">
        <v>13721.045149999998</v>
      </c>
      <c r="U287" s="427">
        <f t="shared" si="29"/>
        <v>144161.51216999997</v>
      </c>
    </row>
    <row r="288" spans="1:22">
      <c r="A288" s="427" t="str">
        <f t="shared" si="27"/>
        <v/>
      </c>
      <c r="B288" s="427" t="str">
        <f t="shared" si="26"/>
        <v/>
      </c>
      <c r="C288" s="427" t="str">
        <f t="shared" si="28"/>
        <v/>
      </c>
      <c r="E288" s="427" t="str">
        <f t="shared" si="25"/>
        <v/>
      </c>
      <c r="G288" s="426" t="str">
        <f t="shared" si="30"/>
        <v/>
      </c>
      <c r="U288" s="427">
        <f t="shared" si="29"/>
        <v>0</v>
      </c>
      <c r="V288" s="427">
        <f t="shared" ref="V288:V354" si="31">SUM(H288:T288)/13</f>
        <v>0</v>
      </c>
    </row>
    <row r="289" spans="1:22">
      <c r="A289" s="427" t="str">
        <f t="shared" si="27"/>
        <v xml:space="preserve">: </v>
      </c>
      <c r="B289" s="427" t="str">
        <f t="shared" si="26"/>
        <v>er</v>
      </c>
      <c r="C289" s="427" t="str">
        <f t="shared" si="28"/>
        <v/>
      </c>
      <c r="E289" s="427" t="str">
        <f t="shared" si="25"/>
        <v>ans</v>
      </c>
      <c r="F289" s="759" t="s">
        <v>3433</v>
      </c>
      <c r="G289" s="426" t="str">
        <f t="shared" si="30"/>
        <v/>
      </c>
      <c r="U289" s="427">
        <f t="shared" si="29"/>
        <v>0</v>
      </c>
      <c r="V289" s="427">
        <f t="shared" si="31"/>
        <v>0</v>
      </c>
    </row>
    <row r="290" spans="1:22">
      <c r="A290" s="427" t="str">
        <f t="shared" si="27"/>
        <v>KU</v>
      </c>
      <c r="B290" s="427" t="str">
        <f t="shared" si="26"/>
        <v>KY</v>
      </c>
      <c r="C290" s="427" t="str">
        <f t="shared" si="28"/>
        <v>E</v>
      </c>
      <c r="D290" s="427" t="s">
        <v>3421</v>
      </c>
      <c r="E290" s="427" t="str">
        <f t="shared" si="25"/>
        <v>311</v>
      </c>
      <c r="F290" s="756" t="s">
        <v>1732</v>
      </c>
      <c r="G290" s="426" t="str">
        <f t="shared" si="30"/>
        <v/>
      </c>
      <c r="H290" s="427">
        <v>0</v>
      </c>
      <c r="I290" s="427">
        <v>0</v>
      </c>
      <c r="J290" s="427">
        <v>0</v>
      </c>
      <c r="K290" s="427">
        <v>0</v>
      </c>
      <c r="L290" s="427">
        <v>0</v>
      </c>
      <c r="M290" s="427">
        <v>0</v>
      </c>
      <c r="N290" s="427">
        <v>0</v>
      </c>
      <c r="O290" s="427">
        <v>0</v>
      </c>
      <c r="P290" s="427">
        <v>0</v>
      </c>
      <c r="Q290" s="427">
        <v>0</v>
      </c>
      <c r="R290" s="427">
        <v>0</v>
      </c>
      <c r="S290" s="427">
        <v>0</v>
      </c>
      <c r="T290" s="427">
        <v>0</v>
      </c>
      <c r="U290" s="427">
        <f t="shared" si="29"/>
        <v>0</v>
      </c>
      <c r="V290" s="427">
        <f t="shared" si="31"/>
        <v>0</v>
      </c>
    </row>
    <row r="291" spans="1:22">
      <c r="A291" s="427" t="str">
        <f t="shared" si="27"/>
        <v>KU</v>
      </c>
      <c r="B291" s="427" t="str">
        <f t="shared" si="26"/>
        <v>KY</v>
      </c>
      <c r="C291" s="427" t="str">
        <f t="shared" si="28"/>
        <v>E</v>
      </c>
      <c r="D291" s="427" t="s">
        <v>3421</v>
      </c>
      <c r="E291" s="427" t="str">
        <f t="shared" si="25"/>
        <v>312</v>
      </c>
      <c r="F291" s="756" t="s">
        <v>1733</v>
      </c>
      <c r="G291" s="426" t="str">
        <f t="shared" si="30"/>
        <v/>
      </c>
      <c r="H291" s="427">
        <v>0</v>
      </c>
      <c r="I291" s="427">
        <v>0</v>
      </c>
      <c r="J291" s="427">
        <v>0</v>
      </c>
      <c r="K291" s="427">
        <v>0</v>
      </c>
      <c r="L291" s="427">
        <v>0</v>
      </c>
      <c r="M291" s="427">
        <v>0</v>
      </c>
      <c r="N291" s="427">
        <v>0</v>
      </c>
      <c r="O291" s="427">
        <v>0</v>
      </c>
      <c r="P291" s="427">
        <v>0</v>
      </c>
      <c r="Q291" s="427">
        <v>0</v>
      </c>
      <c r="R291" s="427">
        <v>0</v>
      </c>
      <c r="S291" s="427">
        <v>0</v>
      </c>
      <c r="T291" s="427">
        <v>0</v>
      </c>
      <c r="U291" s="427">
        <f t="shared" si="29"/>
        <v>0</v>
      </c>
      <c r="V291" s="427">
        <f t="shared" si="31"/>
        <v>0</v>
      </c>
    </row>
    <row r="292" spans="1:22">
      <c r="A292" s="427" t="str">
        <f t="shared" si="27"/>
        <v>KU</v>
      </c>
      <c r="B292" s="427" t="str">
        <f t="shared" si="26"/>
        <v>KY</v>
      </c>
      <c r="C292" s="427" t="str">
        <f t="shared" si="28"/>
        <v>E</v>
      </c>
      <c r="D292" s="427" t="s">
        <v>3421</v>
      </c>
      <c r="E292" s="427" t="str">
        <f t="shared" si="25"/>
        <v>312</v>
      </c>
      <c r="F292" s="756" t="s">
        <v>1734</v>
      </c>
      <c r="G292" s="426" t="str">
        <f t="shared" si="30"/>
        <v>ECR</v>
      </c>
      <c r="H292" s="427">
        <v>0</v>
      </c>
      <c r="I292" s="427">
        <v>0</v>
      </c>
      <c r="J292" s="427">
        <v>0</v>
      </c>
      <c r="K292" s="427">
        <v>0</v>
      </c>
      <c r="L292" s="427">
        <v>0</v>
      </c>
      <c r="M292" s="427">
        <v>0</v>
      </c>
      <c r="N292" s="427">
        <v>0</v>
      </c>
      <c r="O292" s="427">
        <v>0</v>
      </c>
      <c r="P292" s="427">
        <v>0</v>
      </c>
      <c r="Q292" s="427">
        <v>0</v>
      </c>
      <c r="R292" s="427">
        <v>0</v>
      </c>
      <c r="S292" s="427">
        <v>0</v>
      </c>
      <c r="T292" s="427">
        <v>0</v>
      </c>
      <c r="U292" s="427">
        <f t="shared" si="29"/>
        <v>0</v>
      </c>
      <c r="V292" s="427">
        <f t="shared" si="31"/>
        <v>0</v>
      </c>
    </row>
    <row r="293" spans="1:22">
      <c r="A293" s="427" t="str">
        <f t="shared" si="27"/>
        <v>KU</v>
      </c>
      <c r="B293" s="427" t="str">
        <f t="shared" si="26"/>
        <v>KY</v>
      </c>
      <c r="C293" s="427" t="str">
        <f t="shared" si="28"/>
        <v>E</v>
      </c>
      <c r="D293" s="427" t="s">
        <v>3421</v>
      </c>
      <c r="E293" s="427" t="str">
        <f t="shared" si="25"/>
        <v>314</v>
      </c>
      <c r="F293" s="756" t="s">
        <v>1737</v>
      </c>
      <c r="G293" s="426" t="str">
        <f t="shared" si="30"/>
        <v/>
      </c>
      <c r="H293" s="427">
        <v>0</v>
      </c>
      <c r="I293" s="427">
        <v>0</v>
      </c>
      <c r="J293" s="427">
        <v>0</v>
      </c>
      <c r="K293" s="427">
        <v>0</v>
      </c>
      <c r="L293" s="427">
        <v>0</v>
      </c>
      <c r="M293" s="427">
        <v>0</v>
      </c>
      <c r="N293" s="427">
        <v>0</v>
      </c>
      <c r="O293" s="427">
        <v>0</v>
      </c>
      <c r="P293" s="427">
        <v>0</v>
      </c>
      <c r="Q293" s="427">
        <v>0</v>
      </c>
      <c r="R293" s="427">
        <v>0</v>
      </c>
      <c r="S293" s="427">
        <v>0</v>
      </c>
      <c r="T293" s="427">
        <v>0</v>
      </c>
      <c r="U293" s="427">
        <f t="shared" si="29"/>
        <v>0</v>
      </c>
      <c r="V293" s="427">
        <f t="shared" si="31"/>
        <v>0</v>
      </c>
    </row>
    <row r="294" spans="1:22">
      <c r="A294" s="427" t="str">
        <f t="shared" si="27"/>
        <v>KU</v>
      </c>
      <c r="B294" s="427" t="str">
        <f t="shared" si="26"/>
        <v>KY</v>
      </c>
      <c r="C294" s="427" t="str">
        <f t="shared" si="28"/>
        <v>E</v>
      </c>
      <c r="D294" s="427" t="s">
        <v>3421</v>
      </c>
      <c r="E294" s="427" t="str">
        <f t="shared" si="25"/>
        <v>315</v>
      </c>
      <c r="F294" s="756" t="s">
        <v>1738</v>
      </c>
      <c r="G294" s="426" t="str">
        <f t="shared" si="30"/>
        <v/>
      </c>
      <c r="H294" s="427">
        <v>0</v>
      </c>
      <c r="I294" s="427">
        <v>0</v>
      </c>
      <c r="J294" s="427">
        <v>0</v>
      </c>
      <c r="K294" s="427">
        <v>0</v>
      </c>
      <c r="L294" s="427">
        <v>0</v>
      </c>
      <c r="M294" s="427">
        <v>0</v>
      </c>
      <c r="N294" s="427">
        <v>0</v>
      </c>
      <c r="O294" s="427">
        <v>0</v>
      </c>
      <c r="P294" s="427">
        <v>0</v>
      </c>
      <c r="Q294" s="427">
        <v>0</v>
      </c>
      <c r="R294" s="427">
        <v>0</v>
      </c>
      <c r="S294" s="427">
        <v>0</v>
      </c>
      <c r="T294" s="427">
        <v>0</v>
      </c>
      <c r="U294" s="427">
        <f t="shared" si="29"/>
        <v>0</v>
      </c>
      <c r="V294" s="427">
        <f t="shared" si="31"/>
        <v>0</v>
      </c>
    </row>
    <row r="295" spans="1:22">
      <c r="A295" s="427" t="str">
        <f t="shared" si="27"/>
        <v>KU</v>
      </c>
      <c r="B295" s="427" t="str">
        <f t="shared" si="26"/>
        <v>KY</v>
      </c>
      <c r="C295" s="427" t="str">
        <f t="shared" si="28"/>
        <v>E</v>
      </c>
      <c r="D295" s="427" t="s">
        <v>3421</v>
      </c>
      <c r="E295" s="427" t="str">
        <f t="shared" si="25"/>
        <v>316</v>
      </c>
      <c r="F295" s="756" t="s">
        <v>1740</v>
      </c>
      <c r="G295" s="426" t="str">
        <f t="shared" si="30"/>
        <v/>
      </c>
      <c r="H295" s="427">
        <v>0</v>
      </c>
      <c r="I295" s="427">
        <v>0</v>
      </c>
      <c r="J295" s="427">
        <v>0</v>
      </c>
      <c r="K295" s="427">
        <v>0</v>
      </c>
      <c r="L295" s="427">
        <v>0</v>
      </c>
      <c r="M295" s="427">
        <v>0</v>
      </c>
      <c r="N295" s="427">
        <v>0</v>
      </c>
      <c r="O295" s="427">
        <v>0</v>
      </c>
      <c r="P295" s="427">
        <v>0</v>
      </c>
      <c r="Q295" s="427">
        <v>0</v>
      </c>
      <c r="R295" s="427">
        <v>0</v>
      </c>
      <c r="S295" s="427">
        <v>0</v>
      </c>
      <c r="T295" s="427">
        <v>0</v>
      </c>
      <c r="U295" s="427">
        <f t="shared" si="29"/>
        <v>0</v>
      </c>
      <c r="V295" s="427">
        <f t="shared" si="31"/>
        <v>0</v>
      </c>
    </row>
    <row r="296" spans="1:22">
      <c r="A296" s="427" t="str">
        <f t="shared" si="27"/>
        <v>KU</v>
      </c>
      <c r="B296" s="427" t="str">
        <f t="shared" si="26"/>
        <v>KY</v>
      </c>
      <c r="C296" s="427" t="str">
        <f t="shared" si="28"/>
        <v>E</v>
      </c>
      <c r="D296" s="427" t="s">
        <v>3421</v>
      </c>
      <c r="E296" s="427" t="str">
        <f t="shared" si="25"/>
        <v>317</v>
      </c>
      <c r="F296" s="756" t="s">
        <v>1741</v>
      </c>
      <c r="G296" s="426" t="str">
        <f t="shared" si="30"/>
        <v>ARO</v>
      </c>
      <c r="H296" s="427">
        <v>0</v>
      </c>
      <c r="I296" s="427">
        <v>0</v>
      </c>
      <c r="J296" s="427">
        <v>0</v>
      </c>
      <c r="K296" s="427">
        <v>0</v>
      </c>
      <c r="L296" s="427">
        <v>0</v>
      </c>
      <c r="M296" s="427">
        <v>0</v>
      </c>
      <c r="N296" s="427">
        <v>0</v>
      </c>
      <c r="O296" s="427">
        <v>0</v>
      </c>
      <c r="P296" s="427">
        <v>0</v>
      </c>
      <c r="Q296" s="427">
        <v>0</v>
      </c>
      <c r="R296" s="427">
        <v>0</v>
      </c>
      <c r="S296" s="427">
        <v>0</v>
      </c>
      <c r="T296" s="427">
        <v>0</v>
      </c>
      <c r="U296" s="427">
        <f t="shared" si="29"/>
        <v>0</v>
      </c>
      <c r="V296" s="427">
        <f t="shared" si="31"/>
        <v>0</v>
      </c>
    </row>
    <row r="297" spans="1:22">
      <c r="A297" s="427" t="str">
        <f t="shared" si="27"/>
        <v>KU</v>
      </c>
      <c r="B297" s="427" t="str">
        <f t="shared" si="26"/>
        <v>KY</v>
      </c>
      <c r="C297" s="427" t="str">
        <f t="shared" si="28"/>
        <v>E</v>
      </c>
      <c r="D297" s="427" t="s">
        <v>3421</v>
      </c>
      <c r="E297" s="427" t="str">
        <f t="shared" si="25"/>
        <v>317</v>
      </c>
      <c r="F297" s="756" t="s">
        <v>2504</v>
      </c>
      <c r="G297" s="426" t="str">
        <f t="shared" si="30"/>
        <v>ARO</v>
      </c>
      <c r="H297" s="427">
        <v>0</v>
      </c>
      <c r="I297" s="427">
        <v>0</v>
      </c>
      <c r="J297" s="427">
        <v>0</v>
      </c>
      <c r="K297" s="427">
        <v>0</v>
      </c>
      <c r="L297" s="427">
        <v>0</v>
      </c>
      <c r="M297" s="427">
        <v>0</v>
      </c>
      <c r="N297" s="427">
        <v>0</v>
      </c>
      <c r="O297" s="427">
        <v>0</v>
      </c>
      <c r="P297" s="427">
        <v>0</v>
      </c>
      <c r="Q297" s="427">
        <v>0</v>
      </c>
      <c r="R297" s="427">
        <v>0</v>
      </c>
      <c r="S297" s="427">
        <v>0</v>
      </c>
      <c r="T297" s="427">
        <v>0</v>
      </c>
      <c r="U297" s="427">
        <f t="shared" si="29"/>
        <v>0</v>
      </c>
      <c r="V297" s="427">
        <f t="shared" si="31"/>
        <v>0</v>
      </c>
    </row>
    <row r="298" spans="1:22">
      <c r="A298" s="427" t="str">
        <f t="shared" si="27"/>
        <v>KU</v>
      </c>
      <c r="B298" s="427" t="str">
        <f t="shared" si="26"/>
        <v>KY</v>
      </c>
      <c r="C298" s="427" t="str">
        <f t="shared" si="28"/>
        <v>E</v>
      </c>
      <c r="D298" s="427" t="s">
        <v>3421</v>
      </c>
      <c r="E298" s="427" t="str">
        <f t="shared" si="25"/>
        <v>361</v>
      </c>
      <c r="F298" s="756" t="s">
        <v>1781</v>
      </c>
      <c r="G298" s="426" t="str">
        <f t="shared" si="30"/>
        <v/>
      </c>
      <c r="H298" s="427">
        <v>0</v>
      </c>
      <c r="I298" s="427">
        <v>0</v>
      </c>
      <c r="J298" s="427">
        <v>0</v>
      </c>
      <c r="K298" s="427">
        <v>0</v>
      </c>
      <c r="L298" s="427">
        <v>0</v>
      </c>
      <c r="M298" s="427">
        <v>0</v>
      </c>
      <c r="N298" s="427">
        <v>0</v>
      </c>
      <c r="O298" s="427">
        <v>0</v>
      </c>
      <c r="P298" s="427">
        <v>0</v>
      </c>
      <c r="Q298" s="427">
        <v>0</v>
      </c>
      <c r="R298" s="427">
        <v>0</v>
      </c>
      <c r="S298" s="427">
        <v>0</v>
      </c>
      <c r="T298" s="427">
        <v>0</v>
      </c>
      <c r="U298" s="427">
        <f t="shared" si="29"/>
        <v>0</v>
      </c>
      <c r="V298" s="427">
        <f t="shared" si="31"/>
        <v>0</v>
      </c>
    </row>
    <row r="299" spans="1:22">
      <c r="A299" s="427" t="str">
        <f t="shared" si="27"/>
        <v>KU</v>
      </c>
      <c r="B299" s="427" t="str">
        <f t="shared" si="26"/>
        <v>KY</v>
      </c>
      <c r="C299" s="427" t="str">
        <f t="shared" si="28"/>
        <v>E</v>
      </c>
      <c r="D299" s="427" t="s">
        <v>3421</v>
      </c>
      <c r="E299" s="427" t="str">
        <f t="shared" si="25"/>
        <v>390</v>
      </c>
      <c r="F299" s="756" t="s">
        <v>1812</v>
      </c>
      <c r="G299" s="426" t="str">
        <f t="shared" si="30"/>
        <v/>
      </c>
      <c r="H299" s="427">
        <v>0</v>
      </c>
      <c r="I299" s="427">
        <v>0</v>
      </c>
      <c r="J299" s="427">
        <v>0</v>
      </c>
      <c r="K299" s="427">
        <v>0</v>
      </c>
      <c r="L299" s="427">
        <v>0</v>
      </c>
      <c r="M299" s="427">
        <v>0</v>
      </c>
      <c r="N299" s="427">
        <v>0</v>
      </c>
      <c r="O299" s="427">
        <v>0</v>
      </c>
      <c r="P299" s="427">
        <v>0</v>
      </c>
      <c r="Q299" s="427">
        <v>0</v>
      </c>
      <c r="R299" s="427">
        <v>0</v>
      </c>
      <c r="S299" s="427">
        <v>0</v>
      </c>
      <c r="T299" s="427">
        <v>0</v>
      </c>
      <c r="U299" s="427">
        <f t="shared" si="29"/>
        <v>0</v>
      </c>
      <c r="V299" s="427">
        <f t="shared" si="31"/>
        <v>0</v>
      </c>
    </row>
    <row r="300" spans="1:22">
      <c r="A300" s="427" t="str">
        <f t="shared" si="27"/>
        <v>KU</v>
      </c>
      <c r="B300" s="427" t="str">
        <f t="shared" si="26"/>
        <v>KY</v>
      </c>
      <c r="C300" s="427" t="str">
        <f t="shared" si="28"/>
        <v>E</v>
      </c>
      <c r="D300" s="427" t="s">
        <v>3421</v>
      </c>
      <c r="E300" s="427" t="str">
        <f t="shared" si="25"/>
        <v>396</v>
      </c>
      <c r="F300" s="756" t="s">
        <v>1823</v>
      </c>
      <c r="G300" s="426" t="str">
        <f t="shared" si="30"/>
        <v/>
      </c>
      <c r="H300" s="427">
        <v>0</v>
      </c>
      <c r="I300" s="427">
        <v>0</v>
      </c>
      <c r="J300" s="427">
        <v>0</v>
      </c>
      <c r="K300" s="427">
        <v>0</v>
      </c>
      <c r="L300" s="427">
        <v>0</v>
      </c>
      <c r="M300" s="427">
        <v>0</v>
      </c>
      <c r="N300" s="427">
        <v>0</v>
      </c>
      <c r="O300" s="427">
        <v>0</v>
      </c>
      <c r="P300" s="427">
        <v>0</v>
      </c>
      <c r="Q300" s="427">
        <v>0</v>
      </c>
      <c r="R300" s="427">
        <v>0</v>
      </c>
      <c r="S300" s="427">
        <v>0</v>
      </c>
      <c r="T300" s="427">
        <v>0</v>
      </c>
      <c r="U300" s="427">
        <f t="shared" si="29"/>
        <v>0</v>
      </c>
      <c r="V300" s="427">
        <f t="shared" si="31"/>
        <v>0</v>
      </c>
    </row>
    <row r="301" spans="1:22">
      <c r="A301" s="427" t="str">
        <f t="shared" si="27"/>
        <v>KU</v>
      </c>
      <c r="B301" s="427" t="str">
        <f t="shared" si="26"/>
        <v>KY</v>
      </c>
      <c r="C301" s="427" t="str">
        <f t="shared" si="28"/>
        <v>E</v>
      </c>
      <c r="D301" s="427" t="s">
        <v>3421</v>
      </c>
      <c r="E301" s="427" t="str">
        <f t="shared" si="25"/>
        <v>396</v>
      </c>
      <c r="F301" s="756" t="s">
        <v>2508</v>
      </c>
      <c r="H301" s="427">
        <v>0</v>
      </c>
      <c r="I301" s="427">
        <v>0</v>
      </c>
      <c r="J301" s="427">
        <v>0</v>
      </c>
      <c r="K301" s="427">
        <v>0</v>
      </c>
      <c r="L301" s="427">
        <v>0</v>
      </c>
      <c r="M301" s="427">
        <v>0</v>
      </c>
      <c r="N301" s="427">
        <v>0</v>
      </c>
      <c r="O301" s="427">
        <v>0</v>
      </c>
      <c r="P301" s="427">
        <v>0</v>
      </c>
      <c r="Q301" s="427">
        <v>0</v>
      </c>
      <c r="R301" s="427">
        <v>0</v>
      </c>
      <c r="S301" s="427">
        <v>0</v>
      </c>
      <c r="T301" s="427">
        <v>0</v>
      </c>
      <c r="U301" s="427">
        <f t="shared" si="29"/>
        <v>0</v>
      </c>
      <c r="V301" s="427">
        <f t="shared" si="31"/>
        <v>0</v>
      </c>
    </row>
    <row r="302" spans="1:22">
      <c r="A302" s="427" t="str">
        <f t="shared" si="27"/>
        <v>KU</v>
      </c>
      <c r="B302" s="427" t="str">
        <f t="shared" si="26"/>
        <v>VA</v>
      </c>
      <c r="C302" s="427" t="str">
        <f t="shared" si="28"/>
        <v>E</v>
      </c>
      <c r="D302" s="427" t="s">
        <v>3421</v>
      </c>
      <c r="E302" s="427" t="str">
        <f t="shared" si="25"/>
        <v>396</v>
      </c>
      <c r="F302" s="756" t="s">
        <v>1824</v>
      </c>
      <c r="G302" s="426" t="str">
        <f t="shared" si="30"/>
        <v/>
      </c>
      <c r="H302" s="427">
        <v>0</v>
      </c>
      <c r="I302" s="427">
        <v>0</v>
      </c>
      <c r="J302" s="427">
        <v>0</v>
      </c>
      <c r="K302" s="427">
        <v>0</v>
      </c>
      <c r="L302" s="427">
        <v>0</v>
      </c>
      <c r="M302" s="427">
        <v>0</v>
      </c>
      <c r="N302" s="427">
        <v>0</v>
      </c>
      <c r="O302" s="427">
        <v>0</v>
      </c>
      <c r="P302" s="427">
        <v>0</v>
      </c>
      <c r="Q302" s="427">
        <v>0</v>
      </c>
      <c r="R302" s="427">
        <v>0</v>
      </c>
      <c r="S302" s="427">
        <v>0</v>
      </c>
      <c r="T302" s="427">
        <v>0</v>
      </c>
      <c r="U302" s="427">
        <f t="shared" si="29"/>
        <v>0</v>
      </c>
      <c r="V302" s="427">
        <f t="shared" si="31"/>
        <v>0</v>
      </c>
    </row>
    <row r="303" spans="1:22">
      <c r="A303" s="427" t="str">
        <f t="shared" si="27"/>
        <v>KU</v>
      </c>
      <c r="B303" s="427" t="str">
        <f t="shared" si="26"/>
        <v>VA</v>
      </c>
      <c r="C303" s="427" t="str">
        <f t="shared" si="28"/>
        <v>E</v>
      </c>
      <c r="D303" s="427" t="s">
        <v>3421</v>
      </c>
      <c r="E303" s="427" t="str">
        <f t="shared" si="25"/>
        <v>396</v>
      </c>
      <c r="F303" s="756" t="s">
        <v>2509</v>
      </c>
      <c r="G303" s="426" t="str">
        <f t="shared" si="30"/>
        <v/>
      </c>
      <c r="H303" s="427">
        <v>0</v>
      </c>
      <c r="I303" s="427">
        <v>0</v>
      </c>
      <c r="J303" s="427">
        <v>0</v>
      </c>
      <c r="K303" s="427">
        <v>0</v>
      </c>
      <c r="L303" s="427">
        <v>0</v>
      </c>
      <c r="M303" s="427">
        <v>0</v>
      </c>
      <c r="N303" s="427">
        <v>0</v>
      </c>
      <c r="O303" s="427">
        <v>0</v>
      </c>
      <c r="P303" s="427">
        <v>0</v>
      </c>
      <c r="Q303" s="427">
        <v>0</v>
      </c>
      <c r="R303" s="427">
        <v>0</v>
      </c>
      <c r="S303" s="427">
        <v>0</v>
      </c>
      <c r="T303" s="427">
        <v>0</v>
      </c>
      <c r="U303" s="427">
        <f t="shared" si="29"/>
        <v>0</v>
      </c>
      <c r="V303" s="427">
        <f t="shared" si="31"/>
        <v>0</v>
      </c>
    </row>
    <row r="304" spans="1:22">
      <c r="A304" s="427" t="str">
        <f t="shared" si="27"/>
        <v>KY</v>
      </c>
      <c r="B304" s="427" t="str">
        <f t="shared" si="26"/>
        <v xml:space="preserve"> A</v>
      </c>
      <c r="C304" s="427" t="str">
        <f t="shared" si="28"/>
        <v/>
      </c>
      <c r="E304" s="427" t="str">
        <f t="shared" ref="E304:E370" si="32">MID($F304,8,3)</f>
        <v>lan</v>
      </c>
      <c r="F304" s="758" t="s">
        <v>1829</v>
      </c>
      <c r="G304" s="426" t="str">
        <f t="shared" si="30"/>
        <v/>
      </c>
      <c r="H304" s="427">
        <v>0</v>
      </c>
      <c r="I304" s="427">
        <v>0</v>
      </c>
      <c r="J304" s="427">
        <v>0</v>
      </c>
      <c r="K304" s="427">
        <v>0</v>
      </c>
      <c r="L304" s="427">
        <v>0</v>
      </c>
      <c r="M304" s="427">
        <v>0</v>
      </c>
      <c r="N304" s="427">
        <v>0</v>
      </c>
      <c r="O304" s="427">
        <v>0</v>
      </c>
      <c r="P304" s="427">
        <v>0</v>
      </c>
      <c r="Q304" s="427">
        <v>0</v>
      </c>
      <c r="R304" s="427">
        <v>0</v>
      </c>
      <c r="S304" s="427">
        <v>0</v>
      </c>
      <c r="T304" s="427">
        <v>0</v>
      </c>
      <c r="U304" s="427">
        <f t="shared" si="29"/>
        <v>0</v>
      </c>
      <c r="V304" s="427">
        <f t="shared" si="31"/>
        <v>0</v>
      </c>
    </row>
    <row r="305" spans="1:22">
      <c r="A305" s="427" t="str">
        <f t="shared" si="27"/>
        <v/>
      </c>
      <c r="B305" s="427" t="str">
        <f t="shared" si="26"/>
        <v/>
      </c>
      <c r="C305" s="427" t="str">
        <f t="shared" si="28"/>
        <v/>
      </c>
      <c r="E305" s="427" t="str">
        <f t="shared" si="32"/>
        <v/>
      </c>
      <c r="G305" s="426" t="str">
        <f t="shared" si="30"/>
        <v/>
      </c>
      <c r="U305" s="427">
        <f t="shared" si="29"/>
        <v>0</v>
      </c>
      <c r="V305" s="427">
        <f t="shared" si="31"/>
        <v>0</v>
      </c>
    </row>
    <row r="306" spans="1:22">
      <c r="A306" s="427" t="str">
        <f t="shared" si="27"/>
        <v>in</v>
      </c>
      <c r="B306" s="427" t="str">
        <f t="shared" si="26"/>
        <v xml:space="preserve">m </v>
      </c>
      <c r="C306" s="427" t="str">
        <f t="shared" si="28"/>
        <v/>
      </c>
      <c r="E306" s="427" t="str">
        <f t="shared" si="32"/>
        <v>Acc</v>
      </c>
      <c r="F306" s="759" t="s">
        <v>1831</v>
      </c>
      <c r="G306" s="426" t="str">
        <f t="shared" si="30"/>
        <v/>
      </c>
      <c r="U306" s="427">
        <f t="shared" si="29"/>
        <v>0</v>
      </c>
      <c r="V306" s="427">
        <f t="shared" si="31"/>
        <v>0</v>
      </c>
    </row>
    <row r="307" spans="1:22">
      <c r="A307" s="427" t="str">
        <f t="shared" si="27"/>
        <v>KU</v>
      </c>
      <c r="B307" s="427" t="str">
        <f t="shared" si="26"/>
        <v>KY</v>
      </c>
      <c r="C307" s="427" t="str">
        <f t="shared" si="28"/>
        <v>E</v>
      </c>
      <c r="D307" s="427" t="s">
        <v>3422</v>
      </c>
      <c r="E307" s="427" t="str">
        <f t="shared" si="32"/>
        <v>302</v>
      </c>
      <c r="F307" s="756" t="s">
        <v>1725</v>
      </c>
      <c r="G307" s="426" t="str">
        <f t="shared" si="30"/>
        <v/>
      </c>
      <c r="H307" s="427">
        <v>72.051869999999994</v>
      </c>
      <c r="I307" s="427">
        <v>72.221019999999996</v>
      </c>
      <c r="J307" s="427">
        <v>72.390169999999998</v>
      </c>
      <c r="K307" s="427">
        <v>72.55932</v>
      </c>
      <c r="L307" s="427">
        <v>72.728470000000002</v>
      </c>
      <c r="M307" s="427">
        <v>72.897620000000003</v>
      </c>
      <c r="N307" s="427">
        <v>73.066770000000005</v>
      </c>
      <c r="O307" s="427">
        <v>73.235919999999993</v>
      </c>
      <c r="P307" s="427">
        <v>73.405069999999995</v>
      </c>
      <c r="Q307" s="427">
        <v>73.574219999999997</v>
      </c>
      <c r="R307" s="427">
        <v>73.743369999999999</v>
      </c>
      <c r="S307" s="427">
        <v>73.912520000000001</v>
      </c>
      <c r="T307" s="427">
        <v>74.081670000000003</v>
      </c>
      <c r="V307" s="427">
        <f t="shared" si="31"/>
        <v>73.066770000000005</v>
      </c>
    </row>
    <row r="308" spans="1:22">
      <c r="A308" s="427" t="str">
        <f t="shared" si="27"/>
        <v>KU</v>
      </c>
      <c r="B308" s="427" t="str">
        <f t="shared" si="26"/>
        <v>KY</v>
      </c>
      <c r="C308" s="427" t="str">
        <f t="shared" si="28"/>
        <v>E</v>
      </c>
      <c r="D308" s="427" t="s">
        <v>3422</v>
      </c>
      <c r="E308" s="427" t="str">
        <f t="shared" si="32"/>
        <v>303</v>
      </c>
      <c r="F308" s="756" t="s">
        <v>1726</v>
      </c>
      <c r="G308" s="426" t="str">
        <f t="shared" si="30"/>
        <v/>
      </c>
      <c r="H308" s="427">
        <v>30773.367329999899</v>
      </c>
      <c r="I308" s="427">
        <v>31807.040439999899</v>
      </c>
      <c r="J308" s="427">
        <v>32916.584059999899</v>
      </c>
      <c r="K308" s="427">
        <v>33971.477499999899</v>
      </c>
      <c r="L308" s="427">
        <v>34202.054889999898</v>
      </c>
      <c r="M308" s="427">
        <v>35203.168989999998</v>
      </c>
      <c r="N308" s="427">
        <v>34638.38624</v>
      </c>
      <c r="O308" s="427">
        <v>32253.845850000002</v>
      </c>
      <c r="P308" s="427">
        <v>33489.231240000001</v>
      </c>
      <c r="Q308" s="427">
        <v>33918.827089999999</v>
      </c>
      <c r="R308" s="427">
        <v>32604.502039999999</v>
      </c>
      <c r="S308" s="427">
        <v>33711.330699999999</v>
      </c>
      <c r="T308" s="427">
        <v>35130.749179999999</v>
      </c>
      <c r="V308" s="427">
        <f t="shared" si="31"/>
        <v>33432.351196153802</v>
      </c>
    </row>
    <row r="309" spans="1:22">
      <c r="A309" s="427" t="str">
        <f t="shared" si="27"/>
        <v>KU</v>
      </c>
      <c r="B309" s="427" t="str">
        <f t="shared" si="26"/>
        <v>KY</v>
      </c>
      <c r="C309" s="427" t="str">
        <f t="shared" si="28"/>
        <v>E</v>
      </c>
      <c r="D309" s="427" t="s">
        <v>3422</v>
      </c>
      <c r="E309" s="427" t="str">
        <f t="shared" si="32"/>
        <v>303</v>
      </c>
      <c r="F309" s="756" t="s">
        <v>1727</v>
      </c>
      <c r="G309" s="426" t="str">
        <f t="shared" si="30"/>
        <v/>
      </c>
      <c r="H309" s="427">
        <v>5908.3415399999703</v>
      </c>
      <c r="I309" s="427">
        <v>6069.0445299999701</v>
      </c>
      <c r="J309" s="427">
        <v>6229.9729199999701</v>
      </c>
      <c r="K309" s="427">
        <v>6390.9013099999702</v>
      </c>
      <c r="L309" s="427">
        <v>6551.8296999999702</v>
      </c>
      <c r="M309" s="427">
        <v>6712.7580899999703</v>
      </c>
      <c r="N309" s="427">
        <v>6873.6864799999703</v>
      </c>
      <c r="O309" s="427">
        <v>7034.6148699999703</v>
      </c>
      <c r="P309" s="427">
        <v>7195.9891899999702</v>
      </c>
      <c r="Q309" s="427">
        <v>7357.8094499999797</v>
      </c>
      <c r="R309" s="427">
        <v>7520.03221999998</v>
      </c>
      <c r="S309" s="427">
        <v>7682.6574999999802</v>
      </c>
      <c r="T309" s="427">
        <v>7845.9590099999796</v>
      </c>
      <c r="V309" s="427">
        <f t="shared" si="31"/>
        <v>6874.8920623076656</v>
      </c>
    </row>
    <row r="310" spans="1:22">
      <c r="A310" s="427" t="str">
        <f t="shared" si="27"/>
        <v>KU</v>
      </c>
      <c r="B310" s="427" t="str">
        <f t="shared" si="26"/>
        <v>KY</v>
      </c>
      <c r="C310" s="427" t="str">
        <f t="shared" si="28"/>
        <v>E</v>
      </c>
      <c r="D310" s="427" t="s">
        <v>3422</v>
      </c>
      <c r="E310" s="427" t="str">
        <f t="shared" si="32"/>
        <v>311</v>
      </c>
      <c r="F310" s="756" t="s">
        <v>1731</v>
      </c>
      <c r="G310" s="426" t="str">
        <f t="shared" si="30"/>
        <v>ECR</v>
      </c>
      <c r="H310" s="427">
        <v>627.04703042469998</v>
      </c>
      <c r="I310" s="427">
        <v>656.61343659069996</v>
      </c>
      <c r="J310" s="427">
        <v>686.17984275670005</v>
      </c>
      <c r="K310" s="427">
        <v>715.74624892270003</v>
      </c>
      <c r="L310" s="427">
        <v>745.31265508870001</v>
      </c>
      <c r="M310" s="427">
        <v>774.87906125469999</v>
      </c>
      <c r="N310" s="427">
        <v>804.44546742069997</v>
      </c>
      <c r="O310" s="427">
        <v>834.01187358669995</v>
      </c>
      <c r="P310" s="427">
        <v>863.57827975270004</v>
      </c>
      <c r="Q310" s="427">
        <v>893.14468591870002</v>
      </c>
      <c r="R310" s="427">
        <v>922.7110920847</v>
      </c>
      <c r="S310" s="427">
        <v>952.27749825069998</v>
      </c>
      <c r="T310" s="427">
        <v>981.84390441669996</v>
      </c>
      <c r="V310" s="427">
        <f t="shared" si="31"/>
        <v>804.44546742070008</v>
      </c>
    </row>
    <row r="311" spans="1:22">
      <c r="A311" s="427" t="str">
        <f t="shared" si="27"/>
        <v>KU</v>
      </c>
      <c r="B311" s="427" t="str">
        <f t="shared" si="26"/>
        <v>KY</v>
      </c>
      <c r="C311" s="427" t="str">
        <f t="shared" si="28"/>
        <v>E</v>
      </c>
      <c r="D311" s="427" t="s">
        <v>3422</v>
      </c>
      <c r="E311" s="427" t="str">
        <f t="shared" si="32"/>
        <v>311</v>
      </c>
      <c r="F311" s="756" t="s">
        <v>2193</v>
      </c>
      <c r="G311" s="426" t="str">
        <f t="shared" si="30"/>
        <v>ECR</v>
      </c>
      <c r="H311" s="427">
        <v>671.76501351499905</v>
      </c>
      <c r="I311" s="427">
        <v>701.79473406399904</v>
      </c>
      <c r="J311" s="427">
        <v>731.82445461299903</v>
      </c>
      <c r="K311" s="427">
        <v>761.85417516199902</v>
      </c>
      <c r="L311" s="427">
        <v>791.88389571099901</v>
      </c>
      <c r="M311" s="427">
        <v>821.913616259999</v>
      </c>
      <c r="N311" s="427">
        <v>851.94333680899899</v>
      </c>
      <c r="O311" s="427">
        <v>881.97305735799898</v>
      </c>
      <c r="P311" s="427">
        <v>912.00277790699897</v>
      </c>
      <c r="Q311" s="427">
        <v>942.03249845599896</v>
      </c>
      <c r="R311" s="427">
        <v>972.06221900499895</v>
      </c>
      <c r="S311" s="427">
        <v>1002.09193955399</v>
      </c>
      <c r="T311" s="427">
        <v>1032.1216601029901</v>
      </c>
      <c r="V311" s="427">
        <f t="shared" si="31"/>
        <v>851.94333680899763</v>
      </c>
    </row>
    <row r="312" spans="1:22">
      <c r="A312" s="427" t="str">
        <f t="shared" si="27"/>
        <v>KU</v>
      </c>
      <c r="B312" s="427" t="str">
        <f t="shared" si="26"/>
        <v>KY</v>
      </c>
      <c r="C312" s="427" t="str">
        <f t="shared" si="28"/>
        <v>E</v>
      </c>
      <c r="D312" s="427" t="s">
        <v>3422</v>
      </c>
      <c r="E312" s="427" t="str">
        <f t="shared" si="32"/>
        <v>311</v>
      </c>
      <c r="F312" s="756" t="s">
        <v>1732</v>
      </c>
      <c r="G312" s="426" t="str">
        <f t="shared" si="30"/>
        <v/>
      </c>
      <c r="H312" s="427">
        <v>192509.13906491999</v>
      </c>
      <c r="I312" s="427">
        <v>193139.832148708</v>
      </c>
      <c r="J312" s="427">
        <v>193774.28534591099</v>
      </c>
      <c r="K312" s="427">
        <v>194417.956655911</v>
      </c>
      <c r="L312" s="427">
        <v>194973.80143727001</v>
      </c>
      <c r="M312" s="427">
        <v>195553.10494793</v>
      </c>
      <c r="N312" s="427">
        <v>196180.36725384</v>
      </c>
      <c r="O312" s="427">
        <v>196827.05054384001</v>
      </c>
      <c r="P312" s="427">
        <v>186798.55741384099</v>
      </c>
      <c r="Q312" s="427">
        <v>187445.56929384099</v>
      </c>
      <c r="R312" s="427">
        <v>188092.581173841</v>
      </c>
      <c r="S312" s="427">
        <v>188694.427272631</v>
      </c>
      <c r="T312" s="427">
        <v>189342.00688263099</v>
      </c>
      <c r="V312" s="427">
        <f t="shared" si="31"/>
        <v>192134.51380270111</v>
      </c>
    </row>
    <row r="313" spans="1:22">
      <c r="A313" s="427" t="str">
        <f t="shared" si="27"/>
        <v>KU</v>
      </c>
      <c r="B313" s="427" t="str">
        <f t="shared" si="26"/>
        <v>KY</v>
      </c>
      <c r="C313" s="427" t="str">
        <f t="shared" si="28"/>
        <v>E</v>
      </c>
      <c r="D313" s="427" t="s">
        <v>3422</v>
      </c>
      <c r="E313" s="427" t="str">
        <f t="shared" si="32"/>
        <v>312</v>
      </c>
      <c r="F313" s="756" t="s">
        <v>1733</v>
      </c>
      <c r="G313" s="426" t="str">
        <f t="shared" si="30"/>
        <v/>
      </c>
      <c r="H313" s="427">
        <v>1126071.8809757901</v>
      </c>
      <c r="I313" s="427">
        <v>1134608.61793798</v>
      </c>
      <c r="J313" s="427">
        <v>1142171.09771112</v>
      </c>
      <c r="K313" s="427">
        <v>1151277.6245744</v>
      </c>
      <c r="L313" s="427">
        <v>1159713.4531733899</v>
      </c>
      <c r="M313" s="427">
        <v>1155177.3248304599</v>
      </c>
      <c r="N313" s="427">
        <v>1164343.3580428399</v>
      </c>
      <c r="O313" s="427">
        <v>1172167.4431838701</v>
      </c>
      <c r="P313" s="427">
        <v>1153857.0768190201</v>
      </c>
      <c r="Q313" s="427">
        <v>1163131.93698298</v>
      </c>
      <c r="R313" s="427">
        <v>1168468.6967985299</v>
      </c>
      <c r="S313" s="427">
        <v>1176954.7694642099</v>
      </c>
      <c r="T313" s="427">
        <v>1186208.5804880899</v>
      </c>
      <c r="V313" s="427">
        <f t="shared" si="31"/>
        <v>1158011.6816140523</v>
      </c>
    </row>
    <row r="314" spans="1:22">
      <c r="A314" s="427" t="str">
        <f t="shared" si="27"/>
        <v>KU</v>
      </c>
      <c r="B314" s="427" t="str">
        <f t="shared" si="26"/>
        <v>KY</v>
      </c>
      <c r="C314" s="427" t="str">
        <f t="shared" si="28"/>
        <v>E</v>
      </c>
      <c r="D314" s="427" t="s">
        <v>3422</v>
      </c>
      <c r="E314" s="427" t="str">
        <f t="shared" si="32"/>
        <v>312</v>
      </c>
      <c r="F314" s="756" t="s">
        <v>1734</v>
      </c>
      <c r="G314" s="426" t="str">
        <f t="shared" si="30"/>
        <v>ECR</v>
      </c>
      <c r="H314" s="427">
        <v>54590.042465094099</v>
      </c>
      <c r="I314" s="427">
        <v>56418.079632523099</v>
      </c>
      <c r="J314" s="427">
        <v>58246.162912452099</v>
      </c>
      <c r="K314" s="427">
        <v>60074.292304881099</v>
      </c>
      <c r="L314" s="427">
        <v>61902.467809810099</v>
      </c>
      <c r="M314" s="427">
        <v>63730.6894272391</v>
      </c>
      <c r="N314" s="427">
        <v>65558.957157168101</v>
      </c>
      <c r="O314" s="427">
        <v>67408.529570060098</v>
      </c>
      <c r="P314" s="427">
        <v>68721.914367922102</v>
      </c>
      <c r="Q314" s="427">
        <v>70668.259692641106</v>
      </c>
      <c r="R314" s="427">
        <v>72616.364453360104</v>
      </c>
      <c r="S314" s="427">
        <v>74565.856929079106</v>
      </c>
      <c r="T314" s="427">
        <v>76515.53349312811</v>
      </c>
      <c r="V314" s="427">
        <f t="shared" si="31"/>
        <v>65462.857708873707</v>
      </c>
    </row>
    <row r="315" spans="1:22">
      <c r="A315" s="427" t="str">
        <f t="shared" si="27"/>
        <v>KU</v>
      </c>
      <c r="B315" s="427" t="str">
        <f t="shared" si="26"/>
        <v>KY</v>
      </c>
      <c r="C315" s="427" t="str">
        <f t="shared" si="28"/>
        <v>E</v>
      </c>
      <c r="D315" s="427" t="s">
        <v>3422</v>
      </c>
      <c r="E315" s="427" t="str">
        <f t="shared" si="32"/>
        <v>312</v>
      </c>
      <c r="F315" s="756" t="s">
        <v>1735</v>
      </c>
      <c r="G315" s="426" t="str">
        <f t="shared" si="30"/>
        <v>ECR</v>
      </c>
      <c r="H315" s="427">
        <v>71128.809294204999</v>
      </c>
      <c r="I315" s="427">
        <v>74289.051820474997</v>
      </c>
      <c r="J315" s="427">
        <v>77449.294346744995</v>
      </c>
      <c r="K315" s="427">
        <v>80609.536873015008</v>
      </c>
      <c r="L315" s="427">
        <v>83769.779399285006</v>
      </c>
      <c r="M315" s="427">
        <v>86930.021925554902</v>
      </c>
      <c r="N315" s="427">
        <v>90090.2644518249</v>
      </c>
      <c r="O315" s="427">
        <v>93250.506978094912</v>
      </c>
      <c r="P315" s="427">
        <v>95305.834727084904</v>
      </c>
      <c r="Q315" s="427">
        <v>98472.419598694905</v>
      </c>
      <c r="R315" s="427">
        <v>101639.00447030499</v>
      </c>
      <c r="S315" s="427">
        <v>103081.58101968499</v>
      </c>
      <c r="T315" s="427">
        <v>106250.14924672499</v>
      </c>
      <c r="V315" s="427">
        <f t="shared" si="31"/>
        <v>89405.096473207261</v>
      </c>
    </row>
    <row r="316" spans="1:22">
      <c r="A316" s="427" t="str">
        <f t="shared" si="27"/>
        <v>KU</v>
      </c>
      <c r="B316" s="427" t="str">
        <f t="shared" si="26"/>
        <v>KY</v>
      </c>
      <c r="C316" s="427" t="str">
        <f t="shared" si="28"/>
        <v>E</v>
      </c>
      <c r="D316" s="427" t="s">
        <v>3422</v>
      </c>
      <c r="E316" s="427" t="str">
        <f t="shared" si="32"/>
        <v>312</v>
      </c>
      <c r="F316" s="428" t="s">
        <v>2559</v>
      </c>
      <c r="G316" s="426" t="str">
        <f t="shared" si="30"/>
        <v/>
      </c>
      <c r="H316" s="427">
        <v>-36.445779999999999</v>
      </c>
      <c r="I316" s="427">
        <v>-36.445779999999999</v>
      </c>
      <c r="J316" s="427">
        <v>-36.445779999999999</v>
      </c>
      <c r="K316" s="427">
        <v>-36.445779999999999</v>
      </c>
      <c r="L316" s="427">
        <v>-36.445779999999999</v>
      </c>
      <c r="M316" s="427">
        <v>-36.445779999999999</v>
      </c>
      <c r="N316" s="427">
        <v>-36.445779999999999</v>
      </c>
      <c r="O316" s="427">
        <v>-36.445779999999999</v>
      </c>
      <c r="P316" s="427">
        <v>-101.24757</v>
      </c>
      <c r="Q316" s="427">
        <v>-101.24757</v>
      </c>
      <c r="R316" s="427">
        <v>-101.24757</v>
      </c>
      <c r="S316" s="427">
        <v>-101.24757</v>
      </c>
      <c r="T316" s="427">
        <v>-101.24757</v>
      </c>
      <c r="V316" s="427">
        <f t="shared" ref="V316:V317" si="33">SUM(H316:T316)/13</f>
        <v>-61.369545384615392</v>
      </c>
    </row>
    <row r="317" spans="1:22">
      <c r="A317" s="427" t="str">
        <f t="shared" si="27"/>
        <v>KU</v>
      </c>
      <c r="B317" s="427" t="str">
        <f t="shared" si="26"/>
        <v>KY</v>
      </c>
      <c r="C317" s="427" t="str">
        <f t="shared" si="28"/>
        <v>E</v>
      </c>
      <c r="D317" s="427" t="s">
        <v>3422</v>
      </c>
      <c r="E317" s="427" t="str">
        <f t="shared" si="32"/>
        <v>312</v>
      </c>
      <c r="F317" s="428" t="s">
        <v>2560</v>
      </c>
      <c r="G317" s="426" t="str">
        <f t="shared" si="30"/>
        <v/>
      </c>
      <c r="H317" s="427">
        <v>-12031.50655</v>
      </c>
      <c r="I317" s="427">
        <v>-12031.50655</v>
      </c>
      <c r="J317" s="427">
        <v>-12031.50655</v>
      </c>
      <c r="K317" s="427">
        <v>-12031.50655</v>
      </c>
      <c r="L317" s="427">
        <v>-12031.50655</v>
      </c>
      <c r="M317" s="427">
        <v>-12031.50655</v>
      </c>
      <c r="N317" s="427">
        <v>-12031.50655</v>
      </c>
      <c r="O317" s="427">
        <v>-12031.50655</v>
      </c>
      <c r="P317" s="427">
        <v>-12130.25215</v>
      </c>
      <c r="Q317" s="427">
        <v>-12130.25215</v>
      </c>
      <c r="R317" s="427">
        <v>-12130.25215</v>
      </c>
      <c r="S317" s="427">
        <v>-12352.429750000001</v>
      </c>
      <c r="T317" s="427">
        <v>-12352.429750000001</v>
      </c>
      <c r="V317" s="427">
        <f t="shared" si="33"/>
        <v>-12103.66679615385</v>
      </c>
    </row>
    <row r="318" spans="1:22">
      <c r="A318" s="427" t="str">
        <f t="shared" si="27"/>
        <v>KU</v>
      </c>
      <c r="B318" s="427" t="str">
        <f t="shared" si="26"/>
        <v>KY</v>
      </c>
      <c r="C318" s="427" t="str">
        <f t="shared" si="28"/>
        <v>E</v>
      </c>
      <c r="D318" s="427" t="s">
        <v>3422</v>
      </c>
      <c r="E318" s="427" t="str">
        <f t="shared" si="32"/>
        <v>312</v>
      </c>
      <c r="F318" s="756" t="s">
        <v>2194</v>
      </c>
      <c r="G318" s="426" t="str">
        <f t="shared" si="30"/>
        <v>ECR</v>
      </c>
      <c r="H318" s="427">
        <v>363.29425535433199</v>
      </c>
      <c r="I318" s="427">
        <v>685.42270688025201</v>
      </c>
      <c r="J318" s="427">
        <v>1253.1471277691701</v>
      </c>
      <c r="K318" s="427">
        <v>1827.4611796990901</v>
      </c>
      <c r="L318" s="427">
        <v>2405.5034731990099</v>
      </c>
      <c r="M318" s="427">
        <v>2987.1126954689298</v>
      </c>
      <c r="N318" s="427">
        <v>3608.4371494208499</v>
      </c>
      <c r="O318" s="427">
        <v>4269.5511446827704</v>
      </c>
      <c r="P318" s="427">
        <v>5001.1421306966904</v>
      </c>
      <c r="Q318" s="427">
        <v>5801.4882711046102</v>
      </c>
      <c r="R318" s="427">
        <v>6602.0506615425302</v>
      </c>
      <c r="S318" s="427">
        <v>7403.0455519504503</v>
      </c>
      <c r="T318" s="427">
        <v>8204.6891923583698</v>
      </c>
      <c r="V318" s="427">
        <f t="shared" si="31"/>
        <v>3877.8727338559274</v>
      </c>
    </row>
    <row r="319" spans="1:22">
      <c r="A319" s="427" t="str">
        <f t="shared" si="27"/>
        <v>KU</v>
      </c>
      <c r="B319" s="427" t="str">
        <f t="shared" si="26"/>
        <v>KY</v>
      </c>
      <c r="C319" s="427" t="str">
        <f t="shared" si="28"/>
        <v>E</v>
      </c>
      <c r="D319" s="427" t="s">
        <v>3422</v>
      </c>
      <c r="E319" s="427" t="str">
        <f t="shared" si="32"/>
        <v>314</v>
      </c>
      <c r="F319" s="756" t="s">
        <v>1737</v>
      </c>
      <c r="G319" s="426" t="str">
        <f t="shared" si="30"/>
        <v/>
      </c>
      <c r="H319" s="427">
        <v>143705.88952532</v>
      </c>
      <c r="I319" s="427">
        <v>144474.60214745</v>
      </c>
      <c r="J319" s="427">
        <v>145264.67036744999</v>
      </c>
      <c r="K319" s="427">
        <v>146046.34273224801</v>
      </c>
      <c r="L319" s="427">
        <v>146837.718602248</v>
      </c>
      <c r="M319" s="427">
        <v>147629.09447224799</v>
      </c>
      <c r="N319" s="427">
        <v>148420.47034224699</v>
      </c>
      <c r="O319" s="427">
        <v>149027.621702248</v>
      </c>
      <c r="P319" s="427">
        <v>148930.67431709499</v>
      </c>
      <c r="Q319" s="427">
        <v>149754.922567095</v>
      </c>
      <c r="R319" s="427">
        <v>150579.170817095</v>
      </c>
      <c r="S319" s="427">
        <v>151403.419067095</v>
      </c>
      <c r="T319" s="427">
        <v>145089.80391709501</v>
      </c>
      <c r="V319" s="427">
        <f t="shared" si="31"/>
        <v>147474.18465976414</v>
      </c>
    </row>
    <row r="320" spans="1:22">
      <c r="A320" s="427" t="str">
        <f t="shared" si="27"/>
        <v>KU</v>
      </c>
      <c r="B320" s="427" t="str">
        <f t="shared" si="26"/>
        <v>KY</v>
      </c>
      <c r="C320" s="427" t="str">
        <f t="shared" si="28"/>
        <v>E</v>
      </c>
      <c r="D320" s="427" t="s">
        <v>3422</v>
      </c>
      <c r="E320" s="427" t="str">
        <f t="shared" si="32"/>
        <v>315</v>
      </c>
      <c r="F320" s="756" t="s">
        <v>1738</v>
      </c>
      <c r="G320" s="426" t="str">
        <f t="shared" si="30"/>
        <v/>
      </c>
      <c r="H320" s="427">
        <v>112476.087154407</v>
      </c>
      <c r="I320" s="427">
        <v>113003.53440440699</v>
      </c>
      <c r="J320" s="427">
        <v>113531.092284407</v>
      </c>
      <c r="K320" s="427">
        <v>114058.65016440699</v>
      </c>
      <c r="L320" s="427">
        <v>114586.208044407</v>
      </c>
      <c r="M320" s="427">
        <v>115113.76592440699</v>
      </c>
      <c r="N320" s="427">
        <v>115641.323804407</v>
      </c>
      <c r="O320" s="427">
        <v>115843.754733907</v>
      </c>
      <c r="P320" s="427">
        <v>115707.045995297</v>
      </c>
      <c r="Q320" s="427">
        <v>116247.30964529701</v>
      </c>
      <c r="R320" s="427">
        <v>116787.573295297</v>
      </c>
      <c r="S320" s="427">
        <v>117327.83694529699</v>
      </c>
      <c r="T320" s="427">
        <v>117478.957485297</v>
      </c>
      <c r="V320" s="427">
        <f t="shared" si="31"/>
        <v>115215.62614471086</v>
      </c>
    </row>
    <row r="321" spans="1:22">
      <c r="A321" s="427" t="str">
        <f t="shared" si="27"/>
        <v>KU</v>
      </c>
      <c r="B321" s="427" t="str">
        <f t="shared" si="26"/>
        <v>KY</v>
      </c>
      <c r="C321" s="427" t="str">
        <f t="shared" si="28"/>
        <v>E</v>
      </c>
      <c r="D321" s="427" t="s">
        <v>3422</v>
      </c>
      <c r="E321" s="427" t="str">
        <f t="shared" si="32"/>
        <v>315</v>
      </c>
      <c r="F321" s="756" t="s">
        <v>2195</v>
      </c>
      <c r="G321" s="426" t="str">
        <f t="shared" si="30"/>
        <v>ECR</v>
      </c>
      <c r="H321" s="427">
        <v>600.26109318030001</v>
      </c>
      <c r="I321" s="427">
        <v>662.53277814136993</v>
      </c>
      <c r="J321" s="427">
        <v>724.80446310243894</v>
      </c>
      <c r="K321" s="427">
        <v>787.07614806350898</v>
      </c>
      <c r="L321" s="427">
        <v>849.34783302457902</v>
      </c>
      <c r="M321" s="427">
        <v>911.61951798564894</v>
      </c>
      <c r="N321" s="427">
        <v>973.89120294671898</v>
      </c>
      <c r="O321" s="427">
        <v>1036.16288790778</v>
      </c>
      <c r="P321" s="427">
        <v>1098.4345728688502</v>
      </c>
      <c r="Q321" s="427">
        <v>1160.7062578299301</v>
      </c>
      <c r="R321" s="427">
        <v>1222.977942791</v>
      </c>
      <c r="S321" s="427">
        <v>1285.2496277520702</v>
      </c>
      <c r="T321" s="427">
        <v>1347.5213127131401</v>
      </c>
      <c r="V321" s="427">
        <f t="shared" si="31"/>
        <v>973.89120294671795</v>
      </c>
    </row>
    <row r="322" spans="1:22">
      <c r="A322" s="427" t="str">
        <f t="shared" si="27"/>
        <v>KU</v>
      </c>
      <c r="B322" s="427" t="str">
        <f t="shared" si="26"/>
        <v>KY</v>
      </c>
      <c r="C322" s="427" t="str">
        <f t="shared" si="28"/>
        <v>E</v>
      </c>
      <c r="D322" s="427" t="s">
        <v>3422</v>
      </c>
      <c r="E322" s="427" t="str">
        <f t="shared" si="32"/>
        <v>315</v>
      </c>
      <c r="F322" s="428" t="s">
        <v>2561</v>
      </c>
      <c r="G322" s="426" t="str">
        <f t="shared" si="30"/>
        <v/>
      </c>
      <c r="H322" s="427">
        <v>-2.19457999999999</v>
      </c>
      <c r="I322" s="427">
        <v>-2.19457999999999</v>
      </c>
      <c r="J322" s="427">
        <v>-2.19457999999999</v>
      </c>
      <c r="K322" s="427">
        <v>-2.19457999999999</v>
      </c>
      <c r="L322" s="427">
        <v>-2.19457999999999</v>
      </c>
      <c r="M322" s="427">
        <v>-2.19457999999999</v>
      </c>
      <c r="N322" s="427">
        <v>-2.19457999999999</v>
      </c>
      <c r="O322" s="427">
        <v>-2.19457999999999</v>
      </c>
      <c r="P322" s="427">
        <v>-2.19457999999999</v>
      </c>
      <c r="Q322" s="427">
        <v>-2.19457999999999</v>
      </c>
      <c r="R322" s="427">
        <v>-2.19457999999999</v>
      </c>
      <c r="S322" s="427">
        <v>-2.19457999999999</v>
      </c>
      <c r="T322" s="427">
        <v>-2.19457999999999</v>
      </c>
      <c r="V322" s="427">
        <f t="shared" ref="V322" si="34">SUM(H322:T322)/13</f>
        <v>-2.1945799999999904</v>
      </c>
    </row>
    <row r="323" spans="1:22">
      <c r="A323" s="427" t="str">
        <f t="shared" si="27"/>
        <v>KU</v>
      </c>
      <c r="B323" s="427" t="str">
        <f t="shared" si="26"/>
        <v>KY</v>
      </c>
      <c r="C323" s="427" t="str">
        <f t="shared" si="28"/>
        <v>E</v>
      </c>
      <c r="D323" s="427" t="s">
        <v>3422</v>
      </c>
      <c r="E323" s="427" t="str">
        <f t="shared" si="32"/>
        <v>315</v>
      </c>
      <c r="F323" s="756" t="s">
        <v>1739</v>
      </c>
      <c r="G323" s="426" t="str">
        <f t="shared" si="30"/>
        <v>ECR</v>
      </c>
      <c r="H323" s="427">
        <v>578.93016085199997</v>
      </c>
      <c r="I323" s="427">
        <v>616.824268551552</v>
      </c>
      <c r="J323" s="427">
        <v>654.71837625110504</v>
      </c>
      <c r="K323" s="427">
        <v>692.61248395065797</v>
      </c>
      <c r="L323" s="427">
        <v>730.50659165021102</v>
      </c>
      <c r="M323" s="427">
        <v>768.40069934976395</v>
      </c>
      <c r="N323" s="427">
        <v>806.294807049317</v>
      </c>
      <c r="O323" s="427">
        <v>844.18891474887005</v>
      </c>
      <c r="P323" s="427">
        <v>882.08302244842298</v>
      </c>
      <c r="Q323" s="427">
        <v>919.97713014797603</v>
      </c>
      <c r="R323" s="427">
        <v>957.87123784752896</v>
      </c>
      <c r="S323" s="427">
        <v>995.76534554708201</v>
      </c>
      <c r="T323" s="427">
        <v>1033.6594532466299</v>
      </c>
      <c r="V323" s="427">
        <f t="shared" si="31"/>
        <v>806.29480704931666</v>
      </c>
    </row>
    <row r="324" spans="1:22">
      <c r="A324" s="427" t="str">
        <f t="shared" si="27"/>
        <v>KU</v>
      </c>
      <c r="B324" s="427" t="str">
        <f t="shared" si="26"/>
        <v>KY</v>
      </c>
      <c r="C324" s="427" t="str">
        <f t="shared" si="28"/>
        <v>E</v>
      </c>
      <c r="D324" s="427" t="s">
        <v>3422</v>
      </c>
      <c r="E324" s="427" t="str">
        <f t="shared" si="32"/>
        <v>316</v>
      </c>
      <c r="F324" s="756" t="s">
        <v>2196</v>
      </c>
      <c r="G324" s="426" t="str">
        <f t="shared" si="30"/>
        <v>ECR</v>
      </c>
      <c r="H324" s="427">
        <v>38.373173800000004</v>
      </c>
      <c r="I324" s="427">
        <v>39.864910246000001</v>
      </c>
      <c r="J324" s="427">
        <v>41.356646691999998</v>
      </c>
      <c r="K324" s="427">
        <v>42.848383138000003</v>
      </c>
      <c r="L324" s="427">
        <v>44.340119584</v>
      </c>
      <c r="M324" s="427">
        <v>45.831856029999997</v>
      </c>
      <c r="N324" s="427">
        <v>47.323592475999902</v>
      </c>
      <c r="O324" s="427">
        <v>48.8153289219999</v>
      </c>
      <c r="P324" s="427">
        <v>50.307065367999897</v>
      </c>
      <c r="Q324" s="427">
        <v>51.798801813999901</v>
      </c>
      <c r="R324" s="427">
        <v>53.290538259999899</v>
      </c>
      <c r="S324" s="427">
        <v>54.782274705999903</v>
      </c>
      <c r="T324" s="427">
        <v>56.2740111519999</v>
      </c>
      <c r="V324" s="427">
        <f t="shared" si="31"/>
        <v>47.323592475999945</v>
      </c>
    </row>
    <row r="325" spans="1:22">
      <c r="A325" s="427" t="str">
        <f t="shared" si="27"/>
        <v>KU</v>
      </c>
      <c r="B325" s="427" t="str">
        <f t="shared" si="26"/>
        <v>KY</v>
      </c>
      <c r="C325" s="427" t="str">
        <f t="shared" si="28"/>
        <v>E</v>
      </c>
      <c r="D325" s="427" t="s">
        <v>3422</v>
      </c>
      <c r="E325" s="427" t="str">
        <f t="shared" si="32"/>
        <v>316</v>
      </c>
      <c r="F325" s="756" t="s">
        <v>1740</v>
      </c>
      <c r="G325" s="426" t="str">
        <f t="shared" si="30"/>
        <v/>
      </c>
      <c r="H325" s="427">
        <v>16947.823735792899</v>
      </c>
      <c r="I325" s="427">
        <v>17015.190061662899</v>
      </c>
      <c r="J325" s="427">
        <v>17110.643751662901</v>
      </c>
      <c r="K325" s="427">
        <v>17206.191101662898</v>
      </c>
      <c r="L325" s="427">
        <v>17278.516514052899</v>
      </c>
      <c r="M325" s="427">
        <v>17375.107194052998</v>
      </c>
      <c r="N325" s="427">
        <v>17472.270434053</v>
      </c>
      <c r="O325" s="427">
        <v>17560.594281701</v>
      </c>
      <c r="P325" s="427">
        <v>16655.0915353239</v>
      </c>
      <c r="Q325" s="427">
        <v>16762.323115323899</v>
      </c>
      <c r="R325" s="427">
        <v>16869.554695323899</v>
      </c>
      <c r="S325" s="427">
        <v>16977.050685323899</v>
      </c>
      <c r="T325" s="427">
        <v>17072.673854740999</v>
      </c>
      <c r="V325" s="427">
        <f t="shared" si="31"/>
        <v>17100.23315082139</v>
      </c>
    </row>
    <row r="326" spans="1:22">
      <c r="A326" s="427" t="str">
        <f t="shared" si="27"/>
        <v>KU</v>
      </c>
      <c r="B326" s="427" t="str">
        <f t="shared" si="26"/>
        <v>KY</v>
      </c>
      <c r="C326" s="427" t="str">
        <f t="shared" si="28"/>
        <v>E</v>
      </c>
      <c r="D326" s="427" t="s">
        <v>3422</v>
      </c>
      <c r="E326" s="427" t="str">
        <f t="shared" si="32"/>
        <v>317</v>
      </c>
      <c r="F326" s="756" t="s">
        <v>1741</v>
      </c>
      <c r="G326" s="426" t="str">
        <f t="shared" si="30"/>
        <v>ARO</v>
      </c>
      <c r="H326" s="427">
        <v>14184.853580000001</v>
      </c>
      <c r="I326" s="427">
        <v>14636.79376</v>
      </c>
      <c r="J326" s="427">
        <v>15088.73394</v>
      </c>
      <c r="K326" s="427">
        <v>15540.67412</v>
      </c>
      <c r="L326" s="427">
        <v>15992.614299999999</v>
      </c>
      <c r="M326" s="427">
        <v>16444.554479999999</v>
      </c>
      <c r="N326" s="427">
        <v>16896.49466</v>
      </c>
      <c r="O326" s="427">
        <v>17348.434840000002</v>
      </c>
      <c r="P326" s="427">
        <v>17800.375019999999</v>
      </c>
      <c r="Q326" s="427">
        <v>4241.3605470446701</v>
      </c>
      <c r="R326" s="427">
        <v>4302.18448408933</v>
      </c>
      <c r="S326" s="427">
        <v>4363.0084211339799</v>
      </c>
      <c r="T326" s="427">
        <v>4423.8323581786399</v>
      </c>
      <c r="V326" s="427">
        <f t="shared" si="31"/>
        <v>12404.916500803585</v>
      </c>
    </row>
    <row r="327" spans="1:22">
      <c r="A327" s="427" t="str">
        <f t="shared" si="27"/>
        <v>KU</v>
      </c>
      <c r="B327" s="427" t="str">
        <f t="shared" si="26"/>
        <v>KY</v>
      </c>
      <c r="C327" s="427" t="str">
        <f t="shared" si="28"/>
        <v>E</v>
      </c>
      <c r="D327" s="427" t="s">
        <v>3422</v>
      </c>
      <c r="E327" s="427" t="str">
        <f t="shared" si="32"/>
        <v>317</v>
      </c>
      <c r="F327" s="756" t="s">
        <v>2504</v>
      </c>
      <c r="G327" s="426" t="str">
        <f t="shared" si="30"/>
        <v>ARO</v>
      </c>
      <c r="H327" s="427">
        <v>125943.5272</v>
      </c>
      <c r="I327" s="427">
        <v>126978.8901</v>
      </c>
      <c r="J327" s="427">
        <v>128014.253</v>
      </c>
      <c r="K327" s="427">
        <v>129049.6159</v>
      </c>
      <c r="L327" s="427">
        <v>130084.9788</v>
      </c>
      <c r="M327" s="427">
        <v>131120.34169999999</v>
      </c>
      <c r="N327" s="427">
        <v>132155.7046</v>
      </c>
      <c r="O327" s="427">
        <v>133191.0675</v>
      </c>
      <c r="P327" s="427">
        <v>134226.43040000001</v>
      </c>
      <c r="Q327" s="427">
        <v>86844.474790000095</v>
      </c>
      <c r="R327" s="427">
        <v>87807.435590000096</v>
      </c>
      <c r="S327" s="427">
        <v>88770.396390000096</v>
      </c>
      <c r="T327" s="427">
        <v>89733.357190000097</v>
      </c>
      <c r="V327" s="427">
        <f t="shared" si="31"/>
        <v>117224.6517815385</v>
      </c>
    </row>
    <row r="328" spans="1:22">
      <c r="A328" s="427" t="str">
        <f t="shared" si="27"/>
        <v>KU</v>
      </c>
      <c r="B328" s="427" t="str">
        <f t="shared" si="26"/>
        <v>KY</v>
      </c>
      <c r="C328" s="427" t="str">
        <f t="shared" si="28"/>
        <v>E</v>
      </c>
      <c r="D328" s="427" t="s">
        <v>3422</v>
      </c>
      <c r="E328" s="427" t="str">
        <f t="shared" si="32"/>
        <v>330</v>
      </c>
      <c r="F328" s="756" t="s">
        <v>1742</v>
      </c>
      <c r="G328" s="426" t="str">
        <f t="shared" si="30"/>
        <v/>
      </c>
      <c r="H328" s="427">
        <v>912.33259999999996</v>
      </c>
      <c r="I328" s="427">
        <v>912.33259999999996</v>
      </c>
      <c r="J328" s="427">
        <v>912.33259999999996</v>
      </c>
      <c r="K328" s="427">
        <v>912.33259999999996</v>
      </c>
      <c r="L328" s="427">
        <v>912.33259999999996</v>
      </c>
      <c r="M328" s="427">
        <v>912.33259999999996</v>
      </c>
      <c r="N328" s="427">
        <v>912.33259999999996</v>
      </c>
      <c r="O328" s="427">
        <v>912.33259999999996</v>
      </c>
      <c r="P328" s="427">
        <v>912.33259999999996</v>
      </c>
      <c r="Q328" s="427">
        <v>912.33259999999996</v>
      </c>
      <c r="R328" s="427">
        <v>912.33259999999996</v>
      </c>
      <c r="S328" s="427">
        <v>912.33259999999996</v>
      </c>
      <c r="T328" s="427">
        <v>912.33259999999996</v>
      </c>
      <c r="V328" s="427">
        <f t="shared" si="31"/>
        <v>912.33259999999984</v>
      </c>
    </row>
    <row r="329" spans="1:22">
      <c r="A329" s="427" t="str">
        <f t="shared" si="27"/>
        <v>KU</v>
      </c>
      <c r="B329" s="427" t="str">
        <f t="shared" si="26"/>
        <v>KY</v>
      </c>
      <c r="C329" s="427" t="str">
        <f t="shared" si="28"/>
        <v>E</v>
      </c>
      <c r="D329" s="427" t="s">
        <v>3422</v>
      </c>
      <c r="E329" s="427" t="str">
        <f t="shared" si="32"/>
        <v>331</v>
      </c>
      <c r="F329" s="756" t="s">
        <v>1743</v>
      </c>
      <c r="G329" s="426" t="str">
        <f t="shared" si="30"/>
        <v/>
      </c>
      <c r="H329" s="427">
        <v>363.65089999999901</v>
      </c>
      <c r="I329" s="427">
        <v>372.73015999999899</v>
      </c>
      <c r="J329" s="427">
        <v>379.43671569499901</v>
      </c>
      <c r="K329" s="427">
        <v>388.70921569499899</v>
      </c>
      <c r="L329" s="427">
        <v>397.98171569499902</v>
      </c>
      <c r="M329" s="427">
        <v>407.254215694999</v>
      </c>
      <c r="N329" s="427">
        <v>416.52671569500001</v>
      </c>
      <c r="O329" s="427">
        <v>425.79921569499999</v>
      </c>
      <c r="P329" s="427">
        <v>435.07171569500002</v>
      </c>
      <c r="Q329" s="427">
        <v>444.344215695</v>
      </c>
      <c r="R329" s="427">
        <v>453.61671569499998</v>
      </c>
      <c r="S329" s="427">
        <v>462.88921569500002</v>
      </c>
      <c r="T329" s="427">
        <v>472.161715695</v>
      </c>
      <c r="V329" s="427">
        <f t="shared" si="31"/>
        <v>416.93634097269177</v>
      </c>
    </row>
    <row r="330" spans="1:22">
      <c r="A330" s="427" t="str">
        <f t="shared" ref="A330:A393" si="35">MID($F330,4,2)</f>
        <v>KU</v>
      </c>
      <c r="B330" s="427" t="str">
        <f t="shared" si="26"/>
        <v>KY</v>
      </c>
      <c r="C330" s="427" t="str">
        <f t="shared" si="28"/>
        <v>E</v>
      </c>
      <c r="D330" s="427" t="s">
        <v>3422</v>
      </c>
      <c r="E330" s="427" t="str">
        <f t="shared" si="32"/>
        <v>332</v>
      </c>
      <c r="F330" s="756" t="s">
        <v>1744</v>
      </c>
      <c r="G330" s="426" t="str">
        <f t="shared" si="30"/>
        <v/>
      </c>
      <c r="H330" s="427">
        <v>10077.9945299999</v>
      </c>
      <c r="I330" s="427">
        <v>10125.595809999901</v>
      </c>
      <c r="J330" s="427">
        <v>10173.1970899999</v>
      </c>
      <c r="K330" s="427">
        <v>10220.7983699999</v>
      </c>
      <c r="L330" s="427">
        <v>10268.399649999899</v>
      </c>
      <c r="M330" s="427">
        <v>10316.0009299999</v>
      </c>
      <c r="N330" s="427">
        <v>10363.602209999901</v>
      </c>
      <c r="O330" s="427">
        <v>10411.2034899999</v>
      </c>
      <c r="P330" s="427">
        <v>10458.804769999901</v>
      </c>
      <c r="Q330" s="427">
        <v>10506.4060499999</v>
      </c>
      <c r="R330" s="427">
        <v>10554.0073299999</v>
      </c>
      <c r="S330" s="427">
        <v>10601.608609999899</v>
      </c>
      <c r="T330" s="427">
        <v>10649.2098899999</v>
      </c>
      <c r="V330" s="427">
        <f t="shared" si="31"/>
        <v>10363.602209999899</v>
      </c>
    </row>
    <row r="331" spans="1:22">
      <c r="A331" s="427" t="str">
        <f t="shared" si="35"/>
        <v>KU</v>
      </c>
      <c r="B331" s="427" t="str">
        <f t="shared" si="26"/>
        <v>KY</v>
      </c>
      <c r="C331" s="427" t="str">
        <f t="shared" si="28"/>
        <v>E</v>
      </c>
      <c r="D331" s="427" t="s">
        <v>3422</v>
      </c>
      <c r="E331" s="427" t="str">
        <f t="shared" si="32"/>
        <v>333</v>
      </c>
      <c r="F331" s="756" t="s">
        <v>1745</v>
      </c>
      <c r="G331" s="426" t="str">
        <f t="shared" si="30"/>
        <v/>
      </c>
      <c r="H331" s="427">
        <v>2570.1471899999901</v>
      </c>
      <c r="I331" s="427">
        <v>2615.33087999999</v>
      </c>
      <c r="J331" s="427">
        <v>2660.5145699999898</v>
      </c>
      <c r="K331" s="427">
        <v>2705.6982599999901</v>
      </c>
      <c r="L331" s="427">
        <v>2750.88194999999</v>
      </c>
      <c r="M331" s="427">
        <v>2796.0656399999898</v>
      </c>
      <c r="N331" s="427">
        <v>2841.2493299999901</v>
      </c>
      <c r="O331" s="427">
        <v>2886.4330199999799</v>
      </c>
      <c r="P331" s="427">
        <v>2931.6167099999798</v>
      </c>
      <c r="Q331" s="427">
        <v>2976.8003999999801</v>
      </c>
      <c r="R331" s="427">
        <v>3021.9840899999799</v>
      </c>
      <c r="S331" s="427">
        <v>3067.1677799999802</v>
      </c>
      <c r="T331" s="427">
        <v>3112.3514699999801</v>
      </c>
      <c r="V331" s="427">
        <f t="shared" si="31"/>
        <v>2841.2493299999851</v>
      </c>
    </row>
    <row r="332" spans="1:22">
      <c r="A332" s="427" t="str">
        <f t="shared" si="35"/>
        <v>KU</v>
      </c>
      <c r="B332" s="427" t="str">
        <f t="shared" si="26"/>
        <v>KY</v>
      </c>
      <c r="C332" s="427" t="str">
        <f t="shared" si="28"/>
        <v>E</v>
      </c>
      <c r="D332" s="427" t="s">
        <v>3422</v>
      </c>
      <c r="E332" s="427" t="str">
        <f t="shared" si="32"/>
        <v>334</v>
      </c>
      <c r="F332" s="756" t="s">
        <v>1746</v>
      </c>
      <c r="G332" s="426" t="str">
        <f t="shared" si="30"/>
        <v/>
      </c>
      <c r="H332" s="427">
        <v>388.50836999999899</v>
      </c>
      <c r="I332" s="427">
        <v>392.89580999999902</v>
      </c>
      <c r="J332" s="427">
        <v>397.28324999999899</v>
      </c>
      <c r="K332" s="427">
        <v>401.67068999999901</v>
      </c>
      <c r="L332" s="427">
        <v>406.05812999999898</v>
      </c>
      <c r="M332" s="427">
        <v>410.44556999999901</v>
      </c>
      <c r="N332" s="427">
        <v>414.83300999999898</v>
      </c>
      <c r="O332" s="427">
        <v>419.220449999999</v>
      </c>
      <c r="P332" s="427">
        <v>423.60788999999897</v>
      </c>
      <c r="Q332" s="427">
        <v>427.995329999999</v>
      </c>
      <c r="R332" s="427">
        <v>432.38276999999903</v>
      </c>
      <c r="S332" s="427">
        <v>436.770209999999</v>
      </c>
      <c r="T332" s="427">
        <v>441.15764999999902</v>
      </c>
      <c r="V332" s="427">
        <f t="shared" si="31"/>
        <v>414.83300999999898</v>
      </c>
    </row>
    <row r="333" spans="1:22">
      <c r="A333" s="427" t="str">
        <f t="shared" si="35"/>
        <v>KU</v>
      </c>
      <c r="B333" s="427" t="str">
        <f t="shared" si="26"/>
        <v>KY</v>
      </c>
      <c r="C333" s="427" t="str">
        <f t="shared" si="28"/>
        <v>E</v>
      </c>
      <c r="D333" s="427" t="s">
        <v>3422</v>
      </c>
      <c r="E333" s="427" t="str">
        <f t="shared" si="32"/>
        <v>335</v>
      </c>
      <c r="F333" s="756" t="s">
        <v>1747</v>
      </c>
      <c r="G333" s="426" t="str">
        <f t="shared" si="30"/>
        <v/>
      </c>
      <c r="H333" s="427">
        <v>160.06644999999901</v>
      </c>
      <c r="I333" s="427">
        <v>161.098489999999</v>
      </c>
      <c r="J333" s="427">
        <v>162.130529999999</v>
      </c>
      <c r="K333" s="427">
        <v>163.16256999999899</v>
      </c>
      <c r="L333" s="427">
        <v>164.19460999999899</v>
      </c>
      <c r="M333" s="427">
        <v>165.22664999999901</v>
      </c>
      <c r="N333" s="427">
        <v>166.25868999999901</v>
      </c>
      <c r="O333" s="427">
        <v>167.290729999999</v>
      </c>
      <c r="P333" s="427">
        <v>168.322769999999</v>
      </c>
      <c r="Q333" s="427">
        <v>169.35480999999899</v>
      </c>
      <c r="R333" s="427">
        <v>170.38684999999899</v>
      </c>
      <c r="S333" s="427">
        <v>171.41888999999901</v>
      </c>
      <c r="T333" s="427">
        <v>172.450929999999</v>
      </c>
      <c r="V333" s="427">
        <f t="shared" si="31"/>
        <v>166.25868999999901</v>
      </c>
    </row>
    <row r="334" spans="1:22">
      <c r="A334" s="427" t="str">
        <f t="shared" si="35"/>
        <v>KU</v>
      </c>
      <c r="B334" s="427" t="str">
        <f t="shared" si="26"/>
        <v>KY</v>
      </c>
      <c r="C334" s="427" t="str">
        <f t="shared" si="28"/>
        <v>E</v>
      </c>
      <c r="D334" s="427" t="s">
        <v>3422</v>
      </c>
      <c r="E334" s="427" t="str">
        <f t="shared" si="32"/>
        <v>336</v>
      </c>
      <c r="F334" s="756" t="s">
        <v>1748</v>
      </c>
      <c r="G334" s="426" t="str">
        <f t="shared" si="30"/>
        <v/>
      </c>
      <c r="H334" s="427">
        <v>98.426959999999994</v>
      </c>
      <c r="I334" s="427">
        <v>99.077719999999999</v>
      </c>
      <c r="J334" s="427">
        <v>99.728480000000005</v>
      </c>
      <c r="K334" s="427">
        <v>100.37924</v>
      </c>
      <c r="L334" s="427">
        <v>101.03</v>
      </c>
      <c r="M334" s="427">
        <v>101.68076000000001</v>
      </c>
      <c r="N334" s="427">
        <v>102.33152</v>
      </c>
      <c r="O334" s="427">
        <v>102.98228</v>
      </c>
      <c r="P334" s="427">
        <v>103.63303999999999</v>
      </c>
      <c r="Q334" s="427">
        <v>104.2838</v>
      </c>
      <c r="R334" s="427">
        <v>104.93456</v>
      </c>
      <c r="S334" s="427">
        <v>105.58532</v>
      </c>
      <c r="T334" s="427">
        <v>106.23608</v>
      </c>
      <c r="V334" s="427">
        <f t="shared" si="31"/>
        <v>102.33151999999997</v>
      </c>
    </row>
    <row r="335" spans="1:22">
      <c r="A335" s="427" t="str">
        <f t="shared" si="35"/>
        <v>KU</v>
      </c>
      <c r="B335" s="427" t="str">
        <f t="shared" si="26"/>
        <v>KY</v>
      </c>
      <c r="C335" s="427" t="str">
        <f t="shared" si="28"/>
        <v>E</v>
      </c>
      <c r="D335" s="427" t="s">
        <v>3422</v>
      </c>
      <c r="E335" s="427" t="str">
        <f t="shared" si="32"/>
        <v>337</v>
      </c>
      <c r="F335" s="756" t="s">
        <v>1749</v>
      </c>
      <c r="G335" s="426" t="str">
        <f t="shared" si="30"/>
        <v>ARO</v>
      </c>
      <c r="H335" s="427">
        <v>61.440829999999899</v>
      </c>
      <c r="I335" s="427">
        <v>62.931509999999903</v>
      </c>
      <c r="J335" s="427">
        <v>64.422189999999901</v>
      </c>
      <c r="K335" s="427">
        <v>65.912869999999899</v>
      </c>
      <c r="L335" s="427">
        <v>67.403549999999896</v>
      </c>
      <c r="M335" s="427">
        <v>68.894229999999894</v>
      </c>
      <c r="N335" s="427">
        <v>70.384909999999905</v>
      </c>
      <c r="O335" s="427">
        <v>71.875589999999903</v>
      </c>
      <c r="P335" s="427">
        <v>73.366269999999901</v>
      </c>
      <c r="Q335" s="427">
        <v>73.566891742624605</v>
      </c>
      <c r="R335" s="427">
        <v>73.767513485249296</v>
      </c>
      <c r="S335" s="427">
        <v>73.968135227874001</v>
      </c>
      <c r="T335" s="427">
        <v>74.168756970498706</v>
      </c>
      <c r="V335" s="427">
        <f t="shared" si="31"/>
        <v>69.392557494326596</v>
      </c>
    </row>
    <row r="336" spans="1:22">
      <c r="A336" s="427" t="str">
        <f t="shared" si="35"/>
        <v>KU</v>
      </c>
      <c r="B336" s="427" t="str">
        <f t="shared" si="26"/>
        <v>KY</v>
      </c>
      <c r="C336" s="427" t="str">
        <f t="shared" si="28"/>
        <v>E</v>
      </c>
      <c r="D336" s="427" t="s">
        <v>3422</v>
      </c>
      <c r="E336" s="427" t="str">
        <f t="shared" si="32"/>
        <v>340</v>
      </c>
      <c r="F336" s="756" t="s">
        <v>2198</v>
      </c>
      <c r="G336" s="426" t="str">
        <f t="shared" si="30"/>
        <v/>
      </c>
      <c r="H336" s="427">
        <v>130.58855</v>
      </c>
      <c r="I336" s="427">
        <v>131.02059</v>
      </c>
      <c r="J336" s="427">
        <v>131.45263</v>
      </c>
      <c r="K336" s="427">
        <v>131.88467</v>
      </c>
      <c r="L336" s="427">
        <v>132.31671</v>
      </c>
      <c r="M336" s="427">
        <v>132.74875</v>
      </c>
      <c r="N336" s="427">
        <v>133.18079</v>
      </c>
      <c r="O336" s="427">
        <v>133.61283</v>
      </c>
      <c r="P336" s="427">
        <v>134.04487</v>
      </c>
      <c r="Q336" s="427">
        <v>134.47691</v>
      </c>
      <c r="R336" s="427">
        <v>134.90895</v>
      </c>
      <c r="S336" s="427">
        <v>135.34099000000001</v>
      </c>
      <c r="T336" s="427">
        <v>135.77303000000001</v>
      </c>
      <c r="V336" s="427">
        <f t="shared" si="31"/>
        <v>133.18079</v>
      </c>
    </row>
    <row r="337" spans="1:22">
      <c r="A337" s="427" t="str">
        <f t="shared" si="35"/>
        <v>KU</v>
      </c>
      <c r="B337" s="427" t="str">
        <f t="shared" si="26"/>
        <v>KY</v>
      </c>
      <c r="C337" s="427" t="str">
        <f t="shared" si="28"/>
        <v>E</v>
      </c>
      <c r="D337" s="427" t="s">
        <v>3422</v>
      </c>
      <c r="E337" s="427" t="str">
        <f t="shared" si="32"/>
        <v>341</v>
      </c>
      <c r="F337" s="756" t="s">
        <v>1751</v>
      </c>
      <c r="G337" s="426" t="str">
        <f t="shared" si="30"/>
        <v/>
      </c>
      <c r="H337" s="427">
        <v>22240.468639999999</v>
      </c>
      <c r="I337" s="427">
        <v>22356.895059999999</v>
      </c>
      <c r="J337" s="427">
        <v>22473.321479999999</v>
      </c>
      <c r="K337" s="427">
        <v>22589.747899999998</v>
      </c>
      <c r="L337" s="427">
        <v>22706.174319999998</v>
      </c>
      <c r="M337" s="427">
        <v>22822.600740000002</v>
      </c>
      <c r="N337" s="427">
        <v>22939.027160000001</v>
      </c>
      <c r="O337" s="427">
        <v>23055.453580000001</v>
      </c>
      <c r="P337" s="427">
        <v>23171.88</v>
      </c>
      <c r="Q337" s="427">
        <v>23288.306420000001</v>
      </c>
      <c r="R337" s="427">
        <v>23404.732840000001</v>
      </c>
      <c r="S337" s="427">
        <v>23521.15926</v>
      </c>
      <c r="T337" s="427">
        <v>23637.58568</v>
      </c>
      <c r="V337" s="427">
        <f t="shared" si="31"/>
        <v>22939.027160000001</v>
      </c>
    </row>
    <row r="338" spans="1:22">
      <c r="A338" s="427" t="str">
        <f t="shared" si="35"/>
        <v>KU</v>
      </c>
      <c r="B338" s="427" t="str">
        <f t="shared" si="26"/>
        <v>KY</v>
      </c>
      <c r="C338" s="427" t="str">
        <f t="shared" si="28"/>
        <v>E</v>
      </c>
      <c r="D338" s="427" t="s">
        <v>3422</v>
      </c>
      <c r="E338" s="427" t="str">
        <f t="shared" si="32"/>
        <v>341</v>
      </c>
      <c r="F338" s="756" t="s">
        <v>2199</v>
      </c>
      <c r="G338" s="426" t="str">
        <f t="shared" si="30"/>
        <v/>
      </c>
      <c r="H338" s="427">
        <v>5211.7311917899997</v>
      </c>
      <c r="I338" s="427">
        <v>5335.9111317899997</v>
      </c>
      <c r="J338" s="427">
        <v>5460.0910717899997</v>
      </c>
      <c r="K338" s="427">
        <v>5584.2710117899996</v>
      </c>
      <c r="L338" s="427">
        <v>5708.4509517899996</v>
      </c>
      <c r="M338" s="427">
        <v>5832.6308917899996</v>
      </c>
      <c r="N338" s="427">
        <v>5956.8108317899996</v>
      </c>
      <c r="O338" s="427">
        <v>6080.9907717899996</v>
      </c>
      <c r="P338" s="427">
        <v>6205.1707117899996</v>
      </c>
      <c r="Q338" s="427">
        <v>6329.3506517899996</v>
      </c>
      <c r="R338" s="427">
        <v>6453.5305917899996</v>
      </c>
      <c r="S338" s="427">
        <v>6577.7105317899995</v>
      </c>
      <c r="T338" s="427">
        <v>6701.8904717899904</v>
      </c>
      <c r="V338" s="427">
        <f t="shared" si="31"/>
        <v>5956.8108317899987</v>
      </c>
    </row>
    <row r="339" spans="1:22">
      <c r="A339" s="427" t="str">
        <f t="shared" si="35"/>
        <v>KU</v>
      </c>
      <c r="B339" s="427" t="str">
        <f t="shared" si="26"/>
        <v>KY</v>
      </c>
      <c r="C339" s="427" t="str">
        <f t="shared" si="28"/>
        <v>E</v>
      </c>
      <c r="D339" s="427" t="s">
        <v>3422</v>
      </c>
      <c r="E339" s="427" t="str">
        <f t="shared" si="32"/>
        <v>341</v>
      </c>
      <c r="F339" s="756" t="s">
        <v>2200</v>
      </c>
      <c r="G339" s="426" t="str">
        <f t="shared" si="30"/>
        <v/>
      </c>
      <c r="H339" s="427">
        <v>140.79673</v>
      </c>
      <c r="I339" s="427">
        <v>145.8982</v>
      </c>
      <c r="J339" s="427">
        <v>150.99967000000001</v>
      </c>
      <c r="K339" s="427">
        <v>156.10113999999999</v>
      </c>
      <c r="L339" s="427">
        <v>161.20260999999999</v>
      </c>
      <c r="M339" s="427">
        <v>166.30408</v>
      </c>
      <c r="N339" s="427">
        <v>171.40555000000001</v>
      </c>
      <c r="O339" s="427">
        <v>176.50702000000001</v>
      </c>
      <c r="P339" s="427">
        <v>181.60848999999999</v>
      </c>
      <c r="Q339" s="427">
        <v>186.70996</v>
      </c>
      <c r="R339" s="427">
        <v>191.81143</v>
      </c>
      <c r="S339" s="427">
        <v>196.91290000000001</v>
      </c>
      <c r="T339" s="427">
        <v>202.01437000000001</v>
      </c>
      <c r="V339" s="427">
        <f t="shared" si="31"/>
        <v>171.40555000000001</v>
      </c>
    </row>
    <row r="340" spans="1:22">
      <c r="A340" s="427" t="str">
        <f t="shared" si="35"/>
        <v>KU</v>
      </c>
      <c r="B340" s="427" t="str">
        <f t="shared" si="26"/>
        <v>KY</v>
      </c>
      <c r="C340" s="427" t="str">
        <f t="shared" si="28"/>
        <v>E</v>
      </c>
      <c r="D340" s="427" t="s">
        <v>3422</v>
      </c>
      <c r="E340" s="427" t="str">
        <f t="shared" si="32"/>
        <v>342</v>
      </c>
      <c r="F340" s="756" t="s">
        <v>1752</v>
      </c>
      <c r="G340" s="426" t="str">
        <f t="shared" si="30"/>
        <v/>
      </c>
      <c r="H340" s="427">
        <v>6265.8035099999997</v>
      </c>
      <c r="I340" s="427">
        <v>6320.96054</v>
      </c>
      <c r="J340" s="427">
        <v>6376.1175700000003</v>
      </c>
      <c r="K340" s="427">
        <v>6431.2745999999997</v>
      </c>
      <c r="L340" s="427">
        <v>6486.43163</v>
      </c>
      <c r="M340" s="427">
        <v>6541.5886600000003</v>
      </c>
      <c r="N340" s="427">
        <v>6596.7456899999997</v>
      </c>
      <c r="O340" s="427">
        <v>6651.90272</v>
      </c>
      <c r="P340" s="427">
        <v>6707.0597500000003</v>
      </c>
      <c r="Q340" s="427">
        <v>6762.2167799999997</v>
      </c>
      <c r="R340" s="427">
        <v>6817.37381</v>
      </c>
      <c r="S340" s="427">
        <v>6872.5308400000004</v>
      </c>
      <c r="T340" s="427">
        <v>6927.6878699999997</v>
      </c>
      <c r="V340" s="427">
        <f t="shared" si="31"/>
        <v>6596.7456900000006</v>
      </c>
    </row>
    <row r="341" spans="1:22">
      <c r="A341" s="427" t="str">
        <f t="shared" si="35"/>
        <v>KU</v>
      </c>
      <c r="B341" s="427" t="str">
        <f t="shared" si="26"/>
        <v>KY</v>
      </c>
      <c r="C341" s="427" t="str">
        <f t="shared" si="28"/>
        <v>E</v>
      </c>
      <c r="D341" s="427" t="s">
        <v>3422</v>
      </c>
      <c r="E341" s="427" t="str">
        <f t="shared" si="32"/>
        <v>342</v>
      </c>
      <c r="F341" s="756" t="s">
        <v>2201</v>
      </c>
      <c r="G341" s="426" t="str">
        <f t="shared" si="30"/>
        <v/>
      </c>
      <c r="H341" s="427">
        <v>3817.7854600000001</v>
      </c>
      <c r="I341" s="427">
        <v>3834.1105699999998</v>
      </c>
      <c r="J341" s="427">
        <v>3850.43568</v>
      </c>
      <c r="K341" s="427">
        <v>3866.7607899999998</v>
      </c>
      <c r="L341" s="427">
        <v>3883.0859</v>
      </c>
      <c r="M341" s="427">
        <v>3899.4110099999998</v>
      </c>
      <c r="N341" s="427">
        <v>3915.73612</v>
      </c>
      <c r="O341" s="427">
        <v>3932.0612299999998</v>
      </c>
      <c r="P341" s="427">
        <v>3948.38634</v>
      </c>
      <c r="Q341" s="427">
        <v>3964.7114499999998</v>
      </c>
      <c r="R341" s="427">
        <v>3981.03656</v>
      </c>
      <c r="S341" s="427">
        <v>3997.3616699999998</v>
      </c>
      <c r="T341" s="427">
        <v>4013.68678</v>
      </c>
      <c r="V341" s="427">
        <f t="shared" si="31"/>
        <v>3915.7361200000005</v>
      </c>
    </row>
    <row r="342" spans="1:22">
      <c r="A342" s="427" t="str">
        <f t="shared" si="35"/>
        <v>KU</v>
      </c>
      <c r="B342" s="427" t="str">
        <f t="shared" si="26"/>
        <v>KY</v>
      </c>
      <c r="C342" s="427" t="str">
        <f t="shared" si="28"/>
        <v>E</v>
      </c>
      <c r="D342" s="427" t="s">
        <v>3422</v>
      </c>
      <c r="E342" s="427" t="str">
        <f t="shared" si="32"/>
        <v>342</v>
      </c>
      <c r="F342" s="756" t="s">
        <v>2202</v>
      </c>
      <c r="G342" s="426" t="str">
        <f t="shared" si="30"/>
        <v/>
      </c>
      <c r="H342" s="427">
        <v>12062.76568</v>
      </c>
      <c r="I342" s="427">
        <v>12179.20283</v>
      </c>
      <c r="J342" s="427">
        <v>12295.63998</v>
      </c>
      <c r="K342" s="427">
        <v>12412.07713</v>
      </c>
      <c r="L342" s="427">
        <v>12528.514279999999</v>
      </c>
      <c r="M342" s="427">
        <v>12591.452799999999</v>
      </c>
      <c r="N342" s="427">
        <v>12756.39683</v>
      </c>
      <c r="O342" s="427">
        <v>12923.2018099999</v>
      </c>
      <c r="P342" s="427">
        <v>13090.006789999899</v>
      </c>
      <c r="Q342" s="427">
        <v>13256.8117699999</v>
      </c>
      <c r="R342" s="427">
        <v>13423.616749999899</v>
      </c>
      <c r="S342" s="427">
        <v>13590.4217299999</v>
      </c>
      <c r="T342" s="427">
        <v>13757.226709999901</v>
      </c>
      <c r="V342" s="427">
        <f t="shared" si="31"/>
        <v>12835.948853076874</v>
      </c>
    </row>
    <row r="343" spans="1:22">
      <c r="A343" s="427" t="str">
        <f t="shared" si="35"/>
        <v>KU</v>
      </c>
      <c r="B343" s="427" t="str">
        <f t="shared" ref="B343:B406" si="36">IF(MID($F343,12,2)="- ","KY",IF(MID($F343,12,2)="SY","KY",MID($F343,12,2)))</f>
        <v>KY</v>
      </c>
      <c r="C343" s="427" t="str">
        <f t="shared" si="28"/>
        <v>E</v>
      </c>
      <c r="D343" s="427" t="s">
        <v>3422</v>
      </c>
      <c r="E343" s="427" t="str">
        <f t="shared" si="32"/>
        <v>343</v>
      </c>
      <c r="F343" s="756" t="s">
        <v>1753</v>
      </c>
      <c r="G343" s="426" t="str">
        <f t="shared" si="30"/>
        <v/>
      </c>
      <c r="H343" s="427">
        <v>212950.55480528899</v>
      </c>
      <c r="I343" s="427">
        <v>214051.23134628899</v>
      </c>
      <c r="J343" s="427">
        <v>215745.333166289</v>
      </c>
      <c r="K343" s="427">
        <v>217439.43498628901</v>
      </c>
      <c r="L343" s="427">
        <v>219133.53680628899</v>
      </c>
      <c r="M343" s="427">
        <v>220828.613606289</v>
      </c>
      <c r="N343" s="427">
        <v>222502.728958249</v>
      </c>
      <c r="O343" s="427">
        <v>224177.84584020899</v>
      </c>
      <c r="P343" s="427">
        <v>225877.65949020899</v>
      </c>
      <c r="Q343" s="427">
        <v>227579.23197020899</v>
      </c>
      <c r="R343" s="427">
        <v>229280.80445020899</v>
      </c>
      <c r="S343" s="427">
        <v>230982.37693020899</v>
      </c>
      <c r="T343" s="427">
        <v>232683.949410209</v>
      </c>
      <c r="V343" s="427">
        <f t="shared" si="31"/>
        <v>222556.40782817206</v>
      </c>
    </row>
    <row r="344" spans="1:22">
      <c r="A344" s="427" t="str">
        <f t="shared" si="35"/>
        <v>KU</v>
      </c>
      <c r="B344" s="427" t="str">
        <f t="shared" si="36"/>
        <v>KY</v>
      </c>
      <c r="C344" s="427" t="str">
        <f t="shared" si="28"/>
        <v>E</v>
      </c>
      <c r="D344" s="427" t="s">
        <v>3422</v>
      </c>
      <c r="E344" s="427" t="str">
        <f t="shared" si="32"/>
        <v>343</v>
      </c>
      <c r="F344" s="756" t="s">
        <v>2203</v>
      </c>
      <c r="G344" s="426" t="str">
        <f t="shared" si="30"/>
        <v/>
      </c>
      <c r="H344" s="427">
        <v>17925.862135771</v>
      </c>
      <c r="I344" s="427">
        <v>18705.063135770899</v>
      </c>
      <c r="J344" s="427">
        <v>19484.411065770899</v>
      </c>
      <c r="K344" s="427">
        <v>20263.905925771</v>
      </c>
      <c r="L344" s="427">
        <v>21043.400785770998</v>
      </c>
      <c r="M344" s="427">
        <v>21823.042575771</v>
      </c>
      <c r="N344" s="427">
        <v>22601.522337087001</v>
      </c>
      <c r="O344" s="427">
        <v>23381.514777086999</v>
      </c>
      <c r="P344" s="427">
        <v>24161.654157086999</v>
      </c>
      <c r="Q344" s="427">
        <v>24941.940457086999</v>
      </c>
      <c r="R344" s="427">
        <v>25722.226757086999</v>
      </c>
      <c r="S344" s="427">
        <v>26502.660337087</v>
      </c>
      <c r="T344" s="427">
        <v>20449.870115373498</v>
      </c>
      <c r="V344" s="427">
        <f t="shared" si="31"/>
        <v>22077.4672740401</v>
      </c>
    </row>
    <row r="345" spans="1:22">
      <c r="A345" s="427" t="str">
        <f t="shared" si="35"/>
        <v>KU</v>
      </c>
      <c r="B345" s="427" t="str">
        <f t="shared" si="36"/>
        <v>KY</v>
      </c>
      <c r="C345" s="427" t="str">
        <f t="shared" si="28"/>
        <v>E</v>
      </c>
      <c r="D345" s="427" t="s">
        <v>3422</v>
      </c>
      <c r="E345" s="427" t="str">
        <f t="shared" si="32"/>
        <v>344</v>
      </c>
      <c r="F345" s="756" t="s">
        <v>1754</v>
      </c>
      <c r="G345" s="426" t="str">
        <f t="shared" si="30"/>
        <v/>
      </c>
      <c r="H345" s="427">
        <v>37076.899860999998</v>
      </c>
      <c r="I345" s="427">
        <v>37278.751670999998</v>
      </c>
      <c r="J345" s="427">
        <v>37480.603480999998</v>
      </c>
      <c r="K345" s="427">
        <v>37682.455290999998</v>
      </c>
      <c r="L345" s="427">
        <v>37884.307100999999</v>
      </c>
      <c r="M345" s="427">
        <v>38086.158910999999</v>
      </c>
      <c r="N345" s="427">
        <v>38288.010720999999</v>
      </c>
      <c r="O345" s="427">
        <v>38489.862530999999</v>
      </c>
      <c r="P345" s="427">
        <v>38691.714340999999</v>
      </c>
      <c r="Q345" s="427">
        <v>38893.566151000101</v>
      </c>
      <c r="R345" s="427">
        <v>39095.417961000101</v>
      </c>
      <c r="S345" s="427">
        <v>39297.269771000101</v>
      </c>
      <c r="T345" s="427">
        <v>39256.630723300099</v>
      </c>
      <c r="V345" s="427">
        <f t="shared" si="31"/>
        <v>38269.357578100025</v>
      </c>
    </row>
    <row r="346" spans="1:22">
      <c r="A346" s="427" t="str">
        <f t="shared" si="35"/>
        <v>KU</v>
      </c>
      <c r="B346" s="427" t="str">
        <f t="shared" si="36"/>
        <v>KY</v>
      </c>
      <c r="C346" s="427" t="str">
        <f t="shared" si="28"/>
        <v>E</v>
      </c>
      <c r="D346" s="427" t="s">
        <v>3422</v>
      </c>
      <c r="E346" s="427" t="str">
        <f t="shared" si="32"/>
        <v>344</v>
      </c>
      <c r="F346" s="756" t="s">
        <v>2204</v>
      </c>
      <c r="G346" s="426" t="str">
        <f t="shared" si="30"/>
        <v/>
      </c>
      <c r="H346" s="427">
        <v>8618.5435899999993</v>
      </c>
      <c r="I346" s="427">
        <v>8758.6942799999997</v>
      </c>
      <c r="J346" s="427">
        <v>8898.8449700000001</v>
      </c>
      <c r="K346" s="427">
        <v>9038.9956600000005</v>
      </c>
      <c r="L346" s="427">
        <v>9179.1463500000009</v>
      </c>
      <c r="M346" s="427">
        <v>9319.2970399999995</v>
      </c>
      <c r="N346" s="427">
        <v>9459.4477299999999</v>
      </c>
      <c r="O346" s="427">
        <v>9599.5984200000003</v>
      </c>
      <c r="P346" s="427">
        <v>9739.7491100000007</v>
      </c>
      <c r="Q346" s="427">
        <v>9879.8997999999992</v>
      </c>
      <c r="R346" s="427">
        <v>10020.05049</v>
      </c>
      <c r="S346" s="427">
        <v>10160.20118</v>
      </c>
      <c r="T346" s="427">
        <v>10300.35187</v>
      </c>
      <c r="V346" s="427">
        <f t="shared" si="31"/>
        <v>9459.4477299999999</v>
      </c>
    </row>
    <row r="347" spans="1:22">
      <c r="A347" s="427" t="str">
        <f t="shared" si="35"/>
        <v>KU</v>
      </c>
      <c r="B347" s="427" t="str">
        <f t="shared" si="36"/>
        <v>KY</v>
      </c>
      <c r="C347" s="427" t="str">
        <f t="shared" ref="C347:C410" si="37">IF(ISTEXT(MID($F347,SEARCH("FUTURE USE",$F347),3)),"F",IF(MID($F347,7,1)="1","E",IF(MID($F347,7,1)="2","G",IF(MID($F347,7,1)="3","C",""))))</f>
        <v>E</v>
      </c>
      <c r="D347" s="427" t="s">
        <v>3422</v>
      </c>
      <c r="E347" s="427" t="str">
        <f t="shared" si="32"/>
        <v>344</v>
      </c>
      <c r="F347" s="756" t="s">
        <v>2205</v>
      </c>
      <c r="G347" s="426" t="str">
        <f t="shared" si="30"/>
        <v/>
      </c>
      <c r="H347" s="427">
        <v>1750.9493399999999</v>
      </c>
      <c r="I347" s="427">
        <v>1801.1547699999901</v>
      </c>
      <c r="J347" s="427">
        <v>1851.3601999999901</v>
      </c>
      <c r="K347" s="427">
        <v>1901.5656299999901</v>
      </c>
      <c r="L347" s="427">
        <v>1951.77105999999</v>
      </c>
      <c r="M347" s="427">
        <v>2001.97648999999</v>
      </c>
      <c r="N347" s="427">
        <v>2052.18191999999</v>
      </c>
      <c r="O347" s="427">
        <v>2102.38734999999</v>
      </c>
      <c r="P347" s="427">
        <v>2152.5927799999899</v>
      </c>
      <c r="Q347" s="427">
        <v>2202.7982099999899</v>
      </c>
      <c r="R347" s="427">
        <v>2253.0036399999899</v>
      </c>
      <c r="S347" s="427">
        <v>2303.2090699999899</v>
      </c>
      <c r="T347" s="427">
        <v>2353.4144999999899</v>
      </c>
      <c r="V347" s="427">
        <f t="shared" si="31"/>
        <v>2052.1819199999909</v>
      </c>
    </row>
    <row r="348" spans="1:22">
      <c r="A348" s="427" t="str">
        <f t="shared" si="35"/>
        <v>KU</v>
      </c>
      <c r="B348" s="427" t="str">
        <f t="shared" si="36"/>
        <v>KY</v>
      </c>
      <c r="C348" s="427" t="str">
        <f t="shared" si="37"/>
        <v>E</v>
      </c>
      <c r="D348" s="427" t="s">
        <v>3422</v>
      </c>
      <c r="E348" s="427" t="str">
        <f t="shared" si="32"/>
        <v>345</v>
      </c>
      <c r="F348" s="756" t="s">
        <v>1755</v>
      </c>
      <c r="G348" s="426" t="str">
        <f t="shared" si="30"/>
        <v/>
      </c>
      <c r="H348" s="427">
        <v>26935.1265199999</v>
      </c>
      <c r="I348" s="427">
        <v>27129.06666</v>
      </c>
      <c r="J348" s="427">
        <v>27323.006799999999</v>
      </c>
      <c r="K348" s="427">
        <v>27516.946940000002</v>
      </c>
      <c r="L348" s="427">
        <v>27710.88708</v>
      </c>
      <c r="M348" s="427">
        <v>27904.827219999999</v>
      </c>
      <c r="N348" s="427">
        <v>28098.767360000002</v>
      </c>
      <c r="O348" s="427">
        <v>28292.7075</v>
      </c>
      <c r="P348" s="427">
        <v>28486.647639999999</v>
      </c>
      <c r="Q348" s="427">
        <v>28680.587780000002</v>
      </c>
      <c r="R348" s="427">
        <v>28874.52792</v>
      </c>
      <c r="S348" s="427">
        <v>29068.468059999999</v>
      </c>
      <c r="T348" s="427">
        <v>29262.93418</v>
      </c>
      <c r="V348" s="427">
        <f t="shared" si="31"/>
        <v>28098.807819999995</v>
      </c>
    </row>
    <row r="349" spans="1:22">
      <c r="A349" s="427" t="str">
        <f t="shared" si="35"/>
        <v>KU</v>
      </c>
      <c r="B349" s="427" t="str">
        <f t="shared" si="36"/>
        <v>KY</v>
      </c>
      <c r="C349" s="427" t="str">
        <f t="shared" si="37"/>
        <v>E</v>
      </c>
      <c r="D349" s="427" t="s">
        <v>3422</v>
      </c>
      <c r="E349" s="427" t="str">
        <f t="shared" si="32"/>
        <v>345</v>
      </c>
      <c r="F349" s="756" t="s">
        <v>2206</v>
      </c>
      <c r="G349" s="426" t="str">
        <f t="shared" si="30"/>
        <v/>
      </c>
      <c r="H349" s="427">
        <v>2681.7434199999898</v>
      </c>
      <c r="I349" s="427">
        <v>2746.8910699999901</v>
      </c>
      <c r="J349" s="427">
        <v>2812.03871999999</v>
      </c>
      <c r="K349" s="427">
        <v>2877.1863699999899</v>
      </c>
      <c r="L349" s="427">
        <v>2942.3340199999898</v>
      </c>
      <c r="M349" s="427">
        <v>3007.4816699999901</v>
      </c>
      <c r="N349" s="427">
        <v>3072.62931999999</v>
      </c>
      <c r="O349" s="427">
        <v>3137.7769699999899</v>
      </c>
      <c r="P349" s="427">
        <v>3202.9246199999898</v>
      </c>
      <c r="Q349" s="427">
        <v>3268.0722699999901</v>
      </c>
      <c r="R349" s="427">
        <v>3333.21991999999</v>
      </c>
      <c r="S349" s="427">
        <v>3398.3675699999899</v>
      </c>
      <c r="T349" s="427">
        <v>3463.5152199999902</v>
      </c>
      <c r="V349" s="427">
        <f t="shared" si="31"/>
        <v>3072.6293199999895</v>
      </c>
    </row>
    <row r="350" spans="1:22">
      <c r="A350" s="427" t="str">
        <f t="shared" si="35"/>
        <v>KU</v>
      </c>
      <c r="B350" s="427" t="str">
        <f t="shared" si="36"/>
        <v>KY</v>
      </c>
      <c r="C350" s="427" t="str">
        <f t="shared" si="37"/>
        <v>E</v>
      </c>
      <c r="D350" s="427" t="s">
        <v>3422</v>
      </c>
      <c r="E350" s="427" t="str">
        <f t="shared" si="32"/>
        <v>345</v>
      </c>
      <c r="F350" s="756" t="s">
        <v>2207</v>
      </c>
      <c r="G350" s="426" t="str">
        <f t="shared" ref="G350:G424" si="38">IF(ISTEXT(MID($F350,SEARCH("FUTURE USE",$F350),3)),"FUTURE USE",IF(ISTEXT(MID($F350,SEARCH("ECR",$F350),3)),"ECR",IF(ISTEXT(MID($F350,SEARCH("ARO",$F350),3)),"ARO",IF(ISTEXT(MID($F350,SEARCH("DSM",$F350),3)),"DSM",""))))</f>
        <v/>
      </c>
      <c r="H350" s="427">
        <v>71.749459999999999</v>
      </c>
      <c r="I350" s="427">
        <v>73.367999999999995</v>
      </c>
      <c r="J350" s="427">
        <v>74.986540000000005</v>
      </c>
      <c r="K350" s="427">
        <v>76.605080000000001</v>
      </c>
      <c r="L350" s="427">
        <v>78.223619999999997</v>
      </c>
      <c r="M350" s="427">
        <v>79.842160000000007</v>
      </c>
      <c r="N350" s="427">
        <v>81.460700000000003</v>
      </c>
      <c r="O350" s="427">
        <v>83.079240000000098</v>
      </c>
      <c r="P350" s="427">
        <v>86.568730000000102</v>
      </c>
      <c r="Q350" s="427">
        <v>92.003600000000105</v>
      </c>
      <c r="R350" s="427">
        <v>97.587330000000094</v>
      </c>
      <c r="S350" s="427">
        <v>103.31993</v>
      </c>
      <c r="T350" s="427">
        <v>109.20139</v>
      </c>
      <c r="V350" s="427">
        <f t="shared" si="31"/>
        <v>85.230444615384641</v>
      </c>
    </row>
    <row r="351" spans="1:22">
      <c r="A351" s="427" t="str">
        <f t="shared" si="35"/>
        <v>KU</v>
      </c>
      <c r="B351" s="427" t="str">
        <f t="shared" si="36"/>
        <v>KY</v>
      </c>
      <c r="C351" s="427" t="str">
        <f t="shared" si="37"/>
        <v>E</v>
      </c>
      <c r="D351" s="427" t="s">
        <v>3422</v>
      </c>
      <c r="E351" s="427" t="str">
        <f t="shared" si="32"/>
        <v>346</v>
      </c>
      <c r="F351" s="756" t="s">
        <v>1756</v>
      </c>
      <c r="G351" s="426" t="str">
        <f t="shared" si="38"/>
        <v/>
      </c>
      <c r="H351" s="427">
        <v>3530.3854983399901</v>
      </c>
      <c r="I351" s="427">
        <v>3553.18806833999</v>
      </c>
      <c r="J351" s="427">
        <v>3576.0089583399899</v>
      </c>
      <c r="K351" s="427">
        <v>3598.8481583399898</v>
      </c>
      <c r="L351" s="427">
        <v>3621.6873583399902</v>
      </c>
      <c r="M351" s="427">
        <v>3649.3284783399899</v>
      </c>
      <c r="N351" s="427">
        <v>3681.7715283399898</v>
      </c>
      <c r="O351" s="427">
        <v>3714.2145783399901</v>
      </c>
      <c r="P351" s="427">
        <v>3746.65762833999</v>
      </c>
      <c r="Q351" s="427">
        <v>3779.1006783399898</v>
      </c>
      <c r="R351" s="427">
        <v>3812.45525833999</v>
      </c>
      <c r="S351" s="427">
        <v>3846.7213783399902</v>
      </c>
      <c r="T351" s="427">
        <v>3868.0579227459898</v>
      </c>
      <c r="V351" s="427">
        <f t="shared" si="31"/>
        <v>3690.6481148327589</v>
      </c>
    </row>
    <row r="352" spans="1:22">
      <c r="A352" s="427" t="str">
        <f t="shared" si="35"/>
        <v>KU</v>
      </c>
      <c r="B352" s="427" t="str">
        <f t="shared" si="36"/>
        <v>KY</v>
      </c>
      <c r="C352" s="427" t="str">
        <f t="shared" si="37"/>
        <v>E</v>
      </c>
      <c r="D352" s="427" t="s">
        <v>3422</v>
      </c>
      <c r="E352" s="427" t="str">
        <f t="shared" si="32"/>
        <v>346</v>
      </c>
      <c r="F352" s="756" t="s">
        <v>2208</v>
      </c>
      <c r="G352" s="426" t="str">
        <f t="shared" si="38"/>
        <v/>
      </c>
      <c r="H352" s="427">
        <v>279.23732000000001</v>
      </c>
      <c r="I352" s="427">
        <v>289.74297999999999</v>
      </c>
      <c r="J352" s="427">
        <v>300.61854</v>
      </c>
      <c r="K352" s="427">
        <v>311.86400999999898</v>
      </c>
      <c r="L352" s="427">
        <v>323.109479999999</v>
      </c>
      <c r="M352" s="427">
        <v>334.59113999999897</v>
      </c>
      <c r="N352" s="427">
        <v>346.308979999999</v>
      </c>
      <c r="O352" s="427">
        <v>358.02681999999902</v>
      </c>
      <c r="P352" s="427">
        <v>369.74465999999899</v>
      </c>
      <c r="Q352" s="427">
        <v>381.46249999999901</v>
      </c>
      <c r="R352" s="427">
        <v>393.18033999999898</v>
      </c>
      <c r="S352" s="427">
        <v>405.272999999999</v>
      </c>
      <c r="T352" s="427">
        <v>417.74046999999899</v>
      </c>
      <c r="V352" s="427">
        <f t="shared" si="31"/>
        <v>346.9923261538454</v>
      </c>
    </row>
    <row r="353" spans="1:22">
      <c r="A353" s="427" t="str">
        <f t="shared" si="35"/>
        <v>KU</v>
      </c>
      <c r="B353" s="427" t="str">
        <f t="shared" si="36"/>
        <v>KY</v>
      </c>
      <c r="C353" s="427" t="str">
        <f t="shared" si="37"/>
        <v>E</v>
      </c>
      <c r="D353" s="427" t="s">
        <v>3422</v>
      </c>
      <c r="E353" s="427" t="str">
        <f t="shared" si="32"/>
        <v>346</v>
      </c>
      <c r="F353" s="756" t="s">
        <v>2209</v>
      </c>
      <c r="G353" s="426" t="str">
        <f t="shared" si="38"/>
        <v/>
      </c>
      <c r="H353" s="427">
        <v>44.179549999999999</v>
      </c>
      <c r="I353" s="427">
        <v>45.683970000000002</v>
      </c>
      <c r="J353" s="427">
        <v>47.188389999999998</v>
      </c>
      <c r="K353" s="427">
        <v>48.692810000000001</v>
      </c>
      <c r="L353" s="427">
        <v>50.197229999999998</v>
      </c>
      <c r="M353" s="427">
        <v>51.701650000000001</v>
      </c>
      <c r="N353" s="427">
        <v>53.206069999999997</v>
      </c>
      <c r="O353" s="427">
        <v>54.71049</v>
      </c>
      <c r="P353" s="427">
        <v>56.214910000000003</v>
      </c>
      <c r="Q353" s="427">
        <v>57.719329999999999</v>
      </c>
      <c r="R353" s="427">
        <v>59.223750000000003</v>
      </c>
      <c r="S353" s="427">
        <v>60.728169999999999</v>
      </c>
      <c r="T353" s="427">
        <v>62.232590000000002</v>
      </c>
      <c r="V353" s="427">
        <f t="shared" si="31"/>
        <v>53.206069999999997</v>
      </c>
    </row>
    <row r="354" spans="1:22">
      <c r="A354" s="427" t="str">
        <f t="shared" si="35"/>
        <v>KU</v>
      </c>
      <c r="B354" s="427" t="str">
        <f t="shared" si="36"/>
        <v>KY</v>
      </c>
      <c r="C354" s="427" t="str">
        <f t="shared" si="37"/>
        <v>E</v>
      </c>
      <c r="D354" s="427" t="s">
        <v>3422</v>
      </c>
      <c r="E354" s="427" t="str">
        <f t="shared" si="32"/>
        <v>347</v>
      </c>
      <c r="F354" s="756" t="s">
        <v>2210</v>
      </c>
      <c r="G354" s="426" t="str">
        <f t="shared" si="38"/>
        <v>ARO</v>
      </c>
      <c r="H354" s="427">
        <v>80.243499999999898</v>
      </c>
      <c r="I354" s="427">
        <v>81.922619999999895</v>
      </c>
      <c r="J354" s="427">
        <v>83.601739999999893</v>
      </c>
      <c r="K354" s="427">
        <v>85.280859999999905</v>
      </c>
      <c r="L354" s="427">
        <v>86.959979999999902</v>
      </c>
      <c r="M354" s="427">
        <v>88.6390999999999</v>
      </c>
      <c r="N354" s="427">
        <v>90.318219999999897</v>
      </c>
      <c r="O354" s="427">
        <v>91.997339999999895</v>
      </c>
      <c r="P354" s="427">
        <v>93.676459999999906</v>
      </c>
      <c r="Q354" s="427">
        <v>93.902442759865195</v>
      </c>
      <c r="R354" s="427">
        <v>94.128425519730499</v>
      </c>
      <c r="S354" s="427">
        <v>94.354408279595802</v>
      </c>
      <c r="T354" s="427">
        <v>94.580391039461105</v>
      </c>
      <c r="V354" s="427">
        <f t="shared" si="31"/>
        <v>89.200422122973208</v>
      </c>
    </row>
    <row r="355" spans="1:22">
      <c r="A355" s="427" t="str">
        <f t="shared" si="35"/>
        <v>KU</v>
      </c>
      <c r="B355" s="427" t="str">
        <f t="shared" si="36"/>
        <v>KY</v>
      </c>
      <c r="C355" s="427" t="str">
        <f t="shared" si="37"/>
        <v>E</v>
      </c>
      <c r="D355" s="427" t="s">
        <v>3422</v>
      </c>
      <c r="E355" s="427" t="str">
        <f t="shared" si="32"/>
        <v>350</v>
      </c>
      <c r="F355" s="756" t="s">
        <v>1757</v>
      </c>
      <c r="G355" s="426" t="str">
        <f t="shared" si="38"/>
        <v/>
      </c>
      <c r="H355" s="427">
        <v>15963.333259999999</v>
      </c>
      <c r="I355" s="427">
        <v>15983.00203</v>
      </c>
      <c r="J355" s="427">
        <v>16002.6708</v>
      </c>
      <c r="K355" s="427">
        <v>16022.33957</v>
      </c>
      <c r="L355" s="427">
        <v>16042.00834</v>
      </c>
      <c r="M355" s="427">
        <v>16061.677110000001</v>
      </c>
      <c r="N355" s="427">
        <v>16081.345880000001</v>
      </c>
      <c r="O355" s="427">
        <v>16101.014649999999</v>
      </c>
      <c r="P355" s="427">
        <v>16120.683419999999</v>
      </c>
      <c r="Q355" s="427">
        <v>16140.35219</v>
      </c>
      <c r="R355" s="427">
        <v>16160.02096</v>
      </c>
      <c r="S355" s="427">
        <v>16179.68973</v>
      </c>
      <c r="T355" s="427">
        <v>16199.3585</v>
      </c>
      <c r="V355" s="427">
        <f t="shared" ref="V355:V418" si="39">SUM(H355:T355)/13</f>
        <v>16081.345879999999</v>
      </c>
    </row>
    <row r="356" spans="1:22">
      <c r="A356" s="427" t="str">
        <f t="shared" si="35"/>
        <v>KU</v>
      </c>
      <c r="B356" s="427" t="str">
        <f t="shared" si="36"/>
        <v>TN</v>
      </c>
      <c r="C356" s="427" t="str">
        <f t="shared" si="37"/>
        <v>E</v>
      </c>
      <c r="D356" s="427" t="s">
        <v>3422</v>
      </c>
      <c r="E356" s="427" t="str">
        <f t="shared" si="32"/>
        <v>350</v>
      </c>
      <c r="F356" s="756" t="s">
        <v>1758</v>
      </c>
      <c r="G356" s="426" t="str">
        <f t="shared" si="38"/>
        <v/>
      </c>
      <c r="H356" s="427">
        <v>0.37417999999999901</v>
      </c>
      <c r="I356" s="427">
        <v>0.37448999999999899</v>
      </c>
      <c r="J356" s="427">
        <v>0.37479999999999902</v>
      </c>
      <c r="K356" s="427">
        <v>0.375109999999999</v>
      </c>
      <c r="L356" s="427">
        <v>0.37541999999999898</v>
      </c>
      <c r="M356" s="427">
        <v>0.37572999999999901</v>
      </c>
      <c r="N356" s="427">
        <v>0.37603999999999899</v>
      </c>
      <c r="O356" s="427">
        <v>0.37634999999999902</v>
      </c>
      <c r="P356" s="427">
        <v>0.376659999999999</v>
      </c>
      <c r="Q356" s="427">
        <v>0.37696999999999897</v>
      </c>
      <c r="R356" s="427">
        <v>0.37727999999999901</v>
      </c>
      <c r="S356" s="427">
        <v>0.37758999999999898</v>
      </c>
      <c r="T356" s="427">
        <v>0.37789999999999901</v>
      </c>
      <c r="V356" s="427">
        <f t="shared" si="39"/>
        <v>0.37603999999999904</v>
      </c>
    </row>
    <row r="357" spans="1:22">
      <c r="A357" s="427" t="str">
        <f t="shared" si="35"/>
        <v>KU</v>
      </c>
      <c r="B357" s="427" t="str">
        <f t="shared" si="36"/>
        <v>VA</v>
      </c>
      <c r="C357" s="427" t="str">
        <f t="shared" si="37"/>
        <v>E</v>
      </c>
      <c r="D357" s="427" t="s">
        <v>3422</v>
      </c>
      <c r="E357" s="427" t="str">
        <f t="shared" si="32"/>
        <v>350</v>
      </c>
      <c r="F357" s="756" t="s">
        <v>1759</v>
      </c>
      <c r="G357" s="426" t="str">
        <f t="shared" si="38"/>
        <v/>
      </c>
      <c r="H357" s="427">
        <v>1971.31888999999</v>
      </c>
      <c r="I357" s="427">
        <v>1972.90950999999</v>
      </c>
      <c r="J357" s="427">
        <v>1974.5001299999899</v>
      </c>
      <c r="K357" s="427">
        <v>1976.0907499999901</v>
      </c>
      <c r="L357" s="427">
        <v>1977.68136999999</v>
      </c>
      <c r="M357" s="427">
        <v>1979.27198999999</v>
      </c>
      <c r="N357" s="427">
        <v>1980.8626099999899</v>
      </c>
      <c r="O357" s="427">
        <v>1982.4532299999901</v>
      </c>
      <c r="P357" s="427">
        <v>1984.04384999999</v>
      </c>
      <c r="Q357" s="427">
        <v>1985.63446999999</v>
      </c>
      <c r="R357" s="427">
        <v>1987.2250899999899</v>
      </c>
      <c r="S357" s="427">
        <v>1988.8157099999901</v>
      </c>
      <c r="T357" s="427">
        <v>1990.40632999999</v>
      </c>
      <c r="V357" s="427">
        <f t="shared" si="39"/>
        <v>1980.8626099999901</v>
      </c>
    </row>
    <row r="358" spans="1:22">
      <c r="A358" s="427" t="str">
        <f t="shared" si="35"/>
        <v>KU</v>
      </c>
      <c r="B358" s="427" t="str">
        <f t="shared" si="36"/>
        <v>KY</v>
      </c>
      <c r="C358" s="427" t="str">
        <f t="shared" si="37"/>
        <v>E</v>
      </c>
      <c r="D358" s="427" t="s">
        <v>3422</v>
      </c>
      <c r="E358" s="427" t="str">
        <f t="shared" si="32"/>
        <v>352</v>
      </c>
      <c r="F358" s="756" t="s">
        <v>1760</v>
      </c>
      <c r="G358" s="426" t="str">
        <f t="shared" si="38"/>
        <v/>
      </c>
      <c r="H358" s="427">
        <v>925.52544</v>
      </c>
      <c r="I358" s="427">
        <v>927.38048000000003</v>
      </c>
      <c r="J358" s="427">
        <v>929.23551999999995</v>
      </c>
      <c r="K358" s="427">
        <v>931.09055999999998</v>
      </c>
      <c r="L358" s="427">
        <v>932.94560000000001</v>
      </c>
      <c r="M358" s="427">
        <v>934.80064000000004</v>
      </c>
      <c r="N358" s="427">
        <v>936.71498999999994</v>
      </c>
      <c r="O358" s="427">
        <v>938.68865000000005</v>
      </c>
      <c r="P358" s="427">
        <v>940.66231000000005</v>
      </c>
      <c r="Q358" s="427">
        <v>942.63597000000004</v>
      </c>
      <c r="R358" s="427">
        <v>944.60963000000004</v>
      </c>
      <c r="S358" s="427">
        <v>946.58329000000003</v>
      </c>
      <c r="T358" s="427">
        <v>948.55695000000003</v>
      </c>
      <c r="V358" s="427">
        <f t="shared" si="39"/>
        <v>936.87923307692313</v>
      </c>
    </row>
    <row r="359" spans="1:22">
      <c r="A359" s="427" t="str">
        <f t="shared" si="35"/>
        <v>KU</v>
      </c>
      <c r="B359" s="427" t="str">
        <f t="shared" si="36"/>
        <v>KY</v>
      </c>
      <c r="C359" s="427" t="str">
        <f t="shared" si="37"/>
        <v>E</v>
      </c>
      <c r="D359" s="427" t="s">
        <v>3422</v>
      </c>
      <c r="E359" s="427" t="str">
        <f t="shared" si="32"/>
        <v>352</v>
      </c>
      <c r="F359" s="756" t="s">
        <v>1761</v>
      </c>
      <c r="G359" s="426" t="str">
        <f t="shared" si="38"/>
        <v/>
      </c>
      <c r="H359" s="427">
        <v>6066.0718900000002</v>
      </c>
      <c r="I359" s="427">
        <v>6102.7999499999996</v>
      </c>
      <c r="J359" s="427">
        <v>6139.52801</v>
      </c>
      <c r="K359" s="427">
        <v>6176.2560700000004</v>
      </c>
      <c r="L359" s="427">
        <v>6212.9841299999998</v>
      </c>
      <c r="M359" s="427">
        <v>6249.7121900000002</v>
      </c>
      <c r="N359" s="427">
        <v>6286.4402499999997</v>
      </c>
      <c r="O359" s="427">
        <v>6323.16831</v>
      </c>
      <c r="P359" s="427">
        <v>6359.8963700000004</v>
      </c>
      <c r="Q359" s="427">
        <v>6396.6244299999998</v>
      </c>
      <c r="R359" s="427">
        <v>6433.3524900000002</v>
      </c>
      <c r="S359" s="427">
        <v>6470.0805499999997</v>
      </c>
      <c r="T359" s="427">
        <v>6506.80861</v>
      </c>
      <c r="V359" s="427">
        <f t="shared" si="39"/>
        <v>6286.4402500000006</v>
      </c>
    </row>
    <row r="360" spans="1:22">
      <c r="A360" s="427" t="str">
        <f t="shared" si="35"/>
        <v>KU</v>
      </c>
      <c r="B360" s="427" t="str">
        <f t="shared" si="36"/>
        <v>VA</v>
      </c>
      <c r="C360" s="427" t="str">
        <f t="shared" si="37"/>
        <v>E</v>
      </c>
      <c r="D360" s="427" t="s">
        <v>3422</v>
      </c>
      <c r="E360" s="427" t="str">
        <f t="shared" si="32"/>
        <v>352</v>
      </c>
      <c r="F360" s="756" t="s">
        <v>1762</v>
      </c>
      <c r="G360" s="426" t="str">
        <f t="shared" si="38"/>
        <v/>
      </c>
      <c r="H360" s="427">
        <v>825.50019999999995</v>
      </c>
      <c r="I360" s="427">
        <v>827.91162999999995</v>
      </c>
      <c r="J360" s="427">
        <v>830.32305999999903</v>
      </c>
      <c r="K360" s="427">
        <v>832.73448999999903</v>
      </c>
      <c r="L360" s="427">
        <v>835.14591999999902</v>
      </c>
      <c r="M360" s="427">
        <v>837.55734999999902</v>
      </c>
      <c r="N360" s="427">
        <v>839.96877999999901</v>
      </c>
      <c r="O360" s="427">
        <v>842.38020999999901</v>
      </c>
      <c r="P360" s="427">
        <v>844.79163999999901</v>
      </c>
      <c r="Q360" s="427">
        <v>847.203069999999</v>
      </c>
      <c r="R360" s="427">
        <v>849.614499999999</v>
      </c>
      <c r="S360" s="427">
        <v>852.02592999999899</v>
      </c>
      <c r="T360" s="427">
        <v>854.43735999999899</v>
      </c>
      <c r="V360" s="427">
        <f t="shared" si="39"/>
        <v>839.96877999999924</v>
      </c>
    </row>
    <row r="361" spans="1:22">
      <c r="A361" s="427" t="str">
        <f t="shared" si="35"/>
        <v>KU</v>
      </c>
      <c r="B361" s="427" t="str">
        <f t="shared" si="36"/>
        <v>KY</v>
      </c>
      <c r="C361" s="427" t="str">
        <f t="shared" si="37"/>
        <v>E</v>
      </c>
      <c r="D361" s="427" t="s">
        <v>3422</v>
      </c>
      <c r="E361" s="427" t="str">
        <f t="shared" si="32"/>
        <v>353</v>
      </c>
      <c r="F361" s="756" t="s">
        <v>1763</v>
      </c>
      <c r="G361" s="426" t="str">
        <f t="shared" si="38"/>
        <v/>
      </c>
      <c r="H361" s="427">
        <v>69536.056530287096</v>
      </c>
      <c r="I361" s="427">
        <v>69926.4481141461</v>
      </c>
      <c r="J361" s="427">
        <v>70135.001925001096</v>
      </c>
      <c r="K361" s="427">
        <v>70602.678555001097</v>
      </c>
      <c r="L361" s="427">
        <v>70939.128947841004</v>
      </c>
      <c r="M361" s="427">
        <v>71390.883070158001</v>
      </c>
      <c r="N361" s="427">
        <v>71738.945743896096</v>
      </c>
      <c r="O361" s="427">
        <v>72162.885559930699</v>
      </c>
      <c r="P361" s="427">
        <v>72208.008403875705</v>
      </c>
      <c r="Q361" s="427">
        <v>72739.407730249004</v>
      </c>
      <c r="R361" s="427">
        <v>73162.764431625794</v>
      </c>
      <c r="S361" s="427">
        <v>73545.698304372607</v>
      </c>
      <c r="T361" s="427">
        <v>73874.920748989403</v>
      </c>
      <c r="V361" s="427">
        <f t="shared" si="39"/>
        <v>71689.44831272107</v>
      </c>
    </row>
    <row r="362" spans="1:22">
      <c r="A362" s="427" t="str">
        <f t="shared" si="35"/>
        <v>KU</v>
      </c>
      <c r="B362" s="427" t="str">
        <f t="shared" si="36"/>
        <v>KY</v>
      </c>
      <c r="C362" s="427" t="str">
        <f t="shared" si="37"/>
        <v>E</v>
      </c>
      <c r="D362" s="427" t="s">
        <v>3422</v>
      </c>
      <c r="E362" s="427" t="str">
        <f t="shared" si="32"/>
        <v>353</v>
      </c>
      <c r="F362" s="756" t="s">
        <v>1764</v>
      </c>
      <c r="G362" s="426" t="str">
        <f t="shared" si="38"/>
        <v/>
      </c>
      <c r="H362" s="427">
        <v>5685.8793900000001</v>
      </c>
      <c r="I362" s="427">
        <v>5685.8793900000001</v>
      </c>
      <c r="J362" s="427">
        <v>5685.8793900000001</v>
      </c>
      <c r="K362" s="427">
        <v>5685.8793900000001</v>
      </c>
      <c r="L362" s="427">
        <v>5685.8793900000001</v>
      </c>
      <c r="M362" s="427">
        <v>5685.8793900000001</v>
      </c>
      <c r="N362" s="427">
        <v>5685.8793900000001</v>
      </c>
      <c r="O362" s="427">
        <v>5685.8793900000001</v>
      </c>
      <c r="P362" s="427">
        <v>5685.8793900000001</v>
      </c>
      <c r="Q362" s="427">
        <v>5685.8793900000001</v>
      </c>
      <c r="R362" s="427">
        <v>5685.8793900000001</v>
      </c>
      <c r="S362" s="427">
        <v>5685.8793900000001</v>
      </c>
      <c r="T362" s="427">
        <v>5685.8793900000001</v>
      </c>
      <c r="V362" s="427">
        <f t="shared" si="39"/>
        <v>5685.879390000001</v>
      </c>
    </row>
    <row r="363" spans="1:22">
      <c r="A363" s="427" t="str">
        <f t="shared" si="35"/>
        <v>KU</v>
      </c>
      <c r="B363" s="427" t="str">
        <f t="shared" si="36"/>
        <v>VA</v>
      </c>
      <c r="C363" s="427" t="str">
        <f t="shared" si="37"/>
        <v>E</v>
      </c>
      <c r="D363" s="427" t="s">
        <v>3422</v>
      </c>
      <c r="E363" s="427" t="str">
        <f t="shared" si="32"/>
        <v>353</v>
      </c>
      <c r="F363" s="756" t="s">
        <v>1765</v>
      </c>
      <c r="G363" s="426" t="str">
        <f t="shared" si="38"/>
        <v/>
      </c>
      <c r="H363" s="427">
        <v>8462.5771499999992</v>
      </c>
      <c r="I363" s="427">
        <v>8498.9180299999898</v>
      </c>
      <c r="J363" s="427">
        <v>8535.2589099999896</v>
      </c>
      <c r="K363" s="427">
        <v>8571.5997899999893</v>
      </c>
      <c r="L363" s="427">
        <v>8607.9406699999909</v>
      </c>
      <c r="M363" s="427">
        <v>8644.2815499999906</v>
      </c>
      <c r="N363" s="427">
        <v>8680.6224299999903</v>
      </c>
      <c r="O363" s="427">
        <v>8716.9633099999901</v>
      </c>
      <c r="P363" s="427">
        <v>8753.3041899999898</v>
      </c>
      <c r="Q363" s="427">
        <v>8789.6450699999896</v>
      </c>
      <c r="R363" s="427">
        <v>8825.9859499999893</v>
      </c>
      <c r="S363" s="427">
        <v>8862.3268299999909</v>
      </c>
      <c r="T363" s="427">
        <v>8898.6677099999906</v>
      </c>
      <c r="V363" s="427">
        <f t="shared" si="39"/>
        <v>8680.6224299999903</v>
      </c>
    </row>
    <row r="364" spans="1:22">
      <c r="A364" s="427" t="str">
        <f t="shared" si="35"/>
        <v>KU</v>
      </c>
      <c r="B364" s="427" t="str">
        <f t="shared" si="36"/>
        <v>KY</v>
      </c>
      <c r="C364" s="427" t="str">
        <f t="shared" si="37"/>
        <v>E</v>
      </c>
      <c r="D364" s="427" t="s">
        <v>3422</v>
      </c>
      <c r="E364" s="427" t="str">
        <f t="shared" si="32"/>
        <v>354</v>
      </c>
      <c r="F364" s="756" t="s">
        <v>1766</v>
      </c>
      <c r="G364" s="426" t="str">
        <f t="shared" si="38"/>
        <v/>
      </c>
      <c r="H364" s="427">
        <v>47713.514080000001</v>
      </c>
      <c r="I364" s="427">
        <v>47813.297339999997</v>
      </c>
      <c r="J364" s="427">
        <v>47913.080600000001</v>
      </c>
      <c r="K364" s="427">
        <v>48012.863859999998</v>
      </c>
      <c r="L364" s="427">
        <v>48112.647120000001</v>
      </c>
      <c r="M364" s="427">
        <v>48212.430379999998</v>
      </c>
      <c r="N364" s="427">
        <v>48312.213640000002</v>
      </c>
      <c r="O364" s="427">
        <v>48411.996899999998</v>
      </c>
      <c r="P364" s="427">
        <v>48511.780160000002</v>
      </c>
      <c r="Q364" s="427">
        <v>48611.563419999999</v>
      </c>
      <c r="R364" s="427">
        <v>48711.346680000002</v>
      </c>
      <c r="S364" s="427">
        <v>48811.129939999999</v>
      </c>
      <c r="T364" s="427">
        <v>48910.913200000003</v>
      </c>
      <c r="V364" s="427">
        <f t="shared" si="39"/>
        <v>48312.213640000009</v>
      </c>
    </row>
    <row r="365" spans="1:22">
      <c r="A365" s="427" t="str">
        <f t="shared" si="35"/>
        <v>KU</v>
      </c>
      <c r="B365" s="427" t="str">
        <f t="shared" si="36"/>
        <v>VA</v>
      </c>
      <c r="C365" s="427" t="str">
        <f t="shared" si="37"/>
        <v>E</v>
      </c>
      <c r="D365" s="427" t="s">
        <v>3422</v>
      </c>
      <c r="E365" s="427" t="str">
        <f t="shared" si="32"/>
        <v>354</v>
      </c>
      <c r="F365" s="756" t="s">
        <v>1767</v>
      </c>
      <c r="G365" s="426" t="str">
        <f t="shared" si="38"/>
        <v/>
      </c>
      <c r="H365" s="427">
        <v>5196.3759700000001</v>
      </c>
      <c r="I365" s="427">
        <v>5206.4893300000003</v>
      </c>
      <c r="J365" s="427">
        <v>5216.6026899999997</v>
      </c>
      <c r="K365" s="427">
        <v>5226.71605</v>
      </c>
      <c r="L365" s="427">
        <v>5236.8294100000003</v>
      </c>
      <c r="M365" s="427">
        <v>5246.9427699999997</v>
      </c>
      <c r="N365" s="427">
        <v>5257.0561299999999</v>
      </c>
      <c r="O365" s="427">
        <v>5267.1694900000002</v>
      </c>
      <c r="P365" s="427">
        <v>5277.2828499999996</v>
      </c>
      <c r="Q365" s="427">
        <v>5287.3962099999999</v>
      </c>
      <c r="R365" s="427">
        <v>5297.5095700000002</v>
      </c>
      <c r="S365" s="427">
        <v>5307.6229300000005</v>
      </c>
      <c r="T365" s="427">
        <v>5317.7362899999998</v>
      </c>
      <c r="V365" s="427">
        <f t="shared" si="39"/>
        <v>5257.056129999999</v>
      </c>
    </row>
    <row r="366" spans="1:22">
      <c r="A366" s="427" t="str">
        <f t="shared" si="35"/>
        <v>KU</v>
      </c>
      <c r="B366" s="427" t="str">
        <f t="shared" si="36"/>
        <v>KY</v>
      </c>
      <c r="C366" s="427" t="str">
        <f t="shared" si="37"/>
        <v>E</v>
      </c>
      <c r="D366" s="427" t="s">
        <v>3422</v>
      </c>
      <c r="E366" s="427" t="str">
        <f t="shared" si="32"/>
        <v>355</v>
      </c>
      <c r="F366" s="756" t="s">
        <v>1768</v>
      </c>
      <c r="G366" s="426" t="str">
        <f t="shared" si="38"/>
        <v/>
      </c>
      <c r="H366" s="427">
        <v>72114.417228410006</v>
      </c>
      <c r="I366" s="427">
        <v>71977.746237009997</v>
      </c>
      <c r="J366" s="427">
        <v>72590.75905701</v>
      </c>
      <c r="K366" s="427">
        <v>73479.987267010001</v>
      </c>
      <c r="L366" s="427">
        <v>74191.351887009994</v>
      </c>
      <c r="M366" s="427">
        <v>75132.256537010006</v>
      </c>
      <c r="N366" s="427">
        <v>75884.106727010003</v>
      </c>
      <c r="O366" s="427">
        <v>76742.077527009998</v>
      </c>
      <c r="P366" s="427">
        <v>77112.783260509997</v>
      </c>
      <c r="Q366" s="427">
        <v>78164.670730509999</v>
      </c>
      <c r="R366" s="427">
        <v>79104.846760510001</v>
      </c>
      <c r="S366" s="427">
        <v>80094.890970509994</v>
      </c>
      <c r="T366" s="427">
        <v>80858.368670490003</v>
      </c>
      <c r="V366" s="427">
        <f t="shared" si="39"/>
        <v>75957.558681539231</v>
      </c>
    </row>
    <row r="367" spans="1:22">
      <c r="A367" s="427" t="str">
        <f t="shared" si="35"/>
        <v>KU</v>
      </c>
      <c r="B367" s="427" t="str">
        <f t="shared" si="36"/>
        <v>TN</v>
      </c>
      <c r="C367" s="427" t="str">
        <f t="shared" si="37"/>
        <v>E</v>
      </c>
      <c r="D367" s="427" t="s">
        <v>3422</v>
      </c>
      <c r="E367" s="427" t="str">
        <f t="shared" si="32"/>
        <v>355</v>
      </c>
      <c r="F367" s="756" t="s">
        <v>1769</v>
      </c>
      <c r="G367" s="426" t="str">
        <f t="shared" si="38"/>
        <v/>
      </c>
      <c r="H367" s="427">
        <v>93.228249999999903</v>
      </c>
      <c r="I367" s="427">
        <v>93.5426199999999</v>
      </c>
      <c r="J367" s="427">
        <v>93.856989999999897</v>
      </c>
      <c r="K367" s="427">
        <v>94.171359999999893</v>
      </c>
      <c r="L367" s="427">
        <v>94.485729999999904</v>
      </c>
      <c r="M367" s="427">
        <v>94.800099999999901</v>
      </c>
      <c r="N367" s="427">
        <v>95.114469999999898</v>
      </c>
      <c r="O367" s="427">
        <v>95.428839999999894</v>
      </c>
      <c r="P367" s="427">
        <v>95.743209999999905</v>
      </c>
      <c r="Q367" s="427">
        <v>96.057579999999902</v>
      </c>
      <c r="R367" s="427">
        <v>96.371949999999899</v>
      </c>
      <c r="S367" s="427">
        <v>96.686319999999895</v>
      </c>
      <c r="T367" s="427">
        <v>97.000689999999906</v>
      </c>
      <c r="V367" s="427">
        <f t="shared" si="39"/>
        <v>95.114469999999898</v>
      </c>
    </row>
    <row r="368" spans="1:22">
      <c r="A368" s="427" t="str">
        <f t="shared" si="35"/>
        <v>KU</v>
      </c>
      <c r="B368" s="427" t="str">
        <f t="shared" si="36"/>
        <v>VA</v>
      </c>
      <c r="C368" s="427" t="str">
        <f t="shared" si="37"/>
        <v>E</v>
      </c>
      <c r="D368" s="427" t="s">
        <v>3422</v>
      </c>
      <c r="E368" s="427" t="str">
        <f t="shared" si="32"/>
        <v>355</v>
      </c>
      <c r="F368" s="756" t="s">
        <v>1770</v>
      </c>
      <c r="G368" s="426" t="str">
        <f t="shared" si="38"/>
        <v/>
      </c>
      <c r="H368" s="427">
        <v>4837.9926477999998</v>
      </c>
      <c r="I368" s="427">
        <v>4873.5272477999997</v>
      </c>
      <c r="J368" s="427">
        <v>4909.6532977999996</v>
      </c>
      <c r="K368" s="427">
        <v>4946.3707777999998</v>
      </c>
      <c r="L368" s="427">
        <v>4983.0882578000001</v>
      </c>
      <c r="M368" s="427">
        <v>5019.8057378000003</v>
      </c>
      <c r="N368" s="427">
        <v>5056.5232177999997</v>
      </c>
      <c r="O368" s="427">
        <v>5093.2406977999999</v>
      </c>
      <c r="P368" s="427">
        <v>5129.9581778000002</v>
      </c>
      <c r="Q368" s="427">
        <v>5166.6756578000004</v>
      </c>
      <c r="R368" s="427">
        <v>5203.3931377999997</v>
      </c>
      <c r="S368" s="427">
        <v>5240.1106178</v>
      </c>
      <c r="T368" s="427">
        <v>5276.8280978000003</v>
      </c>
      <c r="V368" s="427">
        <f t="shared" si="39"/>
        <v>5056.705197799999</v>
      </c>
    </row>
    <row r="369" spans="1:22">
      <c r="A369" s="427" t="str">
        <f t="shared" si="35"/>
        <v>KU</v>
      </c>
      <c r="B369" s="427" t="str">
        <f t="shared" si="36"/>
        <v>KY</v>
      </c>
      <c r="C369" s="427" t="str">
        <f t="shared" si="37"/>
        <v>E</v>
      </c>
      <c r="D369" s="427" t="s">
        <v>3422</v>
      </c>
      <c r="E369" s="427" t="str">
        <f t="shared" si="32"/>
        <v>356</v>
      </c>
      <c r="F369" s="756" t="s">
        <v>1771</v>
      </c>
      <c r="G369" s="426" t="str">
        <f t="shared" si="38"/>
        <v/>
      </c>
      <c r="H369" s="427">
        <v>106429.07018816</v>
      </c>
      <c r="I369" s="427">
        <v>106670.26691770001</v>
      </c>
      <c r="J369" s="427">
        <v>106813.68469723999</v>
      </c>
      <c r="K369" s="427">
        <v>107109.348836779</v>
      </c>
      <c r="L369" s="427">
        <v>107298.78220632</v>
      </c>
      <c r="M369" s="427">
        <v>107614.82520586</v>
      </c>
      <c r="N369" s="427">
        <v>107818.8734954</v>
      </c>
      <c r="O369" s="427">
        <v>108079.114534939</v>
      </c>
      <c r="P369" s="427">
        <v>108251.14207447899</v>
      </c>
      <c r="Q369" s="427">
        <v>108585.597413949</v>
      </c>
      <c r="R369" s="427">
        <v>108853.44188540999</v>
      </c>
      <c r="S369" s="427">
        <v>109146.26420686999</v>
      </c>
      <c r="T369" s="427">
        <v>109139.015741229</v>
      </c>
      <c r="V369" s="427">
        <f t="shared" si="39"/>
        <v>107831.49441571806</v>
      </c>
    </row>
    <row r="370" spans="1:22">
      <c r="A370" s="427" t="str">
        <f t="shared" si="35"/>
        <v>KU</v>
      </c>
      <c r="B370" s="427" t="str">
        <f t="shared" si="36"/>
        <v>TN</v>
      </c>
      <c r="C370" s="427" t="str">
        <f t="shared" si="37"/>
        <v>E</v>
      </c>
      <c r="D370" s="427" t="s">
        <v>3422</v>
      </c>
      <c r="E370" s="427" t="str">
        <f t="shared" si="32"/>
        <v>356</v>
      </c>
      <c r="F370" s="756" t="s">
        <v>1772</v>
      </c>
      <c r="G370" s="426" t="str">
        <f t="shared" si="38"/>
        <v/>
      </c>
      <c r="H370" s="427">
        <v>55.334629999999997</v>
      </c>
      <c r="I370" s="427">
        <v>55.505420000000001</v>
      </c>
      <c r="J370" s="427">
        <v>55.676209999999998</v>
      </c>
      <c r="K370" s="427">
        <v>55.847000000000001</v>
      </c>
      <c r="L370" s="427">
        <v>56.017789999999998</v>
      </c>
      <c r="M370" s="427">
        <v>56.188580000000002</v>
      </c>
      <c r="N370" s="427">
        <v>56.359369999999998</v>
      </c>
      <c r="O370" s="427">
        <v>56.530160000000002</v>
      </c>
      <c r="P370" s="427">
        <v>56.700949999999999</v>
      </c>
      <c r="Q370" s="427">
        <v>56.871740000000003</v>
      </c>
      <c r="R370" s="427">
        <v>57.042529999999999</v>
      </c>
      <c r="S370" s="427">
        <v>57.213320000000003</v>
      </c>
      <c r="T370" s="427">
        <v>57.38411</v>
      </c>
      <c r="V370" s="427">
        <f t="shared" si="39"/>
        <v>56.359369999999998</v>
      </c>
    </row>
    <row r="371" spans="1:22">
      <c r="A371" s="427" t="str">
        <f t="shared" si="35"/>
        <v>KU</v>
      </c>
      <c r="B371" s="427" t="str">
        <f t="shared" si="36"/>
        <v>VA</v>
      </c>
      <c r="C371" s="427" t="str">
        <f t="shared" si="37"/>
        <v>E</v>
      </c>
      <c r="D371" s="427" t="s">
        <v>3422</v>
      </c>
      <c r="E371" s="427" t="str">
        <f t="shared" ref="E371:E429" si="40">MID($F371,8,3)</f>
        <v>356</v>
      </c>
      <c r="F371" s="756" t="s">
        <v>1773</v>
      </c>
      <c r="G371" s="426" t="str">
        <f t="shared" si="38"/>
        <v/>
      </c>
      <c r="H371" s="427">
        <v>10688.3250399999</v>
      </c>
      <c r="I371" s="427">
        <v>10727.899299999901</v>
      </c>
      <c r="J371" s="427">
        <v>10767.4735599999</v>
      </c>
      <c r="K371" s="427">
        <v>10807.0478199999</v>
      </c>
      <c r="L371" s="427">
        <v>10846.622079999899</v>
      </c>
      <c r="M371" s="427">
        <v>10886.1963399999</v>
      </c>
      <c r="N371" s="427">
        <v>10925.7705999999</v>
      </c>
      <c r="O371" s="427">
        <v>10965.344859999899</v>
      </c>
      <c r="P371" s="427">
        <v>11004.9191199999</v>
      </c>
      <c r="Q371" s="427">
        <v>11044.4933799999</v>
      </c>
      <c r="R371" s="427">
        <v>11084.067639999899</v>
      </c>
      <c r="S371" s="427">
        <v>11123.6418999999</v>
      </c>
      <c r="T371" s="427">
        <v>11163.2161599999</v>
      </c>
      <c r="V371" s="427">
        <f t="shared" si="39"/>
        <v>10925.7705999999</v>
      </c>
    </row>
    <row r="372" spans="1:22">
      <c r="A372" s="427" t="str">
        <f t="shared" si="35"/>
        <v>KU</v>
      </c>
      <c r="B372" s="427" t="str">
        <f t="shared" si="36"/>
        <v>KY</v>
      </c>
      <c r="C372" s="427" t="str">
        <f t="shared" si="37"/>
        <v>E</v>
      </c>
      <c r="D372" s="427" t="s">
        <v>3422</v>
      </c>
      <c r="E372" s="427" t="str">
        <f t="shared" si="40"/>
        <v>357</v>
      </c>
      <c r="F372" s="756" t="s">
        <v>1774</v>
      </c>
      <c r="G372" s="426" t="str">
        <f t="shared" si="38"/>
        <v/>
      </c>
      <c r="H372" s="427">
        <v>258.91226999999998</v>
      </c>
      <c r="I372" s="427">
        <v>259.54800999999998</v>
      </c>
      <c r="J372" s="427">
        <v>260.18374999999997</v>
      </c>
      <c r="K372" s="427">
        <v>260.81948999999997</v>
      </c>
      <c r="L372" s="427">
        <v>261.45522999999997</v>
      </c>
      <c r="M372" s="427">
        <v>262.090969999999</v>
      </c>
      <c r="N372" s="427">
        <v>262.726709999999</v>
      </c>
      <c r="O372" s="427">
        <v>263.362449999999</v>
      </c>
      <c r="P372" s="427">
        <v>263.998189999999</v>
      </c>
      <c r="Q372" s="427">
        <v>264.633929999999</v>
      </c>
      <c r="R372" s="427">
        <v>265.269669999999</v>
      </c>
      <c r="S372" s="427">
        <v>265.90540999999899</v>
      </c>
      <c r="T372" s="427">
        <v>266.54114999999899</v>
      </c>
      <c r="V372" s="427">
        <f t="shared" si="39"/>
        <v>262.7267099999994</v>
      </c>
    </row>
    <row r="373" spans="1:22">
      <c r="A373" s="427" t="str">
        <f t="shared" si="35"/>
        <v>KU</v>
      </c>
      <c r="B373" s="427" t="str">
        <f t="shared" si="36"/>
        <v>KY</v>
      </c>
      <c r="C373" s="427" t="str">
        <f t="shared" si="37"/>
        <v>E</v>
      </c>
      <c r="D373" s="427" t="s">
        <v>3422</v>
      </c>
      <c r="E373" s="427" t="str">
        <f t="shared" si="40"/>
        <v>358</v>
      </c>
      <c r="F373" s="756" t="s">
        <v>1775</v>
      </c>
      <c r="G373" s="426" t="str">
        <f t="shared" si="38"/>
        <v/>
      </c>
      <c r="H373" s="427">
        <v>961.57592</v>
      </c>
      <c r="I373" s="427">
        <v>962.37734</v>
      </c>
      <c r="J373" s="427">
        <v>963.17876000000001</v>
      </c>
      <c r="K373" s="427">
        <v>963.98018000000002</v>
      </c>
      <c r="L373" s="427">
        <v>964.78160000000003</v>
      </c>
      <c r="M373" s="427">
        <v>965.58302000000003</v>
      </c>
      <c r="N373" s="427">
        <v>966.38444000000004</v>
      </c>
      <c r="O373" s="427">
        <v>967.18586000000005</v>
      </c>
      <c r="P373" s="427">
        <v>848.32319110000003</v>
      </c>
      <c r="Q373" s="427">
        <v>854.64799110000001</v>
      </c>
      <c r="R373" s="427">
        <v>861.0983311</v>
      </c>
      <c r="S373" s="427">
        <v>867.71122109999999</v>
      </c>
      <c r="T373" s="427">
        <v>874.40539109999997</v>
      </c>
      <c r="V373" s="427">
        <f t="shared" si="39"/>
        <v>924.71024965384618</v>
      </c>
    </row>
    <row r="374" spans="1:22">
      <c r="A374" s="427" t="str">
        <f t="shared" si="35"/>
        <v>KU</v>
      </c>
      <c r="B374" s="427" t="str">
        <f t="shared" si="36"/>
        <v>KY</v>
      </c>
      <c r="C374" s="427" t="str">
        <f t="shared" si="37"/>
        <v>E</v>
      </c>
      <c r="D374" s="427" t="s">
        <v>3422</v>
      </c>
      <c r="E374" s="427" t="str">
        <f t="shared" si="40"/>
        <v>359</v>
      </c>
      <c r="F374" s="756" t="s">
        <v>1776</v>
      </c>
      <c r="G374" s="426" t="str">
        <f t="shared" si="38"/>
        <v>ARO</v>
      </c>
      <c r="H374" s="427">
        <v>97.589349999999897</v>
      </c>
      <c r="I374" s="427">
        <v>99.1819899999998</v>
      </c>
      <c r="J374" s="427">
        <v>100.77462999999899</v>
      </c>
      <c r="K374" s="427">
        <v>102.367269999999</v>
      </c>
      <c r="L374" s="427">
        <v>103.959909999999</v>
      </c>
      <c r="M374" s="427">
        <v>105.552549999999</v>
      </c>
      <c r="N374" s="427">
        <v>107.145189999999</v>
      </c>
      <c r="O374" s="427">
        <v>108.73782999999899</v>
      </c>
      <c r="P374" s="427">
        <v>110.330469999999</v>
      </c>
      <c r="Q374" s="427">
        <v>110.544813931744</v>
      </c>
      <c r="R374" s="427">
        <v>110.75915786349</v>
      </c>
      <c r="S374" s="427">
        <v>110.97350179523499</v>
      </c>
      <c r="T374" s="427">
        <v>111.18784572698</v>
      </c>
      <c r="V374" s="427">
        <f t="shared" si="39"/>
        <v>106.08496225518782</v>
      </c>
    </row>
    <row r="375" spans="1:22">
      <c r="A375" s="427" t="str">
        <f t="shared" si="35"/>
        <v>KU</v>
      </c>
      <c r="B375" s="427" t="str">
        <f t="shared" si="36"/>
        <v>KY</v>
      </c>
      <c r="C375" s="427" t="str">
        <f t="shared" si="37"/>
        <v>E</v>
      </c>
      <c r="D375" s="427" t="s">
        <v>3422</v>
      </c>
      <c r="E375" s="427" t="str">
        <f t="shared" si="40"/>
        <v>360</v>
      </c>
      <c r="F375" s="756" t="s">
        <v>1778</v>
      </c>
      <c r="G375" s="426" t="str">
        <f t="shared" si="38"/>
        <v/>
      </c>
      <c r="H375" s="427">
        <v>1430.0661299999899</v>
      </c>
      <c r="I375" s="427">
        <v>1431.1729599999901</v>
      </c>
      <c r="J375" s="427">
        <v>1432.27978999999</v>
      </c>
      <c r="K375" s="427">
        <v>1433.38661999999</v>
      </c>
      <c r="L375" s="427">
        <v>1434.4934499999899</v>
      </c>
      <c r="M375" s="427">
        <v>1435.6002799999901</v>
      </c>
      <c r="N375" s="427">
        <v>1436.7071099999901</v>
      </c>
      <c r="O375" s="427">
        <v>1437.81393999999</v>
      </c>
      <c r="P375" s="427">
        <v>1438.9207699999899</v>
      </c>
      <c r="Q375" s="427">
        <v>1440.0275999999899</v>
      </c>
      <c r="R375" s="427">
        <v>1441.1344299999901</v>
      </c>
      <c r="S375" s="427">
        <v>1442.24125999999</v>
      </c>
      <c r="T375" s="427">
        <v>1443.34808999999</v>
      </c>
      <c r="V375" s="427">
        <f t="shared" si="39"/>
        <v>1436.7071099999901</v>
      </c>
    </row>
    <row r="376" spans="1:22">
      <c r="A376" s="427" t="str">
        <f t="shared" si="35"/>
        <v>KU</v>
      </c>
      <c r="B376" s="427" t="str">
        <f t="shared" si="36"/>
        <v>TN</v>
      </c>
      <c r="C376" s="427" t="str">
        <f t="shared" si="37"/>
        <v>E</v>
      </c>
      <c r="D376" s="427" t="s">
        <v>3422</v>
      </c>
      <c r="E376" s="427" t="str">
        <f t="shared" si="40"/>
        <v>360</v>
      </c>
      <c r="F376" s="756" t="s">
        <v>1779</v>
      </c>
      <c r="G376" s="426" t="str">
        <f t="shared" si="38"/>
        <v/>
      </c>
      <c r="H376" s="427">
        <v>2.4915499999999899</v>
      </c>
      <c r="I376" s="427">
        <v>2.4929499999999898</v>
      </c>
      <c r="J376" s="427">
        <v>2.4943499999999901</v>
      </c>
      <c r="K376" s="427">
        <v>2.4957499999999899</v>
      </c>
      <c r="L376" s="427">
        <v>2.4971499999999902</v>
      </c>
      <c r="M376" s="427">
        <v>2.4985499999999901</v>
      </c>
      <c r="N376" s="427">
        <v>2.4999499999999899</v>
      </c>
      <c r="O376" s="427">
        <v>2.5013499999999902</v>
      </c>
      <c r="P376" s="427">
        <v>2.50274999999999</v>
      </c>
      <c r="Q376" s="427">
        <v>2.5041499999999899</v>
      </c>
      <c r="R376" s="427">
        <v>2.5055499999999902</v>
      </c>
      <c r="S376" s="427">
        <v>2.50694999999999</v>
      </c>
      <c r="T376" s="427">
        <v>2.5083499999999899</v>
      </c>
      <c r="V376" s="427">
        <f t="shared" si="39"/>
        <v>2.4999499999999903</v>
      </c>
    </row>
    <row r="377" spans="1:22">
      <c r="A377" s="427" t="str">
        <f t="shared" si="35"/>
        <v>KU</v>
      </c>
      <c r="B377" s="427" t="str">
        <f t="shared" si="36"/>
        <v>VA</v>
      </c>
      <c r="C377" s="427" t="str">
        <f t="shared" si="37"/>
        <v>E</v>
      </c>
      <c r="D377" s="427" t="s">
        <v>3422</v>
      </c>
      <c r="E377" s="427" t="str">
        <f t="shared" si="40"/>
        <v>360</v>
      </c>
      <c r="F377" s="756" t="s">
        <v>1780</v>
      </c>
      <c r="G377" s="426" t="str">
        <f t="shared" si="38"/>
        <v/>
      </c>
      <c r="H377" s="427">
        <v>69.865600000000001</v>
      </c>
      <c r="I377" s="427">
        <v>69.91413</v>
      </c>
      <c r="J377" s="427">
        <v>69.96266</v>
      </c>
      <c r="K377" s="427">
        <v>70.011189999999999</v>
      </c>
      <c r="L377" s="427">
        <v>70.059719999999999</v>
      </c>
      <c r="M377" s="427">
        <v>70.108249999999998</v>
      </c>
      <c r="N377" s="427">
        <v>70.156779999999998</v>
      </c>
      <c r="O377" s="427">
        <v>70.205309999999997</v>
      </c>
      <c r="P377" s="427">
        <v>70.253839999999997</v>
      </c>
      <c r="Q377" s="427">
        <v>70.302369999999996</v>
      </c>
      <c r="R377" s="427">
        <v>70.350899999999996</v>
      </c>
      <c r="S377" s="427">
        <v>70.399429999999995</v>
      </c>
      <c r="T377" s="427">
        <v>70.447959999999995</v>
      </c>
      <c r="V377" s="427">
        <f t="shared" si="39"/>
        <v>70.156780000000012</v>
      </c>
    </row>
    <row r="378" spans="1:22">
      <c r="A378" s="427" t="str">
        <f t="shared" si="35"/>
        <v>KU</v>
      </c>
      <c r="B378" s="427" t="str">
        <f t="shared" si="36"/>
        <v>KY</v>
      </c>
      <c r="C378" s="427" t="str">
        <f t="shared" si="37"/>
        <v>E</v>
      </c>
      <c r="D378" s="427" t="s">
        <v>3422</v>
      </c>
      <c r="E378" s="427" t="str">
        <f t="shared" si="40"/>
        <v>361</v>
      </c>
      <c r="F378" s="756" t="s">
        <v>1781</v>
      </c>
      <c r="G378" s="426" t="str">
        <f t="shared" si="38"/>
        <v/>
      </c>
      <c r="H378" s="427">
        <v>2420.7163580829902</v>
      </c>
      <c r="I378" s="427">
        <v>2384.6612355129901</v>
      </c>
      <c r="J378" s="427">
        <v>2349.97290294299</v>
      </c>
      <c r="K378" s="427">
        <v>2316.65134037299</v>
      </c>
      <c r="L378" s="427">
        <v>2284.69653780299</v>
      </c>
      <c r="M378" s="427">
        <v>2254.1085152329902</v>
      </c>
      <c r="N378" s="427">
        <v>2236.4364787629902</v>
      </c>
      <c r="O378" s="427">
        <v>2220.1312222929901</v>
      </c>
      <c r="P378" s="427">
        <v>2196.1798185369898</v>
      </c>
      <c r="Q378" s="427">
        <v>2192.83510857699</v>
      </c>
      <c r="R378" s="427">
        <v>2190.70915861699</v>
      </c>
      <c r="S378" s="427">
        <v>2189.8019586569899</v>
      </c>
      <c r="T378" s="427">
        <v>2180.1964989769899</v>
      </c>
      <c r="V378" s="427">
        <f t="shared" si="39"/>
        <v>2262.8536257206829</v>
      </c>
    </row>
    <row r="379" spans="1:22">
      <c r="A379" s="427" t="str">
        <f t="shared" si="35"/>
        <v>KU</v>
      </c>
      <c r="B379" s="427" t="str">
        <f t="shared" si="36"/>
        <v>TN</v>
      </c>
      <c r="C379" s="427" t="str">
        <f t="shared" si="37"/>
        <v>E</v>
      </c>
      <c r="D379" s="427" t="s">
        <v>3422</v>
      </c>
      <c r="E379" s="427" t="str">
        <f t="shared" si="40"/>
        <v>361</v>
      </c>
      <c r="F379" s="756" t="s">
        <v>1782</v>
      </c>
      <c r="G379" s="426" t="str">
        <f t="shared" si="38"/>
        <v/>
      </c>
      <c r="H379" s="427">
        <v>2.5308199999999998</v>
      </c>
      <c r="I379" s="427">
        <v>2.53538</v>
      </c>
      <c r="J379" s="427">
        <v>2.5399400000000001</v>
      </c>
      <c r="K379" s="427">
        <v>2.5445000000000002</v>
      </c>
      <c r="L379" s="427">
        <v>2.5490599999999999</v>
      </c>
      <c r="M379" s="427">
        <v>2.55362</v>
      </c>
      <c r="N379" s="427">
        <v>2.5581800000000001</v>
      </c>
      <c r="O379" s="427">
        <v>2.5627399999999998</v>
      </c>
      <c r="P379" s="427">
        <v>2.5672999999999999</v>
      </c>
      <c r="Q379" s="427">
        <v>2.57186</v>
      </c>
      <c r="R379" s="427">
        <v>2.5764200000000002</v>
      </c>
      <c r="S379" s="427">
        <v>2.5809799999999998</v>
      </c>
      <c r="T379" s="427">
        <v>2.5855399999999999</v>
      </c>
      <c r="V379" s="427">
        <f t="shared" si="39"/>
        <v>2.5581800000000001</v>
      </c>
    </row>
    <row r="380" spans="1:22">
      <c r="A380" s="427" t="str">
        <f t="shared" si="35"/>
        <v>KU</v>
      </c>
      <c r="B380" s="427" t="str">
        <f t="shared" si="36"/>
        <v>VA</v>
      </c>
      <c r="C380" s="427" t="str">
        <f t="shared" si="37"/>
        <v>E</v>
      </c>
      <c r="D380" s="427" t="s">
        <v>3422</v>
      </c>
      <c r="E380" s="427" t="str">
        <f t="shared" si="40"/>
        <v>361</v>
      </c>
      <c r="F380" s="756" t="s">
        <v>1783</v>
      </c>
      <c r="G380" s="426" t="str">
        <f t="shared" si="38"/>
        <v/>
      </c>
      <c r="H380" s="427">
        <v>152.39183</v>
      </c>
      <c r="I380" s="427">
        <v>153.7671</v>
      </c>
      <c r="J380" s="427">
        <v>155.14237</v>
      </c>
      <c r="K380" s="427">
        <v>156.51764</v>
      </c>
      <c r="L380" s="427">
        <v>157.89291</v>
      </c>
      <c r="M380" s="427">
        <v>159.26818</v>
      </c>
      <c r="N380" s="427">
        <v>160.64345</v>
      </c>
      <c r="O380" s="427">
        <v>162.01872</v>
      </c>
      <c r="P380" s="427">
        <v>163.39399</v>
      </c>
      <c r="Q380" s="427">
        <v>164.76926</v>
      </c>
      <c r="R380" s="427">
        <v>166.14453</v>
      </c>
      <c r="S380" s="427">
        <v>167.5198</v>
      </c>
      <c r="T380" s="427">
        <v>168.89507</v>
      </c>
      <c r="V380" s="427">
        <f t="shared" si="39"/>
        <v>160.64345</v>
      </c>
    </row>
    <row r="381" spans="1:22">
      <c r="A381" s="427" t="str">
        <f t="shared" si="35"/>
        <v>KU</v>
      </c>
      <c r="B381" s="427" t="str">
        <f t="shared" si="36"/>
        <v>KY</v>
      </c>
      <c r="C381" s="427" t="str">
        <f t="shared" si="37"/>
        <v>E</v>
      </c>
      <c r="D381" s="427" t="s">
        <v>3422</v>
      </c>
      <c r="E381" s="427" t="str">
        <f t="shared" si="40"/>
        <v>362</v>
      </c>
      <c r="F381" s="756" t="s">
        <v>1784</v>
      </c>
      <c r="G381" s="426" t="str">
        <f t="shared" si="38"/>
        <v/>
      </c>
      <c r="H381" s="427">
        <v>51243.904797026102</v>
      </c>
      <c r="I381" s="427">
        <v>51516.4889088161</v>
      </c>
      <c r="J381" s="427">
        <v>51860.2499306061</v>
      </c>
      <c r="K381" s="427">
        <v>52001.542622396097</v>
      </c>
      <c r="L381" s="427">
        <v>52192.4745841861</v>
      </c>
      <c r="M381" s="427">
        <v>52576.768645976103</v>
      </c>
      <c r="N381" s="427">
        <v>52910.854557766099</v>
      </c>
      <c r="O381" s="427">
        <v>53287.498999556097</v>
      </c>
      <c r="P381" s="427">
        <v>52711.341190024097</v>
      </c>
      <c r="Q381" s="427">
        <v>53128.101864704098</v>
      </c>
      <c r="R381" s="427">
        <v>53467.032899384103</v>
      </c>
      <c r="S381" s="427">
        <v>53828.471984064097</v>
      </c>
      <c r="T381" s="427">
        <v>54175.923358744098</v>
      </c>
      <c r="V381" s="427">
        <f t="shared" si="39"/>
        <v>52684.665718711491</v>
      </c>
    </row>
    <row r="382" spans="1:22">
      <c r="A382" s="427" t="str">
        <f t="shared" si="35"/>
        <v>KU</v>
      </c>
      <c r="B382" s="427" t="str">
        <f t="shared" si="36"/>
        <v>TN</v>
      </c>
      <c r="C382" s="427" t="str">
        <f t="shared" si="37"/>
        <v>E</v>
      </c>
      <c r="D382" s="427" t="s">
        <v>3422</v>
      </c>
      <c r="E382" s="427" t="str">
        <f t="shared" si="40"/>
        <v>362</v>
      </c>
      <c r="F382" s="756" t="s">
        <v>1785</v>
      </c>
      <c r="G382" s="426" t="str">
        <f t="shared" si="38"/>
        <v/>
      </c>
      <c r="H382" s="427">
        <v>36.489289999999997</v>
      </c>
      <c r="I382" s="427">
        <v>36.61692</v>
      </c>
      <c r="J382" s="427">
        <v>36.744549999999997</v>
      </c>
      <c r="K382" s="427">
        <v>36.87218</v>
      </c>
      <c r="L382" s="427">
        <v>36.999809999999997</v>
      </c>
      <c r="M382" s="427">
        <v>37.12744</v>
      </c>
      <c r="N382" s="427">
        <v>37.255070000000003</v>
      </c>
      <c r="O382" s="427">
        <v>37.3827</v>
      </c>
      <c r="P382" s="427">
        <v>37.510330000000003</v>
      </c>
      <c r="Q382" s="427">
        <v>37.63796</v>
      </c>
      <c r="R382" s="427">
        <v>37.765590000000003</v>
      </c>
      <c r="S382" s="427">
        <v>37.893219999999999</v>
      </c>
      <c r="T382" s="427">
        <v>38.020850000000003</v>
      </c>
      <c r="V382" s="427">
        <f t="shared" si="39"/>
        <v>37.255069999999996</v>
      </c>
    </row>
    <row r="383" spans="1:22">
      <c r="A383" s="427" t="str">
        <f t="shared" si="35"/>
        <v>KU</v>
      </c>
      <c r="B383" s="427" t="str">
        <f t="shared" si="36"/>
        <v>VA</v>
      </c>
      <c r="C383" s="427" t="str">
        <f t="shared" si="37"/>
        <v>E</v>
      </c>
      <c r="D383" s="427" t="s">
        <v>3422</v>
      </c>
      <c r="E383" s="427" t="str">
        <f t="shared" si="40"/>
        <v>362</v>
      </c>
      <c r="F383" s="756" t="s">
        <v>1786</v>
      </c>
      <c r="G383" s="426" t="str">
        <f t="shared" si="38"/>
        <v/>
      </c>
      <c r="H383" s="427">
        <v>3375.9672099999898</v>
      </c>
      <c r="I383" s="427">
        <v>3392.2132999999899</v>
      </c>
      <c r="J383" s="427">
        <v>3408.45938999999</v>
      </c>
      <c r="K383" s="427">
        <v>3424.7054799999901</v>
      </c>
      <c r="L383" s="427">
        <v>3440.9515699999902</v>
      </c>
      <c r="M383" s="427">
        <v>3457.1976599999898</v>
      </c>
      <c r="N383" s="427">
        <v>3473.4437499999899</v>
      </c>
      <c r="O383" s="427">
        <v>3489.68983999999</v>
      </c>
      <c r="P383" s="427">
        <v>3505.9359299999901</v>
      </c>
      <c r="Q383" s="427">
        <v>3522.1820199999902</v>
      </c>
      <c r="R383" s="427">
        <v>3538.4281099999898</v>
      </c>
      <c r="S383" s="427">
        <v>3554.6741999999899</v>
      </c>
      <c r="T383" s="427">
        <v>3570.92028999999</v>
      </c>
      <c r="V383" s="427">
        <f t="shared" si="39"/>
        <v>3473.443749999989</v>
      </c>
    </row>
    <row r="384" spans="1:22">
      <c r="A384" s="427" t="str">
        <f t="shared" si="35"/>
        <v>KU</v>
      </c>
      <c r="B384" s="427" t="str">
        <f t="shared" si="36"/>
        <v>KY</v>
      </c>
      <c r="C384" s="427" t="str">
        <f t="shared" si="37"/>
        <v>E</v>
      </c>
      <c r="D384" s="427" t="s">
        <v>3422</v>
      </c>
      <c r="E384" s="427" t="str">
        <f t="shared" si="40"/>
        <v>364</v>
      </c>
      <c r="F384" s="756" t="s">
        <v>2211</v>
      </c>
      <c r="G384" s="426" t="str">
        <f t="shared" si="38"/>
        <v>ECR</v>
      </c>
      <c r="H384" s="427">
        <v>3.0245991999999902</v>
      </c>
      <c r="I384" s="427">
        <v>3.08363111999999</v>
      </c>
      <c r="J384" s="427">
        <v>3.1426630399999902</v>
      </c>
      <c r="K384" s="427">
        <v>3.20169495999999</v>
      </c>
      <c r="L384" s="427">
        <v>3.2607268799999898</v>
      </c>
      <c r="M384" s="427">
        <v>3.31975879999999</v>
      </c>
      <c r="N384" s="427">
        <v>3.3787907199999898</v>
      </c>
      <c r="O384" s="427">
        <v>3.43782263999999</v>
      </c>
      <c r="P384" s="427">
        <v>3.4968545599999898</v>
      </c>
      <c r="Q384" s="427">
        <v>3.5558864799999901</v>
      </c>
      <c r="R384" s="427">
        <v>3.6149183999999899</v>
      </c>
      <c r="S384" s="427">
        <v>3.6739503199999901</v>
      </c>
      <c r="T384" s="427">
        <v>3.7329822399999899</v>
      </c>
      <c r="V384" s="427">
        <f t="shared" si="39"/>
        <v>3.3787907199999898</v>
      </c>
    </row>
    <row r="385" spans="1:22">
      <c r="A385" s="427" t="str">
        <f t="shared" si="35"/>
        <v>KU</v>
      </c>
      <c r="B385" s="427" t="str">
        <f t="shared" si="36"/>
        <v>KY</v>
      </c>
      <c r="C385" s="427" t="str">
        <f t="shared" si="37"/>
        <v>E</v>
      </c>
      <c r="D385" s="427" t="s">
        <v>3422</v>
      </c>
      <c r="E385" s="427" t="str">
        <f t="shared" si="40"/>
        <v>364</v>
      </c>
      <c r="F385" s="756" t="s">
        <v>1787</v>
      </c>
      <c r="G385" s="426" t="str">
        <f t="shared" si="38"/>
        <v/>
      </c>
      <c r="H385" s="427">
        <v>160511.74283799401</v>
      </c>
      <c r="I385" s="427">
        <v>161000.515971897</v>
      </c>
      <c r="J385" s="427">
        <v>161616.88840839299</v>
      </c>
      <c r="K385" s="427">
        <v>161847.28830639101</v>
      </c>
      <c r="L385" s="427">
        <v>162141.47372573099</v>
      </c>
      <c r="M385" s="427">
        <v>162825.72549809201</v>
      </c>
      <c r="N385" s="427">
        <v>163426.02561261001</v>
      </c>
      <c r="O385" s="427">
        <v>164123.231374086</v>
      </c>
      <c r="P385" s="427">
        <v>164648.02562939801</v>
      </c>
      <c r="Q385" s="427">
        <v>165358.66358636101</v>
      </c>
      <c r="R385" s="427">
        <v>165943.011545563</v>
      </c>
      <c r="S385" s="427">
        <v>166569.66447746201</v>
      </c>
      <c r="T385" s="427">
        <v>167157.32925674101</v>
      </c>
      <c r="V385" s="427">
        <f t="shared" si="39"/>
        <v>163628.42971005526</v>
      </c>
    </row>
    <row r="386" spans="1:22">
      <c r="A386" s="427" t="str">
        <f t="shared" si="35"/>
        <v>KU</v>
      </c>
      <c r="B386" s="427" t="str">
        <f t="shared" si="36"/>
        <v>TN</v>
      </c>
      <c r="C386" s="427" t="str">
        <f t="shared" si="37"/>
        <v>E</v>
      </c>
      <c r="D386" s="427" t="s">
        <v>3422</v>
      </c>
      <c r="E386" s="427" t="str">
        <f t="shared" si="40"/>
        <v>364</v>
      </c>
      <c r="F386" s="756" t="s">
        <v>1788</v>
      </c>
      <c r="G386" s="426" t="str">
        <f t="shared" si="38"/>
        <v/>
      </c>
      <c r="H386" s="427">
        <v>49.344610000000003</v>
      </c>
      <c r="I386" s="427">
        <v>49.45093</v>
      </c>
      <c r="J386" s="427">
        <v>49.557250000000003</v>
      </c>
      <c r="K386" s="427">
        <v>49.66357</v>
      </c>
      <c r="L386" s="427">
        <v>49.769889999999997</v>
      </c>
      <c r="M386" s="427">
        <v>49.87621</v>
      </c>
      <c r="N386" s="427">
        <v>49.982529999999997</v>
      </c>
      <c r="O386" s="427">
        <v>50.088850000000001</v>
      </c>
      <c r="P386" s="427">
        <v>50.195169999999997</v>
      </c>
      <c r="Q386" s="427">
        <v>50.301490000000001</v>
      </c>
      <c r="R386" s="427">
        <v>50.407809999999998</v>
      </c>
      <c r="S386" s="427">
        <v>50.514130000000002</v>
      </c>
      <c r="T386" s="427">
        <v>50.620449999999998</v>
      </c>
      <c r="V386" s="427">
        <f t="shared" ref="V386" si="41">SUM(H386:T386)/13</f>
        <v>49.982530000000004</v>
      </c>
    </row>
    <row r="387" spans="1:22">
      <c r="A387" s="427" t="str">
        <f t="shared" si="35"/>
        <v>KU</v>
      </c>
      <c r="B387" s="427" t="str">
        <f t="shared" si="36"/>
        <v>VA</v>
      </c>
      <c r="C387" s="427" t="str">
        <f t="shared" si="37"/>
        <v>E</v>
      </c>
      <c r="D387" s="427" t="s">
        <v>3422</v>
      </c>
      <c r="E387" s="427" t="str">
        <f t="shared" si="40"/>
        <v>364</v>
      </c>
      <c r="F387" s="756" t="s">
        <v>1789</v>
      </c>
      <c r="G387" s="426" t="str">
        <f t="shared" si="38"/>
        <v/>
      </c>
      <c r="H387" s="427">
        <v>13362.856465264</v>
      </c>
      <c r="I387" s="427">
        <v>13428.608135218001</v>
      </c>
      <c r="J387" s="427">
        <v>13494.429035171999</v>
      </c>
      <c r="K387" s="427">
        <v>13560.324325125999</v>
      </c>
      <c r="L387" s="427">
        <v>13626.29872508</v>
      </c>
      <c r="M387" s="427">
        <v>13692.341225034001</v>
      </c>
      <c r="N387" s="427">
        <v>13758.452914988</v>
      </c>
      <c r="O387" s="427">
        <v>13824.630154942</v>
      </c>
      <c r="P387" s="427">
        <v>13890.863164896</v>
      </c>
      <c r="Q387" s="427">
        <v>13957.166770991</v>
      </c>
      <c r="R387" s="427">
        <v>14019.161903398001</v>
      </c>
      <c r="S387" s="427">
        <v>14081.219115804999</v>
      </c>
      <c r="T387" s="427">
        <v>14145.532665056</v>
      </c>
      <c r="V387" s="427">
        <f t="shared" si="39"/>
        <v>13757.068046228462</v>
      </c>
    </row>
    <row r="388" spans="1:22">
      <c r="A388" s="427" t="str">
        <f t="shared" si="35"/>
        <v>KU</v>
      </c>
      <c r="B388" s="427" t="str">
        <f t="shared" si="36"/>
        <v>KY</v>
      </c>
      <c r="C388" s="427" t="str">
        <f t="shared" si="37"/>
        <v>E</v>
      </c>
      <c r="D388" s="427" t="s">
        <v>3422</v>
      </c>
      <c r="E388" s="427" t="str">
        <f t="shared" si="40"/>
        <v>365</v>
      </c>
      <c r="F388" s="756" t="s">
        <v>2212</v>
      </c>
      <c r="G388" s="426" t="str">
        <f t="shared" si="38"/>
        <v>ECR</v>
      </c>
      <c r="H388" s="427">
        <v>3.1969645225000001</v>
      </c>
      <c r="I388" s="427">
        <v>3.2455399747499998</v>
      </c>
      <c r="J388" s="427">
        <v>3.2941154269999999</v>
      </c>
      <c r="K388" s="427">
        <v>3.3426908792500001</v>
      </c>
      <c r="L388" s="427">
        <v>3.3912663314999998</v>
      </c>
      <c r="M388" s="427">
        <v>3.4398417837499999</v>
      </c>
      <c r="N388" s="427">
        <v>3.4884172360000001</v>
      </c>
      <c r="O388" s="427">
        <v>3.5369926882499998</v>
      </c>
      <c r="P388" s="427">
        <v>3.5855681404999999</v>
      </c>
      <c r="Q388" s="427">
        <v>3.6341435927500001</v>
      </c>
      <c r="R388" s="427">
        <v>3.6827190449999998</v>
      </c>
      <c r="S388" s="427">
        <v>3.73129449725</v>
      </c>
      <c r="T388" s="427">
        <v>3.7798699495000001</v>
      </c>
      <c r="V388" s="427">
        <f t="shared" si="39"/>
        <v>3.4884172360000005</v>
      </c>
    </row>
    <row r="389" spans="1:22">
      <c r="A389" s="427" t="str">
        <f t="shared" si="35"/>
        <v>KU</v>
      </c>
      <c r="B389" s="427" t="str">
        <f t="shared" si="36"/>
        <v>KY</v>
      </c>
      <c r="C389" s="427" t="str">
        <f t="shared" si="37"/>
        <v>E</v>
      </c>
      <c r="D389" s="427" t="s">
        <v>3422</v>
      </c>
      <c r="E389" s="427" t="str">
        <f t="shared" si="40"/>
        <v>365</v>
      </c>
      <c r="F389" s="756" t="s">
        <v>1790</v>
      </c>
      <c r="G389" s="426" t="str">
        <f t="shared" si="38"/>
        <v/>
      </c>
      <c r="H389" s="427">
        <v>110064.220651993</v>
      </c>
      <c r="I389" s="427">
        <v>110045.450370349</v>
      </c>
      <c r="J389" s="427">
        <v>110439.85450992201</v>
      </c>
      <c r="K389" s="427">
        <v>109464.565747078</v>
      </c>
      <c r="L389" s="427">
        <v>108799.338644663</v>
      </c>
      <c r="M389" s="427">
        <v>109373.91525475201</v>
      </c>
      <c r="N389" s="427">
        <v>109714.569513373</v>
      </c>
      <c r="O389" s="427">
        <v>110329.10807299599</v>
      </c>
      <c r="P389" s="427">
        <v>110222.883560509</v>
      </c>
      <c r="Q389" s="427">
        <v>110903.22513224299</v>
      </c>
      <c r="R389" s="427">
        <v>111107.20169681701</v>
      </c>
      <c r="S389" s="427">
        <v>111411.013061926</v>
      </c>
      <c r="T389" s="427">
        <v>111650.994315713</v>
      </c>
      <c r="V389" s="427">
        <f t="shared" si="39"/>
        <v>110271.2569640257</v>
      </c>
    </row>
    <row r="390" spans="1:22">
      <c r="A390" s="427" t="str">
        <f t="shared" si="35"/>
        <v>KU</v>
      </c>
      <c r="B390" s="427" t="str">
        <f t="shared" si="36"/>
        <v>TN</v>
      </c>
      <c r="C390" s="427" t="str">
        <f t="shared" si="37"/>
        <v>E</v>
      </c>
      <c r="D390" s="427" t="s">
        <v>3422</v>
      </c>
      <c r="E390" s="427" t="str">
        <f t="shared" si="40"/>
        <v>365</v>
      </c>
      <c r="F390" s="756" t="s">
        <v>1791</v>
      </c>
      <c r="G390" s="426" t="str">
        <f t="shared" si="38"/>
        <v/>
      </c>
      <c r="H390" s="427">
        <v>54.203219999999902</v>
      </c>
      <c r="I390" s="427">
        <v>54.2994699999999</v>
      </c>
      <c r="J390" s="427">
        <v>54.395719999999798</v>
      </c>
      <c r="K390" s="427">
        <v>54.491969999999803</v>
      </c>
      <c r="L390" s="427">
        <v>54.588219999999801</v>
      </c>
      <c r="M390" s="427">
        <v>54.684469999999799</v>
      </c>
      <c r="N390" s="427">
        <v>54.780719999999803</v>
      </c>
      <c r="O390" s="427">
        <v>54.876969999999801</v>
      </c>
      <c r="P390" s="427">
        <v>54.973219999999799</v>
      </c>
      <c r="Q390" s="427">
        <v>55.069469999999797</v>
      </c>
      <c r="R390" s="427">
        <v>55.165719999999801</v>
      </c>
      <c r="S390" s="427">
        <v>55.261969999999799</v>
      </c>
      <c r="T390" s="427">
        <v>55.358219999999797</v>
      </c>
      <c r="V390" s="427">
        <f t="shared" si="39"/>
        <v>54.780719999999825</v>
      </c>
    </row>
    <row r="391" spans="1:22">
      <c r="A391" s="427" t="str">
        <f t="shared" si="35"/>
        <v>KU</v>
      </c>
      <c r="B391" s="427" t="str">
        <f t="shared" si="36"/>
        <v>VA</v>
      </c>
      <c r="C391" s="427" t="str">
        <f t="shared" si="37"/>
        <v>E</v>
      </c>
      <c r="D391" s="427" t="s">
        <v>3422</v>
      </c>
      <c r="E391" s="427" t="str">
        <f t="shared" si="40"/>
        <v>365</v>
      </c>
      <c r="F391" s="756" t="s">
        <v>1792</v>
      </c>
      <c r="G391" s="426" t="str">
        <f t="shared" si="38"/>
        <v/>
      </c>
      <c r="H391" s="427">
        <v>8829.8243061050998</v>
      </c>
      <c r="I391" s="427">
        <v>8875.2663854331004</v>
      </c>
      <c r="J391" s="427">
        <v>8928.9429329810991</v>
      </c>
      <c r="K391" s="427">
        <v>8926.3967592111094</v>
      </c>
      <c r="L391" s="427">
        <v>8980.6464790731097</v>
      </c>
      <c r="M391" s="427">
        <v>9036.3659089811008</v>
      </c>
      <c r="N391" s="427">
        <v>9084.5185883090999</v>
      </c>
      <c r="O391" s="427">
        <v>9138.1365654216006</v>
      </c>
      <c r="P391" s="427">
        <v>9196.6776453756102</v>
      </c>
      <c r="Q391" s="427">
        <v>9251.0793836606008</v>
      </c>
      <c r="R391" s="427">
        <v>9302.7563242935994</v>
      </c>
      <c r="S391" s="427">
        <v>9353.6889778666009</v>
      </c>
      <c r="T391" s="427">
        <v>9409.7147161516004</v>
      </c>
      <c r="V391" s="427">
        <f t="shared" si="39"/>
        <v>9101.0780748356428</v>
      </c>
    </row>
    <row r="392" spans="1:22">
      <c r="A392" s="427" t="str">
        <f t="shared" si="35"/>
        <v>KU</v>
      </c>
      <c r="B392" s="427" t="str">
        <f t="shared" si="36"/>
        <v>KY</v>
      </c>
      <c r="C392" s="427" t="str">
        <f t="shared" si="37"/>
        <v>E</v>
      </c>
      <c r="D392" s="427" t="s">
        <v>3422</v>
      </c>
      <c r="E392" s="427" t="str">
        <f t="shared" si="40"/>
        <v>366</v>
      </c>
      <c r="F392" s="756" t="s">
        <v>2213</v>
      </c>
      <c r="G392" s="426" t="str">
        <f t="shared" si="38"/>
        <v>ECR</v>
      </c>
      <c r="H392" s="427">
        <v>20.162708719999902</v>
      </c>
      <c r="I392" s="427">
        <v>20.4933135919999</v>
      </c>
      <c r="J392" s="427">
        <v>20.823918463999899</v>
      </c>
      <c r="K392" s="427">
        <v>21.154523335999901</v>
      </c>
      <c r="L392" s="427">
        <v>21.4851282079999</v>
      </c>
      <c r="M392" s="427">
        <v>21.815733079999902</v>
      </c>
      <c r="N392" s="427">
        <v>22.1463379519999</v>
      </c>
      <c r="O392" s="427">
        <v>22.476942823999899</v>
      </c>
      <c r="P392" s="427">
        <v>22.807547695999901</v>
      </c>
      <c r="Q392" s="427">
        <v>23.138152567999899</v>
      </c>
      <c r="R392" s="427">
        <v>23.468757439999901</v>
      </c>
      <c r="S392" s="427">
        <v>23.7993623119999</v>
      </c>
      <c r="T392" s="427">
        <v>24.129967183999899</v>
      </c>
      <c r="V392" s="427">
        <f t="shared" si="39"/>
        <v>22.1463379519999</v>
      </c>
    </row>
    <row r="393" spans="1:22">
      <c r="A393" s="427" t="str">
        <f t="shared" si="35"/>
        <v>KU</v>
      </c>
      <c r="B393" s="427" t="str">
        <f t="shared" si="36"/>
        <v>KY</v>
      </c>
      <c r="C393" s="427" t="str">
        <f t="shared" si="37"/>
        <v>E</v>
      </c>
      <c r="D393" s="427" t="s">
        <v>3422</v>
      </c>
      <c r="E393" s="427" t="str">
        <f t="shared" si="40"/>
        <v>366</v>
      </c>
      <c r="F393" s="756" t="s">
        <v>1793</v>
      </c>
      <c r="G393" s="426" t="str">
        <f t="shared" si="38"/>
        <v/>
      </c>
      <c r="H393" s="427">
        <v>1004.88186999999</v>
      </c>
      <c r="I393" s="427">
        <v>1009.17213999999</v>
      </c>
      <c r="J393" s="427">
        <v>1013.46240999999</v>
      </c>
      <c r="K393" s="427">
        <v>1017.7526799999901</v>
      </c>
      <c r="L393" s="427">
        <v>1022.04294999999</v>
      </c>
      <c r="M393" s="427">
        <v>1026.33321999999</v>
      </c>
      <c r="N393" s="427">
        <v>1030.6234899999899</v>
      </c>
      <c r="O393" s="427">
        <v>1034.9137599999899</v>
      </c>
      <c r="P393" s="427">
        <v>1039.2040299999901</v>
      </c>
      <c r="Q393" s="427">
        <v>1043.4942999999901</v>
      </c>
      <c r="R393" s="427">
        <v>1047.78456999999</v>
      </c>
      <c r="S393" s="427">
        <v>1052.07483999999</v>
      </c>
      <c r="T393" s="427">
        <v>1056.36510999999</v>
      </c>
      <c r="V393" s="427">
        <f t="shared" si="39"/>
        <v>1030.6234899999899</v>
      </c>
    </row>
    <row r="394" spans="1:22">
      <c r="A394" s="427" t="str">
        <f t="shared" ref="A394:A457" si="42">MID($F394,4,2)</f>
        <v>KU</v>
      </c>
      <c r="B394" s="427" t="str">
        <f t="shared" si="36"/>
        <v>KY</v>
      </c>
      <c r="C394" s="427" t="str">
        <f t="shared" si="37"/>
        <v>E</v>
      </c>
      <c r="D394" s="427" t="s">
        <v>3422</v>
      </c>
      <c r="E394" s="427" t="str">
        <f t="shared" si="40"/>
        <v>367</v>
      </c>
      <c r="F394" s="756" t="s">
        <v>2214</v>
      </c>
      <c r="G394" s="426" t="str">
        <f t="shared" si="38"/>
        <v>ECR</v>
      </c>
      <c r="H394" s="427">
        <v>146.81757624100001</v>
      </c>
      <c r="I394" s="427">
        <v>149.5029598651</v>
      </c>
      <c r="J394" s="427">
        <v>152.18834348920001</v>
      </c>
      <c r="K394" s="427">
        <v>154.87372711329999</v>
      </c>
      <c r="L394" s="427">
        <v>157.5591107374</v>
      </c>
      <c r="M394" s="427">
        <v>160.24449436149999</v>
      </c>
      <c r="N394" s="427">
        <v>162.9298779856</v>
      </c>
      <c r="O394" s="427">
        <v>165.61526160970001</v>
      </c>
      <c r="P394" s="427">
        <v>168.3006452338</v>
      </c>
      <c r="Q394" s="427">
        <v>170.98602885790001</v>
      </c>
      <c r="R394" s="427">
        <v>173.67141248199999</v>
      </c>
      <c r="S394" s="427">
        <v>176.35679610610001</v>
      </c>
      <c r="T394" s="427">
        <v>179.04217973019999</v>
      </c>
      <c r="V394" s="427">
        <f t="shared" si="39"/>
        <v>162.9298779856</v>
      </c>
    </row>
    <row r="395" spans="1:22">
      <c r="A395" s="427" t="str">
        <f t="shared" si="42"/>
        <v>KU</v>
      </c>
      <c r="B395" s="427" t="str">
        <f t="shared" si="36"/>
        <v>KY</v>
      </c>
      <c r="C395" s="427" t="str">
        <f t="shared" si="37"/>
        <v>E</v>
      </c>
      <c r="D395" s="427" t="s">
        <v>3422</v>
      </c>
      <c r="E395" s="427" t="str">
        <f t="shared" si="40"/>
        <v>367</v>
      </c>
      <c r="F395" s="756" t="s">
        <v>1794</v>
      </c>
      <c r="G395" s="426" t="str">
        <f t="shared" si="38"/>
        <v/>
      </c>
      <c r="H395" s="427">
        <v>52203.052667052703</v>
      </c>
      <c r="I395" s="427">
        <v>52580.2322764809</v>
      </c>
      <c r="J395" s="427">
        <v>52984.6977381752</v>
      </c>
      <c r="K395" s="427">
        <v>53373.029405051297</v>
      </c>
      <c r="L395" s="427">
        <v>53763.0024921941</v>
      </c>
      <c r="M395" s="427">
        <v>54168.7369659787</v>
      </c>
      <c r="N395" s="427">
        <v>54570.557765241101</v>
      </c>
      <c r="O395" s="427">
        <v>54981.114262994801</v>
      </c>
      <c r="P395" s="427">
        <v>55303.331750726698</v>
      </c>
      <c r="Q395" s="427">
        <v>55709.945531163998</v>
      </c>
      <c r="R395" s="427">
        <v>56127.5259897988</v>
      </c>
      <c r="S395" s="427">
        <v>56550.994304998298</v>
      </c>
      <c r="T395" s="427">
        <v>56967.281910485101</v>
      </c>
      <c r="V395" s="427">
        <f t="shared" si="39"/>
        <v>54560.269466180129</v>
      </c>
    </row>
    <row r="396" spans="1:22">
      <c r="A396" s="427" t="str">
        <f t="shared" si="42"/>
        <v>KU</v>
      </c>
      <c r="B396" s="427" t="str">
        <f t="shared" si="36"/>
        <v>VA</v>
      </c>
      <c r="C396" s="427" t="str">
        <f t="shared" si="37"/>
        <v>E</v>
      </c>
      <c r="D396" s="427" t="s">
        <v>3422</v>
      </c>
      <c r="E396" s="427" t="str">
        <f t="shared" si="40"/>
        <v>367</v>
      </c>
      <c r="F396" s="756" t="s">
        <v>1795</v>
      </c>
      <c r="G396" s="426" t="str">
        <f t="shared" si="38"/>
        <v/>
      </c>
      <c r="H396" s="427">
        <v>783.56073830219998</v>
      </c>
      <c r="I396" s="427">
        <v>791.255798256199</v>
      </c>
      <c r="J396" s="427">
        <v>799.03122821019997</v>
      </c>
      <c r="K396" s="427">
        <v>802.50685767619996</v>
      </c>
      <c r="L396" s="427">
        <v>810.47654763019898</v>
      </c>
      <c r="M396" s="427">
        <v>820.73444763019904</v>
      </c>
      <c r="N396" s="427">
        <v>828.89893758419896</v>
      </c>
      <c r="O396" s="427">
        <v>839.34287758419896</v>
      </c>
      <c r="P396" s="427">
        <v>849.83372758419898</v>
      </c>
      <c r="Q396" s="427">
        <v>860.399957584199</v>
      </c>
      <c r="R396" s="427">
        <v>866.69837683519904</v>
      </c>
      <c r="S396" s="427">
        <v>875.27706293019901</v>
      </c>
      <c r="T396" s="427">
        <v>880.66171875919895</v>
      </c>
      <c r="V396" s="427">
        <f t="shared" si="39"/>
        <v>831.43679050512219</v>
      </c>
    </row>
    <row r="397" spans="1:22">
      <c r="A397" s="427" t="str">
        <f t="shared" si="42"/>
        <v>KU</v>
      </c>
      <c r="B397" s="427" t="str">
        <f t="shared" si="36"/>
        <v>KY</v>
      </c>
      <c r="C397" s="427" t="str">
        <f t="shared" si="37"/>
        <v>E</v>
      </c>
      <c r="D397" s="427" t="s">
        <v>3422</v>
      </c>
      <c r="E397" s="427" t="str">
        <f t="shared" si="40"/>
        <v>368</v>
      </c>
      <c r="F397" s="756" t="s">
        <v>1796</v>
      </c>
      <c r="G397" s="426" t="str">
        <f t="shared" si="38"/>
        <v/>
      </c>
      <c r="H397" s="427">
        <v>144833.11167688301</v>
      </c>
      <c r="I397" s="427">
        <v>144929.209940734</v>
      </c>
      <c r="J397" s="427">
        <v>145244.36589809399</v>
      </c>
      <c r="K397" s="427">
        <v>144890.79014233599</v>
      </c>
      <c r="L397" s="427">
        <v>144691.988400759</v>
      </c>
      <c r="M397" s="427">
        <v>145121.957375575</v>
      </c>
      <c r="N397" s="427">
        <v>145375.54250629499</v>
      </c>
      <c r="O397" s="427">
        <v>145769.86831136901</v>
      </c>
      <c r="P397" s="427">
        <v>145835.482422189</v>
      </c>
      <c r="Q397" s="427">
        <v>146279.833211641</v>
      </c>
      <c r="R397" s="427">
        <v>146470.68805314801</v>
      </c>
      <c r="S397" s="427">
        <v>146731.59468168599</v>
      </c>
      <c r="T397" s="427">
        <v>146940.833550162</v>
      </c>
      <c r="V397" s="427">
        <f t="shared" si="39"/>
        <v>145624.25124391317</v>
      </c>
    </row>
    <row r="398" spans="1:22">
      <c r="A398" s="427" t="str">
        <f t="shared" si="42"/>
        <v>KU</v>
      </c>
      <c r="B398" s="427" t="str">
        <f t="shared" si="36"/>
        <v>TN</v>
      </c>
      <c r="C398" s="427" t="str">
        <f t="shared" si="37"/>
        <v>E</v>
      </c>
      <c r="D398" s="427" t="s">
        <v>3422</v>
      </c>
      <c r="E398" s="427" t="str">
        <f t="shared" si="40"/>
        <v>368</v>
      </c>
      <c r="F398" s="756" t="s">
        <v>1797</v>
      </c>
      <c r="G398" s="426" t="str">
        <f t="shared" si="38"/>
        <v/>
      </c>
      <c r="H398" s="427">
        <v>5.2735099999999804</v>
      </c>
      <c r="I398" s="427">
        <v>5.2781599999999802</v>
      </c>
      <c r="J398" s="427">
        <v>5.28280999999998</v>
      </c>
      <c r="K398" s="427">
        <v>5.2874599999999798</v>
      </c>
      <c r="L398" s="427">
        <v>5.2921099999999797</v>
      </c>
      <c r="M398" s="427">
        <v>5.2967599999999804</v>
      </c>
      <c r="N398" s="427">
        <v>5.3014099999999802</v>
      </c>
      <c r="O398" s="427">
        <v>5.30605999999998</v>
      </c>
      <c r="P398" s="427">
        <v>5.3107099999999798</v>
      </c>
      <c r="Q398" s="427">
        <v>5.3153599999999797</v>
      </c>
      <c r="R398" s="427">
        <v>5.3200099999999697</v>
      </c>
      <c r="S398" s="427">
        <v>5.3246599999999704</v>
      </c>
      <c r="T398" s="427">
        <v>5.3293099999999702</v>
      </c>
      <c r="V398" s="427">
        <f t="shared" si="39"/>
        <v>5.3014099999999775</v>
      </c>
    </row>
    <row r="399" spans="1:22">
      <c r="A399" s="427" t="str">
        <f t="shared" si="42"/>
        <v>KU</v>
      </c>
      <c r="B399" s="427" t="str">
        <f t="shared" si="36"/>
        <v>VA</v>
      </c>
      <c r="C399" s="427" t="str">
        <f t="shared" si="37"/>
        <v>E</v>
      </c>
      <c r="D399" s="427" t="s">
        <v>3422</v>
      </c>
      <c r="E399" s="427" t="str">
        <f t="shared" si="40"/>
        <v>368</v>
      </c>
      <c r="F399" s="756" t="s">
        <v>1798</v>
      </c>
      <c r="G399" s="426" t="str">
        <f t="shared" si="38"/>
        <v/>
      </c>
      <c r="H399" s="427">
        <v>5592.3664707459902</v>
      </c>
      <c r="I399" s="427">
        <v>5608.99472074599</v>
      </c>
      <c r="J399" s="427">
        <v>5625.6306407459897</v>
      </c>
      <c r="K399" s="427">
        <v>5642.27370074599</v>
      </c>
      <c r="L399" s="427">
        <v>5656.7336106999901</v>
      </c>
      <c r="M399" s="427">
        <v>5671.20026065399</v>
      </c>
      <c r="N399" s="427">
        <v>5685.6762106079996</v>
      </c>
      <c r="O399" s="427">
        <v>5702.35156060799</v>
      </c>
      <c r="P399" s="427">
        <v>5719.0310906079903</v>
      </c>
      <c r="Q399" s="427">
        <v>5735.7164206079997</v>
      </c>
      <c r="R399" s="427">
        <v>5752.4100806079996</v>
      </c>
      <c r="S399" s="427">
        <v>5766.9300967029903</v>
      </c>
      <c r="T399" s="427">
        <v>5781.4559027979903</v>
      </c>
      <c r="V399" s="427">
        <f t="shared" si="39"/>
        <v>5687.751597452223</v>
      </c>
    </row>
    <row r="400" spans="1:22">
      <c r="A400" s="427" t="str">
        <f t="shared" si="42"/>
        <v>KU</v>
      </c>
      <c r="B400" s="427" t="str">
        <f t="shared" si="36"/>
        <v>KY</v>
      </c>
      <c r="C400" s="427" t="str">
        <f t="shared" si="37"/>
        <v>E</v>
      </c>
      <c r="D400" s="427" t="s">
        <v>3422</v>
      </c>
      <c r="E400" s="427" t="str">
        <f t="shared" si="40"/>
        <v>369</v>
      </c>
      <c r="F400" s="756" t="s">
        <v>1799</v>
      </c>
      <c r="G400" s="426" t="str">
        <f t="shared" si="38"/>
        <v/>
      </c>
      <c r="H400" s="427">
        <v>62120.297059999997</v>
      </c>
      <c r="I400" s="427">
        <v>62267.880720000001</v>
      </c>
      <c r="J400" s="427">
        <v>62415.464379999998</v>
      </c>
      <c r="K400" s="427">
        <v>62563.048040000001</v>
      </c>
      <c r="L400" s="427">
        <v>62710.631699999998</v>
      </c>
      <c r="M400" s="427">
        <v>62858.215360000002</v>
      </c>
      <c r="N400" s="427">
        <v>63005.799019999999</v>
      </c>
      <c r="O400" s="427">
        <v>63153.382680000002</v>
      </c>
      <c r="P400" s="427">
        <v>63301.002869999997</v>
      </c>
      <c r="Q400" s="427">
        <v>63448.65958</v>
      </c>
      <c r="R400" s="427">
        <v>63596.316290000002</v>
      </c>
      <c r="S400" s="427">
        <v>63743.972999999998</v>
      </c>
      <c r="T400" s="427">
        <v>63891.629710000001</v>
      </c>
      <c r="V400" s="427">
        <f t="shared" si="39"/>
        <v>63005.869262307686</v>
      </c>
    </row>
    <row r="401" spans="1:22">
      <c r="A401" s="427" t="str">
        <f t="shared" si="42"/>
        <v>KU</v>
      </c>
      <c r="B401" s="427" t="str">
        <f t="shared" si="36"/>
        <v>TN</v>
      </c>
      <c r="C401" s="427" t="str">
        <f t="shared" si="37"/>
        <v>E</v>
      </c>
      <c r="D401" s="427" t="s">
        <v>3422</v>
      </c>
      <c r="E401" s="427" t="str">
        <f t="shared" si="40"/>
        <v>369</v>
      </c>
      <c r="F401" s="756" t="s">
        <v>1800</v>
      </c>
      <c r="G401" s="426" t="str">
        <f t="shared" si="38"/>
        <v/>
      </c>
      <c r="H401" s="427">
        <v>1.1547499999999999</v>
      </c>
      <c r="I401" s="427">
        <v>1.1551</v>
      </c>
      <c r="J401" s="427">
        <v>1.1554500000000001</v>
      </c>
      <c r="K401" s="427">
        <v>1.1557999999999999</v>
      </c>
      <c r="L401" s="427">
        <v>1.15615</v>
      </c>
      <c r="M401" s="427">
        <v>1.1565000000000001</v>
      </c>
      <c r="N401" s="427">
        <v>1.1568499999999999</v>
      </c>
      <c r="O401" s="427">
        <v>1.1572</v>
      </c>
      <c r="P401" s="427">
        <v>1.1575500000000001</v>
      </c>
      <c r="Q401" s="427">
        <v>1.1578999999999999</v>
      </c>
      <c r="R401" s="427">
        <v>1.15825</v>
      </c>
      <c r="S401" s="427">
        <v>1.1586000000000001</v>
      </c>
      <c r="T401" s="427">
        <v>1.1589499999999999</v>
      </c>
      <c r="V401" s="427">
        <f t="shared" si="39"/>
        <v>1.1568499999999999</v>
      </c>
    </row>
    <row r="402" spans="1:22">
      <c r="A402" s="427" t="str">
        <f t="shared" si="42"/>
        <v>KU</v>
      </c>
      <c r="B402" s="427" t="str">
        <f t="shared" si="36"/>
        <v>VA</v>
      </c>
      <c r="C402" s="427" t="str">
        <f t="shared" si="37"/>
        <v>E</v>
      </c>
      <c r="D402" s="427" t="s">
        <v>3422</v>
      </c>
      <c r="E402" s="427" t="str">
        <f t="shared" si="40"/>
        <v>369</v>
      </c>
      <c r="F402" s="756" t="s">
        <v>1801</v>
      </c>
      <c r="G402" s="426" t="str">
        <f t="shared" si="38"/>
        <v/>
      </c>
      <c r="H402" s="427">
        <v>4392.3588599999903</v>
      </c>
      <c r="I402" s="427">
        <v>4400.3091099999901</v>
      </c>
      <c r="J402" s="427">
        <v>4408.25935999999</v>
      </c>
      <c r="K402" s="427">
        <v>4416.2096099999899</v>
      </c>
      <c r="L402" s="427">
        <v>4424.1598599999897</v>
      </c>
      <c r="M402" s="427">
        <v>4432.1101099999896</v>
      </c>
      <c r="N402" s="427">
        <v>4440.0603599999904</v>
      </c>
      <c r="O402" s="427">
        <v>4448.0106099999903</v>
      </c>
      <c r="P402" s="427">
        <v>4455.9608599999901</v>
      </c>
      <c r="Q402" s="427">
        <v>4463.91110999999</v>
      </c>
      <c r="R402" s="427">
        <v>4471.8613599999899</v>
      </c>
      <c r="S402" s="427">
        <v>4479.8116099999897</v>
      </c>
      <c r="T402" s="427">
        <v>4487.7618599999896</v>
      </c>
      <c r="V402" s="427">
        <f t="shared" si="39"/>
        <v>4440.0603599999895</v>
      </c>
    </row>
    <row r="403" spans="1:22">
      <c r="A403" s="427" t="str">
        <f t="shared" si="42"/>
        <v>KU</v>
      </c>
      <c r="B403" s="427" t="str">
        <f t="shared" si="36"/>
        <v>KY</v>
      </c>
      <c r="C403" s="427" t="str">
        <f t="shared" si="37"/>
        <v>E</v>
      </c>
      <c r="D403" s="427" t="s">
        <v>3422</v>
      </c>
      <c r="E403" s="427" t="str">
        <f t="shared" si="40"/>
        <v>370</v>
      </c>
      <c r="F403" s="756" t="s">
        <v>1802</v>
      </c>
      <c r="G403" s="426" t="str">
        <f t="shared" si="38"/>
        <v/>
      </c>
      <c r="H403" s="427">
        <v>40088.406600000002</v>
      </c>
      <c r="I403" s="427">
        <v>40321.270600000003</v>
      </c>
      <c r="J403" s="427">
        <v>40554.543740000001</v>
      </c>
      <c r="K403" s="427">
        <v>40788.213430000003</v>
      </c>
      <c r="L403" s="427">
        <v>41022.284780000002</v>
      </c>
      <c r="M403" s="427">
        <v>41256.701690000002</v>
      </c>
      <c r="N403" s="427">
        <v>41491.452689999998</v>
      </c>
      <c r="O403" s="427">
        <v>41726.60903</v>
      </c>
      <c r="P403" s="427">
        <v>41963.190369999997</v>
      </c>
      <c r="Q403" s="427">
        <v>42201.075349999999</v>
      </c>
      <c r="R403" s="427">
        <v>42439.379249999998</v>
      </c>
      <c r="S403" s="427">
        <v>42678.156929999997</v>
      </c>
      <c r="T403" s="427">
        <v>42917.28746</v>
      </c>
      <c r="V403" s="427">
        <f t="shared" si="39"/>
        <v>41496.043993846157</v>
      </c>
    </row>
    <row r="404" spans="1:22">
      <c r="A404" s="427" t="str">
        <f t="shared" si="42"/>
        <v>KU</v>
      </c>
      <c r="B404" s="427" t="str">
        <f t="shared" si="36"/>
        <v>KY</v>
      </c>
      <c r="C404" s="427" t="str">
        <f t="shared" si="37"/>
        <v>E</v>
      </c>
      <c r="D404" s="427" t="s">
        <v>3422</v>
      </c>
      <c r="E404" s="427" t="str">
        <f t="shared" si="40"/>
        <v>370</v>
      </c>
      <c r="F404" s="756" t="s">
        <v>2505</v>
      </c>
      <c r="G404" s="426" t="str">
        <f t="shared" si="38"/>
        <v>DSM</v>
      </c>
      <c r="H404" s="427">
        <v>192.22854967000001</v>
      </c>
      <c r="I404" s="427">
        <v>199.82824563700001</v>
      </c>
      <c r="J404" s="427">
        <v>207.42794160400001</v>
      </c>
      <c r="K404" s="427">
        <v>215.02763757100001</v>
      </c>
      <c r="L404" s="427">
        <v>222.62733353799999</v>
      </c>
      <c r="M404" s="427">
        <v>230.22702950499999</v>
      </c>
      <c r="N404" s="427">
        <v>237.82672547199999</v>
      </c>
      <c r="O404" s="427">
        <v>245.42642143899999</v>
      </c>
      <c r="P404" s="427">
        <v>253.026117406</v>
      </c>
      <c r="Q404" s="427">
        <v>260.62581337300003</v>
      </c>
      <c r="R404" s="427">
        <v>268.22550933999997</v>
      </c>
      <c r="S404" s="427">
        <v>275.82520530699998</v>
      </c>
      <c r="T404" s="427">
        <v>283.42490127399998</v>
      </c>
      <c r="V404" s="427">
        <f t="shared" si="39"/>
        <v>237.82672547200002</v>
      </c>
    </row>
    <row r="405" spans="1:22">
      <c r="A405" s="427" t="str">
        <f t="shared" si="42"/>
        <v>KU</v>
      </c>
      <c r="B405" s="427" t="str">
        <f t="shared" si="36"/>
        <v>TN</v>
      </c>
      <c r="C405" s="427" t="str">
        <f t="shared" si="37"/>
        <v>E</v>
      </c>
      <c r="D405" s="427" t="s">
        <v>3422</v>
      </c>
      <c r="E405" s="427" t="str">
        <f t="shared" si="40"/>
        <v>370</v>
      </c>
      <c r="F405" s="756" t="s">
        <v>1803</v>
      </c>
      <c r="G405" s="426" t="str">
        <f t="shared" si="38"/>
        <v/>
      </c>
      <c r="H405" s="427">
        <v>0.66612000000000005</v>
      </c>
      <c r="I405" s="427">
        <v>0.68093999999999999</v>
      </c>
      <c r="J405" s="427">
        <v>0.69576000000000005</v>
      </c>
      <c r="K405" s="427">
        <v>0.71057999999999999</v>
      </c>
      <c r="L405" s="427">
        <v>0.72540000000000004</v>
      </c>
      <c r="M405" s="427">
        <v>0.74021999999999999</v>
      </c>
      <c r="N405" s="427">
        <v>0.75504000000000004</v>
      </c>
      <c r="O405" s="427">
        <v>0.76985999999999999</v>
      </c>
      <c r="P405" s="427">
        <v>0.78468000000000004</v>
      </c>
      <c r="Q405" s="427">
        <v>0.79950000000000099</v>
      </c>
      <c r="R405" s="427">
        <v>0.81432000000000104</v>
      </c>
      <c r="S405" s="427">
        <v>0.82914000000000099</v>
      </c>
      <c r="T405" s="427">
        <v>0.84396000000000104</v>
      </c>
      <c r="V405" s="427">
        <f t="shared" si="39"/>
        <v>0.75504000000000038</v>
      </c>
    </row>
    <row r="406" spans="1:22">
      <c r="A406" s="427" t="str">
        <f t="shared" si="42"/>
        <v>KU</v>
      </c>
      <c r="B406" s="427" t="str">
        <f t="shared" si="36"/>
        <v>VA</v>
      </c>
      <c r="C406" s="427" t="str">
        <f t="shared" si="37"/>
        <v>E</v>
      </c>
      <c r="D406" s="427" t="s">
        <v>3422</v>
      </c>
      <c r="E406" s="427" t="str">
        <f t="shared" si="40"/>
        <v>370</v>
      </c>
      <c r="F406" s="756" t="s">
        <v>1804</v>
      </c>
      <c r="G406" s="426" t="str">
        <f t="shared" si="38"/>
        <v/>
      </c>
      <c r="H406" s="427">
        <v>2745.67516999999</v>
      </c>
      <c r="I406" s="427">
        <v>2757.2867299999898</v>
      </c>
      <c r="J406" s="427">
        <v>2768.8982899999901</v>
      </c>
      <c r="K406" s="427">
        <v>2780.5098499999899</v>
      </c>
      <c r="L406" s="427">
        <v>2792.1214099999902</v>
      </c>
      <c r="M406" s="427">
        <v>2803.73296999999</v>
      </c>
      <c r="N406" s="427">
        <v>2815.3445299999898</v>
      </c>
      <c r="O406" s="427">
        <v>2826.9560899999901</v>
      </c>
      <c r="P406" s="427">
        <v>2838.56764999999</v>
      </c>
      <c r="Q406" s="427">
        <v>2850.1792099999898</v>
      </c>
      <c r="R406" s="427">
        <v>2861.7907699999901</v>
      </c>
      <c r="S406" s="427">
        <v>2873.4023299999899</v>
      </c>
      <c r="T406" s="427">
        <v>2885.0138899999902</v>
      </c>
      <c r="V406" s="427">
        <f t="shared" si="39"/>
        <v>2815.3445299999898</v>
      </c>
    </row>
    <row r="407" spans="1:22">
      <c r="A407" s="427" t="str">
        <f t="shared" si="42"/>
        <v>KU</v>
      </c>
      <c r="B407" s="427" t="str">
        <f t="shared" ref="B407:B470" si="43">IF(MID($F407,12,2)="- ","KY",IF(MID($F407,12,2)="SY","KY",MID($F407,12,2)))</f>
        <v>KY</v>
      </c>
      <c r="C407" s="427" t="str">
        <f t="shared" si="37"/>
        <v>E</v>
      </c>
      <c r="D407" s="427" t="s">
        <v>3422</v>
      </c>
      <c r="E407" s="427" t="str">
        <f t="shared" si="40"/>
        <v>371</v>
      </c>
      <c r="F407" s="756" t="s">
        <v>1805</v>
      </c>
      <c r="G407" s="426" t="str">
        <f t="shared" si="38"/>
        <v/>
      </c>
      <c r="H407" s="427">
        <v>8.5540000000000005E-2</v>
      </c>
      <c r="I407" s="427">
        <v>8.9219999999999994E-2</v>
      </c>
      <c r="J407" s="427">
        <v>9.2899999999999996E-2</v>
      </c>
      <c r="K407" s="427">
        <v>9.6579999999999999E-2</v>
      </c>
      <c r="L407" s="427">
        <v>0.10026</v>
      </c>
      <c r="M407" s="427">
        <v>0.10394</v>
      </c>
      <c r="N407" s="427">
        <v>0.10761999999999999</v>
      </c>
      <c r="O407" s="427">
        <v>0.1113</v>
      </c>
      <c r="P407" s="427">
        <v>0.11498</v>
      </c>
      <c r="Q407" s="427">
        <v>0.11866</v>
      </c>
      <c r="R407" s="427">
        <v>0.12234</v>
      </c>
      <c r="S407" s="427">
        <v>0.12601999999999999</v>
      </c>
      <c r="T407" s="427">
        <v>0.12970000000000001</v>
      </c>
      <c r="V407" s="427">
        <f t="shared" si="39"/>
        <v>0.10762000000000002</v>
      </c>
    </row>
    <row r="408" spans="1:22">
      <c r="A408" s="427" t="str">
        <f t="shared" si="42"/>
        <v>KU</v>
      </c>
      <c r="B408" s="427" t="str">
        <f t="shared" si="43"/>
        <v>KY</v>
      </c>
      <c r="C408" s="427" t="str">
        <f t="shared" si="37"/>
        <v>E</v>
      </c>
      <c r="D408" s="427" t="s">
        <v>3422</v>
      </c>
      <c r="E408" s="427" t="str">
        <f t="shared" si="40"/>
        <v>371</v>
      </c>
      <c r="F408" s="756" t="s">
        <v>2669</v>
      </c>
      <c r="G408" s="426" t="str">
        <f t="shared" si="38"/>
        <v/>
      </c>
      <c r="H408" s="427">
        <v>8.6664999999999992</v>
      </c>
      <c r="I408" s="427">
        <v>9.8108599999999893</v>
      </c>
      <c r="J408" s="427">
        <v>10.955219999999899</v>
      </c>
      <c r="K408" s="427">
        <v>12.0995799999999</v>
      </c>
      <c r="L408" s="427">
        <v>13.243939999999901</v>
      </c>
      <c r="M408" s="427">
        <v>14.3882999999999</v>
      </c>
      <c r="N408" s="427">
        <v>15.5326599999999</v>
      </c>
      <c r="O408" s="427">
        <v>16.677019999999899</v>
      </c>
      <c r="P408" s="427">
        <v>17.821379999999898</v>
      </c>
      <c r="Q408" s="427">
        <v>18.965739999999901</v>
      </c>
      <c r="R408" s="427">
        <v>20.1100999999999</v>
      </c>
      <c r="S408" s="427">
        <v>21.254459999999899</v>
      </c>
      <c r="T408" s="427">
        <v>22.398819999999901</v>
      </c>
      <c r="V408" s="427">
        <f t="shared" si="39"/>
        <v>15.532659999999916</v>
      </c>
    </row>
    <row r="409" spans="1:22">
      <c r="A409" s="427" t="str">
        <f t="shared" si="42"/>
        <v>KU</v>
      </c>
      <c r="B409" s="427" t="str">
        <f t="shared" si="43"/>
        <v>KY</v>
      </c>
      <c r="C409" s="427" t="str">
        <f t="shared" si="37"/>
        <v>E</v>
      </c>
      <c r="D409" s="427" t="s">
        <v>3422</v>
      </c>
      <c r="E409" s="427" t="str">
        <f t="shared" si="40"/>
        <v>373</v>
      </c>
      <c r="F409" s="756" t="s">
        <v>1806</v>
      </c>
      <c r="G409" s="426" t="str">
        <f t="shared" si="38"/>
        <v/>
      </c>
      <c r="H409" s="427">
        <v>44302.153535661098</v>
      </c>
      <c r="I409" s="427">
        <v>44313.117734522297</v>
      </c>
      <c r="J409" s="427">
        <v>44563.441719106297</v>
      </c>
      <c r="K409" s="427">
        <v>44101.715569177497</v>
      </c>
      <c r="L409" s="427">
        <v>43797.492018392702</v>
      </c>
      <c r="M409" s="427">
        <v>44159.9975400127</v>
      </c>
      <c r="N409" s="427">
        <v>44334.350165027899</v>
      </c>
      <c r="O409" s="427">
        <v>44663.264246233899</v>
      </c>
      <c r="P409" s="427">
        <v>44639.915929445102</v>
      </c>
      <c r="Q409" s="427">
        <v>45013.642519327601</v>
      </c>
      <c r="R409" s="427">
        <v>45124.385123251799</v>
      </c>
      <c r="S409" s="427">
        <v>45305.679882089302</v>
      </c>
      <c r="T409" s="427">
        <v>45436.368956923798</v>
      </c>
      <c r="V409" s="427">
        <f t="shared" si="39"/>
        <v>44596.578841474773</v>
      </c>
    </row>
    <row r="410" spans="1:22">
      <c r="A410" s="427" t="str">
        <f t="shared" si="42"/>
        <v>KU</v>
      </c>
      <c r="B410" s="427" t="str">
        <f t="shared" si="43"/>
        <v>VA</v>
      </c>
      <c r="C410" s="427" t="str">
        <f t="shared" si="37"/>
        <v>E</v>
      </c>
      <c r="D410" s="427" t="s">
        <v>3422</v>
      </c>
      <c r="E410" s="427" t="str">
        <f t="shared" si="40"/>
        <v>373</v>
      </c>
      <c r="F410" s="756" t="s">
        <v>1807</v>
      </c>
      <c r="G410" s="426" t="str">
        <f t="shared" si="38"/>
        <v/>
      </c>
      <c r="H410" s="427">
        <v>1873.959167965</v>
      </c>
      <c r="I410" s="427">
        <v>1886.9530079650001</v>
      </c>
      <c r="J410" s="427">
        <v>1895.622467873</v>
      </c>
      <c r="K410" s="427">
        <v>1906.542587827</v>
      </c>
      <c r="L410" s="427">
        <v>1915.3386977350001</v>
      </c>
      <c r="M410" s="427">
        <v>1928.581727735</v>
      </c>
      <c r="N410" s="427">
        <v>1939.6892976889999</v>
      </c>
      <c r="O410" s="427">
        <v>1950.839407643</v>
      </c>
      <c r="P410" s="427">
        <v>1964.213687643</v>
      </c>
      <c r="Q410" s="427">
        <v>1975.455543738</v>
      </c>
      <c r="R410" s="427">
        <v>1986.763379833</v>
      </c>
      <c r="S410" s="427">
        <v>1998.137185928</v>
      </c>
      <c r="T410" s="427">
        <v>2007.3893381180001</v>
      </c>
      <c r="V410" s="427">
        <f t="shared" si="39"/>
        <v>1940.7296536686154</v>
      </c>
    </row>
    <row r="411" spans="1:22">
      <c r="A411" s="427" t="str">
        <f t="shared" si="42"/>
        <v>KU</v>
      </c>
      <c r="B411" s="427" t="str">
        <f t="shared" si="43"/>
        <v>KY</v>
      </c>
      <c r="C411" s="427" t="str">
        <f t="shared" ref="C411:C474" si="44">IF(ISTEXT(MID($F411,SEARCH("FUTURE USE",$F411),3)),"F",IF(MID($F411,7,1)="1","E",IF(MID($F411,7,1)="2","G",IF(MID($F411,7,1)="3","C",""))))</f>
        <v>E</v>
      </c>
      <c r="D411" s="427" t="s">
        <v>3422</v>
      </c>
      <c r="E411" s="427" t="str">
        <f t="shared" si="40"/>
        <v>374</v>
      </c>
      <c r="F411" s="756" t="s">
        <v>1808</v>
      </c>
      <c r="G411" s="426" t="str">
        <f t="shared" si="38"/>
        <v>ARO</v>
      </c>
      <c r="H411" s="427">
        <v>126.69125</v>
      </c>
      <c r="I411" s="427">
        <v>127.55944</v>
      </c>
      <c r="J411" s="427">
        <v>128.42762999999999</v>
      </c>
      <c r="K411" s="427">
        <v>129.29581999999999</v>
      </c>
      <c r="L411" s="427">
        <v>130.16400999999999</v>
      </c>
      <c r="M411" s="427">
        <v>131.03219999999999</v>
      </c>
      <c r="N411" s="427">
        <v>131.90038999999999</v>
      </c>
      <c r="O411" s="427">
        <v>132.76857999999999</v>
      </c>
      <c r="P411" s="427">
        <v>133.63676999999899</v>
      </c>
      <c r="Q411" s="427">
        <v>133.75361452110999</v>
      </c>
      <c r="R411" s="427">
        <v>133.870459042221</v>
      </c>
      <c r="S411" s="427">
        <v>133.98730356333201</v>
      </c>
      <c r="T411" s="427">
        <v>134.10414808444199</v>
      </c>
      <c r="V411" s="427">
        <f t="shared" si="39"/>
        <v>131.32243193931569</v>
      </c>
    </row>
    <row r="412" spans="1:22">
      <c r="A412" s="427" t="str">
        <f t="shared" si="42"/>
        <v>KU</v>
      </c>
      <c r="B412" s="427" t="str">
        <f t="shared" si="43"/>
        <v>KY</v>
      </c>
      <c r="C412" s="427" t="str">
        <f t="shared" si="44"/>
        <v>E</v>
      </c>
      <c r="D412" s="427" t="s">
        <v>3422</v>
      </c>
      <c r="E412" s="427" t="str">
        <f t="shared" si="40"/>
        <v>390</v>
      </c>
      <c r="F412" s="756" t="s">
        <v>1811</v>
      </c>
      <c r="G412" s="426" t="str">
        <f t="shared" si="38"/>
        <v/>
      </c>
      <c r="H412" s="427">
        <v>800.62573073999999</v>
      </c>
      <c r="I412" s="427">
        <v>806.53746074000003</v>
      </c>
      <c r="J412" s="427">
        <v>812.44919073999995</v>
      </c>
      <c r="K412" s="427">
        <v>818.36092073999998</v>
      </c>
      <c r="L412" s="427">
        <v>824.27265074000002</v>
      </c>
      <c r="M412" s="427">
        <v>830.18438074000005</v>
      </c>
      <c r="N412" s="427">
        <v>836.09611073999997</v>
      </c>
      <c r="O412" s="427">
        <v>842.00784074000001</v>
      </c>
      <c r="P412" s="427">
        <v>847.91957074000004</v>
      </c>
      <c r="Q412" s="427">
        <v>853.83130073999996</v>
      </c>
      <c r="R412" s="427">
        <v>859.74303073999999</v>
      </c>
      <c r="S412" s="427">
        <v>865.65476074000003</v>
      </c>
      <c r="T412" s="427">
        <v>871.56649073999995</v>
      </c>
      <c r="V412" s="427">
        <f t="shared" si="39"/>
        <v>836.09611074000009</v>
      </c>
    </row>
    <row r="413" spans="1:22">
      <c r="A413" s="427" t="str">
        <f t="shared" si="42"/>
        <v>KU</v>
      </c>
      <c r="B413" s="427" t="str">
        <f t="shared" si="43"/>
        <v>KY</v>
      </c>
      <c r="C413" s="427" t="str">
        <f t="shared" si="44"/>
        <v>E</v>
      </c>
      <c r="D413" s="427" t="s">
        <v>3422</v>
      </c>
      <c r="E413" s="427" t="str">
        <f t="shared" si="40"/>
        <v>390</v>
      </c>
      <c r="F413" s="756" t="s">
        <v>1812</v>
      </c>
      <c r="G413" s="426" t="str">
        <f t="shared" si="38"/>
        <v/>
      </c>
      <c r="H413" s="427">
        <v>13441.939494278</v>
      </c>
      <c r="I413" s="427">
        <v>13551.955831718</v>
      </c>
      <c r="J413" s="427">
        <v>13693.187071718001</v>
      </c>
      <c r="K413" s="427">
        <v>13841.974761718</v>
      </c>
      <c r="L413" s="427">
        <v>13990.953661718</v>
      </c>
      <c r="M413" s="427">
        <v>14140.514241718</v>
      </c>
      <c r="N413" s="427">
        <v>14291.209471718001</v>
      </c>
      <c r="O413" s="427">
        <v>14444.142541718</v>
      </c>
      <c r="P413" s="427">
        <v>14600.508651718001</v>
      </c>
      <c r="Q413" s="427">
        <v>14758.814321718</v>
      </c>
      <c r="R413" s="427">
        <v>14917.159751718</v>
      </c>
      <c r="S413" s="427">
        <v>15075.540171717999</v>
      </c>
      <c r="T413" s="427">
        <v>15233.953361718</v>
      </c>
      <c r="V413" s="427">
        <f t="shared" si="39"/>
        <v>14306.296410376461</v>
      </c>
    </row>
    <row r="414" spans="1:22">
      <c r="A414" s="427" t="str">
        <f t="shared" si="42"/>
        <v>KU</v>
      </c>
      <c r="B414" s="427" t="str">
        <f t="shared" si="43"/>
        <v>VA</v>
      </c>
      <c r="C414" s="427" t="str">
        <f t="shared" si="44"/>
        <v>E</v>
      </c>
      <c r="D414" s="427" t="s">
        <v>3422</v>
      </c>
      <c r="E414" s="427" t="str">
        <f t="shared" si="40"/>
        <v>390</v>
      </c>
      <c r="F414" s="756" t="s">
        <v>1813</v>
      </c>
      <c r="G414" s="426" t="str">
        <f t="shared" si="38"/>
        <v/>
      </c>
      <c r="H414" s="427">
        <v>378.93187</v>
      </c>
      <c r="I414" s="427">
        <v>381.46436999999997</v>
      </c>
      <c r="J414" s="427">
        <v>384.21261999999899</v>
      </c>
      <c r="K414" s="427">
        <v>391.50377999999898</v>
      </c>
      <c r="L414" s="427">
        <v>403.36702999999898</v>
      </c>
      <c r="M414" s="427">
        <v>415.25944999999899</v>
      </c>
      <c r="N414" s="427">
        <v>427.15186999999997</v>
      </c>
      <c r="O414" s="427">
        <v>439.04428999999999</v>
      </c>
      <c r="P414" s="427">
        <v>450.93671000000001</v>
      </c>
      <c r="Q414" s="427">
        <v>462.82913000000002</v>
      </c>
      <c r="R414" s="427">
        <v>474.72154999999998</v>
      </c>
      <c r="S414" s="427">
        <v>486.61396999999999</v>
      </c>
      <c r="T414" s="427">
        <v>498.50639000000001</v>
      </c>
      <c r="V414" s="427">
        <f t="shared" si="39"/>
        <v>430.34946384615364</v>
      </c>
    </row>
    <row r="415" spans="1:22">
      <c r="A415" s="427" t="str">
        <f t="shared" si="42"/>
        <v>KU</v>
      </c>
      <c r="B415" s="427" t="str">
        <f t="shared" si="43"/>
        <v>KY</v>
      </c>
      <c r="C415" s="427" t="str">
        <f t="shared" si="44"/>
        <v>E</v>
      </c>
      <c r="D415" s="427" t="s">
        <v>3422</v>
      </c>
      <c r="E415" s="427" t="str">
        <f t="shared" si="40"/>
        <v>391</v>
      </c>
      <c r="F415" s="756" t="s">
        <v>1814</v>
      </c>
      <c r="G415" s="426" t="str">
        <f t="shared" si="38"/>
        <v/>
      </c>
      <c r="H415" s="427">
        <v>965.50981000000002</v>
      </c>
      <c r="I415" s="427">
        <v>1087.4525699999999</v>
      </c>
      <c r="J415" s="427">
        <v>1209.3953300000001</v>
      </c>
      <c r="K415" s="427">
        <v>1331.33809</v>
      </c>
      <c r="L415" s="427">
        <v>1453.2808499999901</v>
      </c>
      <c r="M415" s="427">
        <v>1524.5883799999999</v>
      </c>
      <c r="N415" s="427">
        <v>885.75821999999903</v>
      </c>
      <c r="O415" s="427">
        <v>993.86123999999995</v>
      </c>
      <c r="P415" s="427">
        <v>1126.28675</v>
      </c>
      <c r="Q415" s="427">
        <v>1237.46226</v>
      </c>
      <c r="R415" s="427">
        <v>1370.34168</v>
      </c>
      <c r="S415" s="427">
        <v>1503.2211</v>
      </c>
      <c r="T415" s="427">
        <v>1636.10052</v>
      </c>
      <c r="V415" s="427">
        <f t="shared" si="39"/>
        <v>1255.7382153846147</v>
      </c>
    </row>
    <row r="416" spans="1:22">
      <c r="A416" s="427" t="str">
        <f t="shared" si="42"/>
        <v>KU</v>
      </c>
      <c r="B416" s="427" t="str">
        <f t="shared" si="43"/>
        <v>KY</v>
      </c>
      <c r="C416" s="427" t="str">
        <f t="shared" si="44"/>
        <v>E</v>
      </c>
      <c r="D416" s="427" t="s">
        <v>3422</v>
      </c>
      <c r="E416" s="427" t="str">
        <f t="shared" si="40"/>
        <v>391</v>
      </c>
      <c r="F416" s="756" t="s">
        <v>1815</v>
      </c>
      <c r="G416" s="426" t="str">
        <f t="shared" si="38"/>
        <v/>
      </c>
      <c r="H416" s="427">
        <v>21502.246810000001</v>
      </c>
      <c r="I416" s="427">
        <v>20148.747480000002</v>
      </c>
      <c r="J416" s="427">
        <v>19588.105769999998</v>
      </c>
      <c r="K416" s="427">
        <v>19692.1474099999</v>
      </c>
      <c r="L416" s="427">
        <v>19202.343949999999</v>
      </c>
      <c r="M416" s="427">
        <v>19494.80774</v>
      </c>
      <c r="N416" s="427">
        <v>19181.528539999999</v>
      </c>
      <c r="O416" s="427">
        <v>19362.733099999899</v>
      </c>
      <c r="P416" s="427">
        <v>19267.9044499999</v>
      </c>
      <c r="Q416" s="427">
        <v>18819.950849999899</v>
      </c>
      <c r="R416" s="427">
        <v>17420.0912299999</v>
      </c>
      <c r="S416" s="427">
        <v>17452.028369999902</v>
      </c>
      <c r="T416" s="427">
        <v>17687.990249999901</v>
      </c>
      <c r="V416" s="427">
        <f t="shared" si="39"/>
        <v>19140.048149999948</v>
      </c>
    </row>
    <row r="417" spans="1:22">
      <c r="A417" s="427" t="str">
        <f t="shared" si="42"/>
        <v>KU</v>
      </c>
      <c r="B417" s="427" t="str">
        <f t="shared" si="43"/>
        <v>VA</v>
      </c>
      <c r="C417" s="427" t="str">
        <f t="shared" si="44"/>
        <v>E</v>
      </c>
      <c r="D417" s="427" t="s">
        <v>3422</v>
      </c>
      <c r="E417" s="427" t="str">
        <f t="shared" si="40"/>
        <v>391</v>
      </c>
      <c r="F417" s="756" t="s">
        <v>1816</v>
      </c>
      <c r="G417" s="426" t="str">
        <f t="shared" si="38"/>
        <v/>
      </c>
      <c r="H417" s="427">
        <v>-0.30864999999999998</v>
      </c>
      <c r="I417" s="427">
        <v>-0.30864999999999998</v>
      </c>
      <c r="J417" s="427">
        <v>-0.30864999999999998</v>
      </c>
      <c r="K417" s="427">
        <v>-0.30864999999999998</v>
      </c>
      <c r="L417" s="427">
        <v>-0.30864999999999998</v>
      </c>
      <c r="M417" s="427">
        <v>-0.30864999999999998</v>
      </c>
      <c r="N417" s="427">
        <v>-0.30864999999999998</v>
      </c>
      <c r="O417" s="427">
        <v>-0.30864999999999998</v>
      </c>
      <c r="P417" s="427">
        <v>-0.30864999999999998</v>
      </c>
      <c r="Q417" s="427">
        <v>-0.30864999999999998</v>
      </c>
      <c r="R417" s="427">
        <v>-0.30864999999999998</v>
      </c>
      <c r="S417" s="427">
        <v>-0.30864999999999998</v>
      </c>
      <c r="T417" s="427">
        <v>-0.30864999999999998</v>
      </c>
      <c r="V417" s="427">
        <f t="shared" si="39"/>
        <v>-0.30865000000000004</v>
      </c>
    </row>
    <row r="418" spans="1:22">
      <c r="A418" s="427" t="str">
        <f t="shared" si="42"/>
        <v>KU</v>
      </c>
      <c r="B418" s="427" t="str">
        <f t="shared" si="43"/>
        <v>KY</v>
      </c>
      <c r="C418" s="427" t="str">
        <f t="shared" si="44"/>
        <v>E</v>
      </c>
      <c r="D418" s="427" t="s">
        <v>3422</v>
      </c>
      <c r="E418" s="427" t="str">
        <f t="shared" si="40"/>
        <v>392</v>
      </c>
      <c r="F418" s="756" t="s">
        <v>1817</v>
      </c>
      <c r="G418" s="426" t="str">
        <f t="shared" si="38"/>
        <v>ECR</v>
      </c>
      <c r="H418" s="427">
        <v>19.722366045000001</v>
      </c>
      <c r="I418" s="427">
        <v>19.754220649499999</v>
      </c>
      <c r="J418" s="427">
        <v>19.786075254</v>
      </c>
      <c r="K418" s="427">
        <v>19.817929858500001</v>
      </c>
      <c r="L418" s="427">
        <v>19.849784462999999</v>
      </c>
      <c r="M418" s="427">
        <v>19.8816390675</v>
      </c>
      <c r="N418" s="427">
        <v>19.913493672000001</v>
      </c>
      <c r="O418" s="427">
        <v>19.945348276499999</v>
      </c>
      <c r="P418" s="427">
        <v>19.977202881</v>
      </c>
      <c r="Q418" s="427">
        <v>20.009057485500001</v>
      </c>
      <c r="R418" s="427">
        <v>20.040912089999999</v>
      </c>
      <c r="S418" s="427">
        <v>20.0727666945</v>
      </c>
      <c r="T418" s="427">
        <v>20.104621299000001</v>
      </c>
      <c r="V418" s="427">
        <f t="shared" si="39"/>
        <v>19.913493672000001</v>
      </c>
    </row>
    <row r="419" spans="1:22">
      <c r="A419" s="427" t="str">
        <f t="shared" si="42"/>
        <v>KU</v>
      </c>
      <c r="B419" s="427" t="str">
        <f t="shared" si="43"/>
        <v>KY</v>
      </c>
      <c r="C419" s="427" t="str">
        <f t="shared" si="44"/>
        <v>E</v>
      </c>
      <c r="D419" s="427" t="s">
        <v>3422</v>
      </c>
      <c r="E419" s="427" t="str">
        <f t="shared" si="40"/>
        <v>392</v>
      </c>
      <c r="F419" s="756" t="s">
        <v>1818</v>
      </c>
      <c r="G419" s="426" t="str">
        <f t="shared" si="38"/>
        <v/>
      </c>
      <c r="H419" s="427">
        <v>4262.3955592509901</v>
      </c>
      <c r="I419" s="427">
        <v>4280.68901925099</v>
      </c>
      <c r="J419" s="427">
        <v>4298.9824792509899</v>
      </c>
      <c r="K419" s="427">
        <v>4317.2759392509897</v>
      </c>
      <c r="L419" s="427">
        <v>4335.5693992509896</v>
      </c>
      <c r="M419" s="427">
        <v>4353.8628592509904</v>
      </c>
      <c r="N419" s="427">
        <v>4372.1563192509902</v>
      </c>
      <c r="O419" s="427">
        <v>4390.4497792509901</v>
      </c>
      <c r="P419" s="427">
        <v>4408.74323925099</v>
      </c>
      <c r="Q419" s="427">
        <v>4427.0366992509898</v>
      </c>
      <c r="R419" s="427">
        <v>4445.3301592509897</v>
      </c>
      <c r="S419" s="427">
        <v>4463.6236192509896</v>
      </c>
      <c r="T419" s="427">
        <v>4481.9170792509904</v>
      </c>
      <c r="V419" s="427">
        <f t="shared" ref="V419:V432" si="45">SUM(H419:T419)/13</f>
        <v>4372.1563192509893</v>
      </c>
    </row>
    <row r="420" spans="1:22">
      <c r="A420" s="427" t="str">
        <f t="shared" si="42"/>
        <v>KU</v>
      </c>
      <c r="B420" s="427" t="str">
        <f t="shared" si="43"/>
        <v>VA</v>
      </c>
      <c r="C420" s="427" t="str">
        <f t="shared" si="44"/>
        <v>E</v>
      </c>
      <c r="D420" s="427" t="s">
        <v>3422</v>
      </c>
      <c r="E420" s="427" t="str">
        <f t="shared" si="40"/>
        <v>392</v>
      </c>
      <c r="F420" s="756" t="s">
        <v>2507</v>
      </c>
      <c r="G420" s="426" t="str">
        <f t="shared" si="38"/>
        <v/>
      </c>
      <c r="H420" s="427">
        <v>0.35582999999999998</v>
      </c>
      <c r="I420" s="427">
        <v>0.38036999999999999</v>
      </c>
      <c r="J420" s="427">
        <v>0.40490999999999999</v>
      </c>
      <c r="K420" s="427">
        <v>0.42945</v>
      </c>
      <c r="L420" s="427">
        <v>0.45399</v>
      </c>
      <c r="M420" s="427">
        <v>0.47853000000000001</v>
      </c>
      <c r="N420" s="427">
        <v>0.50307000000000002</v>
      </c>
      <c r="O420" s="427">
        <v>0.52761000000000002</v>
      </c>
      <c r="P420" s="427">
        <v>0.55215000000000003</v>
      </c>
      <c r="Q420" s="427">
        <v>0.57669000000000004</v>
      </c>
      <c r="R420" s="427">
        <v>0.60123000000000004</v>
      </c>
      <c r="S420" s="427">
        <v>0.62577000000000005</v>
      </c>
      <c r="T420" s="427">
        <v>0.65031000000000005</v>
      </c>
      <c r="V420" s="427">
        <f t="shared" si="45"/>
        <v>0.50307000000000002</v>
      </c>
    </row>
    <row r="421" spans="1:22">
      <c r="A421" s="427" t="str">
        <f t="shared" si="42"/>
        <v>KU</v>
      </c>
      <c r="B421" s="427" t="str">
        <f t="shared" si="43"/>
        <v>KY</v>
      </c>
      <c r="C421" s="427" t="str">
        <f t="shared" si="44"/>
        <v>E</v>
      </c>
      <c r="D421" s="427" t="s">
        <v>3422</v>
      </c>
      <c r="E421" s="427" t="str">
        <f t="shared" si="40"/>
        <v>393</v>
      </c>
      <c r="F421" s="756" t="s">
        <v>1819</v>
      </c>
      <c r="G421" s="426" t="str">
        <f t="shared" si="38"/>
        <v/>
      </c>
      <c r="H421" s="427">
        <v>448.45141999999902</v>
      </c>
      <c r="I421" s="427">
        <v>438.79016999999902</v>
      </c>
      <c r="J421" s="427">
        <v>442.15267999999901</v>
      </c>
      <c r="K421" s="427">
        <v>445.515189999999</v>
      </c>
      <c r="L421" s="427">
        <v>447.27627999999902</v>
      </c>
      <c r="M421" s="427">
        <v>444.10082999999901</v>
      </c>
      <c r="N421" s="427">
        <v>436.739499999999</v>
      </c>
      <c r="O421" s="427">
        <v>440.03309999999902</v>
      </c>
      <c r="P421" s="427">
        <v>443.32669999999899</v>
      </c>
      <c r="Q421" s="427">
        <v>446.62029999999902</v>
      </c>
      <c r="R421" s="427">
        <v>449.91389999999899</v>
      </c>
      <c r="S421" s="427">
        <v>453.20749999999902</v>
      </c>
      <c r="T421" s="427">
        <v>456.50109999999898</v>
      </c>
      <c r="V421" s="427">
        <f t="shared" si="45"/>
        <v>445.58682076922963</v>
      </c>
    </row>
    <row r="422" spans="1:22">
      <c r="A422" s="427" t="str">
        <f t="shared" si="42"/>
        <v>KU</v>
      </c>
      <c r="B422" s="427" t="str">
        <f t="shared" si="43"/>
        <v>VA</v>
      </c>
      <c r="C422" s="427" t="str">
        <f t="shared" si="44"/>
        <v>E</v>
      </c>
      <c r="D422" s="427" t="s">
        <v>3422</v>
      </c>
      <c r="E422" s="427" t="str">
        <f t="shared" si="40"/>
        <v>393</v>
      </c>
      <c r="F422" s="756" t="s">
        <v>1820</v>
      </c>
      <c r="G422" s="426" t="str">
        <f t="shared" si="38"/>
        <v/>
      </c>
      <c r="H422" s="427">
        <v>0.22208</v>
      </c>
      <c r="I422" s="427">
        <v>0.22528999999999999</v>
      </c>
      <c r="J422" s="427">
        <v>0.22850000000000001</v>
      </c>
      <c r="K422" s="427">
        <v>0.23171</v>
      </c>
      <c r="L422" s="427">
        <v>0.23491999999999999</v>
      </c>
      <c r="M422" s="427">
        <v>0.23813000000000001</v>
      </c>
      <c r="N422" s="427">
        <v>0.24134</v>
      </c>
      <c r="O422" s="427">
        <v>0.24454999999999999</v>
      </c>
      <c r="P422" s="427">
        <v>0.24776000000000001</v>
      </c>
      <c r="Q422" s="427">
        <v>0.25097000000000003</v>
      </c>
      <c r="R422" s="427">
        <v>0.25418000000000002</v>
      </c>
      <c r="S422" s="427">
        <v>0.25739000000000001</v>
      </c>
      <c r="T422" s="427">
        <v>0.2606</v>
      </c>
      <c r="V422" s="427">
        <f t="shared" si="45"/>
        <v>0.24134</v>
      </c>
    </row>
    <row r="423" spans="1:22">
      <c r="A423" s="427" t="str">
        <f t="shared" si="42"/>
        <v>KU</v>
      </c>
      <c r="B423" s="427" t="str">
        <f t="shared" si="43"/>
        <v>KY</v>
      </c>
      <c r="C423" s="427" t="str">
        <f t="shared" si="44"/>
        <v>E</v>
      </c>
      <c r="D423" s="427" t="s">
        <v>3422</v>
      </c>
      <c r="E423" s="427" t="str">
        <f t="shared" si="40"/>
        <v>394</v>
      </c>
      <c r="F423" s="756" t="s">
        <v>1821</v>
      </c>
      <c r="G423" s="426" t="str">
        <f t="shared" si="38"/>
        <v/>
      </c>
      <c r="H423" s="427">
        <v>4711.3470600000001</v>
      </c>
      <c r="I423" s="427">
        <v>4759.5073199999997</v>
      </c>
      <c r="J423" s="427">
        <v>4795.4025700000002</v>
      </c>
      <c r="K423" s="427">
        <v>4845.3084099999996</v>
      </c>
      <c r="L423" s="427">
        <v>4876.3792400000002</v>
      </c>
      <c r="M423" s="427">
        <v>4909.5965200000001</v>
      </c>
      <c r="N423" s="427">
        <v>4963.2629499999903</v>
      </c>
      <c r="O423" s="427">
        <v>5016.3134999999902</v>
      </c>
      <c r="P423" s="427">
        <v>5060.9580900000001</v>
      </c>
      <c r="Q423" s="427">
        <v>5116.6959800000004</v>
      </c>
      <c r="R423" s="427">
        <v>5172.4614700000002</v>
      </c>
      <c r="S423" s="427">
        <v>5228.63321</v>
      </c>
      <c r="T423" s="427">
        <v>5270.6661699999904</v>
      </c>
      <c r="V423" s="427">
        <f t="shared" si="45"/>
        <v>4978.9640376923053</v>
      </c>
    </row>
    <row r="424" spans="1:22">
      <c r="A424" s="427" t="str">
        <f t="shared" si="42"/>
        <v>KU</v>
      </c>
      <c r="B424" s="427" t="str">
        <f t="shared" si="43"/>
        <v>VA</v>
      </c>
      <c r="C424" s="427" t="str">
        <f t="shared" si="44"/>
        <v>E</v>
      </c>
      <c r="D424" s="427" t="s">
        <v>3422</v>
      </c>
      <c r="E424" s="427" t="str">
        <f t="shared" si="40"/>
        <v>394</v>
      </c>
      <c r="F424" s="756" t="s">
        <v>1822</v>
      </c>
      <c r="G424" s="426" t="str">
        <f t="shared" si="38"/>
        <v/>
      </c>
      <c r="H424" s="427">
        <v>228.46715</v>
      </c>
      <c r="I424" s="427">
        <v>230.74662000000001</v>
      </c>
      <c r="J424" s="427">
        <v>233.04889</v>
      </c>
      <c r="K424" s="427">
        <v>235.37396000000001</v>
      </c>
      <c r="L424" s="427">
        <v>230.99171999999999</v>
      </c>
      <c r="M424" s="427">
        <v>233.33987999999999</v>
      </c>
      <c r="N424" s="427">
        <v>235.68804</v>
      </c>
      <c r="O424" s="427">
        <v>238.03620000000001</v>
      </c>
      <c r="P424" s="427">
        <v>234.09650999999999</v>
      </c>
      <c r="Q424" s="427">
        <v>236.42364000000001</v>
      </c>
      <c r="R424" s="427">
        <v>238.75076999999999</v>
      </c>
      <c r="S424" s="427">
        <v>241.09831</v>
      </c>
      <c r="T424" s="427">
        <v>243.46625</v>
      </c>
      <c r="V424" s="427">
        <f t="shared" si="45"/>
        <v>235.34830307692306</v>
      </c>
    </row>
    <row r="425" spans="1:22">
      <c r="A425" s="427" t="str">
        <f t="shared" si="42"/>
        <v>KU</v>
      </c>
      <c r="B425" s="427" t="str">
        <f t="shared" si="43"/>
        <v>KY</v>
      </c>
      <c r="C425" s="427" t="str">
        <f t="shared" si="44"/>
        <v>E</v>
      </c>
      <c r="D425" s="427" t="s">
        <v>3422</v>
      </c>
      <c r="E425" s="427" t="str">
        <f t="shared" si="40"/>
        <v>396</v>
      </c>
      <c r="F425" s="756" t="s">
        <v>1823</v>
      </c>
      <c r="G425" s="426" t="str">
        <f t="shared" ref="G425:G434" si="46">IF(ISTEXT(MID($F425,SEARCH("FUTURE USE",$F425),3)),"FUTURE USE",IF(ISTEXT(MID($F425,SEARCH("ECR",$F425),3)),"ECR",IF(ISTEXT(MID($F425,SEARCH("ARO",$F425),3)),"ARO",IF(ISTEXT(MID($F425,SEARCH("DSM",$F425),3)),"DSM",""))))</f>
        <v/>
      </c>
      <c r="H425" s="427">
        <v>289.21055999999999</v>
      </c>
      <c r="I425" s="427">
        <v>292.1454</v>
      </c>
      <c r="J425" s="427">
        <v>295.08024</v>
      </c>
      <c r="K425" s="427">
        <v>298.01508000000001</v>
      </c>
      <c r="L425" s="427">
        <v>300.94992000000002</v>
      </c>
      <c r="M425" s="427">
        <v>303.88476000000003</v>
      </c>
      <c r="N425" s="427">
        <v>306.81959999999998</v>
      </c>
      <c r="O425" s="427">
        <v>309.75443999999999</v>
      </c>
      <c r="P425" s="427">
        <v>312.68928</v>
      </c>
      <c r="Q425" s="427">
        <v>315.62412</v>
      </c>
      <c r="R425" s="427">
        <v>318.55896000000001</v>
      </c>
      <c r="S425" s="427">
        <v>321.49380000000002</v>
      </c>
      <c r="T425" s="427">
        <v>324.42863999999997</v>
      </c>
      <c r="V425" s="427">
        <f t="shared" si="45"/>
        <v>306.81960000000004</v>
      </c>
    </row>
    <row r="426" spans="1:22">
      <c r="A426" s="427" t="str">
        <f t="shared" si="42"/>
        <v>KU</v>
      </c>
      <c r="B426" s="427" t="str">
        <f t="shared" si="43"/>
        <v>KY</v>
      </c>
      <c r="C426" s="427" t="str">
        <f t="shared" si="44"/>
        <v>E</v>
      </c>
      <c r="D426" s="427" t="s">
        <v>3422</v>
      </c>
      <c r="E426" s="427" t="str">
        <f t="shared" si="40"/>
        <v>396</v>
      </c>
      <c r="F426" s="756" t="s">
        <v>2508</v>
      </c>
      <c r="G426" s="426" t="str">
        <f t="shared" si="46"/>
        <v/>
      </c>
      <c r="H426" s="427">
        <v>1007.9118099999999</v>
      </c>
      <c r="I426" s="427">
        <v>1023.1305599999999</v>
      </c>
      <c r="J426" s="427">
        <v>1038.3493100000001</v>
      </c>
      <c r="K426" s="427">
        <v>1053.5680600000001</v>
      </c>
      <c r="L426" s="427">
        <v>1068.7868100000001</v>
      </c>
      <c r="M426" s="427">
        <v>1084.0055600000001</v>
      </c>
      <c r="N426" s="427">
        <v>1099.2243100000001</v>
      </c>
      <c r="O426" s="427">
        <v>1114.4430600000001</v>
      </c>
      <c r="P426" s="427">
        <v>1129.6618100000001</v>
      </c>
      <c r="Q426" s="427">
        <v>1144.8805600000001</v>
      </c>
      <c r="R426" s="427">
        <v>1160.0993100000001</v>
      </c>
      <c r="S426" s="427">
        <v>1175.3180600000001</v>
      </c>
      <c r="T426" s="427">
        <v>1190.5368100000001</v>
      </c>
      <c r="V426" s="427">
        <f t="shared" si="45"/>
        <v>1099.2243099999998</v>
      </c>
    </row>
    <row r="427" spans="1:22">
      <c r="A427" s="427" t="str">
        <f t="shared" si="42"/>
        <v>KU</v>
      </c>
      <c r="B427" s="427" t="str">
        <f t="shared" si="43"/>
        <v>VA</v>
      </c>
      <c r="C427" s="427" t="str">
        <f t="shared" si="44"/>
        <v>E</v>
      </c>
      <c r="D427" s="427" t="s">
        <v>3422</v>
      </c>
      <c r="E427" s="427" t="str">
        <f t="shared" si="40"/>
        <v>396</v>
      </c>
      <c r="F427" s="756" t="s">
        <v>1824</v>
      </c>
      <c r="G427" s="426" t="str">
        <f t="shared" si="46"/>
        <v/>
      </c>
      <c r="H427" s="427">
        <v>0</v>
      </c>
      <c r="I427" s="427">
        <v>0</v>
      </c>
      <c r="J427" s="427">
        <v>0</v>
      </c>
      <c r="K427" s="427">
        <v>0</v>
      </c>
      <c r="L427" s="427">
        <v>0</v>
      </c>
      <c r="M427" s="427">
        <v>0</v>
      </c>
      <c r="N427" s="427">
        <v>0</v>
      </c>
      <c r="O427" s="427">
        <v>0</v>
      </c>
      <c r="P427" s="427">
        <v>0</v>
      </c>
      <c r="Q427" s="427">
        <v>0</v>
      </c>
      <c r="R427" s="427">
        <v>0</v>
      </c>
      <c r="S427" s="427">
        <v>0</v>
      </c>
      <c r="T427" s="427">
        <v>0</v>
      </c>
      <c r="V427" s="427">
        <f t="shared" si="45"/>
        <v>0</v>
      </c>
    </row>
    <row r="428" spans="1:22">
      <c r="A428" s="427" t="str">
        <f t="shared" si="42"/>
        <v>KU</v>
      </c>
      <c r="B428" s="427" t="str">
        <f t="shared" si="43"/>
        <v>VA</v>
      </c>
      <c r="C428" s="427" t="str">
        <f t="shared" si="44"/>
        <v>E</v>
      </c>
      <c r="D428" s="427" t="s">
        <v>3422</v>
      </c>
      <c r="E428" s="427" t="str">
        <f t="shared" si="40"/>
        <v>396</v>
      </c>
      <c r="F428" s="756" t="s">
        <v>2509</v>
      </c>
      <c r="G428" s="426" t="str">
        <f t="shared" si="46"/>
        <v/>
      </c>
      <c r="H428" s="427">
        <v>135.53406000000001</v>
      </c>
      <c r="I428" s="427">
        <v>136.86312000000001</v>
      </c>
      <c r="J428" s="427">
        <v>138.19218000000001</v>
      </c>
      <c r="K428" s="427">
        <v>139.52124000000001</v>
      </c>
      <c r="L428" s="427">
        <v>140.8503</v>
      </c>
      <c r="M428" s="427">
        <v>142.17936</v>
      </c>
      <c r="N428" s="427">
        <v>143.50842</v>
      </c>
      <c r="O428" s="427">
        <v>144.83748</v>
      </c>
      <c r="P428" s="427">
        <v>146.16654</v>
      </c>
      <c r="Q428" s="427">
        <v>147.4956</v>
      </c>
      <c r="R428" s="427">
        <v>148.82465999999999</v>
      </c>
      <c r="S428" s="427">
        <v>150.15371999999999</v>
      </c>
      <c r="T428" s="427">
        <v>151.48277999999999</v>
      </c>
      <c r="V428" s="427">
        <f t="shared" si="45"/>
        <v>143.50842</v>
      </c>
    </row>
    <row r="429" spans="1:22">
      <c r="A429" s="427" t="str">
        <f t="shared" si="42"/>
        <v>KU</v>
      </c>
      <c r="B429" s="427" t="str">
        <f t="shared" si="43"/>
        <v>KY</v>
      </c>
      <c r="C429" s="427" t="str">
        <f t="shared" si="44"/>
        <v>E</v>
      </c>
      <c r="D429" s="427" t="s">
        <v>3422</v>
      </c>
      <c r="E429" s="427" t="str">
        <f t="shared" si="40"/>
        <v>397</v>
      </c>
      <c r="F429" s="756" t="s">
        <v>1825</v>
      </c>
      <c r="G429" s="426" t="str">
        <f t="shared" si="46"/>
        <v>DSM</v>
      </c>
      <c r="H429" s="427">
        <v>3027.6392029899998</v>
      </c>
      <c r="I429" s="427">
        <v>3119.9915696999901</v>
      </c>
      <c r="J429" s="427">
        <v>3212.5883808199901</v>
      </c>
      <c r="K429" s="427">
        <v>3305.4296363499998</v>
      </c>
      <c r="L429" s="427">
        <v>3398.5153362799902</v>
      </c>
      <c r="M429" s="427">
        <v>3491.8454806199902</v>
      </c>
      <c r="N429" s="427">
        <v>3585.4200693599901</v>
      </c>
      <c r="O429" s="427">
        <v>3679.2391025099901</v>
      </c>
      <c r="P429" s="427">
        <v>3773.3025800599899</v>
      </c>
      <c r="Q429" s="427">
        <v>3867.50319088999</v>
      </c>
      <c r="R429" s="427">
        <v>3961.7336239199899</v>
      </c>
      <c r="S429" s="427">
        <v>4055.9938792099902</v>
      </c>
      <c r="T429" s="427">
        <v>4150.2839567599904</v>
      </c>
      <c r="V429" s="427">
        <f t="shared" si="45"/>
        <v>3586.8835391899916</v>
      </c>
    </row>
    <row r="430" spans="1:22">
      <c r="A430" s="427" t="str">
        <f t="shared" si="42"/>
        <v>KU</v>
      </c>
      <c r="B430" s="427" t="str">
        <f t="shared" si="43"/>
        <v>KY</v>
      </c>
      <c r="C430" s="427" t="str">
        <f t="shared" si="44"/>
        <v>E</v>
      </c>
      <c r="D430" s="427" t="s">
        <v>3422</v>
      </c>
      <c r="E430" s="427" t="str">
        <f t="shared" ref="E430:E493" si="47">MID($F430,8,3)</f>
        <v>397</v>
      </c>
      <c r="F430" s="756" t="s">
        <v>1826</v>
      </c>
      <c r="G430" s="426" t="str">
        <f t="shared" si="46"/>
        <v/>
      </c>
      <c r="H430" s="427">
        <v>25128.313709813701</v>
      </c>
      <c r="I430" s="427">
        <v>25474.3766998137</v>
      </c>
      <c r="J430" s="427">
        <v>25820.439689813698</v>
      </c>
      <c r="K430" s="427">
        <v>26166.502679813599</v>
      </c>
      <c r="L430" s="427">
        <v>26512.845619813601</v>
      </c>
      <c r="M430" s="427">
        <v>26860.076279813598</v>
      </c>
      <c r="N430" s="427">
        <v>27207.961769813599</v>
      </c>
      <c r="O430" s="427">
        <v>27558.4480598136</v>
      </c>
      <c r="P430" s="427">
        <v>27913.611339813699</v>
      </c>
      <c r="Q430" s="427">
        <v>28270.8978698137</v>
      </c>
      <c r="R430" s="427">
        <v>28628.184399813701</v>
      </c>
      <c r="S430" s="427">
        <v>28985.470929813699</v>
      </c>
      <c r="T430" s="427">
        <v>29342.7574598137</v>
      </c>
      <c r="V430" s="427">
        <f t="shared" si="45"/>
        <v>27220.760500582892</v>
      </c>
    </row>
    <row r="431" spans="1:22">
      <c r="A431" s="427" t="str">
        <f t="shared" si="42"/>
        <v>KU</v>
      </c>
      <c r="B431" s="427" t="str">
        <f t="shared" si="43"/>
        <v>VA</v>
      </c>
      <c r="C431" s="427" t="str">
        <f t="shared" si="44"/>
        <v>E</v>
      </c>
      <c r="D431" s="427" t="s">
        <v>3422</v>
      </c>
      <c r="E431" s="427" t="str">
        <f t="shared" si="47"/>
        <v>397</v>
      </c>
      <c r="F431" s="756" t="s">
        <v>1827</v>
      </c>
      <c r="G431" s="426" t="str">
        <f t="shared" si="46"/>
        <v/>
      </c>
      <c r="H431" s="427">
        <v>729.57014999999899</v>
      </c>
      <c r="I431" s="427">
        <v>735.46551999999895</v>
      </c>
      <c r="J431" s="427">
        <v>741.36088999999902</v>
      </c>
      <c r="K431" s="427">
        <v>747.25625999999897</v>
      </c>
      <c r="L431" s="427">
        <v>753.15162999999905</v>
      </c>
      <c r="M431" s="427">
        <v>759.046999999999</v>
      </c>
      <c r="N431" s="427">
        <v>764.94236999999896</v>
      </c>
      <c r="O431" s="427">
        <v>770.83773999999903</v>
      </c>
      <c r="P431" s="427">
        <v>776.73310999999899</v>
      </c>
      <c r="Q431" s="427">
        <v>782.62847999999894</v>
      </c>
      <c r="R431" s="427">
        <v>788.52384999999902</v>
      </c>
      <c r="S431" s="427">
        <v>794.41921999999897</v>
      </c>
      <c r="T431" s="427">
        <v>800.31458999999904</v>
      </c>
      <c r="V431" s="427">
        <f t="shared" si="45"/>
        <v>764.94236999999896</v>
      </c>
    </row>
    <row r="432" spans="1:22">
      <c r="A432" s="427" t="str">
        <f t="shared" si="42"/>
        <v>KY</v>
      </c>
      <c r="B432" s="427" t="str">
        <f t="shared" si="43"/>
        <v xml:space="preserve"> A</v>
      </c>
      <c r="C432" s="427" t="str">
        <f t="shared" si="44"/>
        <v/>
      </c>
      <c r="D432" s="427" t="s">
        <v>3422</v>
      </c>
      <c r="E432" s="427" t="str">
        <f t="shared" si="47"/>
        <v>lan</v>
      </c>
      <c r="F432" s="758" t="s">
        <v>1829</v>
      </c>
      <c r="G432" s="426" t="str">
        <f t="shared" si="46"/>
        <v/>
      </c>
      <c r="H432" s="427">
        <v>3408584.7862340491</v>
      </c>
      <c r="I432" s="427">
        <v>3432349.3390555149</v>
      </c>
      <c r="J432" s="427">
        <v>3458505.7441687109</v>
      </c>
      <c r="K432" s="427">
        <v>3484129.9590659156</v>
      </c>
      <c r="L432" s="427">
        <v>3507926.8021084843</v>
      </c>
      <c r="M432" s="427">
        <v>3523879.4774423442</v>
      </c>
      <c r="N432" s="427">
        <v>3549704.3659009454</v>
      </c>
      <c r="O432" s="427">
        <v>3574158.2477139635</v>
      </c>
      <c r="P432" s="427">
        <v>3557732.1200709483</v>
      </c>
      <c r="Q432" s="427">
        <v>3524863.1296542422</v>
      </c>
      <c r="R432" s="427">
        <v>3545868.3800816345</v>
      </c>
      <c r="S432" s="427">
        <v>3572236.0115319397</v>
      </c>
      <c r="T432" s="427">
        <v>3586430.0445990078</v>
      </c>
      <c r="V432" s="427">
        <f t="shared" si="45"/>
        <v>3517412.9544329001</v>
      </c>
    </row>
    <row r="433" spans="1:21">
      <c r="A433" s="427" t="str">
        <f t="shared" si="42"/>
        <v/>
      </c>
      <c r="B433" s="427" t="str">
        <f t="shared" si="43"/>
        <v/>
      </c>
      <c r="C433" s="427" t="str">
        <f t="shared" si="44"/>
        <v/>
      </c>
      <c r="G433" s="426" t="str">
        <f t="shared" si="46"/>
        <v/>
      </c>
      <c r="U433" s="427">
        <f t="shared" ref="U433:U475" si="48">SUM(I433:T433)</f>
        <v>0</v>
      </c>
    </row>
    <row r="434" spans="1:21">
      <c r="A434" s="427" t="str">
        <f t="shared" si="42"/>
        <v>al</v>
      </c>
      <c r="B434" s="427" t="str">
        <f t="shared" si="43"/>
        <v>ci</v>
      </c>
      <c r="C434" s="427" t="str">
        <f t="shared" si="44"/>
        <v/>
      </c>
      <c r="E434" s="427" t="str">
        <f t="shared" si="47"/>
        <v>epr</v>
      </c>
      <c r="F434" s="759" t="s">
        <v>1832</v>
      </c>
      <c r="G434" s="426" t="str">
        <f t="shared" si="46"/>
        <v/>
      </c>
      <c r="U434" s="427">
        <f t="shared" si="48"/>
        <v>0</v>
      </c>
    </row>
    <row r="435" spans="1:21">
      <c r="A435" s="427" t="str">
        <f t="shared" si="42"/>
        <v>KU</v>
      </c>
      <c r="B435" s="427" t="str">
        <f t="shared" si="43"/>
        <v>KY</v>
      </c>
      <c r="C435" s="427" t="str">
        <f t="shared" si="44"/>
        <v>E</v>
      </c>
      <c r="D435" s="427" t="s">
        <v>3434</v>
      </c>
      <c r="E435" s="427" t="str">
        <f t="shared" si="47"/>
        <v>302</v>
      </c>
      <c r="F435" s="756" t="s">
        <v>1725</v>
      </c>
      <c r="G435" s="426" t="str">
        <f>IF(ISTEXT(MID($F435,SEARCH("HYDRO PRODUCTION",$F435),9)),"HYDRO",IF(ISTEXT(MID($F435,SEARCH("OTHER PRODUCTION",$F435),9)),"OTHER",IF(ISTEXT(MID($F435,SEARCH("STEAM PRODUCTION",$F435),9)),"STEAM",IF(ISTEXT(MID($F435,SEARCH("TRANSMISSION",$F435),9)),"TRANSMISSION",IF(ISTEXT(MID($F435,SEARCH("DISTRIBUTION",$F435),9)),"DISTRIBUTION",IF(ISTEXT(MID($F435,SEARCH("COMMON",$F435),9)),"COMMON",IF(ISTEXT(MID($F435,SEARCH("GENERAL",$F435),9)),"GENERAL",IF(ISTEXT(MID($F435,SEARCH("INTANGIBLE",$F435),9)),"INTANGIBLE",IF(ISTEXT(MID($F435,SEARCH("STORAGE",$F435),3)),"STORAGE","")))))))))</f>
        <v>INTANGIBLE</v>
      </c>
      <c r="H435" s="427">
        <v>0.16914999999999999</v>
      </c>
      <c r="I435" s="427">
        <v>0.16914999999999999</v>
      </c>
      <c r="J435" s="427">
        <v>0.16914999999999999</v>
      </c>
      <c r="K435" s="427">
        <v>0.16914999999999999</v>
      </c>
      <c r="L435" s="427">
        <v>0.16914999999999999</v>
      </c>
      <c r="M435" s="427">
        <v>0.16914999999999999</v>
      </c>
      <c r="N435" s="427">
        <v>0.16914999999999999</v>
      </c>
      <c r="O435" s="427">
        <v>0.16914999999999999</v>
      </c>
      <c r="P435" s="427">
        <v>0.16914999999999999</v>
      </c>
      <c r="Q435" s="427">
        <v>0.16914999999999999</v>
      </c>
      <c r="R435" s="427">
        <v>0.16914999999999999</v>
      </c>
      <c r="S435" s="427">
        <v>0.16914999999999999</v>
      </c>
      <c r="T435" s="427">
        <v>0.16914999999999999</v>
      </c>
      <c r="U435" s="427">
        <f t="shared" si="48"/>
        <v>2.0297999999999994</v>
      </c>
    </row>
    <row r="436" spans="1:21">
      <c r="A436" s="427" t="str">
        <f t="shared" si="42"/>
        <v>KU</v>
      </c>
      <c r="B436" s="427" t="str">
        <f t="shared" si="43"/>
        <v>KY</v>
      </c>
      <c r="C436" s="427" t="str">
        <f t="shared" si="44"/>
        <v>E</v>
      </c>
      <c r="D436" s="427" t="s">
        <v>3434</v>
      </c>
      <c r="E436" s="427" t="str">
        <f t="shared" si="47"/>
        <v>303</v>
      </c>
      <c r="F436" s="756" t="s">
        <v>1726</v>
      </c>
      <c r="G436" s="426" t="str">
        <f t="shared" ref="G436:G499" si="49">IF(ISTEXT(MID($F436,SEARCH("HYDRO PRODUCTION",$F436),9)),"HYDRO",IF(ISTEXT(MID($F436,SEARCH("OTHER PRODUCTION",$F436),9)),"OTHER",IF(ISTEXT(MID($F436,SEARCH("STEAM PRODUCTION",$F436),9)),"STEAM",IF(ISTEXT(MID($F436,SEARCH("TRANSMISSION",$F436),9)),"TRANSMISSION",IF(ISTEXT(MID($F436,SEARCH("DISTRIBUTION",$F436),9)),"DISTRIBUTION",IF(ISTEXT(MID($F436,SEARCH("COMMON",$F436),9)),"COMMON",IF(ISTEXT(MID($F436,SEARCH("GENERAL",$F436),9)),"GENERAL",IF(ISTEXT(MID($F436,SEARCH("INTANGIBLE",$F436),9)),"INTANGIBLE",IF(ISTEXT(MID($F436,SEARCH("STORAGE",$F436),3)),"STORAGE","")))))))))</f>
        <v>INTANGIBLE</v>
      </c>
      <c r="H436" s="427">
        <v>1275.58</v>
      </c>
      <c r="I436" s="427">
        <v>1277.31375</v>
      </c>
      <c r="J436" s="427">
        <v>1333.67508</v>
      </c>
      <c r="K436" s="427">
        <v>1392.46101</v>
      </c>
      <c r="L436" s="427">
        <v>1392.64141</v>
      </c>
      <c r="M436" s="427">
        <v>1389.8728599999999</v>
      </c>
      <c r="N436" s="427">
        <v>1379.8361</v>
      </c>
      <c r="O436" s="427">
        <v>1347.7611399999901</v>
      </c>
      <c r="P436" s="427">
        <v>1343.83581</v>
      </c>
      <c r="Q436" s="427">
        <v>1352.6633099999999</v>
      </c>
      <c r="R436" s="427">
        <v>1321.5816</v>
      </c>
      <c r="S436" s="427">
        <v>1367.9400700000001</v>
      </c>
      <c r="T436" s="427">
        <v>1445.7274199999999</v>
      </c>
      <c r="U436" s="427">
        <f t="shared" si="48"/>
        <v>16345.309559999991</v>
      </c>
    </row>
    <row r="437" spans="1:21">
      <c r="A437" s="427" t="str">
        <f t="shared" si="42"/>
        <v>KU</v>
      </c>
      <c r="B437" s="427" t="str">
        <f t="shared" si="43"/>
        <v>KY</v>
      </c>
      <c r="C437" s="427" t="str">
        <f t="shared" si="44"/>
        <v>E</v>
      </c>
      <c r="D437" s="427" t="s">
        <v>3434</v>
      </c>
      <c r="E437" s="427" t="str">
        <f t="shared" si="47"/>
        <v>303</v>
      </c>
      <c r="F437" s="756" t="s">
        <v>1727</v>
      </c>
      <c r="G437" s="426" t="str">
        <f t="shared" si="49"/>
        <v>INTANGIBLE</v>
      </c>
      <c r="H437" s="427">
        <v>314.82144</v>
      </c>
      <c r="I437" s="427">
        <v>160.70299</v>
      </c>
      <c r="J437" s="427">
        <v>160.92839000000001</v>
      </c>
      <c r="K437" s="427">
        <v>160.92839000000001</v>
      </c>
      <c r="L437" s="427">
        <v>160.92839000000001</v>
      </c>
      <c r="M437" s="427">
        <v>160.92839000000001</v>
      </c>
      <c r="N437" s="427">
        <v>160.92839000000001</v>
      </c>
      <c r="O437" s="427">
        <v>160.92839000000001</v>
      </c>
      <c r="P437" s="427">
        <v>161.37432000000001</v>
      </c>
      <c r="Q437" s="427">
        <v>161.82025999999999</v>
      </c>
      <c r="R437" s="427">
        <v>162.22277</v>
      </c>
      <c r="S437" s="427">
        <v>162.62528</v>
      </c>
      <c r="T437" s="427">
        <v>163.30151000000001</v>
      </c>
      <c r="U437" s="427">
        <f t="shared" si="48"/>
        <v>1937.6174700000004</v>
      </c>
    </row>
    <row r="438" spans="1:21">
      <c r="A438" s="427" t="str">
        <f t="shared" si="42"/>
        <v>KU</v>
      </c>
      <c r="B438" s="427" t="str">
        <f t="shared" si="43"/>
        <v>KY</v>
      </c>
      <c r="C438" s="427" t="str">
        <f t="shared" si="44"/>
        <v>E</v>
      </c>
      <c r="D438" s="427" t="s">
        <v>3434</v>
      </c>
      <c r="E438" s="427" t="str">
        <f t="shared" si="47"/>
        <v>311</v>
      </c>
      <c r="F438" s="756" t="s">
        <v>1731</v>
      </c>
      <c r="G438" s="426" t="str">
        <f t="shared" si="49"/>
        <v>STEAM</v>
      </c>
      <c r="H438" s="427">
        <v>21.67086704247</v>
      </c>
      <c r="I438" s="427">
        <v>29.566406165999901</v>
      </c>
      <c r="J438" s="427">
        <v>29.566406165999901</v>
      </c>
      <c r="K438" s="427">
        <v>29.566406165999901</v>
      </c>
      <c r="L438" s="427">
        <v>29.566406165999901</v>
      </c>
      <c r="M438" s="427">
        <v>29.566406165999901</v>
      </c>
      <c r="N438" s="427">
        <v>29.566406165999901</v>
      </c>
      <c r="O438" s="427">
        <v>29.566406165999901</v>
      </c>
      <c r="P438" s="427">
        <v>29.566406165999901</v>
      </c>
      <c r="Q438" s="427">
        <v>29.566406165999901</v>
      </c>
      <c r="R438" s="427">
        <v>29.566406165999901</v>
      </c>
      <c r="S438" s="427">
        <v>29.566406165999901</v>
      </c>
      <c r="T438" s="427">
        <v>29.566406165999901</v>
      </c>
      <c r="U438" s="427">
        <f t="shared" si="48"/>
        <v>354.79687399199884</v>
      </c>
    </row>
    <row r="439" spans="1:21">
      <c r="A439" s="427" t="str">
        <f t="shared" si="42"/>
        <v>KU</v>
      </c>
      <c r="B439" s="427" t="str">
        <f t="shared" si="43"/>
        <v>KY</v>
      </c>
      <c r="C439" s="427" t="str">
        <f t="shared" si="44"/>
        <v>E</v>
      </c>
      <c r="D439" s="427" t="s">
        <v>3434</v>
      </c>
      <c r="E439" s="427" t="str">
        <f>MID($F439,8,3)</f>
        <v>311</v>
      </c>
      <c r="F439" s="756" t="s">
        <v>2193</v>
      </c>
      <c r="G439" s="426" t="str">
        <f t="shared" si="49"/>
        <v>STEAM</v>
      </c>
      <c r="H439" s="427">
        <v>18.920384351500001</v>
      </c>
      <c r="I439" s="427">
        <v>30.029720549</v>
      </c>
      <c r="J439" s="427">
        <v>30.029720549</v>
      </c>
      <c r="K439" s="427">
        <v>30.029720549</v>
      </c>
      <c r="L439" s="427">
        <v>30.029720549</v>
      </c>
      <c r="M439" s="427">
        <v>30.029720549</v>
      </c>
      <c r="N439" s="427">
        <v>30.029720549</v>
      </c>
      <c r="O439" s="427">
        <v>30.029720549</v>
      </c>
      <c r="P439" s="427">
        <v>30.029720549</v>
      </c>
      <c r="Q439" s="427">
        <v>30.029720549</v>
      </c>
      <c r="R439" s="427">
        <v>30.029720549</v>
      </c>
      <c r="S439" s="427">
        <v>30.029720549</v>
      </c>
      <c r="T439" s="427">
        <v>30.029720549</v>
      </c>
      <c r="U439" s="427">
        <f t="shared" si="48"/>
        <v>360.35664658799993</v>
      </c>
    </row>
    <row r="440" spans="1:21">
      <c r="A440" s="427" t="str">
        <f t="shared" si="42"/>
        <v>KU</v>
      </c>
      <c r="B440" s="427" t="str">
        <f t="shared" si="43"/>
        <v>KY</v>
      </c>
      <c r="C440" s="427" t="str">
        <f t="shared" si="44"/>
        <v>E</v>
      </c>
      <c r="D440" s="427" t="s">
        <v>3434</v>
      </c>
      <c r="E440" s="427" t="str">
        <f t="shared" si="47"/>
        <v>311</v>
      </c>
      <c r="F440" s="756" t="s">
        <v>1732</v>
      </c>
      <c r="G440" s="426" t="str">
        <f t="shared" si="49"/>
        <v>STEAM</v>
      </c>
      <c r="H440" s="427">
        <v>560.16678999999999</v>
      </c>
      <c r="I440" s="427">
        <v>640.38046999999995</v>
      </c>
      <c r="J440" s="427">
        <v>641.56488000000002</v>
      </c>
      <c r="K440" s="427">
        <v>643.67130999999995</v>
      </c>
      <c r="L440" s="427">
        <v>645.58038999999997</v>
      </c>
      <c r="M440" s="427">
        <v>645.88699999999994</v>
      </c>
      <c r="N440" s="427">
        <v>646.12801999999999</v>
      </c>
      <c r="O440" s="427">
        <v>646.68328999999903</v>
      </c>
      <c r="P440" s="427">
        <v>647.01188000000002</v>
      </c>
      <c r="Q440" s="427">
        <v>647.01188000000002</v>
      </c>
      <c r="R440" s="427">
        <v>647.01188000000002</v>
      </c>
      <c r="S440" s="427">
        <v>647.28184999999996</v>
      </c>
      <c r="T440" s="427">
        <v>647.57961</v>
      </c>
      <c r="U440" s="427">
        <f t="shared" si="48"/>
        <v>7745.7924599999988</v>
      </c>
    </row>
    <row r="441" spans="1:21">
      <c r="A441" s="427" t="str">
        <f t="shared" si="42"/>
        <v>KU</v>
      </c>
      <c r="B441" s="427" t="str">
        <f t="shared" si="43"/>
        <v>KY</v>
      </c>
      <c r="C441" s="427" t="str">
        <f t="shared" si="44"/>
        <v>E</v>
      </c>
      <c r="D441" s="427" t="s">
        <v>3434</v>
      </c>
      <c r="E441" s="427" t="str">
        <f t="shared" si="47"/>
        <v>312</v>
      </c>
      <c r="F441" s="756" t="s">
        <v>1733</v>
      </c>
      <c r="G441" s="426" t="str">
        <f t="shared" si="49"/>
        <v>STEAM</v>
      </c>
      <c r="H441" s="427">
        <v>6608.1509599999999</v>
      </c>
      <c r="I441" s="427">
        <v>9217.3068599999897</v>
      </c>
      <c r="J441" s="427">
        <v>9246.8468200000007</v>
      </c>
      <c r="K441" s="427">
        <v>9277.9180199999992</v>
      </c>
      <c r="L441" s="427">
        <v>9284.3638899999896</v>
      </c>
      <c r="M441" s="427">
        <v>9286.9062799999992</v>
      </c>
      <c r="N441" s="427">
        <v>9289.8397499999992</v>
      </c>
      <c r="O441" s="427">
        <v>9312.8287099999998</v>
      </c>
      <c r="P441" s="427">
        <v>9340.63213</v>
      </c>
      <c r="Q441" s="427">
        <v>9347.2645100000009</v>
      </c>
      <c r="R441" s="427">
        <v>9339.9762300000002</v>
      </c>
      <c r="S441" s="427">
        <v>9345.6649600000001</v>
      </c>
      <c r="T441" s="427">
        <v>9365.6296999999904</v>
      </c>
      <c r="U441" s="427">
        <f t="shared" si="48"/>
        <v>111655.17785999997</v>
      </c>
    </row>
    <row r="442" spans="1:21">
      <c r="A442" s="427" t="str">
        <f t="shared" si="42"/>
        <v>KU</v>
      </c>
      <c r="B442" s="427" t="str">
        <f t="shared" si="43"/>
        <v>KY</v>
      </c>
      <c r="C442" s="427" t="str">
        <f t="shared" si="44"/>
        <v>E</v>
      </c>
      <c r="D442" s="427" t="s">
        <v>3434</v>
      </c>
      <c r="E442" s="427" t="str">
        <f t="shared" si="47"/>
        <v>312</v>
      </c>
      <c r="F442" s="756" t="s">
        <v>1734</v>
      </c>
      <c r="G442" s="426" t="str">
        <f t="shared" si="49"/>
        <v>STEAM</v>
      </c>
      <c r="H442" s="427">
        <v>1100.768465483</v>
      </c>
      <c r="I442" s="427">
        <v>1828.037167429</v>
      </c>
      <c r="J442" s="427">
        <v>1828.0832799289999</v>
      </c>
      <c r="K442" s="427">
        <v>1828.1293924290001</v>
      </c>
      <c r="L442" s="427">
        <v>1828.175504929</v>
      </c>
      <c r="M442" s="427">
        <v>1828.2216174289999</v>
      </c>
      <c r="N442" s="427">
        <v>1828.2677299290001</v>
      </c>
      <c r="O442" s="427">
        <v>1849.5724128919901</v>
      </c>
      <c r="P442" s="427">
        <v>1908.3847978619999</v>
      </c>
      <c r="Q442" s="427">
        <v>1946.345324719</v>
      </c>
      <c r="R442" s="427">
        <v>1948.1047607190001</v>
      </c>
      <c r="S442" s="427">
        <v>1949.4924757189999</v>
      </c>
      <c r="T442" s="427">
        <v>1949.676564049</v>
      </c>
      <c r="U442" s="427">
        <f t="shared" si="48"/>
        <v>22520.491028033994</v>
      </c>
    </row>
    <row r="443" spans="1:21">
      <c r="A443" s="427" t="str">
        <f t="shared" si="42"/>
        <v>KU</v>
      </c>
      <c r="B443" s="427" t="str">
        <f t="shared" si="43"/>
        <v>KY</v>
      </c>
      <c r="C443" s="427" t="str">
        <f t="shared" si="44"/>
        <v>E</v>
      </c>
      <c r="D443" s="427" t="s">
        <v>3434</v>
      </c>
      <c r="E443" s="427" t="str">
        <f t="shared" si="47"/>
        <v>312</v>
      </c>
      <c r="F443" s="756" t="s">
        <v>1735</v>
      </c>
      <c r="G443" s="426" t="str">
        <f t="shared" si="49"/>
        <v>STEAM</v>
      </c>
      <c r="H443" s="427">
        <v>1673.3572186479901</v>
      </c>
      <c r="I443" s="427">
        <v>3160.2425262699999</v>
      </c>
      <c r="J443" s="427">
        <v>3160.2425262699999</v>
      </c>
      <c r="K443" s="427">
        <v>3160.2425262699999</v>
      </c>
      <c r="L443" s="427">
        <v>3160.2425262699999</v>
      </c>
      <c r="M443" s="427">
        <v>3160.2425262699999</v>
      </c>
      <c r="N443" s="427">
        <v>3160.2425262699999</v>
      </c>
      <c r="O443" s="427">
        <v>3160.2425262699999</v>
      </c>
      <c r="P443" s="427">
        <v>3163.4136989899998</v>
      </c>
      <c r="Q443" s="427">
        <v>3166.5848716099999</v>
      </c>
      <c r="R443" s="427">
        <v>3166.5848716099999</v>
      </c>
      <c r="S443" s="427">
        <v>3167.57654938</v>
      </c>
      <c r="T443" s="427">
        <v>3168.5682270399998</v>
      </c>
      <c r="U443" s="427">
        <f t="shared" si="48"/>
        <v>37954.425902520001</v>
      </c>
    </row>
    <row r="444" spans="1:21">
      <c r="A444" s="427" t="str">
        <f t="shared" si="42"/>
        <v>KU</v>
      </c>
      <c r="B444" s="427" t="str">
        <f t="shared" si="43"/>
        <v>KY</v>
      </c>
      <c r="C444" s="427" t="str">
        <f t="shared" si="44"/>
        <v>E</v>
      </c>
      <c r="D444" s="427" t="s">
        <v>3434</v>
      </c>
      <c r="E444" s="427" t="str">
        <f t="shared" si="47"/>
        <v>312</v>
      </c>
      <c r="F444" s="756" t="s">
        <v>2194</v>
      </c>
      <c r="G444" s="426" t="str">
        <f t="shared" si="49"/>
        <v>STEAM</v>
      </c>
      <c r="H444" s="427">
        <v>54.236732309519901</v>
      </c>
      <c r="I444" s="427">
        <v>322.12845152592001</v>
      </c>
      <c r="J444" s="427">
        <v>567.72442088891898</v>
      </c>
      <c r="K444" s="427">
        <v>574.31405192991895</v>
      </c>
      <c r="L444" s="427">
        <v>578.04229349991999</v>
      </c>
      <c r="M444" s="427">
        <v>581.60922226992</v>
      </c>
      <c r="N444" s="427">
        <v>621.32445395191996</v>
      </c>
      <c r="O444" s="427">
        <v>661.11399526191997</v>
      </c>
      <c r="P444" s="427">
        <v>731.59098601391997</v>
      </c>
      <c r="Q444" s="427">
        <v>800.34614040791996</v>
      </c>
      <c r="R444" s="427">
        <v>800.56239043792004</v>
      </c>
      <c r="S444" s="427">
        <v>800.99489040792002</v>
      </c>
      <c r="T444" s="427">
        <v>801.64364040791997</v>
      </c>
      <c r="U444" s="427">
        <f t="shared" si="48"/>
        <v>7841.3949370040373</v>
      </c>
    </row>
    <row r="445" spans="1:21">
      <c r="A445" s="427" t="str">
        <f t="shared" si="42"/>
        <v>KU</v>
      </c>
      <c r="B445" s="427" t="str">
        <f t="shared" si="43"/>
        <v>KY</v>
      </c>
      <c r="C445" s="427" t="str">
        <f t="shared" si="44"/>
        <v>E</v>
      </c>
      <c r="D445" s="427" t="s">
        <v>3434</v>
      </c>
      <c r="E445" s="427" t="str">
        <f t="shared" si="47"/>
        <v>314</v>
      </c>
      <c r="F445" s="756" t="s">
        <v>1737</v>
      </c>
      <c r="G445" s="426" t="str">
        <f t="shared" si="49"/>
        <v>STEAM</v>
      </c>
      <c r="H445" s="427">
        <v>610.37508999999898</v>
      </c>
      <c r="I445" s="427">
        <v>788.71423000000004</v>
      </c>
      <c r="J445" s="427">
        <v>790.06822</v>
      </c>
      <c r="K445" s="427">
        <v>791.16980000000001</v>
      </c>
      <c r="L445" s="427">
        <v>791.37586999999996</v>
      </c>
      <c r="M445" s="427">
        <v>791.37586999999996</v>
      </c>
      <c r="N445" s="427">
        <v>791.37586999999996</v>
      </c>
      <c r="O445" s="427">
        <v>793.63153999999997</v>
      </c>
      <c r="P445" s="427">
        <v>810.06771000000003</v>
      </c>
      <c r="Q445" s="427">
        <v>824.24824999999896</v>
      </c>
      <c r="R445" s="427">
        <v>824.24824999999896</v>
      </c>
      <c r="S445" s="427">
        <v>824.24824999999896</v>
      </c>
      <c r="T445" s="427">
        <v>816.40522999999996</v>
      </c>
      <c r="U445" s="427">
        <f t="shared" si="48"/>
        <v>9636.9290899999978</v>
      </c>
    </row>
    <row r="446" spans="1:21">
      <c r="A446" s="427" t="str">
        <f t="shared" si="42"/>
        <v>KU</v>
      </c>
      <c r="B446" s="427" t="str">
        <f t="shared" si="43"/>
        <v>KY</v>
      </c>
      <c r="C446" s="427" t="str">
        <f t="shared" si="44"/>
        <v>E</v>
      </c>
      <c r="D446" s="427" t="s">
        <v>3434</v>
      </c>
      <c r="E446" s="427" t="str">
        <f t="shared" si="47"/>
        <v>315</v>
      </c>
      <c r="F446" s="756" t="s">
        <v>1738</v>
      </c>
      <c r="G446" s="426" t="str">
        <f t="shared" si="49"/>
        <v>STEAM</v>
      </c>
      <c r="H446" s="427">
        <v>452.21859000000001</v>
      </c>
      <c r="I446" s="427">
        <v>527.44724999999903</v>
      </c>
      <c r="J446" s="427">
        <v>527.55787999999995</v>
      </c>
      <c r="K446" s="427">
        <v>527.55787999999995</v>
      </c>
      <c r="L446" s="427">
        <v>527.55787999999995</v>
      </c>
      <c r="M446" s="427">
        <v>527.55787999999995</v>
      </c>
      <c r="N446" s="427">
        <v>527.55787999999995</v>
      </c>
      <c r="O446" s="427">
        <v>532.29411000000005</v>
      </c>
      <c r="P446" s="427">
        <v>538.64698999999996</v>
      </c>
      <c r="Q446" s="427">
        <v>540.26364999999998</v>
      </c>
      <c r="R446" s="427">
        <v>540.26364999999998</v>
      </c>
      <c r="S446" s="427">
        <v>540.26364999999998</v>
      </c>
      <c r="T446" s="427">
        <v>539.68727999999999</v>
      </c>
      <c r="U446" s="427">
        <f t="shared" si="48"/>
        <v>6396.6559799999986</v>
      </c>
    </row>
    <row r="447" spans="1:21">
      <c r="A447" s="427" t="str">
        <f t="shared" si="42"/>
        <v>KU</v>
      </c>
      <c r="B447" s="427" t="str">
        <f t="shared" si="43"/>
        <v>KY</v>
      </c>
      <c r="C447" s="427" t="str">
        <f t="shared" si="44"/>
        <v>E</v>
      </c>
      <c r="D447" s="427" t="s">
        <v>3434</v>
      </c>
      <c r="E447" s="427" t="str">
        <f t="shared" si="47"/>
        <v>315</v>
      </c>
      <c r="F447" s="756" t="s">
        <v>2195</v>
      </c>
      <c r="G447" s="426" t="str">
        <f t="shared" si="49"/>
        <v>STEAM</v>
      </c>
      <c r="H447" s="427">
        <v>30.525137318029898</v>
      </c>
      <c r="I447" s="427">
        <v>62.271684961070001</v>
      </c>
      <c r="J447" s="427">
        <v>62.271684961070001</v>
      </c>
      <c r="K447" s="427">
        <v>62.271684961070001</v>
      </c>
      <c r="L447" s="427">
        <v>62.271684961070001</v>
      </c>
      <c r="M447" s="427">
        <v>62.271684961070001</v>
      </c>
      <c r="N447" s="427">
        <v>62.271684961070001</v>
      </c>
      <c r="O447" s="427">
        <v>62.271684961070001</v>
      </c>
      <c r="P447" s="427">
        <v>62.271684961070001</v>
      </c>
      <c r="Q447" s="427">
        <v>62.271684961070001</v>
      </c>
      <c r="R447" s="427">
        <v>62.271684961070001</v>
      </c>
      <c r="S447" s="427">
        <v>62.271684961070001</v>
      </c>
      <c r="T447" s="427">
        <v>62.271684961070001</v>
      </c>
      <c r="U447" s="427">
        <f t="shared" si="48"/>
        <v>747.2602195328401</v>
      </c>
    </row>
    <row r="448" spans="1:21">
      <c r="A448" s="427" t="str">
        <f t="shared" si="42"/>
        <v>KU</v>
      </c>
      <c r="B448" s="427" t="str">
        <f t="shared" si="43"/>
        <v>KY</v>
      </c>
      <c r="C448" s="427" t="str">
        <f t="shared" si="44"/>
        <v>E</v>
      </c>
      <c r="D448" s="427" t="s">
        <v>3434</v>
      </c>
      <c r="E448" s="427" t="str">
        <f t="shared" si="47"/>
        <v>315</v>
      </c>
      <c r="F448" s="756" t="s">
        <v>1739</v>
      </c>
      <c r="G448" s="426" t="str">
        <f t="shared" si="49"/>
        <v>STEAM</v>
      </c>
      <c r="H448" s="427">
        <v>15.883009085199999</v>
      </c>
      <c r="I448" s="427">
        <v>37.894107699552997</v>
      </c>
      <c r="J448" s="427">
        <v>37.894107699552997</v>
      </c>
      <c r="K448" s="427">
        <v>37.894107699552997</v>
      </c>
      <c r="L448" s="427">
        <v>37.894107699552997</v>
      </c>
      <c r="M448" s="427">
        <v>37.894107699552997</v>
      </c>
      <c r="N448" s="427">
        <v>37.894107699552997</v>
      </c>
      <c r="O448" s="427">
        <v>37.894107699552997</v>
      </c>
      <c r="P448" s="427">
        <v>37.894107699552997</v>
      </c>
      <c r="Q448" s="427">
        <v>37.894107699552997</v>
      </c>
      <c r="R448" s="427">
        <v>37.894107699552997</v>
      </c>
      <c r="S448" s="427">
        <v>37.894107699552997</v>
      </c>
      <c r="T448" s="427">
        <v>37.894107699552997</v>
      </c>
      <c r="U448" s="427">
        <f t="shared" si="48"/>
        <v>454.72929239463593</v>
      </c>
    </row>
    <row r="449" spans="1:24">
      <c r="A449" s="427" t="str">
        <f t="shared" si="42"/>
        <v>KU</v>
      </c>
      <c r="B449" s="427" t="str">
        <f t="shared" si="43"/>
        <v>KY</v>
      </c>
      <c r="C449" s="427" t="str">
        <f t="shared" si="44"/>
        <v>E</v>
      </c>
      <c r="D449" s="427" t="s">
        <v>3434</v>
      </c>
      <c r="E449" s="427" t="str">
        <f t="shared" si="47"/>
        <v>316</v>
      </c>
      <c r="F449" s="756" t="s">
        <v>2196</v>
      </c>
      <c r="G449" s="426" t="str">
        <f t="shared" si="49"/>
        <v>STEAM</v>
      </c>
      <c r="H449" s="427">
        <v>0.82492337999999998</v>
      </c>
      <c r="I449" s="427">
        <v>1.491736446</v>
      </c>
      <c r="J449" s="427">
        <v>1.491736446</v>
      </c>
      <c r="K449" s="427">
        <v>1.491736446</v>
      </c>
      <c r="L449" s="427">
        <v>1.491736446</v>
      </c>
      <c r="M449" s="427">
        <v>1.491736446</v>
      </c>
      <c r="N449" s="427">
        <v>1.491736446</v>
      </c>
      <c r="O449" s="427">
        <v>1.491736446</v>
      </c>
      <c r="P449" s="427">
        <v>1.491736446</v>
      </c>
      <c r="Q449" s="427">
        <v>1.491736446</v>
      </c>
      <c r="R449" s="427">
        <v>1.491736446</v>
      </c>
      <c r="S449" s="427">
        <v>1.491736446</v>
      </c>
      <c r="T449" s="427">
        <v>1.491736446</v>
      </c>
      <c r="U449" s="427">
        <f t="shared" si="48"/>
        <v>17.900837352000003</v>
      </c>
    </row>
    <row r="450" spans="1:24">
      <c r="A450" s="427" t="str">
        <f t="shared" si="42"/>
        <v>KU</v>
      </c>
      <c r="B450" s="427" t="str">
        <f t="shared" si="43"/>
        <v>KY</v>
      </c>
      <c r="C450" s="427" t="str">
        <f t="shared" si="44"/>
        <v>E</v>
      </c>
      <c r="D450" s="427" t="s">
        <v>3434</v>
      </c>
      <c r="E450" s="427" t="str">
        <f t="shared" si="47"/>
        <v>316</v>
      </c>
      <c r="F450" s="756" t="s">
        <v>1740</v>
      </c>
      <c r="G450" s="426" t="str">
        <f t="shared" si="49"/>
        <v>STEAM</v>
      </c>
      <c r="H450" s="427">
        <v>75.425280000000001</v>
      </c>
      <c r="I450" s="427">
        <v>93.397929999999903</v>
      </c>
      <c r="J450" s="427">
        <v>95.453689999999995</v>
      </c>
      <c r="K450" s="427">
        <v>95.547349999999994</v>
      </c>
      <c r="L450" s="427">
        <v>96.069010000000006</v>
      </c>
      <c r="M450" s="427">
        <v>96.590679999999907</v>
      </c>
      <c r="N450" s="427">
        <v>97.163239999999902</v>
      </c>
      <c r="O450" s="427">
        <v>98.070059999999998</v>
      </c>
      <c r="P450" s="427">
        <v>102.81792</v>
      </c>
      <c r="Q450" s="427">
        <v>107.23157999999999</v>
      </c>
      <c r="R450" s="427">
        <v>107.23157999999999</v>
      </c>
      <c r="S450" s="427">
        <v>107.495989999999</v>
      </c>
      <c r="T450" s="427">
        <v>108.14756</v>
      </c>
      <c r="U450" s="427">
        <f t="shared" si="48"/>
        <v>1205.2165899999986</v>
      </c>
    </row>
    <row r="451" spans="1:24">
      <c r="A451" s="427" t="str">
        <f t="shared" si="42"/>
        <v>KU</v>
      </c>
      <c r="B451" s="427" t="str">
        <f t="shared" si="43"/>
        <v>KY</v>
      </c>
      <c r="C451" s="427" t="str">
        <f t="shared" si="44"/>
        <v>E</v>
      </c>
      <c r="D451" s="427" t="s">
        <v>3434</v>
      </c>
      <c r="E451" s="427" t="str">
        <f t="shared" si="47"/>
        <v>317</v>
      </c>
      <c r="F451" s="756" t="s">
        <v>1741</v>
      </c>
      <c r="G451" s="426" t="str">
        <f t="shared" si="49"/>
        <v>STEAM</v>
      </c>
      <c r="H451" s="427">
        <v>451.94018000000102</v>
      </c>
      <c r="I451" s="427">
        <v>451.94018000000102</v>
      </c>
      <c r="J451" s="427">
        <v>451.94018000000102</v>
      </c>
      <c r="K451" s="427">
        <v>451.94018000000102</v>
      </c>
      <c r="L451" s="427">
        <v>451.94018000000102</v>
      </c>
      <c r="M451" s="427">
        <v>451.94018000000102</v>
      </c>
      <c r="N451" s="427">
        <v>451.94018000000102</v>
      </c>
      <c r="O451" s="427">
        <v>451.94018000000102</v>
      </c>
      <c r="P451" s="427">
        <v>451.94018000000102</v>
      </c>
      <c r="Q451" s="427">
        <v>60.823937044654102</v>
      </c>
      <c r="R451" s="427">
        <v>60.823937044654102</v>
      </c>
      <c r="S451" s="427">
        <v>60.823937044654102</v>
      </c>
      <c r="T451" s="427">
        <v>60.823937044654102</v>
      </c>
      <c r="U451" s="427">
        <f t="shared" si="48"/>
        <v>3858.8171881786243</v>
      </c>
    </row>
    <row r="452" spans="1:24">
      <c r="A452" s="427" t="str">
        <f t="shared" si="42"/>
        <v>KU</v>
      </c>
      <c r="B452" s="427" t="str">
        <f t="shared" si="43"/>
        <v>KY</v>
      </c>
      <c r="C452" s="427" t="str">
        <f t="shared" si="44"/>
        <v>E</v>
      </c>
      <c r="D452" s="427" t="s">
        <v>3434</v>
      </c>
      <c r="E452" s="427" t="str">
        <f t="shared" si="47"/>
        <v>317</v>
      </c>
      <c r="F452" s="756" t="s">
        <v>2504</v>
      </c>
      <c r="G452" s="426" t="str">
        <f t="shared" si="49"/>
        <v>STEAM</v>
      </c>
      <c r="H452" s="427">
        <v>1035.3629000000001</v>
      </c>
      <c r="I452" s="427">
        <v>1035.3629000000001</v>
      </c>
      <c r="J452" s="427">
        <v>1035.3629000000001</v>
      </c>
      <c r="K452" s="427">
        <v>1035.3629000000001</v>
      </c>
      <c r="L452" s="427">
        <v>1035.3629000000001</v>
      </c>
      <c r="M452" s="427">
        <v>1035.3629000000001</v>
      </c>
      <c r="N452" s="427">
        <v>1035.3629000000001</v>
      </c>
      <c r="O452" s="427">
        <v>1035.3629000000001</v>
      </c>
      <c r="P452" s="427">
        <v>1035.3629000000001</v>
      </c>
      <c r="Q452" s="427">
        <v>962.96079999999995</v>
      </c>
      <c r="R452" s="427">
        <v>962.96079999999995</v>
      </c>
      <c r="S452" s="427">
        <v>962.96079999999995</v>
      </c>
      <c r="T452" s="427">
        <v>962.96079999999995</v>
      </c>
      <c r="U452" s="427">
        <f t="shared" si="48"/>
        <v>12134.746400000004</v>
      </c>
    </row>
    <row r="453" spans="1:24">
      <c r="A453" s="427" t="str">
        <f t="shared" si="42"/>
        <v>KU</v>
      </c>
      <c r="B453" s="427" t="str">
        <f t="shared" si="43"/>
        <v>KY</v>
      </c>
      <c r="C453" s="427" t="str">
        <f t="shared" si="44"/>
        <v>E</v>
      </c>
      <c r="D453" s="427" t="s">
        <v>3434</v>
      </c>
      <c r="E453" s="427" t="str">
        <f t="shared" si="47"/>
        <v>331</v>
      </c>
      <c r="F453" s="756" t="s">
        <v>1743</v>
      </c>
      <c r="G453" s="426" t="str">
        <f t="shared" si="49"/>
        <v>HYDRO</v>
      </c>
      <c r="H453" s="427">
        <v>9.0792599999999997</v>
      </c>
      <c r="I453" s="427">
        <v>9.0792599999999997</v>
      </c>
      <c r="J453" s="427">
        <v>9.1758900000000008</v>
      </c>
      <c r="K453" s="427">
        <v>9.2725000000000009</v>
      </c>
      <c r="L453" s="427">
        <v>9.2725000000000009</v>
      </c>
      <c r="M453" s="427">
        <v>9.2725000000000009</v>
      </c>
      <c r="N453" s="427">
        <v>9.2725000000000009</v>
      </c>
      <c r="O453" s="427">
        <v>9.2725000000000009</v>
      </c>
      <c r="P453" s="427">
        <v>9.2725000000000009</v>
      </c>
      <c r="Q453" s="427">
        <v>9.2725000000000009</v>
      </c>
      <c r="R453" s="427">
        <v>9.2725000000000009</v>
      </c>
      <c r="S453" s="427">
        <v>9.2725000000000009</v>
      </c>
      <c r="T453" s="427">
        <v>9.2725000000000009</v>
      </c>
      <c r="U453" s="427">
        <f t="shared" si="48"/>
        <v>110.98015000000004</v>
      </c>
    </row>
    <row r="454" spans="1:24">
      <c r="A454" s="427" t="str">
        <f t="shared" si="42"/>
        <v>KU</v>
      </c>
      <c r="B454" s="427" t="str">
        <f t="shared" si="43"/>
        <v>KY</v>
      </c>
      <c r="C454" s="427" t="str">
        <f t="shared" si="44"/>
        <v>E</v>
      </c>
      <c r="D454" s="427" t="s">
        <v>3434</v>
      </c>
      <c r="E454" s="427" t="str">
        <f t="shared" si="47"/>
        <v>332</v>
      </c>
      <c r="F454" s="756" t="s">
        <v>1744</v>
      </c>
      <c r="G454" s="426" t="str">
        <f t="shared" si="49"/>
        <v>HYDRO</v>
      </c>
      <c r="H454" s="427">
        <v>47.601280000000003</v>
      </c>
      <c r="I454" s="427">
        <v>47.601280000000003</v>
      </c>
      <c r="J454" s="427">
        <v>47.601280000000003</v>
      </c>
      <c r="K454" s="427">
        <v>47.601280000000003</v>
      </c>
      <c r="L454" s="427">
        <v>47.601280000000003</v>
      </c>
      <c r="M454" s="427">
        <v>47.601280000000003</v>
      </c>
      <c r="N454" s="427">
        <v>47.601280000000003</v>
      </c>
      <c r="O454" s="427">
        <v>47.601280000000003</v>
      </c>
      <c r="P454" s="427">
        <v>47.601280000000003</v>
      </c>
      <c r="Q454" s="427">
        <v>47.601280000000003</v>
      </c>
      <c r="R454" s="427">
        <v>47.601280000000003</v>
      </c>
      <c r="S454" s="427">
        <v>47.601280000000003</v>
      </c>
      <c r="T454" s="427">
        <v>47.601280000000003</v>
      </c>
      <c r="U454" s="427">
        <f t="shared" si="48"/>
        <v>571.21535999999992</v>
      </c>
    </row>
    <row r="455" spans="1:24">
      <c r="A455" s="427" t="str">
        <f t="shared" si="42"/>
        <v>KU</v>
      </c>
      <c r="B455" s="427" t="str">
        <f t="shared" si="43"/>
        <v>KY</v>
      </c>
      <c r="C455" s="427" t="str">
        <f t="shared" si="44"/>
        <v>E</v>
      </c>
      <c r="D455" s="427" t="s">
        <v>3434</v>
      </c>
      <c r="E455" s="427" t="str">
        <f t="shared" si="47"/>
        <v>333</v>
      </c>
      <c r="F455" s="756" t="s">
        <v>1745</v>
      </c>
      <c r="G455" s="426" t="str">
        <f t="shared" si="49"/>
        <v>HYDRO</v>
      </c>
      <c r="H455" s="427">
        <v>45.183689999999999</v>
      </c>
      <c r="I455" s="427">
        <v>45.183689999999999</v>
      </c>
      <c r="J455" s="427">
        <v>45.183689999999999</v>
      </c>
      <c r="K455" s="427">
        <v>45.183689999999999</v>
      </c>
      <c r="L455" s="427">
        <v>45.183689999999999</v>
      </c>
      <c r="M455" s="427">
        <v>45.183689999999999</v>
      </c>
      <c r="N455" s="427">
        <v>45.183689999999999</v>
      </c>
      <c r="O455" s="427">
        <v>45.183689999999999</v>
      </c>
      <c r="P455" s="427">
        <v>45.183689999999999</v>
      </c>
      <c r="Q455" s="427">
        <v>45.183689999999999</v>
      </c>
      <c r="R455" s="427">
        <v>45.183689999999999</v>
      </c>
      <c r="S455" s="427">
        <v>45.183689999999999</v>
      </c>
      <c r="T455" s="427">
        <v>45.183689999999999</v>
      </c>
      <c r="U455" s="427">
        <f t="shared" si="48"/>
        <v>542.20428000000004</v>
      </c>
    </row>
    <row r="456" spans="1:24">
      <c r="A456" s="427" t="str">
        <f t="shared" si="42"/>
        <v>KU</v>
      </c>
      <c r="B456" s="427" t="str">
        <f t="shared" si="43"/>
        <v>KY</v>
      </c>
      <c r="C456" s="427" t="str">
        <f t="shared" si="44"/>
        <v>E</v>
      </c>
      <c r="D456" s="427" t="s">
        <v>3434</v>
      </c>
      <c r="E456" s="427" t="str">
        <f t="shared" si="47"/>
        <v>334</v>
      </c>
      <c r="F456" s="756" t="s">
        <v>1746</v>
      </c>
      <c r="G456" s="426" t="str">
        <f t="shared" si="49"/>
        <v>HYDRO</v>
      </c>
      <c r="H456" s="427">
        <v>4.3874399999999998</v>
      </c>
      <c r="I456" s="427">
        <v>4.3874399999999998</v>
      </c>
      <c r="J456" s="427">
        <v>4.3874399999999998</v>
      </c>
      <c r="K456" s="427">
        <v>4.3874399999999998</v>
      </c>
      <c r="L456" s="427">
        <v>4.3874399999999998</v>
      </c>
      <c r="M456" s="427">
        <v>4.3874399999999998</v>
      </c>
      <c r="N456" s="427">
        <v>4.3874399999999998</v>
      </c>
      <c r="O456" s="427">
        <v>4.3874399999999998</v>
      </c>
      <c r="P456" s="427">
        <v>4.3874399999999998</v>
      </c>
      <c r="Q456" s="427">
        <v>4.3874399999999998</v>
      </c>
      <c r="R456" s="427">
        <v>4.3874399999999998</v>
      </c>
      <c r="S456" s="427">
        <v>4.3874399999999998</v>
      </c>
      <c r="T456" s="427">
        <v>4.3874399999999998</v>
      </c>
      <c r="U456" s="427">
        <f t="shared" si="48"/>
        <v>52.649279999999983</v>
      </c>
    </row>
    <row r="457" spans="1:24">
      <c r="A457" s="427" t="str">
        <f t="shared" si="42"/>
        <v>KU</v>
      </c>
      <c r="B457" s="427" t="str">
        <f t="shared" si="43"/>
        <v>KY</v>
      </c>
      <c r="C457" s="427" t="str">
        <f t="shared" si="44"/>
        <v>E</v>
      </c>
      <c r="D457" s="427" t="s">
        <v>3434</v>
      </c>
      <c r="E457" s="427" t="str">
        <f t="shared" si="47"/>
        <v>335</v>
      </c>
      <c r="F457" s="756" t="s">
        <v>1747</v>
      </c>
      <c r="G457" s="426" t="str">
        <f t="shared" si="49"/>
        <v>HYDRO</v>
      </c>
      <c r="H457" s="427">
        <v>1.0320400000000001</v>
      </c>
      <c r="I457" s="427">
        <v>1.0320400000000001</v>
      </c>
      <c r="J457" s="427">
        <v>1.0320400000000001</v>
      </c>
      <c r="K457" s="427">
        <v>1.0320400000000001</v>
      </c>
      <c r="L457" s="427">
        <v>1.0320400000000001</v>
      </c>
      <c r="M457" s="427">
        <v>1.0320400000000001</v>
      </c>
      <c r="N457" s="427">
        <v>1.0320400000000001</v>
      </c>
      <c r="O457" s="427">
        <v>1.0320400000000001</v>
      </c>
      <c r="P457" s="427">
        <v>1.0320400000000001</v>
      </c>
      <c r="Q457" s="427">
        <v>1.0320400000000001</v>
      </c>
      <c r="R457" s="427">
        <v>1.0320400000000001</v>
      </c>
      <c r="S457" s="427">
        <v>1.0320400000000001</v>
      </c>
      <c r="T457" s="427">
        <v>1.0320400000000001</v>
      </c>
      <c r="U457" s="427">
        <f t="shared" si="48"/>
        <v>12.384480000000002</v>
      </c>
    </row>
    <row r="458" spans="1:24">
      <c r="A458" s="427" t="str">
        <f t="shared" ref="A458:A521" si="50">MID($F458,4,2)</f>
        <v>KU</v>
      </c>
      <c r="B458" s="427" t="str">
        <f t="shared" si="43"/>
        <v>KY</v>
      </c>
      <c r="C458" s="427" t="str">
        <f t="shared" si="44"/>
        <v>E</v>
      </c>
      <c r="D458" s="427" t="s">
        <v>3434</v>
      </c>
      <c r="E458" s="427" t="str">
        <f t="shared" si="47"/>
        <v>336</v>
      </c>
      <c r="F458" s="756" t="s">
        <v>1748</v>
      </c>
      <c r="G458" s="426" t="str">
        <f t="shared" si="49"/>
        <v>HYDRO</v>
      </c>
      <c r="H458" s="427">
        <v>0.65076000000000001</v>
      </c>
      <c r="I458" s="427">
        <v>0.65076000000000001</v>
      </c>
      <c r="J458" s="427">
        <v>0.65076000000000001</v>
      </c>
      <c r="K458" s="427">
        <v>0.65076000000000001</v>
      </c>
      <c r="L458" s="427">
        <v>0.65076000000000001</v>
      </c>
      <c r="M458" s="427">
        <v>0.65076000000000001</v>
      </c>
      <c r="N458" s="427">
        <v>0.65076000000000001</v>
      </c>
      <c r="O458" s="427">
        <v>0.65076000000000001</v>
      </c>
      <c r="P458" s="427">
        <v>0.65076000000000001</v>
      </c>
      <c r="Q458" s="427">
        <v>0.65076000000000001</v>
      </c>
      <c r="R458" s="427">
        <v>0.65076000000000001</v>
      </c>
      <c r="S458" s="427">
        <v>0.65076000000000001</v>
      </c>
      <c r="T458" s="427">
        <v>0.65076000000000001</v>
      </c>
      <c r="U458" s="427">
        <f t="shared" si="48"/>
        <v>7.8091200000000001</v>
      </c>
    </row>
    <row r="459" spans="1:24">
      <c r="A459" s="427" t="str">
        <f t="shared" si="50"/>
        <v>KU</v>
      </c>
      <c r="B459" s="427" t="str">
        <f t="shared" si="43"/>
        <v>KY</v>
      </c>
      <c r="C459" s="427" t="str">
        <f t="shared" si="44"/>
        <v>E</v>
      </c>
      <c r="D459" s="427" t="s">
        <v>3434</v>
      </c>
      <c r="E459" s="427" t="str">
        <f t="shared" si="47"/>
        <v>337</v>
      </c>
      <c r="F459" s="756" t="s">
        <v>1749</v>
      </c>
      <c r="G459" s="426" t="str">
        <f t="shared" si="49"/>
        <v>HYDRO</v>
      </c>
      <c r="H459" s="427">
        <v>1.49068</v>
      </c>
      <c r="I459" s="427">
        <v>1.49068</v>
      </c>
      <c r="J459" s="427">
        <v>1.49068</v>
      </c>
      <c r="K459" s="427">
        <v>1.49068</v>
      </c>
      <c r="L459" s="427">
        <v>1.49068</v>
      </c>
      <c r="M459" s="427">
        <v>1.49068</v>
      </c>
      <c r="N459" s="427">
        <v>1.49068</v>
      </c>
      <c r="O459" s="427">
        <v>1.49068</v>
      </c>
      <c r="P459" s="427">
        <v>1.49068</v>
      </c>
      <c r="Q459" s="427">
        <v>0.20062174262471</v>
      </c>
      <c r="R459" s="427">
        <v>0.20062174262471</v>
      </c>
      <c r="S459" s="427">
        <v>0.20062174262471</v>
      </c>
      <c r="T459" s="427">
        <v>0.20062174262471</v>
      </c>
      <c r="U459" s="427">
        <f t="shared" si="48"/>
        <v>12.727926970498839</v>
      </c>
    </row>
    <row r="460" spans="1:24">
      <c r="A460" s="427" t="str">
        <f t="shared" si="50"/>
        <v>KU</v>
      </c>
      <c r="B460" s="427" t="str">
        <f t="shared" si="43"/>
        <v>KY</v>
      </c>
      <c r="C460" s="427" t="str">
        <f t="shared" si="44"/>
        <v>E</v>
      </c>
      <c r="D460" s="427" t="s">
        <v>3434</v>
      </c>
      <c r="E460" s="427" t="str">
        <f t="shared" si="47"/>
        <v>340</v>
      </c>
      <c r="F460" s="756" t="s">
        <v>2198</v>
      </c>
      <c r="G460" s="426" t="str">
        <f t="shared" si="49"/>
        <v>OTHER</v>
      </c>
      <c r="H460" s="427">
        <v>0.43203999999999998</v>
      </c>
      <c r="I460" s="427">
        <v>0.43203999999999998</v>
      </c>
      <c r="J460" s="427">
        <v>0.43203999999999998</v>
      </c>
      <c r="K460" s="427">
        <v>0.43203999999999998</v>
      </c>
      <c r="L460" s="427">
        <v>0.43203999999999998</v>
      </c>
      <c r="M460" s="427">
        <v>0.43203999999999998</v>
      </c>
      <c r="N460" s="427">
        <v>0.43203999999999998</v>
      </c>
      <c r="O460" s="427">
        <v>0.43203999999999998</v>
      </c>
      <c r="P460" s="427">
        <v>0.43203999999999998</v>
      </c>
      <c r="Q460" s="427">
        <v>0.43203999999999998</v>
      </c>
      <c r="R460" s="427">
        <v>0.43203999999999998</v>
      </c>
      <c r="S460" s="427">
        <v>0.43203999999999998</v>
      </c>
      <c r="T460" s="427">
        <v>0.43203999999999998</v>
      </c>
      <c r="U460" s="427">
        <f t="shared" si="48"/>
        <v>5.184479999999998</v>
      </c>
    </row>
    <row r="461" spans="1:24">
      <c r="A461" s="427" t="str">
        <f t="shared" si="50"/>
        <v>KU</v>
      </c>
      <c r="B461" s="427" t="str">
        <f t="shared" si="43"/>
        <v>KY</v>
      </c>
      <c r="C461" s="427" t="str">
        <f t="shared" si="44"/>
        <v>E</v>
      </c>
      <c r="D461" s="427" t="s">
        <v>3434</v>
      </c>
      <c r="E461" s="427" t="str">
        <f t="shared" si="47"/>
        <v>341</v>
      </c>
      <c r="F461" s="756" t="s">
        <v>1751</v>
      </c>
      <c r="G461" s="426" t="str">
        <f t="shared" si="49"/>
        <v>OTHER</v>
      </c>
      <c r="H461" s="427">
        <v>116.42641999999999</v>
      </c>
      <c r="I461" s="427">
        <v>116.42641999999999</v>
      </c>
      <c r="J461" s="427">
        <v>116.42641999999999</v>
      </c>
      <c r="K461" s="427">
        <v>116.42641999999999</v>
      </c>
      <c r="L461" s="427">
        <v>116.42641999999999</v>
      </c>
      <c r="M461" s="427">
        <v>116.42641999999999</v>
      </c>
      <c r="N461" s="427">
        <v>116.42641999999999</v>
      </c>
      <c r="O461" s="427">
        <v>116.42641999999999</v>
      </c>
      <c r="P461" s="427">
        <v>116.42641999999999</v>
      </c>
      <c r="Q461" s="427">
        <v>116.42641999999999</v>
      </c>
      <c r="R461" s="427">
        <v>116.42641999999999</v>
      </c>
      <c r="S461" s="427">
        <v>116.42641999999999</v>
      </c>
      <c r="T461" s="427">
        <v>116.42641999999999</v>
      </c>
      <c r="U461" s="427">
        <f t="shared" si="48"/>
        <v>1397.1170399999999</v>
      </c>
    </row>
    <row r="462" spans="1:24">
      <c r="A462" s="427" t="str">
        <f t="shared" si="50"/>
        <v>KU</v>
      </c>
      <c r="B462" s="427" t="str">
        <f t="shared" si="43"/>
        <v>KY</v>
      </c>
      <c r="C462" s="427" t="str">
        <f t="shared" si="44"/>
        <v>E</v>
      </c>
      <c r="D462" s="427" t="s">
        <v>3434</v>
      </c>
      <c r="E462" s="427" t="str">
        <f t="shared" si="47"/>
        <v>341</v>
      </c>
      <c r="F462" s="756" t="s">
        <v>2199</v>
      </c>
      <c r="G462" s="426" t="str">
        <f t="shared" si="49"/>
        <v>OTHER</v>
      </c>
      <c r="H462" s="427">
        <v>124.17994</v>
      </c>
      <c r="I462" s="427">
        <v>124.17994</v>
      </c>
      <c r="J462" s="427">
        <v>124.17994</v>
      </c>
      <c r="K462" s="427">
        <v>124.17994</v>
      </c>
      <c r="L462" s="427">
        <v>124.17994</v>
      </c>
      <c r="M462" s="427">
        <v>124.17994</v>
      </c>
      <c r="N462" s="427">
        <v>124.17994</v>
      </c>
      <c r="O462" s="427">
        <v>124.17994</v>
      </c>
      <c r="P462" s="427">
        <v>124.17994</v>
      </c>
      <c r="Q462" s="427">
        <v>124.17994</v>
      </c>
      <c r="R462" s="427">
        <v>124.17994</v>
      </c>
      <c r="S462" s="427">
        <v>124.17994</v>
      </c>
      <c r="T462" s="427">
        <v>124.17994</v>
      </c>
      <c r="U462" s="427">
        <f t="shared" si="48"/>
        <v>1490.1592800000001</v>
      </c>
    </row>
    <row r="463" spans="1:24">
      <c r="A463" s="427" t="str">
        <f t="shared" si="50"/>
        <v>KU</v>
      </c>
      <c r="B463" s="427" t="str">
        <f t="shared" si="43"/>
        <v>KY</v>
      </c>
      <c r="C463" s="427" t="str">
        <f t="shared" si="44"/>
        <v>E</v>
      </c>
      <c r="D463" s="427" t="s">
        <v>3434</v>
      </c>
      <c r="E463" s="427" t="str">
        <f t="shared" si="47"/>
        <v>341</v>
      </c>
      <c r="F463" s="756" t="s">
        <v>2200</v>
      </c>
      <c r="G463" s="426" t="str">
        <f t="shared" si="49"/>
        <v>OTHER</v>
      </c>
      <c r="H463" s="427">
        <v>5.1014699999999999</v>
      </c>
      <c r="I463" s="427">
        <v>5.1014699999999999</v>
      </c>
      <c r="J463" s="427">
        <v>5.1014699999999999</v>
      </c>
      <c r="K463" s="427">
        <v>5.1014699999999999</v>
      </c>
      <c r="L463" s="427">
        <v>5.1014699999999999</v>
      </c>
      <c r="M463" s="427">
        <v>5.1014699999999999</v>
      </c>
      <c r="N463" s="427">
        <v>5.1014699999999999</v>
      </c>
      <c r="O463" s="427">
        <v>5.1014699999999999</v>
      </c>
      <c r="P463" s="427">
        <v>5.1014699999999999</v>
      </c>
      <c r="Q463" s="427">
        <v>5.1014699999999999</v>
      </c>
      <c r="R463" s="427">
        <v>5.1014699999999999</v>
      </c>
      <c r="S463" s="427">
        <v>5.1014699999999999</v>
      </c>
      <c r="T463" s="427">
        <v>5.1014699999999999</v>
      </c>
      <c r="U463" s="427">
        <f t="shared" si="48"/>
        <v>61.217639999999996</v>
      </c>
      <c r="W463" s="402"/>
      <c r="X463" s="402"/>
    </row>
    <row r="464" spans="1:24">
      <c r="A464" s="427" t="str">
        <f t="shared" si="50"/>
        <v>KU</v>
      </c>
      <c r="B464" s="427" t="str">
        <f t="shared" si="43"/>
        <v>KY</v>
      </c>
      <c r="C464" s="427" t="str">
        <f t="shared" si="44"/>
        <v>E</v>
      </c>
      <c r="D464" s="427" t="s">
        <v>3434</v>
      </c>
      <c r="E464" s="427" t="str">
        <f t="shared" si="47"/>
        <v>342</v>
      </c>
      <c r="F464" s="756" t="s">
        <v>1752</v>
      </c>
      <c r="G464" s="426" t="str">
        <f t="shared" si="49"/>
        <v>OTHER</v>
      </c>
      <c r="H464" s="427">
        <v>55.157029999999999</v>
      </c>
      <c r="I464" s="427">
        <v>55.157029999999999</v>
      </c>
      <c r="J464" s="427">
        <v>55.157029999999999</v>
      </c>
      <c r="K464" s="427">
        <v>55.157029999999999</v>
      </c>
      <c r="L464" s="427">
        <v>55.157029999999999</v>
      </c>
      <c r="M464" s="427">
        <v>55.157029999999999</v>
      </c>
      <c r="N464" s="427">
        <v>55.157029999999999</v>
      </c>
      <c r="O464" s="427">
        <v>55.157029999999999</v>
      </c>
      <c r="P464" s="427">
        <v>55.157029999999999</v>
      </c>
      <c r="Q464" s="427">
        <v>55.157029999999999</v>
      </c>
      <c r="R464" s="427">
        <v>55.157029999999999</v>
      </c>
      <c r="S464" s="427">
        <v>55.157029999999999</v>
      </c>
      <c r="T464" s="427">
        <v>55.157029999999999</v>
      </c>
      <c r="U464" s="427">
        <f t="shared" si="48"/>
        <v>661.88436000000002</v>
      </c>
    </row>
    <row r="465" spans="1:21">
      <c r="A465" s="427" t="str">
        <f t="shared" si="50"/>
        <v>KU</v>
      </c>
      <c r="B465" s="427" t="str">
        <f t="shared" si="43"/>
        <v>KY</v>
      </c>
      <c r="C465" s="427" t="str">
        <f t="shared" si="44"/>
        <v>E</v>
      </c>
      <c r="D465" s="427" t="s">
        <v>3434</v>
      </c>
      <c r="E465" s="427" t="str">
        <f t="shared" si="47"/>
        <v>342</v>
      </c>
      <c r="F465" s="756" t="s">
        <v>2201</v>
      </c>
      <c r="G465" s="426" t="str">
        <f t="shared" si="49"/>
        <v>OTHER</v>
      </c>
      <c r="H465" s="427">
        <v>16.325109999999999</v>
      </c>
      <c r="I465" s="427">
        <v>16.325109999999999</v>
      </c>
      <c r="J465" s="427">
        <v>16.325109999999999</v>
      </c>
      <c r="K465" s="427">
        <v>16.325109999999999</v>
      </c>
      <c r="L465" s="427">
        <v>16.325109999999999</v>
      </c>
      <c r="M465" s="427">
        <v>16.325109999999999</v>
      </c>
      <c r="N465" s="427">
        <v>16.325109999999999</v>
      </c>
      <c r="O465" s="427">
        <v>16.325109999999999</v>
      </c>
      <c r="P465" s="427">
        <v>16.325109999999999</v>
      </c>
      <c r="Q465" s="427">
        <v>16.325109999999999</v>
      </c>
      <c r="R465" s="427">
        <v>16.325109999999999</v>
      </c>
      <c r="S465" s="427">
        <v>16.325109999999999</v>
      </c>
      <c r="T465" s="427">
        <v>16.325109999999999</v>
      </c>
      <c r="U465" s="427">
        <f t="shared" si="48"/>
        <v>195.90131999999997</v>
      </c>
    </row>
    <row r="466" spans="1:21">
      <c r="A466" s="427" t="str">
        <f t="shared" si="50"/>
        <v>KU</v>
      </c>
      <c r="B466" s="427" t="str">
        <f t="shared" si="43"/>
        <v>KY</v>
      </c>
      <c r="C466" s="427" t="str">
        <f t="shared" si="44"/>
        <v>E</v>
      </c>
      <c r="D466" s="427" t="s">
        <v>3434</v>
      </c>
      <c r="E466" s="427" t="str">
        <f t="shared" si="47"/>
        <v>342</v>
      </c>
      <c r="F466" s="756" t="s">
        <v>2202</v>
      </c>
      <c r="G466" s="426" t="str">
        <f t="shared" si="49"/>
        <v>OTHER</v>
      </c>
      <c r="H466" s="427">
        <v>116.43714999999899</v>
      </c>
      <c r="I466" s="427">
        <v>116.43714999999899</v>
      </c>
      <c r="J466" s="427">
        <v>116.43714999999899</v>
      </c>
      <c r="K466" s="427">
        <v>116.43714999999899</v>
      </c>
      <c r="L466" s="427">
        <v>116.43714999999899</v>
      </c>
      <c r="M466" s="427">
        <v>139.76012</v>
      </c>
      <c r="N466" s="427">
        <v>164.94403</v>
      </c>
      <c r="O466" s="427">
        <v>166.80498</v>
      </c>
      <c r="P466" s="427">
        <v>166.80498</v>
      </c>
      <c r="Q466" s="427">
        <v>166.80498</v>
      </c>
      <c r="R466" s="427">
        <v>166.80498</v>
      </c>
      <c r="S466" s="427">
        <v>166.80498</v>
      </c>
      <c r="T466" s="427">
        <v>166.80498</v>
      </c>
      <c r="U466" s="427">
        <f t="shared" si="48"/>
        <v>1771.2826299999956</v>
      </c>
    </row>
    <row r="467" spans="1:21">
      <c r="A467" s="427" t="str">
        <f t="shared" si="50"/>
        <v>KU</v>
      </c>
      <c r="B467" s="427" t="str">
        <f t="shared" si="43"/>
        <v>KY</v>
      </c>
      <c r="C467" s="427" t="str">
        <f t="shared" si="44"/>
        <v>E</v>
      </c>
      <c r="D467" s="427" t="s">
        <v>3434</v>
      </c>
      <c r="E467" s="427" t="str">
        <f t="shared" si="47"/>
        <v>343</v>
      </c>
      <c r="F467" s="756" t="s">
        <v>1753</v>
      </c>
      <c r="G467" s="426" t="str">
        <f t="shared" si="49"/>
        <v>OTHER</v>
      </c>
      <c r="H467" s="427">
        <v>1637.01026</v>
      </c>
      <c r="I467" s="427">
        <v>1665.66023</v>
      </c>
      <c r="J467" s="427">
        <v>1694.1018200000001</v>
      </c>
      <c r="K467" s="427">
        <v>1694.1018200000001</v>
      </c>
      <c r="L467" s="427">
        <v>1694.1018200000001</v>
      </c>
      <c r="M467" s="427">
        <v>1695.0768</v>
      </c>
      <c r="N467" s="427">
        <v>1696.48053</v>
      </c>
      <c r="O467" s="427">
        <v>1697.48206</v>
      </c>
      <c r="P467" s="427">
        <v>1699.8136500000001</v>
      </c>
      <c r="Q467" s="427">
        <v>1701.57247999999</v>
      </c>
      <c r="R467" s="427">
        <v>1701.57247999999</v>
      </c>
      <c r="S467" s="427">
        <v>1701.57247999999</v>
      </c>
      <c r="T467" s="427">
        <v>1701.57247999999</v>
      </c>
      <c r="U467" s="427">
        <f t="shared" si="48"/>
        <v>20343.108649999966</v>
      </c>
    </row>
    <row r="468" spans="1:21">
      <c r="A468" s="427" t="str">
        <f t="shared" si="50"/>
        <v>KU</v>
      </c>
      <c r="B468" s="427" t="str">
        <f t="shared" si="43"/>
        <v>KY</v>
      </c>
      <c r="C468" s="427" t="str">
        <f t="shared" si="44"/>
        <v>E</v>
      </c>
      <c r="D468" s="427" t="s">
        <v>3434</v>
      </c>
      <c r="E468" s="427" t="str">
        <f t="shared" si="47"/>
        <v>343</v>
      </c>
      <c r="F468" s="756" t="s">
        <v>2203</v>
      </c>
      <c r="G468" s="426" t="str">
        <f t="shared" si="49"/>
        <v>OTHER</v>
      </c>
      <c r="H468" s="427">
        <v>779.20100000000002</v>
      </c>
      <c r="I468" s="427">
        <v>779.20100000000002</v>
      </c>
      <c r="J468" s="427">
        <v>779.34793000000002</v>
      </c>
      <c r="K468" s="427">
        <v>779.49486000000002</v>
      </c>
      <c r="L468" s="427">
        <v>779.49486000000002</v>
      </c>
      <c r="M468" s="427">
        <v>779.64179000000001</v>
      </c>
      <c r="N468" s="427">
        <v>779.89058999999997</v>
      </c>
      <c r="O468" s="427">
        <v>779.99243999999999</v>
      </c>
      <c r="P468" s="427">
        <v>780.13937999999996</v>
      </c>
      <c r="Q468" s="427">
        <v>780.28629999999998</v>
      </c>
      <c r="R468" s="427">
        <v>780.28629999999998</v>
      </c>
      <c r="S468" s="427">
        <v>780.43358000000001</v>
      </c>
      <c r="T468" s="427">
        <v>799.81897999999899</v>
      </c>
      <c r="U468" s="427">
        <f t="shared" si="48"/>
        <v>9378.0280099999964</v>
      </c>
    </row>
    <row r="469" spans="1:21">
      <c r="A469" s="427" t="str">
        <f t="shared" si="50"/>
        <v>KU</v>
      </c>
      <c r="B469" s="427" t="str">
        <f t="shared" si="43"/>
        <v>KY</v>
      </c>
      <c r="C469" s="427" t="str">
        <f t="shared" si="44"/>
        <v>E</v>
      </c>
      <c r="D469" s="427" t="s">
        <v>3434</v>
      </c>
      <c r="E469" s="427" t="str">
        <f t="shared" si="47"/>
        <v>344</v>
      </c>
      <c r="F469" s="756" t="s">
        <v>1754</v>
      </c>
      <c r="G469" s="426" t="str">
        <f t="shared" si="49"/>
        <v>OTHER</v>
      </c>
      <c r="H469" s="427">
        <v>201.85181</v>
      </c>
      <c r="I469" s="427">
        <v>201.85181</v>
      </c>
      <c r="J469" s="427">
        <v>201.85181</v>
      </c>
      <c r="K469" s="427">
        <v>201.85181</v>
      </c>
      <c r="L469" s="427">
        <v>201.85181</v>
      </c>
      <c r="M469" s="427">
        <v>201.85181</v>
      </c>
      <c r="N469" s="427">
        <v>201.85181</v>
      </c>
      <c r="O469" s="427">
        <v>201.85181</v>
      </c>
      <c r="P469" s="427">
        <v>201.85181</v>
      </c>
      <c r="Q469" s="427">
        <v>201.85181</v>
      </c>
      <c r="R469" s="427">
        <v>201.85181</v>
      </c>
      <c r="S469" s="427">
        <v>201.85181</v>
      </c>
      <c r="T469" s="427">
        <v>203.69111000000001</v>
      </c>
      <c r="U469" s="427">
        <f t="shared" si="48"/>
        <v>2424.0610200000006</v>
      </c>
    </row>
    <row r="470" spans="1:21">
      <c r="A470" s="427" t="str">
        <f t="shared" si="50"/>
        <v>KU</v>
      </c>
      <c r="B470" s="427" t="str">
        <f t="shared" si="43"/>
        <v>KY</v>
      </c>
      <c r="C470" s="427" t="str">
        <f t="shared" si="44"/>
        <v>E</v>
      </c>
      <c r="D470" s="427" t="s">
        <v>3434</v>
      </c>
      <c r="E470" s="427" t="str">
        <f t="shared" si="47"/>
        <v>344</v>
      </c>
      <c r="F470" s="756" t="s">
        <v>2204</v>
      </c>
      <c r="G470" s="426" t="str">
        <f t="shared" si="49"/>
        <v>OTHER</v>
      </c>
      <c r="H470" s="427">
        <v>140.15069</v>
      </c>
      <c r="I470" s="427">
        <v>140.15069</v>
      </c>
      <c r="J470" s="427">
        <v>140.15069</v>
      </c>
      <c r="K470" s="427">
        <v>140.15069</v>
      </c>
      <c r="L470" s="427">
        <v>140.15069</v>
      </c>
      <c r="M470" s="427">
        <v>140.15069</v>
      </c>
      <c r="N470" s="427">
        <v>140.15069</v>
      </c>
      <c r="O470" s="427">
        <v>140.15069</v>
      </c>
      <c r="P470" s="427">
        <v>140.15069</v>
      </c>
      <c r="Q470" s="427">
        <v>140.15069</v>
      </c>
      <c r="R470" s="427">
        <v>140.15069</v>
      </c>
      <c r="S470" s="427">
        <v>140.15069</v>
      </c>
      <c r="T470" s="427">
        <v>140.15069</v>
      </c>
      <c r="U470" s="427">
        <f t="shared" si="48"/>
        <v>1681.8082799999995</v>
      </c>
    </row>
    <row r="471" spans="1:21">
      <c r="A471" s="427" t="str">
        <f t="shared" si="50"/>
        <v>KU</v>
      </c>
      <c r="B471" s="427" t="str">
        <f t="shared" ref="B471:B534" si="51">IF(MID($F471,12,2)="- ","KY",IF(MID($F471,12,2)="SY","KY",MID($F471,12,2)))</f>
        <v>KY</v>
      </c>
      <c r="C471" s="427" t="str">
        <f t="shared" si="44"/>
        <v>E</v>
      </c>
      <c r="D471" s="427" t="s">
        <v>3434</v>
      </c>
      <c r="E471" s="427" t="str">
        <f t="shared" si="47"/>
        <v>344</v>
      </c>
      <c r="F471" s="756" t="s">
        <v>2205</v>
      </c>
      <c r="G471" s="426" t="str">
        <f t="shared" si="49"/>
        <v>OTHER</v>
      </c>
      <c r="H471" s="427">
        <v>50.20543</v>
      </c>
      <c r="I471" s="427">
        <v>50.20543</v>
      </c>
      <c r="J471" s="427">
        <v>50.20543</v>
      </c>
      <c r="K471" s="427">
        <v>50.20543</v>
      </c>
      <c r="L471" s="427">
        <v>50.20543</v>
      </c>
      <c r="M471" s="427">
        <v>50.20543</v>
      </c>
      <c r="N471" s="427">
        <v>50.20543</v>
      </c>
      <c r="O471" s="427">
        <v>50.20543</v>
      </c>
      <c r="P471" s="427">
        <v>50.20543</v>
      </c>
      <c r="Q471" s="427">
        <v>50.20543</v>
      </c>
      <c r="R471" s="427">
        <v>50.20543</v>
      </c>
      <c r="S471" s="427">
        <v>50.20543</v>
      </c>
      <c r="T471" s="427">
        <v>50.20543</v>
      </c>
      <c r="U471" s="427">
        <f t="shared" si="48"/>
        <v>602.46515999999986</v>
      </c>
    </row>
    <row r="472" spans="1:21">
      <c r="A472" s="427" t="str">
        <f t="shared" si="50"/>
        <v>KU</v>
      </c>
      <c r="B472" s="427" t="str">
        <f t="shared" si="51"/>
        <v>KY</v>
      </c>
      <c r="C472" s="427" t="str">
        <f t="shared" si="44"/>
        <v>E</v>
      </c>
      <c r="D472" s="427" t="s">
        <v>3434</v>
      </c>
      <c r="E472" s="427" t="str">
        <f t="shared" si="47"/>
        <v>345</v>
      </c>
      <c r="F472" s="756" t="s">
        <v>1755</v>
      </c>
      <c r="G472" s="426" t="str">
        <f t="shared" si="49"/>
        <v>OTHER</v>
      </c>
      <c r="H472" s="427">
        <v>193.85239999999999</v>
      </c>
      <c r="I472" s="427">
        <v>193.94014000000001</v>
      </c>
      <c r="J472" s="427">
        <v>193.94014000000001</v>
      </c>
      <c r="K472" s="427">
        <v>193.94014000000001</v>
      </c>
      <c r="L472" s="427">
        <v>193.94014000000001</v>
      </c>
      <c r="M472" s="427">
        <v>193.94014000000001</v>
      </c>
      <c r="N472" s="427">
        <v>193.94014000000001</v>
      </c>
      <c r="O472" s="427">
        <v>193.94014000000001</v>
      </c>
      <c r="P472" s="427">
        <v>193.94014000000001</v>
      </c>
      <c r="Q472" s="427">
        <v>193.94014000000001</v>
      </c>
      <c r="R472" s="427">
        <v>193.94014000000001</v>
      </c>
      <c r="S472" s="427">
        <v>193.94014000000001</v>
      </c>
      <c r="T472" s="427">
        <v>194.46611999999999</v>
      </c>
      <c r="U472" s="427">
        <f t="shared" si="48"/>
        <v>2327.8076599999999</v>
      </c>
    </row>
    <row r="473" spans="1:21">
      <c r="A473" s="427" t="str">
        <f t="shared" si="50"/>
        <v>KU</v>
      </c>
      <c r="B473" s="427" t="str">
        <f t="shared" si="51"/>
        <v>KY</v>
      </c>
      <c r="C473" s="427" t="str">
        <f t="shared" si="44"/>
        <v>E</v>
      </c>
      <c r="D473" s="427" t="s">
        <v>3434</v>
      </c>
      <c r="E473" s="427" t="str">
        <f t="shared" si="47"/>
        <v>345</v>
      </c>
      <c r="F473" s="756" t="s">
        <v>2206</v>
      </c>
      <c r="G473" s="426" t="str">
        <f t="shared" si="49"/>
        <v>OTHER</v>
      </c>
      <c r="H473" s="427">
        <v>65.147649999999999</v>
      </c>
      <c r="I473" s="427">
        <v>65.147649999999999</v>
      </c>
      <c r="J473" s="427">
        <v>65.147649999999999</v>
      </c>
      <c r="K473" s="427">
        <v>65.147649999999999</v>
      </c>
      <c r="L473" s="427">
        <v>65.147649999999999</v>
      </c>
      <c r="M473" s="427">
        <v>65.147649999999999</v>
      </c>
      <c r="N473" s="427">
        <v>65.147649999999999</v>
      </c>
      <c r="O473" s="427">
        <v>65.147649999999999</v>
      </c>
      <c r="P473" s="427">
        <v>65.147649999999999</v>
      </c>
      <c r="Q473" s="427">
        <v>65.147649999999999</v>
      </c>
      <c r="R473" s="427">
        <v>65.147649999999999</v>
      </c>
      <c r="S473" s="427">
        <v>65.147649999999999</v>
      </c>
      <c r="T473" s="427">
        <v>65.147649999999999</v>
      </c>
      <c r="U473" s="427">
        <f t="shared" si="48"/>
        <v>781.77179999999998</v>
      </c>
    </row>
    <row r="474" spans="1:21">
      <c r="A474" s="427" t="str">
        <f t="shared" si="50"/>
        <v>KU</v>
      </c>
      <c r="B474" s="427" t="str">
        <f t="shared" si="51"/>
        <v>KY</v>
      </c>
      <c r="C474" s="427" t="str">
        <f t="shared" si="44"/>
        <v>E</v>
      </c>
      <c r="D474" s="427" t="s">
        <v>3434</v>
      </c>
      <c r="E474" s="427" t="str">
        <f t="shared" si="47"/>
        <v>345</v>
      </c>
      <c r="F474" s="756" t="s">
        <v>2207</v>
      </c>
      <c r="G474" s="426" t="str">
        <f t="shared" si="49"/>
        <v>OTHER</v>
      </c>
      <c r="H474" s="427">
        <v>1.6185400000000001</v>
      </c>
      <c r="I474" s="427">
        <v>1.6185400000000001</v>
      </c>
      <c r="J474" s="427">
        <v>1.6185400000000001</v>
      </c>
      <c r="K474" s="427">
        <v>1.6185400000000001</v>
      </c>
      <c r="L474" s="427">
        <v>1.6185400000000001</v>
      </c>
      <c r="M474" s="427">
        <v>1.6185400000000001</v>
      </c>
      <c r="N474" s="427">
        <v>1.6185400000000001</v>
      </c>
      <c r="O474" s="427">
        <v>1.6185400000000001</v>
      </c>
      <c r="P474" s="427">
        <v>3.48949</v>
      </c>
      <c r="Q474" s="427">
        <v>5.4348700000000001</v>
      </c>
      <c r="R474" s="427">
        <v>5.5837300000000001</v>
      </c>
      <c r="S474" s="427">
        <v>5.7325999999999997</v>
      </c>
      <c r="T474" s="427">
        <v>5.8814599999999997</v>
      </c>
      <c r="U474" s="427">
        <f t="shared" si="48"/>
        <v>37.451929999999997</v>
      </c>
    </row>
    <row r="475" spans="1:21">
      <c r="A475" s="427" t="str">
        <f t="shared" si="50"/>
        <v>KU</v>
      </c>
      <c r="B475" s="427" t="str">
        <f t="shared" si="51"/>
        <v>KY</v>
      </c>
      <c r="C475" s="427" t="str">
        <f t="shared" ref="C475:C538" si="52">IF(ISTEXT(MID($F475,SEARCH("FUTURE USE",$F475),3)),"F",IF(MID($F475,7,1)="1","E",IF(MID($F475,7,1)="2","G",IF(MID($F475,7,1)="3","C",""))))</f>
        <v>E</v>
      </c>
      <c r="D475" s="427" t="s">
        <v>3434</v>
      </c>
      <c r="E475" s="427" t="str">
        <f t="shared" si="47"/>
        <v>346</v>
      </c>
      <c r="F475" s="756" t="s">
        <v>1756</v>
      </c>
      <c r="G475" s="426" t="str">
        <f t="shared" si="49"/>
        <v>OTHER</v>
      </c>
      <c r="H475" s="427">
        <v>21.698309999999999</v>
      </c>
      <c r="I475" s="427">
        <v>22.8025699999999</v>
      </c>
      <c r="J475" s="427">
        <v>22.820889999999999</v>
      </c>
      <c r="K475" s="427">
        <v>22.839199999999899</v>
      </c>
      <c r="L475" s="427">
        <v>22.839199999999899</v>
      </c>
      <c r="M475" s="427">
        <v>27.641119999999901</v>
      </c>
      <c r="N475" s="427">
        <v>32.4430499999999</v>
      </c>
      <c r="O475" s="427">
        <v>32.4430499999999</v>
      </c>
      <c r="P475" s="427">
        <v>32.4430499999999</v>
      </c>
      <c r="Q475" s="427">
        <v>32.4430499999999</v>
      </c>
      <c r="R475" s="427">
        <v>33.354579999999899</v>
      </c>
      <c r="S475" s="427">
        <v>34.266120000000001</v>
      </c>
      <c r="T475" s="427">
        <v>35.559910000000002</v>
      </c>
      <c r="U475" s="427">
        <f t="shared" si="48"/>
        <v>351.89578999999912</v>
      </c>
    </row>
    <row r="476" spans="1:21">
      <c r="A476" s="427" t="str">
        <f t="shared" si="50"/>
        <v>KU</v>
      </c>
      <c r="B476" s="427" t="str">
        <f t="shared" si="51"/>
        <v>KY</v>
      </c>
      <c r="C476" s="427" t="str">
        <f t="shared" si="52"/>
        <v>E</v>
      </c>
      <c r="D476" s="427" t="s">
        <v>3434</v>
      </c>
      <c r="E476" s="427" t="str">
        <f t="shared" si="47"/>
        <v>346</v>
      </c>
      <c r="F476" s="756" t="s">
        <v>2208</v>
      </c>
      <c r="G476" s="426" t="str">
        <f t="shared" si="49"/>
        <v>OTHER</v>
      </c>
      <c r="H476" s="427">
        <v>10.505660000000001</v>
      </c>
      <c r="I476" s="427">
        <v>10.505660000000001</v>
      </c>
      <c r="J476" s="427">
        <v>10.87556</v>
      </c>
      <c r="K476" s="427">
        <v>11.245469999999999</v>
      </c>
      <c r="L476" s="427">
        <v>11.245469999999999</v>
      </c>
      <c r="M476" s="427">
        <v>11.48166</v>
      </c>
      <c r="N476" s="427">
        <v>11.717839999999899</v>
      </c>
      <c r="O476" s="427">
        <v>11.717839999999899</v>
      </c>
      <c r="P476" s="427">
        <v>11.717839999999899</v>
      </c>
      <c r="Q476" s="427">
        <v>11.717839999999899</v>
      </c>
      <c r="R476" s="427">
        <v>11.717839999999899</v>
      </c>
      <c r="S476" s="427">
        <v>12.092659999999899</v>
      </c>
      <c r="T476" s="427">
        <v>12.467469999999899</v>
      </c>
      <c r="U476" s="427">
        <f t="shared" ref="U476:U546" si="53">SUM(I476:T476)</f>
        <v>138.50314999999927</v>
      </c>
    </row>
    <row r="477" spans="1:21">
      <c r="A477" s="427" t="str">
        <f t="shared" si="50"/>
        <v>KU</v>
      </c>
      <c r="B477" s="427" t="str">
        <f t="shared" si="51"/>
        <v>KY</v>
      </c>
      <c r="C477" s="427" t="str">
        <f t="shared" si="52"/>
        <v>E</v>
      </c>
      <c r="D477" s="427" t="s">
        <v>3434</v>
      </c>
      <c r="E477" s="427" t="str">
        <f t="shared" si="47"/>
        <v>346</v>
      </c>
      <c r="F477" s="756" t="s">
        <v>2209</v>
      </c>
      <c r="G477" s="426" t="str">
        <f t="shared" si="49"/>
        <v>OTHER</v>
      </c>
      <c r="H477" s="427">
        <v>1.5044200000000001</v>
      </c>
      <c r="I477" s="427">
        <v>1.5044200000000001</v>
      </c>
      <c r="J477" s="427">
        <v>1.5044200000000001</v>
      </c>
      <c r="K477" s="427">
        <v>1.5044200000000001</v>
      </c>
      <c r="L477" s="427">
        <v>1.5044200000000001</v>
      </c>
      <c r="M477" s="427">
        <v>1.5044200000000001</v>
      </c>
      <c r="N477" s="427">
        <v>1.5044200000000001</v>
      </c>
      <c r="O477" s="427">
        <v>1.5044200000000001</v>
      </c>
      <c r="P477" s="427">
        <v>1.5044200000000001</v>
      </c>
      <c r="Q477" s="427">
        <v>1.5044200000000001</v>
      </c>
      <c r="R477" s="427">
        <v>1.5044200000000001</v>
      </c>
      <c r="S477" s="427">
        <v>1.5044200000000001</v>
      </c>
      <c r="T477" s="427">
        <v>1.5044200000000001</v>
      </c>
      <c r="U477" s="427">
        <f t="shared" si="53"/>
        <v>18.053039999999999</v>
      </c>
    </row>
    <row r="478" spans="1:21">
      <c r="A478" s="427" t="str">
        <f t="shared" si="50"/>
        <v>KU</v>
      </c>
      <c r="B478" s="427" t="str">
        <f t="shared" si="51"/>
        <v>KY</v>
      </c>
      <c r="C478" s="427" t="str">
        <f t="shared" si="52"/>
        <v>E</v>
      </c>
      <c r="D478" s="427" t="s">
        <v>3434</v>
      </c>
      <c r="E478" s="427" t="str">
        <f t="shared" si="47"/>
        <v>347</v>
      </c>
      <c r="F478" s="756" t="s">
        <v>2210</v>
      </c>
      <c r="G478" s="426" t="str">
        <f t="shared" si="49"/>
        <v>OTHER</v>
      </c>
      <c r="H478" s="427">
        <v>1.6791199999999999</v>
      </c>
      <c r="I478" s="427">
        <v>1.6791199999999999</v>
      </c>
      <c r="J478" s="427">
        <v>1.6791199999999999</v>
      </c>
      <c r="K478" s="427">
        <v>1.6791199999999999</v>
      </c>
      <c r="L478" s="427">
        <v>1.6791199999999999</v>
      </c>
      <c r="M478" s="427">
        <v>1.6791199999999999</v>
      </c>
      <c r="N478" s="427">
        <v>1.6791199999999999</v>
      </c>
      <c r="O478" s="427">
        <v>1.6791199999999999</v>
      </c>
      <c r="P478" s="427">
        <v>1.6791199999999999</v>
      </c>
      <c r="Q478" s="427">
        <v>0.22598275986529801</v>
      </c>
      <c r="R478" s="427">
        <v>0.22598275986529801</v>
      </c>
      <c r="S478" s="427">
        <v>0.22598275986529801</v>
      </c>
      <c r="T478" s="427">
        <v>0.22598275986529801</v>
      </c>
      <c r="U478" s="427">
        <f t="shared" si="53"/>
        <v>14.336891039461189</v>
      </c>
    </row>
    <row r="479" spans="1:21">
      <c r="A479" s="427" t="str">
        <f t="shared" si="50"/>
        <v>KU</v>
      </c>
      <c r="B479" s="427" t="str">
        <f t="shared" si="51"/>
        <v>KY</v>
      </c>
      <c r="C479" s="427" t="str">
        <f t="shared" si="52"/>
        <v>E</v>
      </c>
      <c r="D479" s="427" t="s">
        <v>3434</v>
      </c>
      <c r="E479" s="427" t="str">
        <f t="shared" si="47"/>
        <v>350</v>
      </c>
      <c r="F479" s="756" t="s">
        <v>1757</v>
      </c>
      <c r="G479" s="426" t="str">
        <f t="shared" si="49"/>
        <v>TRANSMISSION</v>
      </c>
      <c r="H479" s="427">
        <v>19.668769999999999</v>
      </c>
      <c r="I479" s="427">
        <v>19.668769999999999</v>
      </c>
      <c r="J479" s="427">
        <v>19.668769999999999</v>
      </c>
      <c r="K479" s="427">
        <v>19.668769999999999</v>
      </c>
      <c r="L479" s="427">
        <v>19.668769999999999</v>
      </c>
      <c r="M479" s="427">
        <v>19.668769999999999</v>
      </c>
      <c r="N479" s="427">
        <v>19.668769999999999</v>
      </c>
      <c r="O479" s="427">
        <v>19.668769999999999</v>
      </c>
      <c r="P479" s="427">
        <v>19.668769999999999</v>
      </c>
      <c r="Q479" s="427">
        <v>19.668769999999999</v>
      </c>
      <c r="R479" s="427">
        <v>19.668769999999999</v>
      </c>
      <c r="S479" s="427">
        <v>19.668769999999999</v>
      </c>
      <c r="T479" s="427">
        <v>19.668769999999999</v>
      </c>
      <c r="U479" s="427">
        <f t="shared" si="53"/>
        <v>236.02523999999997</v>
      </c>
    </row>
    <row r="480" spans="1:21">
      <c r="A480" s="427" t="str">
        <f t="shared" si="50"/>
        <v>KU</v>
      </c>
      <c r="B480" s="427" t="str">
        <f t="shared" si="51"/>
        <v>TN</v>
      </c>
      <c r="C480" s="427" t="str">
        <f t="shared" si="52"/>
        <v>E</v>
      </c>
      <c r="D480" s="427" t="s">
        <v>3434</v>
      </c>
      <c r="E480" s="427" t="str">
        <f t="shared" si="47"/>
        <v>350</v>
      </c>
      <c r="F480" s="756" t="s">
        <v>1758</v>
      </c>
      <c r="G480" s="426" t="str">
        <f t="shared" si="49"/>
        <v>TRANSMISSION</v>
      </c>
      <c r="H480" s="427">
        <v>3.1E-4</v>
      </c>
      <c r="I480" s="427">
        <v>3.1E-4</v>
      </c>
      <c r="J480" s="427">
        <v>3.1E-4</v>
      </c>
      <c r="K480" s="427">
        <v>3.1E-4</v>
      </c>
      <c r="L480" s="427">
        <v>3.1E-4</v>
      </c>
      <c r="M480" s="427">
        <v>3.1E-4</v>
      </c>
      <c r="N480" s="427">
        <v>3.1E-4</v>
      </c>
      <c r="O480" s="427">
        <v>3.1E-4</v>
      </c>
      <c r="P480" s="427">
        <v>3.1E-4</v>
      </c>
      <c r="Q480" s="427">
        <v>3.1E-4</v>
      </c>
      <c r="R480" s="427">
        <v>3.1E-4</v>
      </c>
      <c r="S480" s="427">
        <v>3.1E-4</v>
      </c>
      <c r="T480" s="427">
        <v>3.1E-4</v>
      </c>
      <c r="U480" s="427">
        <f t="shared" si="53"/>
        <v>3.7199999999999998E-3</v>
      </c>
    </row>
    <row r="481" spans="1:21">
      <c r="A481" s="427" t="str">
        <f t="shared" si="50"/>
        <v>KU</v>
      </c>
      <c r="B481" s="427" t="str">
        <f t="shared" si="51"/>
        <v>VA</v>
      </c>
      <c r="C481" s="427" t="str">
        <f t="shared" si="52"/>
        <v>E</v>
      </c>
      <c r="D481" s="427" t="s">
        <v>3434</v>
      </c>
      <c r="E481" s="427" t="str">
        <f t="shared" si="47"/>
        <v>350</v>
      </c>
      <c r="F481" s="756" t="s">
        <v>1759</v>
      </c>
      <c r="G481" s="426" t="str">
        <f t="shared" si="49"/>
        <v>TRANSMISSION</v>
      </c>
      <c r="H481" s="427">
        <v>1.5906199999999999</v>
      </c>
      <c r="I481" s="427">
        <v>1.5906199999999999</v>
      </c>
      <c r="J481" s="427">
        <v>1.5906199999999999</v>
      </c>
      <c r="K481" s="427">
        <v>1.5906199999999999</v>
      </c>
      <c r="L481" s="427">
        <v>1.5906199999999999</v>
      </c>
      <c r="M481" s="427">
        <v>1.5906199999999999</v>
      </c>
      <c r="N481" s="427">
        <v>1.5906199999999999</v>
      </c>
      <c r="O481" s="427">
        <v>1.5906199999999999</v>
      </c>
      <c r="P481" s="427">
        <v>1.5906199999999999</v>
      </c>
      <c r="Q481" s="427">
        <v>1.5906199999999999</v>
      </c>
      <c r="R481" s="427">
        <v>1.5906199999999999</v>
      </c>
      <c r="S481" s="427">
        <v>1.5906199999999999</v>
      </c>
      <c r="T481" s="427">
        <v>1.5906199999999999</v>
      </c>
      <c r="U481" s="427">
        <f t="shared" si="53"/>
        <v>19.087439999999997</v>
      </c>
    </row>
    <row r="482" spans="1:21">
      <c r="A482" s="427" t="str">
        <f t="shared" si="50"/>
        <v>KU</v>
      </c>
      <c r="B482" s="427" t="str">
        <f t="shared" si="51"/>
        <v>KY</v>
      </c>
      <c r="C482" s="427" t="str">
        <f t="shared" si="52"/>
        <v>E</v>
      </c>
      <c r="D482" s="427" t="s">
        <v>3434</v>
      </c>
      <c r="E482" s="427" t="str">
        <f t="shared" si="47"/>
        <v>352</v>
      </c>
      <c r="F482" s="756" t="s">
        <v>1760</v>
      </c>
      <c r="G482" s="426" t="str">
        <f t="shared" si="49"/>
        <v>TRANSMISSION</v>
      </c>
      <c r="H482" s="427">
        <v>1.85503999999999</v>
      </c>
      <c r="I482" s="427">
        <v>1.85503999999999</v>
      </c>
      <c r="J482" s="427">
        <v>1.85503999999999</v>
      </c>
      <c r="K482" s="427">
        <v>1.85503999999999</v>
      </c>
      <c r="L482" s="427">
        <v>1.85503999999999</v>
      </c>
      <c r="M482" s="427">
        <v>1.85503999999999</v>
      </c>
      <c r="N482" s="427">
        <v>1.91434999999999</v>
      </c>
      <c r="O482" s="427">
        <v>1.97366</v>
      </c>
      <c r="P482" s="427">
        <v>1.97366</v>
      </c>
      <c r="Q482" s="427">
        <v>1.97366</v>
      </c>
      <c r="R482" s="427">
        <v>1.97366</v>
      </c>
      <c r="S482" s="427">
        <v>1.97366</v>
      </c>
      <c r="T482" s="427">
        <v>1.97366</v>
      </c>
      <c r="U482" s="427">
        <f t="shared" si="53"/>
        <v>23.031509999999937</v>
      </c>
    </row>
    <row r="483" spans="1:21">
      <c r="A483" s="427" t="str">
        <f t="shared" si="50"/>
        <v>KU</v>
      </c>
      <c r="B483" s="427" t="str">
        <f t="shared" si="51"/>
        <v>KY</v>
      </c>
      <c r="C483" s="427" t="str">
        <f t="shared" si="52"/>
        <v>E</v>
      </c>
      <c r="D483" s="427" t="s">
        <v>3434</v>
      </c>
      <c r="E483" s="427" t="str">
        <f t="shared" si="47"/>
        <v>352</v>
      </c>
      <c r="F483" s="756" t="s">
        <v>1761</v>
      </c>
      <c r="G483" s="426" t="str">
        <f t="shared" si="49"/>
        <v>TRANSMISSION</v>
      </c>
      <c r="H483" s="427">
        <v>36.728059999999999</v>
      </c>
      <c r="I483" s="427">
        <v>36.728059999999999</v>
      </c>
      <c r="J483" s="427">
        <v>36.728059999999999</v>
      </c>
      <c r="K483" s="427">
        <v>36.728059999999999</v>
      </c>
      <c r="L483" s="427">
        <v>36.728059999999999</v>
      </c>
      <c r="M483" s="427">
        <v>36.728059999999999</v>
      </c>
      <c r="N483" s="427">
        <v>36.728059999999999</v>
      </c>
      <c r="O483" s="427">
        <v>36.728059999999999</v>
      </c>
      <c r="P483" s="427">
        <v>36.728059999999999</v>
      </c>
      <c r="Q483" s="427">
        <v>36.728059999999999</v>
      </c>
      <c r="R483" s="427">
        <v>36.728059999999999</v>
      </c>
      <c r="S483" s="427">
        <v>36.728059999999999</v>
      </c>
      <c r="T483" s="427">
        <v>36.728059999999999</v>
      </c>
      <c r="U483" s="427">
        <f t="shared" si="53"/>
        <v>440.7367200000001</v>
      </c>
    </row>
    <row r="484" spans="1:21">
      <c r="A484" s="427" t="str">
        <f t="shared" si="50"/>
        <v>KU</v>
      </c>
      <c r="B484" s="427" t="str">
        <f t="shared" si="51"/>
        <v>VA</v>
      </c>
      <c r="C484" s="427" t="str">
        <f t="shared" si="52"/>
        <v>E</v>
      </c>
      <c r="D484" s="427" t="s">
        <v>3434</v>
      </c>
      <c r="E484" s="427" t="str">
        <f t="shared" si="47"/>
        <v>352</v>
      </c>
      <c r="F484" s="756" t="s">
        <v>1762</v>
      </c>
      <c r="G484" s="426" t="str">
        <f t="shared" si="49"/>
        <v>TRANSMISSION</v>
      </c>
      <c r="H484" s="427">
        <v>2.4114300000000002</v>
      </c>
      <c r="I484" s="427">
        <v>2.4114300000000002</v>
      </c>
      <c r="J484" s="427">
        <v>2.4114300000000002</v>
      </c>
      <c r="K484" s="427">
        <v>2.4114300000000002</v>
      </c>
      <c r="L484" s="427">
        <v>2.4114300000000002</v>
      </c>
      <c r="M484" s="427">
        <v>2.4114300000000002</v>
      </c>
      <c r="N484" s="427">
        <v>2.4114300000000002</v>
      </c>
      <c r="O484" s="427">
        <v>2.4114300000000002</v>
      </c>
      <c r="P484" s="427">
        <v>2.4114300000000002</v>
      </c>
      <c r="Q484" s="427">
        <v>2.4114300000000002</v>
      </c>
      <c r="R484" s="427">
        <v>2.4114300000000002</v>
      </c>
      <c r="S484" s="427">
        <v>2.4114300000000002</v>
      </c>
      <c r="T484" s="427">
        <v>2.4114300000000002</v>
      </c>
      <c r="U484" s="427">
        <f t="shared" si="53"/>
        <v>28.937159999999995</v>
      </c>
    </row>
    <row r="485" spans="1:21">
      <c r="A485" s="427" t="str">
        <f t="shared" si="50"/>
        <v>KU</v>
      </c>
      <c r="B485" s="427" t="str">
        <f t="shared" si="51"/>
        <v>KY</v>
      </c>
      <c r="C485" s="427" t="str">
        <f t="shared" si="52"/>
        <v>E</v>
      </c>
      <c r="D485" s="427" t="s">
        <v>3434</v>
      </c>
      <c r="E485" s="427" t="str">
        <f t="shared" si="47"/>
        <v>353</v>
      </c>
      <c r="F485" s="756" t="s">
        <v>1763</v>
      </c>
      <c r="G485" s="426" t="str">
        <f t="shared" si="49"/>
        <v>TRANSMISSION</v>
      </c>
      <c r="H485" s="427">
        <v>522.20925</v>
      </c>
      <c r="I485" s="427">
        <v>524.39948000000004</v>
      </c>
      <c r="J485" s="427">
        <v>526.289749999999</v>
      </c>
      <c r="K485" s="427">
        <v>529.94096999999999</v>
      </c>
      <c r="L485" s="427">
        <v>531.90270999999996</v>
      </c>
      <c r="M485" s="427">
        <v>532.21729000000005</v>
      </c>
      <c r="N485" s="427">
        <v>532.62680999999998</v>
      </c>
      <c r="O485" s="427">
        <v>532.71447000000001</v>
      </c>
      <c r="P485" s="427">
        <v>547.39122999999995</v>
      </c>
      <c r="Q485" s="427">
        <v>562.22031000000004</v>
      </c>
      <c r="R485" s="427">
        <v>562.70754999999997</v>
      </c>
      <c r="S485" s="427">
        <v>564.81232</v>
      </c>
      <c r="T485" s="427">
        <v>567.46316999999999</v>
      </c>
      <c r="U485" s="427">
        <f t="shared" si="53"/>
        <v>6514.6860599999991</v>
      </c>
    </row>
    <row r="486" spans="1:21">
      <c r="A486" s="427" t="str">
        <f t="shared" si="50"/>
        <v>KU</v>
      </c>
      <c r="B486" s="427" t="str">
        <f t="shared" si="51"/>
        <v>VA</v>
      </c>
      <c r="C486" s="427" t="str">
        <f t="shared" si="52"/>
        <v>E</v>
      </c>
      <c r="D486" s="427" t="s">
        <v>3434</v>
      </c>
      <c r="E486" s="427" t="str">
        <f t="shared" si="47"/>
        <v>353</v>
      </c>
      <c r="F486" s="756" t="s">
        <v>1765</v>
      </c>
      <c r="G486" s="426" t="str">
        <f t="shared" si="49"/>
        <v>TRANSMISSION</v>
      </c>
      <c r="H486" s="427">
        <v>36.340879999999999</v>
      </c>
      <c r="I486" s="427">
        <v>36.340879999999999</v>
      </c>
      <c r="J486" s="427">
        <v>36.340879999999999</v>
      </c>
      <c r="K486" s="427">
        <v>36.340879999999999</v>
      </c>
      <c r="L486" s="427">
        <v>36.340879999999999</v>
      </c>
      <c r="M486" s="427">
        <v>36.340879999999999</v>
      </c>
      <c r="N486" s="427">
        <v>36.340879999999999</v>
      </c>
      <c r="O486" s="427">
        <v>36.340879999999999</v>
      </c>
      <c r="P486" s="427">
        <v>36.340879999999999</v>
      </c>
      <c r="Q486" s="427">
        <v>36.340879999999999</v>
      </c>
      <c r="R486" s="427">
        <v>36.340879999999999</v>
      </c>
      <c r="S486" s="427">
        <v>36.340879999999999</v>
      </c>
      <c r="T486" s="427">
        <v>36.340879999999999</v>
      </c>
      <c r="U486" s="427">
        <f t="shared" si="53"/>
        <v>436.09055999999987</v>
      </c>
    </row>
    <row r="487" spans="1:21">
      <c r="A487" s="427" t="str">
        <f t="shared" si="50"/>
        <v>KU</v>
      </c>
      <c r="B487" s="427" t="str">
        <f t="shared" si="51"/>
        <v>KY</v>
      </c>
      <c r="C487" s="427" t="str">
        <f t="shared" si="52"/>
        <v>E</v>
      </c>
      <c r="D487" s="427" t="s">
        <v>3434</v>
      </c>
      <c r="E487" s="427" t="str">
        <f t="shared" si="47"/>
        <v>354</v>
      </c>
      <c r="F487" s="756" t="s">
        <v>1766</v>
      </c>
      <c r="G487" s="426" t="str">
        <f t="shared" si="49"/>
        <v>TRANSMISSION</v>
      </c>
      <c r="H487" s="427">
        <v>99.783259999999899</v>
      </c>
      <c r="I487" s="427">
        <v>99.783259999999899</v>
      </c>
      <c r="J487" s="427">
        <v>99.783259999999899</v>
      </c>
      <c r="K487" s="427">
        <v>99.783259999999899</v>
      </c>
      <c r="L487" s="427">
        <v>99.783259999999899</v>
      </c>
      <c r="M487" s="427">
        <v>99.783259999999899</v>
      </c>
      <c r="N487" s="427">
        <v>99.783259999999899</v>
      </c>
      <c r="O487" s="427">
        <v>99.783259999999899</v>
      </c>
      <c r="P487" s="427">
        <v>99.783259999999899</v>
      </c>
      <c r="Q487" s="427">
        <v>99.783259999999899</v>
      </c>
      <c r="R487" s="427">
        <v>99.783259999999899</v>
      </c>
      <c r="S487" s="427">
        <v>99.783259999999899</v>
      </c>
      <c r="T487" s="427">
        <v>99.783259999999899</v>
      </c>
      <c r="U487" s="427">
        <f t="shared" si="53"/>
        <v>1197.3991199999989</v>
      </c>
    </row>
    <row r="488" spans="1:21">
      <c r="A488" s="427" t="str">
        <f t="shared" si="50"/>
        <v>KU</v>
      </c>
      <c r="B488" s="427" t="str">
        <f t="shared" si="51"/>
        <v>VA</v>
      </c>
      <c r="C488" s="427" t="str">
        <f t="shared" si="52"/>
        <v>E</v>
      </c>
      <c r="D488" s="427" t="s">
        <v>3434</v>
      </c>
      <c r="E488" s="427" t="str">
        <f t="shared" si="47"/>
        <v>354</v>
      </c>
      <c r="F488" s="756" t="s">
        <v>1767</v>
      </c>
      <c r="G488" s="426" t="str">
        <f t="shared" si="49"/>
        <v>TRANSMISSION</v>
      </c>
      <c r="H488" s="427">
        <v>10.11336</v>
      </c>
      <c r="I488" s="427">
        <v>10.11336</v>
      </c>
      <c r="J488" s="427">
        <v>10.11336</v>
      </c>
      <c r="K488" s="427">
        <v>10.11336</v>
      </c>
      <c r="L488" s="427">
        <v>10.11336</v>
      </c>
      <c r="M488" s="427">
        <v>10.11336</v>
      </c>
      <c r="N488" s="427">
        <v>10.11336</v>
      </c>
      <c r="O488" s="427">
        <v>10.11336</v>
      </c>
      <c r="P488" s="427">
        <v>10.11336</v>
      </c>
      <c r="Q488" s="427">
        <v>10.11336</v>
      </c>
      <c r="R488" s="427">
        <v>10.11336</v>
      </c>
      <c r="S488" s="427">
        <v>10.11336</v>
      </c>
      <c r="T488" s="427">
        <v>10.11336</v>
      </c>
      <c r="U488" s="427">
        <f t="shared" si="53"/>
        <v>121.36032</v>
      </c>
    </row>
    <row r="489" spans="1:21">
      <c r="A489" s="427" t="str">
        <f t="shared" si="50"/>
        <v>KU</v>
      </c>
      <c r="B489" s="427" t="str">
        <f t="shared" si="51"/>
        <v>KY</v>
      </c>
      <c r="C489" s="427" t="str">
        <f t="shared" si="52"/>
        <v>E</v>
      </c>
      <c r="D489" s="427" t="s">
        <v>3434</v>
      </c>
      <c r="E489" s="427" t="str">
        <f t="shared" si="47"/>
        <v>355</v>
      </c>
      <c r="F489" s="756" t="s">
        <v>1768</v>
      </c>
      <c r="G489" s="426" t="str">
        <f t="shared" si="49"/>
        <v>TRANSMISSION</v>
      </c>
      <c r="H489" s="427">
        <v>945.36824999999999</v>
      </c>
      <c r="I489" s="427">
        <v>958.35341999999901</v>
      </c>
      <c r="J489" s="427">
        <v>969.42174</v>
      </c>
      <c r="K489" s="427">
        <v>977.98811000000001</v>
      </c>
      <c r="L489" s="427">
        <v>986.55525999999998</v>
      </c>
      <c r="M489" s="427">
        <v>993.5992</v>
      </c>
      <c r="N489" s="427">
        <v>1001.16491999999</v>
      </c>
      <c r="O489" s="427">
        <v>1008.39487</v>
      </c>
      <c r="P489" s="427">
        <v>1041.12456</v>
      </c>
      <c r="Q489" s="427">
        <v>1070.85096</v>
      </c>
      <c r="R489" s="427">
        <v>1076.2077999999999</v>
      </c>
      <c r="S489" s="427">
        <v>1082.1987899999999</v>
      </c>
      <c r="T489" s="427">
        <v>1088.27872</v>
      </c>
      <c r="U489" s="427">
        <f t="shared" si="53"/>
        <v>12254.13834999999</v>
      </c>
    </row>
    <row r="490" spans="1:21">
      <c r="A490" s="427" t="str">
        <f t="shared" si="50"/>
        <v>KU</v>
      </c>
      <c r="B490" s="427" t="str">
        <f t="shared" si="51"/>
        <v>TN</v>
      </c>
      <c r="C490" s="427" t="str">
        <f t="shared" si="52"/>
        <v>E</v>
      </c>
      <c r="D490" s="427" t="s">
        <v>3434</v>
      </c>
      <c r="E490" s="427" t="str">
        <f t="shared" si="47"/>
        <v>355</v>
      </c>
      <c r="F490" s="756" t="s">
        <v>1769</v>
      </c>
      <c r="G490" s="426" t="str">
        <f t="shared" si="49"/>
        <v>TRANSMISSION</v>
      </c>
      <c r="H490" s="427">
        <v>0.31436999999999998</v>
      </c>
      <c r="I490" s="427">
        <v>0.31436999999999998</v>
      </c>
      <c r="J490" s="427">
        <v>0.31436999999999998</v>
      </c>
      <c r="K490" s="427">
        <v>0.31436999999999998</v>
      </c>
      <c r="L490" s="427">
        <v>0.31436999999999998</v>
      </c>
      <c r="M490" s="427">
        <v>0.31436999999999998</v>
      </c>
      <c r="N490" s="427">
        <v>0.31436999999999998</v>
      </c>
      <c r="O490" s="427">
        <v>0.31436999999999998</v>
      </c>
      <c r="P490" s="427">
        <v>0.31436999999999998</v>
      </c>
      <c r="Q490" s="427">
        <v>0.31436999999999998</v>
      </c>
      <c r="R490" s="427">
        <v>0.31436999999999998</v>
      </c>
      <c r="S490" s="427">
        <v>0.31436999999999998</v>
      </c>
      <c r="T490" s="427">
        <v>0.31436999999999998</v>
      </c>
      <c r="U490" s="427">
        <f t="shared" si="53"/>
        <v>3.7724399999999991</v>
      </c>
    </row>
    <row r="491" spans="1:21">
      <c r="A491" s="427" t="str">
        <f t="shared" si="50"/>
        <v>KU</v>
      </c>
      <c r="B491" s="427" t="str">
        <f t="shared" si="51"/>
        <v>VA</v>
      </c>
      <c r="C491" s="427" t="str">
        <f t="shared" si="52"/>
        <v>E</v>
      </c>
      <c r="D491" s="427" t="s">
        <v>3434</v>
      </c>
      <c r="E491" s="427" t="str">
        <f t="shared" si="47"/>
        <v>355</v>
      </c>
      <c r="F491" s="756" t="s">
        <v>1770</v>
      </c>
      <c r="G491" s="426" t="str">
        <f t="shared" si="49"/>
        <v>TRANSMISSION</v>
      </c>
      <c r="H491" s="427">
        <v>35.534599999999998</v>
      </c>
      <c r="I491" s="427">
        <v>35.534599999999998</v>
      </c>
      <c r="J491" s="427">
        <v>36.126049999999999</v>
      </c>
      <c r="K491" s="427">
        <v>36.717480000000002</v>
      </c>
      <c r="L491" s="427">
        <v>36.717480000000002</v>
      </c>
      <c r="M491" s="427">
        <v>36.717480000000002</v>
      </c>
      <c r="N491" s="427">
        <v>36.717480000000002</v>
      </c>
      <c r="O491" s="427">
        <v>36.717480000000002</v>
      </c>
      <c r="P491" s="427">
        <v>36.717480000000002</v>
      </c>
      <c r="Q491" s="427">
        <v>36.717480000000002</v>
      </c>
      <c r="R491" s="427">
        <v>36.717480000000002</v>
      </c>
      <c r="S491" s="427">
        <v>36.717480000000002</v>
      </c>
      <c r="T491" s="427">
        <v>36.717480000000002</v>
      </c>
      <c r="U491" s="427">
        <f t="shared" si="53"/>
        <v>438.83545000000009</v>
      </c>
    </row>
    <row r="492" spans="1:21">
      <c r="A492" s="427" t="str">
        <f t="shared" si="50"/>
        <v>KU</v>
      </c>
      <c r="B492" s="427" t="str">
        <f t="shared" si="51"/>
        <v>KY</v>
      </c>
      <c r="C492" s="427" t="str">
        <f t="shared" si="52"/>
        <v>E</v>
      </c>
      <c r="D492" s="427" t="s">
        <v>3434</v>
      </c>
      <c r="E492" s="427" t="str">
        <f t="shared" si="47"/>
        <v>356</v>
      </c>
      <c r="F492" s="756" t="s">
        <v>1771</v>
      </c>
      <c r="G492" s="426" t="str">
        <f t="shared" si="49"/>
        <v>TRANSMISSION</v>
      </c>
      <c r="H492" s="427">
        <v>361.72602999999998</v>
      </c>
      <c r="I492" s="427">
        <v>361.56970000000001</v>
      </c>
      <c r="J492" s="427">
        <v>361.37459999999999</v>
      </c>
      <c r="K492" s="427">
        <v>361.23750000000001</v>
      </c>
      <c r="L492" s="427">
        <v>361.14931999999999</v>
      </c>
      <c r="M492" s="427">
        <v>361.08289000000002</v>
      </c>
      <c r="N492" s="427">
        <v>361.03203000000002</v>
      </c>
      <c r="O492" s="427">
        <v>360.92230999999998</v>
      </c>
      <c r="P492" s="427">
        <v>360.77895999999998</v>
      </c>
      <c r="Q492" s="427">
        <v>360.71638999999999</v>
      </c>
      <c r="R492" s="427">
        <v>360.75729999999999</v>
      </c>
      <c r="S492" s="427">
        <v>360.75409000000002</v>
      </c>
      <c r="T492" s="427">
        <v>365.5258</v>
      </c>
      <c r="U492" s="427">
        <f t="shared" si="53"/>
        <v>4336.9008899999999</v>
      </c>
    </row>
    <row r="493" spans="1:21">
      <c r="A493" s="427" t="str">
        <f t="shared" si="50"/>
        <v>KU</v>
      </c>
      <c r="B493" s="427" t="str">
        <f t="shared" si="51"/>
        <v>TN</v>
      </c>
      <c r="C493" s="427" t="str">
        <f t="shared" si="52"/>
        <v>E</v>
      </c>
      <c r="D493" s="427" t="s">
        <v>3434</v>
      </c>
      <c r="E493" s="427" t="str">
        <f t="shared" si="47"/>
        <v>356</v>
      </c>
      <c r="F493" s="756" t="s">
        <v>1772</v>
      </c>
      <c r="G493" s="426" t="str">
        <f t="shared" si="49"/>
        <v>TRANSMISSION</v>
      </c>
      <c r="H493" s="427">
        <v>0.17079</v>
      </c>
      <c r="I493" s="427">
        <v>0.17079</v>
      </c>
      <c r="J493" s="427">
        <v>0.17079</v>
      </c>
      <c r="K493" s="427">
        <v>0.17079</v>
      </c>
      <c r="L493" s="427">
        <v>0.17079</v>
      </c>
      <c r="M493" s="427">
        <v>0.17079</v>
      </c>
      <c r="N493" s="427">
        <v>0.17079</v>
      </c>
      <c r="O493" s="427">
        <v>0.17079</v>
      </c>
      <c r="P493" s="427">
        <v>0.17079</v>
      </c>
      <c r="Q493" s="427">
        <v>0.17079</v>
      </c>
      <c r="R493" s="427">
        <v>0.17079</v>
      </c>
      <c r="S493" s="427">
        <v>0.17079</v>
      </c>
      <c r="T493" s="427">
        <v>0.17079</v>
      </c>
      <c r="U493" s="427">
        <f t="shared" si="53"/>
        <v>2.04948</v>
      </c>
    </row>
    <row r="494" spans="1:21">
      <c r="A494" s="427" t="str">
        <f t="shared" si="50"/>
        <v>KU</v>
      </c>
      <c r="B494" s="427" t="str">
        <f t="shared" si="51"/>
        <v>VA</v>
      </c>
      <c r="C494" s="427" t="str">
        <f t="shared" si="52"/>
        <v>E</v>
      </c>
      <c r="D494" s="427" t="s">
        <v>3434</v>
      </c>
      <c r="E494" s="427" t="str">
        <f t="shared" ref="E494:E551" si="54">MID($F494,8,3)</f>
        <v>356</v>
      </c>
      <c r="F494" s="756" t="s">
        <v>1773</v>
      </c>
      <c r="G494" s="426" t="str">
        <f t="shared" si="49"/>
        <v>TRANSMISSION</v>
      </c>
      <c r="H494" s="427">
        <v>39.574260000000002</v>
      </c>
      <c r="I494" s="427">
        <v>39.574260000000002</v>
      </c>
      <c r="J494" s="427">
        <v>39.574260000000002</v>
      </c>
      <c r="K494" s="427">
        <v>39.574260000000002</v>
      </c>
      <c r="L494" s="427">
        <v>39.574260000000002</v>
      </c>
      <c r="M494" s="427">
        <v>39.574260000000002</v>
      </c>
      <c r="N494" s="427">
        <v>39.574260000000002</v>
      </c>
      <c r="O494" s="427">
        <v>39.574260000000002</v>
      </c>
      <c r="P494" s="427">
        <v>39.574260000000002</v>
      </c>
      <c r="Q494" s="427">
        <v>39.574260000000002</v>
      </c>
      <c r="R494" s="427">
        <v>39.574260000000002</v>
      </c>
      <c r="S494" s="427">
        <v>39.574260000000002</v>
      </c>
      <c r="T494" s="427">
        <v>39.574260000000002</v>
      </c>
      <c r="U494" s="427">
        <f t="shared" si="53"/>
        <v>474.89111999999994</v>
      </c>
    </row>
    <row r="495" spans="1:21">
      <c r="A495" s="427" t="str">
        <f t="shared" si="50"/>
        <v>KU</v>
      </c>
      <c r="B495" s="427" t="str">
        <f t="shared" si="51"/>
        <v>KY</v>
      </c>
      <c r="C495" s="427" t="str">
        <f t="shared" si="52"/>
        <v>E</v>
      </c>
      <c r="D495" s="427" t="s">
        <v>3434</v>
      </c>
      <c r="E495" s="427" t="str">
        <f t="shared" si="54"/>
        <v>357</v>
      </c>
      <c r="F495" s="756" t="s">
        <v>1774</v>
      </c>
      <c r="G495" s="426" t="str">
        <f t="shared" si="49"/>
        <v>TRANSMISSION</v>
      </c>
      <c r="H495" s="427">
        <v>0.63573999999999997</v>
      </c>
      <c r="I495" s="427">
        <v>0.63573999999999997</v>
      </c>
      <c r="J495" s="427">
        <v>0.63573999999999997</v>
      </c>
      <c r="K495" s="427">
        <v>0.63573999999999997</v>
      </c>
      <c r="L495" s="427">
        <v>0.63573999999999997</v>
      </c>
      <c r="M495" s="427">
        <v>0.63573999999999997</v>
      </c>
      <c r="N495" s="427">
        <v>0.63573999999999997</v>
      </c>
      <c r="O495" s="427">
        <v>0.63573999999999997</v>
      </c>
      <c r="P495" s="427">
        <v>0.63573999999999997</v>
      </c>
      <c r="Q495" s="427">
        <v>0.63573999999999997</v>
      </c>
      <c r="R495" s="427">
        <v>0.63573999999999997</v>
      </c>
      <c r="S495" s="427">
        <v>0.63573999999999997</v>
      </c>
      <c r="T495" s="427">
        <v>0.63573999999999997</v>
      </c>
      <c r="U495" s="427">
        <f t="shared" si="53"/>
        <v>7.6288800000000014</v>
      </c>
    </row>
    <row r="496" spans="1:21">
      <c r="A496" s="427" t="str">
        <f t="shared" si="50"/>
        <v>KU</v>
      </c>
      <c r="B496" s="427" t="str">
        <f t="shared" si="51"/>
        <v>KY</v>
      </c>
      <c r="C496" s="427" t="str">
        <f t="shared" si="52"/>
        <v>E</v>
      </c>
      <c r="D496" s="427" t="s">
        <v>3434</v>
      </c>
      <c r="E496" s="427" t="str">
        <f t="shared" si="54"/>
        <v>358</v>
      </c>
      <c r="F496" s="756" t="s">
        <v>1775</v>
      </c>
      <c r="G496" s="426" t="str">
        <f t="shared" si="49"/>
        <v>TRANSMISSION</v>
      </c>
      <c r="H496" s="427">
        <v>0.80142000000000002</v>
      </c>
      <c r="I496" s="427">
        <v>0.80142000000000002</v>
      </c>
      <c r="J496" s="427">
        <v>0.80142000000000002</v>
      </c>
      <c r="K496" s="427">
        <v>0.80142000000000002</v>
      </c>
      <c r="L496" s="427">
        <v>0.80142000000000002</v>
      </c>
      <c r="M496" s="427">
        <v>0.80142000000000002</v>
      </c>
      <c r="N496" s="427">
        <v>0.80142000000000002</v>
      </c>
      <c r="O496" s="427">
        <v>0.80142000000000002</v>
      </c>
      <c r="P496" s="427">
        <v>3.54096999999999</v>
      </c>
      <c r="Q496" s="427">
        <v>6.3247999999999998</v>
      </c>
      <c r="R496" s="427">
        <v>6.4503399999999997</v>
      </c>
      <c r="S496" s="427">
        <v>6.6128900000000002</v>
      </c>
      <c r="T496" s="427">
        <v>6.6941699999999997</v>
      </c>
      <c r="U496" s="427">
        <f t="shared" si="53"/>
        <v>35.233109999999989</v>
      </c>
    </row>
    <row r="497" spans="1:21">
      <c r="A497" s="427" t="str">
        <f t="shared" si="50"/>
        <v>KU</v>
      </c>
      <c r="B497" s="427" t="str">
        <f t="shared" si="51"/>
        <v>KY</v>
      </c>
      <c r="C497" s="427" t="str">
        <f t="shared" si="52"/>
        <v>E</v>
      </c>
      <c r="D497" s="427" t="s">
        <v>3434</v>
      </c>
      <c r="E497" s="427" t="str">
        <f t="shared" si="54"/>
        <v>359</v>
      </c>
      <c r="F497" s="756" t="s">
        <v>1776</v>
      </c>
      <c r="G497" s="426" t="str">
        <f t="shared" si="49"/>
        <v>TRANSMISSION</v>
      </c>
      <c r="H497" s="427">
        <v>1.5926399999999901</v>
      </c>
      <c r="I497" s="427">
        <v>1.5926399999999901</v>
      </c>
      <c r="J497" s="427">
        <v>1.5926399999999901</v>
      </c>
      <c r="K497" s="427">
        <v>1.5926399999999901</v>
      </c>
      <c r="L497" s="427">
        <v>1.5926399999999901</v>
      </c>
      <c r="M497" s="427">
        <v>1.5926399999999901</v>
      </c>
      <c r="N497" s="427">
        <v>1.5926399999999901</v>
      </c>
      <c r="O497" s="427">
        <v>1.5926399999999901</v>
      </c>
      <c r="P497" s="427">
        <v>1.5926399999999901</v>
      </c>
      <c r="Q497" s="427">
        <v>0.21434393174512001</v>
      </c>
      <c r="R497" s="427">
        <v>0.21434393174512001</v>
      </c>
      <c r="S497" s="427">
        <v>0.21434393174512001</v>
      </c>
      <c r="T497" s="427">
        <v>0.21434393174512001</v>
      </c>
      <c r="U497" s="427">
        <f t="shared" si="53"/>
        <v>13.598495726980401</v>
      </c>
    </row>
    <row r="498" spans="1:21">
      <c r="A498" s="427" t="str">
        <f t="shared" si="50"/>
        <v>KU</v>
      </c>
      <c r="B498" s="427" t="str">
        <f t="shared" si="51"/>
        <v>KY</v>
      </c>
      <c r="C498" s="427" t="str">
        <f t="shared" si="52"/>
        <v>E</v>
      </c>
      <c r="D498" s="427" t="s">
        <v>3434</v>
      </c>
      <c r="E498" s="427" t="str">
        <f t="shared" si="54"/>
        <v>360</v>
      </c>
      <c r="F498" s="756" t="s">
        <v>1778</v>
      </c>
      <c r="G498" s="426" t="str">
        <f t="shared" si="49"/>
        <v>DISTRIBUTION</v>
      </c>
      <c r="H498" s="427">
        <v>1.10683</v>
      </c>
      <c r="I498" s="427">
        <v>1.10683</v>
      </c>
      <c r="J498" s="427">
        <v>1.10683</v>
      </c>
      <c r="K498" s="427">
        <v>1.10683</v>
      </c>
      <c r="L498" s="427">
        <v>1.10683</v>
      </c>
      <c r="M498" s="427">
        <v>1.10683</v>
      </c>
      <c r="N498" s="427">
        <v>1.10683</v>
      </c>
      <c r="O498" s="427">
        <v>1.10683</v>
      </c>
      <c r="P498" s="427">
        <v>1.10683</v>
      </c>
      <c r="Q498" s="427">
        <v>1.10683</v>
      </c>
      <c r="R498" s="427">
        <v>1.10683</v>
      </c>
      <c r="S498" s="427">
        <v>1.10683</v>
      </c>
      <c r="T498" s="427">
        <v>1.10683</v>
      </c>
      <c r="U498" s="427">
        <f t="shared" si="53"/>
        <v>13.281960000000003</v>
      </c>
    </row>
    <row r="499" spans="1:21">
      <c r="A499" s="427" t="str">
        <f t="shared" si="50"/>
        <v>KU</v>
      </c>
      <c r="B499" s="427" t="str">
        <f t="shared" si="51"/>
        <v>TN</v>
      </c>
      <c r="C499" s="427" t="str">
        <f t="shared" si="52"/>
        <v>E</v>
      </c>
      <c r="D499" s="427" t="s">
        <v>3434</v>
      </c>
      <c r="E499" s="427" t="str">
        <f t="shared" si="54"/>
        <v>360</v>
      </c>
      <c r="F499" s="756" t="s">
        <v>1779</v>
      </c>
      <c r="G499" s="426" t="str">
        <f t="shared" si="49"/>
        <v>DISTRIBUTION</v>
      </c>
      <c r="H499" s="427">
        <v>1.4E-3</v>
      </c>
      <c r="I499" s="427">
        <v>1.4E-3</v>
      </c>
      <c r="J499" s="427">
        <v>1.4E-3</v>
      </c>
      <c r="K499" s="427">
        <v>1.4E-3</v>
      </c>
      <c r="L499" s="427">
        <v>1.4E-3</v>
      </c>
      <c r="M499" s="427">
        <v>1.4E-3</v>
      </c>
      <c r="N499" s="427">
        <v>1.4E-3</v>
      </c>
      <c r="O499" s="427">
        <v>1.4E-3</v>
      </c>
      <c r="P499" s="427">
        <v>1.4E-3</v>
      </c>
      <c r="Q499" s="427">
        <v>1.4E-3</v>
      </c>
      <c r="R499" s="427">
        <v>1.4E-3</v>
      </c>
      <c r="S499" s="427">
        <v>1.4E-3</v>
      </c>
      <c r="T499" s="427">
        <v>1.4E-3</v>
      </c>
      <c r="U499" s="427">
        <f t="shared" si="53"/>
        <v>1.6799999999999999E-2</v>
      </c>
    </row>
    <row r="500" spans="1:21">
      <c r="A500" s="427" t="str">
        <f t="shared" si="50"/>
        <v>KU</v>
      </c>
      <c r="B500" s="427" t="str">
        <f t="shared" si="51"/>
        <v>VA</v>
      </c>
      <c r="C500" s="427" t="str">
        <f t="shared" si="52"/>
        <v>E</v>
      </c>
      <c r="D500" s="427" t="s">
        <v>3434</v>
      </c>
      <c r="E500" s="427" t="str">
        <f t="shared" si="54"/>
        <v>360</v>
      </c>
      <c r="F500" s="756" t="s">
        <v>1780</v>
      </c>
      <c r="G500" s="426" t="str">
        <f t="shared" ref="G500:G562" si="55">IF(ISTEXT(MID($F500,SEARCH("HYDRO PRODUCTION",$F500),9)),"HYDRO",IF(ISTEXT(MID($F500,SEARCH("OTHER PRODUCTION",$F500),9)),"OTHER",IF(ISTEXT(MID($F500,SEARCH("STEAM PRODUCTION",$F500),9)),"STEAM",IF(ISTEXT(MID($F500,SEARCH("TRANSMISSION",$F500),9)),"TRANSMISSION",IF(ISTEXT(MID($F500,SEARCH("DISTRIBUTION",$F500),9)),"DISTRIBUTION",IF(ISTEXT(MID($F500,SEARCH("COMMON",$F500),9)),"COMMON",IF(ISTEXT(MID($F500,SEARCH("GENERAL",$F500),9)),"GENERAL",IF(ISTEXT(MID($F500,SEARCH("INTANGIBLE",$F500),9)),"INTANGIBLE",IF(ISTEXT(MID($F500,SEARCH("STORAGE",$F500),3)),"STORAGE","")))))))))</f>
        <v>DISTRIBUTION</v>
      </c>
      <c r="H500" s="427">
        <v>4.8529999999999997E-2</v>
      </c>
      <c r="I500" s="427">
        <v>4.8529999999999997E-2</v>
      </c>
      <c r="J500" s="427">
        <v>4.8529999999999997E-2</v>
      </c>
      <c r="K500" s="427">
        <v>4.8529999999999997E-2</v>
      </c>
      <c r="L500" s="427">
        <v>4.8529999999999997E-2</v>
      </c>
      <c r="M500" s="427">
        <v>4.8529999999999997E-2</v>
      </c>
      <c r="N500" s="427">
        <v>4.8529999999999997E-2</v>
      </c>
      <c r="O500" s="427">
        <v>4.8529999999999997E-2</v>
      </c>
      <c r="P500" s="427">
        <v>4.8529999999999997E-2</v>
      </c>
      <c r="Q500" s="427">
        <v>4.8529999999999997E-2</v>
      </c>
      <c r="R500" s="427">
        <v>4.8529999999999997E-2</v>
      </c>
      <c r="S500" s="427">
        <v>4.8529999999999997E-2</v>
      </c>
      <c r="T500" s="427">
        <v>4.8529999999999997E-2</v>
      </c>
      <c r="U500" s="427">
        <f t="shared" si="53"/>
        <v>0.58235999999999999</v>
      </c>
    </row>
    <row r="501" spans="1:21">
      <c r="A501" s="427" t="str">
        <f t="shared" si="50"/>
        <v>KU</v>
      </c>
      <c r="B501" s="427" t="str">
        <f t="shared" si="51"/>
        <v>KY</v>
      </c>
      <c r="C501" s="427" t="str">
        <f t="shared" si="52"/>
        <v>E</v>
      </c>
      <c r="D501" s="427" t="s">
        <v>3434</v>
      </c>
      <c r="E501" s="427" t="str">
        <f t="shared" si="54"/>
        <v>361</v>
      </c>
      <c r="F501" s="756" t="s">
        <v>1781</v>
      </c>
      <c r="G501" s="426" t="str">
        <f t="shared" si="55"/>
        <v>DISTRIBUTION</v>
      </c>
      <c r="H501" s="427">
        <v>40.532739999999997</v>
      </c>
      <c r="I501" s="427">
        <v>41.899499999999897</v>
      </c>
      <c r="J501" s="427">
        <v>43.266289999999998</v>
      </c>
      <c r="K501" s="427">
        <v>44.63306</v>
      </c>
      <c r="L501" s="427">
        <v>45.99982</v>
      </c>
      <c r="M501" s="427">
        <v>47.366599999999998</v>
      </c>
      <c r="N501" s="427">
        <v>48.73339</v>
      </c>
      <c r="O501" s="427">
        <v>50.100169999999999</v>
      </c>
      <c r="P501" s="427">
        <v>52.057029999999997</v>
      </c>
      <c r="Q501" s="427">
        <v>53.939880000000002</v>
      </c>
      <c r="R501" s="427">
        <v>55.158639999999998</v>
      </c>
      <c r="S501" s="427">
        <v>56.377389999999998</v>
      </c>
      <c r="T501" s="427">
        <v>57.64076</v>
      </c>
      <c r="U501" s="427">
        <f t="shared" si="53"/>
        <v>597.17252999999994</v>
      </c>
    </row>
    <row r="502" spans="1:21">
      <c r="A502" s="427" t="str">
        <f t="shared" si="50"/>
        <v>KU</v>
      </c>
      <c r="B502" s="427" t="str">
        <f t="shared" si="51"/>
        <v>TN</v>
      </c>
      <c r="C502" s="427" t="str">
        <f t="shared" si="52"/>
        <v>E</v>
      </c>
      <c r="D502" s="427" t="s">
        <v>3434</v>
      </c>
      <c r="E502" s="427" t="str">
        <f t="shared" si="54"/>
        <v>361</v>
      </c>
      <c r="F502" s="756" t="s">
        <v>1782</v>
      </c>
      <c r="G502" s="426" t="str">
        <f t="shared" si="55"/>
        <v>DISTRIBUTION</v>
      </c>
      <c r="H502" s="427">
        <v>4.5599999999999998E-3</v>
      </c>
      <c r="I502" s="427">
        <v>4.5599999999999998E-3</v>
      </c>
      <c r="J502" s="427">
        <v>4.5599999999999998E-3</v>
      </c>
      <c r="K502" s="427">
        <v>4.5599999999999998E-3</v>
      </c>
      <c r="L502" s="427">
        <v>4.5599999999999998E-3</v>
      </c>
      <c r="M502" s="427">
        <v>4.5599999999999998E-3</v>
      </c>
      <c r="N502" s="427">
        <v>4.5599999999999998E-3</v>
      </c>
      <c r="O502" s="427">
        <v>4.5599999999999998E-3</v>
      </c>
      <c r="P502" s="427">
        <v>4.5599999999999998E-3</v>
      </c>
      <c r="Q502" s="427">
        <v>4.5599999999999998E-3</v>
      </c>
      <c r="R502" s="427">
        <v>4.5599999999999998E-3</v>
      </c>
      <c r="S502" s="427">
        <v>4.5599999999999998E-3</v>
      </c>
      <c r="T502" s="427">
        <v>4.5599999999999998E-3</v>
      </c>
      <c r="U502" s="427">
        <f t="shared" si="53"/>
        <v>5.4720000000000012E-2</v>
      </c>
    </row>
    <row r="503" spans="1:21">
      <c r="A503" s="427" t="str">
        <f t="shared" si="50"/>
        <v>KU</v>
      </c>
      <c r="B503" s="427" t="str">
        <f t="shared" si="51"/>
        <v>VA</v>
      </c>
      <c r="C503" s="427" t="str">
        <f t="shared" si="52"/>
        <v>E</v>
      </c>
      <c r="D503" s="427" t="s">
        <v>3434</v>
      </c>
      <c r="E503" s="427" t="str">
        <f t="shared" si="54"/>
        <v>361</v>
      </c>
      <c r="F503" s="756" t="s">
        <v>1783</v>
      </c>
      <c r="G503" s="426" t="str">
        <f t="shared" si="55"/>
        <v>DISTRIBUTION</v>
      </c>
      <c r="H503" s="427">
        <v>1.37527</v>
      </c>
      <c r="I503" s="427">
        <v>1.37527</v>
      </c>
      <c r="J503" s="427">
        <v>1.37527</v>
      </c>
      <c r="K503" s="427">
        <v>1.37527</v>
      </c>
      <c r="L503" s="427">
        <v>1.37527</v>
      </c>
      <c r="M503" s="427">
        <v>1.37527</v>
      </c>
      <c r="N503" s="427">
        <v>1.37527</v>
      </c>
      <c r="O503" s="427">
        <v>1.37527</v>
      </c>
      <c r="P503" s="427">
        <v>1.37527</v>
      </c>
      <c r="Q503" s="427">
        <v>1.37527</v>
      </c>
      <c r="R503" s="427">
        <v>1.37527</v>
      </c>
      <c r="S503" s="427">
        <v>1.37527</v>
      </c>
      <c r="T503" s="427">
        <v>1.37527</v>
      </c>
      <c r="U503" s="427">
        <f t="shared" si="53"/>
        <v>16.503240000000002</v>
      </c>
    </row>
    <row r="504" spans="1:21">
      <c r="A504" s="427" t="str">
        <f t="shared" si="50"/>
        <v>KU</v>
      </c>
      <c r="B504" s="427" t="str">
        <f t="shared" si="51"/>
        <v>KY</v>
      </c>
      <c r="C504" s="427" t="str">
        <f t="shared" si="52"/>
        <v>E</v>
      </c>
      <c r="D504" s="427" t="s">
        <v>3434</v>
      </c>
      <c r="E504" s="427" t="str">
        <f t="shared" si="54"/>
        <v>362</v>
      </c>
      <c r="F504" s="756" t="s">
        <v>1784</v>
      </c>
      <c r="G504" s="426" t="str">
        <f t="shared" si="55"/>
        <v>DISTRIBUTION</v>
      </c>
      <c r="H504" s="427">
        <v>444.88542000000001</v>
      </c>
      <c r="I504" s="427">
        <v>445.67842000000002</v>
      </c>
      <c r="J504" s="427">
        <v>448.93232</v>
      </c>
      <c r="K504" s="427">
        <v>452.34814</v>
      </c>
      <c r="L504" s="427">
        <v>453.47187000000002</v>
      </c>
      <c r="M504" s="427">
        <v>455.96848999999997</v>
      </c>
      <c r="N504" s="427">
        <v>458.35451</v>
      </c>
      <c r="O504" s="427">
        <v>459.30828999999898</v>
      </c>
      <c r="P504" s="427">
        <v>474.37011999999999</v>
      </c>
      <c r="Q504" s="427">
        <v>489.18846000000002</v>
      </c>
      <c r="R504" s="427">
        <v>489.69297999999998</v>
      </c>
      <c r="S504" s="427">
        <v>491.58748000000003</v>
      </c>
      <c r="T504" s="427">
        <v>493.74776000000003</v>
      </c>
      <c r="U504" s="427">
        <f>SUM(I504:T504)</f>
        <v>5612.6488399999998</v>
      </c>
    </row>
    <row r="505" spans="1:21">
      <c r="A505" s="427" t="str">
        <f t="shared" si="50"/>
        <v>KU</v>
      </c>
      <c r="B505" s="427" t="str">
        <f t="shared" si="51"/>
        <v>TN</v>
      </c>
      <c r="C505" s="427" t="str">
        <f t="shared" si="52"/>
        <v>E</v>
      </c>
      <c r="D505" s="427" t="s">
        <v>3434</v>
      </c>
      <c r="E505" s="427" t="str">
        <f t="shared" si="54"/>
        <v>362</v>
      </c>
      <c r="F505" s="756" t="s">
        <v>1785</v>
      </c>
      <c r="G505" s="426" t="str">
        <f t="shared" si="55"/>
        <v>DISTRIBUTION</v>
      </c>
      <c r="H505" s="427">
        <v>0.12762999999999999</v>
      </c>
      <c r="I505" s="427">
        <v>0.12762999999999999</v>
      </c>
      <c r="J505" s="427">
        <v>0.12762999999999999</v>
      </c>
      <c r="K505" s="427">
        <v>0.12762999999999999</v>
      </c>
      <c r="L505" s="427">
        <v>0.12762999999999999</v>
      </c>
      <c r="M505" s="427">
        <v>0.12762999999999999</v>
      </c>
      <c r="N505" s="427">
        <v>0.12762999999999999</v>
      </c>
      <c r="O505" s="427">
        <v>0.12762999999999999</v>
      </c>
      <c r="P505" s="427">
        <v>0.12762999999999999</v>
      </c>
      <c r="Q505" s="427">
        <v>0.12762999999999999</v>
      </c>
      <c r="R505" s="427">
        <v>0.12762999999999999</v>
      </c>
      <c r="S505" s="427">
        <v>0.12762999999999999</v>
      </c>
      <c r="T505" s="427">
        <v>0.12762999999999999</v>
      </c>
      <c r="U505" s="427">
        <f t="shared" si="53"/>
        <v>1.5315599999999996</v>
      </c>
    </row>
    <row r="506" spans="1:21">
      <c r="A506" s="427" t="str">
        <f t="shared" si="50"/>
        <v>KU</v>
      </c>
      <c r="B506" s="427" t="str">
        <f t="shared" si="51"/>
        <v>VA</v>
      </c>
      <c r="C506" s="427" t="str">
        <f t="shared" si="52"/>
        <v>E</v>
      </c>
      <c r="D506" s="427" t="s">
        <v>3434</v>
      </c>
      <c r="E506" s="427" t="str">
        <f t="shared" si="54"/>
        <v>362</v>
      </c>
      <c r="F506" s="756" t="s">
        <v>1786</v>
      </c>
      <c r="G506" s="426" t="str">
        <f t="shared" si="55"/>
        <v>DISTRIBUTION</v>
      </c>
      <c r="H506" s="427">
        <v>16.246089999999999</v>
      </c>
      <c r="I506" s="427">
        <v>16.246089999999999</v>
      </c>
      <c r="J506" s="427">
        <v>16.246089999999999</v>
      </c>
      <c r="K506" s="427">
        <v>16.246089999999999</v>
      </c>
      <c r="L506" s="427">
        <v>16.246089999999999</v>
      </c>
      <c r="M506" s="427">
        <v>16.246089999999999</v>
      </c>
      <c r="N506" s="427">
        <v>16.246089999999999</v>
      </c>
      <c r="O506" s="427">
        <v>16.246089999999999</v>
      </c>
      <c r="P506" s="427">
        <v>16.246089999999999</v>
      </c>
      <c r="Q506" s="427">
        <v>16.246089999999999</v>
      </c>
      <c r="R506" s="427">
        <v>16.246089999999999</v>
      </c>
      <c r="S506" s="427">
        <v>16.246089999999999</v>
      </c>
      <c r="T506" s="427">
        <v>16.246089999999999</v>
      </c>
      <c r="U506" s="427">
        <f t="shared" si="53"/>
        <v>194.95308000000003</v>
      </c>
    </row>
    <row r="507" spans="1:21">
      <c r="A507" s="427" t="str">
        <f t="shared" si="50"/>
        <v>KU</v>
      </c>
      <c r="B507" s="427" t="str">
        <f t="shared" si="51"/>
        <v>KY</v>
      </c>
      <c r="C507" s="427" t="str">
        <f t="shared" si="52"/>
        <v>E</v>
      </c>
      <c r="D507" s="427" t="s">
        <v>3434</v>
      </c>
      <c r="E507" s="427" t="str">
        <f t="shared" si="54"/>
        <v>364</v>
      </c>
      <c r="F507" s="756" t="s">
        <v>2211</v>
      </c>
      <c r="G507" s="426" t="str">
        <f t="shared" si="55"/>
        <v>DISTRIBUTION</v>
      </c>
      <c r="H507" s="427">
        <v>5.9031920000000002E-2</v>
      </c>
      <c r="I507" s="427">
        <v>5.9031920000000002E-2</v>
      </c>
      <c r="J507" s="427">
        <v>5.9031920000000002E-2</v>
      </c>
      <c r="K507" s="427">
        <v>5.9031920000000002E-2</v>
      </c>
      <c r="L507" s="427">
        <v>5.9031920000000002E-2</v>
      </c>
      <c r="M507" s="427">
        <v>5.9031920000000002E-2</v>
      </c>
      <c r="N507" s="427">
        <v>5.9031920000000002E-2</v>
      </c>
      <c r="O507" s="427">
        <v>5.9031920000000002E-2</v>
      </c>
      <c r="P507" s="427">
        <v>5.9031920000000002E-2</v>
      </c>
      <c r="Q507" s="427">
        <v>5.9031920000000002E-2</v>
      </c>
      <c r="R507" s="427">
        <v>5.9031920000000002E-2</v>
      </c>
      <c r="S507" s="427">
        <v>5.9031920000000002E-2</v>
      </c>
      <c r="T507" s="427">
        <v>5.9031920000000002E-2</v>
      </c>
      <c r="U507" s="427">
        <f t="shared" si="53"/>
        <v>0.70838304000000007</v>
      </c>
    </row>
    <row r="508" spans="1:21">
      <c r="A508" s="427" t="str">
        <f t="shared" si="50"/>
        <v>KU</v>
      </c>
      <c r="B508" s="427" t="str">
        <f t="shared" si="51"/>
        <v>KY</v>
      </c>
      <c r="C508" s="427" t="str">
        <f t="shared" si="52"/>
        <v>E</v>
      </c>
      <c r="D508" s="427" t="s">
        <v>3434</v>
      </c>
      <c r="E508" s="427" t="str">
        <f t="shared" si="54"/>
        <v>364</v>
      </c>
      <c r="F508" s="756" t="s">
        <v>1787</v>
      </c>
      <c r="G508" s="426" t="str">
        <f t="shared" si="55"/>
        <v>DISTRIBUTION</v>
      </c>
      <c r="H508" s="427">
        <v>861.14690999999902</v>
      </c>
      <c r="I508" s="427">
        <v>864.71977000000004</v>
      </c>
      <c r="J508" s="427">
        <v>868.36127999999997</v>
      </c>
      <c r="K508" s="427">
        <v>871.92758000000003</v>
      </c>
      <c r="L508" s="427">
        <v>875.63493000000005</v>
      </c>
      <c r="M508" s="427">
        <v>879.98172999999997</v>
      </c>
      <c r="N508" s="427">
        <v>884.12100999999996</v>
      </c>
      <c r="O508" s="427">
        <v>887.37239</v>
      </c>
      <c r="P508" s="427">
        <v>890.06912</v>
      </c>
      <c r="Q508" s="427">
        <v>892.77386000000001</v>
      </c>
      <c r="R508" s="427">
        <v>895.54911000000004</v>
      </c>
      <c r="S508" s="427">
        <v>898.58515</v>
      </c>
      <c r="T508" s="427">
        <v>902.12536</v>
      </c>
      <c r="U508" s="427">
        <f t="shared" ref="U508" si="56">SUM(I508:T508)</f>
        <v>10611.221290000001</v>
      </c>
    </row>
    <row r="509" spans="1:21">
      <c r="A509" s="427" t="str">
        <f t="shared" si="50"/>
        <v>KU</v>
      </c>
      <c r="B509" s="427" t="str">
        <f t="shared" si="51"/>
        <v>TN</v>
      </c>
      <c r="C509" s="427" t="str">
        <f t="shared" si="52"/>
        <v>E</v>
      </c>
      <c r="D509" s="427" t="s">
        <v>3434</v>
      </c>
      <c r="E509" s="427" t="str">
        <f t="shared" si="54"/>
        <v>364</v>
      </c>
      <c r="F509" s="756" t="s">
        <v>1788</v>
      </c>
      <c r="G509" s="426" t="str">
        <f t="shared" si="55"/>
        <v>DISTRIBUTION</v>
      </c>
      <c r="H509" s="427">
        <v>0.10632</v>
      </c>
      <c r="I509" s="427">
        <v>0.10632</v>
      </c>
      <c r="J509" s="427">
        <v>0.10632</v>
      </c>
      <c r="K509" s="427">
        <v>0.10632</v>
      </c>
      <c r="L509" s="427">
        <v>0.10632</v>
      </c>
      <c r="M509" s="427">
        <v>0.10632</v>
      </c>
      <c r="N509" s="427">
        <v>0.10632</v>
      </c>
      <c r="O509" s="427">
        <v>0.10632</v>
      </c>
      <c r="P509" s="427">
        <v>0.10632</v>
      </c>
      <c r="Q509" s="427">
        <v>0.10632</v>
      </c>
      <c r="R509" s="427">
        <v>0.10632</v>
      </c>
      <c r="S509" s="427">
        <v>0.10632</v>
      </c>
      <c r="T509" s="427">
        <v>0.10632</v>
      </c>
      <c r="U509" s="427">
        <f t="shared" si="53"/>
        <v>1.2758399999999999</v>
      </c>
    </row>
    <row r="510" spans="1:21">
      <c r="A510" s="427" t="str">
        <f t="shared" si="50"/>
        <v>KU</v>
      </c>
      <c r="B510" s="427" t="str">
        <f t="shared" si="51"/>
        <v>VA</v>
      </c>
      <c r="C510" s="427" t="str">
        <f t="shared" si="52"/>
        <v>E</v>
      </c>
      <c r="D510" s="427" t="s">
        <v>3434</v>
      </c>
      <c r="E510" s="427" t="str">
        <f t="shared" si="54"/>
        <v>364</v>
      </c>
      <c r="F510" s="756" t="s">
        <v>1789</v>
      </c>
      <c r="G510" s="426" t="str">
        <f t="shared" si="55"/>
        <v>DISTRIBUTION</v>
      </c>
      <c r="H510" s="427">
        <v>67.868600000000001</v>
      </c>
      <c r="I510" s="427">
        <v>67.942670000000007</v>
      </c>
      <c r="J510" s="427">
        <v>68.011899999999997</v>
      </c>
      <c r="K510" s="427">
        <v>68.086290000000005</v>
      </c>
      <c r="L510" s="427">
        <v>68.165399999999906</v>
      </c>
      <c r="M510" s="427">
        <v>68.233500000000006</v>
      </c>
      <c r="N510" s="427">
        <v>68.302689999999998</v>
      </c>
      <c r="O510" s="427">
        <v>68.36824</v>
      </c>
      <c r="P510" s="427">
        <v>68.424009999999996</v>
      </c>
      <c r="Q510" s="427">
        <v>68.485569999999996</v>
      </c>
      <c r="R510" s="427">
        <v>68.550550000000001</v>
      </c>
      <c r="S510" s="427">
        <v>68.612629999999996</v>
      </c>
      <c r="T510" s="427">
        <v>68.682239999999993</v>
      </c>
      <c r="U510" s="427">
        <f t="shared" si="53"/>
        <v>819.86568999999997</v>
      </c>
    </row>
    <row r="511" spans="1:21">
      <c r="A511" s="427" t="str">
        <f t="shared" si="50"/>
        <v>KU</v>
      </c>
      <c r="B511" s="427" t="str">
        <f t="shared" si="51"/>
        <v>KY</v>
      </c>
      <c r="C511" s="427" t="str">
        <f t="shared" si="52"/>
        <v>E</v>
      </c>
      <c r="D511" s="427" t="s">
        <v>3434</v>
      </c>
      <c r="E511" s="427" t="str">
        <f t="shared" si="54"/>
        <v>365</v>
      </c>
      <c r="F511" s="756" t="s">
        <v>2212</v>
      </c>
      <c r="G511" s="426" t="str">
        <f t="shared" si="55"/>
        <v>DISTRIBUTION</v>
      </c>
      <c r="H511" s="427">
        <v>4.8575452249999998E-2</v>
      </c>
      <c r="I511" s="427">
        <v>4.8575452249999998E-2</v>
      </c>
      <c r="J511" s="427">
        <v>4.8575452249999998E-2</v>
      </c>
      <c r="K511" s="427">
        <v>4.8575452249999998E-2</v>
      </c>
      <c r="L511" s="427">
        <v>4.8575452249999998E-2</v>
      </c>
      <c r="M511" s="427">
        <v>4.8575452249999998E-2</v>
      </c>
      <c r="N511" s="427">
        <v>4.8575452249999998E-2</v>
      </c>
      <c r="O511" s="427">
        <v>4.8575452249999998E-2</v>
      </c>
      <c r="P511" s="427">
        <v>4.8575452249999998E-2</v>
      </c>
      <c r="Q511" s="427">
        <v>4.8575452249999998E-2</v>
      </c>
      <c r="R511" s="427">
        <v>4.8575452249999998E-2</v>
      </c>
      <c r="S511" s="427">
        <v>4.8575452249999998E-2</v>
      </c>
      <c r="T511" s="427">
        <v>4.8575452249999998E-2</v>
      </c>
      <c r="U511" s="427">
        <f t="shared" si="53"/>
        <v>0.58290542699999992</v>
      </c>
    </row>
    <row r="512" spans="1:21">
      <c r="A512" s="427" t="str">
        <f t="shared" si="50"/>
        <v>KU</v>
      </c>
      <c r="B512" s="427" t="str">
        <f t="shared" si="51"/>
        <v>KY</v>
      </c>
      <c r="C512" s="427" t="str">
        <f t="shared" si="52"/>
        <v>E</v>
      </c>
      <c r="D512" s="427" t="s">
        <v>3434</v>
      </c>
      <c r="E512" s="427" t="str">
        <f t="shared" si="54"/>
        <v>365</v>
      </c>
      <c r="F512" s="756" t="s">
        <v>1790</v>
      </c>
      <c r="G512" s="426" t="str">
        <f t="shared" si="55"/>
        <v>DISTRIBUTION</v>
      </c>
      <c r="H512" s="427">
        <v>794.43190999999899</v>
      </c>
      <c r="I512" s="427">
        <v>798.07380000000001</v>
      </c>
      <c r="J512" s="427">
        <v>802.29903999999999</v>
      </c>
      <c r="K512" s="427">
        <v>805.83359999999902</v>
      </c>
      <c r="L512" s="427">
        <v>810.06451000000004</v>
      </c>
      <c r="M512" s="427">
        <v>815.12936000000002</v>
      </c>
      <c r="N512" s="427">
        <v>818.76315</v>
      </c>
      <c r="O512" s="427">
        <v>822.21289000000002</v>
      </c>
      <c r="P512" s="427">
        <v>827.37311</v>
      </c>
      <c r="Q512" s="427">
        <v>832.55415000000005</v>
      </c>
      <c r="R512" s="427">
        <v>835.79782</v>
      </c>
      <c r="S512" s="427">
        <v>838.97733000000005</v>
      </c>
      <c r="T512" s="427">
        <v>842.37079000000006</v>
      </c>
      <c r="U512" s="427">
        <f t="shared" si="53"/>
        <v>9849.4495499999994</v>
      </c>
    </row>
    <row r="513" spans="1:21">
      <c r="A513" s="427" t="str">
        <f t="shared" si="50"/>
        <v>KU</v>
      </c>
      <c r="B513" s="427" t="str">
        <f t="shared" si="51"/>
        <v>TN</v>
      </c>
      <c r="C513" s="427" t="str">
        <f t="shared" si="52"/>
        <v>E</v>
      </c>
      <c r="D513" s="427" t="s">
        <v>3434</v>
      </c>
      <c r="E513" s="427" t="str">
        <f t="shared" si="54"/>
        <v>365</v>
      </c>
      <c r="F513" s="756" t="s">
        <v>1791</v>
      </c>
      <c r="G513" s="426" t="str">
        <f t="shared" si="55"/>
        <v>DISTRIBUTION</v>
      </c>
      <c r="H513" s="427">
        <v>9.6250000000000002E-2</v>
      </c>
      <c r="I513" s="427">
        <v>9.6250000000000002E-2</v>
      </c>
      <c r="J513" s="427">
        <v>9.6250000000000002E-2</v>
      </c>
      <c r="K513" s="427">
        <v>9.6250000000000002E-2</v>
      </c>
      <c r="L513" s="427">
        <v>9.6250000000000002E-2</v>
      </c>
      <c r="M513" s="427">
        <v>9.6250000000000002E-2</v>
      </c>
      <c r="N513" s="427">
        <v>9.6250000000000002E-2</v>
      </c>
      <c r="O513" s="427">
        <v>9.6250000000000002E-2</v>
      </c>
      <c r="P513" s="427">
        <v>9.6250000000000002E-2</v>
      </c>
      <c r="Q513" s="427">
        <v>9.6250000000000002E-2</v>
      </c>
      <c r="R513" s="427">
        <v>9.6250000000000002E-2</v>
      </c>
      <c r="S513" s="427">
        <v>9.6250000000000002E-2</v>
      </c>
      <c r="T513" s="427">
        <v>9.6250000000000002E-2</v>
      </c>
      <c r="U513" s="427">
        <f t="shared" si="53"/>
        <v>1.1549999999999998</v>
      </c>
    </row>
    <row r="514" spans="1:21">
      <c r="A514" s="427" t="str">
        <f t="shared" si="50"/>
        <v>KU</v>
      </c>
      <c r="B514" s="427" t="str">
        <f t="shared" si="51"/>
        <v>VA</v>
      </c>
      <c r="C514" s="427" t="str">
        <f t="shared" si="52"/>
        <v>E</v>
      </c>
      <c r="D514" s="427" t="s">
        <v>3434</v>
      </c>
      <c r="E514" s="427" t="str">
        <f t="shared" si="54"/>
        <v>365</v>
      </c>
      <c r="F514" s="756" t="s">
        <v>1792</v>
      </c>
      <c r="G514" s="426" t="str">
        <f t="shared" si="55"/>
        <v>DISTRIBUTION</v>
      </c>
      <c r="H514" s="427">
        <v>58.353099999999998</v>
      </c>
      <c r="I514" s="427">
        <v>58.588070000000002</v>
      </c>
      <c r="J514" s="427">
        <v>58.852229999999999</v>
      </c>
      <c r="K514" s="427">
        <v>59.359849999999902</v>
      </c>
      <c r="L514" s="427">
        <v>59.862449999999903</v>
      </c>
      <c r="M514" s="427">
        <v>60.101430000000001</v>
      </c>
      <c r="N514" s="427">
        <v>60.3384</v>
      </c>
      <c r="O514" s="427">
        <v>60.559260000000002</v>
      </c>
      <c r="P514" s="427">
        <v>60.732079999999897</v>
      </c>
      <c r="Q514" s="427">
        <v>60.947629999999997</v>
      </c>
      <c r="R514" s="427">
        <v>61.197719999999997</v>
      </c>
      <c r="S514" s="427">
        <v>61.408940000000001</v>
      </c>
      <c r="T514" s="427">
        <v>61.611359999999998</v>
      </c>
      <c r="U514" s="427">
        <f t="shared" si="53"/>
        <v>723.5594199999997</v>
      </c>
    </row>
    <row r="515" spans="1:21">
      <c r="A515" s="427" t="str">
        <f t="shared" si="50"/>
        <v>KU</v>
      </c>
      <c r="B515" s="427" t="str">
        <f t="shared" si="51"/>
        <v>KY</v>
      </c>
      <c r="C515" s="427" t="str">
        <f t="shared" si="52"/>
        <v>E</v>
      </c>
      <c r="D515" s="427" t="s">
        <v>3434</v>
      </c>
      <c r="E515" s="427" t="str">
        <f t="shared" si="54"/>
        <v>366</v>
      </c>
      <c r="F515" s="756" t="s">
        <v>2213</v>
      </c>
      <c r="G515" s="426" t="str">
        <f t="shared" si="55"/>
        <v>DISTRIBUTION</v>
      </c>
      <c r="H515" s="427">
        <v>0.33060487199999999</v>
      </c>
      <c r="I515" s="427">
        <v>0.33060487199999999</v>
      </c>
      <c r="J515" s="427">
        <v>0.33060487199999999</v>
      </c>
      <c r="K515" s="427">
        <v>0.33060487199999999</v>
      </c>
      <c r="L515" s="427">
        <v>0.33060487199999999</v>
      </c>
      <c r="M515" s="427">
        <v>0.33060487199999999</v>
      </c>
      <c r="N515" s="427">
        <v>0.33060487199999999</v>
      </c>
      <c r="O515" s="427">
        <v>0.33060487199999999</v>
      </c>
      <c r="P515" s="427">
        <v>0.33060487199999999</v>
      </c>
      <c r="Q515" s="427">
        <v>0.33060487199999999</v>
      </c>
      <c r="R515" s="427">
        <v>0.33060487199999999</v>
      </c>
      <c r="S515" s="427">
        <v>0.33060487199999999</v>
      </c>
      <c r="T515" s="427">
        <v>0.33060487199999999</v>
      </c>
      <c r="U515" s="427">
        <f t="shared" si="53"/>
        <v>3.967258463999999</v>
      </c>
    </row>
    <row r="516" spans="1:21">
      <c r="A516" s="427" t="str">
        <f t="shared" si="50"/>
        <v>KU</v>
      </c>
      <c r="B516" s="427" t="str">
        <f t="shared" si="51"/>
        <v>KY</v>
      </c>
      <c r="C516" s="427" t="str">
        <f t="shared" si="52"/>
        <v>E</v>
      </c>
      <c r="D516" s="427" t="s">
        <v>3434</v>
      </c>
      <c r="E516" s="427" t="str">
        <f t="shared" si="54"/>
        <v>366</v>
      </c>
      <c r="F516" s="756" t="s">
        <v>1793</v>
      </c>
      <c r="G516" s="426" t="str">
        <f t="shared" si="55"/>
        <v>DISTRIBUTION</v>
      </c>
      <c r="H516" s="427">
        <v>4.2902699999999996</v>
      </c>
      <c r="I516" s="427">
        <v>4.2902699999999996</v>
      </c>
      <c r="J516" s="427">
        <v>4.2902699999999996</v>
      </c>
      <c r="K516" s="427">
        <v>4.2902699999999996</v>
      </c>
      <c r="L516" s="427">
        <v>4.2902699999999996</v>
      </c>
      <c r="M516" s="427">
        <v>4.2902699999999996</v>
      </c>
      <c r="N516" s="427">
        <v>4.2902699999999996</v>
      </c>
      <c r="O516" s="427">
        <v>4.2902699999999996</v>
      </c>
      <c r="P516" s="427">
        <v>4.2902699999999996</v>
      </c>
      <c r="Q516" s="427">
        <v>4.2902699999999996</v>
      </c>
      <c r="R516" s="427">
        <v>4.2902699999999996</v>
      </c>
      <c r="S516" s="427">
        <v>4.2902699999999996</v>
      </c>
      <c r="T516" s="427">
        <v>4.2902699999999996</v>
      </c>
      <c r="U516" s="427">
        <f t="shared" si="53"/>
        <v>51.483239999999995</v>
      </c>
    </row>
    <row r="517" spans="1:21">
      <c r="A517" s="427" t="str">
        <f t="shared" si="50"/>
        <v>KU</v>
      </c>
      <c r="B517" s="427" t="str">
        <f t="shared" si="51"/>
        <v>KY</v>
      </c>
      <c r="C517" s="427" t="str">
        <f t="shared" si="52"/>
        <v>E</v>
      </c>
      <c r="D517" s="427" t="s">
        <v>3434</v>
      </c>
      <c r="E517" s="427" t="str">
        <f t="shared" si="54"/>
        <v>367</v>
      </c>
      <c r="F517" s="756" t="s">
        <v>2214</v>
      </c>
      <c r="G517" s="426" t="str">
        <f t="shared" si="55"/>
        <v>DISTRIBUTION</v>
      </c>
      <c r="H517" s="427">
        <v>2.6853836241</v>
      </c>
      <c r="I517" s="427">
        <v>2.6853836241</v>
      </c>
      <c r="J517" s="427">
        <v>2.6853836241</v>
      </c>
      <c r="K517" s="427">
        <v>2.6853836241</v>
      </c>
      <c r="L517" s="427">
        <v>2.6853836241</v>
      </c>
      <c r="M517" s="427">
        <v>2.6853836241</v>
      </c>
      <c r="N517" s="427">
        <v>2.6853836241</v>
      </c>
      <c r="O517" s="427">
        <v>2.6853836241</v>
      </c>
      <c r="P517" s="427">
        <v>2.6853836241</v>
      </c>
      <c r="Q517" s="427">
        <v>2.6853836241</v>
      </c>
      <c r="R517" s="427">
        <v>2.6853836241</v>
      </c>
      <c r="S517" s="427">
        <v>2.6853836241</v>
      </c>
      <c r="T517" s="427">
        <v>2.6853836241</v>
      </c>
      <c r="U517" s="427">
        <f t="shared" si="53"/>
        <v>32.224603489199993</v>
      </c>
    </row>
    <row r="518" spans="1:21">
      <c r="A518" s="427" t="str">
        <f t="shared" si="50"/>
        <v>KU</v>
      </c>
      <c r="B518" s="427" t="str">
        <f t="shared" si="51"/>
        <v>KY</v>
      </c>
      <c r="C518" s="427" t="str">
        <f t="shared" si="52"/>
        <v>E</v>
      </c>
      <c r="D518" s="427" t="s">
        <v>3434</v>
      </c>
      <c r="E518" s="427" t="str">
        <f t="shared" si="54"/>
        <v>367</v>
      </c>
      <c r="F518" s="756" t="s">
        <v>1794</v>
      </c>
      <c r="G518" s="426" t="str">
        <f t="shared" si="55"/>
        <v>DISTRIBUTION</v>
      </c>
      <c r="H518" s="427">
        <v>417.09697</v>
      </c>
      <c r="I518" s="427">
        <v>419.66398999999899</v>
      </c>
      <c r="J518" s="427">
        <v>422.22940999999997</v>
      </c>
      <c r="K518" s="427">
        <v>424.84868</v>
      </c>
      <c r="L518" s="427">
        <v>427.63720999999998</v>
      </c>
      <c r="M518" s="427">
        <v>430.22567999999899</v>
      </c>
      <c r="N518" s="427">
        <v>434.06004000000001</v>
      </c>
      <c r="O518" s="427">
        <v>437.79205000000002</v>
      </c>
      <c r="P518" s="427">
        <v>440.95760999999999</v>
      </c>
      <c r="Q518" s="427">
        <v>444.31882999999999</v>
      </c>
      <c r="R518" s="427">
        <v>446.8202</v>
      </c>
      <c r="S518" s="427">
        <v>449.26472999999902</v>
      </c>
      <c r="T518" s="427">
        <v>451.75681999999898</v>
      </c>
      <c r="U518" s="427">
        <f t="shared" si="53"/>
        <v>5229.5752499999953</v>
      </c>
    </row>
    <row r="519" spans="1:21">
      <c r="A519" s="427" t="str">
        <f t="shared" si="50"/>
        <v>KU</v>
      </c>
      <c r="B519" s="427" t="str">
        <f t="shared" si="51"/>
        <v>VA</v>
      </c>
      <c r="C519" s="427" t="str">
        <f t="shared" si="52"/>
        <v>E</v>
      </c>
      <c r="D519" s="427" t="s">
        <v>3434</v>
      </c>
      <c r="E519" s="427" t="str">
        <f t="shared" si="54"/>
        <v>367</v>
      </c>
      <c r="F519" s="756" t="s">
        <v>1795</v>
      </c>
      <c r="G519" s="426" t="str">
        <f t="shared" si="55"/>
        <v>DISTRIBUTION</v>
      </c>
      <c r="H519" s="427">
        <v>9.8021499999999993</v>
      </c>
      <c r="I519" s="427">
        <v>9.8860600000000005</v>
      </c>
      <c r="J519" s="427">
        <v>9.9664300000000008</v>
      </c>
      <c r="K519" s="427">
        <v>10.04862</v>
      </c>
      <c r="L519" s="427">
        <v>10.160690000000001</v>
      </c>
      <c r="M519" s="427">
        <v>10.257899999999999</v>
      </c>
      <c r="N519" s="427">
        <v>10.35549</v>
      </c>
      <c r="O519" s="427">
        <v>10.44394</v>
      </c>
      <c r="P519" s="427">
        <v>10.49085</v>
      </c>
      <c r="Q519" s="427">
        <v>10.566229999999999</v>
      </c>
      <c r="R519" s="427">
        <v>10.667109999999999</v>
      </c>
      <c r="S519" s="427">
        <v>10.760649999999901</v>
      </c>
      <c r="T519" s="427">
        <v>10.84671</v>
      </c>
      <c r="U519" s="427">
        <f>SUM(I519:T519)</f>
        <v>124.45067999999989</v>
      </c>
    </row>
    <row r="520" spans="1:21">
      <c r="A520" s="427" t="str">
        <f t="shared" si="50"/>
        <v>KU</v>
      </c>
      <c r="B520" s="427" t="str">
        <f t="shared" si="51"/>
        <v>KY</v>
      </c>
      <c r="C520" s="427" t="str">
        <f t="shared" si="52"/>
        <v>E</v>
      </c>
      <c r="D520" s="427" t="s">
        <v>3434</v>
      </c>
      <c r="E520" s="427" t="str">
        <f t="shared" si="54"/>
        <v>368</v>
      </c>
      <c r="F520" s="756" t="s">
        <v>1796</v>
      </c>
      <c r="G520" s="426" t="str">
        <f t="shared" si="55"/>
        <v>DISTRIBUTION</v>
      </c>
      <c r="H520" s="427">
        <v>465.35016000000002</v>
      </c>
      <c r="I520" s="427">
        <v>466.09649000000002</v>
      </c>
      <c r="J520" s="427">
        <v>467.06092000000001</v>
      </c>
      <c r="K520" s="427">
        <v>467.60025000000002</v>
      </c>
      <c r="L520" s="427">
        <v>467.727409999999</v>
      </c>
      <c r="M520" s="427">
        <v>468.52967999999998</v>
      </c>
      <c r="N520" s="427">
        <v>469.87608</v>
      </c>
      <c r="O520" s="427">
        <v>471.14828</v>
      </c>
      <c r="P520" s="427">
        <v>472.12013000000002</v>
      </c>
      <c r="Q520" s="427">
        <v>472.794319999999</v>
      </c>
      <c r="R520" s="427">
        <v>473.51733999999999</v>
      </c>
      <c r="S520" s="427">
        <v>474.44038999999998</v>
      </c>
      <c r="T520" s="427">
        <v>475.28183000000001</v>
      </c>
      <c r="U520" s="427">
        <f t="shared" si="53"/>
        <v>5646.1931199999981</v>
      </c>
    </row>
    <row r="521" spans="1:21">
      <c r="A521" s="427" t="str">
        <f t="shared" si="50"/>
        <v>KU</v>
      </c>
      <c r="B521" s="427" t="str">
        <f t="shared" si="51"/>
        <v>TN</v>
      </c>
      <c r="C521" s="427" t="str">
        <f t="shared" si="52"/>
        <v>E</v>
      </c>
      <c r="D521" s="427" t="s">
        <v>3434</v>
      </c>
      <c r="E521" s="427" t="str">
        <f t="shared" si="54"/>
        <v>368</v>
      </c>
      <c r="F521" s="756" t="s">
        <v>1797</v>
      </c>
      <c r="G521" s="426" t="str">
        <f t="shared" si="55"/>
        <v>DISTRIBUTION</v>
      </c>
      <c r="H521" s="427">
        <v>4.6499999999999996E-3</v>
      </c>
      <c r="I521" s="427">
        <v>4.6499999999999996E-3</v>
      </c>
      <c r="J521" s="427">
        <v>4.6499999999999996E-3</v>
      </c>
      <c r="K521" s="427">
        <v>4.6499999999999996E-3</v>
      </c>
      <c r="L521" s="427">
        <v>4.6499999999999996E-3</v>
      </c>
      <c r="M521" s="427">
        <v>4.6499999999999996E-3</v>
      </c>
      <c r="N521" s="427">
        <v>4.6499999999999996E-3</v>
      </c>
      <c r="O521" s="427">
        <v>4.6499999999999996E-3</v>
      </c>
      <c r="P521" s="427">
        <v>4.6499999999999996E-3</v>
      </c>
      <c r="Q521" s="427">
        <v>4.6499999999999996E-3</v>
      </c>
      <c r="R521" s="427">
        <v>4.6499999999999996E-3</v>
      </c>
      <c r="S521" s="427">
        <v>4.6499999999999996E-3</v>
      </c>
      <c r="T521" s="427">
        <v>4.6499999999999996E-3</v>
      </c>
      <c r="U521" s="427">
        <f t="shared" si="53"/>
        <v>5.5800000000000009E-2</v>
      </c>
    </row>
    <row r="522" spans="1:21">
      <c r="A522" s="427" t="str">
        <f t="shared" ref="A522:A603" si="57">MID($F522,4,2)</f>
        <v>KU</v>
      </c>
      <c r="B522" s="427" t="str">
        <f t="shared" si="51"/>
        <v>VA</v>
      </c>
      <c r="C522" s="427" t="str">
        <f t="shared" si="52"/>
        <v>E</v>
      </c>
      <c r="D522" s="427" t="s">
        <v>3434</v>
      </c>
      <c r="E522" s="427" t="str">
        <f t="shared" si="54"/>
        <v>368</v>
      </c>
      <c r="F522" s="756" t="s">
        <v>1798</v>
      </c>
      <c r="G522" s="426" t="str">
        <f t="shared" si="55"/>
        <v>DISTRIBUTION</v>
      </c>
      <c r="H522" s="427">
        <v>16.62058</v>
      </c>
      <c r="I522" s="427">
        <v>16.628250000000001</v>
      </c>
      <c r="J522" s="427">
        <v>16.635919999999999</v>
      </c>
      <c r="K522" s="427">
        <v>16.643059999999998</v>
      </c>
      <c r="L522" s="427">
        <v>16.65091</v>
      </c>
      <c r="M522" s="427">
        <v>16.65765</v>
      </c>
      <c r="N522" s="427">
        <v>16.66695</v>
      </c>
      <c r="O522" s="427">
        <v>16.675350000000002</v>
      </c>
      <c r="P522" s="427">
        <v>16.67953</v>
      </c>
      <c r="Q522" s="427">
        <v>16.68533</v>
      </c>
      <c r="R522" s="427">
        <v>16.693660000000001</v>
      </c>
      <c r="S522" s="427">
        <v>16.701979999999999</v>
      </c>
      <c r="T522" s="427">
        <v>16.70777</v>
      </c>
      <c r="U522" s="427">
        <f t="shared" si="53"/>
        <v>200.02635999999998</v>
      </c>
    </row>
    <row r="523" spans="1:21">
      <c r="A523" s="427" t="str">
        <f t="shared" si="57"/>
        <v>KU</v>
      </c>
      <c r="B523" s="427" t="str">
        <f t="shared" si="51"/>
        <v>KY</v>
      </c>
      <c r="C523" s="427" t="str">
        <f t="shared" si="52"/>
        <v>E</v>
      </c>
      <c r="D523" s="427" t="s">
        <v>3434</v>
      </c>
      <c r="E523" s="427" t="str">
        <f t="shared" si="54"/>
        <v>369</v>
      </c>
      <c r="F523" s="756" t="s">
        <v>1799</v>
      </c>
      <c r="G523" s="426" t="str">
        <f t="shared" si="55"/>
        <v>DISTRIBUTION</v>
      </c>
      <c r="H523" s="427">
        <v>147.58366000000001</v>
      </c>
      <c r="I523" s="427">
        <v>147.58366000000001</v>
      </c>
      <c r="J523" s="427">
        <v>147.58366000000001</v>
      </c>
      <c r="K523" s="427">
        <v>147.58366000000001</v>
      </c>
      <c r="L523" s="427">
        <v>147.58366000000001</v>
      </c>
      <c r="M523" s="427">
        <v>147.58366000000001</v>
      </c>
      <c r="N523" s="427">
        <v>147.58366000000001</v>
      </c>
      <c r="O523" s="427">
        <v>147.58366000000001</v>
      </c>
      <c r="P523" s="427">
        <v>147.62019000000001</v>
      </c>
      <c r="Q523" s="427">
        <v>147.65671</v>
      </c>
      <c r="R523" s="427">
        <v>147.65671</v>
      </c>
      <c r="S523" s="427">
        <v>147.65671</v>
      </c>
      <c r="T523" s="427">
        <v>147.65671</v>
      </c>
      <c r="U523" s="427">
        <f t="shared" si="53"/>
        <v>1771.3326500000001</v>
      </c>
    </row>
    <row r="524" spans="1:21">
      <c r="A524" s="427" t="str">
        <f t="shared" si="57"/>
        <v>KU</v>
      </c>
      <c r="B524" s="427" t="str">
        <f t="shared" si="51"/>
        <v>TN</v>
      </c>
      <c r="C524" s="427" t="str">
        <f t="shared" si="52"/>
        <v>E</v>
      </c>
      <c r="D524" s="427" t="s">
        <v>3434</v>
      </c>
      <c r="E524" s="427" t="str">
        <f t="shared" si="54"/>
        <v>369</v>
      </c>
      <c r="F524" s="756" t="s">
        <v>1800</v>
      </c>
      <c r="G524" s="426" t="str">
        <f t="shared" si="55"/>
        <v>DISTRIBUTION</v>
      </c>
      <c r="H524" s="427">
        <v>3.5E-4</v>
      </c>
      <c r="I524" s="427">
        <v>3.5E-4</v>
      </c>
      <c r="J524" s="427">
        <v>3.5E-4</v>
      </c>
      <c r="K524" s="427">
        <v>3.5E-4</v>
      </c>
      <c r="L524" s="427">
        <v>3.5E-4</v>
      </c>
      <c r="M524" s="427">
        <v>3.5E-4</v>
      </c>
      <c r="N524" s="427">
        <v>3.5E-4</v>
      </c>
      <c r="O524" s="427">
        <v>3.5E-4</v>
      </c>
      <c r="P524" s="427">
        <v>3.5E-4</v>
      </c>
      <c r="Q524" s="427">
        <v>3.5E-4</v>
      </c>
      <c r="R524" s="427">
        <v>3.5E-4</v>
      </c>
      <c r="S524" s="427">
        <v>3.5E-4</v>
      </c>
      <c r="T524" s="427">
        <v>3.5E-4</v>
      </c>
      <c r="U524" s="427">
        <f t="shared" si="53"/>
        <v>4.1999999999999997E-3</v>
      </c>
    </row>
    <row r="525" spans="1:21">
      <c r="A525" s="427" t="str">
        <f t="shared" si="57"/>
        <v>KU</v>
      </c>
      <c r="B525" s="427" t="str">
        <f t="shared" si="51"/>
        <v>VA</v>
      </c>
      <c r="C525" s="427" t="str">
        <f t="shared" si="52"/>
        <v>E</v>
      </c>
      <c r="D525" s="427" t="s">
        <v>3434</v>
      </c>
      <c r="E525" s="427" t="str">
        <f t="shared" si="54"/>
        <v>369</v>
      </c>
      <c r="F525" s="756" t="s">
        <v>1801</v>
      </c>
      <c r="G525" s="426" t="str">
        <f t="shared" si="55"/>
        <v>DISTRIBUTION</v>
      </c>
      <c r="H525" s="427">
        <v>7.9502499999999996</v>
      </c>
      <c r="I525" s="427">
        <v>7.9502499999999996</v>
      </c>
      <c r="J525" s="427">
        <v>7.9502499999999996</v>
      </c>
      <c r="K525" s="427">
        <v>7.9502499999999996</v>
      </c>
      <c r="L525" s="427">
        <v>7.9502499999999996</v>
      </c>
      <c r="M525" s="427">
        <v>7.9502499999999996</v>
      </c>
      <c r="N525" s="427">
        <v>7.9502499999999996</v>
      </c>
      <c r="O525" s="427">
        <v>7.9502499999999996</v>
      </c>
      <c r="P525" s="427">
        <v>7.9502499999999996</v>
      </c>
      <c r="Q525" s="427">
        <v>7.9502499999999996</v>
      </c>
      <c r="R525" s="427">
        <v>7.9502499999999996</v>
      </c>
      <c r="S525" s="427">
        <v>7.9502499999999996</v>
      </c>
      <c r="T525" s="427">
        <v>7.9502499999999996</v>
      </c>
      <c r="U525" s="427">
        <f>SUM(I525:T525)</f>
        <v>95.402999999999977</v>
      </c>
    </row>
    <row r="526" spans="1:21">
      <c r="A526" s="427" t="str">
        <f t="shared" si="57"/>
        <v>KU</v>
      </c>
      <c r="B526" s="427" t="str">
        <f t="shared" si="51"/>
        <v>KY</v>
      </c>
      <c r="C526" s="427" t="str">
        <f t="shared" si="52"/>
        <v>E</v>
      </c>
      <c r="D526" s="427" t="s">
        <v>3434</v>
      </c>
      <c r="E526" s="427" t="str">
        <f t="shared" si="54"/>
        <v>370</v>
      </c>
      <c r="F526" s="756" t="s">
        <v>1802</v>
      </c>
      <c r="G526" s="426" t="str">
        <f t="shared" si="55"/>
        <v>DISTRIBUTION</v>
      </c>
      <c r="H526" s="427">
        <v>232.45605</v>
      </c>
      <c r="I526" s="427">
        <v>232.864</v>
      </c>
      <c r="J526" s="427">
        <v>233.27314000000001</v>
      </c>
      <c r="K526" s="427">
        <v>233.66969</v>
      </c>
      <c r="L526" s="427">
        <v>234.07135</v>
      </c>
      <c r="M526" s="427">
        <v>234.41691</v>
      </c>
      <c r="N526" s="427">
        <v>234.751</v>
      </c>
      <c r="O526" s="427">
        <v>235.15634</v>
      </c>
      <c r="P526" s="427">
        <v>236.58133999999899</v>
      </c>
      <c r="Q526" s="427">
        <v>237.88498000000001</v>
      </c>
      <c r="R526" s="427">
        <v>238.3039</v>
      </c>
      <c r="S526" s="427">
        <v>238.77768</v>
      </c>
      <c r="T526" s="427">
        <v>239.13052999999999</v>
      </c>
      <c r="U526" s="427">
        <f t="shared" si="53"/>
        <v>2828.8808599999988</v>
      </c>
    </row>
    <row r="527" spans="1:21">
      <c r="A527" s="427" t="str">
        <f t="shared" si="57"/>
        <v>KU</v>
      </c>
      <c r="B527" s="427" t="str">
        <f t="shared" si="51"/>
        <v>KY</v>
      </c>
      <c r="C527" s="427" t="str">
        <f t="shared" si="52"/>
        <v>E</v>
      </c>
      <c r="D527" s="427" t="s">
        <v>3434</v>
      </c>
      <c r="E527" s="427" t="str">
        <f t="shared" si="54"/>
        <v>370</v>
      </c>
      <c r="F527" s="756" t="s">
        <v>2505</v>
      </c>
      <c r="G527" s="426" t="str">
        <f t="shared" si="55"/>
        <v>DISTRIBUTION</v>
      </c>
      <c r="H527" s="427">
        <v>7.5996959669999997</v>
      </c>
      <c r="I527" s="427">
        <v>7.5996959669999997</v>
      </c>
      <c r="J527" s="427">
        <v>7.5996959669999997</v>
      </c>
      <c r="K527" s="427">
        <v>7.5996959669999997</v>
      </c>
      <c r="L527" s="427">
        <v>7.5996959669999997</v>
      </c>
      <c r="M527" s="427">
        <v>7.5996959669999997</v>
      </c>
      <c r="N527" s="427">
        <v>7.5996959669999997</v>
      </c>
      <c r="O527" s="427">
        <v>7.5996959669999997</v>
      </c>
      <c r="P527" s="427">
        <v>7.5996959669999997</v>
      </c>
      <c r="Q527" s="427">
        <v>7.5996959669999997</v>
      </c>
      <c r="R527" s="427">
        <v>7.5996959669999997</v>
      </c>
      <c r="S527" s="427">
        <v>7.5996959669999997</v>
      </c>
      <c r="T527" s="427">
        <v>7.5996959669999997</v>
      </c>
      <c r="U527" s="427">
        <f t="shared" si="53"/>
        <v>91.196351604000014</v>
      </c>
    </row>
    <row r="528" spans="1:21">
      <c r="A528" s="427" t="str">
        <f t="shared" si="57"/>
        <v>KU</v>
      </c>
      <c r="B528" s="427" t="str">
        <f t="shared" si="51"/>
        <v>TN</v>
      </c>
      <c r="C528" s="427" t="str">
        <f t="shared" si="52"/>
        <v>E</v>
      </c>
      <c r="D528" s="427" t="s">
        <v>3434</v>
      </c>
      <c r="E528" s="427" t="str">
        <f t="shared" si="54"/>
        <v>370</v>
      </c>
      <c r="F528" s="756" t="s">
        <v>1803</v>
      </c>
      <c r="G528" s="426" t="str">
        <f t="shared" si="55"/>
        <v>DISTRIBUTION</v>
      </c>
      <c r="H528" s="427">
        <v>1.482E-2</v>
      </c>
      <c r="I528" s="427">
        <v>1.482E-2</v>
      </c>
      <c r="J528" s="427">
        <v>1.482E-2</v>
      </c>
      <c r="K528" s="427">
        <v>1.482E-2</v>
      </c>
      <c r="L528" s="427">
        <v>1.482E-2</v>
      </c>
      <c r="M528" s="427">
        <v>1.482E-2</v>
      </c>
      <c r="N528" s="427">
        <v>1.482E-2</v>
      </c>
      <c r="O528" s="427">
        <v>1.482E-2</v>
      </c>
      <c r="P528" s="427">
        <v>1.482E-2</v>
      </c>
      <c r="Q528" s="427">
        <v>1.482E-2</v>
      </c>
      <c r="R528" s="427">
        <v>1.482E-2</v>
      </c>
      <c r="S528" s="427">
        <v>1.482E-2</v>
      </c>
      <c r="T528" s="427">
        <v>1.482E-2</v>
      </c>
      <c r="U528" s="427">
        <f t="shared" si="53"/>
        <v>0.17784</v>
      </c>
    </row>
    <row r="529" spans="1:22">
      <c r="A529" s="427" t="str">
        <f t="shared" si="57"/>
        <v>KU</v>
      </c>
      <c r="B529" s="427" t="str">
        <f t="shared" si="51"/>
        <v>VA</v>
      </c>
      <c r="C529" s="427" t="str">
        <f t="shared" si="52"/>
        <v>E</v>
      </c>
      <c r="D529" s="427" t="s">
        <v>3434</v>
      </c>
      <c r="E529" s="427" t="str">
        <f t="shared" si="54"/>
        <v>370</v>
      </c>
      <c r="F529" s="756" t="s">
        <v>1804</v>
      </c>
      <c r="G529" s="426" t="str">
        <f t="shared" si="55"/>
        <v>DISTRIBUTION</v>
      </c>
      <c r="H529" s="427">
        <v>11.611560000000001</v>
      </c>
      <c r="I529" s="427">
        <v>11.611560000000001</v>
      </c>
      <c r="J529" s="427">
        <v>11.611560000000001</v>
      </c>
      <c r="K529" s="427">
        <v>11.611560000000001</v>
      </c>
      <c r="L529" s="427">
        <v>11.611560000000001</v>
      </c>
      <c r="M529" s="427">
        <v>11.611560000000001</v>
      </c>
      <c r="N529" s="427">
        <v>11.611560000000001</v>
      </c>
      <c r="O529" s="427">
        <v>11.611560000000001</v>
      </c>
      <c r="P529" s="427">
        <v>11.611560000000001</v>
      </c>
      <c r="Q529" s="427">
        <v>11.611560000000001</v>
      </c>
      <c r="R529" s="427">
        <v>11.611560000000001</v>
      </c>
      <c r="S529" s="427">
        <v>11.611560000000001</v>
      </c>
      <c r="T529" s="427">
        <v>11.611560000000001</v>
      </c>
      <c r="U529" s="427">
        <f t="shared" si="53"/>
        <v>139.33872</v>
      </c>
    </row>
    <row r="530" spans="1:22">
      <c r="A530" s="427" t="str">
        <f t="shared" si="57"/>
        <v>KU</v>
      </c>
      <c r="B530" s="427" t="str">
        <f t="shared" si="51"/>
        <v>KY</v>
      </c>
      <c r="C530" s="427" t="str">
        <f t="shared" si="52"/>
        <v>E</v>
      </c>
      <c r="D530" s="427" t="s">
        <v>3434</v>
      </c>
      <c r="E530" s="427" t="str">
        <f t="shared" si="54"/>
        <v>371</v>
      </c>
      <c r="F530" s="756" t="s">
        <v>1805</v>
      </c>
      <c r="G530" s="426" t="str">
        <f t="shared" si="55"/>
        <v>DISTRIBUTION</v>
      </c>
      <c r="H530" s="427">
        <v>3.6799999999999901E-3</v>
      </c>
      <c r="I530" s="427">
        <v>3.6799999999999901E-3</v>
      </c>
      <c r="J530" s="427">
        <v>3.6799999999999901E-3</v>
      </c>
      <c r="K530" s="427">
        <v>3.6799999999999901E-3</v>
      </c>
      <c r="L530" s="427">
        <v>3.6799999999999901E-3</v>
      </c>
      <c r="M530" s="427">
        <v>3.6799999999999901E-3</v>
      </c>
      <c r="N530" s="427">
        <v>3.6799999999999901E-3</v>
      </c>
      <c r="O530" s="427">
        <v>3.6799999999999901E-3</v>
      </c>
      <c r="P530" s="427">
        <v>3.6799999999999901E-3</v>
      </c>
      <c r="Q530" s="427">
        <v>3.6799999999999901E-3</v>
      </c>
      <c r="R530" s="427">
        <v>3.6799999999999901E-3</v>
      </c>
      <c r="S530" s="427">
        <v>3.6799999999999901E-3</v>
      </c>
      <c r="T530" s="427">
        <v>3.6799999999999901E-3</v>
      </c>
      <c r="U530" s="427">
        <f t="shared" si="53"/>
        <v>4.4159999999999873E-2</v>
      </c>
      <c r="V530" s="428"/>
    </row>
    <row r="531" spans="1:22">
      <c r="A531" s="427" t="str">
        <f t="shared" si="57"/>
        <v>KU</v>
      </c>
      <c r="B531" s="427" t="str">
        <f t="shared" si="51"/>
        <v>KY</v>
      </c>
      <c r="C531" s="427" t="str">
        <f t="shared" si="52"/>
        <v>E</v>
      </c>
      <c r="D531" s="427" t="s">
        <v>3434</v>
      </c>
      <c r="E531" s="427" t="str">
        <f t="shared" si="54"/>
        <v>371</v>
      </c>
      <c r="F531" s="756" t="s">
        <v>2669</v>
      </c>
      <c r="G531" s="426" t="str">
        <f t="shared" si="55"/>
        <v>DISTRIBUTION</v>
      </c>
      <c r="H531" s="427">
        <v>1.1443599999999901</v>
      </c>
      <c r="I531" s="427">
        <v>1.1443599999999901</v>
      </c>
      <c r="J531" s="427">
        <v>1.1443599999999901</v>
      </c>
      <c r="K531" s="427">
        <v>1.1443599999999901</v>
      </c>
      <c r="L531" s="427">
        <v>1.1443599999999901</v>
      </c>
      <c r="M531" s="427">
        <v>1.1443599999999901</v>
      </c>
      <c r="N531" s="427">
        <v>1.1443599999999901</v>
      </c>
      <c r="O531" s="427">
        <v>1.1443599999999901</v>
      </c>
      <c r="P531" s="427">
        <v>1.1443599999999901</v>
      </c>
      <c r="Q531" s="427">
        <v>1.1443599999999901</v>
      </c>
      <c r="R531" s="427">
        <v>1.1443599999999901</v>
      </c>
      <c r="S531" s="427">
        <v>1.1443599999999901</v>
      </c>
      <c r="T531" s="427">
        <v>1.1443599999999901</v>
      </c>
      <c r="U531" s="716">
        <f>SUM(I531:T531)</f>
        <v>13.732319999999881</v>
      </c>
    </row>
    <row r="532" spans="1:22">
      <c r="A532" s="427" t="str">
        <f t="shared" si="57"/>
        <v>KU</v>
      </c>
      <c r="B532" s="427" t="str">
        <f t="shared" si="51"/>
        <v>KY</v>
      </c>
      <c r="C532" s="427" t="str">
        <f t="shared" si="52"/>
        <v>E</v>
      </c>
      <c r="D532" s="427" t="s">
        <v>3434</v>
      </c>
      <c r="E532" s="427" t="str">
        <f t="shared" si="54"/>
        <v>373</v>
      </c>
      <c r="F532" s="756" t="s">
        <v>1806</v>
      </c>
      <c r="G532" s="426" t="str">
        <f t="shared" si="55"/>
        <v>DISTRIBUTION</v>
      </c>
      <c r="H532" s="427">
        <v>417.28800999999999</v>
      </c>
      <c r="I532" s="427">
        <v>418.11223999999999</v>
      </c>
      <c r="J532" s="427">
        <v>419.22010999999998</v>
      </c>
      <c r="K532" s="427">
        <v>419.581379999999</v>
      </c>
      <c r="L532" s="427">
        <v>419.04586999999998</v>
      </c>
      <c r="M532" s="427">
        <v>419.82299999999998</v>
      </c>
      <c r="N532" s="427">
        <v>421.419749999999</v>
      </c>
      <c r="O532" s="427">
        <v>422.938119999999</v>
      </c>
      <c r="P532" s="427">
        <v>424.01691</v>
      </c>
      <c r="Q532" s="427">
        <v>425.29669000000001</v>
      </c>
      <c r="R532" s="427">
        <v>426.809089999999</v>
      </c>
      <c r="S532" s="427">
        <v>427.97151000000002</v>
      </c>
      <c r="T532" s="427">
        <v>429.16994</v>
      </c>
      <c r="U532" s="716">
        <f t="shared" ref="U532:U534" si="58">SUM(I532:T532)</f>
        <v>5073.404609999996</v>
      </c>
    </row>
    <row r="533" spans="1:22">
      <c r="A533" s="427" t="str">
        <f t="shared" si="57"/>
        <v>KU</v>
      </c>
      <c r="B533" s="427" t="str">
        <f t="shared" si="51"/>
        <v>VA</v>
      </c>
      <c r="C533" s="427" t="str">
        <f t="shared" si="52"/>
        <v>E</v>
      </c>
      <c r="D533" s="427" t="s">
        <v>3434</v>
      </c>
      <c r="E533" s="427" t="str">
        <f t="shared" si="54"/>
        <v>373</v>
      </c>
      <c r="F533" s="756" t="s">
        <v>1807</v>
      </c>
      <c r="G533" s="426" t="str">
        <f t="shared" si="55"/>
        <v>DISTRIBUTION</v>
      </c>
      <c r="H533" s="427">
        <v>12.94035</v>
      </c>
      <c r="I533" s="427">
        <v>12.993840000000001</v>
      </c>
      <c r="J533" s="427">
        <v>13.051460000000001</v>
      </c>
      <c r="K533" s="427">
        <v>13.11112</v>
      </c>
      <c r="L533" s="427">
        <v>13.17811</v>
      </c>
      <c r="M533" s="427">
        <v>13.243029999999999</v>
      </c>
      <c r="N533" s="427">
        <v>13.29857</v>
      </c>
      <c r="O533" s="427">
        <v>13.341109999999899</v>
      </c>
      <c r="P533" s="427">
        <v>13.374280000000001</v>
      </c>
      <c r="Q533" s="427">
        <v>13.423819999999999</v>
      </c>
      <c r="R533" s="427">
        <v>13.489800000000001</v>
      </c>
      <c r="S533" s="427">
        <v>13.555770000000001</v>
      </c>
      <c r="T533" s="427">
        <v>13.61608</v>
      </c>
      <c r="U533" s="716">
        <f t="shared" si="58"/>
        <v>159.6769899999999</v>
      </c>
    </row>
    <row r="534" spans="1:22">
      <c r="A534" s="427" t="str">
        <f t="shared" si="57"/>
        <v>KU</v>
      </c>
      <c r="B534" s="427" t="str">
        <f t="shared" si="51"/>
        <v>KY</v>
      </c>
      <c r="C534" s="427" t="str">
        <f t="shared" si="52"/>
        <v>E</v>
      </c>
      <c r="D534" s="427" t="s">
        <v>3434</v>
      </c>
      <c r="E534" s="427" t="str">
        <f t="shared" si="54"/>
        <v>374</v>
      </c>
      <c r="F534" s="756" t="s">
        <v>1808</v>
      </c>
      <c r="G534" s="426" t="str">
        <f t="shared" si="55"/>
        <v>DISTRIBUTION</v>
      </c>
      <c r="H534" s="427">
        <v>0.86819000000000002</v>
      </c>
      <c r="I534" s="427">
        <v>0.86819000000000002</v>
      </c>
      <c r="J534" s="427">
        <v>0.86819000000000002</v>
      </c>
      <c r="K534" s="427">
        <v>0.86819000000000002</v>
      </c>
      <c r="L534" s="427">
        <v>0.86819000000000002</v>
      </c>
      <c r="M534" s="427">
        <v>0.86819000000000002</v>
      </c>
      <c r="N534" s="427">
        <v>0.86819000000000002</v>
      </c>
      <c r="O534" s="427">
        <v>0.86819000000000002</v>
      </c>
      <c r="P534" s="427">
        <v>0.86819000000000002</v>
      </c>
      <c r="Q534" s="427">
        <v>0.116844521110732</v>
      </c>
      <c r="R534" s="427">
        <v>0.116844521110732</v>
      </c>
      <c r="S534" s="427">
        <v>0.116844521110732</v>
      </c>
      <c r="T534" s="427">
        <v>0.116844521110732</v>
      </c>
      <c r="U534" s="716">
        <f t="shared" si="58"/>
        <v>7.4128980844429284</v>
      </c>
    </row>
    <row r="535" spans="1:22">
      <c r="A535" s="427" t="str">
        <f t="shared" si="57"/>
        <v>KU</v>
      </c>
      <c r="B535" s="427" t="str">
        <f t="shared" ref="B535:B616" si="59">IF(MID($F535,12,2)="- ","KY",IF(MID($F535,12,2)="SY","KY",MID($F535,12,2)))</f>
        <v>KY</v>
      </c>
      <c r="C535" s="427" t="str">
        <f t="shared" si="52"/>
        <v>E</v>
      </c>
      <c r="D535" s="427" t="s">
        <v>3434</v>
      </c>
      <c r="E535" s="427" t="str">
        <f t="shared" si="54"/>
        <v>390</v>
      </c>
      <c r="F535" s="756" t="s">
        <v>1811</v>
      </c>
      <c r="G535" s="426" t="str">
        <f t="shared" si="55"/>
        <v>GENERAL</v>
      </c>
      <c r="H535" s="427">
        <v>5.9117299999999897</v>
      </c>
      <c r="I535" s="427">
        <v>5.9117299999999897</v>
      </c>
      <c r="J535" s="427">
        <v>5.9117299999999897</v>
      </c>
      <c r="K535" s="427">
        <v>5.9117299999999897</v>
      </c>
      <c r="L535" s="427">
        <v>5.9117299999999897</v>
      </c>
      <c r="M535" s="427">
        <v>5.9117299999999897</v>
      </c>
      <c r="N535" s="427">
        <v>5.9117299999999897</v>
      </c>
      <c r="O535" s="427">
        <v>5.9117299999999897</v>
      </c>
      <c r="P535" s="427">
        <v>5.9117299999999897</v>
      </c>
      <c r="Q535" s="427">
        <v>5.9117299999999897</v>
      </c>
      <c r="R535" s="427">
        <v>5.9117299999999897</v>
      </c>
      <c r="S535" s="427">
        <v>5.9117299999999897</v>
      </c>
      <c r="T535" s="427">
        <v>5.9117299999999897</v>
      </c>
      <c r="U535" s="427">
        <f>SUM(I535:T535)</f>
        <v>70.940759999999884</v>
      </c>
      <c r="V535" s="428"/>
    </row>
    <row r="536" spans="1:22">
      <c r="A536" s="427" t="str">
        <f t="shared" si="57"/>
        <v>KU</v>
      </c>
      <c r="B536" s="427" t="str">
        <f t="shared" si="59"/>
        <v>KY</v>
      </c>
      <c r="C536" s="427" t="str">
        <f t="shared" si="52"/>
        <v>E</v>
      </c>
      <c r="D536" s="427" t="s">
        <v>3434</v>
      </c>
      <c r="E536" s="427" t="str">
        <f t="shared" si="54"/>
        <v>390</v>
      </c>
      <c r="F536" s="756" t="s">
        <v>1812</v>
      </c>
      <c r="G536" s="426" t="str">
        <f t="shared" si="55"/>
        <v>GENERAL</v>
      </c>
      <c r="H536" s="427">
        <v>133.622219999999</v>
      </c>
      <c r="I536" s="427">
        <v>133.66942</v>
      </c>
      <c r="J536" s="427">
        <v>141.23123999999899</v>
      </c>
      <c r="K536" s="427">
        <v>148.78769</v>
      </c>
      <c r="L536" s="427">
        <v>148.97890000000001</v>
      </c>
      <c r="M536" s="427">
        <v>149.56057999999999</v>
      </c>
      <c r="N536" s="427">
        <v>150.69523000000001</v>
      </c>
      <c r="O536" s="427">
        <v>152.93306999999999</v>
      </c>
      <c r="P536" s="427">
        <v>156.36610999999999</v>
      </c>
      <c r="Q536" s="427">
        <v>158.30566999999999</v>
      </c>
      <c r="R536" s="427">
        <v>158.34542999999999</v>
      </c>
      <c r="S536" s="427">
        <v>158.38041999999999</v>
      </c>
      <c r="T536" s="427">
        <v>158.41318999999999</v>
      </c>
      <c r="U536" s="427">
        <f t="shared" si="53"/>
        <v>1815.6669499999989</v>
      </c>
    </row>
    <row r="537" spans="1:22">
      <c r="A537" s="427" t="str">
        <f t="shared" si="57"/>
        <v>KU</v>
      </c>
      <c r="B537" s="427" t="str">
        <f t="shared" si="59"/>
        <v>VA</v>
      </c>
      <c r="C537" s="427" t="str">
        <f t="shared" si="52"/>
        <v>E</v>
      </c>
      <c r="D537" s="427" t="s">
        <v>3434</v>
      </c>
      <c r="E537" s="427" t="str">
        <f t="shared" si="54"/>
        <v>390</v>
      </c>
      <c r="F537" s="756" t="s">
        <v>1813</v>
      </c>
      <c r="G537" s="426" t="str">
        <f t="shared" si="55"/>
        <v>GENERAL</v>
      </c>
      <c r="H537" s="427">
        <v>2.3099599999999998</v>
      </c>
      <c r="I537" s="427">
        <v>2.53249999999999</v>
      </c>
      <c r="J537" s="427">
        <v>2.7482500000000001</v>
      </c>
      <c r="K537" s="427">
        <v>7.2911599999999996</v>
      </c>
      <c r="L537" s="427">
        <v>11.863249999999899</v>
      </c>
      <c r="M537" s="427">
        <v>11.89242</v>
      </c>
      <c r="N537" s="427">
        <v>11.89242</v>
      </c>
      <c r="O537" s="427">
        <v>11.89242</v>
      </c>
      <c r="P537" s="427">
        <v>11.89242</v>
      </c>
      <c r="Q537" s="427">
        <v>11.89242</v>
      </c>
      <c r="R537" s="427">
        <v>11.89242</v>
      </c>
      <c r="S537" s="427">
        <v>11.89242</v>
      </c>
      <c r="T537" s="427">
        <v>11.89242</v>
      </c>
      <c r="U537" s="427">
        <f t="shared" si="53"/>
        <v>119.57451999999989</v>
      </c>
    </row>
    <row r="538" spans="1:22">
      <c r="A538" s="427" t="str">
        <f t="shared" si="57"/>
        <v>KU</v>
      </c>
      <c r="B538" s="427" t="str">
        <f t="shared" si="59"/>
        <v>KY</v>
      </c>
      <c r="C538" s="427" t="str">
        <f t="shared" si="52"/>
        <v>E</v>
      </c>
      <c r="D538" s="427" t="s">
        <v>3434</v>
      </c>
      <c r="E538" s="427" t="str">
        <f t="shared" si="54"/>
        <v>391</v>
      </c>
      <c r="F538" s="756" t="s">
        <v>1814</v>
      </c>
      <c r="G538" s="426" t="str">
        <f t="shared" si="55"/>
        <v>GENERAL</v>
      </c>
      <c r="H538" s="427">
        <v>121.994509999999</v>
      </c>
      <c r="I538" s="427">
        <v>121.942759999999</v>
      </c>
      <c r="J538" s="427">
        <v>121.942759999999</v>
      </c>
      <c r="K538" s="427">
        <v>121.942759999999</v>
      </c>
      <c r="L538" s="427">
        <v>121.942759999999</v>
      </c>
      <c r="M538" s="427">
        <v>121.81206</v>
      </c>
      <c r="N538" s="427">
        <v>113.83481999999999</v>
      </c>
      <c r="O538" s="427">
        <v>118.7513</v>
      </c>
      <c r="P538" s="427">
        <v>132.42551</v>
      </c>
      <c r="Q538" s="427">
        <v>133.10805999999999</v>
      </c>
      <c r="R538" s="427">
        <v>132.87942000000001</v>
      </c>
      <c r="S538" s="427">
        <v>132.87942000000001</v>
      </c>
      <c r="T538" s="427">
        <v>132.87942000000001</v>
      </c>
      <c r="U538" s="427">
        <f t="shared" si="53"/>
        <v>1506.3410499999959</v>
      </c>
    </row>
    <row r="539" spans="1:22">
      <c r="A539" s="427" t="str">
        <f t="shared" si="57"/>
        <v>KU</v>
      </c>
      <c r="B539" s="427" t="str">
        <f t="shared" si="59"/>
        <v>KY</v>
      </c>
      <c r="C539" s="427" t="str">
        <f t="shared" ref="C539:C620" si="60">IF(ISTEXT(MID($F539,SEARCH("FUTURE USE",$F539),3)),"F",IF(MID($F539,7,1)="1","E",IF(MID($F539,7,1)="2","G",IF(MID($F539,7,1)="3","C",""))))</f>
        <v>E</v>
      </c>
      <c r="D539" s="427" t="s">
        <v>3434</v>
      </c>
      <c r="E539" s="427" t="str">
        <f t="shared" si="54"/>
        <v>391</v>
      </c>
      <c r="F539" s="756" t="s">
        <v>1815</v>
      </c>
      <c r="G539" s="426" t="str">
        <f t="shared" si="55"/>
        <v>GENERAL</v>
      </c>
      <c r="H539" s="427">
        <v>314.58215999999999</v>
      </c>
      <c r="I539" s="427">
        <v>306.426009999999</v>
      </c>
      <c r="J539" s="427">
        <v>296.29284000000001</v>
      </c>
      <c r="K539" s="427">
        <v>293.10798</v>
      </c>
      <c r="L539" s="427">
        <v>291.677359999999</v>
      </c>
      <c r="M539" s="427">
        <v>292.46379000000002</v>
      </c>
      <c r="N539" s="427">
        <v>292.16500000000002</v>
      </c>
      <c r="O539" s="427">
        <v>292.45134000000002</v>
      </c>
      <c r="P539" s="427">
        <v>298.75957</v>
      </c>
      <c r="Q539" s="427">
        <v>298.87959999999998</v>
      </c>
      <c r="R539" s="427">
        <v>287.05588999999998</v>
      </c>
      <c r="S539" s="427">
        <v>278.23860000000002</v>
      </c>
      <c r="T539" s="427">
        <v>277.99453</v>
      </c>
      <c r="U539" s="427">
        <f t="shared" si="53"/>
        <v>3505.5125099999987</v>
      </c>
    </row>
    <row r="540" spans="1:22">
      <c r="A540" s="427" t="str">
        <f t="shared" si="57"/>
        <v>KU</v>
      </c>
      <c r="B540" s="427" t="str">
        <f t="shared" si="59"/>
        <v>KY</v>
      </c>
      <c r="C540" s="427" t="str">
        <f t="shared" si="60"/>
        <v>E</v>
      </c>
      <c r="D540" s="427" t="s">
        <v>3434</v>
      </c>
      <c r="E540" s="427" t="str">
        <f t="shared" si="54"/>
        <v>392</v>
      </c>
      <c r="F540" s="756" t="s">
        <v>1817</v>
      </c>
      <c r="G540" s="426" t="str">
        <f t="shared" si="55"/>
        <v>GENERAL</v>
      </c>
      <c r="H540" s="427">
        <v>3.1854604500000001E-2</v>
      </c>
      <c r="I540" s="427">
        <v>3.1854604500000001E-2</v>
      </c>
      <c r="J540" s="427">
        <v>3.1854604500000001E-2</v>
      </c>
      <c r="K540" s="427">
        <v>3.1854604500000001E-2</v>
      </c>
      <c r="L540" s="427">
        <v>3.1854604500000001E-2</v>
      </c>
      <c r="M540" s="427">
        <v>3.1854604500000001E-2</v>
      </c>
      <c r="N540" s="427">
        <v>3.1854604500000001E-2</v>
      </c>
      <c r="O540" s="427">
        <v>3.1854604500000001E-2</v>
      </c>
      <c r="P540" s="427">
        <v>3.1854604500000001E-2</v>
      </c>
      <c r="Q540" s="427">
        <v>3.1854604500000001E-2</v>
      </c>
      <c r="R540" s="427">
        <v>3.1854604500000001E-2</v>
      </c>
      <c r="S540" s="427">
        <v>3.1854604500000001E-2</v>
      </c>
      <c r="T540" s="427">
        <v>3.1854604500000001E-2</v>
      </c>
      <c r="U540" s="716">
        <f>SUM(I540:T540)</f>
        <v>0.38225525399999999</v>
      </c>
      <c r="V540" s="428" t="s">
        <v>3441</v>
      </c>
    </row>
    <row r="541" spans="1:22">
      <c r="A541" s="427" t="str">
        <f t="shared" si="57"/>
        <v>KU</v>
      </c>
      <c r="B541" s="427" t="str">
        <f t="shared" si="59"/>
        <v>KY</v>
      </c>
      <c r="C541" s="427" t="str">
        <f t="shared" si="60"/>
        <v>E</v>
      </c>
      <c r="D541" s="427" t="s">
        <v>3434</v>
      </c>
      <c r="E541" s="427" t="str">
        <f t="shared" si="54"/>
        <v>392</v>
      </c>
      <c r="F541" s="756" t="s">
        <v>1818</v>
      </c>
      <c r="G541" s="426" t="str">
        <f t="shared" si="55"/>
        <v>GENERAL</v>
      </c>
      <c r="H541" s="427">
        <v>18.29346</v>
      </c>
      <c r="I541" s="427">
        <v>18.29346</v>
      </c>
      <c r="J541" s="427">
        <v>18.29346</v>
      </c>
      <c r="K541" s="427">
        <v>18.29346</v>
      </c>
      <c r="L541" s="427">
        <v>18.29346</v>
      </c>
      <c r="M541" s="427">
        <v>18.29346</v>
      </c>
      <c r="N541" s="427">
        <v>18.29346</v>
      </c>
      <c r="O541" s="427">
        <v>18.29346</v>
      </c>
      <c r="P541" s="427">
        <v>18.29346</v>
      </c>
      <c r="Q541" s="427">
        <v>18.29346</v>
      </c>
      <c r="R541" s="427">
        <v>18.29346</v>
      </c>
      <c r="S541" s="427">
        <v>18.29346</v>
      </c>
      <c r="T541" s="427">
        <v>18.29346</v>
      </c>
      <c r="U541" s="427">
        <f>SUM(I541:T541)</f>
        <v>219.52152000000004</v>
      </c>
    </row>
    <row r="542" spans="1:22">
      <c r="A542" s="427" t="str">
        <f t="shared" si="57"/>
        <v>KU</v>
      </c>
      <c r="B542" s="427" t="str">
        <f t="shared" si="59"/>
        <v>VA</v>
      </c>
      <c r="C542" s="427" t="str">
        <f t="shared" si="60"/>
        <v>E</v>
      </c>
      <c r="D542" s="427" t="s">
        <v>3434</v>
      </c>
      <c r="E542" s="427" t="str">
        <f t="shared" si="54"/>
        <v>392</v>
      </c>
      <c r="F542" s="756" t="s">
        <v>2507</v>
      </c>
      <c r="G542" s="426" t="str">
        <f t="shared" si="55"/>
        <v>GENERAL</v>
      </c>
      <c r="H542" s="427">
        <v>2.4539999999999999E-2</v>
      </c>
      <c r="I542" s="427">
        <v>2.4539999999999999E-2</v>
      </c>
      <c r="J542" s="427">
        <v>2.4539999999999999E-2</v>
      </c>
      <c r="K542" s="427">
        <v>2.4539999999999999E-2</v>
      </c>
      <c r="L542" s="427">
        <v>2.4539999999999999E-2</v>
      </c>
      <c r="M542" s="427">
        <v>2.4539999999999999E-2</v>
      </c>
      <c r="N542" s="427">
        <v>2.4539999999999999E-2</v>
      </c>
      <c r="O542" s="427">
        <v>2.4539999999999999E-2</v>
      </c>
      <c r="P542" s="427">
        <v>2.4539999999999999E-2</v>
      </c>
      <c r="Q542" s="427">
        <v>2.4539999999999999E-2</v>
      </c>
      <c r="R542" s="427">
        <v>2.4539999999999999E-2</v>
      </c>
      <c r="S542" s="427">
        <v>2.4539999999999999E-2</v>
      </c>
      <c r="T542" s="427">
        <v>2.4539999999999999E-2</v>
      </c>
      <c r="U542" s="427">
        <f>SUM(I542:T542)</f>
        <v>0.29448000000000002</v>
      </c>
    </row>
    <row r="543" spans="1:22">
      <c r="A543" s="427" t="str">
        <f t="shared" si="57"/>
        <v>KU</v>
      </c>
      <c r="B543" s="427" t="str">
        <f t="shared" si="59"/>
        <v>KY</v>
      </c>
      <c r="C543" s="427" t="str">
        <f t="shared" si="60"/>
        <v>E</v>
      </c>
      <c r="D543" s="427" t="s">
        <v>3434</v>
      </c>
      <c r="E543" s="427" t="str">
        <f t="shared" si="54"/>
        <v>393</v>
      </c>
      <c r="F543" s="756" t="s">
        <v>1819</v>
      </c>
      <c r="G543" s="426" t="str">
        <f t="shared" si="55"/>
        <v>GENERAL</v>
      </c>
      <c r="H543" s="427">
        <v>3.4289299999999998</v>
      </c>
      <c r="I543" s="427">
        <v>3.3864299999999998</v>
      </c>
      <c r="J543" s="427">
        <v>3.3625099999999999</v>
      </c>
      <c r="K543" s="427">
        <v>3.3625099999999999</v>
      </c>
      <c r="L543" s="427">
        <v>3.3595799999999998</v>
      </c>
      <c r="M543" s="427">
        <v>3.3447</v>
      </c>
      <c r="N543" s="427">
        <v>3.3131699999999999</v>
      </c>
      <c r="O543" s="427">
        <v>3.2936000000000001</v>
      </c>
      <c r="P543" s="427">
        <v>3.2936000000000001</v>
      </c>
      <c r="Q543" s="427">
        <v>3.2936000000000001</v>
      </c>
      <c r="R543" s="427">
        <v>3.2936000000000001</v>
      </c>
      <c r="S543" s="427">
        <v>3.2936000000000001</v>
      </c>
      <c r="T543" s="427">
        <v>3.2936000000000001</v>
      </c>
      <c r="U543" s="427">
        <f t="shared" si="53"/>
        <v>39.890499999999996</v>
      </c>
    </row>
    <row r="544" spans="1:22">
      <c r="A544" s="427" t="str">
        <f t="shared" si="57"/>
        <v>KU</v>
      </c>
      <c r="B544" s="427" t="str">
        <f t="shared" si="59"/>
        <v>VA</v>
      </c>
      <c r="C544" s="427" t="str">
        <f t="shared" si="60"/>
        <v>E</v>
      </c>
      <c r="D544" s="427" t="s">
        <v>3434</v>
      </c>
      <c r="E544" s="427" t="str">
        <f t="shared" si="54"/>
        <v>393</v>
      </c>
      <c r="F544" s="756" t="s">
        <v>1820</v>
      </c>
      <c r="G544" s="426" t="str">
        <f t="shared" si="55"/>
        <v>GENERAL</v>
      </c>
      <c r="H544" s="427">
        <v>3.2100000000000002E-3</v>
      </c>
      <c r="I544" s="427">
        <v>3.2100000000000002E-3</v>
      </c>
      <c r="J544" s="427">
        <v>3.2100000000000002E-3</v>
      </c>
      <c r="K544" s="427">
        <v>3.2100000000000002E-3</v>
      </c>
      <c r="L544" s="427">
        <v>3.2100000000000002E-3</v>
      </c>
      <c r="M544" s="427">
        <v>3.2100000000000002E-3</v>
      </c>
      <c r="N544" s="427">
        <v>3.2100000000000002E-3</v>
      </c>
      <c r="O544" s="427">
        <v>3.2100000000000002E-3</v>
      </c>
      <c r="P544" s="427">
        <v>3.2100000000000002E-3</v>
      </c>
      <c r="Q544" s="427">
        <v>3.2100000000000002E-3</v>
      </c>
      <c r="R544" s="427">
        <v>3.2100000000000002E-3</v>
      </c>
      <c r="S544" s="427">
        <v>3.2100000000000002E-3</v>
      </c>
      <c r="T544" s="427">
        <v>3.2100000000000002E-3</v>
      </c>
      <c r="U544" s="716">
        <f t="shared" si="53"/>
        <v>3.8519999999999999E-2</v>
      </c>
    </row>
    <row r="545" spans="1:22">
      <c r="A545" s="427" t="str">
        <f t="shared" si="57"/>
        <v>KU</v>
      </c>
      <c r="B545" s="427" t="str">
        <f t="shared" si="59"/>
        <v>KY</v>
      </c>
      <c r="C545" s="427" t="str">
        <f t="shared" si="60"/>
        <v>E</v>
      </c>
      <c r="D545" s="427" t="s">
        <v>3434</v>
      </c>
      <c r="E545" s="427" t="str">
        <f t="shared" si="54"/>
        <v>394</v>
      </c>
      <c r="F545" s="756" t="s">
        <v>1821</v>
      </c>
      <c r="G545" s="426" t="str">
        <f t="shared" si="55"/>
        <v>GENERAL</v>
      </c>
      <c r="H545" s="427">
        <v>49.932160000000003</v>
      </c>
      <c r="I545" s="427">
        <v>50.517679999999999</v>
      </c>
      <c r="J545" s="427">
        <v>51.638280000000002</v>
      </c>
      <c r="K545" s="427">
        <v>52.445879999999903</v>
      </c>
      <c r="L545" s="427">
        <v>52.7943</v>
      </c>
      <c r="M545" s="427">
        <v>54.13129</v>
      </c>
      <c r="N545" s="427">
        <v>55.250660000000003</v>
      </c>
      <c r="O545" s="427">
        <v>55.293550000000003</v>
      </c>
      <c r="P545" s="427">
        <v>55.52796</v>
      </c>
      <c r="Q545" s="427">
        <v>55.73789</v>
      </c>
      <c r="R545" s="427">
        <v>55.76549</v>
      </c>
      <c r="S545" s="427">
        <v>56.17174</v>
      </c>
      <c r="T545" s="427">
        <v>57.063160000000003</v>
      </c>
      <c r="U545" s="716">
        <f t="shared" si="53"/>
        <v>652.33787999999993</v>
      </c>
    </row>
    <row r="546" spans="1:22">
      <c r="A546" s="427" t="str">
        <f t="shared" si="57"/>
        <v>KU</v>
      </c>
      <c r="B546" s="427" t="str">
        <f t="shared" si="59"/>
        <v>VA</v>
      </c>
      <c r="C546" s="427" t="str">
        <f t="shared" si="60"/>
        <v>E</v>
      </c>
      <c r="D546" s="427" t="s">
        <v>3434</v>
      </c>
      <c r="E546" s="427" t="str">
        <f t="shared" si="54"/>
        <v>394</v>
      </c>
      <c r="F546" s="756" t="s">
        <v>1822</v>
      </c>
      <c r="G546" s="426" t="str">
        <f t="shared" si="55"/>
        <v>GENERAL</v>
      </c>
      <c r="H546" s="427">
        <v>2.2794699999999999</v>
      </c>
      <c r="I546" s="427">
        <v>2.2794699999999999</v>
      </c>
      <c r="J546" s="427">
        <v>2.30227</v>
      </c>
      <c r="K546" s="427">
        <v>2.3250700000000002</v>
      </c>
      <c r="L546" s="427">
        <v>2.3366199999999999</v>
      </c>
      <c r="M546" s="427">
        <v>2.34816</v>
      </c>
      <c r="N546" s="427">
        <v>2.34816</v>
      </c>
      <c r="O546" s="427">
        <v>2.34816</v>
      </c>
      <c r="P546" s="427">
        <v>2.33765</v>
      </c>
      <c r="Q546" s="427">
        <v>2.3271299999999999</v>
      </c>
      <c r="R546" s="427">
        <v>2.3271299999999999</v>
      </c>
      <c r="S546" s="427">
        <v>2.34754</v>
      </c>
      <c r="T546" s="427">
        <v>2.3679399999999999</v>
      </c>
      <c r="U546" s="716">
        <f t="shared" si="53"/>
        <v>27.9953</v>
      </c>
      <c r="V546" s="428"/>
    </row>
    <row r="547" spans="1:22">
      <c r="A547" s="427" t="str">
        <f t="shared" si="57"/>
        <v>KU</v>
      </c>
      <c r="B547" s="427" t="str">
        <f t="shared" si="59"/>
        <v>KY</v>
      </c>
      <c r="C547" s="427" t="str">
        <f t="shared" si="60"/>
        <v>E</v>
      </c>
      <c r="D547" s="427" t="s">
        <v>3434</v>
      </c>
      <c r="E547" s="427" t="str">
        <f t="shared" si="54"/>
        <v>396</v>
      </c>
      <c r="F547" s="756" t="s">
        <v>1823</v>
      </c>
      <c r="G547" s="426" t="str">
        <f t="shared" si="55"/>
        <v>GENERAL</v>
      </c>
      <c r="H547" s="427">
        <v>2.9348399999999999</v>
      </c>
      <c r="I547" s="761">
        <v>2.9348399999999999</v>
      </c>
      <c r="J547" s="716">
        <v>2.9348399999999999</v>
      </c>
      <c r="K547" s="716">
        <v>2.9348399999999999</v>
      </c>
      <c r="L547" s="716">
        <v>2.9348399999999999</v>
      </c>
      <c r="M547" s="716">
        <v>2.9348399999999999</v>
      </c>
      <c r="N547" s="716">
        <v>2.9348399999999999</v>
      </c>
      <c r="O547" s="716">
        <v>2.9348399999999999</v>
      </c>
      <c r="P547" s="716">
        <v>2.9348399999999999</v>
      </c>
      <c r="Q547" s="716">
        <v>2.9348399999999999</v>
      </c>
      <c r="R547" s="716">
        <v>2.9348399999999999</v>
      </c>
      <c r="S547" s="716">
        <v>2.9348399999999999</v>
      </c>
      <c r="T547" s="716">
        <v>2.9348399999999999</v>
      </c>
      <c r="U547" s="716">
        <f t="shared" ref="U547:U554" si="61">SUM(I547:T547)</f>
        <v>35.218080000000008</v>
      </c>
      <c r="V547" s="428"/>
    </row>
    <row r="548" spans="1:22">
      <c r="A548" s="427" t="str">
        <f t="shared" si="57"/>
        <v>KU</v>
      </c>
      <c r="B548" s="427" t="str">
        <f t="shared" si="59"/>
        <v>KY</v>
      </c>
      <c r="C548" s="427" t="str">
        <f t="shared" si="60"/>
        <v>E</v>
      </c>
      <c r="D548" s="427" t="s">
        <v>3434</v>
      </c>
      <c r="E548" s="427" t="str">
        <f t="shared" si="54"/>
        <v>396</v>
      </c>
      <c r="F548" s="756" t="s">
        <v>2508</v>
      </c>
      <c r="G548" s="426" t="str">
        <f t="shared" si="55"/>
        <v>GENERAL</v>
      </c>
      <c r="H548" s="427">
        <v>15.21875</v>
      </c>
      <c r="I548" s="427">
        <v>15.21875</v>
      </c>
      <c r="J548" s="427">
        <v>15.21875</v>
      </c>
      <c r="K548" s="427">
        <v>15.21875</v>
      </c>
      <c r="L548" s="427">
        <v>15.21875</v>
      </c>
      <c r="M548" s="427">
        <v>15.21875</v>
      </c>
      <c r="N548" s="427">
        <v>15.21875</v>
      </c>
      <c r="O548" s="427">
        <v>15.21875</v>
      </c>
      <c r="P548" s="427">
        <v>15.21875</v>
      </c>
      <c r="Q548" s="427">
        <v>15.21875</v>
      </c>
      <c r="R548" s="427">
        <v>15.21875</v>
      </c>
      <c r="S548" s="427">
        <v>15.21875</v>
      </c>
      <c r="T548" s="427">
        <v>15.21875</v>
      </c>
      <c r="U548" s="716">
        <f t="shared" si="61"/>
        <v>182.625</v>
      </c>
    </row>
    <row r="549" spans="1:22">
      <c r="A549" s="427" t="str">
        <f t="shared" si="57"/>
        <v>KU</v>
      </c>
      <c r="B549" s="427" t="str">
        <f t="shared" si="59"/>
        <v>VA</v>
      </c>
      <c r="C549" s="427" t="str">
        <f t="shared" si="60"/>
        <v>E</v>
      </c>
      <c r="D549" s="427" t="s">
        <v>3434</v>
      </c>
      <c r="E549" s="427" t="str">
        <f t="shared" si="54"/>
        <v>396</v>
      </c>
      <c r="F549" s="756" t="s">
        <v>1824</v>
      </c>
      <c r="G549" s="426" t="str">
        <f t="shared" si="55"/>
        <v>GENERAL</v>
      </c>
      <c r="H549" s="427">
        <v>0</v>
      </c>
      <c r="I549" s="427">
        <v>0</v>
      </c>
      <c r="J549" s="427">
        <v>0</v>
      </c>
      <c r="K549" s="427">
        <v>0</v>
      </c>
      <c r="L549" s="427">
        <v>0</v>
      </c>
      <c r="M549" s="427">
        <v>0</v>
      </c>
      <c r="N549" s="427">
        <v>0</v>
      </c>
      <c r="O549" s="427">
        <v>0</v>
      </c>
      <c r="P549" s="427">
        <v>0</v>
      </c>
      <c r="Q549" s="427">
        <v>0</v>
      </c>
      <c r="R549" s="427">
        <v>0</v>
      </c>
      <c r="S549" s="427">
        <v>0</v>
      </c>
      <c r="T549" s="427">
        <v>0</v>
      </c>
      <c r="U549" s="716">
        <f t="shared" si="61"/>
        <v>0</v>
      </c>
      <c r="V549" s="427">
        <f t="shared" ref="V549:V568" si="62">SUM(H549:T549)/13</f>
        <v>0</v>
      </c>
    </row>
    <row r="550" spans="1:22">
      <c r="A550" s="427" t="str">
        <f t="shared" si="57"/>
        <v>KU</v>
      </c>
      <c r="B550" s="427" t="str">
        <f t="shared" si="59"/>
        <v>VA</v>
      </c>
      <c r="C550" s="427" t="str">
        <f t="shared" si="60"/>
        <v>E</v>
      </c>
      <c r="D550" s="427" t="s">
        <v>3434</v>
      </c>
      <c r="E550" s="427" t="str">
        <f t="shared" si="54"/>
        <v>396</v>
      </c>
      <c r="F550" s="756" t="s">
        <v>2509</v>
      </c>
      <c r="G550" s="426" t="str">
        <f t="shared" si="55"/>
        <v>GENERAL</v>
      </c>
      <c r="H550" s="427">
        <v>1.3290599999999999</v>
      </c>
      <c r="I550" s="427">
        <v>1.3290599999999999</v>
      </c>
      <c r="J550" s="427">
        <v>1.3290599999999999</v>
      </c>
      <c r="K550" s="427">
        <v>1.3290599999999999</v>
      </c>
      <c r="L550" s="427">
        <v>1.3290599999999999</v>
      </c>
      <c r="M550" s="427">
        <v>1.3290599999999999</v>
      </c>
      <c r="N550" s="427">
        <v>1.3290599999999999</v>
      </c>
      <c r="O550" s="427">
        <v>1.3290599999999999</v>
      </c>
      <c r="P550" s="427">
        <v>1.3290599999999999</v>
      </c>
      <c r="Q550" s="427">
        <v>1.3290599999999999</v>
      </c>
      <c r="R550" s="427">
        <v>1.3290599999999999</v>
      </c>
      <c r="S550" s="427">
        <v>1.3290599999999999</v>
      </c>
      <c r="T550" s="427">
        <v>1.3290599999999999</v>
      </c>
      <c r="U550" s="716">
        <f t="shared" si="61"/>
        <v>15.94872</v>
      </c>
    </row>
    <row r="551" spans="1:22">
      <c r="A551" s="427" t="str">
        <f t="shared" si="57"/>
        <v>KU</v>
      </c>
      <c r="B551" s="427" t="str">
        <f t="shared" si="59"/>
        <v>KY</v>
      </c>
      <c r="C551" s="427" t="str">
        <f t="shared" si="60"/>
        <v>E</v>
      </c>
      <c r="D551" s="427" t="s">
        <v>3434</v>
      </c>
      <c r="E551" s="427" t="str">
        <f t="shared" si="54"/>
        <v>397</v>
      </c>
      <c r="F551" s="756" t="s">
        <v>1825</v>
      </c>
      <c r="G551" s="426" t="str">
        <f t="shared" si="55"/>
        <v>GENERAL</v>
      </c>
      <c r="H551" s="427">
        <v>92.107922309999907</v>
      </c>
      <c r="I551" s="427">
        <v>92.352366709999998</v>
      </c>
      <c r="J551" s="427">
        <v>92.596811119999998</v>
      </c>
      <c r="K551" s="427">
        <v>92.841255529999998</v>
      </c>
      <c r="L551" s="427">
        <v>93.085699930000004</v>
      </c>
      <c r="M551" s="427">
        <v>93.330144340000004</v>
      </c>
      <c r="N551" s="427">
        <v>93.574588739999996</v>
      </c>
      <c r="O551" s="427">
        <v>93.819033149999996</v>
      </c>
      <c r="P551" s="427">
        <v>94.063477550000002</v>
      </c>
      <c r="Q551" s="427">
        <v>94.200610830000002</v>
      </c>
      <c r="R551" s="427">
        <v>94.23043303</v>
      </c>
      <c r="S551" s="427">
        <v>94.260255290000003</v>
      </c>
      <c r="T551" s="427">
        <v>94.290077550000007</v>
      </c>
      <c r="U551" s="716">
        <f t="shared" si="61"/>
        <v>1122.6447537699999</v>
      </c>
    </row>
    <row r="552" spans="1:22">
      <c r="A552" s="427" t="str">
        <f t="shared" si="57"/>
        <v>KU</v>
      </c>
      <c r="B552" s="427" t="str">
        <f t="shared" si="59"/>
        <v>KY</v>
      </c>
      <c r="C552" s="427" t="str">
        <f t="shared" si="60"/>
        <v>E</v>
      </c>
      <c r="D552" s="427" t="s">
        <v>3434</v>
      </c>
      <c r="E552" s="427" t="str">
        <f t="shared" ref="E552:E613" si="63">MID($F552,8,3)</f>
        <v>397</v>
      </c>
      <c r="F552" s="756" t="s">
        <v>1826</v>
      </c>
      <c r="G552" s="426" t="str">
        <f t="shared" si="55"/>
        <v>GENERAL</v>
      </c>
      <c r="H552" s="427">
        <v>346.06299000000001</v>
      </c>
      <c r="I552" s="427">
        <v>346.06299000000001</v>
      </c>
      <c r="J552" s="427">
        <v>346.06299000000001</v>
      </c>
      <c r="K552" s="427">
        <v>346.06299000000001</v>
      </c>
      <c r="L552" s="427">
        <v>346.34294</v>
      </c>
      <c r="M552" s="427">
        <v>347.23066</v>
      </c>
      <c r="N552" s="427">
        <v>347.88549</v>
      </c>
      <c r="O552" s="427">
        <v>350.48629</v>
      </c>
      <c r="P552" s="427">
        <v>355.16327999999999</v>
      </c>
      <c r="Q552" s="427">
        <v>357.28653000000003</v>
      </c>
      <c r="R552" s="427">
        <v>357.28653000000003</v>
      </c>
      <c r="S552" s="427">
        <v>357.28653000000003</v>
      </c>
      <c r="T552" s="427">
        <v>357.28653000000003</v>
      </c>
      <c r="U552" s="716">
        <f t="shared" si="61"/>
        <v>4214.4437499999995</v>
      </c>
    </row>
    <row r="553" spans="1:22">
      <c r="A553" s="427" t="str">
        <f t="shared" si="57"/>
        <v>KU</v>
      </c>
      <c r="B553" s="427" t="str">
        <f t="shared" si="59"/>
        <v>VA</v>
      </c>
      <c r="C553" s="427" t="str">
        <f t="shared" si="60"/>
        <v>E</v>
      </c>
      <c r="D553" s="427" t="s">
        <v>3434</v>
      </c>
      <c r="E553" s="427" t="str">
        <f t="shared" si="63"/>
        <v>397</v>
      </c>
      <c r="F553" s="756" t="s">
        <v>1827</v>
      </c>
      <c r="G553" s="426" t="str">
        <f t="shared" si="55"/>
        <v>GENERAL</v>
      </c>
      <c r="H553" s="427">
        <v>5.8953699999999998</v>
      </c>
      <c r="I553" s="427">
        <v>5.8953699999999998</v>
      </c>
      <c r="J553" s="427">
        <v>5.8953699999999998</v>
      </c>
      <c r="K553" s="427">
        <v>5.8953699999999998</v>
      </c>
      <c r="L553" s="427">
        <v>5.8953699999999998</v>
      </c>
      <c r="M553" s="427">
        <v>5.8953699999999998</v>
      </c>
      <c r="N553" s="427">
        <v>5.8953699999999998</v>
      </c>
      <c r="O553" s="427">
        <v>5.8953699999999998</v>
      </c>
      <c r="P553" s="427">
        <v>5.8953699999999998</v>
      </c>
      <c r="Q553" s="427">
        <v>5.8953699999999998</v>
      </c>
      <c r="R553" s="427">
        <v>5.8953699999999998</v>
      </c>
      <c r="S553" s="427">
        <v>5.8953699999999998</v>
      </c>
      <c r="T553" s="427">
        <v>5.8953699999999998</v>
      </c>
      <c r="U553" s="716">
        <f t="shared" si="61"/>
        <v>70.744439999999997</v>
      </c>
    </row>
    <row r="554" spans="1:22">
      <c r="G554" s="426" t="str">
        <f t="shared" si="55"/>
        <v/>
      </c>
      <c r="H554" s="427">
        <v>25222.769846367555</v>
      </c>
      <c r="I554" s="427">
        <v>30638.854734196375</v>
      </c>
      <c r="J554" s="427">
        <v>31034.778280469389</v>
      </c>
      <c r="K554" s="427">
        <v>31174.396718420376</v>
      </c>
      <c r="L554" s="427">
        <v>31216.068186890378</v>
      </c>
      <c r="M554" s="427">
        <v>31279.055252570404</v>
      </c>
      <c r="N554" s="427">
        <v>31366.336931152389</v>
      </c>
      <c r="O554" s="427">
        <v>31463.715299835374</v>
      </c>
      <c r="P554" s="427">
        <v>31763.144532677401</v>
      </c>
      <c r="Q554" s="427">
        <v>31528.736839828394</v>
      </c>
      <c r="R554" s="427">
        <v>31501.248968058382</v>
      </c>
      <c r="S554" s="427">
        <v>31573.330453058385</v>
      </c>
      <c r="T554" s="427">
        <v>31719.661801308372</v>
      </c>
      <c r="U554" s="716">
        <f t="shared" si="61"/>
        <v>376259.32799846563</v>
      </c>
      <c r="V554" s="427">
        <f>-SUM(U555:U568)</f>
        <v>18236.496630000005</v>
      </c>
    </row>
    <row r="555" spans="1:22">
      <c r="A555" s="427" t="str">
        <f t="shared" si="57"/>
        <v>KY</v>
      </c>
      <c r="B555" s="427" t="str">
        <f t="shared" si="59"/>
        <v xml:space="preserve"> A</v>
      </c>
      <c r="C555" s="427" t="str">
        <f t="shared" si="60"/>
        <v/>
      </c>
      <c r="D555" s="427" t="s">
        <v>3434</v>
      </c>
      <c r="E555" s="427" t="str">
        <f t="shared" si="63"/>
        <v>lan</v>
      </c>
      <c r="F555" s="758" t="s">
        <v>1829</v>
      </c>
      <c r="G555" s="426" t="str">
        <f t="shared" si="55"/>
        <v/>
      </c>
      <c r="U555" s="716">
        <f>SUM(I555:T555)</f>
        <v>0</v>
      </c>
    </row>
    <row r="556" spans="1:22">
      <c r="A556" s="427" t="str">
        <f t="shared" si="57"/>
        <v xml:space="preserve">S </v>
      </c>
      <c r="B556" s="427" t="str">
        <f t="shared" si="59"/>
        <v>me</v>
      </c>
      <c r="C556" s="427" t="str">
        <f t="shared" si="60"/>
        <v/>
      </c>
      <c r="D556" s="427" t="s">
        <v>3434</v>
      </c>
      <c r="E556" s="427" t="str">
        <f t="shared" si="63"/>
        <v>jus</v>
      </c>
      <c r="F556" s="759" t="s">
        <v>1833</v>
      </c>
      <c r="G556" s="426" t="str">
        <f t="shared" si="55"/>
        <v/>
      </c>
      <c r="V556" s="427">
        <f t="shared" si="62"/>
        <v>0</v>
      </c>
    </row>
    <row r="557" spans="1:22">
      <c r="A557" s="427" t="str">
        <f t="shared" si="57"/>
        <v>KU</v>
      </c>
      <c r="B557" s="427" t="str">
        <f t="shared" si="59"/>
        <v>KY</v>
      </c>
      <c r="C557" s="427" t="str">
        <f t="shared" si="60"/>
        <v>E</v>
      </c>
      <c r="D557" s="427" t="s">
        <v>3434</v>
      </c>
      <c r="E557" s="427" t="str">
        <f t="shared" si="63"/>
        <v>340</v>
      </c>
      <c r="F557" s="758" t="s">
        <v>2198</v>
      </c>
      <c r="G557" s="426" t="str">
        <f t="shared" si="55"/>
        <v>OTHER</v>
      </c>
      <c r="H557" s="427">
        <v>-0.43203999999999998</v>
      </c>
      <c r="I557" s="427">
        <v>-0.43203999999999998</v>
      </c>
      <c r="J557" s="427">
        <v>-0.43203999999999998</v>
      </c>
      <c r="K557" s="427">
        <v>-0.43203999999999998</v>
      </c>
      <c r="L557" s="427">
        <v>-0.43203999999999998</v>
      </c>
      <c r="M557" s="427">
        <v>-0.43203999999999998</v>
      </c>
      <c r="N557" s="427">
        <v>-0.43203999999999998</v>
      </c>
      <c r="O557" s="427">
        <v>-0.43203999999999998</v>
      </c>
      <c r="P557" s="427">
        <v>-0.43203999999999998</v>
      </c>
      <c r="Q557" s="427">
        <v>-0.43203999999999998</v>
      </c>
      <c r="R557" s="427">
        <v>-0.43203999999999998</v>
      </c>
      <c r="S557" s="427">
        <v>-0.43203999999999998</v>
      </c>
      <c r="T557" s="427">
        <v>-0.43203999999999998</v>
      </c>
      <c r="U557" s="716">
        <f t="shared" ref="U557:U571" si="64">SUM(I557:T557)</f>
        <v>-5.184479999999998</v>
      </c>
      <c r="V557" s="427">
        <f t="shared" si="62"/>
        <v>-0.43203999999999981</v>
      </c>
    </row>
    <row r="558" spans="1:22">
      <c r="A558" s="427" t="str">
        <f t="shared" si="57"/>
        <v>KU</v>
      </c>
      <c r="B558" s="427" t="str">
        <f t="shared" si="59"/>
        <v>KY</v>
      </c>
      <c r="C558" s="427" t="str">
        <f t="shared" si="60"/>
        <v>E</v>
      </c>
      <c r="D558" s="427" t="s">
        <v>3434</v>
      </c>
      <c r="E558" s="427" t="str">
        <f t="shared" si="63"/>
        <v>342</v>
      </c>
      <c r="F558" s="758" t="s">
        <v>2202</v>
      </c>
      <c r="G558" s="426" t="str">
        <f t="shared" si="55"/>
        <v>OTHER</v>
      </c>
      <c r="H558" s="427">
        <v>-116.43714999999899</v>
      </c>
      <c r="I558" s="427">
        <v>-116.43714999999899</v>
      </c>
      <c r="J558" s="427">
        <v>-116.43714999999899</v>
      </c>
      <c r="K558" s="427">
        <v>-116.43714999999899</v>
      </c>
      <c r="L558" s="427">
        <v>-116.43714999999899</v>
      </c>
      <c r="M558" s="427">
        <v>-139.76012</v>
      </c>
      <c r="N558" s="427">
        <v>-164.94403</v>
      </c>
      <c r="O558" s="427">
        <v>-166.80498</v>
      </c>
      <c r="P558" s="427">
        <v>-166.80498</v>
      </c>
      <c r="Q558" s="427">
        <v>-166.80498</v>
      </c>
      <c r="R558" s="427">
        <v>-166.80498</v>
      </c>
      <c r="S558" s="427">
        <v>-166.80498</v>
      </c>
      <c r="T558" s="427">
        <v>-166.80498</v>
      </c>
      <c r="U558" s="716">
        <f t="shared" si="64"/>
        <v>-1771.2826299999956</v>
      </c>
      <c r="V558" s="427">
        <f t="shared" si="62"/>
        <v>-145.20921384615343</v>
      </c>
    </row>
    <row r="559" spans="1:22">
      <c r="A559" s="427" t="str">
        <f t="shared" si="57"/>
        <v>KU</v>
      </c>
      <c r="B559" s="427" t="str">
        <f t="shared" si="59"/>
        <v>KY</v>
      </c>
      <c r="C559" s="427" t="str">
        <f t="shared" si="60"/>
        <v>E</v>
      </c>
      <c r="D559" s="427" t="s">
        <v>3434</v>
      </c>
      <c r="E559" s="427" t="str">
        <f t="shared" si="63"/>
        <v>392</v>
      </c>
      <c r="F559" s="758" t="s">
        <v>1818</v>
      </c>
      <c r="G559" s="426" t="str">
        <f t="shared" si="55"/>
        <v>GENERAL</v>
      </c>
      <c r="H559" s="427">
        <v>-18.29346</v>
      </c>
      <c r="I559" s="427">
        <v>-18.29346</v>
      </c>
      <c r="J559" s="427">
        <v>-18.29346</v>
      </c>
      <c r="K559" s="427">
        <v>-18.29346</v>
      </c>
      <c r="L559" s="427">
        <v>-18.29346</v>
      </c>
      <c r="M559" s="427">
        <v>-18.29346</v>
      </c>
      <c r="N559" s="427">
        <v>-18.29346</v>
      </c>
      <c r="O559" s="427">
        <v>-18.29346</v>
      </c>
      <c r="P559" s="427">
        <v>-18.29346</v>
      </c>
      <c r="Q559" s="427">
        <v>-18.29346</v>
      </c>
      <c r="R559" s="427">
        <v>-18.29346</v>
      </c>
      <c r="S559" s="427">
        <v>-18.29346</v>
      </c>
      <c r="T559" s="427">
        <v>-18.29346</v>
      </c>
      <c r="U559" s="716">
        <f t="shared" si="64"/>
        <v>-219.52152000000004</v>
      </c>
      <c r="V559" s="427">
        <f t="shared" si="62"/>
        <v>-18.293460000000003</v>
      </c>
    </row>
    <row r="560" spans="1:22">
      <c r="A560" s="427" t="str">
        <f t="shared" si="57"/>
        <v>KU</v>
      </c>
      <c r="B560" s="427" t="str">
        <f t="shared" si="59"/>
        <v>VA</v>
      </c>
      <c r="C560" s="427" t="str">
        <f t="shared" si="60"/>
        <v>E</v>
      </c>
      <c r="D560" s="427" t="s">
        <v>3434</v>
      </c>
      <c r="E560" s="427" t="str">
        <f t="shared" si="63"/>
        <v>392</v>
      </c>
      <c r="F560" s="758" t="s">
        <v>2507</v>
      </c>
      <c r="G560" s="426" t="str">
        <f t="shared" si="55"/>
        <v>GENERAL</v>
      </c>
      <c r="H560" s="427">
        <v>-2.4539999999999999E-2</v>
      </c>
      <c r="I560" s="427">
        <v>-2.4539999999999999E-2</v>
      </c>
      <c r="J560" s="427">
        <v>-2.4539999999999999E-2</v>
      </c>
      <c r="K560" s="427">
        <v>-2.4539999999999999E-2</v>
      </c>
      <c r="L560" s="427">
        <v>-2.4539999999999999E-2</v>
      </c>
      <c r="M560" s="427">
        <v>-2.4539999999999999E-2</v>
      </c>
      <c r="N560" s="427">
        <v>-2.4539999999999999E-2</v>
      </c>
      <c r="O560" s="427">
        <v>-2.4539999999999999E-2</v>
      </c>
      <c r="P560" s="427">
        <v>-2.4539999999999999E-2</v>
      </c>
      <c r="Q560" s="427">
        <v>-2.4539999999999999E-2</v>
      </c>
      <c r="R560" s="427">
        <v>-2.4539999999999999E-2</v>
      </c>
      <c r="S560" s="427">
        <v>-2.4539999999999999E-2</v>
      </c>
      <c r="T560" s="427">
        <v>-2.4539999999999999E-2</v>
      </c>
      <c r="U560" s="716">
        <f t="shared" si="64"/>
        <v>-0.29448000000000002</v>
      </c>
      <c r="V560" s="427">
        <f t="shared" si="62"/>
        <v>-2.4540000000000003E-2</v>
      </c>
    </row>
    <row r="561" spans="1:22">
      <c r="A561" s="427" t="str">
        <f t="shared" si="57"/>
        <v>KU</v>
      </c>
      <c r="B561" s="427" t="str">
        <f t="shared" si="59"/>
        <v>KY</v>
      </c>
      <c r="C561" s="427" t="str">
        <f t="shared" si="60"/>
        <v>E</v>
      </c>
      <c r="D561" s="427" t="s">
        <v>3434</v>
      </c>
      <c r="E561" s="427" t="str">
        <f t="shared" si="63"/>
        <v>396</v>
      </c>
      <c r="F561" s="758" t="s">
        <v>2508</v>
      </c>
      <c r="G561" s="426" t="str">
        <f t="shared" si="55"/>
        <v>GENERAL</v>
      </c>
      <c r="H561" s="427">
        <v>-15.21875</v>
      </c>
      <c r="I561" s="427">
        <v>-15.21875</v>
      </c>
      <c r="J561" s="427">
        <v>-15.21875</v>
      </c>
      <c r="K561" s="427">
        <v>-15.21875</v>
      </c>
      <c r="L561" s="427">
        <v>-15.21875</v>
      </c>
      <c r="M561" s="427">
        <v>-15.21875</v>
      </c>
      <c r="N561" s="427">
        <v>-15.21875</v>
      </c>
      <c r="O561" s="427">
        <v>-15.21875</v>
      </c>
      <c r="P561" s="427">
        <v>-15.21875</v>
      </c>
      <c r="Q561" s="427">
        <v>-15.21875</v>
      </c>
      <c r="R561" s="427">
        <v>-15.21875</v>
      </c>
      <c r="S561" s="427">
        <v>-15.21875</v>
      </c>
      <c r="T561" s="427">
        <v>-15.21875</v>
      </c>
      <c r="U561" s="716">
        <f t="shared" si="64"/>
        <v>-182.625</v>
      </c>
      <c r="V561" s="427">
        <f t="shared" si="62"/>
        <v>-15.21875</v>
      </c>
    </row>
    <row r="562" spans="1:22">
      <c r="A562" s="427" t="str">
        <f t="shared" si="57"/>
        <v>KU</v>
      </c>
      <c r="B562" s="427" t="str">
        <f t="shared" si="59"/>
        <v>VA</v>
      </c>
      <c r="C562" s="427" t="str">
        <f t="shared" si="60"/>
        <v>E</v>
      </c>
      <c r="D562" s="427" t="s">
        <v>3434</v>
      </c>
      <c r="E562" s="427" t="str">
        <f t="shared" si="63"/>
        <v>396</v>
      </c>
      <c r="F562" s="758" t="s">
        <v>2509</v>
      </c>
      <c r="G562" s="426" t="str">
        <f t="shared" si="55"/>
        <v>GENERAL</v>
      </c>
      <c r="H562" s="427">
        <v>-1.3290599999999999</v>
      </c>
      <c r="I562" s="427">
        <v>-1.3290599999999999</v>
      </c>
      <c r="J562" s="427">
        <v>-1.3290599999999999</v>
      </c>
      <c r="K562" s="427">
        <v>-1.3290599999999999</v>
      </c>
      <c r="L562" s="427">
        <v>-1.3290599999999999</v>
      </c>
      <c r="M562" s="427">
        <v>-1.3290599999999999</v>
      </c>
      <c r="N562" s="427">
        <v>-1.3290599999999999</v>
      </c>
      <c r="O562" s="427">
        <v>-1.3290599999999999</v>
      </c>
      <c r="P562" s="427">
        <v>-1.3290599999999999</v>
      </c>
      <c r="Q562" s="427">
        <v>-1.3290599999999999</v>
      </c>
      <c r="R562" s="427">
        <v>-1.3290599999999999</v>
      </c>
      <c r="S562" s="427">
        <v>-1.3290599999999999</v>
      </c>
      <c r="T562" s="427">
        <v>-1.3290599999999999</v>
      </c>
      <c r="U562" s="716">
        <f t="shared" si="64"/>
        <v>-15.94872</v>
      </c>
      <c r="V562" s="427">
        <f t="shared" si="62"/>
        <v>-1.3290599999999999</v>
      </c>
    </row>
    <row r="563" spans="1:22">
      <c r="A563" s="427" t="str">
        <f t="shared" si="57"/>
        <v>KU</v>
      </c>
      <c r="B563" s="427" t="str">
        <f t="shared" si="59"/>
        <v>KY</v>
      </c>
      <c r="C563" s="427" t="str">
        <f t="shared" si="60"/>
        <v>E</v>
      </c>
      <c r="D563" s="427" t="s">
        <v>3434</v>
      </c>
      <c r="E563" s="427" t="str">
        <f t="shared" si="63"/>
        <v>317</v>
      </c>
      <c r="F563" s="758" t="s">
        <v>1741</v>
      </c>
      <c r="G563" s="426" t="str">
        <f t="shared" ref="G563:G625" si="65">IF(ISTEXT(MID($F563,SEARCH("HYDRO PRODUCTION",$F563),9)),"HYDRO",IF(ISTEXT(MID($F563,SEARCH("OTHER PRODUCTION",$F563),9)),"OTHER",IF(ISTEXT(MID($F563,SEARCH("STEAM PRODUCTION",$F563),9)),"STEAM",IF(ISTEXT(MID($F563,SEARCH("TRANSMISSION",$F563),9)),"TRANSMISSION",IF(ISTEXT(MID($F563,SEARCH("DISTRIBUTION",$F563),9)),"DISTRIBUTION",IF(ISTEXT(MID($F563,SEARCH("COMMON",$F563),9)),"COMMON",IF(ISTEXT(MID($F563,SEARCH("GENERAL",$F563),9)),"GENERAL",IF(ISTEXT(MID($F563,SEARCH("INTANGIBLE",$F563),9)),"INTANGIBLE",IF(ISTEXT(MID($F563,SEARCH("STORAGE",$F563),3)),"STORAGE","")))))))))</f>
        <v>STEAM</v>
      </c>
      <c r="H563" s="427">
        <v>-451.94018000000102</v>
      </c>
      <c r="I563" s="427">
        <v>-451.94018000000102</v>
      </c>
      <c r="J563" s="427">
        <v>-451.94018000000102</v>
      </c>
      <c r="K563" s="427">
        <v>-451.94018000000102</v>
      </c>
      <c r="L563" s="427">
        <v>-451.94018000000102</v>
      </c>
      <c r="M563" s="427">
        <v>-451.94018000000102</v>
      </c>
      <c r="N563" s="427">
        <v>-451.94018000000102</v>
      </c>
      <c r="O563" s="427">
        <v>-451.94018000000102</v>
      </c>
      <c r="P563" s="427">
        <v>-451.94018000000102</v>
      </c>
      <c r="Q563" s="427">
        <v>-60.823937044654102</v>
      </c>
      <c r="R563" s="427">
        <v>-60.823937044654102</v>
      </c>
      <c r="S563" s="427">
        <v>-60.823937044654102</v>
      </c>
      <c r="T563" s="427">
        <v>-60.823937044654102</v>
      </c>
      <c r="U563" s="716">
        <f t="shared" si="64"/>
        <v>-3858.8171881786243</v>
      </c>
      <c r="V563" s="427">
        <f t="shared" si="62"/>
        <v>-331.59672062912517</v>
      </c>
    </row>
    <row r="564" spans="1:22">
      <c r="A564" s="427" t="str">
        <f t="shared" si="57"/>
        <v>KU</v>
      </c>
      <c r="B564" s="427" t="str">
        <f t="shared" si="59"/>
        <v>KY</v>
      </c>
      <c r="C564" s="427" t="str">
        <f t="shared" si="60"/>
        <v>E</v>
      </c>
      <c r="D564" s="427" t="s">
        <v>3434</v>
      </c>
      <c r="E564" s="427" t="str">
        <f t="shared" si="63"/>
        <v>317</v>
      </c>
      <c r="F564" s="758" t="s">
        <v>2504</v>
      </c>
      <c r="G564" s="426" t="str">
        <f t="shared" si="65"/>
        <v>STEAM</v>
      </c>
      <c r="H564" s="427">
        <v>-1035.3629000000001</v>
      </c>
      <c r="I564" s="427">
        <v>-1035.3629000000001</v>
      </c>
      <c r="J564" s="427">
        <v>-1035.3629000000001</v>
      </c>
      <c r="K564" s="427">
        <v>-1035.3629000000001</v>
      </c>
      <c r="L564" s="427">
        <v>-1035.3629000000001</v>
      </c>
      <c r="M564" s="427">
        <v>-1035.3629000000001</v>
      </c>
      <c r="N564" s="427">
        <v>-1035.3629000000001</v>
      </c>
      <c r="O564" s="427">
        <v>-1035.3629000000001</v>
      </c>
      <c r="P564" s="427">
        <v>-1035.3629000000001</v>
      </c>
      <c r="Q564" s="427">
        <v>-962.96079999999995</v>
      </c>
      <c r="R564" s="427">
        <v>-962.96079999999995</v>
      </c>
      <c r="S564" s="427">
        <v>-962.96079999999995</v>
      </c>
      <c r="T564" s="427">
        <v>-962.96079999999995</v>
      </c>
      <c r="U564" s="716">
        <f t="shared" si="64"/>
        <v>-12134.746400000004</v>
      </c>
      <c r="V564" s="427">
        <f t="shared" si="62"/>
        <v>-1013.0853307692311</v>
      </c>
    </row>
    <row r="565" spans="1:22">
      <c r="A565" s="427" t="str">
        <f t="shared" si="57"/>
        <v>KU</v>
      </c>
      <c r="B565" s="427" t="str">
        <f t="shared" si="59"/>
        <v>KY</v>
      </c>
      <c r="C565" s="427" t="str">
        <f t="shared" si="60"/>
        <v>E</v>
      </c>
      <c r="D565" s="427" t="s">
        <v>3434</v>
      </c>
      <c r="E565" s="427" t="str">
        <f t="shared" si="63"/>
        <v>337</v>
      </c>
      <c r="F565" s="758" t="s">
        <v>1749</v>
      </c>
      <c r="G565" s="426" t="str">
        <f t="shared" si="65"/>
        <v>HYDRO</v>
      </c>
      <c r="H565" s="427">
        <v>-1.49068</v>
      </c>
      <c r="I565" s="427">
        <v>-1.49068</v>
      </c>
      <c r="J565" s="427">
        <v>-1.49068</v>
      </c>
      <c r="K565" s="427">
        <v>-1.49068</v>
      </c>
      <c r="L565" s="427">
        <v>-1.49068</v>
      </c>
      <c r="M565" s="427">
        <v>-1.49068</v>
      </c>
      <c r="N565" s="427">
        <v>-1.49068</v>
      </c>
      <c r="O565" s="427">
        <v>-1.49068</v>
      </c>
      <c r="P565" s="427">
        <v>-1.49068</v>
      </c>
      <c r="Q565" s="427">
        <v>-0.20062174262471</v>
      </c>
      <c r="R565" s="427">
        <v>-0.20062174262471</v>
      </c>
      <c r="S565" s="427">
        <v>-0.20062174262471</v>
      </c>
      <c r="T565" s="427">
        <v>-0.20062174262471</v>
      </c>
      <c r="U565" s="716">
        <f t="shared" si="64"/>
        <v>-12.727926970498839</v>
      </c>
      <c r="V565" s="427">
        <f t="shared" si="62"/>
        <v>-1.09373899773068</v>
      </c>
    </row>
    <row r="566" spans="1:22">
      <c r="A566" s="427" t="str">
        <f t="shared" si="57"/>
        <v>KU</v>
      </c>
      <c r="B566" s="427" t="str">
        <f t="shared" si="59"/>
        <v>KY</v>
      </c>
      <c r="C566" s="427" t="str">
        <f t="shared" si="60"/>
        <v>E</v>
      </c>
      <c r="D566" s="427" t="s">
        <v>3434</v>
      </c>
      <c r="E566" s="427" t="str">
        <f t="shared" si="63"/>
        <v>347</v>
      </c>
      <c r="F566" s="758" t="s">
        <v>2210</v>
      </c>
      <c r="G566" s="426" t="str">
        <f t="shared" si="65"/>
        <v>OTHER</v>
      </c>
      <c r="H566" s="427">
        <v>-1.6791199999999999</v>
      </c>
      <c r="I566" s="427">
        <v>-1.6791199999999999</v>
      </c>
      <c r="J566" s="427">
        <v>-1.6791199999999999</v>
      </c>
      <c r="K566" s="427">
        <v>-1.6791199999999999</v>
      </c>
      <c r="L566" s="427">
        <v>-1.6791199999999999</v>
      </c>
      <c r="M566" s="427">
        <v>-1.6791199999999999</v>
      </c>
      <c r="N566" s="427">
        <v>-1.6791199999999999</v>
      </c>
      <c r="O566" s="427">
        <v>-1.6791199999999999</v>
      </c>
      <c r="P566" s="427">
        <v>-1.6791199999999999</v>
      </c>
      <c r="Q566" s="427">
        <v>-0.22598275986529801</v>
      </c>
      <c r="R566" s="427">
        <v>-0.22598275986529801</v>
      </c>
      <c r="S566" s="427">
        <v>-0.22598275986529801</v>
      </c>
      <c r="T566" s="427">
        <v>-0.22598275986529801</v>
      </c>
      <c r="U566" s="716">
        <f t="shared" si="64"/>
        <v>-14.336891039461189</v>
      </c>
      <c r="V566" s="427">
        <f t="shared" si="62"/>
        <v>-1.2320008491893224</v>
      </c>
    </row>
    <row r="567" spans="1:22">
      <c r="A567" s="427" t="str">
        <f t="shared" si="57"/>
        <v>KU</v>
      </c>
      <c r="B567" s="427" t="str">
        <f t="shared" si="59"/>
        <v>KY</v>
      </c>
      <c r="C567" s="427" t="str">
        <f t="shared" si="60"/>
        <v>E</v>
      </c>
      <c r="D567" s="427" t="s">
        <v>3434</v>
      </c>
      <c r="E567" s="427" t="str">
        <f t="shared" si="63"/>
        <v>359</v>
      </c>
      <c r="F567" s="758" t="s">
        <v>1776</v>
      </c>
      <c r="G567" s="426" t="str">
        <f t="shared" si="65"/>
        <v>TRANSMISSION</v>
      </c>
      <c r="H567" s="427">
        <v>-1.5926399999999901</v>
      </c>
      <c r="I567" s="427">
        <v>-1.5926399999999901</v>
      </c>
      <c r="J567" s="427">
        <v>-1.5926399999999901</v>
      </c>
      <c r="K567" s="427">
        <v>-1.5926399999999901</v>
      </c>
      <c r="L567" s="427">
        <v>-1.5926399999999901</v>
      </c>
      <c r="M567" s="427">
        <v>-1.5926399999999901</v>
      </c>
      <c r="N567" s="427">
        <v>-1.5926399999999901</v>
      </c>
      <c r="O567" s="427">
        <v>-1.5926399999999901</v>
      </c>
      <c r="P567" s="427">
        <v>-1.5926399999999901</v>
      </c>
      <c r="Q567" s="427">
        <v>-0.21434393174512001</v>
      </c>
      <c r="R567" s="427">
        <v>-0.21434393174512001</v>
      </c>
      <c r="S567" s="427">
        <v>-0.21434393174512001</v>
      </c>
      <c r="T567" s="427">
        <v>-0.21434393174512001</v>
      </c>
      <c r="U567" s="716">
        <f t="shared" si="64"/>
        <v>-13.598495726980401</v>
      </c>
      <c r="V567" s="427">
        <f t="shared" si="62"/>
        <v>-1.1685489020754147</v>
      </c>
    </row>
    <row r="568" spans="1:22">
      <c r="A568" s="427" t="str">
        <f t="shared" si="57"/>
        <v>KU</v>
      </c>
      <c r="B568" s="427" t="str">
        <f t="shared" si="59"/>
        <v>KY</v>
      </c>
      <c r="C568" s="427" t="str">
        <f t="shared" si="60"/>
        <v>E</v>
      </c>
      <c r="D568" s="427" t="s">
        <v>3434</v>
      </c>
      <c r="E568" s="427" t="str">
        <f t="shared" si="63"/>
        <v>374</v>
      </c>
      <c r="F568" s="758" t="s">
        <v>1808</v>
      </c>
      <c r="G568" s="426" t="str">
        <f t="shared" si="65"/>
        <v>DISTRIBUTION</v>
      </c>
      <c r="H568" s="427">
        <v>-0.86819000000000002</v>
      </c>
      <c r="I568" s="427">
        <v>-0.86819000000000002</v>
      </c>
      <c r="J568" s="427">
        <v>-0.86819000000000002</v>
      </c>
      <c r="K568" s="427">
        <v>-0.86819000000000002</v>
      </c>
      <c r="L568" s="427">
        <v>-0.86819000000000002</v>
      </c>
      <c r="M568" s="427">
        <v>-0.86819000000000002</v>
      </c>
      <c r="N568" s="427">
        <v>-0.86819000000000002</v>
      </c>
      <c r="O568" s="427">
        <v>-0.86819000000000002</v>
      </c>
      <c r="P568" s="427">
        <v>-0.86819000000000002</v>
      </c>
      <c r="Q568" s="427">
        <v>-0.116844521110732</v>
      </c>
      <c r="R568" s="427">
        <v>-0.116844521110732</v>
      </c>
      <c r="S568" s="427">
        <v>-0.116844521110732</v>
      </c>
      <c r="T568" s="427">
        <v>-0.116844521110732</v>
      </c>
      <c r="U568" s="716">
        <f t="shared" si="64"/>
        <v>-7.4128980844429284</v>
      </c>
      <c r="V568" s="427">
        <f t="shared" si="62"/>
        <v>-0.6370067757263792</v>
      </c>
    </row>
    <row r="569" spans="1:22">
      <c r="A569" s="427" t="str">
        <f t="shared" si="57"/>
        <v>us</v>
      </c>
      <c r="B569" s="427" t="str">
        <f t="shared" si="59"/>
        <v xml:space="preserve"> P</v>
      </c>
      <c r="C569" s="427" t="str">
        <f t="shared" si="60"/>
        <v/>
      </c>
      <c r="D569" s="427" t="s">
        <v>3434</v>
      </c>
      <c r="E569" s="427" t="str">
        <f t="shared" si="63"/>
        <v>d K</v>
      </c>
      <c r="F569" s="758" t="s">
        <v>1834</v>
      </c>
      <c r="G569" s="426" t="str">
        <f t="shared" si="65"/>
        <v/>
      </c>
      <c r="I569" s="427">
        <v>28994.186024196377</v>
      </c>
      <c r="J569" s="427">
        <v>29390.109570469391</v>
      </c>
      <c r="K569" s="427">
        <v>29529.728008420378</v>
      </c>
      <c r="L569" s="427">
        <v>29571.399476890379</v>
      </c>
      <c r="M569" s="427">
        <v>29611.063572570405</v>
      </c>
      <c r="N569" s="427">
        <v>29673.16134115239</v>
      </c>
      <c r="O569" s="427">
        <v>29768.678759835373</v>
      </c>
      <c r="P569" s="427">
        <v>30068.1079926774</v>
      </c>
      <c r="Q569" s="427">
        <v>30302.091479828396</v>
      </c>
      <c r="R569" s="427">
        <v>30274.603608058384</v>
      </c>
      <c r="S569" s="427">
        <v>30346.685093058386</v>
      </c>
      <c r="T569" s="427">
        <v>30493.016441308373</v>
      </c>
      <c r="U569" s="716">
        <f t="shared" si="64"/>
        <v>358022.83136846556</v>
      </c>
    </row>
    <row r="570" spans="1:22">
      <c r="A570" s="427" t="str">
        <f t="shared" si="57"/>
        <v/>
      </c>
      <c r="B570" s="427" t="str">
        <f t="shared" si="59"/>
        <v/>
      </c>
      <c r="C570" s="427" t="str">
        <f t="shared" si="60"/>
        <v/>
      </c>
      <c r="D570" s="427" t="s">
        <v>3434</v>
      </c>
      <c r="E570" s="427" t="str">
        <f t="shared" si="63"/>
        <v/>
      </c>
      <c r="G570" s="426" t="str">
        <f t="shared" si="65"/>
        <v/>
      </c>
      <c r="I570" s="427">
        <v>28994.186024196402</v>
      </c>
      <c r="J570" s="427">
        <v>29390.109570469398</v>
      </c>
      <c r="K570" s="427">
        <v>29529.728008420301</v>
      </c>
      <c r="L570" s="427">
        <v>29571.399476890299</v>
      </c>
      <c r="M570" s="427">
        <v>29611.063572570398</v>
      </c>
      <c r="N570" s="427">
        <v>29673.161341152398</v>
      </c>
      <c r="O570" s="427">
        <v>29768.678759835289</v>
      </c>
      <c r="P570" s="427">
        <v>30068.107992677302</v>
      </c>
      <c r="Q570" s="427">
        <v>30302.091479828297</v>
      </c>
      <c r="R570" s="427">
        <v>30274.6036080583</v>
      </c>
      <c r="S570" s="427">
        <v>30346.685093058299</v>
      </c>
      <c r="T570" s="427">
        <v>30493.016441308398</v>
      </c>
      <c r="U570" s="716">
        <f t="shared" si="64"/>
        <v>358022.83136846509</v>
      </c>
      <c r="V570" s="428" t="s">
        <v>3442</v>
      </c>
    </row>
    <row r="571" spans="1:22">
      <c r="A571" s="427" t="str">
        <f t="shared" si="57"/>
        <v/>
      </c>
      <c r="B571" s="427" t="str">
        <f t="shared" si="59"/>
        <v/>
      </c>
      <c r="C571" s="427" t="str">
        <f t="shared" si="60"/>
        <v/>
      </c>
      <c r="D571" s="427" t="s">
        <v>3434</v>
      </c>
      <c r="E571" s="427" t="str">
        <f t="shared" si="63"/>
        <v/>
      </c>
      <c r="G571" s="426" t="str">
        <f t="shared" si="65"/>
        <v/>
      </c>
      <c r="I571" s="761"/>
      <c r="J571" s="716"/>
      <c r="K571" s="716"/>
      <c r="L571" s="716"/>
      <c r="M571" s="716"/>
      <c r="N571" s="716"/>
      <c r="O571" s="716"/>
      <c r="P571" s="716"/>
      <c r="Q571" s="716"/>
      <c r="R571" s="716"/>
      <c r="S571" s="716"/>
      <c r="T571" s="716"/>
      <c r="U571" s="716">
        <f t="shared" si="64"/>
        <v>0</v>
      </c>
      <c r="V571" s="428" t="s">
        <v>3443</v>
      </c>
    </row>
    <row r="572" spans="1:22">
      <c r="A572" s="427" t="str">
        <f t="shared" si="57"/>
        <v/>
      </c>
      <c r="B572" s="427" t="str">
        <f t="shared" si="59"/>
        <v/>
      </c>
      <c r="C572" s="427" t="str">
        <f t="shared" si="60"/>
        <v/>
      </c>
      <c r="D572" s="427" t="s">
        <v>3434</v>
      </c>
      <c r="E572" s="427" t="str">
        <f t="shared" si="63"/>
        <v/>
      </c>
      <c r="G572" s="426" t="str">
        <f t="shared" si="65"/>
        <v/>
      </c>
      <c r="V572" s="427">
        <f t="shared" ref="V572:V621" si="66">SUM(H572:T572)/13</f>
        <v>0</v>
      </c>
    </row>
    <row r="573" spans="1:22">
      <c r="A573" s="427" t="str">
        <f t="shared" si="57"/>
        <v/>
      </c>
      <c r="B573" s="427" t="str">
        <f t="shared" si="59"/>
        <v/>
      </c>
      <c r="C573" s="427" t="str">
        <f t="shared" si="60"/>
        <v/>
      </c>
      <c r="E573" s="427" t="str">
        <f t="shared" si="63"/>
        <v/>
      </c>
      <c r="G573" s="426" t="str">
        <f t="shared" si="65"/>
        <v/>
      </c>
      <c r="V573" s="427">
        <f t="shared" si="66"/>
        <v>0</v>
      </c>
    </row>
    <row r="574" spans="1:22">
      <c r="A574" s="427" t="str">
        <f t="shared" si="57"/>
        <v>ss</v>
      </c>
      <c r="B574" s="427" t="str">
        <f t="shared" si="59"/>
        <v xml:space="preserve"> F</v>
      </c>
      <c r="C574" s="427" t="str">
        <f t="shared" si="60"/>
        <v/>
      </c>
      <c r="E574" s="427" t="str">
        <f t="shared" si="63"/>
        <v>lan</v>
      </c>
      <c r="F574" s="759" t="s">
        <v>2544</v>
      </c>
      <c r="G574" s="426" t="str">
        <f t="shared" si="65"/>
        <v/>
      </c>
      <c r="V574" s="427">
        <f t="shared" si="66"/>
        <v>0</v>
      </c>
    </row>
    <row r="575" spans="1:22">
      <c r="A575" s="427" t="str">
        <f t="shared" si="57"/>
        <v>KU</v>
      </c>
      <c r="B575" s="427" t="str">
        <f t="shared" si="59"/>
        <v>KY</v>
      </c>
      <c r="C575" s="427" t="str">
        <f t="shared" si="60"/>
        <v>E</v>
      </c>
      <c r="D575" s="427" t="s">
        <v>3435</v>
      </c>
      <c r="E575" s="427" t="str">
        <f t="shared" si="63"/>
        <v>311</v>
      </c>
      <c r="F575" s="756" t="s">
        <v>1732</v>
      </c>
      <c r="G575" s="426" t="str">
        <f t="shared" si="65"/>
        <v>STEAM</v>
      </c>
      <c r="H575" s="427">
        <v>1882.47603</v>
      </c>
      <c r="I575" s="427">
        <v>1882.47603</v>
      </c>
      <c r="J575" s="427">
        <v>1882.47603</v>
      </c>
      <c r="K575" s="427">
        <v>1882.47603</v>
      </c>
      <c r="L575" s="427">
        <v>1882.47603</v>
      </c>
      <c r="M575" s="427">
        <v>1882.47603</v>
      </c>
      <c r="N575" s="427">
        <v>1882.47603</v>
      </c>
      <c r="O575" s="427">
        <v>1882.47603</v>
      </c>
      <c r="P575" s="427">
        <v>1882.47603</v>
      </c>
      <c r="Q575" s="427">
        <v>1882.47603</v>
      </c>
      <c r="R575" s="427">
        <v>1882.47603</v>
      </c>
      <c r="S575" s="427">
        <v>1882.47603</v>
      </c>
      <c r="T575" s="427">
        <v>1882.47603</v>
      </c>
      <c r="U575" s="427">
        <f t="shared" ref="U575:U598" si="67">SUM(I575:T575)</f>
        <v>22589.712360000005</v>
      </c>
      <c r="V575" s="427">
        <f t="shared" si="66"/>
        <v>1882.4760300000005</v>
      </c>
    </row>
    <row r="576" spans="1:22">
      <c r="A576" s="427" t="str">
        <f t="shared" si="57"/>
        <v>KU</v>
      </c>
      <c r="B576" s="427" t="str">
        <f t="shared" si="59"/>
        <v>KY</v>
      </c>
      <c r="C576" s="427" t="str">
        <f t="shared" si="60"/>
        <v>E</v>
      </c>
      <c r="D576" s="427" t="s">
        <v>3435</v>
      </c>
      <c r="E576" s="427" t="str">
        <f t="shared" si="63"/>
        <v>312</v>
      </c>
      <c r="F576" s="756" t="s">
        <v>1733</v>
      </c>
      <c r="G576" s="426" t="str">
        <f t="shared" si="65"/>
        <v>STEAM</v>
      </c>
      <c r="H576" s="427">
        <v>10076.09427</v>
      </c>
      <c r="I576" s="427">
        <v>10076.09427</v>
      </c>
      <c r="J576" s="427">
        <v>10076.09427</v>
      </c>
      <c r="K576" s="427">
        <v>10076.09427</v>
      </c>
      <c r="L576" s="427">
        <v>10076.09427</v>
      </c>
      <c r="M576" s="427">
        <v>10076.09427</v>
      </c>
      <c r="N576" s="427">
        <v>10076.09427</v>
      </c>
      <c r="O576" s="427">
        <v>10076.09427</v>
      </c>
      <c r="P576" s="427">
        <v>10076.09427</v>
      </c>
      <c r="Q576" s="427">
        <v>10076.09427</v>
      </c>
      <c r="R576" s="427">
        <v>10076.09427</v>
      </c>
      <c r="S576" s="427">
        <v>10076.09427</v>
      </c>
      <c r="T576" s="427">
        <v>10076.09427</v>
      </c>
      <c r="U576" s="427">
        <f t="shared" si="67"/>
        <v>120913.13124</v>
      </c>
      <c r="V576" s="427">
        <f t="shared" si="66"/>
        <v>10076.09427</v>
      </c>
    </row>
    <row r="577" spans="1:22">
      <c r="A577" s="427" t="str">
        <f t="shared" si="57"/>
        <v>KU</v>
      </c>
      <c r="B577" s="427" t="str">
        <f t="shared" si="59"/>
        <v>KY</v>
      </c>
      <c r="C577" s="427" t="str">
        <f t="shared" si="60"/>
        <v>E</v>
      </c>
      <c r="D577" s="427" t="s">
        <v>3435</v>
      </c>
      <c r="E577" s="427" t="str">
        <f t="shared" si="63"/>
        <v>314</v>
      </c>
      <c r="F577" s="756" t="s">
        <v>1737</v>
      </c>
      <c r="G577" s="426" t="str">
        <f t="shared" si="65"/>
        <v>STEAM</v>
      </c>
      <c r="H577" s="427">
        <v>2805.7896999999998</v>
      </c>
      <c r="I577" s="427">
        <v>2805.7896999999998</v>
      </c>
      <c r="J577" s="427">
        <v>2805.7896999999998</v>
      </c>
      <c r="K577" s="427">
        <v>2805.7896999999998</v>
      </c>
      <c r="L577" s="427">
        <v>2805.7896999999998</v>
      </c>
      <c r="M577" s="427">
        <v>2805.7896999999998</v>
      </c>
      <c r="N577" s="427">
        <v>2805.7896999999998</v>
      </c>
      <c r="O577" s="427">
        <v>2805.7896999999998</v>
      </c>
      <c r="P577" s="427">
        <v>2805.7896999999998</v>
      </c>
      <c r="Q577" s="427">
        <v>2805.7896999999998</v>
      </c>
      <c r="R577" s="427">
        <v>2805.7896999999998</v>
      </c>
      <c r="S577" s="427">
        <v>2805.7896999999998</v>
      </c>
      <c r="T577" s="427">
        <v>2805.7896999999998</v>
      </c>
      <c r="U577" s="427">
        <f t="shared" si="67"/>
        <v>33669.476400000007</v>
      </c>
      <c r="V577" s="427">
        <f t="shared" si="66"/>
        <v>2805.7897000000007</v>
      </c>
    </row>
    <row r="578" spans="1:22">
      <c r="A578" s="427" t="str">
        <f t="shared" si="57"/>
        <v>KU</v>
      </c>
      <c r="B578" s="427" t="str">
        <f t="shared" si="59"/>
        <v>KY</v>
      </c>
      <c r="C578" s="427" t="str">
        <f t="shared" si="60"/>
        <v>E</v>
      </c>
      <c r="D578" s="427" t="s">
        <v>3435</v>
      </c>
      <c r="E578" s="427" t="str">
        <f t="shared" si="63"/>
        <v>315</v>
      </c>
      <c r="F578" s="756" t="s">
        <v>1738</v>
      </c>
      <c r="G578" s="426" t="str">
        <f t="shared" si="65"/>
        <v>STEAM</v>
      </c>
      <c r="H578" s="427">
        <v>1844.98704</v>
      </c>
      <c r="I578" s="427">
        <v>1844.98704</v>
      </c>
      <c r="J578" s="427">
        <v>1844.98704</v>
      </c>
      <c r="K578" s="427">
        <v>1844.98704</v>
      </c>
      <c r="L578" s="427">
        <v>1844.98704</v>
      </c>
      <c r="M578" s="427">
        <v>1844.98704</v>
      </c>
      <c r="N578" s="427">
        <v>1844.98704</v>
      </c>
      <c r="O578" s="427">
        <v>1844.98704</v>
      </c>
      <c r="P578" s="427">
        <v>1844.98704</v>
      </c>
      <c r="Q578" s="427">
        <v>1844.98704</v>
      </c>
      <c r="R578" s="427">
        <v>1844.98704</v>
      </c>
      <c r="S578" s="427">
        <v>1844.98704</v>
      </c>
      <c r="T578" s="427">
        <v>1844.98704</v>
      </c>
      <c r="U578" s="427">
        <f t="shared" si="67"/>
        <v>22139.84448</v>
      </c>
      <c r="V578" s="427">
        <f t="shared" si="66"/>
        <v>1844.98704</v>
      </c>
    </row>
    <row r="579" spans="1:22">
      <c r="A579" s="427" t="str">
        <f t="shared" si="57"/>
        <v>KU</v>
      </c>
      <c r="B579" s="427" t="str">
        <f t="shared" si="59"/>
        <v>KY</v>
      </c>
      <c r="C579" s="427" t="str">
        <f t="shared" si="60"/>
        <v>E</v>
      </c>
      <c r="D579" s="427" t="s">
        <v>3435</v>
      </c>
      <c r="E579" s="427" t="str">
        <f t="shared" si="63"/>
        <v>316</v>
      </c>
      <c r="F579" s="756" t="s">
        <v>1740</v>
      </c>
      <c r="G579" s="426" t="str">
        <f t="shared" si="65"/>
        <v>STEAM</v>
      </c>
      <c r="H579" s="427">
        <v>173.32499000000001</v>
      </c>
      <c r="I579" s="427">
        <v>173.32499000000001</v>
      </c>
      <c r="J579" s="427">
        <v>173.32499000000001</v>
      </c>
      <c r="K579" s="427">
        <v>173.32499000000001</v>
      </c>
      <c r="L579" s="427">
        <v>173.32499000000001</v>
      </c>
      <c r="M579" s="427">
        <v>173.32499000000001</v>
      </c>
      <c r="N579" s="427">
        <v>173.32499000000001</v>
      </c>
      <c r="O579" s="427">
        <v>173.32499000000001</v>
      </c>
      <c r="P579" s="427">
        <v>173.32499000000001</v>
      </c>
      <c r="Q579" s="427">
        <v>173.32499000000001</v>
      </c>
      <c r="R579" s="427">
        <v>173.32499000000001</v>
      </c>
      <c r="S579" s="427">
        <v>173.32499000000001</v>
      </c>
      <c r="T579" s="427">
        <v>173.32499000000001</v>
      </c>
      <c r="U579" s="427">
        <f t="shared" si="67"/>
        <v>2079.8998800000004</v>
      </c>
      <c r="V579" s="427">
        <f t="shared" si="66"/>
        <v>173.32499000000004</v>
      </c>
    </row>
    <row r="580" spans="1:22">
      <c r="A580" s="427" t="str">
        <f t="shared" si="57"/>
        <v>KU</v>
      </c>
      <c r="B580" s="427" t="str">
        <f t="shared" si="59"/>
        <v>KY</v>
      </c>
      <c r="C580" s="427" t="str">
        <f t="shared" si="60"/>
        <v>E</v>
      </c>
      <c r="D580" s="427" t="s">
        <v>3435</v>
      </c>
      <c r="E580" s="427" t="str">
        <f t="shared" si="63"/>
        <v>335</v>
      </c>
      <c r="F580" s="756" t="s">
        <v>1747</v>
      </c>
      <c r="G580" s="426" t="str">
        <f t="shared" si="65"/>
        <v>HYDRO</v>
      </c>
      <c r="H580" s="427">
        <v>0.82</v>
      </c>
      <c r="I580" s="427">
        <v>0.82</v>
      </c>
      <c r="J580" s="427">
        <v>0.82</v>
      </c>
      <c r="K580" s="427">
        <v>0.82</v>
      </c>
      <c r="L580" s="427">
        <v>0.82</v>
      </c>
      <c r="M580" s="427">
        <v>0.82</v>
      </c>
      <c r="N580" s="427">
        <v>0.82</v>
      </c>
      <c r="O580" s="427">
        <v>0.82</v>
      </c>
      <c r="P580" s="427">
        <v>0.82</v>
      </c>
      <c r="Q580" s="427">
        <v>0.82</v>
      </c>
      <c r="R580" s="427">
        <v>0.82</v>
      </c>
      <c r="S580" s="427">
        <v>0.82</v>
      </c>
      <c r="T580" s="427">
        <v>0.82</v>
      </c>
      <c r="U580" s="427">
        <f t="shared" si="67"/>
        <v>9.8400000000000016</v>
      </c>
      <c r="V580" s="427">
        <f t="shared" si="66"/>
        <v>0.82000000000000017</v>
      </c>
    </row>
    <row r="581" spans="1:22">
      <c r="A581" s="427" t="str">
        <f t="shared" si="57"/>
        <v>KU</v>
      </c>
      <c r="B581" s="427" t="str">
        <f t="shared" si="59"/>
        <v>KY</v>
      </c>
      <c r="C581" s="427" t="str">
        <f t="shared" si="60"/>
        <v>E</v>
      </c>
      <c r="D581" s="427" t="s">
        <v>3435</v>
      </c>
      <c r="E581" s="427" t="str">
        <f t="shared" si="63"/>
        <v>341</v>
      </c>
      <c r="F581" s="756" t="s">
        <v>1751</v>
      </c>
      <c r="G581" s="426" t="str">
        <f t="shared" si="65"/>
        <v>OTHER</v>
      </c>
      <c r="H581" s="427">
        <v>0.18792</v>
      </c>
      <c r="I581" s="427">
        <v>0.18792</v>
      </c>
      <c r="J581" s="427">
        <v>0.18792</v>
      </c>
      <c r="K581" s="427">
        <v>0.18792</v>
      </c>
      <c r="L581" s="427">
        <v>0.18792</v>
      </c>
      <c r="M581" s="427">
        <v>0.18792</v>
      </c>
      <c r="N581" s="427">
        <v>0.18792</v>
      </c>
      <c r="O581" s="427">
        <v>0.18792</v>
      </c>
      <c r="P581" s="427">
        <v>0.18792</v>
      </c>
      <c r="Q581" s="427">
        <v>0.18792</v>
      </c>
      <c r="R581" s="427">
        <v>0.18792</v>
      </c>
      <c r="S581" s="427">
        <v>0.18792</v>
      </c>
      <c r="T581" s="427">
        <v>0.18792</v>
      </c>
      <c r="U581" s="427">
        <f t="shared" si="67"/>
        <v>2.2550400000000006</v>
      </c>
      <c r="V581" s="427">
        <f t="shared" si="66"/>
        <v>0.18792000000000006</v>
      </c>
    </row>
    <row r="582" spans="1:22">
      <c r="A582" s="427" t="str">
        <f t="shared" si="57"/>
        <v>KU</v>
      </c>
      <c r="B582" s="427" t="str">
        <f t="shared" si="59"/>
        <v>KY</v>
      </c>
      <c r="C582" s="427" t="str">
        <f t="shared" si="60"/>
        <v>E</v>
      </c>
      <c r="D582" s="427" t="s">
        <v>3435</v>
      </c>
      <c r="E582" s="427" t="str">
        <f t="shared" si="63"/>
        <v>342</v>
      </c>
      <c r="F582" s="756" t="s">
        <v>1752</v>
      </c>
      <c r="G582" s="426" t="str">
        <f t="shared" si="65"/>
        <v>OTHER</v>
      </c>
      <c r="H582" s="427">
        <v>3.2500000000000001E-2</v>
      </c>
      <c r="I582" s="427">
        <v>3.2500000000000001E-2</v>
      </c>
      <c r="J582" s="427">
        <v>3.2500000000000001E-2</v>
      </c>
      <c r="K582" s="427">
        <v>3.2500000000000001E-2</v>
      </c>
      <c r="L582" s="427">
        <v>3.2500000000000001E-2</v>
      </c>
      <c r="M582" s="427">
        <v>3.2500000000000001E-2</v>
      </c>
      <c r="N582" s="427">
        <v>3.2500000000000001E-2</v>
      </c>
      <c r="O582" s="427">
        <v>3.2500000000000001E-2</v>
      </c>
      <c r="P582" s="427">
        <v>3.2500000000000001E-2</v>
      </c>
      <c r="Q582" s="427">
        <v>3.2500000000000001E-2</v>
      </c>
      <c r="R582" s="427">
        <v>3.2500000000000001E-2</v>
      </c>
      <c r="S582" s="427">
        <v>3.2500000000000001E-2</v>
      </c>
      <c r="T582" s="427">
        <v>3.2500000000000001E-2</v>
      </c>
      <c r="U582" s="427">
        <f t="shared" si="67"/>
        <v>0.3899999999999999</v>
      </c>
      <c r="V582" s="427">
        <f t="shared" si="66"/>
        <v>3.2499999999999987E-2</v>
      </c>
    </row>
    <row r="583" spans="1:22">
      <c r="A583" s="427" t="str">
        <f t="shared" si="57"/>
        <v>KU</v>
      </c>
      <c r="B583" s="427" t="str">
        <f t="shared" si="59"/>
        <v>KY</v>
      </c>
      <c r="C583" s="427" t="str">
        <f t="shared" si="60"/>
        <v>E</v>
      </c>
      <c r="D583" s="427" t="s">
        <v>3435</v>
      </c>
      <c r="E583" s="427" t="str">
        <f t="shared" si="63"/>
        <v>343</v>
      </c>
      <c r="F583" s="756" t="s">
        <v>1753</v>
      </c>
      <c r="G583" s="426" t="str">
        <f t="shared" si="65"/>
        <v>OTHER</v>
      </c>
      <c r="H583" s="427">
        <v>1.1640900000000001</v>
      </c>
      <c r="I583" s="427">
        <v>1.1640900000000001</v>
      </c>
      <c r="J583" s="427">
        <v>1.1640900000000001</v>
      </c>
      <c r="K583" s="427">
        <v>1.1640900000000001</v>
      </c>
      <c r="L583" s="427">
        <v>1.1640900000000001</v>
      </c>
      <c r="M583" s="427">
        <v>1.1640900000000001</v>
      </c>
      <c r="N583" s="427">
        <v>1.1640900000000001</v>
      </c>
      <c r="O583" s="427">
        <v>1.1640900000000001</v>
      </c>
      <c r="P583" s="427">
        <v>1.1640900000000001</v>
      </c>
      <c r="Q583" s="427">
        <v>1.1640900000000001</v>
      </c>
      <c r="R583" s="427">
        <v>1.1640900000000001</v>
      </c>
      <c r="S583" s="427">
        <v>1.1640900000000001</v>
      </c>
      <c r="T583" s="427">
        <v>1.1640900000000001</v>
      </c>
      <c r="U583" s="427">
        <f t="shared" si="67"/>
        <v>13.96908</v>
      </c>
      <c r="V583" s="427">
        <f t="shared" si="66"/>
        <v>1.1640900000000001</v>
      </c>
    </row>
    <row r="584" spans="1:22">
      <c r="A584" s="427" t="str">
        <f t="shared" si="57"/>
        <v>KU</v>
      </c>
      <c r="B584" s="427" t="str">
        <f t="shared" si="59"/>
        <v>KY</v>
      </c>
      <c r="C584" s="427" t="str">
        <f t="shared" si="60"/>
        <v>E</v>
      </c>
      <c r="D584" s="427" t="s">
        <v>3435</v>
      </c>
      <c r="E584" s="427" t="str">
        <f t="shared" si="63"/>
        <v>344</v>
      </c>
      <c r="F584" s="756" t="s">
        <v>1754</v>
      </c>
      <c r="G584" s="426" t="str">
        <f t="shared" si="65"/>
        <v>OTHER</v>
      </c>
      <c r="H584" s="427">
        <v>0.29022999999999999</v>
      </c>
      <c r="I584" s="427">
        <v>0.29022999999999999</v>
      </c>
      <c r="J584" s="427">
        <v>0.29022999999999999</v>
      </c>
      <c r="K584" s="427">
        <v>0.29022999999999999</v>
      </c>
      <c r="L584" s="427">
        <v>0.29022999999999999</v>
      </c>
      <c r="M584" s="427">
        <v>0.29022999999999999</v>
      </c>
      <c r="N584" s="427">
        <v>0.29022999999999999</v>
      </c>
      <c r="O584" s="427">
        <v>0.29022999999999999</v>
      </c>
      <c r="P584" s="427">
        <v>0.29022999999999999</v>
      </c>
      <c r="Q584" s="427">
        <v>0.29022999999999999</v>
      </c>
      <c r="R584" s="427">
        <v>0.29022999999999999</v>
      </c>
      <c r="S584" s="427">
        <v>0.29022999999999999</v>
      </c>
      <c r="T584" s="427">
        <v>0.29022999999999999</v>
      </c>
      <c r="U584" s="427">
        <f t="shared" si="67"/>
        <v>3.4827600000000007</v>
      </c>
      <c r="V584" s="427">
        <f t="shared" si="66"/>
        <v>0.2902300000000001</v>
      </c>
    </row>
    <row r="585" spans="1:22">
      <c r="A585" s="427" t="str">
        <f t="shared" si="57"/>
        <v>KU</v>
      </c>
      <c r="B585" s="427" t="str">
        <f t="shared" si="59"/>
        <v>KY</v>
      </c>
      <c r="C585" s="427" t="str">
        <f t="shared" si="60"/>
        <v>E</v>
      </c>
      <c r="D585" s="427" t="s">
        <v>3435</v>
      </c>
      <c r="E585" s="427" t="str">
        <f t="shared" si="63"/>
        <v>345</v>
      </c>
      <c r="F585" s="756" t="s">
        <v>1755</v>
      </c>
      <c r="G585" s="426" t="str">
        <f t="shared" si="65"/>
        <v>OTHER</v>
      </c>
      <c r="H585" s="427">
        <v>0.23452000000000001</v>
      </c>
      <c r="I585" s="427">
        <v>0.23452000000000001</v>
      </c>
      <c r="J585" s="427">
        <v>0.23452000000000001</v>
      </c>
      <c r="K585" s="427">
        <v>0.23452000000000001</v>
      </c>
      <c r="L585" s="427">
        <v>0.23452000000000001</v>
      </c>
      <c r="M585" s="427">
        <v>0.23452000000000001</v>
      </c>
      <c r="N585" s="427">
        <v>0.23452000000000001</v>
      </c>
      <c r="O585" s="427">
        <v>0.23452000000000001</v>
      </c>
      <c r="P585" s="427">
        <v>0.23452000000000001</v>
      </c>
      <c r="Q585" s="427">
        <v>0.23452000000000001</v>
      </c>
      <c r="R585" s="427">
        <v>0.23452000000000001</v>
      </c>
      <c r="S585" s="427">
        <v>0.23452000000000001</v>
      </c>
      <c r="T585" s="427">
        <v>0.23452000000000001</v>
      </c>
      <c r="U585" s="427">
        <f t="shared" si="67"/>
        <v>2.8142399999999999</v>
      </c>
      <c r="V585" s="427">
        <f t="shared" si="66"/>
        <v>0.23451999999999998</v>
      </c>
    </row>
    <row r="586" spans="1:22">
      <c r="A586" s="427" t="str">
        <f t="shared" si="57"/>
        <v>KU</v>
      </c>
      <c r="B586" s="427" t="str">
        <f t="shared" si="59"/>
        <v>KY</v>
      </c>
      <c r="C586" s="427" t="str">
        <f t="shared" si="60"/>
        <v>E</v>
      </c>
      <c r="D586" s="427" t="s">
        <v>3435</v>
      </c>
      <c r="E586" s="427" t="str">
        <f t="shared" si="63"/>
        <v>346</v>
      </c>
      <c r="F586" s="756" t="s">
        <v>1756</v>
      </c>
      <c r="G586" s="426" t="str">
        <f t="shared" si="65"/>
        <v>OTHER</v>
      </c>
      <c r="H586" s="427">
        <v>2.5000000000000001E-2</v>
      </c>
      <c r="I586" s="427">
        <v>2.5000000000000001E-2</v>
      </c>
      <c r="J586" s="427">
        <v>2.5000000000000001E-2</v>
      </c>
      <c r="K586" s="427">
        <v>2.5000000000000001E-2</v>
      </c>
      <c r="L586" s="427">
        <v>2.5000000000000001E-2</v>
      </c>
      <c r="M586" s="427">
        <v>2.5000000000000001E-2</v>
      </c>
      <c r="N586" s="427">
        <v>2.5000000000000001E-2</v>
      </c>
      <c r="O586" s="427">
        <v>2.5000000000000001E-2</v>
      </c>
      <c r="P586" s="427">
        <v>2.5000000000000001E-2</v>
      </c>
      <c r="Q586" s="427">
        <v>2.5000000000000001E-2</v>
      </c>
      <c r="R586" s="427">
        <v>2.5000000000000001E-2</v>
      </c>
      <c r="S586" s="427">
        <v>2.5000000000000001E-2</v>
      </c>
      <c r="T586" s="427">
        <v>2.5000000000000001E-2</v>
      </c>
      <c r="U586" s="427">
        <f t="shared" si="67"/>
        <v>0.3</v>
      </c>
      <c r="V586" s="427">
        <f t="shared" si="66"/>
        <v>2.5000000000000001E-2</v>
      </c>
    </row>
    <row r="587" spans="1:22">
      <c r="A587" s="427" t="str">
        <f t="shared" si="57"/>
        <v>KU</v>
      </c>
      <c r="B587" s="427" t="str">
        <f t="shared" si="59"/>
        <v>KY</v>
      </c>
      <c r="C587" s="427" t="str">
        <f t="shared" si="60"/>
        <v>E</v>
      </c>
      <c r="D587" s="427" t="s">
        <v>3435</v>
      </c>
      <c r="E587" s="427" t="str">
        <f t="shared" si="63"/>
        <v>350</v>
      </c>
      <c r="F587" s="756" t="s">
        <v>1757</v>
      </c>
      <c r="G587" s="426" t="str">
        <f t="shared" si="65"/>
        <v>TRANSMISSION</v>
      </c>
      <c r="H587" s="427">
        <v>76.67</v>
      </c>
      <c r="I587" s="427">
        <v>76.67</v>
      </c>
      <c r="J587" s="427">
        <v>76.67</v>
      </c>
      <c r="K587" s="427">
        <v>76.67</v>
      </c>
      <c r="L587" s="427">
        <v>76.67</v>
      </c>
      <c r="M587" s="427">
        <v>76.67</v>
      </c>
      <c r="N587" s="427">
        <v>76.67</v>
      </c>
      <c r="O587" s="427">
        <v>76.67</v>
      </c>
      <c r="P587" s="427">
        <v>76.67</v>
      </c>
      <c r="Q587" s="427">
        <v>76.67</v>
      </c>
      <c r="R587" s="427">
        <v>76.67</v>
      </c>
      <c r="S587" s="427">
        <v>76.67</v>
      </c>
      <c r="T587" s="427">
        <v>76.67</v>
      </c>
      <c r="U587" s="427">
        <f t="shared" si="67"/>
        <v>920.03999999999985</v>
      </c>
      <c r="V587" s="427">
        <f t="shared" si="66"/>
        <v>76.669999999999987</v>
      </c>
    </row>
    <row r="588" spans="1:22">
      <c r="A588" s="427" t="str">
        <f t="shared" si="57"/>
        <v>KU</v>
      </c>
      <c r="B588" s="427" t="str">
        <f t="shared" si="59"/>
        <v>KY</v>
      </c>
      <c r="C588" s="427" t="str">
        <f t="shared" si="60"/>
        <v>E</v>
      </c>
      <c r="D588" s="427" t="s">
        <v>3435</v>
      </c>
      <c r="E588" s="427" t="str">
        <f t="shared" si="63"/>
        <v>352</v>
      </c>
      <c r="F588" s="756" t="s">
        <v>1761</v>
      </c>
      <c r="G588" s="426" t="str">
        <f t="shared" si="65"/>
        <v>TRANSMISSION</v>
      </c>
      <c r="H588" s="427">
        <v>72.901480000000006</v>
      </c>
      <c r="I588" s="427">
        <v>72.901480000000006</v>
      </c>
      <c r="J588" s="427">
        <v>72.901480000000006</v>
      </c>
      <c r="K588" s="427">
        <v>72.901480000000006</v>
      </c>
      <c r="L588" s="427">
        <v>72.901480000000006</v>
      </c>
      <c r="M588" s="427">
        <v>72.901480000000006</v>
      </c>
      <c r="N588" s="427">
        <v>72.901480000000006</v>
      </c>
      <c r="O588" s="427">
        <v>72.901480000000006</v>
      </c>
      <c r="P588" s="427">
        <v>72.901480000000006</v>
      </c>
      <c r="Q588" s="427">
        <v>72.901480000000006</v>
      </c>
      <c r="R588" s="427">
        <v>72.901480000000006</v>
      </c>
      <c r="S588" s="427">
        <v>72.901480000000006</v>
      </c>
      <c r="T588" s="716">
        <v>72.901480000000006</v>
      </c>
      <c r="U588" s="427">
        <f t="shared" si="67"/>
        <v>874.81776000000002</v>
      </c>
      <c r="V588" s="427">
        <f t="shared" si="66"/>
        <v>72.901480000000006</v>
      </c>
    </row>
    <row r="589" spans="1:22">
      <c r="A589" s="427" t="str">
        <f t="shared" si="57"/>
        <v>KU</v>
      </c>
      <c r="B589" s="427" t="str">
        <f t="shared" si="59"/>
        <v>KY</v>
      </c>
      <c r="C589" s="427" t="str">
        <f t="shared" si="60"/>
        <v>E</v>
      </c>
      <c r="D589" s="427" t="s">
        <v>3435</v>
      </c>
      <c r="E589" s="427" t="str">
        <f t="shared" si="63"/>
        <v>353</v>
      </c>
      <c r="F589" s="756" t="s">
        <v>1763</v>
      </c>
      <c r="G589" s="426" t="str">
        <f t="shared" si="65"/>
        <v>TRANSMISSION</v>
      </c>
      <c r="H589" s="427">
        <v>539.84231</v>
      </c>
      <c r="I589" s="427">
        <v>539.84231</v>
      </c>
      <c r="J589" s="427">
        <v>539.84231</v>
      </c>
      <c r="K589" s="427">
        <v>539.84231</v>
      </c>
      <c r="L589" s="427">
        <v>539.84231</v>
      </c>
      <c r="M589" s="427">
        <v>539.84231</v>
      </c>
      <c r="N589" s="427">
        <v>539.84231</v>
      </c>
      <c r="O589" s="427">
        <v>539.84231</v>
      </c>
      <c r="P589" s="427">
        <v>539.84231</v>
      </c>
      <c r="Q589" s="427">
        <v>539.84231</v>
      </c>
      <c r="R589" s="427">
        <v>539.84231</v>
      </c>
      <c r="S589" s="427">
        <v>539.84231</v>
      </c>
      <c r="T589" s="427">
        <v>539.84231</v>
      </c>
      <c r="U589" s="427">
        <f t="shared" si="67"/>
        <v>6478.10772</v>
      </c>
      <c r="V589" s="427">
        <f t="shared" si="66"/>
        <v>539.84231</v>
      </c>
    </row>
    <row r="590" spans="1:22">
      <c r="A590" s="427" t="str">
        <f t="shared" si="57"/>
        <v>KU</v>
      </c>
      <c r="B590" s="427" t="str">
        <f t="shared" si="59"/>
        <v>VA</v>
      </c>
      <c r="C590" s="427" t="str">
        <f t="shared" si="60"/>
        <v>E</v>
      </c>
      <c r="D590" s="427" t="s">
        <v>3435</v>
      </c>
      <c r="E590" s="427" t="str">
        <f t="shared" si="63"/>
        <v>353</v>
      </c>
      <c r="F590" s="756" t="s">
        <v>1765</v>
      </c>
      <c r="G590" s="426" t="str">
        <f t="shared" si="65"/>
        <v>TRANSMISSION</v>
      </c>
      <c r="H590" s="427">
        <v>2E-3</v>
      </c>
      <c r="I590" s="427">
        <v>2E-3</v>
      </c>
      <c r="J590" s="427">
        <v>2E-3</v>
      </c>
      <c r="K590" s="427">
        <v>2E-3</v>
      </c>
      <c r="L590" s="427">
        <v>2E-3</v>
      </c>
      <c r="M590" s="427">
        <v>2E-3</v>
      </c>
      <c r="N590" s="427">
        <v>2E-3</v>
      </c>
      <c r="O590" s="427">
        <v>2E-3</v>
      </c>
      <c r="P590" s="427">
        <v>2E-3</v>
      </c>
      <c r="Q590" s="427">
        <v>2E-3</v>
      </c>
      <c r="R590" s="427">
        <v>2E-3</v>
      </c>
      <c r="S590" s="427">
        <v>2E-3</v>
      </c>
      <c r="T590" s="427">
        <v>2E-3</v>
      </c>
      <c r="U590" s="427">
        <f t="shared" si="67"/>
        <v>2.4000000000000007E-2</v>
      </c>
      <c r="V590" s="427">
        <f t="shared" si="66"/>
        <v>2.0000000000000009E-3</v>
      </c>
    </row>
    <row r="591" spans="1:22">
      <c r="A591" s="427" t="str">
        <f t="shared" si="57"/>
        <v>KU</v>
      </c>
      <c r="B591" s="427" t="str">
        <f t="shared" si="59"/>
        <v>KY</v>
      </c>
      <c r="C591" s="427" t="str">
        <f t="shared" si="60"/>
        <v>E</v>
      </c>
      <c r="D591" s="427" t="s">
        <v>3435</v>
      </c>
      <c r="E591" s="427" t="str">
        <f t="shared" si="63"/>
        <v>354</v>
      </c>
      <c r="F591" s="756" t="s">
        <v>1766</v>
      </c>
      <c r="G591" s="426" t="str">
        <f t="shared" si="65"/>
        <v>TRANSMISSION</v>
      </c>
      <c r="H591" s="427">
        <v>842.03867000000002</v>
      </c>
      <c r="I591" s="427">
        <v>842.03867000000002</v>
      </c>
      <c r="J591" s="427">
        <v>842.03867000000002</v>
      </c>
      <c r="K591" s="427">
        <v>842.03867000000002</v>
      </c>
      <c r="L591" s="427">
        <v>842.03867000000002</v>
      </c>
      <c r="M591" s="427">
        <v>842.03867000000002</v>
      </c>
      <c r="N591" s="427">
        <v>842.03867000000002</v>
      </c>
      <c r="O591" s="427">
        <v>842.03867000000002</v>
      </c>
      <c r="P591" s="427">
        <v>842.03867000000002</v>
      </c>
      <c r="Q591" s="427">
        <v>842.03867000000002</v>
      </c>
      <c r="R591" s="427">
        <v>842.03867000000002</v>
      </c>
      <c r="S591" s="427">
        <v>842.03867000000002</v>
      </c>
      <c r="T591" s="427">
        <v>842.03867000000002</v>
      </c>
      <c r="U591" s="427">
        <f t="shared" si="67"/>
        <v>10104.464040000001</v>
      </c>
      <c r="V591" s="427">
        <f t="shared" si="66"/>
        <v>842.03867000000002</v>
      </c>
    </row>
    <row r="592" spans="1:22">
      <c r="A592" s="427" t="str">
        <f t="shared" si="57"/>
        <v>KU</v>
      </c>
      <c r="B592" s="427" t="str">
        <f t="shared" si="59"/>
        <v>KY</v>
      </c>
      <c r="C592" s="427" t="str">
        <f t="shared" si="60"/>
        <v>E</v>
      </c>
      <c r="D592" s="427" t="s">
        <v>3435</v>
      </c>
      <c r="E592" s="427" t="str">
        <f t="shared" si="63"/>
        <v>355</v>
      </c>
      <c r="F592" s="756" t="s">
        <v>1768</v>
      </c>
      <c r="G592" s="426" t="str">
        <f t="shared" si="65"/>
        <v>TRANSMISSION</v>
      </c>
      <c r="H592" s="427">
        <v>229.75781000000001</v>
      </c>
      <c r="I592" s="427">
        <v>229.75781000000001</v>
      </c>
      <c r="J592" s="427">
        <v>229.75781000000001</v>
      </c>
      <c r="K592" s="427">
        <v>229.75781000000001</v>
      </c>
      <c r="L592" s="427">
        <v>229.75781000000001</v>
      </c>
      <c r="M592" s="427">
        <v>229.75781000000001</v>
      </c>
      <c r="N592" s="427">
        <v>229.75781000000001</v>
      </c>
      <c r="O592" s="427">
        <v>229.75781000000001</v>
      </c>
      <c r="P592" s="427">
        <v>229.75781000000001</v>
      </c>
      <c r="Q592" s="427">
        <v>229.75781000000001</v>
      </c>
      <c r="R592" s="427">
        <v>229.75781000000001</v>
      </c>
      <c r="S592" s="427">
        <v>229.75781000000001</v>
      </c>
      <c r="T592" s="427">
        <v>229.75781000000001</v>
      </c>
      <c r="U592" s="427">
        <f t="shared" si="67"/>
        <v>2757.0937200000003</v>
      </c>
      <c r="V592" s="427">
        <f t="shared" si="66"/>
        <v>229.75781000000003</v>
      </c>
    </row>
    <row r="593" spans="1:22">
      <c r="A593" s="427" t="str">
        <f t="shared" si="57"/>
        <v>KU</v>
      </c>
      <c r="B593" s="427" t="str">
        <f t="shared" si="59"/>
        <v>KY</v>
      </c>
      <c r="C593" s="427" t="str">
        <f t="shared" si="60"/>
        <v>E</v>
      </c>
      <c r="D593" s="427" t="s">
        <v>3435</v>
      </c>
      <c r="E593" s="427" t="str">
        <f t="shared" si="63"/>
        <v>356</v>
      </c>
      <c r="F593" s="756" t="s">
        <v>1771</v>
      </c>
      <c r="G593" s="426" t="str">
        <f t="shared" si="65"/>
        <v>TRANSMISSION</v>
      </c>
      <c r="H593" s="427">
        <v>1047.1483900000001</v>
      </c>
      <c r="I593" s="427">
        <v>1047.1483900000001</v>
      </c>
      <c r="J593" s="427">
        <v>1047.1483900000001</v>
      </c>
      <c r="K593" s="427">
        <v>1047.1483900000001</v>
      </c>
      <c r="L593" s="427">
        <v>1047.1483900000001</v>
      </c>
      <c r="M593" s="427">
        <v>1047.1483900000001</v>
      </c>
      <c r="N593" s="427">
        <v>1047.1483900000001</v>
      </c>
      <c r="O593" s="427">
        <v>1047.1483900000001</v>
      </c>
      <c r="P593" s="427">
        <v>1047.1483900000001</v>
      </c>
      <c r="Q593" s="427">
        <v>1047.1483900000001</v>
      </c>
      <c r="R593" s="427">
        <v>1047.1483900000001</v>
      </c>
      <c r="S593" s="427">
        <v>1047.1483900000001</v>
      </c>
      <c r="T593" s="427">
        <v>1047.1483900000001</v>
      </c>
      <c r="U593" s="427">
        <f t="shared" si="67"/>
        <v>12565.780680000002</v>
      </c>
      <c r="V593" s="427">
        <f t="shared" si="66"/>
        <v>1047.1483900000001</v>
      </c>
    </row>
    <row r="594" spans="1:22">
      <c r="A594" s="427" t="str">
        <f t="shared" si="57"/>
        <v>KU</v>
      </c>
      <c r="B594" s="427" t="str">
        <f t="shared" si="59"/>
        <v>KY</v>
      </c>
      <c r="C594" s="427" t="str">
        <f t="shared" si="60"/>
        <v>E</v>
      </c>
      <c r="D594" s="427" t="s">
        <v>3435</v>
      </c>
      <c r="E594" s="427" t="str">
        <f t="shared" si="63"/>
        <v>357</v>
      </c>
      <c r="F594" s="756" t="s">
        <v>1774</v>
      </c>
      <c r="G594" s="426" t="str">
        <f t="shared" si="65"/>
        <v>TRANSMISSION</v>
      </c>
      <c r="H594" s="427">
        <v>0.27500000000000002</v>
      </c>
      <c r="I594" s="427">
        <v>0.27500000000000002</v>
      </c>
      <c r="J594" s="427">
        <v>0.27500000000000002</v>
      </c>
      <c r="K594" s="427">
        <v>0.27500000000000002</v>
      </c>
      <c r="L594" s="427">
        <v>0.27500000000000002</v>
      </c>
      <c r="M594" s="427">
        <v>0.27500000000000002</v>
      </c>
      <c r="N594" s="427">
        <v>0.27500000000000002</v>
      </c>
      <c r="O594" s="427">
        <v>0.27500000000000002</v>
      </c>
      <c r="P594" s="427">
        <v>0.27500000000000002</v>
      </c>
      <c r="Q594" s="427">
        <v>0.27500000000000002</v>
      </c>
      <c r="R594" s="427">
        <v>0.27500000000000002</v>
      </c>
      <c r="S594" s="427">
        <v>0.27500000000000002</v>
      </c>
      <c r="T594" s="427">
        <v>0.27500000000000002</v>
      </c>
      <c r="U594" s="427">
        <f t="shared" si="67"/>
        <v>3.2999999999999994</v>
      </c>
      <c r="V594" s="427">
        <f t="shared" si="66"/>
        <v>0.27499999999999997</v>
      </c>
    </row>
    <row r="595" spans="1:22">
      <c r="A595" s="427" t="str">
        <f t="shared" si="57"/>
        <v>KU</v>
      </c>
      <c r="B595" s="427" t="str">
        <f t="shared" si="59"/>
        <v>KY</v>
      </c>
      <c r="C595" s="427" t="str">
        <f t="shared" si="60"/>
        <v>E</v>
      </c>
      <c r="D595" s="427" t="s">
        <v>3435</v>
      </c>
      <c r="E595" s="427" t="str">
        <f t="shared" si="63"/>
        <v>358</v>
      </c>
      <c r="F595" s="756" t="s">
        <v>1775</v>
      </c>
      <c r="G595" s="426" t="str">
        <f t="shared" si="65"/>
        <v>TRANSMISSION</v>
      </c>
      <c r="H595" s="427">
        <v>2.2109999999999999</v>
      </c>
      <c r="I595" s="427">
        <v>2.2109999999999999</v>
      </c>
      <c r="J595" s="427">
        <v>2.2109999999999999</v>
      </c>
      <c r="K595" s="427">
        <v>2.2109999999999999</v>
      </c>
      <c r="L595" s="427">
        <v>2.2109999999999999</v>
      </c>
      <c r="M595" s="427">
        <v>2.2109999999999999</v>
      </c>
      <c r="N595" s="427">
        <v>2.2109999999999999</v>
      </c>
      <c r="O595" s="427">
        <v>2.2109999999999999</v>
      </c>
      <c r="P595" s="427">
        <v>2.2109999999999999</v>
      </c>
      <c r="Q595" s="427">
        <v>2.2109999999999999</v>
      </c>
      <c r="R595" s="427">
        <v>2.2109999999999999</v>
      </c>
      <c r="S595" s="427">
        <v>2.2109999999999999</v>
      </c>
      <c r="T595" s="427">
        <v>2.2109999999999999</v>
      </c>
      <c r="U595" s="427">
        <f t="shared" si="67"/>
        <v>26.531999999999993</v>
      </c>
      <c r="V595" s="427">
        <f t="shared" si="66"/>
        <v>2.2109999999999994</v>
      </c>
    </row>
    <row r="596" spans="1:22">
      <c r="A596" s="427" t="str">
        <f t="shared" si="57"/>
        <v>KY</v>
      </c>
      <c r="B596" s="427" t="str">
        <f t="shared" si="59"/>
        <v xml:space="preserve"> A</v>
      </c>
      <c r="C596" s="427" t="str">
        <f t="shared" si="60"/>
        <v/>
      </c>
      <c r="E596" s="427" t="str">
        <f t="shared" si="63"/>
        <v>lan</v>
      </c>
      <c r="F596" s="758" t="s">
        <v>1829</v>
      </c>
      <c r="G596" s="426" t="str">
        <f t="shared" si="65"/>
        <v/>
      </c>
      <c r="H596" s="427">
        <v>19596.272950000002</v>
      </c>
      <c r="I596" s="427">
        <v>19596.272950000002</v>
      </c>
      <c r="J596" s="427">
        <v>19596.272950000002</v>
      </c>
      <c r="K596" s="427">
        <v>19596.272950000002</v>
      </c>
      <c r="L596" s="427">
        <v>19596.272950000002</v>
      </c>
      <c r="M596" s="427">
        <v>19596.272950000002</v>
      </c>
      <c r="N596" s="427">
        <v>19596.272950000002</v>
      </c>
      <c r="O596" s="427">
        <v>19596.272950000002</v>
      </c>
      <c r="P596" s="427">
        <v>19596.272950000002</v>
      </c>
      <c r="Q596" s="427">
        <v>19596.272950000002</v>
      </c>
      <c r="R596" s="427">
        <v>19596.272950000002</v>
      </c>
      <c r="S596" s="427">
        <v>19596.272950000002</v>
      </c>
      <c r="T596" s="427">
        <v>19596.272950000002</v>
      </c>
      <c r="U596" s="427">
        <f t="shared" si="67"/>
        <v>235155.27540000007</v>
      </c>
      <c r="V596" s="427">
        <f t="shared" si="66"/>
        <v>19596.272950000006</v>
      </c>
    </row>
    <row r="597" spans="1:22">
      <c r="A597" s="427" t="str">
        <f t="shared" si="57"/>
        <v/>
      </c>
      <c r="B597" s="427" t="str">
        <f t="shared" si="59"/>
        <v/>
      </c>
      <c r="C597" s="427" t="str">
        <f t="shared" si="60"/>
        <v/>
      </c>
      <c r="E597" s="427" t="str">
        <f t="shared" si="63"/>
        <v/>
      </c>
      <c r="G597" s="426" t="str">
        <f t="shared" si="65"/>
        <v/>
      </c>
      <c r="U597" s="427">
        <f t="shared" si="67"/>
        <v>0</v>
      </c>
      <c r="V597" s="427">
        <f t="shared" si="66"/>
        <v>0</v>
      </c>
    </row>
    <row r="598" spans="1:22">
      <c r="A598" s="427" t="str">
        <f t="shared" si="57"/>
        <v>ss</v>
      </c>
      <c r="B598" s="427" t="str">
        <f t="shared" si="59"/>
        <v xml:space="preserve"> F</v>
      </c>
      <c r="C598" s="427" t="str">
        <f t="shared" si="60"/>
        <v/>
      </c>
      <c r="E598" s="427" t="str">
        <f t="shared" si="63"/>
        <v>lan</v>
      </c>
      <c r="F598" s="759" t="s">
        <v>2510</v>
      </c>
      <c r="G598" s="426" t="str">
        <f t="shared" si="65"/>
        <v/>
      </c>
      <c r="U598" s="427">
        <f t="shared" si="67"/>
        <v>0</v>
      </c>
      <c r="V598" s="427">
        <f t="shared" si="66"/>
        <v>0</v>
      </c>
    </row>
    <row r="599" spans="1:22">
      <c r="A599" s="427" t="str">
        <f t="shared" si="57"/>
        <v>KU</v>
      </c>
      <c r="B599" s="427" t="str">
        <f t="shared" si="59"/>
        <v>KY</v>
      </c>
      <c r="C599" s="427" t="str">
        <f t="shared" si="60"/>
        <v>E</v>
      </c>
      <c r="D599" s="427" t="s">
        <v>3436</v>
      </c>
      <c r="E599" s="427" t="str">
        <f t="shared" si="63"/>
        <v>311</v>
      </c>
      <c r="F599" s="756" t="s">
        <v>2193</v>
      </c>
      <c r="G599" s="426" t="str">
        <f t="shared" si="65"/>
        <v>STEAM</v>
      </c>
      <c r="H599" s="427">
        <v>39.993479999999998</v>
      </c>
      <c r="I599" s="427">
        <v>39.993479999999998</v>
      </c>
      <c r="J599" s="427">
        <v>39.993479999999998</v>
      </c>
      <c r="K599" s="427">
        <v>39.993479999999998</v>
      </c>
      <c r="L599" s="427">
        <v>39.993479999999998</v>
      </c>
      <c r="M599" s="427">
        <v>39.993479999999998</v>
      </c>
      <c r="N599" s="427">
        <v>39.993479999999998</v>
      </c>
      <c r="O599" s="427">
        <v>39.993479999999998</v>
      </c>
      <c r="P599" s="427">
        <v>39.993479999999998</v>
      </c>
      <c r="Q599" s="427">
        <v>39.993479999999998</v>
      </c>
      <c r="R599" s="427">
        <v>39.993479999999998</v>
      </c>
      <c r="S599" s="427">
        <v>39.993479999999998</v>
      </c>
      <c r="T599" s="427">
        <v>39.993479999999998</v>
      </c>
      <c r="U599" s="427">
        <f t="shared" ref="U599:U662" si="68">SUM(I599:T599)</f>
        <v>479.92175999999989</v>
      </c>
      <c r="V599" s="427">
        <f t="shared" si="66"/>
        <v>39.993479999999991</v>
      </c>
    </row>
    <row r="600" spans="1:22">
      <c r="A600" s="427" t="str">
        <f t="shared" si="57"/>
        <v>KU</v>
      </c>
      <c r="B600" s="427" t="str">
        <f t="shared" si="59"/>
        <v>KY</v>
      </c>
      <c r="C600" s="427" t="str">
        <f t="shared" si="60"/>
        <v>E</v>
      </c>
      <c r="D600" s="427" t="s">
        <v>3436</v>
      </c>
      <c r="E600" s="427" t="str">
        <f t="shared" si="63"/>
        <v>311</v>
      </c>
      <c r="F600" s="756" t="s">
        <v>1732</v>
      </c>
      <c r="G600" s="426" t="str">
        <f t="shared" si="65"/>
        <v>STEAM</v>
      </c>
      <c r="H600" s="427">
        <v>1668.10751</v>
      </c>
      <c r="I600" s="427">
        <v>1668.10751</v>
      </c>
      <c r="J600" s="427">
        <v>1668.10751</v>
      </c>
      <c r="K600" s="427">
        <v>1668.10751</v>
      </c>
      <c r="L600" s="427">
        <v>1668.10751</v>
      </c>
      <c r="M600" s="427">
        <v>1668.10751</v>
      </c>
      <c r="N600" s="427">
        <v>1668.10751</v>
      </c>
      <c r="O600" s="427">
        <v>1668.10751</v>
      </c>
      <c r="P600" s="427">
        <v>1668.10751</v>
      </c>
      <c r="Q600" s="427">
        <v>1668.10751</v>
      </c>
      <c r="R600" s="427">
        <v>1668.10751</v>
      </c>
      <c r="S600" s="427">
        <v>1668.10751</v>
      </c>
      <c r="T600" s="427">
        <v>1668.10751</v>
      </c>
      <c r="U600" s="427">
        <f t="shared" si="68"/>
        <v>20017.290120000005</v>
      </c>
      <c r="V600" s="427">
        <f t="shared" si="66"/>
        <v>1668.1075100000005</v>
      </c>
    </row>
    <row r="601" spans="1:22">
      <c r="A601" s="427" t="str">
        <f t="shared" si="57"/>
        <v>KU</v>
      </c>
      <c r="B601" s="427" t="str">
        <f t="shared" si="59"/>
        <v>KY</v>
      </c>
      <c r="C601" s="427" t="str">
        <f t="shared" si="60"/>
        <v>E</v>
      </c>
      <c r="D601" s="427" t="s">
        <v>3436</v>
      </c>
      <c r="E601" s="427" t="str">
        <f t="shared" si="63"/>
        <v>312</v>
      </c>
      <c r="F601" s="756" t="s">
        <v>1733</v>
      </c>
      <c r="G601" s="426" t="str">
        <f t="shared" si="65"/>
        <v>STEAM</v>
      </c>
      <c r="H601" s="427">
        <v>17814.356110000001</v>
      </c>
      <c r="I601" s="427">
        <v>17814.356110000001</v>
      </c>
      <c r="J601" s="427">
        <v>17814.356110000001</v>
      </c>
      <c r="K601" s="427">
        <v>17814.356110000001</v>
      </c>
      <c r="L601" s="427">
        <v>17814.356110000001</v>
      </c>
      <c r="M601" s="427">
        <v>17814.356110000001</v>
      </c>
      <c r="N601" s="427">
        <v>17814.356110000001</v>
      </c>
      <c r="O601" s="427">
        <v>17814.356110000001</v>
      </c>
      <c r="P601" s="427">
        <v>17814.356110000001</v>
      </c>
      <c r="Q601" s="427">
        <v>17814.356110000001</v>
      </c>
      <c r="R601" s="427">
        <v>17814.356110000001</v>
      </c>
      <c r="S601" s="427">
        <v>17814.356110000001</v>
      </c>
      <c r="T601" s="427">
        <v>17814.356110000001</v>
      </c>
      <c r="U601" s="427">
        <f t="shared" si="68"/>
        <v>213772.27331999995</v>
      </c>
      <c r="V601" s="427">
        <f t="shared" si="66"/>
        <v>17814.356109999997</v>
      </c>
    </row>
    <row r="602" spans="1:22">
      <c r="A602" s="427" t="str">
        <f t="shared" si="57"/>
        <v>KU</v>
      </c>
      <c r="B602" s="427" t="str">
        <f t="shared" si="59"/>
        <v>KY</v>
      </c>
      <c r="C602" s="427" t="str">
        <f t="shared" si="60"/>
        <v>E</v>
      </c>
      <c r="D602" s="427" t="s">
        <v>3436</v>
      </c>
      <c r="E602" s="427" t="str">
        <f t="shared" si="63"/>
        <v>312</v>
      </c>
      <c r="F602" s="756" t="s">
        <v>1734</v>
      </c>
      <c r="G602" s="426" t="str">
        <f t="shared" si="65"/>
        <v>STEAM</v>
      </c>
      <c r="H602" s="427">
        <v>54.588720000000002</v>
      </c>
      <c r="I602" s="427">
        <v>54.588720000000002</v>
      </c>
      <c r="J602" s="427">
        <v>54.588720000000002</v>
      </c>
      <c r="K602" s="427">
        <v>54.588720000000002</v>
      </c>
      <c r="L602" s="427">
        <v>54.588720000000002</v>
      </c>
      <c r="M602" s="427">
        <v>54.588720000000002</v>
      </c>
      <c r="N602" s="427">
        <v>54.588720000000002</v>
      </c>
      <c r="O602" s="427">
        <v>54.588720000000002</v>
      </c>
      <c r="P602" s="427">
        <v>54.588720000000002</v>
      </c>
      <c r="Q602" s="427">
        <v>54.588720000000002</v>
      </c>
      <c r="R602" s="427">
        <v>54.588720000000002</v>
      </c>
      <c r="S602" s="427">
        <v>54.588720000000002</v>
      </c>
      <c r="T602" s="427">
        <v>54.588720000000002</v>
      </c>
      <c r="U602" s="427">
        <f t="shared" si="68"/>
        <v>655.06464000000005</v>
      </c>
      <c r="V602" s="427">
        <f t="shared" si="66"/>
        <v>54.588720000000002</v>
      </c>
    </row>
    <row r="603" spans="1:22">
      <c r="A603" s="427" t="str">
        <f t="shared" si="57"/>
        <v>KU</v>
      </c>
      <c r="B603" s="427" t="str">
        <f t="shared" si="59"/>
        <v>KY</v>
      </c>
      <c r="C603" s="427" t="str">
        <f t="shared" si="60"/>
        <v>E</v>
      </c>
      <c r="D603" s="427" t="s">
        <v>3436</v>
      </c>
      <c r="E603" s="427" t="str">
        <f t="shared" si="63"/>
        <v>312</v>
      </c>
      <c r="F603" s="756" t="s">
        <v>1735</v>
      </c>
      <c r="G603" s="426" t="str">
        <f t="shared" si="65"/>
        <v>STEAM</v>
      </c>
      <c r="H603" s="427">
        <v>2589.31324</v>
      </c>
      <c r="I603" s="427">
        <v>2589.31324</v>
      </c>
      <c r="J603" s="427">
        <v>2589.31324</v>
      </c>
      <c r="K603" s="427">
        <v>2589.31324</v>
      </c>
      <c r="L603" s="427">
        <v>2589.31324</v>
      </c>
      <c r="M603" s="427">
        <v>2589.31324</v>
      </c>
      <c r="N603" s="427">
        <v>2589.31324</v>
      </c>
      <c r="O603" s="427">
        <v>2589.31324</v>
      </c>
      <c r="P603" s="427">
        <v>2589.31324</v>
      </c>
      <c r="Q603" s="427">
        <v>2589.31324</v>
      </c>
      <c r="R603" s="427">
        <v>2589.31324</v>
      </c>
      <c r="S603" s="427">
        <v>2589.31324</v>
      </c>
      <c r="T603" s="427">
        <v>2589.31324</v>
      </c>
      <c r="U603" s="427">
        <f t="shared" si="68"/>
        <v>31071.758879999998</v>
      </c>
      <c r="V603" s="427">
        <f t="shared" si="66"/>
        <v>2589.31324</v>
      </c>
    </row>
    <row r="604" spans="1:22">
      <c r="A604" s="427" t="str">
        <f t="shared" ref="A604:A667" si="69">MID($F604,4,2)</f>
        <v>KU</v>
      </c>
      <c r="B604" s="427" t="str">
        <f t="shared" si="59"/>
        <v>KY</v>
      </c>
      <c r="C604" s="427" t="str">
        <f t="shared" si="60"/>
        <v>E</v>
      </c>
      <c r="D604" s="427" t="s">
        <v>3436</v>
      </c>
      <c r="E604" s="427" t="str">
        <f t="shared" si="63"/>
        <v>314</v>
      </c>
      <c r="F604" s="756" t="s">
        <v>1737</v>
      </c>
      <c r="G604" s="426" t="str">
        <f t="shared" si="65"/>
        <v>STEAM</v>
      </c>
      <c r="H604" s="427">
        <v>1245.2610999999999</v>
      </c>
      <c r="I604" s="427">
        <v>1245.2610999999999</v>
      </c>
      <c r="J604" s="427">
        <v>1245.2610999999999</v>
      </c>
      <c r="K604" s="427">
        <v>1245.2610999999999</v>
      </c>
      <c r="L604" s="427">
        <v>1245.2610999999999</v>
      </c>
      <c r="M604" s="427">
        <v>1245.2610999999999</v>
      </c>
      <c r="N604" s="427">
        <v>1245.2610999999999</v>
      </c>
      <c r="O604" s="427">
        <v>1245.2610999999999</v>
      </c>
      <c r="P604" s="427">
        <v>1245.2610999999999</v>
      </c>
      <c r="Q604" s="427">
        <v>1245.2610999999999</v>
      </c>
      <c r="R604" s="427">
        <v>1245.2610999999999</v>
      </c>
      <c r="S604" s="427">
        <v>1245.2610999999999</v>
      </c>
      <c r="T604" s="427">
        <v>1245.2610999999999</v>
      </c>
      <c r="U604" s="427">
        <f t="shared" si="68"/>
        <v>14943.133199999998</v>
      </c>
      <c r="V604" s="427">
        <f t="shared" si="66"/>
        <v>1245.2610999999999</v>
      </c>
    </row>
    <row r="605" spans="1:22">
      <c r="A605" s="427" t="str">
        <f t="shared" si="69"/>
        <v>KU</v>
      </c>
      <c r="B605" s="427" t="str">
        <f t="shared" si="59"/>
        <v>KY</v>
      </c>
      <c r="C605" s="427" t="str">
        <f t="shared" si="60"/>
        <v>E</v>
      </c>
      <c r="D605" s="427" t="s">
        <v>3436</v>
      </c>
      <c r="E605" s="427" t="str">
        <f t="shared" si="63"/>
        <v>315</v>
      </c>
      <c r="F605" s="756" t="s">
        <v>1738</v>
      </c>
      <c r="G605" s="426" t="str">
        <f t="shared" si="65"/>
        <v>STEAM</v>
      </c>
      <c r="H605" s="427">
        <v>1021.18362</v>
      </c>
      <c r="I605" s="427">
        <v>1021.18362</v>
      </c>
      <c r="J605" s="427">
        <v>1021.18362</v>
      </c>
      <c r="K605" s="427">
        <v>1021.18362</v>
      </c>
      <c r="L605" s="427">
        <v>1021.18362</v>
      </c>
      <c r="M605" s="427">
        <v>1021.18362</v>
      </c>
      <c r="N605" s="427">
        <v>1021.18362</v>
      </c>
      <c r="O605" s="427">
        <v>1021.18362</v>
      </c>
      <c r="P605" s="427">
        <v>1021.18362</v>
      </c>
      <c r="Q605" s="427">
        <v>1021.18362</v>
      </c>
      <c r="R605" s="427">
        <v>1021.18362</v>
      </c>
      <c r="S605" s="427">
        <v>1021.18362</v>
      </c>
      <c r="T605" s="427">
        <v>1021.18362</v>
      </c>
      <c r="U605" s="427">
        <f t="shared" si="68"/>
        <v>12254.203439999999</v>
      </c>
      <c r="V605" s="427">
        <f t="shared" si="66"/>
        <v>1021.1836199999999</v>
      </c>
    </row>
    <row r="606" spans="1:22">
      <c r="A606" s="427" t="str">
        <f t="shared" si="69"/>
        <v>KU</v>
      </c>
      <c r="B606" s="427" t="str">
        <f t="shared" si="59"/>
        <v>KY</v>
      </c>
      <c r="C606" s="427" t="str">
        <f t="shared" si="60"/>
        <v>E</v>
      </c>
      <c r="D606" s="427" t="s">
        <v>3436</v>
      </c>
      <c r="E606" s="427" t="str">
        <f t="shared" si="63"/>
        <v>315</v>
      </c>
      <c r="F606" s="756" t="s">
        <v>1739</v>
      </c>
      <c r="G606" s="426" t="str">
        <f t="shared" si="65"/>
        <v>STEAM</v>
      </c>
      <c r="H606" s="427">
        <v>64.003950000000003</v>
      </c>
      <c r="I606" s="427">
        <v>64.003950000000003</v>
      </c>
      <c r="J606" s="427">
        <v>64.003950000000003</v>
      </c>
      <c r="K606" s="427">
        <v>64.003950000000003</v>
      </c>
      <c r="L606" s="427">
        <v>64.003950000000003</v>
      </c>
      <c r="M606" s="427">
        <v>64.003950000000003</v>
      </c>
      <c r="N606" s="427">
        <v>64.003950000000003</v>
      </c>
      <c r="O606" s="427">
        <v>64.003950000000003</v>
      </c>
      <c r="P606" s="427">
        <v>64.003950000000003</v>
      </c>
      <c r="Q606" s="427">
        <v>64.003950000000003</v>
      </c>
      <c r="R606" s="427">
        <v>64.003950000000003</v>
      </c>
      <c r="S606" s="427">
        <v>64.003950000000003</v>
      </c>
      <c r="T606" s="427">
        <v>64.003950000000003</v>
      </c>
      <c r="U606" s="427">
        <f t="shared" si="68"/>
        <v>768.04740000000027</v>
      </c>
      <c r="V606" s="427">
        <f t="shared" si="66"/>
        <v>64.003950000000017</v>
      </c>
    </row>
    <row r="607" spans="1:22">
      <c r="A607" s="427" t="str">
        <f t="shared" si="69"/>
        <v>KU</v>
      </c>
      <c r="B607" s="427" t="str">
        <f t="shared" si="59"/>
        <v>KY</v>
      </c>
      <c r="C607" s="427" t="str">
        <f t="shared" si="60"/>
        <v>E</v>
      </c>
      <c r="D607" s="427" t="s">
        <v>3436</v>
      </c>
      <c r="E607" s="427" t="str">
        <f t="shared" si="63"/>
        <v>316</v>
      </c>
      <c r="F607" s="756" t="s">
        <v>1740</v>
      </c>
      <c r="G607" s="426" t="str">
        <f t="shared" si="65"/>
        <v>STEAM</v>
      </c>
      <c r="H607" s="427">
        <v>83.497619999999998</v>
      </c>
      <c r="I607" s="427">
        <v>83.497619999999998</v>
      </c>
      <c r="J607" s="427">
        <v>83.497619999999998</v>
      </c>
      <c r="K607" s="427">
        <v>83.497619999999998</v>
      </c>
      <c r="L607" s="427">
        <v>83.497619999999998</v>
      </c>
      <c r="M607" s="427">
        <v>83.497619999999998</v>
      </c>
      <c r="N607" s="427">
        <v>83.497619999999998</v>
      </c>
      <c r="O607" s="427">
        <v>83.497619999999998</v>
      </c>
      <c r="P607" s="427">
        <v>83.497619999999998</v>
      </c>
      <c r="Q607" s="427">
        <v>83.497619999999998</v>
      </c>
      <c r="R607" s="427">
        <v>83.497619999999998</v>
      </c>
      <c r="S607" s="427">
        <v>83.497619999999998</v>
      </c>
      <c r="T607" s="427">
        <v>83.497619999999998</v>
      </c>
      <c r="U607" s="427">
        <f t="shared" si="68"/>
        <v>1001.9714399999999</v>
      </c>
      <c r="V607" s="427">
        <f t="shared" si="66"/>
        <v>83.497619999999998</v>
      </c>
    </row>
    <row r="608" spans="1:22">
      <c r="A608" s="427" t="str">
        <f t="shared" si="69"/>
        <v>KU</v>
      </c>
      <c r="B608" s="427" t="str">
        <f t="shared" si="59"/>
        <v>KY</v>
      </c>
      <c r="C608" s="427" t="str">
        <f t="shared" si="60"/>
        <v>E</v>
      </c>
      <c r="D608" s="427" t="s">
        <v>3436</v>
      </c>
      <c r="E608" s="427" t="str">
        <f t="shared" si="63"/>
        <v>332</v>
      </c>
      <c r="F608" s="756" t="s">
        <v>1744</v>
      </c>
      <c r="G608" s="426" t="str">
        <f t="shared" si="65"/>
        <v>HYDRO</v>
      </c>
      <c r="H608" s="427">
        <v>42.95232</v>
      </c>
      <c r="I608" s="427">
        <v>42.95232</v>
      </c>
      <c r="J608" s="427">
        <v>42.95232</v>
      </c>
      <c r="K608" s="427">
        <v>42.95232</v>
      </c>
      <c r="L608" s="427">
        <v>42.95232</v>
      </c>
      <c r="M608" s="427">
        <v>42.95232</v>
      </c>
      <c r="N608" s="427">
        <v>42.95232</v>
      </c>
      <c r="O608" s="427">
        <v>42.95232</v>
      </c>
      <c r="P608" s="427">
        <v>42.95232</v>
      </c>
      <c r="Q608" s="427">
        <v>42.95232</v>
      </c>
      <c r="R608" s="427">
        <v>42.95232</v>
      </c>
      <c r="S608" s="427">
        <v>42.95232</v>
      </c>
      <c r="T608" s="427">
        <v>42.95232</v>
      </c>
      <c r="U608" s="427">
        <f t="shared" si="68"/>
        <v>515.42783999999995</v>
      </c>
      <c r="V608" s="427">
        <f t="shared" si="66"/>
        <v>42.952319999999993</v>
      </c>
    </row>
    <row r="609" spans="1:22">
      <c r="A609" s="427" t="str">
        <f t="shared" si="69"/>
        <v>KU</v>
      </c>
      <c r="B609" s="427" t="str">
        <f t="shared" si="59"/>
        <v>KY</v>
      </c>
      <c r="C609" s="427" t="str">
        <f t="shared" si="60"/>
        <v>E</v>
      </c>
      <c r="D609" s="427" t="s">
        <v>3436</v>
      </c>
      <c r="E609" s="427" t="str">
        <f t="shared" si="63"/>
        <v>333</v>
      </c>
      <c r="F609" s="756" t="s">
        <v>1745</v>
      </c>
      <c r="G609" s="426" t="str">
        <f t="shared" si="65"/>
        <v>HYDRO</v>
      </c>
      <c r="H609" s="427">
        <v>58.5</v>
      </c>
      <c r="I609" s="427">
        <v>58.5</v>
      </c>
      <c r="J609" s="427">
        <v>58.5</v>
      </c>
      <c r="K609" s="427">
        <v>58.5</v>
      </c>
      <c r="L609" s="427">
        <v>58.5</v>
      </c>
      <c r="M609" s="427">
        <v>58.5</v>
      </c>
      <c r="N609" s="427">
        <v>58.5</v>
      </c>
      <c r="O609" s="427">
        <v>58.5</v>
      </c>
      <c r="P609" s="427">
        <v>58.5</v>
      </c>
      <c r="Q609" s="427">
        <v>58.5</v>
      </c>
      <c r="R609" s="427">
        <v>58.5</v>
      </c>
      <c r="S609" s="427">
        <v>58.5</v>
      </c>
      <c r="T609" s="427">
        <v>58.5</v>
      </c>
      <c r="U609" s="427">
        <f t="shared" si="68"/>
        <v>702</v>
      </c>
      <c r="V609" s="427">
        <f t="shared" si="66"/>
        <v>58.5</v>
      </c>
    </row>
    <row r="610" spans="1:22">
      <c r="A610" s="427" t="str">
        <f t="shared" si="69"/>
        <v>KU</v>
      </c>
      <c r="B610" s="427" t="str">
        <f t="shared" si="59"/>
        <v>KY</v>
      </c>
      <c r="C610" s="427" t="str">
        <f t="shared" si="60"/>
        <v>E</v>
      </c>
      <c r="D610" s="427" t="s">
        <v>3436</v>
      </c>
      <c r="E610" s="427" t="str">
        <f t="shared" si="63"/>
        <v>334</v>
      </c>
      <c r="F610" s="756" t="s">
        <v>1746</v>
      </c>
      <c r="G610" s="426" t="str">
        <f t="shared" si="65"/>
        <v>HYDRO</v>
      </c>
      <c r="H610" s="427">
        <v>3.8844400000000001</v>
      </c>
      <c r="I610" s="427">
        <v>3.8844400000000001</v>
      </c>
      <c r="J610" s="427">
        <v>3.8844400000000001</v>
      </c>
      <c r="K610" s="427">
        <v>3.8844400000000001</v>
      </c>
      <c r="L610" s="427">
        <v>3.8844400000000001</v>
      </c>
      <c r="M610" s="427">
        <v>3.8844400000000001</v>
      </c>
      <c r="N610" s="427">
        <v>3.8844400000000001</v>
      </c>
      <c r="O610" s="427">
        <v>3.8844400000000001</v>
      </c>
      <c r="P610" s="427">
        <v>3.8844400000000001</v>
      </c>
      <c r="Q610" s="427">
        <v>3.8844400000000001</v>
      </c>
      <c r="R610" s="427">
        <v>3.8844400000000001</v>
      </c>
      <c r="S610" s="427">
        <v>3.8844400000000001</v>
      </c>
      <c r="T610" s="427">
        <v>3.8844400000000001</v>
      </c>
      <c r="U610" s="427">
        <f t="shared" si="68"/>
        <v>46.613279999999996</v>
      </c>
      <c r="V610" s="427">
        <f t="shared" si="66"/>
        <v>3.8844399999999997</v>
      </c>
    </row>
    <row r="611" spans="1:22">
      <c r="A611" s="427" t="str">
        <f t="shared" si="69"/>
        <v>KU</v>
      </c>
      <c r="B611" s="427" t="str">
        <f t="shared" si="59"/>
        <v>KY</v>
      </c>
      <c r="C611" s="427" t="str">
        <f t="shared" si="60"/>
        <v>E</v>
      </c>
      <c r="D611" s="427" t="s">
        <v>3436</v>
      </c>
      <c r="E611" s="427" t="str">
        <f t="shared" si="63"/>
        <v>341</v>
      </c>
      <c r="F611" s="756" t="s">
        <v>1751</v>
      </c>
      <c r="G611" s="426" t="str">
        <f t="shared" si="65"/>
        <v>OTHER</v>
      </c>
      <c r="H611" s="427">
        <v>557.31254999999999</v>
      </c>
      <c r="I611" s="427">
        <v>557.31254999999999</v>
      </c>
      <c r="J611" s="427">
        <v>557.31254999999999</v>
      </c>
      <c r="K611" s="427">
        <v>557.31254999999999</v>
      </c>
      <c r="L611" s="427">
        <v>557.31254999999999</v>
      </c>
      <c r="M611" s="427">
        <v>557.31254999999999</v>
      </c>
      <c r="N611" s="427">
        <v>557.31254999999999</v>
      </c>
      <c r="O611" s="427">
        <v>557.31254999999999</v>
      </c>
      <c r="P611" s="427">
        <v>557.31254999999999</v>
      </c>
      <c r="Q611" s="427">
        <v>557.31254999999999</v>
      </c>
      <c r="R611" s="427">
        <v>557.31254999999999</v>
      </c>
      <c r="S611" s="427">
        <v>557.31254999999999</v>
      </c>
      <c r="T611" s="427">
        <v>557.31254999999999</v>
      </c>
      <c r="U611" s="427">
        <f t="shared" si="68"/>
        <v>6687.7505999999985</v>
      </c>
      <c r="V611" s="427">
        <f t="shared" si="66"/>
        <v>557.31254999999987</v>
      </c>
    </row>
    <row r="612" spans="1:22">
      <c r="A612" s="427" t="str">
        <f t="shared" si="69"/>
        <v>KU</v>
      </c>
      <c r="B612" s="427" t="str">
        <f t="shared" si="59"/>
        <v>KY</v>
      </c>
      <c r="C612" s="427" t="str">
        <f t="shared" si="60"/>
        <v>E</v>
      </c>
      <c r="D612" s="427" t="s">
        <v>3436</v>
      </c>
      <c r="E612" s="427" t="str">
        <f t="shared" si="63"/>
        <v>342</v>
      </c>
      <c r="F612" s="756" t="s">
        <v>1752</v>
      </c>
      <c r="G612" s="426" t="str">
        <f t="shared" si="65"/>
        <v>OTHER</v>
      </c>
      <c r="H612" s="427">
        <v>121.09593</v>
      </c>
      <c r="I612" s="427">
        <v>121.09593</v>
      </c>
      <c r="J612" s="427">
        <v>121.09593</v>
      </c>
      <c r="K612" s="427">
        <v>121.09593</v>
      </c>
      <c r="L612" s="427">
        <v>121.09593</v>
      </c>
      <c r="M612" s="427">
        <v>121.09593</v>
      </c>
      <c r="N612" s="427">
        <v>121.09593</v>
      </c>
      <c r="O612" s="427">
        <v>121.09593</v>
      </c>
      <c r="P612" s="427">
        <v>121.09593</v>
      </c>
      <c r="Q612" s="427">
        <v>121.09593</v>
      </c>
      <c r="R612" s="427">
        <v>121.09593</v>
      </c>
      <c r="S612" s="427">
        <v>121.09593</v>
      </c>
      <c r="T612" s="427">
        <v>121.09593</v>
      </c>
      <c r="U612" s="427">
        <f t="shared" si="68"/>
        <v>1453.1511599999997</v>
      </c>
      <c r="V612" s="427">
        <f t="shared" si="66"/>
        <v>121.09592999999997</v>
      </c>
    </row>
    <row r="613" spans="1:22">
      <c r="A613" s="427" t="str">
        <f t="shared" si="69"/>
        <v>KU</v>
      </c>
      <c r="B613" s="427" t="str">
        <f t="shared" si="59"/>
        <v>KY</v>
      </c>
      <c r="C613" s="427" t="str">
        <f t="shared" si="60"/>
        <v>E</v>
      </c>
      <c r="D613" s="427" t="s">
        <v>3436</v>
      </c>
      <c r="E613" s="427" t="str">
        <f t="shared" si="63"/>
        <v>343</v>
      </c>
      <c r="F613" s="756" t="s">
        <v>1753</v>
      </c>
      <c r="G613" s="426" t="str">
        <f t="shared" si="65"/>
        <v>OTHER</v>
      </c>
      <c r="H613" s="427">
        <v>3196.3693800000001</v>
      </c>
      <c r="I613" s="427">
        <v>3196.3693800000001</v>
      </c>
      <c r="J613" s="427">
        <v>3196.3693800000001</v>
      </c>
      <c r="K613" s="427">
        <v>3196.3693800000001</v>
      </c>
      <c r="L613" s="427">
        <v>3196.3693800000001</v>
      </c>
      <c r="M613" s="427">
        <v>3196.3693800000001</v>
      </c>
      <c r="N613" s="427">
        <v>3196.3693800000001</v>
      </c>
      <c r="O613" s="427">
        <v>3196.3693800000001</v>
      </c>
      <c r="P613" s="427">
        <v>3196.3693800000001</v>
      </c>
      <c r="Q613" s="427">
        <v>3196.3693800000001</v>
      </c>
      <c r="R613" s="427">
        <v>3196.3693800000001</v>
      </c>
      <c r="S613" s="427">
        <v>3196.3693800000001</v>
      </c>
      <c r="T613" s="427">
        <v>3196.3693800000001</v>
      </c>
      <c r="U613" s="427">
        <f t="shared" si="68"/>
        <v>38356.432560000001</v>
      </c>
      <c r="V613" s="427">
        <f t="shared" si="66"/>
        <v>3196.3693800000005</v>
      </c>
    </row>
    <row r="614" spans="1:22">
      <c r="A614" s="427" t="str">
        <f t="shared" si="69"/>
        <v>KU</v>
      </c>
      <c r="B614" s="427" t="str">
        <f t="shared" si="59"/>
        <v>KY</v>
      </c>
      <c r="C614" s="427" t="str">
        <f t="shared" si="60"/>
        <v>E</v>
      </c>
      <c r="D614" s="427" t="s">
        <v>3436</v>
      </c>
      <c r="E614" s="427" t="str">
        <f t="shared" ref="E614:E637" si="70">MID($F614,8,3)</f>
        <v>344</v>
      </c>
      <c r="F614" s="756" t="s">
        <v>1754</v>
      </c>
      <c r="G614" s="426" t="str">
        <f t="shared" si="65"/>
        <v>OTHER</v>
      </c>
      <c r="H614" s="427">
        <v>715.27536999999995</v>
      </c>
      <c r="I614" s="427">
        <v>715.27536999999995</v>
      </c>
      <c r="J614" s="427">
        <v>715.27536999999995</v>
      </c>
      <c r="K614" s="427">
        <v>715.27536999999995</v>
      </c>
      <c r="L614" s="427">
        <v>715.27536999999995</v>
      </c>
      <c r="M614" s="427">
        <v>715.27536999999995</v>
      </c>
      <c r="N614" s="427">
        <v>715.27536999999995</v>
      </c>
      <c r="O614" s="427">
        <v>715.27536999999995</v>
      </c>
      <c r="P614" s="427">
        <v>715.27536999999995</v>
      </c>
      <c r="Q614" s="427">
        <v>715.27536999999995</v>
      </c>
      <c r="R614" s="427">
        <v>715.27536999999995</v>
      </c>
      <c r="S614" s="427">
        <v>715.27536999999995</v>
      </c>
      <c r="T614" s="427">
        <v>715.27536999999995</v>
      </c>
      <c r="U614" s="427">
        <f t="shared" si="68"/>
        <v>8583.3044400000017</v>
      </c>
      <c r="V614" s="427">
        <f t="shared" si="66"/>
        <v>715.27537000000007</v>
      </c>
    </row>
    <row r="615" spans="1:22">
      <c r="A615" s="427" t="str">
        <f t="shared" si="69"/>
        <v>KU</v>
      </c>
      <c r="B615" s="427" t="str">
        <f t="shared" si="59"/>
        <v>KY</v>
      </c>
      <c r="C615" s="427" t="str">
        <f t="shared" si="60"/>
        <v>E</v>
      </c>
      <c r="D615" s="427" t="s">
        <v>3436</v>
      </c>
      <c r="E615" s="427" t="str">
        <f t="shared" si="70"/>
        <v>345</v>
      </c>
      <c r="F615" s="756" t="s">
        <v>1755</v>
      </c>
      <c r="G615" s="426" t="str">
        <f t="shared" si="65"/>
        <v>OTHER</v>
      </c>
      <c r="H615" s="427">
        <v>358.09240999999997</v>
      </c>
      <c r="I615" s="427">
        <v>358.09240999999997</v>
      </c>
      <c r="J615" s="427">
        <v>358.09240999999997</v>
      </c>
      <c r="K615" s="427">
        <v>358.09240999999997</v>
      </c>
      <c r="L615" s="427">
        <v>358.09240999999997</v>
      </c>
      <c r="M615" s="427">
        <v>358.09240999999997</v>
      </c>
      <c r="N615" s="427">
        <v>358.09240999999997</v>
      </c>
      <c r="O615" s="427">
        <v>358.09240999999997</v>
      </c>
      <c r="P615" s="427">
        <v>358.09240999999997</v>
      </c>
      <c r="Q615" s="427">
        <v>358.09240999999997</v>
      </c>
      <c r="R615" s="427">
        <v>358.09240999999997</v>
      </c>
      <c r="S615" s="427">
        <v>358.09240999999997</v>
      </c>
      <c r="T615" s="427">
        <v>358.09240999999997</v>
      </c>
      <c r="U615" s="427">
        <f t="shared" si="68"/>
        <v>4297.1089200000006</v>
      </c>
      <c r="V615" s="427">
        <f t="shared" si="66"/>
        <v>358.09241000000009</v>
      </c>
    </row>
    <row r="616" spans="1:22">
      <c r="A616" s="427" t="str">
        <f t="shared" si="69"/>
        <v>KU</v>
      </c>
      <c r="B616" s="427" t="str">
        <f t="shared" si="59"/>
        <v>KY</v>
      </c>
      <c r="C616" s="427" t="str">
        <f t="shared" si="60"/>
        <v>E</v>
      </c>
      <c r="D616" s="427" t="s">
        <v>3436</v>
      </c>
      <c r="E616" s="427" t="str">
        <f t="shared" si="70"/>
        <v>346</v>
      </c>
      <c r="F616" s="756" t="s">
        <v>1756</v>
      </c>
      <c r="G616" s="426" t="str">
        <f t="shared" si="65"/>
        <v>OTHER</v>
      </c>
      <c r="H616" s="427">
        <v>34.127940000000002</v>
      </c>
      <c r="I616" s="427">
        <v>34.127940000000002</v>
      </c>
      <c r="J616" s="427">
        <v>34.127940000000002</v>
      </c>
      <c r="K616" s="427">
        <v>34.127940000000002</v>
      </c>
      <c r="L616" s="427">
        <v>34.127940000000002</v>
      </c>
      <c r="M616" s="427">
        <v>34.127940000000002</v>
      </c>
      <c r="N616" s="427">
        <v>34.127940000000002</v>
      </c>
      <c r="O616" s="427">
        <v>34.127940000000002</v>
      </c>
      <c r="P616" s="427">
        <v>34.127940000000002</v>
      </c>
      <c r="Q616" s="427">
        <v>34.127940000000002</v>
      </c>
      <c r="R616" s="427">
        <v>34.127940000000002</v>
      </c>
      <c r="S616" s="427">
        <v>34.127940000000002</v>
      </c>
      <c r="T616" s="427">
        <v>34.127940000000002</v>
      </c>
      <c r="U616" s="427">
        <f t="shared" si="68"/>
        <v>409.53528000000011</v>
      </c>
      <c r="V616" s="427">
        <f t="shared" si="66"/>
        <v>34.127940000000009</v>
      </c>
    </row>
    <row r="617" spans="1:22">
      <c r="A617" s="427" t="str">
        <f t="shared" si="69"/>
        <v>KU</v>
      </c>
      <c r="B617" s="427" t="str">
        <f t="shared" ref="B617:B680" si="71">IF(MID($F617,12,2)="- ","KY",IF(MID($F617,12,2)="SY","KY",MID($F617,12,2)))</f>
        <v>KY</v>
      </c>
      <c r="C617" s="427" t="str">
        <f t="shared" si="60"/>
        <v>E</v>
      </c>
      <c r="D617" s="427" t="s">
        <v>3436</v>
      </c>
      <c r="E617" s="427" t="str">
        <f t="shared" si="70"/>
        <v>350</v>
      </c>
      <c r="F617" s="756" t="s">
        <v>1757</v>
      </c>
      <c r="G617" s="426" t="str">
        <f t="shared" si="65"/>
        <v>TRANSMISSION</v>
      </c>
      <c r="H617" s="427">
        <v>5.8478599999999998</v>
      </c>
      <c r="I617" s="427">
        <v>5.8478599999999998</v>
      </c>
      <c r="J617" s="427">
        <v>5.8478599999999998</v>
      </c>
      <c r="K617" s="427">
        <v>5.8478599999999998</v>
      </c>
      <c r="L617" s="427">
        <v>5.8478599999999998</v>
      </c>
      <c r="M617" s="427">
        <v>5.8478599999999998</v>
      </c>
      <c r="N617" s="427">
        <v>5.8478599999999998</v>
      </c>
      <c r="O617" s="427">
        <v>5.8478599999999998</v>
      </c>
      <c r="P617" s="427">
        <v>5.8478599999999998</v>
      </c>
      <c r="Q617" s="427">
        <v>5.8478599999999998</v>
      </c>
      <c r="R617" s="427">
        <v>5.8478599999999998</v>
      </c>
      <c r="S617" s="427">
        <v>5.8478599999999998</v>
      </c>
      <c r="T617" s="427">
        <v>5.8478599999999998</v>
      </c>
      <c r="U617" s="427">
        <f t="shared" si="68"/>
        <v>70.17431999999998</v>
      </c>
      <c r="V617" s="427">
        <f t="shared" si="66"/>
        <v>5.8478599999999981</v>
      </c>
    </row>
    <row r="618" spans="1:22">
      <c r="A618" s="427" t="str">
        <f t="shared" si="69"/>
        <v>KU</v>
      </c>
      <c r="B618" s="427" t="str">
        <f t="shared" si="71"/>
        <v>KY</v>
      </c>
      <c r="C618" s="427" t="str">
        <f t="shared" si="60"/>
        <v>E</v>
      </c>
      <c r="D618" s="427" t="s">
        <v>3436</v>
      </c>
      <c r="E618" s="427" t="str">
        <f t="shared" si="70"/>
        <v>352</v>
      </c>
      <c r="F618" s="756" t="s">
        <v>1761</v>
      </c>
      <c r="G618" s="426" t="str">
        <f t="shared" si="65"/>
        <v>TRANSMISSION</v>
      </c>
      <c r="H618" s="427">
        <v>38.295990000000003</v>
      </c>
      <c r="I618" s="427">
        <v>38.295990000000003</v>
      </c>
      <c r="J618" s="427">
        <v>38.295990000000003</v>
      </c>
      <c r="K618" s="427">
        <v>38.295990000000003</v>
      </c>
      <c r="L618" s="427">
        <v>38.295990000000003</v>
      </c>
      <c r="M618" s="427">
        <v>38.295990000000003</v>
      </c>
      <c r="N618" s="427">
        <v>38.295990000000003</v>
      </c>
      <c r="O618" s="427">
        <v>38.295990000000003</v>
      </c>
      <c r="P618" s="427">
        <v>38.295990000000003</v>
      </c>
      <c r="Q618" s="427">
        <v>38.295990000000003</v>
      </c>
      <c r="R618" s="427">
        <v>38.295990000000003</v>
      </c>
      <c r="S618" s="427">
        <v>38.295990000000003</v>
      </c>
      <c r="T618" s="427">
        <v>38.295990000000003</v>
      </c>
      <c r="U618" s="427">
        <f t="shared" si="68"/>
        <v>459.55188000000015</v>
      </c>
      <c r="V618" s="427">
        <f t="shared" si="66"/>
        <v>38.29599000000001</v>
      </c>
    </row>
    <row r="619" spans="1:22">
      <c r="A619" s="427" t="str">
        <f t="shared" si="69"/>
        <v>KU</v>
      </c>
      <c r="B619" s="427" t="str">
        <f t="shared" si="71"/>
        <v>VA</v>
      </c>
      <c r="C619" s="427" t="str">
        <f t="shared" si="60"/>
        <v>E</v>
      </c>
      <c r="D619" s="427" t="s">
        <v>3436</v>
      </c>
      <c r="E619" s="427" t="str">
        <f t="shared" si="70"/>
        <v>352</v>
      </c>
      <c r="F619" s="756" t="s">
        <v>1762</v>
      </c>
      <c r="G619" s="426" t="str">
        <f t="shared" si="65"/>
        <v>TRANSMISSION</v>
      </c>
      <c r="H619" s="427">
        <v>3.0000000000000001E-3</v>
      </c>
      <c r="I619" s="427">
        <v>3.0000000000000001E-3</v>
      </c>
      <c r="J619" s="427">
        <v>3.0000000000000001E-3</v>
      </c>
      <c r="K619" s="427">
        <v>3.0000000000000001E-3</v>
      </c>
      <c r="L619" s="427">
        <v>3.0000000000000001E-3</v>
      </c>
      <c r="M619" s="427">
        <v>3.0000000000000001E-3</v>
      </c>
      <c r="N619" s="427">
        <v>3.0000000000000001E-3</v>
      </c>
      <c r="O619" s="427">
        <v>3.0000000000000001E-3</v>
      </c>
      <c r="P619" s="427">
        <v>3.0000000000000001E-3</v>
      </c>
      <c r="Q619" s="427">
        <v>3.0000000000000001E-3</v>
      </c>
      <c r="R619" s="427">
        <v>3.0000000000000001E-3</v>
      </c>
      <c r="S619" s="427">
        <v>3.0000000000000001E-3</v>
      </c>
      <c r="T619" s="427">
        <v>3.0000000000000001E-3</v>
      </c>
      <c r="U619" s="427">
        <f t="shared" si="68"/>
        <v>3.5999999999999997E-2</v>
      </c>
      <c r="V619" s="427">
        <f t="shared" si="66"/>
        <v>3.0000000000000001E-3</v>
      </c>
    </row>
    <row r="620" spans="1:22">
      <c r="A620" s="427" t="str">
        <f t="shared" si="69"/>
        <v>KU</v>
      </c>
      <c r="B620" s="427" t="str">
        <f t="shared" si="71"/>
        <v>KY</v>
      </c>
      <c r="C620" s="427" t="str">
        <f t="shared" si="60"/>
        <v>E</v>
      </c>
      <c r="D620" s="427" t="s">
        <v>3436</v>
      </c>
      <c r="E620" s="427" t="str">
        <f t="shared" si="70"/>
        <v>353</v>
      </c>
      <c r="F620" s="756" t="s">
        <v>1763</v>
      </c>
      <c r="G620" s="426" t="str">
        <f t="shared" si="65"/>
        <v>TRANSMISSION</v>
      </c>
      <c r="H620" s="427">
        <v>482.69191999999998</v>
      </c>
      <c r="I620" s="427">
        <v>482.69191999999998</v>
      </c>
      <c r="J620" s="427">
        <v>482.69191999999998</v>
      </c>
      <c r="K620" s="427">
        <v>482.69191999999998</v>
      </c>
      <c r="L620" s="427">
        <v>482.69191999999998</v>
      </c>
      <c r="M620" s="427">
        <v>482.69191999999998</v>
      </c>
      <c r="N620" s="427">
        <v>482.69191999999998</v>
      </c>
      <c r="O620" s="427">
        <v>482.69191999999998</v>
      </c>
      <c r="P620" s="427">
        <v>482.69191999999998</v>
      </c>
      <c r="Q620" s="427">
        <v>482.69191999999998</v>
      </c>
      <c r="R620" s="427">
        <v>482.69191999999998</v>
      </c>
      <c r="S620" s="427">
        <v>482.69191999999998</v>
      </c>
      <c r="T620" s="716">
        <v>482.69191999999998</v>
      </c>
      <c r="U620" s="427">
        <f t="shared" si="68"/>
        <v>5792.3030400000016</v>
      </c>
      <c r="V620" s="427">
        <f t="shared" si="66"/>
        <v>482.69192000000015</v>
      </c>
    </row>
    <row r="621" spans="1:22">
      <c r="A621" s="427" t="str">
        <f t="shared" si="69"/>
        <v>KU</v>
      </c>
      <c r="B621" s="427" t="str">
        <f t="shared" si="71"/>
        <v>VA</v>
      </c>
      <c r="C621" s="427" t="str">
        <f t="shared" ref="C621:C684" si="72">IF(ISTEXT(MID($F621,SEARCH("FUTURE USE",$F621),3)),"F",IF(MID($F621,7,1)="1","E",IF(MID($F621,7,1)="2","G",IF(MID($F621,7,1)="3","C",""))))</f>
        <v>E</v>
      </c>
      <c r="D621" s="427" t="s">
        <v>3436</v>
      </c>
      <c r="E621" s="427" t="str">
        <f t="shared" si="70"/>
        <v>353</v>
      </c>
      <c r="F621" s="756" t="s">
        <v>1765</v>
      </c>
      <c r="G621" s="426" t="str">
        <f t="shared" si="65"/>
        <v>TRANSMISSION</v>
      </c>
      <c r="H621" s="427">
        <v>1.571</v>
      </c>
      <c r="I621" s="427">
        <v>1.571</v>
      </c>
      <c r="J621" s="427">
        <v>1.571</v>
      </c>
      <c r="K621" s="427">
        <v>1.571</v>
      </c>
      <c r="L621" s="427">
        <v>1.571</v>
      </c>
      <c r="M621" s="427">
        <v>1.571</v>
      </c>
      <c r="N621" s="427">
        <v>1.571</v>
      </c>
      <c r="O621" s="427">
        <v>1.571</v>
      </c>
      <c r="P621" s="427">
        <v>1.571</v>
      </c>
      <c r="Q621" s="427">
        <v>1.571</v>
      </c>
      <c r="R621" s="427">
        <v>1.571</v>
      </c>
      <c r="S621" s="427">
        <v>1.571</v>
      </c>
      <c r="T621" s="427">
        <v>1.571</v>
      </c>
      <c r="U621" s="427">
        <f t="shared" si="68"/>
        <v>18.852</v>
      </c>
      <c r="V621" s="427">
        <f t="shared" si="66"/>
        <v>1.5710000000000002</v>
      </c>
    </row>
    <row r="622" spans="1:22">
      <c r="A622" s="427" t="str">
        <f t="shared" si="69"/>
        <v>KU</v>
      </c>
      <c r="B622" s="427" t="str">
        <f t="shared" si="71"/>
        <v>KY</v>
      </c>
      <c r="C622" s="427" t="str">
        <f t="shared" si="72"/>
        <v>E</v>
      </c>
      <c r="D622" s="427" t="s">
        <v>3436</v>
      </c>
      <c r="E622" s="427" t="str">
        <f t="shared" si="70"/>
        <v>354</v>
      </c>
      <c r="F622" s="756" t="s">
        <v>1766</v>
      </c>
      <c r="G622" s="426" t="str">
        <f t="shared" si="65"/>
        <v>TRANSMISSION</v>
      </c>
      <c r="H622" s="427">
        <v>120.31005999999999</v>
      </c>
      <c r="I622" s="427">
        <v>120.31005999999999</v>
      </c>
      <c r="J622" s="427">
        <v>120.31005999999999</v>
      </c>
      <c r="K622" s="427">
        <v>120.31005999999999</v>
      </c>
      <c r="L622" s="427">
        <v>120.31005999999999</v>
      </c>
      <c r="M622" s="427">
        <v>120.31005999999999</v>
      </c>
      <c r="N622" s="427">
        <v>120.31005999999999</v>
      </c>
      <c r="O622" s="427">
        <v>120.31005999999999</v>
      </c>
      <c r="P622" s="427">
        <v>120.31005999999999</v>
      </c>
      <c r="Q622" s="427">
        <v>120.31005999999999</v>
      </c>
      <c r="R622" s="427">
        <v>120.31005999999999</v>
      </c>
      <c r="S622" s="427">
        <v>120.31005999999999</v>
      </c>
      <c r="T622" s="427">
        <v>120.31005999999999</v>
      </c>
      <c r="U622" s="427">
        <f t="shared" si="68"/>
        <v>1443.72072</v>
      </c>
      <c r="V622" s="427">
        <f t="shared" ref="V622:V683" si="73">SUM(H622:T622)/13</f>
        <v>120.31006000000001</v>
      </c>
    </row>
    <row r="623" spans="1:22">
      <c r="A623" s="427" t="str">
        <f t="shared" si="69"/>
        <v>KU</v>
      </c>
      <c r="B623" s="427" t="str">
        <f t="shared" si="71"/>
        <v>KY</v>
      </c>
      <c r="C623" s="427" t="str">
        <f t="shared" si="72"/>
        <v>E</v>
      </c>
      <c r="D623" s="427" t="s">
        <v>3436</v>
      </c>
      <c r="E623" s="427" t="str">
        <f t="shared" si="70"/>
        <v>355</v>
      </c>
      <c r="F623" s="756" t="s">
        <v>1768</v>
      </c>
      <c r="G623" s="426" t="str">
        <f t="shared" si="65"/>
        <v>TRANSMISSION</v>
      </c>
      <c r="H623" s="427">
        <v>579.74188000000004</v>
      </c>
      <c r="I623" s="427">
        <v>579.74188000000004</v>
      </c>
      <c r="J623" s="427">
        <v>579.74188000000004</v>
      </c>
      <c r="K623" s="427">
        <v>579.74188000000004</v>
      </c>
      <c r="L623" s="427">
        <v>579.74188000000004</v>
      </c>
      <c r="M623" s="427">
        <v>579.74188000000004</v>
      </c>
      <c r="N623" s="427">
        <v>579.74188000000004</v>
      </c>
      <c r="O623" s="427">
        <v>579.74188000000004</v>
      </c>
      <c r="P623" s="427">
        <v>579.74188000000004</v>
      </c>
      <c r="Q623" s="427">
        <v>579.74188000000004</v>
      </c>
      <c r="R623" s="427">
        <v>579.74188000000004</v>
      </c>
      <c r="S623" s="427">
        <v>579.74188000000004</v>
      </c>
      <c r="T623" s="427">
        <v>579.74188000000004</v>
      </c>
      <c r="U623" s="427">
        <f t="shared" si="68"/>
        <v>6956.9025599999986</v>
      </c>
      <c r="V623" s="427">
        <f t="shared" si="73"/>
        <v>579.74187999999981</v>
      </c>
    </row>
    <row r="624" spans="1:22">
      <c r="A624" s="427" t="str">
        <f t="shared" si="69"/>
        <v>KU</v>
      </c>
      <c r="B624" s="427" t="str">
        <f t="shared" si="71"/>
        <v>VA</v>
      </c>
      <c r="C624" s="427" t="str">
        <f t="shared" si="72"/>
        <v>E</v>
      </c>
      <c r="D624" s="427" t="s">
        <v>3436</v>
      </c>
      <c r="E624" s="427" t="str">
        <f t="shared" si="70"/>
        <v>355</v>
      </c>
      <c r="F624" s="756" t="s">
        <v>1770</v>
      </c>
      <c r="G624" s="426" t="str">
        <f t="shared" si="65"/>
        <v>TRANSMISSION</v>
      </c>
      <c r="H624" s="427">
        <v>0.64976999999999996</v>
      </c>
      <c r="I624" s="427">
        <v>0.64976999999999996</v>
      </c>
      <c r="J624" s="427">
        <v>0.64976999999999996</v>
      </c>
      <c r="K624" s="427">
        <v>0.64976999999999996</v>
      </c>
      <c r="L624" s="427">
        <v>0.64976999999999996</v>
      </c>
      <c r="M624" s="427">
        <v>0.64976999999999996</v>
      </c>
      <c r="N624" s="427">
        <v>0.64976999999999996</v>
      </c>
      <c r="O624" s="427">
        <v>0.64976999999999996</v>
      </c>
      <c r="P624" s="427">
        <v>0.64976999999999996</v>
      </c>
      <c r="Q624" s="427">
        <v>0.64976999999999996</v>
      </c>
      <c r="R624" s="427">
        <v>0.64976999999999996</v>
      </c>
      <c r="S624" s="427">
        <v>0.64976999999999996</v>
      </c>
      <c r="T624" s="427">
        <v>0.64976999999999996</v>
      </c>
      <c r="U624" s="427">
        <f t="shared" si="68"/>
        <v>7.7972400000000013</v>
      </c>
      <c r="V624" s="427">
        <f t="shared" si="73"/>
        <v>0.64977000000000007</v>
      </c>
    </row>
    <row r="625" spans="1:22">
      <c r="A625" s="427" t="str">
        <f t="shared" si="69"/>
        <v>KU</v>
      </c>
      <c r="B625" s="427" t="str">
        <f t="shared" si="71"/>
        <v>KY</v>
      </c>
      <c r="C625" s="427" t="str">
        <f t="shared" si="72"/>
        <v>E</v>
      </c>
      <c r="D625" s="427" t="s">
        <v>3436</v>
      </c>
      <c r="E625" s="427" t="str">
        <f t="shared" si="70"/>
        <v>356</v>
      </c>
      <c r="F625" s="756" t="s">
        <v>1771</v>
      </c>
      <c r="G625" s="426" t="str">
        <f t="shared" si="65"/>
        <v>TRANSMISSION</v>
      </c>
      <c r="H625" s="427">
        <v>191.09273999999999</v>
      </c>
      <c r="I625" s="427">
        <v>191.09273999999999</v>
      </c>
      <c r="J625" s="427">
        <v>191.09273999999999</v>
      </c>
      <c r="K625" s="427">
        <v>191.09273999999999</v>
      </c>
      <c r="L625" s="427">
        <v>191.09273999999999</v>
      </c>
      <c r="M625" s="427">
        <v>191.09273999999999</v>
      </c>
      <c r="N625" s="427">
        <v>191.09273999999999</v>
      </c>
      <c r="O625" s="427">
        <v>191.09273999999999</v>
      </c>
      <c r="P625" s="427">
        <v>191.09273999999999</v>
      </c>
      <c r="Q625" s="427">
        <v>191.09273999999999</v>
      </c>
      <c r="R625" s="427">
        <v>191.09273999999999</v>
      </c>
      <c r="S625" s="427">
        <v>191.09273999999999</v>
      </c>
      <c r="T625" s="427">
        <v>191.09273999999999</v>
      </c>
      <c r="U625" s="427">
        <f t="shared" si="68"/>
        <v>2293.1128800000001</v>
      </c>
      <c r="V625" s="427">
        <f t="shared" si="73"/>
        <v>191.09274000000002</v>
      </c>
    </row>
    <row r="626" spans="1:22">
      <c r="A626" s="427" t="str">
        <f t="shared" si="69"/>
        <v>KU</v>
      </c>
      <c r="B626" s="427" t="str">
        <f t="shared" si="71"/>
        <v>VA</v>
      </c>
      <c r="C626" s="427" t="str">
        <f t="shared" si="72"/>
        <v>E</v>
      </c>
      <c r="D626" s="427" t="s">
        <v>3436</v>
      </c>
      <c r="E626" s="427" t="str">
        <f t="shared" si="70"/>
        <v>356</v>
      </c>
      <c r="F626" s="756" t="s">
        <v>1773</v>
      </c>
      <c r="G626" s="426" t="str">
        <f t="shared" ref="G626:G689" si="74">IF(ISTEXT(MID($F626,SEARCH("HYDRO PRODUCTION",$F626),9)),"HYDRO",IF(ISTEXT(MID($F626,SEARCH("OTHER PRODUCTION",$F626),9)),"OTHER",IF(ISTEXT(MID($F626,SEARCH("STEAM PRODUCTION",$F626),9)),"STEAM",IF(ISTEXT(MID($F626,SEARCH("TRANSMISSION",$F626),9)),"TRANSMISSION",IF(ISTEXT(MID($F626,SEARCH("DISTRIBUTION",$F626),9)),"DISTRIBUTION",IF(ISTEXT(MID($F626,SEARCH("COMMON",$F626),9)),"COMMON",IF(ISTEXT(MID($F626,SEARCH("GENERAL",$F626),9)),"GENERAL",IF(ISTEXT(MID($F626,SEARCH("INTANGIBLE",$F626),9)),"INTANGIBLE",IF(ISTEXT(MID($F626,SEARCH("STORAGE",$F626),3)),"STORAGE","")))))))))</f>
        <v>TRANSMISSION</v>
      </c>
      <c r="H626" s="427">
        <v>2.0646100000000001</v>
      </c>
      <c r="I626" s="427">
        <v>2.0646100000000001</v>
      </c>
      <c r="J626" s="427">
        <v>2.0646100000000001</v>
      </c>
      <c r="K626" s="427">
        <v>2.0646100000000001</v>
      </c>
      <c r="L626" s="427">
        <v>2.0646100000000001</v>
      </c>
      <c r="M626" s="427">
        <v>2.0646100000000001</v>
      </c>
      <c r="N626" s="427">
        <v>2.0646100000000001</v>
      </c>
      <c r="O626" s="427">
        <v>2.0646100000000001</v>
      </c>
      <c r="P626" s="427">
        <v>2.0646100000000001</v>
      </c>
      <c r="Q626" s="427">
        <v>2.0646100000000001</v>
      </c>
      <c r="R626" s="427">
        <v>2.0646100000000001</v>
      </c>
      <c r="S626" s="427">
        <v>2.0646100000000001</v>
      </c>
      <c r="T626" s="427">
        <v>2.0646100000000001</v>
      </c>
      <c r="U626" s="427">
        <f t="shared" si="68"/>
        <v>24.775320000000008</v>
      </c>
      <c r="V626" s="427">
        <f t="shared" si="73"/>
        <v>2.0646100000000009</v>
      </c>
    </row>
    <row r="627" spans="1:22">
      <c r="A627" s="427" t="str">
        <f t="shared" si="69"/>
        <v>KU</v>
      </c>
      <c r="B627" s="427" t="str">
        <f t="shared" si="71"/>
        <v>KY</v>
      </c>
      <c r="C627" s="427" t="str">
        <f t="shared" si="72"/>
        <v>E</v>
      </c>
      <c r="D627" s="427" t="s">
        <v>3436</v>
      </c>
      <c r="E627" s="427" t="str">
        <f t="shared" si="70"/>
        <v>357</v>
      </c>
      <c r="F627" s="756" t="s">
        <v>1774</v>
      </c>
      <c r="G627" s="426" t="str">
        <f t="shared" si="74"/>
        <v>TRANSMISSION</v>
      </c>
      <c r="H627" s="427">
        <v>1.1220000000000001</v>
      </c>
      <c r="I627" s="427">
        <v>1.1220000000000001</v>
      </c>
      <c r="J627" s="427">
        <v>1.1220000000000001</v>
      </c>
      <c r="K627" s="427">
        <v>1.1220000000000001</v>
      </c>
      <c r="L627" s="427">
        <v>1.1220000000000001</v>
      </c>
      <c r="M627" s="427">
        <v>1.1220000000000001</v>
      </c>
      <c r="N627" s="427">
        <v>1.1220000000000001</v>
      </c>
      <c r="O627" s="427">
        <v>1.1220000000000001</v>
      </c>
      <c r="P627" s="427">
        <v>1.1220000000000001</v>
      </c>
      <c r="Q627" s="427">
        <v>1.1220000000000001</v>
      </c>
      <c r="R627" s="427">
        <v>1.1220000000000001</v>
      </c>
      <c r="S627" s="427">
        <v>1.1220000000000001</v>
      </c>
      <c r="T627" s="427">
        <v>1.1220000000000001</v>
      </c>
      <c r="U627" s="427">
        <f t="shared" si="68"/>
        <v>13.464</v>
      </c>
      <c r="V627" s="427">
        <f t="shared" si="73"/>
        <v>1.1220000000000001</v>
      </c>
    </row>
    <row r="628" spans="1:22">
      <c r="A628" s="427" t="str">
        <f t="shared" si="69"/>
        <v>KU</v>
      </c>
      <c r="B628" s="427" t="str">
        <f t="shared" si="71"/>
        <v>KY</v>
      </c>
      <c r="C628" s="427" t="str">
        <f t="shared" si="72"/>
        <v>E</v>
      </c>
      <c r="D628" s="427" t="s">
        <v>3436</v>
      </c>
      <c r="E628" s="427" t="str">
        <f t="shared" si="70"/>
        <v>358</v>
      </c>
      <c r="F628" s="756" t="s">
        <v>1775</v>
      </c>
      <c r="G628" s="426" t="str">
        <f t="shared" si="74"/>
        <v>TRANSMISSION</v>
      </c>
      <c r="H628" s="427">
        <v>1.1279999999999999</v>
      </c>
      <c r="I628" s="427">
        <v>1.1279999999999999</v>
      </c>
      <c r="J628" s="427">
        <v>1.1279999999999999</v>
      </c>
      <c r="K628" s="427">
        <v>1.1279999999999999</v>
      </c>
      <c r="L628" s="427">
        <v>1.1279999999999999</v>
      </c>
      <c r="M628" s="427">
        <v>1.1279999999999999</v>
      </c>
      <c r="N628" s="427">
        <v>1.1279999999999999</v>
      </c>
      <c r="O628" s="427">
        <v>1.1279999999999999</v>
      </c>
      <c r="P628" s="427">
        <v>1.1279999999999999</v>
      </c>
      <c r="Q628" s="427">
        <v>1.1279999999999999</v>
      </c>
      <c r="R628" s="427">
        <v>1.1279999999999999</v>
      </c>
      <c r="S628" s="427">
        <v>1.1279999999999999</v>
      </c>
      <c r="T628" s="427">
        <v>1.1279999999999999</v>
      </c>
      <c r="U628" s="427">
        <f t="shared" si="68"/>
        <v>13.536</v>
      </c>
      <c r="V628" s="427">
        <f t="shared" si="73"/>
        <v>1.1279999999999999</v>
      </c>
    </row>
    <row r="629" spans="1:22">
      <c r="A629" s="427" t="str">
        <f t="shared" si="69"/>
        <v>KY</v>
      </c>
      <c r="B629" s="427" t="str">
        <f t="shared" si="71"/>
        <v xml:space="preserve"> A</v>
      </c>
      <c r="C629" s="427" t="str">
        <f t="shared" si="72"/>
        <v/>
      </c>
      <c r="E629" s="427" t="str">
        <f t="shared" si="70"/>
        <v>lan</v>
      </c>
      <c r="F629" s="758" t="s">
        <v>1829</v>
      </c>
      <c r="G629" s="426" t="str">
        <f t="shared" si="74"/>
        <v/>
      </c>
      <c r="H629" s="427">
        <v>31092.434519999999</v>
      </c>
      <c r="I629" s="427">
        <v>31092.434519999999</v>
      </c>
      <c r="J629" s="427">
        <v>31092.434519999999</v>
      </c>
      <c r="K629" s="427">
        <v>31092.434519999999</v>
      </c>
      <c r="L629" s="427">
        <v>31092.434519999999</v>
      </c>
      <c r="M629" s="427">
        <v>31092.434519999999</v>
      </c>
      <c r="N629" s="427">
        <v>31092.434519999999</v>
      </c>
      <c r="O629" s="427">
        <v>31092.434519999999</v>
      </c>
      <c r="P629" s="427">
        <v>31092.434519999999</v>
      </c>
      <c r="Q629" s="427">
        <v>31092.434519999999</v>
      </c>
      <c r="R629" s="427">
        <v>31092.434519999999</v>
      </c>
      <c r="S629" s="427">
        <v>31092.434519999999</v>
      </c>
      <c r="T629" s="427">
        <v>31092.434519999999</v>
      </c>
      <c r="U629" s="427">
        <f t="shared" si="68"/>
        <v>373109.21424000006</v>
      </c>
      <c r="V629" s="427">
        <f t="shared" si="73"/>
        <v>31092.434520000006</v>
      </c>
    </row>
    <row r="630" spans="1:22">
      <c r="A630" s="427" t="str">
        <f t="shared" si="69"/>
        <v/>
      </c>
      <c r="B630" s="427" t="str">
        <f t="shared" si="71"/>
        <v/>
      </c>
      <c r="C630" s="427" t="str">
        <f t="shared" si="72"/>
        <v/>
      </c>
      <c r="E630" s="427" t="str">
        <f t="shared" si="70"/>
        <v/>
      </c>
      <c r="G630" s="426" t="str">
        <f t="shared" si="74"/>
        <v/>
      </c>
      <c r="U630" s="427">
        <f t="shared" si="68"/>
        <v>0</v>
      </c>
      <c r="V630" s="427">
        <f t="shared" si="73"/>
        <v>0</v>
      </c>
    </row>
    <row r="631" spans="1:22">
      <c r="A631" s="427" t="str">
        <f t="shared" si="69"/>
        <v>re</v>
      </c>
      <c r="B631" s="427" t="str">
        <f t="shared" si="71"/>
        <v xml:space="preserve">n </v>
      </c>
      <c r="C631" s="427" t="str">
        <f t="shared" si="72"/>
        <v/>
      </c>
      <c r="D631" s="427" t="s">
        <v>3437</v>
      </c>
      <c r="E631" s="427" t="str">
        <f t="shared" si="70"/>
        <v>ati</v>
      </c>
      <c r="F631" s="759" t="s">
        <v>2511</v>
      </c>
      <c r="G631" s="426" t="str">
        <f t="shared" si="74"/>
        <v/>
      </c>
      <c r="U631" s="427">
        <f t="shared" si="68"/>
        <v>0</v>
      </c>
      <c r="V631" s="427">
        <f t="shared" si="73"/>
        <v>0</v>
      </c>
    </row>
    <row r="632" spans="1:22">
      <c r="A632" s="427" t="str">
        <f t="shared" si="69"/>
        <v>KU</v>
      </c>
      <c r="B632" s="427" t="str">
        <f t="shared" si="71"/>
        <v>KY</v>
      </c>
      <c r="C632" s="427" t="str">
        <f t="shared" si="72"/>
        <v>E</v>
      </c>
      <c r="D632" s="427" t="s">
        <v>3437</v>
      </c>
      <c r="E632" s="427" t="str">
        <f t="shared" si="70"/>
        <v>312</v>
      </c>
      <c r="F632" s="756" t="s">
        <v>1733</v>
      </c>
      <c r="G632" s="426" t="str">
        <f t="shared" si="74"/>
        <v>STEAM</v>
      </c>
      <c r="H632" s="427">
        <v>32.226750000000003</v>
      </c>
      <c r="I632" s="427">
        <v>32.226750000000003</v>
      </c>
      <c r="J632" s="427">
        <v>32.226750000000003</v>
      </c>
      <c r="K632" s="427">
        <v>32.226750000000003</v>
      </c>
      <c r="L632" s="427">
        <v>32.226750000000003</v>
      </c>
      <c r="M632" s="427">
        <v>32.226750000000003</v>
      </c>
      <c r="N632" s="427">
        <v>32.226750000000003</v>
      </c>
      <c r="O632" s="427">
        <v>32.226750000000003</v>
      </c>
      <c r="P632" s="427">
        <v>32.226750000000003</v>
      </c>
      <c r="Q632" s="427">
        <v>32.226750000000003</v>
      </c>
      <c r="R632" s="427">
        <v>32.226750000000003</v>
      </c>
      <c r="S632" s="427">
        <v>32.226750000000003</v>
      </c>
      <c r="T632" s="427">
        <v>32.226750000000003</v>
      </c>
      <c r="U632" s="716">
        <f t="shared" si="68"/>
        <v>386.72099999999995</v>
      </c>
      <c r="V632" s="427">
        <f t="shared" si="73"/>
        <v>32.226749999999996</v>
      </c>
    </row>
    <row r="633" spans="1:22">
      <c r="A633" s="427" t="str">
        <f t="shared" si="69"/>
        <v>KU</v>
      </c>
      <c r="B633" s="427" t="str">
        <f t="shared" si="71"/>
        <v>KY</v>
      </c>
      <c r="C633" s="427" t="str">
        <f t="shared" si="72"/>
        <v>E</v>
      </c>
      <c r="D633" s="427" t="s">
        <v>3437</v>
      </c>
      <c r="E633" s="427" t="str">
        <f t="shared" si="70"/>
        <v>334</v>
      </c>
      <c r="F633" s="756" t="s">
        <v>1746</v>
      </c>
      <c r="G633" s="426" t="str">
        <f t="shared" si="74"/>
        <v>HYDRO</v>
      </c>
      <c r="H633" s="427">
        <v>2.0833333333333298E-3</v>
      </c>
      <c r="I633" s="427">
        <v>2.0833333333333298E-3</v>
      </c>
      <c r="J633" s="427">
        <v>2.0833333333333298E-3</v>
      </c>
      <c r="K633" s="427">
        <v>2.0833333333333298E-3</v>
      </c>
      <c r="L633" s="427">
        <v>2.0833333333333298E-3</v>
      </c>
      <c r="M633" s="427">
        <v>2.0833333333333298E-3</v>
      </c>
      <c r="N633" s="427">
        <v>2.0833333333333298E-3</v>
      </c>
      <c r="O633" s="427">
        <v>2.0833333333333298E-3</v>
      </c>
      <c r="P633" s="427">
        <v>2.0833333333333298E-3</v>
      </c>
      <c r="Q633" s="427">
        <v>2.0833333333333298E-3</v>
      </c>
      <c r="R633" s="427">
        <v>2.0833333333333298E-3</v>
      </c>
      <c r="S633" s="427">
        <v>2.0833333333333298E-3</v>
      </c>
      <c r="T633" s="427">
        <v>2.0833333333333298E-3</v>
      </c>
      <c r="U633" s="716">
        <f t="shared" si="68"/>
        <v>2.4999999999999956E-2</v>
      </c>
      <c r="V633" s="427">
        <f t="shared" si="73"/>
        <v>2.0833333333333298E-3</v>
      </c>
    </row>
    <row r="634" spans="1:22">
      <c r="A634" s="427" t="str">
        <f t="shared" si="69"/>
        <v>KU</v>
      </c>
      <c r="B634" s="427" t="str">
        <f t="shared" si="71"/>
        <v>KY</v>
      </c>
      <c r="C634" s="427" t="str">
        <f t="shared" si="72"/>
        <v>E</v>
      </c>
      <c r="D634" s="427" t="s">
        <v>3437</v>
      </c>
      <c r="E634" s="427" t="str">
        <f t="shared" si="70"/>
        <v>342</v>
      </c>
      <c r="F634" s="756" t="s">
        <v>1752</v>
      </c>
      <c r="G634" s="426" t="str">
        <f t="shared" si="74"/>
        <v>OTHER</v>
      </c>
      <c r="H634" s="427">
        <v>7.8333333333333293E-3</v>
      </c>
      <c r="I634" s="427">
        <v>7.8333333333333293E-3</v>
      </c>
      <c r="J634" s="427">
        <v>7.8333333333333293E-3</v>
      </c>
      <c r="K634" s="427">
        <v>7.8333333333333293E-3</v>
      </c>
      <c r="L634" s="427">
        <v>7.8333333333333293E-3</v>
      </c>
      <c r="M634" s="427">
        <v>7.8333333333333293E-3</v>
      </c>
      <c r="N634" s="427">
        <v>7.8333333333333293E-3</v>
      </c>
      <c r="O634" s="427">
        <v>7.8333333333333293E-3</v>
      </c>
      <c r="P634" s="427">
        <v>7.8333333333333293E-3</v>
      </c>
      <c r="Q634" s="427">
        <v>7.8333333333333293E-3</v>
      </c>
      <c r="R634" s="427">
        <v>7.8333333333333293E-3</v>
      </c>
      <c r="S634" s="427">
        <v>7.8333333333333293E-3</v>
      </c>
      <c r="T634" s="427">
        <v>7.8333333333333293E-3</v>
      </c>
      <c r="U634" s="716">
        <f t="shared" si="68"/>
        <v>9.3999999999999959E-2</v>
      </c>
      <c r="V634" s="427">
        <f t="shared" si="73"/>
        <v>7.8333333333333293E-3</v>
      </c>
    </row>
    <row r="635" spans="1:22">
      <c r="A635" s="427" t="str">
        <f t="shared" si="69"/>
        <v>KU</v>
      </c>
      <c r="B635" s="427" t="str">
        <f t="shared" si="71"/>
        <v>KY</v>
      </c>
      <c r="C635" s="427" t="str">
        <f t="shared" si="72"/>
        <v>E</v>
      </c>
      <c r="D635" s="427" t="s">
        <v>3437</v>
      </c>
      <c r="E635" s="427" t="str">
        <f t="shared" si="70"/>
        <v>353</v>
      </c>
      <c r="F635" s="756" t="s">
        <v>1763</v>
      </c>
      <c r="G635" s="426" t="str">
        <f t="shared" si="74"/>
        <v>TRANSMISSION</v>
      </c>
      <c r="H635" s="427">
        <v>5.2703333333333298</v>
      </c>
      <c r="I635" s="427">
        <v>5.2703333333333298</v>
      </c>
      <c r="J635" s="427">
        <v>5.2703333333333298</v>
      </c>
      <c r="K635" s="427">
        <v>5.2703333333333298</v>
      </c>
      <c r="L635" s="427">
        <v>5.2703333333333298</v>
      </c>
      <c r="M635" s="427">
        <v>5.2703333333333298</v>
      </c>
      <c r="N635" s="427">
        <v>5.2703333333333298</v>
      </c>
      <c r="O635" s="427">
        <v>5.2703333333333298</v>
      </c>
      <c r="P635" s="427">
        <v>5.2703333333333298</v>
      </c>
      <c r="Q635" s="427">
        <v>5.2703333333333298</v>
      </c>
      <c r="R635" s="427">
        <v>5.2703333333333298</v>
      </c>
      <c r="S635" s="427">
        <v>5.2703333333333298</v>
      </c>
      <c r="T635" s="427">
        <v>5.2703333333333298</v>
      </c>
      <c r="U635" s="716">
        <f t="shared" si="68"/>
        <v>63.243999999999943</v>
      </c>
      <c r="V635" s="427">
        <f t="shared" si="73"/>
        <v>5.270333333333328</v>
      </c>
    </row>
    <row r="636" spans="1:22">
      <c r="A636" s="427" t="str">
        <f t="shared" si="69"/>
        <v>KY</v>
      </c>
      <c r="B636" s="427" t="str">
        <f t="shared" si="71"/>
        <v xml:space="preserve"> A</v>
      </c>
      <c r="C636" s="427" t="str">
        <f t="shared" si="72"/>
        <v/>
      </c>
      <c r="E636" s="427" t="str">
        <f t="shared" si="70"/>
        <v>lan</v>
      </c>
      <c r="F636" s="758" t="s">
        <v>1829</v>
      </c>
      <c r="G636" s="426" t="str">
        <f t="shared" si="74"/>
        <v/>
      </c>
      <c r="H636" s="427">
        <v>37.506999999999991</v>
      </c>
      <c r="I636" s="427">
        <v>37.506999999999991</v>
      </c>
      <c r="J636" s="427">
        <v>37.506999999999991</v>
      </c>
      <c r="K636" s="427">
        <v>37.506999999999991</v>
      </c>
      <c r="L636" s="427">
        <v>37.506999999999991</v>
      </c>
      <c r="M636" s="427">
        <v>37.506999999999991</v>
      </c>
      <c r="N636" s="427">
        <v>37.506999999999991</v>
      </c>
      <c r="O636" s="427">
        <v>37.506999999999991</v>
      </c>
      <c r="P636" s="427">
        <v>37.506999999999991</v>
      </c>
      <c r="Q636" s="427">
        <v>37.506999999999991</v>
      </c>
      <c r="R636" s="427">
        <v>37.506999999999991</v>
      </c>
      <c r="S636" s="427">
        <v>37.506999999999991</v>
      </c>
      <c r="T636" s="427">
        <v>37.506999999999991</v>
      </c>
      <c r="U636" s="716">
        <f t="shared" si="68"/>
        <v>450.084</v>
      </c>
      <c r="V636" s="427">
        <f t="shared" si="73"/>
        <v>37.506999999999998</v>
      </c>
    </row>
    <row r="637" spans="1:22">
      <c r="A637" s="427" t="str">
        <f t="shared" si="69"/>
        <v/>
      </c>
      <c r="B637" s="427" t="str">
        <f t="shared" si="71"/>
        <v/>
      </c>
      <c r="C637" s="427" t="str">
        <f t="shared" si="72"/>
        <v/>
      </c>
      <c r="E637" s="427" t="str">
        <f t="shared" si="70"/>
        <v/>
      </c>
      <c r="G637" s="426" t="str">
        <f t="shared" si="74"/>
        <v/>
      </c>
      <c r="U637" s="716">
        <f t="shared" si="68"/>
        <v>0</v>
      </c>
      <c r="V637" s="427">
        <f t="shared" si="73"/>
        <v>0</v>
      </c>
    </row>
    <row r="638" spans="1:22">
      <c r="A638" s="427" t="str">
        <f t="shared" si="69"/>
        <v>re</v>
      </c>
      <c r="B638" s="427" t="str">
        <f t="shared" si="71"/>
        <v xml:space="preserve">n </v>
      </c>
      <c r="C638" s="427" t="str">
        <f t="shared" si="72"/>
        <v/>
      </c>
      <c r="D638" s="427" t="s">
        <v>3438</v>
      </c>
      <c r="F638" s="759" t="s">
        <v>2512</v>
      </c>
      <c r="G638" s="426" t="str">
        <f t="shared" si="74"/>
        <v/>
      </c>
      <c r="U638" s="716">
        <f t="shared" si="68"/>
        <v>0</v>
      </c>
      <c r="V638" s="427">
        <f t="shared" si="73"/>
        <v>0</v>
      </c>
    </row>
    <row r="639" spans="1:22">
      <c r="A639" s="427" t="str">
        <f t="shared" si="69"/>
        <v>KU</v>
      </c>
      <c r="B639" s="427" t="str">
        <f t="shared" si="71"/>
        <v>KY</v>
      </c>
      <c r="C639" s="427" t="str">
        <f t="shared" si="72"/>
        <v>E</v>
      </c>
      <c r="D639" s="427" t="s">
        <v>3438</v>
      </c>
      <c r="E639" s="427" t="str">
        <f>MID($F639,8,3)</f>
        <v>311</v>
      </c>
      <c r="F639" s="756" t="s">
        <v>2193</v>
      </c>
      <c r="G639" s="426" t="str">
        <f t="shared" si="74"/>
        <v>STEAM</v>
      </c>
      <c r="H639" s="427">
        <v>0.06</v>
      </c>
      <c r="I639" s="427">
        <v>0.06</v>
      </c>
      <c r="J639" s="427">
        <v>0.06</v>
      </c>
      <c r="K639" s="427">
        <v>0.06</v>
      </c>
      <c r="L639" s="427">
        <v>0.06</v>
      </c>
      <c r="M639" s="427">
        <v>0.06</v>
      </c>
      <c r="N639" s="427">
        <v>0.06</v>
      </c>
      <c r="O639" s="427">
        <v>0.06</v>
      </c>
      <c r="P639" s="427">
        <v>0.06</v>
      </c>
      <c r="Q639" s="427">
        <v>0.06</v>
      </c>
      <c r="R639" s="427">
        <v>0.06</v>
      </c>
      <c r="S639" s="427">
        <v>0.06</v>
      </c>
      <c r="T639" s="427">
        <v>0.06</v>
      </c>
      <c r="U639" s="716">
        <f t="shared" si="68"/>
        <v>0.7200000000000002</v>
      </c>
      <c r="V639" s="427">
        <f t="shared" si="73"/>
        <v>6.0000000000000019E-2</v>
      </c>
    </row>
    <row r="640" spans="1:22">
      <c r="A640" s="427" t="str">
        <f t="shared" si="69"/>
        <v>KU</v>
      </c>
      <c r="B640" s="427" t="str">
        <f t="shared" si="71"/>
        <v>KY</v>
      </c>
      <c r="C640" s="427" t="str">
        <f t="shared" si="72"/>
        <v>E</v>
      </c>
      <c r="D640" s="427" t="s">
        <v>3438</v>
      </c>
      <c r="E640" s="427" t="str">
        <f>MID($F640,8,3)</f>
        <v>312</v>
      </c>
      <c r="F640" s="756" t="s">
        <v>1733</v>
      </c>
      <c r="G640" s="426" t="str">
        <f t="shared" si="74"/>
        <v>STEAM</v>
      </c>
      <c r="H640" s="427">
        <v>51.9151666666667</v>
      </c>
      <c r="I640" s="427">
        <v>51.9151666666667</v>
      </c>
      <c r="J640" s="427">
        <v>51.9151666666667</v>
      </c>
      <c r="K640" s="427">
        <v>51.9151666666667</v>
      </c>
      <c r="L640" s="427">
        <v>51.9151666666667</v>
      </c>
      <c r="M640" s="427">
        <v>51.9151666666667</v>
      </c>
      <c r="N640" s="427">
        <v>51.9151666666667</v>
      </c>
      <c r="O640" s="427">
        <v>51.9151666666667</v>
      </c>
      <c r="P640" s="427">
        <v>51.9151666666667</v>
      </c>
      <c r="Q640" s="427">
        <v>51.9151666666667</v>
      </c>
      <c r="R640" s="427">
        <v>51.9151666666667</v>
      </c>
      <c r="S640" s="427">
        <v>51.9151666666667</v>
      </c>
      <c r="T640" s="427">
        <v>51.9151666666667</v>
      </c>
      <c r="U640" s="716">
        <f t="shared" si="68"/>
        <v>622.98200000000043</v>
      </c>
      <c r="V640" s="427">
        <f t="shared" si="73"/>
        <v>51.9151666666667</v>
      </c>
    </row>
    <row r="641" spans="1:22">
      <c r="A641" s="427" t="str">
        <f t="shared" si="69"/>
        <v>KU</v>
      </c>
      <c r="B641" s="427" t="str">
        <f t="shared" si="71"/>
        <v>KY</v>
      </c>
      <c r="C641" s="427" t="str">
        <f t="shared" si="72"/>
        <v>E</v>
      </c>
      <c r="D641" s="427" t="s">
        <v>3438</v>
      </c>
      <c r="E641" s="427" t="str">
        <f>MID($F641,8,3)</f>
        <v>312</v>
      </c>
      <c r="F641" s="756" t="s">
        <v>1734</v>
      </c>
      <c r="G641" s="426" t="str">
        <f t="shared" si="74"/>
        <v>STEAM</v>
      </c>
      <c r="H641" s="427">
        <v>0.118333333333333</v>
      </c>
      <c r="I641" s="427">
        <v>0.118333333333333</v>
      </c>
      <c r="J641" s="427">
        <v>0.118333333333333</v>
      </c>
      <c r="K641" s="427">
        <v>0.118333333333333</v>
      </c>
      <c r="L641" s="427">
        <v>0.118333333333333</v>
      </c>
      <c r="M641" s="427">
        <v>0.118333333333333</v>
      </c>
      <c r="N641" s="427">
        <v>0.118333333333333</v>
      </c>
      <c r="O641" s="427">
        <v>0.118333333333333</v>
      </c>
      <c r="P641" s="427">
        <v>0.118333333333333</v>
      </c>
      <c r="Q641" s="427">
        <v>0.118333333333333</v>
      </c>
      <c r="R641" s="427">
        <v>0.118333333333333</v>
      </c>
      <c r="S641" s="427">
        <v>0.118333333333333</v>
      </c>
      <c r="T641" s="427">
        <v>0.118333333333333</v>
      </c>
      <c r="U641" s="716">
        <f t="shared" si="68"/>
        <v>1.4199999999999957</v>
      </c>
      <c r="V641" s="427">
        <f t="shared" si="73"/>
        <v>0.11833333333333297</v>
      </c>
    </row>
    <row r="642" spans="1:22">
      <c r="A642" s="427" t="str">
        <f t="shared" si="69"/>
        <v>KU</v>
      </c>
      <c r="B642" s="427" t="str">
        <f t="shared" si="71"/>
        <v>KY</v>
      </c>
      <c r="C642" s="427" t="str">
        <f t="shared" si="72"/>
        <v>E</v>
      </c>
      <c r="D642" s="427" t="s">
        <v>3438</v>
      </c>
      <c r="E642" s="427" t="str">
        <f>MID($F642,8,3)</f>
        <v>312</v>
      </c>
      <c r="F642" s="756" t="s">
        <v>1735</v>
      </c>
      <c r="G642" s="426" t="str">
        <f t="shared" si="74"/>
        <v>STEAM</v>
      </c>
      <c r="H642" s="427">
        <v>5.3594999999999997</v>
      </c>
      <c r="I642" s="427">
        <v>5.3594999999999997</v>
      </c>
      <c r="J642" s="427">
        <v>5.3594999999999997</v>
      </c>
      <c r="K642" s="427">
        <v>5.3594999999999997</v>
      </c>
      <c r="L642" s="427">
        <v>5.3594999999999997</v>
      </c>
      <c r="M642" s="427">
        <v>5.3594999999999997</v>
      </c>
      <c r="N642" s="427">
        <v>5.3594999999999997</v>
      </c>
      <c r="O642" s="427">
        <v>5.3594999999999997</v>
      </c>
      <c r="P642" s="427">
        <v>5.3594999999999997</v>
      </c>
      <c r="Q642" s="427">
        <v>5.3594999999999997</v>
      </c>
      <c r="R642" s="427">
        <v>5.3594999999999997</v>
      </c>
      <c r="S642" s="427">
        <v>5.3594999999999997</v>
      </c>
      <c r="T642" s="427">
        <v>5.3594999999999997</v>
      </c>
      <c r="U642" s="716">
        <f t="shared" si="68"/>
        <v>64.313999999999979</v>
      </c>
      <c r="V642" s="427">
        <f t="shared" si="73"/>
        <v>5.3594999999999979</v>
      </c>
    </row>
    <row r="643" spans="1:22">
      <c r="A643" s="427" t="str">
        <f t="shared" si="69"/>
        <v>KU</v>
      </c>
      <c r="B643" s="427" t="str">
        <f t="shared" si="71"/>
        <v>KY</v>
      </c>
      <c r="C643" s="427" t="str">
        <f t="shared" si="72"/>
        <v>E</v>
      </c>
      <c r="D643" s="427" t="s">
        <v>3438</v>
      </c>
      <c r="E643" s="427" t="str">
        <f>MID($F643,8,3)</f>
        <v>315</v>
      </c>
      <c r="F643" s="756" t="s">
        <v>1739</v>
      </c>
      <c r="G643" s="426" t="str">
        <f t="shared" si="74"/>
        <v>STEAM</v>
      </c>
      <c r="H643" s="427">
        <v>6.7916666666666695E-2</v>
      </c>
      <c r="I643" s="427">
        <v>6.7916666666666695E-2</v>
      </c>
      <c r="J643" s="427">
        <v>6.7916666666666695E-2</v>
      </c>
      <c r="K643" s="427">
        <v>6.7916666666666695E-2</v>
      </c>
      <c r="L643" s="427">
        <v>6.7916666666666695E-2</v>
      </c>
      <c r="M643" s="427">
        <v>6.7916666666666695E-2</v>
      </c>
      <c r="N643" s="427">
        <v>6.7916666666666695E-2</v>
      </c>
      <c r="O643" s="427">
        <v>6.7916666666666695E-2</v>
      </c>
      <c r="P643" s="427">
        <v>6.7916666666666695E-2</v>
      </c>
      <c r="Q643" s="427">
        <v>6.7916666666666695E-2</v>
      </c>
      <c r="R643" s="427">
        <v>6.7916666666666695E-2</v>
      </c>
      <c r="S643" s="427">
        <v>6.7916666666666695E-2</v>
      </c>
      <c r="T643" s="427">
        <v>6.7916666666666695E-2</v>
      </c>
      <c r="U643" s="716">
        <f t="shared" si="68"/>
        <v>0.8150000000000005</v>
      </c>
      <c r="V643" s="427">
        <f t="shared" si="73"/>
        <v>6.7916666666666708E-2</v>
      </c>
    </row>
    <row r="644" spans="1:22">
      <c r="A644" s="427" t="str">
        <f t="shared" si="69"/>
        <v>KU</v>
      </c>
      <c r="B644" s="427" t="str">
        <f t="shared" si="71"/>
        <v>KY</v>
      </c>
      <c r="C644" s="427" t="str">
        <f t="shared" si="72"/>
        <v>E</v>
      </c>
      <c r="D644" s="427" t="s">
        <v>3438</v>
      </c>
      <c r="E644" s="427" t="str">
        <f t="shared" ref="E644:E654" si="75">MID($F644,8,3)</f>
        <v>334</v>
      </c>
      <c r="F644" s="756" t="s">
        <v>1746</v>
      </c>
      <c r="G644" s="426" t="str">
        <f t="shared" si="74"/>
        <v>HYDRO</v>
      </c>
      <c r="H644" s="427">
        <v>0.26774999999999999</v>
      </c>
      <c r="I644" s="427">
        <v>0.26774999999999999</v>
      </c>
      <c r="J644" s="427">
        <v>0.26774999999999999</v>
      </c>
      <c r="K644" s="427">
        <v>0.26774999999999999</v>
      </c>
      <c r="L644" s="427">
        <v>0.26774999999999999</v>
      </c>
      <c r="M644" s="427">
        <v>0.26774999999999999</v>
      </c>
      <c r="N644" s="427">
        <v>0.26774999999999999</v>
      </c>
      <c r="O644" s="427">
        <v>0.26774999999999999</v>
      </c>
      <c r="P644" s="427">
        <v>0.26774999999999999</v>
      </c>
      <c r="Q644" s="427">
        <v>0.26774999999999999</v>
      </c>
      <c r="R644" s="427">
        <v>0.26774999999999999</v>
      </c>
      <c r="S644" s="427">
        <v>0.26774999999999999</v>
      </c>
      <c r="T644" s="427">
        <v>0.26774999999999999</v>
      </c>
      <c r="U644" s="716">
        <f t="shared" si="68"/>
        <v>3.2129999999999996</v>
      </c>
      <c r="V644" s="427">
        <f t="shared" si="73"/>
        <v>0.26774999999999999</v>
      </c>
    </row>
    <row r="645" spans="1:22">
      <c r="A645" s="427" t="str">
        <f t="shared" si="69"/>
        <v>KU</v>
      </c>
      <c r="B645" s="427" t="str">
        <f t="shared" si="71"/>
        <v>KY</v>
      </c>
      <c r="C645" s="427" t="str">
        <f t="shared" si="72"/>
        <v>E</v>
      </c>
      <c r="D645" s="427" t="s">
        <v>3438</v>
      </c>
      <c r="E645" s="427" t="str">
        <f t="shared" si="75"/>
        <v>342</v>
      </c>
      <c r="F645" s="756" t="s">
        <v>1752</v>
      </c>
      <c r="G645" s="426" t="str">
        <f t="shared" si="74"/>
        <v>OTHER</v>
      </c>
      <c r="H645" s="427">
        <v>15.355499999999999</v>
      </c>
      <c r="I645" s="427">
        <v>15.355499999999999</v>
      </c>
      <c r="J645" s="427">
        <v>15.355499999999999</v>
      </c>
      <c r="K645" s="427">
        <v>15.355499999999999</v>
      </c>
      <c r="L645" s="427">
        <v>15.355499999999999</v>
      </c>
      <c r="M645" s="427">
        <v>15.355499999999999</v>
      </c>
      <c r="N645" s="427">
        <v>15.355499999999999</v>
      </c>
      <c r="O645" s="427">
        <v>15.355499999999999</v>
      </c>
      <c r="P645" s="427">
        <v>15.355499999999999</v>
      </c>
      <c r="Q645" s="427">
        <v>15.355499999999999</v>
      </c>
      <c r="R645" s="427">
        <v>15.355499999999999</v>
      </c>
      <c r="S645" s="427">
        <v>15.355499999999999</v>
      </c>
      <c r="T645" s="427">
        <v>15.355499999999999</v>
      </c>
      <c r="U645" s="716">
        <f t="shared" si="68"/>
        <v>184.26600000000005</v>
      </c>
      <c r="V645" s="427">
        <f t="shared" si="73"/>
        <v>15.355500000000005</v>
      </c>
    </row>
    <row r="646" spans="1:22">
      <c r="A646" s="427" t="str">
        <f t="shared" si="69"/>
        <v>KU</v>
      </c>
      <c r="B646" s="427" t="str">
        <f t="shared" si="71"/>
        <v>KY</v>
      </c>
      <c r="C646" s="427" t="str">
        <f t="shared" si="72"/>
        <v>E</v>
      </c>
      <c r="D646" s="427" t="s">
        <v>3438</v>
      </c>
      <c r="E646" s="427" t="str">
        <f t="shared" si="75"/>
        <v>353</v>
      </c>
      <c r="F646" s="756" t="s">
        <v>1763</v>
      </c>
      <c r="G646" s="426" t="str">
        <f t="shared" si="74"/>
        <v>TRANSMISSION</v>
      </c>
      <c r="H646" s="427">
        <v>2.6709999999999998</v>
      </c>
      <c r="I646" s="427">
        <v>2.6709999999999998</v>
      </c>
      <c r="J646" s="427">
        <v>2.6709999999999998</v>
      </c>
      <c r="K646" s="427">
        <v>2.6709999999999998</v>
      </c>
      <c r="L646" s="427">
        <v>2.6709999999999998</v>
      </c>
      <c r="M646" s="427">
        <v>2.6709999999999998</v>
      </c>
      <c r="N646" s="427">
        <v>2.6709999999999998</v>
      </c>
      <c r="O646" s="427">
        <v>2.6709999999999998</v>
      </c>
      <c r="P646" s="427">
        <v>2.6709999999999998</v>
      </c>
      <c r="Q646" s="427">
        <v>2.6709999999999998</v>
      </c>
      <c r="R646" s="427">
        <v>2.6709999999999998</v>
      </c>
      <c r="S646" s="427">
        <v>2.6709999999999998</v>
      </c>
      <c r="T646" s="427">
        <v>2.6709999999999998</v>
      </c>
      <c r="U646" s="716">
        <f t="shared" si="68"/>
        <v>32.052</v>
      </c>
      <c r="V646" s="427">
        <f t="shared" si="73"/>
        <v>2.6709999999999998</v>
      </c>
    </row>
    <row r="647" spans="1:22">
      <c r="A647" s="427" t="str">
        <f t="shared" si="69"/>
        <v>KY</v>
      </c>
      <c r="B647" s="427" t="str">
        <f t="shared" si="71"/>
        <v xml:space="preserve"> A</v>
      </c>
      <c r="C647" s="427" t="str">
        <f t="shared" si="72"/>
        <v/>
      </c>
      <c r="E647" s="427" t="str">
        <f t="shared" si="75"/>
        <v>lan</v>
      </c>
      <c r="F647" s="758" t="s">
        <v>1829</v>
      </c>
      <c r="G647" s="426" t="str">
        <f t="shared" si="74"/>
        <v/>
      </c>
      <c r="H647" s="427">
        <v>75.815166666666713</v>
      </c>
      <c r="I647" s="427">
        <v>75.815166666666713</v>
      </c>
      <c r="J647" s="427">
        <v>75.815166666666713</v>
      </c>
      <c r="K647" s="427">
        <v>75.815166666666713</v>
      </c>
      <c r="L647" s="427">
        <v>75.815166666666713</v>
      </c>
      <c r="M647" s="427">
        <v>75.815166666666713</v>
      </c>
      <c r="N647" s="427">
        <v>75.815166666666713</v>
      </c>
      <c r="O647" s="427">
        <v>75.815166666666713</v>
      </c>
      <c r="P647" s="427">
        <v>75.815166666666713</v>
      </c>
      <c r="Q647" s="427">
        <v>75.815166666666713</v>
      </c>
      <c r="R647" s="427">
        <v>75.815166666666713</v>
      </c>
      <c r="S647" s="427">
        <v>75.815166666666713</v>
      </c>
      <c r="T647" s="427">
        <v>75.815166666666713</v>
      </c>
      <c r="U647" s="716">
        <f t="shared" si="68"/>
        <v>909.78200000000072</v>
      </c>
      <c r="V647" s="427">
        <f t="shared" si="73"/>
        <v>75.815166666666727</v>
      </c>
    </row>
    <row r="648" spans="1:22">
      <c r="A648" s="427" t="str">
        <f t="shared" si="69"/>
        <v/>
      </c>
      <c r="B648" s="427" t="str">
        <f t="shared" si="71"/>
        <v/>
      </c>
      <c r="C648" s="427" t="str">
        <f t="shared" si="72"/>
        <v/>
      </c>
      <c r="E648" s="427" t="str">
        <f t="shared" si="75"/>
        <v/>
      </c>
      <c r="G648" s="426" t="str">
        <f t="shared" si="74"/>
        <v/>
      </c>
      <c r="U648" s="427">
        <f t="shared" si="68"/>
        <v>0</v>
      </c>
      <c r="V648" s="427">
        <f t="shared" si="73"/>
        <v>0</v>
      </c>
    </row>
    <row r="649" spans="1:22">
      <c r="A649" s="427" t="str">
        <f t="shared" si="69"/>
        <v>um</v>
      </c>
      <c r="B649" s="427" t="str">
        <f t="shared" si="71"/>
        <v>FE</v>
      </c>
      <c r="C649" s="427" t="str">
        <f t="shared" si="72"/>
        <v/>
      </c>
      <c r="D649" s="427" t="s">
        <v>3439</v>
      </c>
      <c r="E649" s="427" t="str">
        <f t="shared" si="75"/>
        <v>epr</v>
      </c>
      <c r="F649" s="759" t="s">
        <v>2513</v>
      </c>
      <c r="G649" s="426" t="str">
        <f t="shared" si="74"/>
        <v/>
      </c>
      <c r="U649" s="427">
        <f t="shared" si="68"/>
        <v>0</v>
      </c>
      <c r="V649" s="427">
        <f t="shared" si="73"/>
        <v>0</v>
      </c>
    </row>
    <row r="650" spans="1:22">
      <c r="A650" s="427" t="str">
        <f t="shared" si="69"/>
        <v>KU</v>
      </c>
      <c r="B650" s="427" t="str">
        <f t="shared" si="71"/>
        <v>KY</v>
      </c>
      <c r="C650" s="427" t="str">
        <f t="shared" si="72"/>
        <v>E</v>
      </c>
      <c r="D650" s="427" t="s">
        <v>3439</v>
      </c>
      <c r="E650" s="427" t="str">
        <f t="shared" si="75"/>
        <v>312</v>
      </c>
      <c r="F650" s="756" t="s">
        <v>1733</v>
      </c>
      <c r="G650" s="426" t="str">
        <f t="shared" si="74"/>
        <v>STEAM</v>
      </c>
      <c r="H650" s="427">
        <v>17815.230153333399</v>
      </c>
      <c r="I650" s="427">
        <v>17847.456903333401</v>
      </c>
      <c r="J650" s="427">
        <v>17879.683653333399</v>
      </c>
      <c r="K650" s="427">
        <v>17911.910403333401</v>
      </c>
      <c r="L650" s="427">
        <v>17944.137153333399</v>
      </c>
      <c r="M650" s="427">
        <v>17976.3639033334</v>
      </c>
      <c r="N650" s="427">
        <v>18008.590653333398</v>
      </c>
      <c r="O650" s="427">
        <v>18040.8174033334</v>
      </c>
      <c r="P650" s="427">
        <v>18073.044153333401</v>
      </c>
      <c r="Q650" s="427">
        <v>18105.270903333399</v>
      </c>
      <c r="R650" s="427">
        <v>18137.497653333401</v>
      </c>
      <c r="S650" s="427">
        <v>18169.724403333399</v>
      </c>
      <c r="T650" s="427">
        <v>18201.951153333401</v>
      </c>
      <c r="U650" s="427">
        <f t="shared" si="68"/>
        <v>216296.44834000088</v>
      </c>
      <c r="V650" s="427">
        <f t="shared" si="73"/>
        <v>18008.590653333405</v>
      </c>
    </row>
    <row r="651" spans="1:22">
      <c r="A651" s="427" t="str">
        <f t="shared" si="69"/>
        <v>KU</v>
      </c>
      <c r="B651" s="427" t="str">
        <f t="shared" si="71"/>
        <v>KY</v>
      </c>
      <c r="C651" s="427" t="str">
        <f t="shared" si="72"/>
        <v>E</v>
      </c>
      <c r="D651" s="427" t="s">
        <v>3439</v>
      </c>
      <c r="E651" s="427" t="str">
        <f t="shared" si="75"/>
        <v>334</v>
      </c>
      <c r="F651" s="756" t="s">
        <v>1746</v>
      </c>
      <c r="G651" s="426" t="str">
        <f t="shared" si="74"/>
        <v>HYDRO</v>
      </c>
      <c r="H651" s="427">
        <v>3.4018333333333399</v>
      </c>
      <c r="I651" s="427">
        <v>3.40391666666667</v>
      </c>
      <c r="J651" s="427">
        <v>3.4060000000000099</v>
      </c>
      <c r="K651" s="427">
        <v>3.40808333333334</v>
      </c>
      <c r="L651" s="427">
        <v>3.4101666666666701</v>
      </c>
      <c r="M651" s="427">
        <v>3.41225000000001</v>
      </c>
      <c r="N651" s="427">
        <v>3.4143333333333401</v>
      </c>
      <c r="O651" s="427">
        <v>3.4164166666666702</v>
      </c>
      <c r="P651" s="427">
        <v>3.4185000000000101</v>
      </c>
      <c r="Q651" s="427">
        <v>3.4205833333333402</v>
      </c>
      <c r="R651" s="427">
        <v>3.4226666666666699</v>
      </c>
      <c r="S651" s="427">
        <v>3.4247500000000102</v>
      </c>
      <c r="T651" s="427">
        <v>3.4268333333333398</v>
      </c>
      <c r="U651" s="427">
        <f t="shared" si="68"/>
        <v>40.984500000000082</v>
      </c>
      <c r="V651" s="427">
        <f t="shared" si="73"/>
        <v>3.4143333333333405</v>
      </c>
    </row>
    <row r="652" spans="1:22">
      <c r="A652" s="427" t="str">
        <f t="shared" si="69"/>
        <v>KU</v>
      </c>
      <c r="B652" s="427" t="str">
        <f t="shared" si="71"/>
        <v>KY</v>
      </c>
      <c r="C652" s="427" t="str">
        <f t="shared" si="72"/>
        <v>E</v>
      </c>
      <c r="D652" s="427" t="s">
        <v>3439</v>
      </c>
      <c r="E652" s="427" t="str">
        <f t="shared" si="75"/>
        <v>342</v>
      </c>
      <c r="F652" s="756" t="s">
        <v>1752</v>
      </c>
      <c r="G652" s="426" t="str">
        <f t="shared" si="74"/>
        <v>OTHER</v>
      </c>
      <c r="H652" s="427">
        <v>1.7951566666666701</v>
      </c>
      <c r="I652" s="427">
        <v>1.8029900000000001</v>
      </c>
      <c r="J652" s="427">
        <v>1.8108233333333299</v>
      </c>
      <c r="K652" s="427">
        <v>1.8186566666666699</v>
      </c>
      <c r="L652" s="427">
        <v>1.8264899999999999</v>
      </c>
      <c r="M652" s="427">
        <v>1.83432333333333</v>
      </c>
      <c r="N652" s="427">
        <v>1.84215666666667</v>
      </c>
      <c r="O652" s="427">
        <v>1.84999</v>
      </c>
      <c r="P652" s="427">
        <v>1.8578233333333301</v>
      </c>
      <c r="Q652" s="427">
        <v>1.8656566666666701</v>
      </c>
      <c r="R652" s="427">
        <v>1.8734900000000001</v>
      </c>
      <c r="S652" s="427">
        <v>1.8813233333333299</v>
      </c>
      <c r="T652" s="427">
        <v>1.8891566666666699</v>
      </c>
      <c r="U652" s="427">
        <f t="shared" si="68"/>
        <v>22.15288</v>
      </c>
      <c r="V652" s="427">
        <f t="shared" si="73"/>
        <v>1.8421566666666669</v>
      </c>
    </row>
    <row r="653" spans="1:22">
      <c r="A653" s="427" t="str">
        <f t="shared" si="69"/>
        <v>KU</v>
      </c>
      <c r="B653" s="427" t="str">
        <f t="shared" si="71"/>
        <v>KY</v>
      </c>
      <c r="C653" s="427" t="str">
        <f t="shared" si="72"/>
        <v>E</v>
      </c>
      <c r="D653" s="427" t="s">
        <v>3439</v>
      </c>
      <c r="E653" s="427" t="str">
        <f t="shared" si="75"/>
        <v>353</v>
      </c>
      <c r="F653" s="756" t="s">
        <v>1763</v>
      </c>
      <c r="G653" s="426" t="str">
        <f t="shared" si="74"/>
        <v>TRANSMISSION</v>
      </c>
      <c r="H653" s="427">
        <v>2672.03501333333</v>
      </c>
      <c r="I653" s="427">
        <v>2677.3053466666702</v>
      </c>
      <c r="J653" s="427">
        <v>2682.5756799999999</v>
      </c>
      <c r="K653" s="427">
        <v>2687.8460133333301</v>
      </c>
      <c r="L653" s="427">
        <v>2693.1163466666699</v>
      </c>
      <c r="M653" s="427">
        <v>2698.3866800000001</v>
      </c>
      <c r="N653" s="427">
        <v>2703.6570133333298</v>
      </c>
      <c r="O653" s="427">
        <v>2708.92734666667</v>
      </c>
      <c r="P653" s="427">
        <v>2714.1976800000002</v>
      </c>
      <c r="Q653" s="427">
        <v>2719.46801333333</v>
      </c>
      <c r="R653" s="427">
        <v>2724.7383466666702</v>
      </c>
      <c r="S653" s="427">
        <v>2730.0086799999999</v>
      </c>
      <c r="T653" s="427">
        <v>2735.2790133333301</v>
      </c>
      <c r="U653" s="427">
        <f t="shared" si="68"/>
        <v>32475.506159999997</v>
      </c>
      <c r="V653" s="427">
        <f t="shared" si="73"/>
        <v>2703.657013333333</v>
      </c>
    </row>
    <row r="654" spans="1:22">
      <c r="A654" s="427" t="str">
        <f t="shared" si="69"/>
        <v>KY</v>
      </c>
      <c r="B654" s="427" t="str">
        <f t="shared" si="71"/>
        <v xml:space="preserve"> A</v>
      </c>
      <c r="C654" s="427" t="str">
        <f t="shared" si="72"/>
        <v/>
      </c>
      <c r="D654" s="427" t="str">
        <f t="shared" ref="D654:D655" si="76">IF(ISTEXT(MID($E654,SEARCH("FUTURE USE",$E654),3)),"F",IF(MID($E654,8,1)="1","E",IF(MID($E654,8,1)="2","G",IF(MID($E654,8,1)="3","C",""))))</f>
        <v/>
      </c>
      <c r="E654" s="427" t="str">
        <f t="shared" si="75"/>
        <v>lan</v>
      </c>
      <c r="F654" s="758" t="s">
        <v>1829</v>
      </c>
      <c r="G654" s="426" t="str">
        <f t="shared" si="74"/>
        <v/>
      </c>
      <c r="H654" s="427">
        <v>20492.46215666673</v>
      </c>
      <c r="I654" s="427">
        <v>20529.969156666739</v>
      </c>
      <c r="J654" s="427">
        <v>20567.476156666729</v>
      </c>
      <c r="K654" s="427">
        <v>20604.983156666727</v>
      </c>
      <c r="L654" s="427">
        <v>20642.490156666736</v>
      </c>
      <c r="M654" s="427">
        <v>20679.997156666734</v>
      </c>
      <c r="N654" s="427">
        <v>20717.504156666728</v>
      </c>
      <c r="O654" s="427">
        <v>20755.011156666736</v>
      </c>
      <c r="P654" s="427">
        <v>20792.518156666734</v>
      </c>
      <c r="Q654" s="427">
        <v>20830.025156666728</v>
      </c>
      <c r="R654" s="427">
        <v>20867.532156666737</v>
      </c>
      <c r="S654" s="427">
        <v>20905.039156666731</v>
      </c>
      <c r="T654" s="427">
        <v>20942.546156666733</v>
      </c>
      <c r="U654" s="427">
        <f t="shared" si="68"/>
        <v>248835.09188000081</v>
      </c>
      <c r="V654" s="427">
        <f t="shared" si="73"/>
        <v>20717.504156666731</v>
      </c>
    </row>
    <row r="655" spans="1:22">
      <c r="A655" s="427" t="str">
        <f t="shared" si="69"/>
        <v/>
      </c>
      <c r="B655" s="427" t="str">
        <f t="shared" si="71"/>
        <v/>
      </c>
      <c r="C655" s="427" t="str">
        <f t="shared" si="72"/>
        <v/>
      </c>
      <c r="D655" s="427" t="str">
        <f t="shared" si="76"/>
        <v/>
      </c>
      <c r="G655" s="426" t="str">
        <f t="shared" si="74"/>
        <v/>
      </c>
      <c r="U655" s="427">
        <f t="shared" si="68"/>
        <v>0</v>
      </c>
      <c r="V655" s="427">
        <f t="shared" si="73"/>
        <v>0</v>
      </c>
    </row>
    <row r="656" spans="1:22">
      <c r="A656" s="427" t="str">
        <f t="shared" si="69"/>
        <v>um</v>
      </c>
      <c r="B656" s="427" t="str">
        <f t="shared" si="71"/>
        <v>FE</v>
      </c>
      <c r="C656" s="427" t="str">
        <f t="shared" si="72"/>
        <v/>
      </c>
      <c r="D656" s="427" t="s">
        <v>3440</v>
      </c>
      <c r="F656" s="759" t="s">
        <v>2514</v>
      </c>
      <c r="G656" s="426" t="str">
        <f t="shared" si="74"/>
        <v/>
      </c>
      <c r="U656" s="427">
        <f t="shared" si="68"/>
        <v>0</v>
      </c>
      <c r="V656" s="427">
        <f t="shared" si="73"/>
        <v>0</v>
      </c>
    </row>
    <row r="657" spans="1:22">
      <c r="A657" s="427" t="str">
        <f t="shared" si="69"/>
        <v>KU</v>
      </c>
      <c r="B657" s="427" t="str">
        <f t="shared" si="71"/>
        <v>KY</v>
      </c>
      <c r="C657" s="427" t="str">
        <f t="shared" si="72"/>
        <v>E</v>
      </c>
      <c r="D657" s="427" t="s">
        <v>3440</v>
      </c>
      <c r="E657" s="427" t="str">
        <f t="shared" ref="E657:E672" si="77">MID($F657,8,3)</f>
        <v>311</v>
      </c>
      <c r="F657" s="756" t="s">
        <v>2193</v>
      </c>
      <c r="G657" s="426" t="str">
        <f t="shared" si="74"/>
        <v>STEAM</v>
      </c>
      <c r="H657" s="427">
        <v>1.5177499999999999</v>
      </c>
      <c r="I657" s="427">
        <v>1.57775</v>
      </c>
      <c r="J657" s="427">
        <v>1.63775</v>
      </c>
      <c r="K657" s="427">
        <v>1.6977500000000001</v>
      </c>
      <c r="L657" s="427">
        <v>1.7577499999999999</v>
      </c>
      <c r="M657" s="427">
        <v>1.81775</v>
      </c>
      <c r="N657" s="427">
        <v>1.87775</v>
      </c>
      <c r="O657" s="427">
        <v>1.9377500000000001</v>
      </c>
      <c r="P657" s="427">
        <v>1.9977499999999999</v>
      </c>
      <c r="Q657" s="427">
        <v>2.05775</v>
      </c>
      <c r="R657" s="427">
        <v>2.11775</v>
      </c>
      <c r="S657" s="427">
        <v>2.1777500000000001</v>
      </c>
      <c r="T657" s="427">
        <v>2.2377500000000001</v>
      </c>
      <c r="U657" s="427">
        <f t="shared" si="68"/>
        <v>22.893000000000001</v>
      </c>
      <c r="V657" s="427">
        <f t="shared" si="73"/>
        <v>1.87775</v>
      </c>
    </row>
    <row r="658" spans="1:22">
      <c r="A658" s="427" t="str">
        <f t="shared" si="69"/>
        <v>KU</v>
      </c>
      <c r="B658" s="427" t="str">
        <f t="shared" si="71"/>
        <v>KY</v>
      </c>
      <c r="C658" s="427" t="str">
        <f t="shared" si="72"/>
        <v>E</v>
      </c>
      <c r="D658" s="427" t="s">
        <v>3440</v>
      </c>
      <c r="E658" s="427" t="str">
        <f t="shared" si="77"/>
        <v>312</v>
      </c>
      <c r="F658" s="756" t="s">
        <v>1733</v>
      </c>
      <c r="G658" s="426" t="str">
        <f t="shared" si="74"/>
        <v>STEAM</v>
      </c>
      <c r="H658" s="427">
        <v>6851.6649233333401</v>
      </c>
      <c r="I658" s="427">
        <v>6903.5800900000004</v>
      </c>
      <c r="J658" s="427">
        <v>6955.4952566666698</v>
      </c>
      <c r="K658" s="427">
        <v>7007.4104233333401</v>
      </c>
      <c r="L658" s="427">
        <v>7059.3255900000004</v>
      </c>
      <c r="M658" s="427">
        <v>7111.2407566666698</v>
      </c>
      <c r="N658" s="427">
        <v>7163.1559233333401</v>
      </c>
      <c r="O658" s="427">
        <v>7215.0710900000004</v>
      </c>
      <c r="P658" s="427">
        <v>7266.9862566666698</v>
      </c>
      <c r="Q658" s="427">
        <v>7318.9014233333401</v>
      </c>
      <c r="R658" s="427">
        <v>7370.8165900000004</v>
      </c>
      <c r="S658" s="427">
        <v>7422.7317566666698</v>
      </c>
      <c r="T658" s="427">
        <v>7474.6469233333401</v>
      </c>
      <c r="U658" s="427">
        <f t="shared" si="68"/>
        <v>86269.362080000035</v>
      </c>
      <c r="V658" s="427">
        <f t="shared" si="73"/>
        <v>7163.1559233333373</v>
      </c>
    </row>
    <row r="659" spans="1:22">
      <c r="A659" s="427" t="str">
        <f t="shared" si="69"/>
        <v>KU</v>
      </c>
      <c r="B659" s="427" t="str">
        <f t="shared" si="71"/>
        <v>KY</v>
      </c>
      <c r="C659" s="427" t="str">
        <f t="shared" si="72"/>
        <v>E</v>
      </c>
      <c r="D659" s="427" t="s">
        <v>3440</v>
      </c>
      <c r="E659" s="427" t="str">
        <f t="shared" si="77"/>
        <v>312</v>
      </c>
      <c r="F659" s="756" t="s">
        <v>1734</v>
      </c>
      <c r="G659" s="426" t="str">
        <f t="shared" si="74"/>
        <v>STEAM</v>
      </c>
      <c r="H659" s="427">
        <v>3.8643333333333301</v>
      </c>
      <c r="I659" s="427">
        <v>3.9826666666666699</v>
      </c>
      <c r="J659" s="427">
        <v>4.101</v>
      </c>
      <c r="K659" s="427">
        <v>4.2193333333333296</v>
      </c>
      <c r="L659" s="427">
        <v>4.3376666666666699</v>
      </c>
      <c r="M659" s="427">
        <v>4.4560000000000004</v>
      </c>
      <c r="N659" s="427">
        <v>4.57433333333333</v>
      </c>
      <c r="O659" s="427">
        <v>4.6926666666666703</v>
      </c>
      <c r="P659" s="427">
        <v>4.8109999999999999</v>
      </c>
      <c r="Q659" s="427">
        <v>4.9293333333333296</v>
      </c>
      <c r="R659" s="427">
        <v>5.0476666666666699</v>
      </c>
      <c r="S659" s="427">
        <v>5.1660000000000004</v>
      </c>
      <c r="T659" s="427">
        <v>5.28433333333333</v>
      </c>
      <c r="U659" s="427">
        <f t="shared" si="68"/>
        <v>55.601999999999997</v>
      </c>
      <c r="V659" s="427">
        <f t="shared" si="73"/>
        <v>4.5743333333333336</v>
      </c>
    </row>
    <row r="660" spans="1:22">
      <c r="A660" s="427" t="str">
        <f t="shared" si="69"/>
        <v>KU</v>
      </c>
      <c r="B660" s="427" t="str">
        <f t="shared" si="71"/>
        <v>KY</v>
      </c>
      <c r="C660" s="427" t="str">
        <f t="shared" si="72"/>
        <v>E</v>
      </c>
      <c r="D660" s="427" t="s">
        <v>3440</v>
      </c>
      <c r="E660" s="427" t="str">
        <f t="shared" si="77"/>
        <v>312</v>
      </c>
      <c r="F660" s="756" t="s">
        <v>1735</v>
      </c>
      <c r="G660" s="426" t="str">
        <f t="shared" si="74"/>
        <v>STEAM</v>
      </c>
      <c r="H660" s="427">
        <v>206.128166666667</v>
      </c>
      <c r="I660" s="427">
        <v>211.487666666667</v>
      </c>
      <c r="J660" s="427">
        <v>216.84716666666699</v>
      </c>
      <c r="K660" s="427">
        <v>222.20666666666699</v>
      </c>
      <c r="L660" s="427">
        <v>227.56616666666699</v>
      </c>
      <c r="M660" s="427">
        <v>232.92566666666701</v>
      </c>
      <c r="N660" s="427">
        <v>238.28516666666701</v>
      </c>
      <c r="O660" s="427">
        <v>243.64466666666701</v>
      </c>
      <c r="P660" s="427">
        <v>249.004166666667</v>
      </c>
      <c r="Q660" s="427">
        <v>254.363666666667</v>
      </c>
      <c r="R660" s="427">
        <v>259.723166666667</v>
      </c>
      <c r="S660" s="427">
        <v>265.08266666666702</v>
      </c>
      <c r="T660" s="427">
        <v>270.44216666666699</v>
      </c>
      <c r="U660" s="427">
        <f t="shared" si="68"/>
        <v>2891.5790000000043</v>
      </c>
      <c r="V660" s="427">
        <f t="shared" si="73"/>
        <v>238.28516666666704</v>
      </c>
    </row>
    <row r="661" spans="1:22">
      <c r="A661" s="427" t="str">
        <f t="shared" si="69"/>
        <v>KU</v>
      </c>
      <c r="B661" s="427" t="str">
        <f t="shared" si="71"/>
        <v>KY</v>
      </c>
      <c r="C661" s="427" t="str">
        <f t="shared" si="72"/>
        <v>E</v>
      </c>
      <c r="D661" s="427" t="s">
        <v>3440</v>
      </c>
      <c r="E661" s="427" t="str">
        <f t="shared" si="77"/>
        <v>315</v>
      </c>
      <c r="F661" s="756" t="s">
        <v>1739</v>
      </c>
      <c r="G661" s="426" t="str">
        <f t="shared" si="74"/>
        <v>STEAM</v>
      </c>
      <c r="H661" s="427">
        <v>2.3035000000000001</v>
      </c>
      <c r="I661" s="427">
        <v>2.3714166666666698</v>
      </c>
      <c r="J661" s="427">
        <v>2.4393333333333298</v>
      </c>
      <c r="K661" s="427">
        <v>2.50725</v>
      </c>
      <c r="L661" s="427">
        <v>2.5751666666666702</v>
      </c>
      <c r="M661" s="427">
        <v>2.6430833333333301</v>
      </c>
      <c r="N661" s="427">
        <v>2.7109999999999999</v>
      </c>
      <c r="O661" s="427">
        <v>2.77891666666667</v>
      </c>
      <c r="P661" s="427">
        <v>2.84683333333333</v>
      </c>
      <c r="Q661" s="427">
        <v>2.9147500000000002</v>
      </c>
      <c r="R661" s="427">
        <v>2.9826666666666699</v>
      </c>
      <c r="S661" s="427">
        <v>3.0505833333333299</v>
      </c>
      <c r="T661" s="427">
        <v>3.1185</v>
      </c>
      <c r="U661" s="427">
        <f t="shared" si="68"/>
        <v>32.939499999999995</v>
      </c>
      <c r="V661" s="427">
        <f t="shared" si="73"/>
        <v>2.7110000000000003</v>
      </c>
    </row>
    <row r="662" spans="1:22">
      <c r="A662" s="427" t="str">
        <f t="shared" si="69"/>
        <v>KU</v>
      </c>
      <c r="B662" s="427" t="str">
        <f t="shared" si="71"/>
        <v>KY</v>
      </c>
      <c r="C662" s="427" t="str">
        <f t="shared" si="72"/>
        <v>E</v>
      </c>
      <c r="D662" s="427" t="s">
        <v>3440</v>
      </c>
      <c r="E662" s="427" t="str">
        <f t="shared" si="77"/>
        <v>334</v>
      </c>
      <c r="F662" s="756" t="s">
        <v>1746</v>
      </c>
      <c r="G662" s="426" t="str">
        <f t="shared" si="74"/>
        <v>HYDRO</v>
      </c>
      <c r="H662" s="427">
        <v>19.841999999999999</v>
      </c>
      <c r="I662" s="427">
        <v>20.109749999999998</v>
      </c>
      <c r="J662" s="427">
        <v>20.377500000000001</v>
      </c>
      <c r="K662" s="427">
        <v>20.645250000000001</v>
      </c>
      <c r="L662" s="427">
        <v>20.913</v>
      </c>
      <c r="M662" s="427">
        <v>21.18075</v>
      </c>
      <c r="N662" s="427">
        <v>21.448499999999999</v>
      </c>
      <c r="O662" s="427">
        <v>21.716249999999999</v>
      </c>
      <c r="P662" s="427">
        <v>21.984000000000002</v>
      </c>
      <c r="Q662" s="427">
        <v>22.251750000000001</v>
      </c>
      <c r="R662" s="427">
        <v>22.519500000000001</v>
      </c>
      <c r="S662" s="427">
        <v>22.78725</v>
      </c>
      <c r="T662" s="427">
        <v>23.055</v>
      </c>
      <c r="U662" s="427">
        <f t="shared" si="68"/>
        <v>258.98849999999999</v>
      </c>
      <c r="V662" s="427">
        <f t="shared" si="73"/>
        <v>21.448499999999999</v>
      </c>
    </row>
    <row r="663" spans="1:22">
      <c r="A663" s="427" t="str">
        <f t="shared" si="69"/>
        <v>KU</v>
      </c>
      <c r="B663" s="427" t="str">
        <f t="shared" si="71"/>
        <v>KY</v>
      </c>
      <c r="C663" s="427" t="str">
        <f t="shared" si="72"/>
        <v>E</v>
      </c>
      <c r="D663" s="427" t="s">
        <v>3440</v>
      </c>
      <c r="E663" s="427" t="str">
        <f t="shared" si="77"/>
        <v>342</v>
      </c>
      <c r="F663" s="756" t="s">
        <v>1752</v>
      </c>
      <c r="G663" s="426" t="str">
        <f t="shared" si="74"/>
        <v>OTHER</v>
      </c>
      <c r="H663" s="427">
        <v>1776.4663499999999</v>
      </c>
      <c r="I663" s="427">
        <v>1791.82185</v>
      </c>
      <c r="J663" s="427">
        <v>1807.1773499999999</v>
      </c>
      <c r="K663" s="427">
        <v>1822.5328500000001</v>
      </c>
      <c r="L663" s="427">
        <v>1837.8883499999999</v>
      </c>
      <c r="M663" s="427">
        <v>1853.2438500000001</v>
      </c>
      <c r="N663" s="427">
        <v>1868.59935</v>
      </c>
      <c r="O663" s="427">
        <v>1883.9548500000001</v>
      </c>
      <c r="P663" s="427">
        <v>1899.31035</v>
      </c>
      <c r="Q663" s="427">
        <v>1914.6658500000001</v>
      </c>
      <c r="R663" s="427">
        <v>1930.02135</v>
      </c>
      <c r="S663" s="427">
        <v>1945.3768500000001</v>
      </c>
      <c r="T663" s="427">
        <v>1960.73235</v>
      </c>
      <c r="U663" s="427">
        <f t="shared" ref="U663:U665" si="78">SUM(I663:T663)</f>
        <v>22515.325199999999</v>
      </c>
      <c r="V663" s="427">
        <f t="shared" si="73"/>
        <v>1868.5993500000002</v>
      </c>
    </row>
    <row r="664" spans="1:22">
      <c r="A664" s="427" t="str">
        <f t="shared" si="69"/>
        <v>KU</v>
      </c>
      <c r="B664" s="427" t="str">
        <f t="shared" si="71"/>
        <v>KY</v>
      </c>
      <c r="C664" s="427" t="str">
        <f t="shared" si="72"/>
        <v>E</v>
      </c>
      <c r="D664" s="427" t="s">
        <v>3440</v>
      </c>
      <c r="E664" s="427" t="str">
        <f t="shared" si="77"/>
        <v>353</v>
      </c>
      <c r="F664" s="756" t="s">
        <v>1763</v>
      </c>
      <c r="G664" s="426" t="str">
        <f t="shared" si="74"/>
        <v>TRANSMISSION</v>
      </c>
      <c r="H664" s="427">
        <v>339.08556333333303</v>
      </c>
      <c r="I664" s="427">
        <v>341.75656333333302</v>
      </c>
      <c r="J664" s="427">
        <v>344.42756333333301</v>
      </c>
      <c r="K664" s="427">
        <v>347.098563333333</v>
      </c>
      <c r="L664" s="427">
        <v>349.769563333333</v>
      </c>
      <c r="M664" s="427">
        <v>352.44056333333299</v>
      </c>
      <c r="N664" s="427">
        <v>355.11156333333298</v>
      </c>
      <c r="O664" s="427">
        <v>357.78256333333297</v>
      </c>
      <c r="P664" s="427">
        <v>360.45356333333302</v>
      </c>
      <c r="Q664" s="427">
        <v>363.12456333333301</v>
      </c>
      <c r="R664" s="427">
        <v>365.79556333333301</v>
      </c>
      <c r="S664" s="427">
        <v>368.466563333333</v>
      </c>
      <c r="T664" s="427">
        <v>371.13756333333299</v>
      </c>
      <c r="U664" s="427">
        <f t="shared" si="78"/>
        <v>4277.3647599999958</v>
      </c>
      <c r="V664" s="427">
        <f t="shared" si="73"/>
        <v>355.11156333333298</v>
      </c>
    </row>
    <row r="665" spans="1:22">
      <c r="A665" s="427" t="str">
        <f t="shared" si="69"/>
        <v>KY</v>
      </c>
      <c r="B665" s="427" t="str">
        <f t="shared" si="71"/>
        <v xml:space="preserve"> A</v>
      </c>
      <c r="C665" s="427" t="str">
        <f t="shared" si="72"/>
        <v/>
      </c>
      <c r="D665" s="427" t="s">
        <v>3440</v>
      </c>
      <c r="E665" s="427" t="str">
        <f t="shared" si="77"/>
        <v>lan</v>
      </c>
      <c r="F665" s="756" t="s">
        <v>1829</v>
      </c>
      <c r="G665" s="426" t="str">
        <f t="shared" si="74"/>
        <v/>
      </c>
      <c r="H665" s="427">
        <v>9200.8725866666719</v>
      </c>
      <c r="I665" s="427">
        <v>9276.6877533333336</v>
      </c>
      <c r="J665" s="427">
        <v>9352.5029200000026</v>
      </c>
      <c r="K665" s="427">
        <v>9428.3180866666735</v>
      </c>
      <c r="L665" s="427">
        <v>9504.1332533333334</v>
      </c>
      <c r="M665" s="427">
        <v>9579.9484200000043</v>
      </c>
      <c r="N665" s="427">
        <v>9655.7635866666733</v>
      </c>
      <c r="O665" s="427">
        <v>9731.5787533333332</v>
      </c>
      <c r="P665" s="427">
        <v>9807.3939200000023</v>
      </c>
      <c r="Q665" s="427">
        <v>9883.2090866666731</v>
      </c>
      <c r="R665" s="427">
        <v>9959.024253333333</v>
      </c>
      <c r="S665" s="427">
        <v>10034.839420000004</v>
      </c>
      <c r="T665" s="427">
        <v>10110.654586666673</v>
      </c>
      <c r="U665" s="427">
        <f t="shared" si="78"/>
        <v>116324.05404000003</v>
      </c>
      <c r="V665" s="427">
        <f t="shared" si="73"/>
        <v>9655.7635866666697</v>
      </c>
    </row>
    <row r="666" spans="1:22">
      <c r="A666" s="427" t="str">
        <f t="shared" si="69"/>
        <v/>
      </c>
      <c r="B666" s="427" t="str">
        <f t="shared" si="71"/>
        <v/>
      </c>
      <c r="C666" s="427" t="str">
        <f t="shared" si="72"/>
        <v/>
      </c>
      <c r="E666" s="427" t="str">
        <f t="shared" si="77"/>
        <v/>
      </c>
      <c r="G666" s="426" t="str">
        <f t="shared" si="74"/>
        <v/>
      </c>
      <c r="U666" s="427">
        <f t="shared" ref="U666:U719" si="79">SUM(I666:T666)</f>
        <v>0</v>
      </c>
      <c r="V666" s="427">
        <f t="shared" si="73"/>
        <v>0</v>
      </c>
    </row>
    <row r="667" spans="1:22">
      <c r="A667" s="427" t="str">
        <f t="shared" si="69"/>
        <v/>
      </c>
      <c r="B667" s="427" t="str">
        <f t="shared" si="71"/>
        <v/>
      </c>
      <c r="C667" s="427" t="str">
        <f t="shared" si="72"/>
        <v/>
      </c>
      <c r="E667" s="427" t="str">
        <f t="shared" si="77"/>
        <v/>
      </c>
      <c r="G667" s="426" t="str">
        <f t="shared" si="74"/>
        <v/>
      </c>
      <c r="U667" s="427">
        <f t="shared" si="79"/>
        <v>0</v>
      </c>
      <c r="V667" s="427">
        <f t="shared" si="73"/>
        <v>0</v>
      </c>
    </row>
    <row r="668" spans="1:22">
      <c r="A668" s="427" t="str">
        <f t="shared" ref="A668:A731" si="80">MID($F668,4,2)</f>
        <v/>
      </c>
      <c r="B668" s="427" t="str">
        <f t="shared" si="71"/>
        <v/>
      </c>
      <c r="C668" s="427" t="str">
        <f t="shared" si="72"/>
        <v/>
      </c>
      <c r="E668" s="427" t="str">
        <f t="shared" si="77"/>
        <v/>
      </c>
      <c r="G668" s="426" t="str">
        <f t="shared" si="74"/>
        <v/>
      </c>
      <c r="U668" s="427">
        <f t="shared" si="79"/>
        <v>0</v>
      </c>
      <c r="V668" s="427">
        <f t="shared" si="73"/>
        <v>0</v>
      </c>
    </row>
    <row r="669" spans="1:22">
      <c r="A669" s="427" t="str">
        <f t="shared" si="80"/>
        <v/>
      </c>
      <c r="B669" s="427" t="str">
        <f t="shared" si="71"/>
        <v/>
      </c>
      <c r="C669" s="427" t="str">
        <f t="shared" si="72"/>
        <v/>
      </c>
      <c r="E669" s="427" t="str">
        <f t="shared" si="77"/>
        <v/>
      </c>
      <c r="G669" s="426" t="str">
        <f t="shared" si="74"/>
        <v/>
      </c>
      <c r="U669" s="427">
        <f t="shared" si="79"/>
        <v>0</v>
      </c>
      <c r="V669" s="427">
        <f t="shared" si="73"/>
        <v>0</v>
      </c>
    </row>
    <row r="670" spans="1:22">
      <c r="A670" s="427" t="str">
        <f t="shared" si="80"/>
        <v/>
      </c>
      <c r="B670" s="427" t="str">
        <f t="shared" si="71"/>
        <v/>
      </c>
      <c r="C670" s="427" t="str">
        <f t="shared" si="72"/>
        <v/>
      </c>
      <c r="E670" s="427" t="str">
        <f t="shared" si="77"/>
        <v/>
      </c>
      <c r="G670" s="426" t="str">
        <f t="shared" si="74"/>
        <v/>
      </c>
      <c r="U670" s="427">
        <f t="shared" si="79"/>
        <v>0</v>
      </c>
      <c r="V670" s="427">
        <f t="shared" si="73"/>
        <v>0</v>
      </c>
    </row>
    <row r="671" spans="1:22">
      <c r="A671" s="427" t="str">
        <f t="shared" si="80"/>
        <v/>
      </c>
      <c r="B671" s="427" t="str">
        <f t="shared" si="71"/>
        <v/>
      </c>
      <c r="C671" s="427" t="str">
        <f t="shared" si="72"/>
        <v/>
      </c>
      <c r="E671" s="427" t="str">
        <f t="shared" si="77"/>
        <v/>
      </c>
      <c r="G671" s="426" t="str">
        <f t="shared" si="74"/>
        <v/>
      </c>
      <c r="U671" s="427">
        <f t="shared" si="79"/>
        <v>0</v>
      </c>
      <c r="V671" s="427">
        <f t="shared" si="73"/>
        <v>0</v>
      </c>
    </row>
    <row r="672" spans="1:22">
      <c r="A672" s="427" t="str">
        <f t="shared" si="80"/>
        <v/>
      </c>
      <c r="B672" s="427" t="str">
        <f t="shared" si="71"/>
        <v/>
      </c>
      <c r="C672" s="427" t="str">
        <f t="shared" si="72"/>
        <v/>
      </c>
      <c r="E672" s="427" t="str">
        <f t="shared" si="77"/>
        <v/>
      </c>
      <c r="G672" s="426" t="str">
        <f t="shared" si="74"/>
        <v/>
      </c>
      <c r="U672" s="427">
        <f t="shared" si="79"/>
        <v>0</v>
      </c>
      <c r="V672" s="427">
        <f t="shared" si="73"/>
        <v>0</v>
      </c>
    </row>
    <row r="673" spans="1:22">
      <c r="A673" s="427" t="str">
        <f t="shared" si="80"/>
        <v/>
      </c>
      <c r="B673" s="427" t="str">
        <f t="shared" si="71"/>
        <v/>
      </c>
      <c r="C673" s="427" t="str">
        <f t="shared" si="72"/>
        <v/>
      </c>
      <c r="G673" s="426" t="str">
        <f t="shared" si="74"/>
        <v/>
      </c>
      <c r="U673" s="427">
        <f t="shared" si="79"/>
        <v>0</v>
      </c>
      <c r="V673" s="427">
        <f t="shared" si="73"/>
        <v>0</v>
      </c>
    </row>
    <row r="674" spans="1:22">
      <c r="A674" s="427" t="str">
        <f t="shared" si="80"/>
        <v/>
      </c>
      <c r="B674" s="427" t="str">
        <f t="shared" si="71"/>
        <v/>
      </c>
      <c r="C674" s="427" t="str">
        <f t="shared" si="72"/>
        <v/>
      </c>
      <c r="G674" s="426" t="str">
        <f t="shared" si="74"/>
        <v/>
      </c>
      <c r="U674" s="427">
        <f t="shared" si="79"/>
        <v>0</v>
      </c>
      <c r="V674" s="427">
        <f t="shared" si="73"/>
        <v>0</v>
      </c>
    </row>
    <row r="675" spans="1:22">
      <c r="A675" s="427" t="str">
        <f t="shared" si="80"/>
        <v/>
      </c>
      <c r="B675" s="427" t="str">
        <f t="shared" si="71"/>
        <v/>
      </c>
      <c r="C675" s="427" t="str">
        <f t="shared" si="72"/>
        <v/>
      </c>
      <c r="G675" s="426" t="str">
        <f t="shared" si="74"/>
        <v/>
      </c>
      <c r="U675" s="427">
        <f t="shared" si="79"/>
        <v>0</v>
      </c>
      <c r="V675" s="427">
        <f t="shared" si="73"/>
        <v>0</v>
      </c>
    </row>
    <row r="676" spans="1:22">
      <c r="A676" s="427" t="str">
        <f t="shared" si="80"/>
        <v/>
      </c>
      <c r="B676" s="427" t="str">
        <f t="shared" si="71"/>
        <v/>
      </c>
      <c r="C676" s="427" t="str">
        <f t="shared" si="72"/>
        <v/>
      </c>
      <c r="E676" s="427" t="str">
        <f t="shared" ref="E676:E689" si="81">MID($F676,8,3)</f>
        <v/>
      </c>
      <c r="G676" s="426" t="str">
        <f t="shared" si="74"/>
        <v/>
      </c>
      <c r="U676" s="427">
        <f t="shared" si="79"/>
        <v>0</v>
      </c>
      <c r="V676" s="427">
        <f t="shared" si="73"/>
        <v>0</v>
      </c>
    </row>
    <row r="677" spans="1:22">
      <c r="A677" s="427" t="str">
        <f t="shared" si="80"/>
        <v/>
      </c>
      <c r="B677" s="427" t="str">
        <f t="shared" si="71"/>
        <v/>
      </c>
      <c r="C677" s="427" t="str">
        <f t="shared" si="72"/>
        <v/>
      </c>
      <c r="E677" s="427" t="str">
        <f t="shared" si="81"/>
        <v/>
      </c>
      <c r="G677" s="426" t="str">
        <f t="shared" si="74"/>
        <v/>
      </c>
      <c r="U677" s="427">
        <f t="shared" si="79"/>
        <v>0</v>
      </c>
      <c r="V677" s="427">
        <f t="shared" si="73"/>
        <v>0</v>
      </c>
    </row>
    <row r="678" spans="1:22">
      <c r="A678" s="427" t="str">
        <f t="shared" si="80"/>
        <v/>
      </c>
      <c r="B678" s="427" t="str">
        <f t="shared" si="71"/>
        <v/>
      </c>
      <c r="C678" s="427" t="str">
        <f t="shared" si="72"/>
        <v/>
      </c>
      <c r="E678" s="427" t="str">
        <f t="shared" si="81"/>
        <v/>
      </c>
      <c r="G678" s="426" t="str">
        <f t="shared" si="74"/>
        <v/>
      </c>
      <c r="U678" s="427">
        <f t="shared" si="79"/>
        <v>0</v>
      </c>
      <c r="V678" s="427">
        <f t="shared" si="73"/>
        <v>0</v>
      </c>
    </row>
    <row r="679" spans="1:22">
      <c r="A679" s="427" t="str">
        <f t="shared" si="80"/>
        <v/>
      </c>
      <c r="B679" s="427" t="str">
        <f t="shared" si="71"/>
        <v/>
      </c>
      <c r="C679" s="427" t="str">
        <f t="shared" si="72"/>
        <v/>
      </c>
      <c r="E679" s="427" t="str">
        <f t="shared" si="81"/>
        <v/>
      </c>
      <c r="G679" s="426" t="str">
        <f t="shared" si="74"/>
        <v/>
      </c>
      <c r="U679" s="427">
        <f t="shared" si="79"/>
        <v>0</v>
      </c>
      <c r="V679" s="427">
        <f t="shared" si="73"/>
        <v>0</v>
      </c>
    </row>
    <row r="680" spans="1:22">
      <c r="A680" s="427" t="str">
        <f t="shared" si="80"/>
        <v/>
      </c>
      <c r="B680" s="427" t="str">
        <f t="shared" si="71"/>
        <v/>
      </c>
      <c r="C680" s="427" t="str">
        <f t="shared" si="72"/>
        <v/>
      </c>
      <c r="E680" s="427" t="str">
        <f t="shared" si="81"/>
        <v/>
      </c>
      <c r="G680" s="426" t="str">
        <f t="shared" si="74"/>
        <v/>
      </c>
      <c r="U680" s="427">
        <f t="shared" si="79"/>
        <v>0</v>
      </c>
      <c r="V680" s="427">
        <f t="shared" si="73"/>
        <v>0</v>
      </c>
    </row>
    <row r="681" spans="1:22">
      <c r="A681" s="427" t="str">
        <f t="shared" si="80"/>
        <v/>
      </c>
      <c r="B681" s="427" t="str">
        <f t="shared" ref="B681:B744" si="82">IF(MID($F681,12,2)="- ","KY",IF(MID($F681,12,2)="SY","KY",MID($F681,12,2)))</f>
        <v/>
      </c>
      <c r="C681" s="427" t="str">
        <f t="shared" si="72"/>
        <v/>
      </c>
      <c r="E681" s="427" t="str">
        <f t="shared" si="81"/>
        <v/>
      </c>
      <c r="G681" s="426" t="str">
        <f t="shared" si="74"/>
        <v/>
      </c>
      <c r="U681" s="427">
        <f t="shared" si="79"/>
        <v>0</v>
      </c>
      <c r="V681" s="427">
        <f t="shared" si="73"/>
        <v>0</v>
      </c>
    </row>
    <row r="682" spans="1:22">
      <c r="A682" s="427" t="str">
        <f t="shared" si="80"/>
        <v/>
      </c>
      <c r="B682" s="427" t="str">
        <f t="shared" si="82"/>
        <v/>
      </c>
      <c r="C682" s="427" t="str">
        <f t="shared" si="72"/>
        <v/>
      </c>
      <c r="E682" s="427" t="str">
        <f t="shared" si="81"/>
        <v/>
      </c>
      <c r="G682" s="426" t="str">
        <f t="shared" si="74"/>
        <v/>
      </c>
      <c r="U682" s="427">
        <f t="shared" si="79"/>
        <v>0</v>
      </c>
      <c r="V682" s="427">
        <f t="shared" si="73"/>
        <v>0</v>
      </c>
    </row>
    <row r="683" spans="1:22">
      <c r="A683" s="427" t="str">
        <f t="shared" si="80"/>
        <v/>
      </c>
      <c r="B683" s="427" t="str">
        <f t="shared" si="82"/>
        <v/>
      </c>
      <c r="C683" s="427" t="str">
        <f t="shared" si="72"/>
        <v/>
      </c>
      <c r="E683" s="427" t="str">
        <f t="shared" si="81"/>
        <v/>
      </c>
      <c r="G683" s="426" t="str">
        <f t="shared" si="74"/>
        <v/>
      </c>
      <c r="U683" s="427">
        <f t="shared" si="79"/>
        <v>0</v>
      </c>
      <c r="V683" s="427">
        <f t="shared" si="73"/>
        <v>0</v>
      </c>
    </row>
    <row r="684" spans="1:22">
      <c r="A684" s="427" t="str">
        <f t="shared" si="80"/>
        <v/>
      </c>
      <c r="B684" s="427" t="str">
        <f t="shared" si="82"/>
        <v/>
      </c>
      <c r="C684" s="427" t="str">
        <f t="shared" si="72"/>
        <v/>
      </c>
      <c r="E684" s="427" t="str">
        <f t="shared" si="81"/>
        <v/>
      </c>
      <c r="G684" s="426" t="str">
        <f t="shared" si="74"/>
        <v/>
      </c>
      <c r="U684" s="427">
        <f t="shared" si="79"/>
        <v>0</v>
      </c>
      <c r="V684" s="427">
        <f t="shared" ref="V684:V709" si="83">SUM(H684:T684)/13</f>
        <v>0</v>
      </c>
    </row>
    <row r="685" spans="1:22">
      <c r="A685" s="427" t="str">
        <f t="shared" si="80"/>
        <v/>
      </c>
      <c r="B685" s="427" t="str">
        <f t="shared" si="82"/>
        <v/>
      </c>
      <c r="C685" s="427" t="str">
        <f t="shared" ref="C685:C716" si="84">IF(ISTEXT(MID($F685,SEARCH("FUTURE USE",$F685),3)),"F",IF(MID($F685,7,1)="1","E",IF(MID($F685,7,1)="2","G",IF(MID($F685,7,1)="3","C",""))))</f>
        <v/>
      </c>
      <c r="E685" s="427" t="str">
        <f t="shared" si="81"/>
        <v/>
      </c>
      <c r="G685" s="426" t="str">
        <f t="shared" si="74"/>
        <v/>
      </c>
      <c r="U685" s="427">
        <f t="shared" si="79"/>
        <v>0</v>
      </c>
      <c r="V685" s="427">
        <f t="shared" si="83"/>
        <v>0</v>
      </c>
    </row>
    <row r="686" spans="1:22">
      <c r="A686" s="427" t="str">
        <f t="shared" si="80"/>
        <v/>
      </c>
      <c r="B686" s="427" t="str">
        <f t="shared" si="82"/>
        <v/>
      </c>
      <c r="C686" s="427" t="str">
        <f t="shared" si="84"/>
        <v/>
      </c>
      <c r="E686" s="427" t="str">
        <f t="shared" si="81"/>
        <v/>
      </c>
      <c r="G686" s="426" t="str">
        <f t="shared" si="74"/>
        <v/>
      </c>
      <c r="U686" s="427">
        <f t="shared" si="79"/>
        <v>0</v>
      </c>
      <c r="V686" s="427">
        <f t="shared" si="83"/>
        <v>0</v>
      </c>
    </row>
    <row r="687" spans="1:22">
      <c r="A687" s="427" t="str">
        <f t="shared" si="80"/>
        <v/>
      </c>
      <c r="B687" s="427" t="str">
        <f t="shared" si="82"/>
        <v/>
      </c>
      <c r="C687" s="427" t="str">
        <f t="shared" si="84"/>
        <v/>
      </c>
      <c r="E687" s="427" t="str">
        <f t="shared" si="81"/>
        <v/>
      </c>
      <c r="G687" s="426" t="str">
        <f t="shared" si="74"/>
        <v/>
      </c>
      <c r="U687" s="427">
        <f t="shared" si="79"/>
        <v>0</v>
      </c>
      <c r="V687" s="427">
        <f t="shared" si="83"/>
        <v>0</v>
      </c>
    </row>
    <row r="688" spans="1:22">
      <c r="A688" s="427" t="str">
        <f t="shared" si="80"/>
        <v/>
      </c>
      <c r="B688" s="427" t="str">
        <f t="shared" si="82"/>
        <v/>
      </c>
      <c r="C688" s="427" t="str">
        <f t="shared" si="84"/>
        <v/>
      </c>
      <c r="E688" s="427" t="str">
        <f t="shared" si="81"/>
        <v/>
      </c>
      <c r="G688" s="426" t="str">
        <f t="shared" si="74"/>
        <v/>
      </c>
      <c r="U688" s="427">
        <f t="shared" si="79"/>
        <v>0</v>
      </c>
      <c r="V688" s="427">
        <f t="shared" si="83"/>
        <v>0</v>
      </c>
    </row>
    <row r="689" spans="1:22">
      <c r="A689" s="427" t="str">
        <f t="shared" si="80"/>
        <v/>
      </c>
      <c r="B689" s="427" t="str">
        <f t="shared" si="82"/>
        <v/>
      </c>
      <c r="C689" s="427" t="str">
        <f t="shared" si="84"/>
        <v/>
      </c>
      <c r="E689" s="427" t="str">
        <f t="shared" si="81"/>
        <v/>
      </c>
      <c r="G689" s="426" t="str">
        <f t="shared" si="74"/>
        <v/>
      </c>
      <c r="U689" s="427">
        <f t="shared" si="79"/>
        <v>0</v>
      </c>
      <c r="V689" s="427">
        <f t="shared" si="83"/>
        <v>0</v>
      </c>
    </row>
    <row r="690" spans="1:22">
      <c r="A690" s="427" t="str">
        <f t="shared" si="80"/>
        <v/>
      </c>
      <c r="B690" s="427" t="str">
        <f t="shared" si="82"/>
        <v/>
      </c>
      <c r="C690" s="427" t="str">
        <f t="shared" si="84"/>
        <v/>
      </c>
      <c r="G690" s="426" t="str">
        <f t="shared" ref="G690:G704" si="85">IF(ISTEXT(MID($F690,SEARCH("HYDRO PRODUCTION",$F690),9)),"HYDRO",IF(ISTEXT(MID($F690,SEARCH("OTHER PRODUCTION",$F690),9)),"OTHER",IF(ISTEXT(MID($F690,SEARCH("STEAM PRODUCTION",$F690),9)),"STEAM",IF(ISTEXT(MID($F690,SEARCH("TRANSMISSION",$F690),9)),"TRANSMISSION",IF(ISTEXT(MID($F690,SEARCH("DISTRIBUTION",$F690),9)),"DISTRIBUTION",IF(ISTEXT(MID($F690,SEARCH("COMMON",$F690),9)),"COMMON",IF(ISTEXT(MID($F690,SEARCH("GENERAL",$F690),9)),"GENERAL",IF(ISTEXT(MID($F690,SEARCH("INTANGIBLE",$F690),9)),"INTANGIBLE",IF(ISTEXT(MID($F690,SEARCH("STORAGE",$F690),3)),"STORAGE","")))))))))</f>
        <v/>
      </c>
      <c r="U690" s="427">
        <f t="shared" si="79"/>
        <v>0</v>
      </c>
      <c r="V690" s="427">
        <f t="shared" si="83"/>
        <v>0</v>
      </c>
    </row>
    <row r="691" spans="1:22">
      <c r="A691" s="427" t="str">
        <f t="shared" si="80"/>
        <v/>
      </c>
      <c r="B691" s="427" t="str">
        <f t="shared" si="82"/>
        <v/>
      </c>
      <c r="C691" s="427" t="str">
        <f t="shared" si="84"/>
        <v/>
      </c>
      <c r="D691" s="427" t="str">
        <f t="shared" ref="C691:D741" si="86">IF(ISTEXT(MID($E691,SEARCH("FUTURE USE",$E691),3)),"F",IF(MID($E691,8,1)="1","E",IF(MID($E691,8,1)="2","G",IF(MID($E691,8,1)="3","C",""))))</f>
        <v/>
      </c>
      <c r="G691" s="426" t="str">
        <f t="shared" si="85"/>
        <v/>
      </c>
      <c r="U691" s="427">
        <f t="shared" si="79"/>
        <v>0</v>
      </c>
      <c r="V691" s="427">
        <f t="shared" si="83"/>
        <v>0</v>
      </c>
    </row>
    <row r="692" spans="1:22">
      <c r="A692" s="427" t="str">
        <f t="shared" si="80"/>
        <v/>
      </c>
      <c r="B692" s="427" t="str">
        <f t="shared" si="82"/>
        <v/>
      </c>
      <c r="C692" s="427" t="str">
        <f t="shared" si="84"/>
        <v/>
      </c>
      <c r="D692" s="427" t="str">
        <f t="shared" si="86"/>
        <v/>
      </c>
      <c r="G692" s="426" t="str">
        <f t="shared" si="85"/>
        <v/>
      </c>
      <c r="U692" s="427">
        <f t="shared" si="79"/>
        <v>0</v>
      </c>
      <c r="V692" s="427">
        <f t="shared" si="83"/>
        <v>0</v>
      </c>
    </row>
    <row r="693" spans="1:22">
      <c r="A693" s="427" t="str">
        <f t="shared" si="80"/>
        <v/>
      </c>
      <c r="B693" s="427" t="str">
        <f t="shared" si="82"/>
        <v/>
      </c>
      <c r="C693" s="427" t="str">
        <f t="shared" si="84"/>
        <v/>
      </c>
      <c r="D693" s="427" t="str">
        <f t="shared" si="86"/>
        <v/>
      </c>
      <c r="G693" s="426" t="str">
        <f t="shared" si="85"/>
        <v/>
      </c>
      <c r="U693" s="427">
        <f t="shared" si="79"/>
        <v>0</v>
      </c>
      <c r="V693" s="427">
        <f t="shared" si="83"/>
        <v>0</v>
      </c>
    </row>
    <row r="694" spans="1:22">
      <c r="A694" s="427" t="str">
        <f t="shared" si="80"/>
        <v/>
      </c>
      <c r="B694" s="427" t="str">
        <f t="shared" si="82"/>
        <v/>
      </c>
      <c r="C694" s="427" t="str">
        <f t="shared" si="84"/>
        <v/>
      </c>
      <c r="D694" s="427" t="str">
        <f t="shared" si="86"/>
        <v/>
      </c>
      <c r="G694" s="426" t="str">
        <f t="shared" si="85"/>
        <v/>
      </c>
      <c r="U694" s="427">
        <f t="shared" si="79"/>
        <v>0</v>
      </c>
      <c r="V694" s="427">
        <f t="shared" si="83"/>
        <v>0</v>
      </c>
    </row>
    <row r="695" spans="1:22">
      <c r="A695" s="427" t="str">
        <f t="shared" si="80"/>
        <v/>
      </c>
      <c r="B695" s="427" t="str">
        <f t="shared" si="82"/>
        <v/>
      </c>
      <c r="C695" s="427" t="str">
        <f t="shared" si="84"/>
        <v/>
      </c>
      <c r="D695" s="427" t="str">
        <f t="shared" si="86"/>
        <v/>
      </c>
      <c r="G695" s="426" t="str">
        <f t="shared" si="85"/>
        <v/>
      </c>
      <c r="U695" s="427">
        <f t="shared" si="79"/>
        <v>0</v>
      </c>
      <c r="V695" s="427">
        <f t="shared" si="83"/>
        <v>0</v>
      </c>
    </row>
    <row r="696" spans="1:22">
      <c r="A696" s="427" t="str">
        <f t="shared" si="80"/>
        <v/>
      </c>
      <c r="B696" s="427" t="str">
        <f t="shared" si="82"/>
        <v/>
      </c>
      <c r="C696" s="427" t="str">
        <f t="shared" si="84"/>
        <v/>
      </c>
      <c r="D696" s="427" t="str">
        <f t="shared" si="86"/>
        <v/>
      </c>
      <c r="G696" s="426" t="str">
        <f t="shared" si="85"/>
        <v/>
      </c>
      <c r="U696" s="427">
        <f t="shared" si="79"/>
        <v>0</v>
      </c>
      <c r="V696" s="427">
        <f t="shared" si="83"/>
        <v>0</v>
      </c>
    </row>
    <row r="697" spans="1:22">
      <c r="A697" s="427" t="str">
        <f t="shared" si="80"/>
        <v/>
      </c>
      <c r="B697" s="427" t="str">
        <f t="shared" si="82"/>
        <v/>
      </c>
      <c r="C697" s="427" t="str">
        <f t="shared" si="84"/>
        <v/>
      </c>
      <c r="D697" s="427" t="str">
        <f t="shared" si="86"/>
        <v/>
      </c>
      <c r="G697" s="426" t="str">
        <f t="shared" si="85"/>
        <v/>
      </c>
      <c r="U697" s="427">
        <f t="shared" si="79"/>
        <v>0</v>
      </c>
      <c r="V697" s="427">
        <f t="shared" si="83"/>
        <v>0</v>
      </c>
    </row>
    <row r="698" spans="1:22">
      <c r="A698" s="427" t="str">
        <f t="shared" si="80"/>
        <v/>
      </c>
      <c r="B698" s="427" t="str">
        <f t="shared" si="82"/>
        <v/>
      </c>
      <c r="C698" s="427" t="str">
        <f t="shared" si="84"/>
        <v/>
      </c>
      <c r="D698" s="427" t="str">
        <f t="shared" si="86"/>
        <v/>
      </c>
      <c r="G698" s="426" t="str">
        <f t="shared" si="85"/>
        <v/>
      </c>
      <c r="U698" s="427">
        <f t="shared" si="79"/>
        <v>0</v>
      </c>
      <c r="V698" s="427">
        <f t="shared" si="83"/>
        <v>0</v>
      </c>
    </row>
    <row r="699" spans="1:22">
      <c r="A699" s="427" t="str">
        <f t="shared" si="80"/>
        <v/>
      </c>
      <c r="B699" s="427" t="str">
        <f t="shared" si="82"/>
        <v/>
      </c>
      <c r="C699" s="427" t="str">
        <f t="shared" si="84"/>
        <v/>
      </c>
      <c r="D699" s="427" t="str">
        <f t="shared" si="86"/>
        <v/>
      </c>
      <c r="G699" s="426" t="str">
        <f t="shared" si="85"/>
        <v/>
      </c>
      <c r="U699" s="427">
        <f t="shared" si="79"/>
        <v>0</v>
      </c>
      <c r="V699" s="427">
        <f t="shared" si="83"/>
        <v>0</v>
      </c>
    </row>
    <row r="700" spans="1:22">
      <c r="A700" s="427" t="str">
        <f t="shared" si="80"/>
        <v/>
      </c>
      <c r="B700" s="427" t="str">
        <f t="shared" si="82"/>
        <v/>
      </c>
      <c r="C700" s="427" t="str">
        <f t="shared" si="84"/>
        <v/>
      </c>
      <c r="D700" s="427" t="str">
        <f t="shared" si="86"/>
        <v/>
      </c>
      <c r="G700" s="426" t="str">
        <f t="shared" si="85"/>
        <v/>
      </c>
      <c r="U700" s="427">
        <f t="shared" si="79"/>
        <v>0</v>
      </c>
      <c r="V700" s="427">
        <f t="shared" si="83"/>
        <v>0</v>
      </c>
    </row>
    <row r="701" spans="1:22">
      <c r="A701" s="427" t="str">
        <f t="shared" si="80"/>
        <v/>
      </c>
      <c r="B701" s="427" t="str">
        <f t="shared" si="82"/>
        <v/>
      </c>
      <c r="C701" s="427" t="str">
        <f t="shared" si="84"/>
        <v/>
      </c>
      <c r="D701" s="427" t="str">
        <f t="shared" si="86"/>
        <v/>
      </c>
      <c r="G701" s="426" t="str">
        <f t="shared" si="85"/>
        <v/>
      </c>
      <c r="U701" s="427">
        <f t="shared" si="79"/>
        <v>0</v>
      </c>
      <c r="V701" s="427">
        <f t="shared" si="83"/>
        <v>0</v>
      </c>
    </row>
    <row r="702" spans="1:22">
      <c r="A702" s="427" t="str">
        <f t="shared" si="80"/>
        <v/>
      </c>
      <c r="B702" s="427" t="str">
        <f t="shared" si="82"/>
        <v/>
      </c>
      <c r="C702" s="427" t="str">
        <f t="shared" si="84"/>
        <v/>
      </c>
      <c r="D702" s="427" t="str">
        <f t="shared" si="86"/>
        <v/>
      </c>
      <c r="G702" s="426" t="str">
        <f t="shared" si="85"/>
        <v/>
      </c>
      <c r="U702" s="427">
        <f t="shared" si="79"/>
        <v>0</v>
      </c>
      <c r="V702" s="427">
        <f t="shared" si="83"/>
        <v>0</v>
      </c>
    </row>
    <row r="703" spans="1:22">
      <c r="A703" s="427" t="str">
        <f t="shared" si="80"/>
        <v/>
      </c>
      <c r="B703" s="427" t="str">
        <f t="shared" si="82"/>
        <v/>
      </c>
      <c r="C703" s="427" t="str">
        <f t="shared" si="84"/>
        <v/>
      </c>
      <c r="D703" s="427" t="str">
        <f t="shared" si="86"/>
        <v/>
      </c>
      <c r="G703" s="426" t="str">
        <f t="shared" si="85"/>
        <v/>
      </c>
      <c r="U703" s="427">
        <f t="shared" si="79"/>
        <v>0</v>
      </c>
      <c r="V703" s="427">
        <f t="shared" si="83"/>
        <v>0</v>
      </c>
    </row>
    <row r="704" spans="1:22">
      <c r="A704" s="427" t="str">
        <f t="shared" si="80"/>
        <v/>
      </c>
      <c r="B704" s="427" t="str">
        <f t="shared" si="82"/>
        <v/>
      </c>
      <c r="C704" s="427" t="str">
        <f t="shared" si="84"/>
        <v/>
      </c>
      <c r="D704" s="427" t="str">
        <f t="shared" si="86"/>
        <v/>
      </c>
      <c r="G704" s="426" t="str">
        <f t="shared" si="85"/>
        <v/>
      </c>
      <c r="U704" s="427">
        <f t="shared" si="79"/>
        <v>0</v>
      </c>
      <c r="V704" s="427">
        <f t="shared" si="83"/>
        <v>0</v>
      </c>
    </row>
    <row r="705" spans="1:22">
      <c r="A705" s="427" t="str">
        <f t="shared" si="80"/>
        <v/>
      </c>
      <c r="B705" s="427" t="str">
        <f t="shared" si="82"/>
        <v/>
      </c>
      <c r="C705" s="427" t="str">
        <f t="shared" si="84"/>
        <v/>
      </c>
      <c r="D705" s="427" t="str">
        <f t="shared" si="86"/>
        <v/>
      </c>
      <c r="U705" s="427">
        <f t="shared" si="79"/>
        <v>0</v>
      </c>
      <c r="V705" s="427">
        <f t="shared" si="83"/>
        <v>0</v>
      </c>
    </row>
    <row r="706" spans="1:22">
      <c r="A706" s="427" t="str">
        <f t="shared" si="80"/>
        <v/>
      </c>
      <c r="B706" s="427" t="str">
        <f t="shared" si="82"/>
        <v/>
      </c>
      <c r="C706" s="427" t="str">
        <f t="shared" si="84"/>
        <v/>
      </c>
      <c r="D706" s="427" t="str">
        <f t="shared" si="86"/>
        <v/>
      </c>
      <c r="U706" s="427">
        <f t="shared" si="79"/>
        <v>0</v>
      </c>
      <c r="V706" s="427">
        <f t="shared" si="83"/>
        <v>0</v>
      </c>
    </row>
    <row r="707" spans="1:22">
      <c r="A707" s="427" t="str">
        <f t="shared" si="80"/>
        <v/>
      </c>
      <c r="B707" s="427" t="str">
        <f t="shared" si="82"/>
        <v/>
      </c>
      <c r="C707" s="427" t="str">
        <f t="shared" si="84"/>
        <v/>
      </c>
      <c r="D707" s="427" t="str">
        <f t="shared" si="86"/>
        <v/>
      </c>
      <c r="U707" s="427">
        <f t="shared" si="79"/>
        <v>0</v>
      </c>
      <c r="V707" s="427">
        <f t="shared" si="83"/>
        <v>0</v>
      </c>
    </row>
    <row r="708" spans="1:22">
      <c r="A708" s="427" t="str">
        <f t="shared" si="80"/>
        <v/>
      </c>
      <c r="B708" s="427" t="str">
        <f t="shared" si="82"/>
        <v/>
      </c>
      <c r="C708" s="427" t="str">
        <f t="shared" si="84"/>
        <v/>
      </c>
      <c r="D708" s="427" t="str">
        <f t="shared" si="86"/>
        <v/>
      </c>
      <c r="U708" s="427">
        <f t="shared" si="79"/>
        <v>0</v>
      </c>
      <c r="V708" s="427">
        <f t="shared" si="83"/>
        <v>0</v>
      </c>
    </row>
    <row r="709" spans="1:22">
      <c r="A709" s="427" t="str">
        <f t="shared" si="80"/>
        <v/>
      </c>
      <c r="B709" s="427" t="str">
        <f t="shared" si="82"/>
        <v/>
      </c>
      <c r="C709" s="427" t="str">
        <f t="shared" si="84"/>
        <v/>
      </c>
      <c r="D709" s="427" t="str">
        <f t="shared" si="86"/>
        <v/>
      </c>
      <c r="U709" s="427">
        <f t="shared" si="79"/>
        <v>0</v>
      </c>
      <c r="V709" s="427">
        <f t="shared" si="83"/>
        <v>0</v>
      </c>
    </row>
    <row r="710" spans="1:22">
      <c r="A710" s="427" t="str">
        <f t="shared" si="80"/>
        <v/>
      </c>
      <c r="B710" s="427" t="str">
        <f t="shared" si="82"/>
        <v/>
      </c>
      <c r="C710" s="427" t="str">
        <f t="shared" si="84"/>
        <v/>
      </c>
      <c r="D710" s="427" t="str">
        <f t="shared" si="86"/>
        <v/>
      </c>
      <c r="U710" s="427">
        <f t="shared" si="79"/>
        <v>0</v>
      </c>
    </row>
    <row r="711" spans="1:22">
      <c r="A711" s="427" t="str">
        <f t="shared" si="80"/>
        <v/>
      </c>
      <c r="B711" s="427" t="str">
        <f t="shared" si="82"/>
        <v/>
      </c>
      <c r="C711" s="427" t="str">
        <f t="shared" si="84"/>
        <v/>
      </c>
      <c r="D711" s="427" t="str">
        <f t="shared" si="86"/>
        <v/>
      </c>
      <c r="U711" s="427">
        <f t="shared" si="79"/>
        <v>0</v>
      </c>
    </row>
    <row r="712" spans="1:22">
      <c r="A712" s="427" t="str">
        <f t="shared" si="80"/>
        <v/>
      </c>
      <c r="B712" s="427" t="str">
        <f t="shared" si="82"/>
        <v/>
      </c>
      <c r="C712" s="427" t="str">
        <f t="shared" si="84"/>
        <v/>
      </c>
      <c r="D712" s="427" t="str">
        <f t="shared" si="86"/>
        <v/>
      </c>
      <c r="U712" s="427">
        <f t="shared" si="79"/>
        <v>0</v>
      </c>
    </row>
    <row r="713" spans="1:22">
      <c r="A713" s="427" t="str">
        <f t="shared" si="80"/>
        <v/>
      </c>
      <c r="B713" s="427" t="str">
        <f t="shared" si="82"/>
        <v/>
      </c>
      <c r="C713" s="427" t="str">
        <f t="shared" si="84"/>
        <v/>
      </c>
      <c r="D713" s="427" t="str">
        <f t="shared" si="86"/>
        <v/>
      </c>
      <c r="U713" s="427">
        <f t="shared" si="79"/>
        <v>0</v>
      </c>
    </row>
    <row r="714" spans="1:22">
      <c r="A714" s="427" t="str">
        <f t="shared" si="80"/>
        <v/>
      </c>
      <c r="B714" s="427" t="str">
        <f t="shared" si="82"/>
        <v/>
      </c>
      <c r="C714" s="427" t="str">
        <f t="shared" si="84"/>
        <v/>
      </c>
      <c r="D714" s="427" t="str">
        <f t="shared" si="86"/>
        <v/>
      </c>
      <c r="U714" s="427">
        <f t="shared" si="79"/>
        <v>0</v>
      </c>
    </row>
    <row r="715" spans="1:22">
      <c r="A715" s="427" t="str">
        <f t="shared" si="80"/>
        <v/>
      </c>
      <c r="B715" s="427" t="str">
        <f t="shared" si="82"/>
        <v/>
      </c>
      <c r="C715" s="427" t="str">
        <f t="shared" si="84"/>
        <v/>
      </c>
      <c r="D715" s="427" t="str">
        <f t="shared" si="86"/>
        <v/>
      </c>
      <c r="U715" s="427">
        <f t="shared" si="79"/>
        <v>0</v>
      </c>
    </row>
    <row r="716" spans="1:22">
      <c r="A716" s="427" t="str">
        <f t="shared" si="80"/>
        <v/>
      </c>
      <c r="B716" s="427" t="str">
        <f t="shared" si="82"/>
        <v/>
      </c>
      <c r="C716" s="427" t="str">
        <f t="shared" si="84"/>
        <v/>
      </c>
      <c r="D716" s="427" t="str">
        <f t="shared" si="86"/>
        <v/>
      </c>
      <c r="U716" s="427">
        <f t="shared" si="79"/>
        <v>0</v>
      </c>
    </row>
    <row r="717" spans="1:22">
      <c r="A717" s="427" t="str">
        <f t="shared" si="80"/>
        <v/>
      </c>
      <c r="B717" s="427" t="str">
        <f t="shared" si="82"/>
        <v/>
      </c>
      <c r="C717" s="427" t="str">
        <f t="shared" si="86"/>
        <v/>
      </c>
      <c r="D717" s="427" t="str">
        <f t="shared" si="86"/>
        <v/>
      </c>
      <c r="U717" s="427">
        <f t="shared" si="79"/>
        <v>0</v>
      </c>
    </row>
    <row r="718" spans="1:22">
      <c r="A718" s="427" t="str">
        <f t="shared" si="80"/>
        <v/>
      </c>
      <c r="B718" s="427" t="str">
        <f t="shared" si="82"/>
        <v/>
      </c>
      <c r="C718" s="427" t="str">
        <f t="shared" si="86"/>
        <v/>
      </c>
      <c r="D718" s="427" t="str">
        <f t="shared" si="86"/>
        <v/>
      </c>
      <c r="U718" s="427">
        <f t="shared" si="79"/>
        <v>0</v>
      </c>
    </row>
    <row r="719" spans="1:22">
      <c r="A719" s="427" t="str">
        <f t="shared" si="80"/>
        <v/>
      </c>
      <c r="B719" s="427" t="str">
        <f t="shared" si="82"/>
        <v/>
      </c>
      <c r="C719" s="427" t="str">
        <f t="shared" si="86"/>
        <v/>
      </c>
      <c r="D719" s="427" t="str">
        <f t="shared" si="86"/>
        <v/>
      </c>
      <c r="U719" s="427">
        <f t="shared" si="79"/>
        <v>0</v>
      </c>
    </row>
    <row r="720" spans="1:22">
      <c r="A720" s="427" t="str">
        <f t="shared" si="80"/>
        <v/>
      </c>
      <c r="B720" s="427" t="str">
        <f t="shared" si="82"/>
        <v/>
      </c>
      <c r="C720" s="427" t="str">
        <f t="shared" si="86"/>
        <v/>
      </c>
      <c r="D720" s="427" t="str">
        <f t="shared" si="86"/>
        <v/>
      </c>
    </row>
    <row r="721" spans="1:4">
      <c r="A721" s="427" t="str">
        <f t="shared" si="80"/>
        <v/>
      </c>
      <c r="B721" s="427" t="str">
        <f t="shared" si="82"/>
        <v/>
      </c>
      <c r="C721" s="427" t="str">
        <f t="shared" si="86"/>
        <v/>
      </c>
      <c r="D721" s="427" t="str">
        <f t="shared" si="86"/>
        <v/>
      </c>
    </row>
    <row r="722" spans="1:4">
      <c r="A722" s="427" t="str">
        <f t="shared" si="80"/>
        <v/>
      </c>
      <c r="B722" s="427" t="str">
        <f t="shared" si="82"/>
        <v/>
      </c>
      <c r="C722" s="427" t="str">
        <f t="shared" si="86"/>
        <v/>
      </c>
      <c r="D722" s="427" t="str">
        <f t="shared" si="86"/>
        <v/>
      </c>
    </row>
    <row r="723" spans="1:4">
      <c r="A723" s="427" t="str">
        <f t="shared" si="80"/>
        <v/>
      </c>
      <c r="B723" s="427" t="str">
        <f t="shared" si="82"/>
        <v/>
      </c>
      <c r="C723" s="427" t="str">
        <f t="shared" si="86"/>
        <v/>
      </c>
      <c r="D723" s="427" t="str">
        <f t="shared" si="86"/>
        <v/>
      </c>
    </row>
    <row r="724" spans="1:4">
      <c r="A724" s="427" t="str">
        <f t="shared" si="80"/>
        <v/>
      </c>
      <c r="B724" s="427" t="str">
        <f t="shared" si="82"/>
        <v/>
      </c>
      <c r="C724" s="427" t="str">
        <f t="shared" si="86"/>
        <v/>
      </c>
      <c r="D724" s="427" t="str">
        <f t="shared" si="86"/>
        <v/>
      </c>
    </row>
    <row r="725" spans="1:4">
      <c r="A725" s="427" t="str">
        <f t="shared" si="80"/>
        <v/>
      </c>
      <c r="B725" s="427" t="str">
        <f t="shared" si="82"/>
        <v/>
      </c>
      <c r="C725" s="427" t="str">
        <f t="shared" si="86"/>
        <v/>
      </c>
      <c r="D725" s="427" t="str">
        <f t="shared" si="86"/>
        <v/>
      </c>
    </row>
    <row r="726" spans="1:4">
      <c r="A726" s="427" t="str">
        <f t="shared" si="80"/>
        <v/>
      </c>
      <c r="B726" s="427" t="str">
        <f t="shared" si="82"/>
        <v/>
      </c>
      <c r="C726" s="427" t="str">
        <f t="shared" si="86"/>
        <v/>
      </c>
      <c r="D726" s="427" t="str">
        <f t="shared" si="86"/>
        <v/>
      </c>
    </row>
    <row r="727" spans="1:4">
      <c r="A727" s="427" t="str">
        <f t="shared" si="80"/>
        <v/>
      </c>
      <c r="B727" s="427" t="str">
        <f t="shared" si="82"/>
        <v/>
      </c>
      <c r="C727" s="427" t="str">
        <f t="shared" si="86"/>
        <v/>
      </c>
      <c r="D727" s="427" t="str">
        <f t="shared" si="86"/>
        <v/>
      </c>
    </row>
    <row r="728" spans="1:4">
      <c r="A728" s="427" t="str">
        <f t="shared" si="80"/>
        <v/>
      </c>
      <c r="B728" s="427" t="str">
        <f t="shared" si="82"/>
        <v/>
      </c>
      <c r="C728" s="427" t="str">
        <f t="shared" si="86"/>
        <v/>
      </c>
      <c r="D728" s="427" t="str">
        <f t="shared" si="86"/>
        <v/>
      </c>
    </row>
    <row r="729" spans="1:4">
      <c r="A729" s="427" t="str">
        <f t="shared" si="80"/>
        <v/>
      </c>
      <c r="B729" s="427" t="str">
        <f t="shared" si="82"/>
        <v/>
      </c>
      <c r="C729" s="427" t="str">
        <f t="shared" si="86"/>
        <v/>
      </c>
      <c r="D729" s="427" t="str">
        <f t="shared" si="86"/>
        <v/>
      </c>
    </row>
    <row r="730" spans="1:4">
      <c r="A730" s="427" t="str">
        <f t="shared" si="80"/>
        <v/>
      </c>
      <c r="B730" s="427" t="str">
        <f t="shared" si="82"/>
        <v/>
      </c>
      <c r="C730" s="427" t="str">
        <f t="shared" si="86"/>
        <v/>
      </c>
      <c r="D730" s="427" t="str">
        <f t="shared" si="86"/>
        <v/>
      </c>
    </row>
    <row r="731" spans="1:4">
      <c r="A731" s="427" t="str">
        <f t="shared" si="80"/>
        <v/>
      </c>
      <c r="B731" s="427" t="str">
        <f t="shared" si="82"/>
        <v/>
      </c>
      <c r="C731" s="427" t="str">
        <f t="shared" si="86"/>
        <v/>
      </c>
      <c r="D731" s="427" t="str">
        <f t="shared" si="86"/>
        <v/>
      </c>
    </row>
    <row r="732" spans="1:4">
      <c r="A732" s="427" t="str">
        <f t="shared" ref="A732:A795" si="87">MID($F732,4,2)</f>
        <v/>
      </c>
      <c r="B732" s="427" t="str">
        <f t="shared" si="82"/>
        <v/>
      </c>
      <c r="C732" s="427" t="str">
        <f t="shared" si="86"/>
        <v/>
      </c>
      <c r="D732" s="427" t="str">
        <f t="shared" si="86"/>
        <v/>
      </c>
    </row>
    <row r="733" spans="1:4">
      <c r="A733" s="427" t="str">
        <f t="shared" si="87"/>
        <v/>
      </c>
      <c r="B733" s="427" t="str">
        <f t="shared" si="82"/>
        <v/>
      </c>
      <c r="C733" s="427" t="str">
        <f t="shared" si="86"/>
        <v/>
      </c>
      <c r="D733" s="427" t="str">
        <f t="shared" si="86"/>
        <v/>
      </c>
    </row>
    <row r="734" spans="1:4">
      <c r="A734" s="427" t="str">
        <f t="shared" si="87"/>
        <v/>
      </c>
      <c r="B734" s="427" t="str">
        <f t="shared" si="82"/>
        <v/>
      </c>
      <c r="C734" s="427" t="str">
        <f t="shared" si="86"/>
        <v/>
      </c>
      <c r="D734" s="427" t="str">
        <f t="shared" si="86"/>
        <v/>
      </c>
    </row>
    <row r="735" spans="1:4">
      <c r="A735" s="427" t="str">
        <f t="shared" si="87"/>
        <v/>
      </c>
      <c r="B735" s="427" t="str">
        <f t="shared" si="82"/>
        <v/>
      </c>
      <c r="C735" s="427" t="str">
        <f t="shared" si="86"/>
        <v/>
      </c>
      <c r="D735" s="427" t="str">
        <f t="shared" si="86"/>
        <v/>
      </c>
    </row>
    <row r="736" spans="1:4">
      <c r="A736" s="427" t="str">
        <f t="shared" si="87"/>
        <v/>
      </c>
      <c r="B736" s="427" t="str">
        <f t="shared" si="82"/>
        <v/>
      </c>
      <c r="C736" s="427" t="str">
        <f t="shared" si="86"/>
        <v/>
      </c>
      <c r="D736" s="427" t="str">
        <f t="shared" si="86"/>
        <v/>
      </c>
    </row>
    <row r="737" spans="1:4">
      <c r="A737" s="427" t="str">
        <f t="shared" si="87"/>
        <v/>
      </c>
      <c r="B737" s="427" t="str">
        <f t="shared" si="82"/>
        <v/>
      </c>
      <c r="C737" s="427" t="str">
        <f t="shared" si="86"/>
        <v/>
      </c>
      <c r="D737" s="427" t="str">
        <f t="shared" si="86"/>
        <v/>
      </c>
    </row>
    <row r="738" spans="1:4">
      <c r="A738" s="427" t="str">
        <f t="shared" si="87"/>
        <v/>
      </c>
      <c r="B738" s="427" t="str">
        <f t="shared" si="82"/>
        <v/>
      </c>
      <c r="C738" s="427" t="str">
        <f t="shared" si="86"/>
        <v/>
      </c>
      <c r="D738" s="427" t="str">
        <f t="shared" si="86"/>
        <v/>
      </c>
    </row>
    <row r="739" spans="1:4">
      <c r="A739" s="427" t="str">
        <f t="shared" si="87"/>
        <v/>
      </c>
      <c r="B739" s="427" t="str">
        <f t="shared" si="82"/>
        <v/>
      </c>
      <c r="C739" s="427" t="str">
        <f t="shared" si="86"/>
        <v/>
      </c>
      <c r="D739" s="427" t="str">
        <f t="shared" si="86"/>
        <v/>
      </c>
    </row>
    <row r="740" spans="1:4">
      <c r="A740" s="427" t="str">
        <f t="shared" si="87"/>
        <v/>
      </c>
      <c r="B740" s="427" t="str">
        <f t="shared" si="82"/>
        <v/>
      </c>
      <c r="C740" s="427" t="str">
        <f t="shared" si="86"/>
        <v/>
      </c>
      <c r="D740" s="427" t="str">
        <f t="shared" si="86"/>
        <v/>
      </c>
    </row>
    <row r="741" spans="1:4">
      <c r="A741" s="427" t="str">
        <f t="shared" si="87"/>
        <v/>
      </c>
      <c r="B741" s="427" t="str">
        <f t="shared" si="82"/>
        <v/>
      </c>
      <c r="C741" s="427" t="str">
        <f t="shared" si="86"/>
        <v/>
      </c>
      <c r="D741" s="427" t="str">
        <f t="shared" si="86"/>
        <v/>
      </c>
    </row>
    <row r="742" spans="1:4">
      <c r="A742" s="427" t="str">
        <f t="shared" si="87"/>
        <v/>
      </c>
      <c r="B742" s="427" t="str">
        <f t="shared" si="82"/>
        <v/>
      </c>
    </row>
    <row r="743" spans="1:4">
      <c r="A743" s="427" t="str">
        <f t="shared" si="87"/>
        <v/>
      </c>
      <c r="B743" s="427" t="str">
        <f t="shared" si="82"/>
        <v/>
      </c>
    </row>
    <row r="744" spans="1:4">
      <c r="A744" s="427" t="str">
        <f t="shared" si="87"/>
        <v/>
      </c>
      <c r="B744" s="427" t="str">
        <f t="shared" si="82"/>
        <v/>
      </c>
    </row>
    <row r="745" spans="1:4">
      <c r="A745" s="427" t="str">
        <f t="shared" si="87"/>
        <v/>
      </c>
      <c r="B745" s="427" t="str">
        <f t="shared" ref="B745:B808" si="88">IF(MID($F745,12,2)="- ","KY",IF(MID($F745,12,2)="SY","KY",MID($F745,12,2)))</f>
        <v/>
      </c>
    </row>
    <row r="746" spans="1:4">
      <c r="A746" s="427" t="str">
        <f t="shared" si="87"/>
        <v/>
      </c>
      <c r="B746" s="427" t="str">
        <f t="shared" si="88"/>
        <v/>
      </c>
    </row>
    <row r="747" spans="1:4">
      <c r="A747" s="427" t="str">
        <f t="shared" si="87"/>
        <v/>
      </c>
      <c r="B747" s="427" t="str">
        <f t="shared" si="88"/>
        <v/>
      </c>
    </row>
    <row r="748" spans="1:4">
      <c r="A748" s="427" t="str">
        <f t="shared" si="87"/>
        <v/>
      </c>
      <c r="B748" s="427" t="str">
        <f t="shared" si="88"/>
        <v/>
      </c>
    </row>
    <row r="749" spans="1:4">
      <c r="A749" s="427" t="str">
        <f t="shared" si="87"/>
        <v/>
      </c>
      <c r="B749" s="427" t="str">
        <f t="shared" si="88"/>
        <v/>
      </c>
    </row>
    <row r="750" spans="1:4">
      <c r="A750" s="427" t="str">
        <f t="shared" si="87"/>
        <v/>
      </c>
      <c r="B750" s="427" t="str">
        <f t="shared" si="88"/>
        <v/>
      </c>
    </row>
    <row r="751" spans="1:4">
      <c r="A751" s="427" t="str">
        <f t="shared" si="87"/>
        <v/>
      </c>
      <c r="B751" s="427" t="str">
        <f t="shared" si="88"/>
        <v/>
      </c>
    </row>
    <row r="752" spans="1:4">
      <c r="A752" s="427" t="str">
        <f t="shared" si="87"/>
        <v/>
      </c>
      <c r="B752" s="427" t="str">
        <f t="shared" si="88"/>
        <v/>
      </c>
    </row>
    <row r="753" spans="1:2">
      <c r="A753" s="427" t="str">
        <f t="shared" si="87"/>
        <v/>
      </c>
      <c r="B753" s="427" t="str">
        <f t="shared" si="88"/>
        <v/>
      </c>
    </row>
    <row r="754" spans="1:2">
      <c r="A754" s="427" t="str">
        <f t="shared" si="87"/>
        <v/>
      </c>
      <c r="B754" s="427" t="str">
        <f t="shared" si="88"/>
        <v/>
      </c>
    </row>
    <row r="755" spans="1:2">
      <c r="A755" s="427" t="str">
        <f t="shared" si="87"/>
        <v/>
      </c>
      <c r="B755" s="427" t="str">
        <f t="shared" si="88"/>
        <v/>
      </c>
    </row>
    <row r="756" spans="1:2">
      <c r="A756" s="427" t="str">
        <f t="shared" si="87"/>
        <v/>
      </c>
      <c r="B756" s="427" t="str">
        <f t="shared" si="88"/>
        <v/>
      </c>
    </row>
    <row r="757" spans="1:2">
      <c r="A757" s="427" t="str">
        <f t="shared" si="87"/>
        <v/>
      </c>
      <c r="B757" s="427" t="str">
        <f t="shared" si="88"/>
        <v/>
      </c>
    </row>
    <row r="758" spans="1:2">
      <c r="A758" s="427" t="str">
        <f t="shared" si="87"/>
        <v/>
      </c>
      <c r="B758" s="427" t="str">
        <f t="shared" si="88"/>
        <v/>
      </c>
    </row>
    <row r="759" spans="1:2">
      <c r="A759" s="427" t="str">
        <f t="shared" si="87"/>
        <v/>
      </c>
      <c r="B759" s="427" t="str">
        <f t="shared" si="88"/>
        <v/>
      </c>
    </row>
    <row r="760" spans="1:2">
      <c r="A760" s="427" t="str">
        <f t="shared" si="87"/>
        <v/>
      </c>
      <c r="B760" s="427" t="str">
        <f t="shared" si="88"/>
        <v/>
      </c>
    </row>
    <row r="761" spans="1:2">
      <c r="A761" s="427" t="str">
        <f t="shared" si="87"/>
        <v/>
      </c>
      <c r="B761" s="427" t="str">
        <f t="shared" si="88"/>
        <v/>
      </c>
    </row>
    <row r="762" spans="1:2">
      <c r="A762" s="427" t="str">
        <f t="shared" si="87"/>
        <v/>
      </c>
      <c r="B762" s="427" t="str">
        <f t="shared" si="88"/>
        <v/>
      </c>
    </row>
    <row r="763" spans="1:2">
      <c r="A763" s="427" t="str">
        <f t="shared" si="87"/>
        <v/>
      </c>
      <c r="B763" s="427" t="str">
        <f t="shared" si="88"/>
        <v/>
      </c>
    </row>
    <row r="764" spans="1:2">
      <c r="A764" s="427" t="str">
        <f t="shared" si="87"/>
        <v/>
      </c>
      <c r="B764" s="427" t="str">
        <f t="shared" si="88"/>
        <v/>
      </c>
    </row>
    <row r="765" spans="1:2">
      <c r="A765" s="427" t="str">
        <f t="shared" si="87"/>
        <v/>
      </c>
      <c r="B765" s="427" t="str">
        <f t="shared" si="88"/>
        <v/>
      </c>
    </row>
    <row r="766" spans="1:2">
      <c r="A766" s="427" t="str">
        <f t="shared" si="87"/>
        <v/>
      </c>
      <c r="B766" s="427" t="str">
        <f t="shared" si="88"/>
        <v/>
      </c>
    </row>
    <row r="767" spans="1:2">
      <c r="A767" s="427" t="str">
        <f t="shared" si="87"/>
        <v/>
      </c>
      <c r="B767" s="427" t="str">
        <f t="shared" si="88"/>
        <v/>
      </c>
    </row>
    <row r="768" spans="1:2">
      <c r="A768" s="427" t="str">
        <f t="shared" si="87"/>
        <v/>
      </c>
      <c r="B768" s="427" t="str">
        <f t="shared" si="88"/>
        <v/>
      </c>
    </row>
    <row r="769" spans="1:2">
      <c r="A769" s="427" t="str">
        <f t="shared" si="87"/>
        <v/>
      </c>
      <c r="B769" s="427" t="str">
        <f t="shared" si="88"/>
        <v/>
      </c>
    </row>
    <row r="770" spans="1:2">
      <c r="A770" s="427" t="str">
        <f t="shared" si="87"/>
        <v/>
      </c>
      <c r="B770" s="427" t="str">
        <f t="shared" si="88"/>
        <v/>
      </c>
    </row>
    <row r="771" spans="1:2">
      <c r="A771" s="427" t="str">
        <f t="shared" si="87"/>
        <v/>
      </c>
      <c r="B771" s="427" t="str">
        <f t="shared" si="88"/>
        <v/>
      </c>
    </row>
    <row r="772" spans="1:2">
      <c r="A772" s="427" t="str">
        <f t="shared" si="87"/>
        <v/>
      </c>
      <c r="B772" s="427" t="str">
        <f t="shared" si="88"/>
        <v/>
      </c>
    </row>
    <row r="773" spans="1:2">
      <c r="A773" s="427" t="str">
        <f t="shared" si="87"/>
        <v/>
      </c>
      <c r="B773" s="427" t="str">
        <f t="shared" si="88"/>
        <v/>
      </c>
    </row>
    <row r="774" spans="1:2">
      <c r="A774" s="427" t="str">
        <f t="shared" si="87"/>
        <v/>
      </c>
      <c r="B774" s="427" t="str">
        <f t="shared" si="88"/>
        <v/>
      </c>
    </row>
    <row r="775" spans="1:2">
      <c r="A775" s="427" t="str">
        <f t="shared" si="87"/>
        <v/>
      </c>
      <c r="B775" s="427" t="str">
        <f t="shared" si="88"/>
        <v/>
      </c>
    </row>
    <row r="776" spans="1:2">
      <c r="A776" s="427" t="str">
        <f t="shared" si="87"/>
        <v/>
      </c>
      <c r="B776" s="427" t="str">
        <f t="shared" si="88"/>
        <v/>
      </c>
    </row>
    <row r="777" spans="1:2">
      <c r="A777" s="427" t="str">
        <f t="shared" si="87"/>
        <v/>
      </c>
      <c r="B777" s="427" t="str">
        <f t="shared" si="88"/>
        <v/>
      </c>
    </row>
    <row r="778" spans="1:2">
      <c r="A778" s="427" t="str">
        <f t="shared" si="87"/>
        <v/>
      </c>
      <c r="B778" s="427" t="str">
        <f t="shared" si="88"/>
        <v/>
      </c>
    </row>
    <row r="779" spans="1:2">
      <c r="A779" s="427" t="str">
        <f t="shared" si="87"/>
        <v/>
      </c>
      <c r="B779" s="427" t="str">
        <f t="shared" si="88"/>
        <v/>
      </c>
    </row>
    <row r="780" spans="1:2">
      <c r="A780" s="427" t="str">
        <f t="shared" si="87"/>
        <v/>
      </c>
      <c r="B780" s="427" t="str">
        <f t="shared" si="88"/>
        <v/>
      </c>
    </row>
    <row r="781" spans="1:2">
      <c r="A781" s="427" t="str">
        <f t="shared" si="87"/>
        <v/>
      </c>
      <c r="B781" s="427" t="str">
        <f t="shared" si="88"/>
        <v/>
      </c>
    </row>
    <row r="782" spans="1:2">
      <c r="A782" s="427" t="str">
        <f t="shared" si="87"/>
        <v/>
      </c>
      <c r="B782" s="427" t="str">
        <f t="shared" si="88"/>
        <v/>
      </c>
    </row>
    <row r="783" spans="1:2">
      <c r="A783" s="427" t="str">
        <f t="shared" si="87"/>
        <v/>
      </c>
      <c r="B783" s="427" t="str">
        <f t="shared" si="88"/>
        <v/>
      </c>
    </row>
    <row r="784" spans="1:2">
      <c r="A784" s="427" t="str">
        <f t="shared" si="87"/>
        <v/>
      </c>
      <c r="B784" s="427" t="str">
        <f t="shared" si="88"/>
        <v/>
      </c>
    </row>
    <row r="785" spans="1:2">
      <c r="A785" s="427" t="str">
        <f t="shared" si="87"/>
        <v/>
      </c>
      <c r="B785" s="427" t="str">
        <f t="shared" si="88"/>
        <v/>
      </c>
    </row>
    <row r="786" spans="1:2">
      <c r="A786" s="427" t="str">
        <f t="shared" si="87"/>
        <v/>
      </c>
      <c r="B786" s="427" t="str">
        <f t="shared" si="88"/>
        <v/>
      </c>
    </row>
    <row r="787" spans="1:2">
      <c r="A787" s="427" t="str">
        <f t="shared" si="87"/>
        <v/>
      </c>
      <c r="B787" s="427" t="str">
        <f t="shared" si="88"/>
        <v/>
      </c>
    </row>
    <row r="788" spans="1:2">
      <c r="A788" s="427" t="str">
        <f t="shared" si="87"/>
        <v/>
      </c>
      <c r="B788" s="427" t="str">
        <f t="shared" si="88"/>
        <v/>
      </c>
    </row>
    <row r="789" spans="1:2">
      <c r="A789" s="427" t="str">
        <f t="shared" si="87"/>
        <v/>
      </c>
      <c r="B789" s="427" t="str">
        <f t="shared" si="88"/>
        <v/>
      </c>
    </row>
    <row r="790" spans="1:2">
      <c r="A790" s="427" t="str">
        <f t="shared" si="87"/>
        <v/>
      </c>
      <c r="B790" s="427" t="str">
        <f t="shared" si="88"/>
        <v/>
      </c>
    </row>
    <row r="791" spans="1:2">
      <c r="A791" s="427" t="str">
        <f t="shared" si="87"/>
        <v/>
      </c>
      <c r="B791" s="427" t="str">
        <f t="shared" si="88"/>
        <v/>
      </c>
    </row>
    <row r="792" spans="1:2">
      <c r="A792" s="427" t="str">
        <f t="shared" si="87"/>
        <v/>
      </c>
      <c r="B792" s="427" t="str">
        <f t="shared" si="88"/>
        <v/>
      </c>
    </row>
    <row r="793" spans="1:2">
      <c r="A793" s="427" t="str">
        <f t="shared" si="87"/>
        <v/>
      </c>
      <c r="B793" s="427" t="str">
        <f t="shared" si="88"/>
        <v/>
      </c>
    </row>
    <row r="794" spans="1:2">
      <c r="A794" s="427" t="str">
        <f t="shared" si="87"/>
        <v/>
      </c>
      <c r="B794" s="427" t="str">
        <f t="shared" si="88"/>
        <v/>
      </c>
    </row>
    <row r="795" spans="1:2">
      <c r="A795" s="427" t="str">
        <f t="shared" si="87"/>
        <v/>
      </c>
      <c r="B795" s="427" t="str">
        <f t="shared" si="88"/>
        <v/>
      </c>
    </row>
    <row r="796" spans="1:2">
      <c r="A796" s="427" t="str">
        <f t="shared" ref="A796:A848" si="89">MID($F796,4,2)</f>
        <v/>
      </c>
      <c r="B796" s="427" t="str">
        <f t="shared" si="88"/>
        <v/>
      </c>
    </row>
    <row r="797" spans="1:2">
      <c r="A797" s="427" t="str">
        <f t="shared" si="89"/>
        <v/>
      </c>
      <c r="B797" s="427" t="str">
        <f t="shared" si="88"/>
        <v/>
      </c>
    </row>
    <row r="798" spans="1:2">
      <c r="A798" s="427" t="str">
        <f t="shared" si="89"/>
        <v/>
      </c>
      <c r="B798" s="427" t="str">
        <f t="shared" si="88"/>
        <v/>
      </c>
    </row>
    <row r="799" spans="1:2">
      <c r="A799" s="427" t="str">
        <f t="shared" si="89"/>
        <v/>
      </c>
      <c r="B799" s="427" t="str">
        <f t="shared" si="88"/>
        <v/>
      </c>
    </row>
    <row r="800" spans="1:2">
      <c r="A800" s="427" t="str">
        <f t="shared" si="89"/>
        <v/>
      </c>
      <c r="B800" s="427" t="str">
        <f t="shared" si="88"/>
        <v/>
      </c>
    </row>
    <row r="801" spans="1:2">
      <c r="A801" s="427" t="str">
        <f t="shared" si="89"/>
        <v/>
      </c>
      <c r="B801" s="427" t="str">
        <f t="shared" si="88"/>
        <v/>
      </c>
    </row>
    <row r="802" spans="1:2">
      <c r="A802" s="427" t="str">
        <f t="shared" si="89"/>
        <v/>
      </c>
      <c r="B802" s="427" t="str">
        <f t="shared" si="88"/>
        <v/>
      </c>
    </row>
    <row r="803" spans="1:2">
      <c r="A803" s="427" t="str">
        <f t="shared" si="89"/>
        <v/>
      </c>
      <c r="B803" s="427" t="str">
        <f t="shared" si="88"/>
        <v/>
      </c>
    </row>
    <row r="804" spans="1:2">
      <c r="A804" s="427" t="str">
        <f t="shared" si="89"/>
        <v/>
      </c>
      <c r="B804" s="427" t="str">
        <f t="shared" si="88"/>
        <v/>
      </c>
    </row>
    <row r="805" spans="1:2">
      <c r="A805" s="427" t="str">
        <f t="shared" si="89"/>
        <v/>
      </c>
      <c r="B805" s="427" t="str">
        <f t="shared" si="88"/>
        <v/>
      </c>
    </row>
    <row r="806" spans="1:2">
      <c r="A806" s="427" t="str">
        <f t="shared" si="89"/>
        <v/>
      </c>
      <c r="B806" s="427" t="str">
        <f t="shared" si="88"/>
        <v/>
      </c>
    </row>
    <row r="807" spans="1:2">
      <c r="A807" s="427" t="str">
        <f t="shared" si="89"/>
        <v/>
      </c>
      <c r="B807" s="427" t="str">
        <f t="shared" si="88"/>
        <v/>
      </c>
    </row>
    <row r="808" spans="1:2">
      <c r="A808" s="427" t="str">
        <f t="shared" si="89"/>
        <v/>
      </c>
      <c r="B808" s="427" t="str">
        <f t="shared" si="88"/>
        <v/>
      </c>
    </row>
    <row r="809" spans="1:2">
      <c r="A809" s="427" t="str">
        <f t="shared" si="89"/>
        <v/>
      </c>
      <c r="B809" s="427" t="str">
        <f t="shared" ref="B809:B872" si="90">IF(MID($F809,12,2)="- ","KY",IF(MID($F809,12,2)="SY","KY",MID($F809,12,2)))</f>
        <v/>
      </c>
    </row>
    <row r="810" spans="1:2">
      <c r="A810" s="427" t="str">
        <f t="shared" si="89"/>
        <v/>
      </c>
      <c r="B810" s="427" t="str">
        <f t="shared" si="90"/>
        <v/>
      </c>
    </row>
    <row r="811" spans="1:2">
      <c r="A811" s="427" t="str">
        <f t="shared" si="89"/>
        <v/>
      </c>
      <c r="B811" s="427" t="str">
        <f t="shared" si="90"/>
        <v/>
      </c>
    </row>
    <row r="812" spans="1:2">
      <c r="A812" s="427" t="str">
        <f t="shared" si="89"/>
        <v/>
      </c>
      <c r="B812" s="427" t="str">
        <f t="shared" si="90"/>
        <v/>
      </c>
    </row>
    <row r="813" spans="1:2">
      <c r="A813" s="427" t="str">
        <f t="shared" si="89"/>
        <v/>
      </c>
      <c r="B813" s="427" t="str">
        <f t="shared" si="90"/>
        <v/>
      </c>
    </row>
    <row r="814" spans="1:2">
      <c r="A814" s="427" t="str">
        <f t="shared" si="89"/>
        <v/>
      </c>
      <c r="B814" s="427" t="str">
        <f t="shared" si="90"/>
        <v/>
      </c>
    </row>
    <row r="815" spans="1:2">
      <c r="A815" s="427" t="str">
        <f t="shared" si="89"/>
        <v/>
      </c>
      <c r="B815" s="427" t="str">
        <f t="shared" si="90"/>
        <v/>
      </c>
    </row>
    <row r="816" spans="1:2">
      <c r="A816" s="427" t="str">
        <f t="shared" si="89"/>
        <v/>
      </c>
      <c r="B816" s="427" t="str">
        <f t="shared" si="90"/>
        <v/>
      </c>
    </row>
    <row r="817" spans="1:2">
      <c r="A817" s="427" t="str">
        <f t="shared" si="89"/>
        <v/>
      </c>
      <c r="B817" s="427" t="str">
        <f t="shared" si="90"/>
        <v/>
      </c>
    </row>
    <row r="818" spans="1:2">
      <c r="A818" s="427" t="str">
        <f t="shared" si="89"/>
        <v/>
      </c>
      <c r="B818" s="427" t="str">
        <f t="shared" si="90"/>
        <v/>
      </c>
    </row>
    <row r="819" spans="1:2">
      <c r="A819" s="427" t="str">
        <f t="shared" si="89"/>
        <v/>
      </c>
      <c r="B819" s="427" t="str">
        <f t="shared" si="90"/>
        <v/>
      </c>
    </row>
    <row r="820" spans="1:2">
      <c r="A820" s="427" t="str">
        <f t="shared" si="89"/>
        <v/>
      </c>
      <c r="B820" s="427" t="str">
        <f t="shared" si="90"/>
        <v/>
      </c>
    </row>
    <row r="821" spans="1:2">
      <c r="A821" s="427" t="str">
        <f t="shared" si="89"/>
        <v/>
      </c>
      <c r="B821" s="427" t="str">
        <f t="shared" si="90"/>
        <v/>
      </c>
    </row>
    <row r="822" spans="1:2">
      <c r="A822" s="427" t="str">
        <f t="shared" si="89"/>
        <v/>
      </c>
      <c r="B822" s="427" t="str">
        <f t="shared" si="90"/>
        <v/>
      </c>
    </row>
    <row r="823" spans="1:2">
      <c r="A823" s="427" t="str">
        <f t="shared" si="89"/>
        <v/>
      </c>
      <c r="B823" s="427" t="str">
        <f t="shared" si="90"/>
        <v/>
      </c>
    </row>
    <row r="824" spans="1:2">
      <c r="A824" s="427" t="str">
        <f t="shared" si="89"/>
        <v/>
      </c>
      <c r="B824" s="427" t="str">
        <f t="shared" si="90"/>
        <v/>
      </c>
    </row>
    <row r="825" spans="1:2">
      <c r="A825" s="427" t="str">
        <f t="shared" si="89"/>
        <v/>
      </c>
      <c r="B825" s="427" t="str">
        <f t="shared" si="90"/>
        <v/>
      </c>
    </row>
    <row r="826" spans="1:2">
      <c r="A826" s="427" t="str">
        <f t="shared" si="89"/>
        <v/>
      </c>
      <c r="B826" s="427" t="str">
        <f t="shared" si="90"/>
        <v/>
      </c>
    </row>
    <row r="827" spans="1:2">
      <c r="A827" s="427" t="str">
        <f t="shared" si="89"/>
        <v/>
      </c>
      <c r="B827" s="427" t="str">
        <f t="shared" si="90"/>
        <v/>
      </c>
    </row>
    <row r="828" spans="1:2">
      <c r="A828" s="427" t="str">
        <f t="shared" si="89"/>
        <v/>
      </c>
      <c r="B828" s="427" t="str">
        <f t="shared" si="90"/>
        <v/>
      </c>
    </row>
    <row r="829" spans="1:2">
      <c r="A829" s="427" t="str">
        <f t="shared" si="89"/>
        <v/>
      </c>
      <c r="B829" s="427" t="str">
        <f t="shared" si="90"/>
        <v/>
      </c>
    </row>
    <row r="830" spans="1:2">
      <c r="A830" s="427" t="str">
        <f t="shared" si="89"/>
        <v/>
      </c>
      <c r="B830" s="427" t="str">
        <f t="shared" si="90"/>
        <v/>
      </c>
    </row>
    <row r="831" spans="1:2">
      <c r="A831" s="427" t="str">
        <f t="shared" si="89"/>
        <v/>
      </c>
      <c r="B831" s="427" t="str">
        <f t="shared" si="90"/>
        <v/>
      </c>
    </row>
    <row r="832" spans="1:2">
      <c r="A832" s="427" t="str">
        <f t="shared" si="89"/>
        <v/>
      </c>
      <c r="B832" s="427" t="str">
        <f t="shared" si="90"/>
        <v/>
      </c>
    </row>
    <row r="833" spans="1:2">
      <c r="A833" s="427" t="str">
        <f t="shared" si="89"/>
        <v/>
      </c>
      <c r="B833" s="427" t="str">
        <f t="shared" si="90"/>
        <v/>
      </c>
    </row>
    <row r="834" spans="1:2">
      <c r="A834" s="427" t="str">
        <f t="shared" si="89"/>
        <v/>
      </c>
      <c r="B834" s="427" t="str">
        <f t="shared" si="90"/>
        <v/>
      </c>
    </row>
    <row r="835" spans="1:2">
      <c r="A835" s="427" t="str">
        <f t="shared" si="89"/>
        <v/>
      </c>
      <c r="B835" s="427" t="str">
        <f t="shared" si="90"/>
        <v/>
      </c>
    </row>
    <row r="836" spans="1:2">
      <c r="A836" s="427" t="str">
        <f t="shared" si="89"/>
        <v/>
      </c>
      <c r="B836" s="427" t="str">
        <f t="shared" si="90"/>
        <v/>
      </c>
    </row>
    <row r="837" spans="1:2">
      <c r="A837" s="427" t="str">
        <f t="shared" si="89"/>
        <v/>
      </c>
      <c r="B837" s="427" t="str">
        <f t="shared" si="90"/>
        <v/>
      </c>
    </row>
    <row r="838" spans="1:2">
      <c r="A838" s="427" t="str">
        <f t="shared" si="89"/>
        <v/>
      </c>
      <c r="B838" s="427" t="str">
        <f t="shared" si="90"/>
        <v/>
      </c>
    </row>
    <row r="839" spans="1:2">
      <c r="A839" s="427" t="str">
        <f t="shared" si="89"/>
        <v/>
      </c>
      <c r="B839" s="427" t="str">
        <f t="shared" si="90"/>
        <v/>
      </c>
    </row>
    <row r="840" spans="1:2">
      <c r="A840" s="427" t="str">
        <f t="shared" si="89"/>
        <v/>
      </c>
      <c r="B840" s="427" t="str">
        <f t="shared" si="90"/>
        <v/>
      </c>
    </row>
    <row r="841" spans="1:2">
      <c r="A841" s="427" t="str">
        <f t="shared" si="89"/>
        <v/>
      </c>
      <c r="B841" s="427" t="str">
        <f t="shared" si="90"/>
        <v/>
      </c>
    </row>
    <row r="842" spans="1:2">
      <c r="A842" s="427" t="str">
        <f t="shared" si="89"/>
        <v/>
      </c>
      <c r="B842" s="427" t="str">
        <f t="shared" si="90"/>
        <v/>
      </c>
    </row>
    <row r="843" spans="1:2">
      <c r="A843" s="427" t="str">
        <f t="shared" si="89"/>
        <v/>
      </c>
      <c r="B843" s="427" t="str">
        <f t="shared" si="90"/>
        <v/>
      </c>
    </row>
    <row r="844" spans="1:2">
      <c r="A844" s="427" t="str">
        <f t="shared" si="89"/>
        <v/>
      </c>
      <c r="B844" s="427" t="str">
        <f t="shared" si="90"/>
        <v/>
      </c>
    </row>
    <row r="845" spans="1:2">
      <c r="A845" s="427" t="str">
        <f t="shared" si="89"/>
        <v/>
      </c>
      <c r="B845" s="427" t="str">
        <f t="shared" si="90"/>
        <v/>
      </c>
    </row>
    <row r="846" spans="1:2">
      <c r="A846" s="427" t="str">
        <f t="shared" si="89"/>
        <v/>
      </c>
      <c r="B846" s="427" t="str">
        <f t="shared" si="90"/>
        <v/>
      </c>
    </row>
    <row r="847" spans="1:2">
      <c r="A847" s="427" t="str">
        <f t="shared" si="89"/>
        <v/>
      </c>
      <c r="B847" s="427" t="str">
        <f t="shared" si="90"/>
        <v/>
      </c>
    </row>
    <row r="848" spans="1:2">
      <c r="A848" s="427" t="str">
        <f t="shared" si="89"/>
        <v/>
      </c>
      <c r="B848" s="427" t="str">
        <f t="shared" si="90"/>
        <v/>
      </c>
    </row>
    <row r="849" spans="2:2">
      <c r="B849" s="427" t="str">
        <f t="shared" si="90"/>
        <v/>
      </c>
    </row>
    <row r="850" spans="2:2">
      <c r="B850" s="427" t="str">
        <f t="shared" si="90"/>
        <v/>
      </c>
    </row>
    <row r="851" spans="2:2">
      <c r="B851" s="427" t="str">
        <f t="shared" si="90"/>
        <v/>
      </c>
    </row>
    <row r="852" spans="2:2">
      <c r="B852" s="427" t="str">
        <f t="shared" si="90"/>
        <v/>
      </c>
    </row>
    <row r="853" spans="2:2">
      <c r="B853" s="427" t="str">
        <f t="shared" si="90"/>
        <v/>
      </c>
    </row>
    <row r="854" spans="2:2">
      <c r="B854" s="427" t="str">
        <f t="shared" si="90"/>
        <v/>
      </c>
    </row>
    <row r="855" spans="2:2">
      <c r="B855" s="427" t="str">
        <f t="shared" si="90"/>
        <v/>
      </c>
    </row>
    <row r="856" spans="2:2">
      <c r="B856" s="427" t="str">
        <f t="shared" si="90"/>
        <v/>
      </c>
    </row>
    <row r="857" spans="2:2">
      <c r="B857" s="427" t="str">
        <f t="shared" si="90"/>
        <v/>
      </c>
    </row>
    <row r="858" spans="2:2">
      <c r="B858" s="427" t="str">
        <f t="shared" si="90"/>
        <v/>
      </c>
    </row>
    <row r="859" spans="2:2">
      <c r="B859" s="427" t="str">
        <f t="shared" si="90"/>
        <v/>
      </c>
    </row>
    <row r="860" spans="2:2">
      <c r="B860" s="427" t="str">
        <f t="shared" si="90"/>
        <v/>
      </c>
    </row>
    <row r="861" spans="2:2">
      <c r="B861" s="427" t="str">
        <f t="shared" si="90"/>
        <v/>
      </c>
    </row>
    <row r="862" spans="2:2">
      <c r="B862" s="427" t="str">
        <f t="shared" si="90"/>
        <v/>
      </c>
    </row>
    <row r="863" spans="2:2">
      <c r="B863" s="427" t="str">
        <f t="shared" si="90"/>
        <v/>
      </c>
    </row>
    <row r="864" spans="2:2">
      <c r="B864" s="427" t="str">
        <f t="shared" si="90"/>
        <v/>
      </c>
    </row>
    <row r="865" spans="2:2">
      <c r="B865" s="427" t="str">
        <f t="shared" si="90"/>
        <v/>
      </c>
    </row>
    <row r="866" spans="2:2">
      <c r="B866" s="427" t="str">
        <f t="shared" si="90"/>
        <v/>
      </c>
    </row>
    <row r="867" spans="2:2">
      <c r="B867" s="427" t="str">
        <f t="shared" si="90"/>
        <v/>
      </c>
    </row>
    <row r="868" spans="2:2">
      <c r="B868" s="427" t="str">
        <f t="shared" si="90"/>
        <v/>
      </c>
    </row>
    <row r="869" spans="2:2">
      <c r="B869" s="427" t="str">
        <f t="shared" si="90"/>
        <v/>
      </c>
    </row>
    <row r="870" spans="2:2">
      <c r="B870" s="427" t="str">
        <f t="shared" si="90"/>
        <v/>
      </c>
    </row>
    <row r="871" spans="2:2">
      <c r="B871" s="427" t="str">
        <f t="shared" si="90"/>
        <v/>
      </c>
    </row>
    <row r="872" spans="2:2">
      <c r="B872" s="427" t="str">
        <f t="shared" si="90"/>
        <v/>
      </c>
    </row>
    <row r="873" spans="2:2">
      <c r="B873" s="427" t="str">
        <f t="shared" ref="B873:B936" si="91">IF(MID($F873,12,2)="- ","KY",IF(MID($F873,12,2)="SY","KY",MID($F873,12,2)))</f>
        <v/>
      </c>
    </row>
    <row r="874" spans="2:2">
      <c r="B874" s="427" t="str">
        <f t="shared" si="91"/>
        <v/>
      </c>
    </row>
    <row r="875" spans="2:2">
      <c r="B875" s="427" t="str">
        <f t="shared" si="91"/>
        <v/>
      </c>
    </row>
    <row r="876" spans="2:2">
      <c r="B876" s="427" t="str">
        <f t="shared" si="91"/>
        <v/>
      </c>
    </row>
    <row r="877" spans="2:2">
      <c r="B877" s="427" t="str">
        <f t="shared" si="91"/>
        <v/>
      </c>
    </row>
    <row r="878" spans="2:2">
      <c r="B878" s="427" t="str">
        <f t="shared" si="91"/>
        <v/>
      </c>
    </row>
    <row r="879" spans="2:2">
      <c r="B879" s="427" t="str">
        <f t="shared" si="91"/>
        <v/>
      </c>
    </row>
    <row r="880" spans="2:2">
      <c r="B880" s="427" t="str">
        <f t="shared" si="91"/>
        <v/>
      </c>
    </row>
    <row r="881" spans="2:2">
      <c r="B881" s="427" t="str">
        <f t="shared" si="91"/>
        <v/>
      </c>
    </row>
    <row r="882" spans="2:2">
      <c r="B882" s="427" t="str">
        <f t="shared" si="91"/>
        <v/>
      </c>
    </row>
    <row r="883" spans="2:2">
      <c r="B883" s="427" t="str">
        <f t="shared" si="91"/>
        <v/>
      </c>
    </row>
    <row r="884" spans="2:2">
      <c r="B884" s="427" t="str">
        <f t="shared" si="91"/>
        <v/>
      </c>
    </row>
    <row r="885" spans="2:2">
      <c r="B885" s="427" t="str">
        <f t="shared" si="91"/>
        <v/>
      </c>
    </row>
    <row r="886" spans="2:2">
      <c r="B886" s="427" t="str">
        <f t="shared" si="91"/>
        <v/>
      </c>
    </row>
    <row r="887" spans="2:2">
      <c r="B887" s="427" t="str">
        <f t="shared" si="91"/>
        <v/>
      </c>
    </row>
    <row r="888" spans="2:2">
      <c r="B888" s="427" t="str">
        <f t="shared" si="91"/>
        <v/>
      </c>
    </row>
    <row r="889" spans="2:2">
      <c r="B889" s="427" t="str">
        <f t="shared" si="91"/>
        <v/>
      </c>
    </row>
    <row r="890" spans="2:2">
      <c r="B890" s="427" t="str">
        <f t="shared" si="91"/>
        <v/>
      </c>
    </row>
    <row r="891" spans="2:2">
      <c r="B891" s="427" t="str">
        <f t="shared" si="91"/>
        <v/>
      </c>
    </row>
    <row r="892" spans="2:2">
      <c r="B892" s="427" t="str">
        <f t="shared" si="91"/>
        <v/>
      </c>
    </row>
    <row r="893" spans="2:2">
      <c r="B893" s="427" t="str">
        <f t="shared" si="91"/>
        <v/>
      </c>
    </row>
    <row r="894" spans="2:2">
      <c r="B894" s="427" t="str">
        <f t="shared" si="91"/>
        <v/>
      </c>
    </row>
    <row r="895" spans="2:2">
      <c r="B895" s="427" t="str">
        <f t="shared" si="91"/>
        <v/>
      </c>
    </row>
    <row r="896" spans="2:2">
      <c r="B896" s="427" t="str">
        <f t="shared" si="91"/>
        <v/>
      </c>
    </row>
    <row r="897" spans="2:2">
      <c r="B897" s="427" t="str">
        <f t="shared" si="91"/>
        <v/>
      </c>
    </row>
    <row r="898" spans="2:2">
      <c r="B898" s="427" t="str">
        <f t="shared" si="91"/>
        <v/>
      </c>
    </row>
    <row r="899" spans="2:2">
      <c r="B899" s="427" t="str">
        <f t="shared" si="91"/>
        <v/>
      </c>
    </row>
    <row r="900" spans="2:2">
      <c r="B900" s="427" t="str">
        <f t="shared" si="91"/>
        <v/>
      </c>
    </row>
    <row r="901" spans="2:2">
      <c r="B901" s="427" t="str">
        <f t="shared" si="91"/>
        <v/>
      </c>
    </row>
    <row r="902" spans="2:2">
      <c r="B902" s="427" t="str">
        <f t="shared" si="91"/>
        <v/>
      </c>
    </row>
    <row r="903" spans="2:2">
      <c r="B903" s="427" t="str">
        <f t="shared" si="91"/>
        <v/>
      </c>
    </row>
    <row r="904" spans="2:2">
      <c r="B904" s="427" t="str">
        <f t="shared" si="91"/>
        <v/>
      </c>
    </row>
    <row r="905" spans="2:2">
      <c r="B905" s="427" t="str">
        <f t="shared" si="91"/>
        <v/>
      </c>
    </row>
    <row r="906" spans="2:2">
      <c r="B906" s="427" t="str">
        <f t="shared" si="91"/>
        <v/>
      </c>
    </row>
    <row r="907" spans="2:2">
      <c r="B907" s="427" t="str">
        <f t="shared" si="91"/>
        <v/>
      </c>
    </row>
    <row r="908" spans="2:2">
      <c r="B908" s="427" t="str">
        <f t="shared" si="91"/>
        <v/>
      </c>
    </row>
    <row r="909" spans="2:2">
      <c r="B909" s="427" t="str">
        <f t="shared" si="91"/>
        <v/>
      </c>
    </row>
    <row r="910" spans="2:2">
      <c r="B910" s="427" t="str">
        <f t="shared" si="91"/>
        <v/>
      </c>
    </row>
    <row r="911" spans="2:2">
      <c r="B911" s="427" t="str">
        <f t="shared" si="91"/>
        <v/>
      </c>
    </row>
    <row r="912" spans="2:2">
      <c r="B912" s="427" t="str">
        <f t="shared" si="91"/>
        <v/>
      </c>
    </row>
    <row r="913" spans="2:2">
      <c r="B913" s="427" t="str">
        <f t="shared" si="91"/>
        <v/>
      </c>
    </row>
    <row r="914" spans="2:2">
      <c r="B914" s="427" t="str">
        <f t="shared" si="91"/>
        <v/>
      </c>
    </row>
    <row r="915" spans="2:2">
      <c r="B915" s="427" t="str">
        <f t="shared" si="91"/>
        <v/>
      </c>
    </row>
    <row r="916" spans="2:2">
      <c r="B916" s="427" t="str">
        <f t="shared" si="91"/>
        <v/>
      </c>
    </row>
    <row r="917" spans="2:2">
      <c r="B917" s="427" t="str">
        <f t="shared" si="91"/>
        <v/>
      </c>
    </row>
    <row r="918" spans="2:2">
      <c r="B918" s="427" t="str">
        <f t="shared" si="91"/>
        <v/>
      </c>
    </row>
    <row r="919" spans="2:2">
      <c r="B919" s="427" t="str">
        <f t="shared" si="91"/>
        <v/>
      </c>
    </row>
    <row r="920" spans="2:2">
      <c r="B920" s="427" t="str">
        <f t="shared" si="91"/>
        <v/>
      </c>
    </row>
    <row r="921" spans="2:2">
      <c r="B921" s="427" t="str">
        <f t="shared" si="91"/>
        <v/>
      </c>
    </row>
    <row r="922" spans="2:2">
      <c r="B922" s="427" t="str">
        <f t="shared" si="91"/>
        <v/>
      </c>
    </row>
    <row r="923" spans="2:2">
      <c r="B923" s="427" t="str">
        <f t="shared" si="91"/>
        <v/>
      </c>
    </row>
    <row r="924" spans="2:2">
      <c r="B924" s="427" t="str">
        <f t="shared" si="91"/>
        <v/>
      </c>
    </row>
    <row r="925" spans="2:2">
      <c r="B925" s="427" t="str">
        <f t="shared" si="91"/>
        <v/>
      </c>
    </row>
    <row r="926" spans="2:2">
      <c r="B926" s="427" t="str">
        <f t="shared" si="91"/>
        <v/>
      </c>
    </row>
    <row r="927" spans="2:2">
      <c r="B927" s="427" t="str">
        <f t="shared" si="91"/>
        <v/>
      </c>
    </row>
    <row r="928" spans="2:2">
      <c r="B928" s="427" t="str">
        <f t="shared" si="91"/>
        <v/>
      </c>
    </row>
    <row r="929" spans="2:2">
      <c r="B929" s="427" t="str">
        <f t="shared" si="91"/>
        <v/>
      </c>
    </row>
    <row r="930" spans="2:2">
      <c r="B930" s="427" t="str">
        <f t="shared" si="91"/>
        <v/>
      </c>
    </row>
    <row r="931" spans="2:2">
      <c r="B931" s="427" t="str">
        <f t="shared" si="91"/>
        <v/>
      </c>
    </row>
    <row r="932" spans="2:2">
      <c r="B932" s="427" t="str">
        <f t="shared" si="91"/>
        <v/>
      </c>
    </row>
    <row r="933" spans="2:2">
      <c r="B933" s="427" t="str">
        <f t="shared" si="91"/>
        <v/>
      </c>
    </row>
    <row r="934" spans="2:2">
      <c r="B934" s="427" t="str">
        <f t="shared" si="91"/>
        <v/>
      </c>
    </row>
    <row r="935" spans="2:2">
      <c r="B935" s="427" t="str">
        <f t="shared" si="91"/>
        <v/>
      </c>
    </row>
    <row r="936" spans="2:2">
      <c r="B936" s="427" t="str">
        <f t="shared" si="91"/>
        <v/>
      </c>
    </row>
    <row r="937" spans="2:2">
      <c r="B937" s="427" t="str">
        <f t="shared" ref="B937:B959" si="92">IF(MID($F937,12,2)="- ","KY",IF(MID($F937,12,2)="SY","KY",MID($F937,12,2)))</f>
        <v/>
      </c>
    </row>
    <row r="938" spans="2:2">
      <c r="B938" s="427" t="str">
        <f t="shared" si="92"/>
        <v/>
      </c>
    </row>
    <row r="939" spans="2:2">
      <c r="B939" s="427" t="str">
        <f t="shared" si="92"/>
        <v/>
      </c>
    </row>
    <row r="940" spans="2:2">
      <c r="B940" s="427" t="str">
        <f t="shared" si="92"/>
        <v/>
      </c>
    </row>
    <row r="941" spans="2:2">
      <c r="B941" s="427" t="str">
        <f t="shared" si="92"/>
        <v/>
      </c>
    </row>
    <row r="942" spans="2:2">
      <c r="B942" s="427" t="str">
        <f t="shared" si="92"/>
        <v/>
      </c>
    </row>
    <row r="943" spans="2:2">
      <c r="B943" s="427" t="str">
        <f t="shared" si="92"/>
        <v/>
      </c>
    </row>
    <row r="944" spans="2:2">
      <c r="B944" s="427" t="str">
        <f t="shared" si="92"/>
        <v/>
      </c>
    </row>
    <row r="945" spans="2:2">
      <c r="B945" s="427" t="str">
        <f t="shared" si="92"/>
        <v/>
      </c>
    </row>
    <row r="946" spans="2:2">
      <c r="B946" s="427" t="str">
        <f t="shared" si="92"/>
        <v/>
      </c>
    </row>
    <row r="947" spans="2:2">
      <c r="B947" s="427" t="str">
        <f t="shared" si="92"/>
        <v/>
      </c>
    </row>
    <row r="948" spans="2:2">
      <c r="B948" s="427" t="str">
        <f t="shared" si="92"/>
        <v/>
      </c>
    </row>
    <row r="949" spans="2:2">
      <c r="B949" s="427" t="str">
        <f t="shared" si="92"/>
        <v/>
      </c>
    </row>
    <row r="950" spans="2:2">
      <c r="B950" s="427" t="str">
        <f t="shared" si="92"/>
        <v/>
      </c>
    </row>
    <row r="951" spans="2:2">
      <c r="B951" s="427" t="str">
        <f t="shared" si="92"/>
        <v/>
      </c>
    </row>
    <row r="952" spans="2:2">
      <c r="B952" s="427" t="str">
        <f t="shared" si="92"/>
        <v/>
      </c>
    </row>
    <row r="953" spans="2:2">
      <c r="B953" s="427" t="str">
        <f t="shared" si="92"/>
        <v/>
      </c>
    </row>
    <row r="954" spans="2:2">
      <c r="B954" s="427" t="str">
        <f t="shared" si="92"/>
        <v/>
      </c>
    </row>
    <row r="955" spans="2:2">
      <c r="B955" s="427" t="str">
        <f t="shared" si="92"/>
        <v/>
      </c>
    </row>
    <row r="956" spans="2:2">
      <c r="B956" s="427" t="str">
        <f t="shared" si="92"/>
        <v/>
      </c>
    </row>
    <row r="957" spans="2:2">
      <c r="B957" s="427" t="str">
        <f t="shared" si="92"/>
        <v/>
      </c>
    </row>
    <row r="958" spans="2:2">
      <c r="B958" s="427" t="str">
        <f t="shared" si="92"/>
        <v/>
      </c>
    </row>
    <row r="959" spans="2:2">
      <c r="B959" s="427" t="str">
        <f t="shared" si="92"/>
        <v/>
      </c>
    </row>
  </sheetData>
  <pageMargins left="0.75" right="0.75" top="1" bottom="1" header="0.5" footer="0.5"/>
  <pageSetup scale="4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
    <pageSetUpPr fitToPage="1"/>
  </sheetPr>
  <dimension ref="A1:I52"/>
  <sheetViews>
    <sheetView zoomScale="115" zoomScaleNormal="115" workbookViewId="0">
      <selection activeCell="C29" sqref="C29"/>
    </sheetView>
  </sheetViews>
  <sheetFormatPr defaultColWidth="7.33203125" defaultRowHeight="12.75"/>
  <cols>
    <col min="1" max="1" width="25.77734375" style="213" customWidth="1"/>
    <col min="2" max="2" width="1.44140625" style="213" customWidth="1"/>
    <col min="3" max="3" width="69.6640625" style="213" customWidth="1"/>
    <col min="4" max="9" width="7.33203125" style="213"/>
    <col min="10" max="10" width="7.33203125" style="213" customWidth="1"/>
    <col min="11" max="11" width="7.33203125" style="213"/>
    <col min="12" max="12" width="1.33203125" style="213" customWidth="1"/>
    <col min="13" max="13" width="5.88671875" style="213" customWidth="1"/>
    <col min="14" max="14" width="5.109375" style="213" customWidth="1"/>
    <col min="15" max="256" width="7.33203125" style="213"/>
    <col min="257" max="257" width="23.44140625" style="213" customWidth="1"/>
    <col min="258" max="258" width="1.44140625" style="213" customWidth="1"/>
    <col min="259" max="259" width="61.21875" style="213" customWidth="1"/>
    <col min="260" max="265" width="7.33203125" style="213"/>
    <col min="266" max="266" width="7.33203125" style="213" customWidth="1"/>
    <col min="267" max="267" width="7.33203125" style="213"/>
    <col min="268" max="268" width="1.33203125" style="213" customWidth="1"/>
    <col min="269" max="269" width="5.88671875" style="213" customWidth="1"/>
    <col min="270" max="270" width="5.109375" style="213" customWidth="1"/>
    <col min="271" max="512" width="7.33203125" style="213"/>
    <col min="513" max="513" width="23.44140625" style="213" customWidth="1"/>
    <col min="514" max="514" width="1.44140625" style="213" customWidth="1"/>
    <col min="515" max="515" width="61.21875" style="213" customWidth="1"/>
    <col min="516" max="521" width="7.33203125" style="213"/>
    <col min="522" max="522" width="7.33203125" style="213" customWidth="1"/>
    <col min="523" max="523" width="7.33203125" style="213"/>
    <col min="524" max="524" width="1.33203125" style="213" customWidth="1"/>
    <col min="525" max="525" width="5.88671875" style="213" customWidth="1"/>
    <col min="526" max="526" width="5.109375" style="213" customWidth="1"/>
    <col min="527" max="768" width="7.33203125" style="213"/>
    <col min="769" max="769" width="23.44140625" style="213" customWidth="1"/>
    <col min="770" max="770" width="1.44140625" style="213" customWidth="1"/>
    <col min="771" max="771" width="61.21875" style="213" customWidth="1"/>
    <col min="772" max="777" width="7.33203125" style="213"/>
    <col min="778" max="778" width="7.33203125" style="213" customWidth="1"/>
    <col min="779" max="779" width="7.33203125" style="213"/>
    <col min="780" max="780" width="1.33203125" style="213" customWidth="1"/>
    <col min="781" max="781" width="5.88671875" style="213" customWidth="1"/>
    <col min="782" max="782" width="5.109375" style="213" customWidth="1"/>
    <col min="783" max="1024" width="7.33203125" style="213"/>
    <col min="1025" max="1025" width="23.44140625" style="213" customWidth="1"/>
    <col min="1026" max="1026" width="1.44140625" style="213" customWidth="1"/>
    <col min="1027" max="1027" width="61.21875" style="213" customWidth="1"/>
    <col min="1028" max="1033" width="7.33203125" style="213"/>
    <col min="1034" max="1034" width="7.33203125" style="213" customWidth="1"/>
    <col min="1035" max="1035" width="7.33203125" style="213"/>
    <col min="1036" max="1036" width="1.33203125" style="213" customWidth="1"/>
    <col min="1037" max="1037" width="5.88671875" style="213" customWidth="1"/>
    <col min="1038" max="1038" width="5.109375" style="213" customWidth="1"/>
    <col min="1039" max="1280" width="7.33203125" style="213"/>
    <col min="1281" max="1281" width="23.44140625" style="213" customWidth="1"/>
    <col min="1282" max="1282" width="1.44140625" style="213" customWidth="1"/>
    <col min="1283" max="1283" width="61.21875" style="213" customWidth="1"/>
    <col min="1284" max="1289" width="7.33203125" style="213"/>
    <col min="1290" max="1290" width="7.33203125" style="213" customWidth="1"/>
    <col min="1291" max="1291" width="7.33203125" style="213"/>
    <col min="1292" max="1292" width="1.33203125" style="213" customWidth="1"/>
    <col min="1293" max="1293" width="5.88671875" style="213" customWidth="1"/>
    <col min="1294" max="1294" width="5.109375" style="213" customWidth="1"/>
    <col min="1295" max="1536" width="7.33203125" style="213"/>
    <col min="1537" max="1537" width="23.44140625" style="213" customWidth="1"/>
    <col min="1538" max="1538" width="1.44140625" style="213" customWidth="1"/>
    <col min="1539" max="1539" width="61.21875" style="213" customWidth="1"/>
    <col min="1540" max="1545" width="7.33203125" style="213"/>
    <col min="1546" max="1546" width="7.33203125" style="213" customWidth="1"/>
    <col min="1547" max="1547" width="7.33203125" style="213"/>
    <col min="1548" max="1548" width="1.33203125" style="213" customWidth="1"/>
    <col min="1549" max="1549" width="5.88671875" style="213" customWidth="1"/>
    <col min="1550" max="1550" width="5.109375" style="213" customWidth="1"/>
    <col min="1551" max="1792" width="7.33203125" style="213"/>
    <col min="1793" max="1793" width="23.44140625" style="213" customWidth="1"/>
    <col min="1794" max="1794" width="1.44140625" style="213" customWidth="1"/>
    <col min="1795" max="1795" width="61.21875" style="213" customWidth="1"/>
    <col min="1796" max="1801" width="7.33203125" style="213"/>
    <col min="1802" max="1802" width="7.33203125" style="213" customWidth="1"/>
    <col min="1803" max="1803" width="7.33203125" style="213"/>
    <col min="1804" max="1804" width="1.33203125" style="213" customWidth="1"/>
    <col min="1805" max="1805" width="5.88671875" style="213" customWidth="1"/>
    <col min="1806" max="1806" width="5.109375" style="213" customWidth="1"/>
    <col min="1807" max="2048" width="7.33203125" style="213"/>
    <col min="2049" max="2049" width="23.44140625" style="213" customWidth="1"/>
    <col min="2050" max="2050" width="1.44140625" style="213" customWidth="1"/>
    <col min="2051" max="2051" width="61.21875" style="213" customWidth="1"/>
    <col min="2052" max="2057" width="7.33203125" style="213"/>
    <col min="2058" max="2058" width="7.33203125" style="213" customWidth="1"/>
    <col min="2059" max="2059" width="7.33203125" style="213"/>
    <col min="2060" max="2060" width="1.33203125" style="213" customWidth="1"/>
    <col min="2061" max="2061" width="5.88671875" style="213" customWidth="1"/>
    <col min="2062" max="2062" width="5.109375" style="213" customWidth="1"/>
    <col min="2063" max="2304" width="7.33203125" style="213"/>
    <col min="2305" max="2305" width="23.44140625" style="213" customWidth="1"/>
    <col min="2306" max="2306" width="1.44140625" style="213" customWidth="1"/>
    <col min="2307" max="2307" width="61.21875" style="213" customWidth="1"/>
    <col min="2308" max="2313" width="7.33203125" style="213"/>
    <col min="2314" max="2314" width="7.33203125" style="213" customWidth="1"/>
    <col min="2315" max="2315" width="7.33203125" style="213"/>
    <col min="2316" max="2316" width="1.33203125" style="213" customWidth="1"/>
    <col min="2317" max="2317" width="5.88671875" style="213" customWidth="1"/>
    <col min="2318" max="2318" width="5.109375" style="213" customWidth="1"/>
    <col min="2319" max="2560" width="7.33203125" style="213"/>
    <col min="2561" max="2561" width="23.44140625" style="213" customWidth="1"/>
    <col min="2562" max="2562" width="1.44140625" style="213" customWidth="1"/>
    <col min="2563" max="2563" width="61.21875" style="213" customWidth="1"/>
    <col min="2564" max="2569" width="7.33203125" style="213"/>
    <col min="2570" max="2570" width="7.33203125" style="213" customWidth="1"/>
    <col min="2571" max="2571" width="7.33203125" style="213"/>
    <col min="2572" max="2572" width="1.33203125" style="213" customWidth="1"/>
    <col min="2573" max="2573" width="5.88671875" style="213" customWidth="1"/>
    <col min="2574" max="2574" width="5.109375" style="213" customWidth="1"/>
    <col min="2575" max="2816" width="7.33203125" style="213"/>
    <col min="2817" max="2817" width="23.44140625" style="213" customWidth="1"/>
    <col min="2818" max="2818" width="1.44140625" style="213" customWidth="1"/>
    <col min="2819" max="2819" width="61.21875" style="213" customWidth="1"/>
    <col min="2820" max="2825" width="7.33203125" style="213"/>
    <col min="2826" max="2826" width="7.33203125" style="213" customWidth="1"/>
    <col min="2827" max="2827" width="7.33203125" style="213"/>
    <col min="2828" max="2828" width="1.33203125" style="213" customWidth="1"/>
    <col min="2829" max="2829" width="5.88671875" style="213" customWidth="1"/>
    <col min="2830" max="2830" width="5.109375" style="213" customWidth="1"/>
    <col min="2831" max="3072" width="7.33203125" style="213"/>
    <col min="3073" max="3073" width="23.44140625" style="213" customWidth="1"/>
    <col min="3074" max="3074" width="1.44140625" style="213" customWidth="1"/>
    <col min="3075" max="3075" width="61.21875" style="213" customWidth="1"/>
    <col min="3076" max="3081" width="7.33203125" style="213"/>
    <col min="3082" max="3082" width="7.33203125" style="213" customWidth="1"/>
    <col min="3083" max="3083" width="7.33203125" style="213"/>
    <col min="3084" max="3084" width="1.33203125" style="213" customWidth="1"/>
    <col min="3085" max="3085" width="5.88671875" style="213" customWidth="1"/>
    <col min="3086" max="3086" width="5.109375" style="213" customWidth="1"/>
    <col min="3087" max="3328" width="7.33203125" style="213"/>
    <col min="3329" max="3329" width="23.44140625" style="213" customWidth="1"/>
    <col min="3330" max="3330" width="1.44140625" style="213" customWidth="1"/>
    <col min="3331" max="3331" width="61.21875" style="213" customWidth="1"/>
    <col min="3332" max="3337" width="7.33203125" style="213"/>
    <col min="3338" max="3338" width="7.33203125" style="213" customWidth="1"/>
    <col min="3339" max="3339" width="7.33203125" style="213"/>
    <col min="3340" max="3340" width="1.33203125" style="213" customWidth="1"/>
    <col min="3341" max="3341" width="5.88671875" style="213" customWidth="1"/>
    <col min="3342" max="3342" width="5.109375" style="213" customWidth="1"/>
    <col min="3343" max="3584" width="7.33203125" style="213"/>
    <col min="3585" max="3585" width="23.44140625" style="213" customWidth="1"/>
    <col min="3586" max="3586" width="1.44140625" style="213" customWidth="1"/>
    <col min="3587" max="3587" width="61.21875" style="213" customWidth="1"/>
    <col min="3588" max="3593" width="7.33203125" style="213"/>
    <col min="3594" max="3594" width="7.33203125" style="213" customWidth="1"/>
    <col min="3595" max="3595" width="7.33203125" style="213"/>
    <col min="3596" max="3596" width="1.33203125" style="213" customWidth="1"/>
    <col min="3597" max="3597" width="5.88671875" style="213" customWidth="1"/>
    <col min="3598" max="3598" width="5.109375" style="213" customWidth="1"/>
    <col min="3599" max="3840" width="7.33203125" style="213"/>
    <col min="3841" max="3841" width="23.44140625" style="213" customWidth="1"/>
    <col min="3842" max="3842" width="1.44140625" style="213" customWidth="1"/>
    <col min="3843" max="3843" width="61.21875" style="213" customWidth="1"/>
    <col min="3844" max="3849" width="7.33203125" style="213"/>
    <col min="3850" max="3850" width="7.33203125" style="213" customWidth="1"/>
    <col min="3851" max="3851" width="7.33203125" style="213"/>
    <col min="3852" max="3852" width="1.33203125" style="213" customWidth="1"/>
    <col min="3853" max="3853" width="5.88671875" style="213" customWidth="1"/>
    <col min="3854" max="3854" width="5.109375" style="213" customWidth="1"/>
    <col min="3855" max="4096" width="7.33203125" style="213"/>
    <col min="4097" max="4097" width="23.44140625" style="213" customWidth="1"/>
    <col min="4098" max="4098" width="1.44140625" style="213" customWidth="1"/>
    <col min="4099" max="4099" width="61.21875" style="213" customWidth="1"/>
    <col min="4100" max="4105" width="7.33203125" style="213"/>
    <col min="4106" max="4106" width="7.33203125" style="213" customWidth="1"/>
    <col min="4107" max="4107" width="7.33203125" style="213"/>
    <col min="4108" max="4108" width="1.33203125" style="213" customWidth="1"/>
    <col min="4109" max="4109" width="5.88671875" style="213" customWidth="1"/>
    <col min="4110" max="4110" width="5.109375" style="213" customWidth="1"/>
    <col min="4111" max="4352" width="7.33203125" style="213"/>
    <col min="4353" max="4353" width="23.44140625" style="213" customWidth="1"/>
    <col min="4354" max="4354" width="1.44140625" style="213" customWidth="1"/>
    <col min="4355" max="4355" width="61.21875" style="213" customWidth="1"/>
    <col min="4356" max="4361" width="7.33203125" style="213"/>
    <col min="4362" max="4362" width="7.33203125" style="213" customWidth="1"/>
    <col min="4363" max="4363" width="7.33203125" style="213"/>
    <col min="4364" max="4364" width="1.33203125" style="213" customWidth="1"/>
    <col min="4365" max="4365" width="5.88671875" style="213" customWidth="1"/>
    <col min="4366" max="4366" width="5.109375" style="213" customWidth="1"/>
    <col min="4367" max="4608" width="7.33203125" style="213"/>
    <col min="4609" max="4609" width="23.44140625" style="213" customWidth="1"/>
    <col min="4610" max="4610" width="1.44140625" style="213" customWidth="1"/>
    <col min="4611" max="4611" width="61.21875" style="213" customWidth="1"/>
    <col min="4612" max="4617" width="7.33203125" style="213"/>
    <col min="4618" max="4618" width="7.33203125" style="213" customWidth="1"/>
    <col min="4619" max="4619" width="7.33203125" style="213"/>
    <col min="4620" max="4620" width="1.33203125" style="213" customWidth="1"/>
    <col min="4621" max="4621" width="5.88671875" style="213" customWidth="1"/>
    <col min="4622" max="4622" width="5.109375" style="213" customWidth="1"/>
    <col min="4623" max="4864" width="7.33203125" style="213"/>
    <col min="4865" max="4865" width="23.44140625" style="213" customWidth="1"/>
    <col min="4866" max="4866" width="1.44140625" style="213" customWidth="1"/>
    <col min="4867" max="4867" width="61.21875" style="213" customWidth="1"/>
    <col min="4868" max="4873" width="7.33203125" style="213"/>
    <col min="4874" max="4874" width="7.33203125" style="213" customWidth="1"/>
    <col min="4875" max="4875" width="7.33203125" style="213"/>
    <col min="4876" max="4876" width="1.33203125" style="213" customWidth="1"/>
    <col min="4877" max="4877" width="5.88671875" style="213" customWidth="1"/>
    <col min="4878" max="4878" width="5.109375" style="213" customWidth="1"/>
    <col min="4879" max="5120" width="7.33203125" style="213"/>
    <col min="5121" max="5121" width="23.44140625" style="213" customWidth="1"/>
    <col min="5122" max="5122" width="1.44140625" style="213" customWidth="1"/>
    <col min="5123" max="5123" width="61.21875" style="213" customWidth="1"/>
    <col min="5124" max="5129" width="7.33203125" style="213"/>
    <col min="5130" max="5130" width="7.33203125" style="213" customWidth="1"/>
    <col min="5131" max="5131" width="7.33203125" style="213"/>
    <col min="5132" max="5132" width="1.33203125" style="213" customWidth="1"/>
    <col min="5133" max="5133" width="5.88671875" style="213" customWidth="1"/>
    <col min="5134" max="5134" width="5.109375" style="213" customWidth="1"/>
    <col min="5135" max="5376" width="7.33203125" style="213"/>
    <col min="5377" max="5377" width="23.44140625" style="213" customWidth="1"/>
    <col min="5378" max="5378" width="1.44140625" style="213" customWidth="1"/>
    <col min="5379" max="5379" width="61.21875" style="213" customWidth="1"/>
    <col min="5380" max="5385" width="7.33203125" style="213"/>
    <col min="5386" max="5386" width="7.33203125" style="213" customWidth="1"/>
    <col min="5387" max="5387" width="7.33203125" style="213"/>
    <col min="5388" max="5388" width="1.33203125" style="213" customWidth="1"/>
    <col min="5389" max="5389" width="5.88671875" style="213" customWidth="1"/>
    <col min="5390" max="5390" width="5.109375" style="213" customWidth="1"/>
    <col min="5391" max="5632" width="7.33203125" style="213"/>
    <col min="5633" max="5633" width="23.44140625" style="213" customWidth="1"/>
    <col min="5634" max="5634" width="1.44140625" style="213" customWidth="1"/>
    <col min="5635" max="5635" width="61.21875" style="213" customWidth="1"/>
    <col min="5636" max="5641" width="7.33203125" style="213"/>
    <col min="5642" max="5642" width="7.33203125" style="213" customWidth="1"/>
    <col min="5643" max="5643" width="7.33203125" style="213"/>
    <col min="5644" max="5644" width="1.33203125" style="213" customWidth="1"/>
    <col min="5645" max="5645" width="5.88671875" style="213" customWidth="1"/>
    <col min="5646" max="5646" width="5.109375" style="213" customWidth="1"/>
    <col min="5647" max="5888" width="7.33203125" style="213"/>
    <col min="5889" max="5889" width="23.44140625" style="213" customWidth="1"/>
    <col min="5890" max="5890" width="1.44140625" style="213" customWidth="1"/>
    <col min="5891" max="5891" width="61.21875" style="213" customWidth="1"/>
    <col min="5892" max="5897" width="7.33203125" style="213"/>
    <col min="5898" max="5898" width="7.33203125" style="213" customWidth="1"/>
    <col min="5899" max="5899" width="7.33203125" style="213"/>
    <col min="5900" max="5900" width="1.33203125" style="213" customWidth="1"/>
    <col min="5901" max="5901" width="5.88671875" style="213" customWidth="1"/>
    <col min="5902" max="5902" width="5.109375" style="213" customWidth="1"/>
    <col min="5903" max="6144" width="7.33203125" style="213"/>
    <col min="6145" max="6145" width="23.44140625" style="213" customWidth="1"/>
    <col min="6146" max="6146" width="1.44140625" style="213" customWidth="1"/>
    <col min="6147" max="6147" width="61.21875" style="213" customWidth="1"/>
    <col min="6148" max="6153" width="7.33203125" style="213"/>
    <col min="6154" max="6154" width="7.33203125" style="213" customWidth="1"/>
    <col min="6155" max="6155" width="7.33203125" style="213"/>
    <col min="6156" max="6156" width="1.33203125" style="213" customWidth="1"/>
    <col min="6157" max="6157" width="5.88671875" style="213" customWidth="1"/>
    <col min="6158" max="6158" width="5.109375" style="213" customWidth="1"/>
    <col min="6159" max="6400" width="7.33203125" style="213"/>
    <col min="6401" max="6401" width="23.44140625" style="213" customWidth="1"/>
    <col min="6402" max="6402" width="1.44140625" style="213" customWidth="1"/>
    <col min="6403" max="6403" width="61.21875" style="213" customWidth="1"/>
    <col min="6404" max="6409" width="7.33203125" style="213"/>
    <col min="6410" max="6410" width="7.33203125" style="213" customWidth="1"/>
    <col min="6411" max="6411" width="7.33203125" style="213"/>
    <col min="6412" max="6412" width="1.33203125" style="213" customWidth="1"/>
    <col min="6413" max="6413" width="5.88671875" style="213" customWidth="1"/>
    <col min="6414" max="6414" width="5.109375" style="213" customWidth="1"/>
    <col min="6415" max="6656" width="7.33203125" style="213"/>
    <col min="6657" max="6657" width="23.44140625" style="213" customWidth="1"/>
    <col min="6658" max="6658" width="1.44140625" style="213" customWidth="1"/>
    <col min="6659" max="6659" width="61.21875" style="213" customWidth="1"/>
    <col min="6660" max="6665" width="7.33203125" style="213"/>
    <col min="6666" max="6666" width="7.33203125" style="213" customWidth="1"/>
    <col min="6667" max="6667" width="7.33203125" style="213"/>
    <col min="6668" max="6668" width="1.33203125" style="213" customWidth="1"/>
    <col min="6669" max="6669" width="5.88671875" style="213" customWidth="1"/>
    <col min="6670" max="6670" width="5.109375" style="213" customWidth="1"/>
    <col min="6671" max="6912" width="7.33203125" style="213"/>
    <col min="6913" max="6913" width="23.44140625" style="213" customWidth="1"/>
    <col min="6914" max="6914" width="1.44140625" style="213" customWidth="1"/>
    <col min="6915" max="6915" width="61.21875" style="213" customWidth="1"/>
    <col min="6916" max="6921" width="7.33203125" style="213"/>
    <col min="6922" max="6922" width="7.33203125" style="213" customWidth="1"/>
    <col min="6923" max="6923" width="7.33203125" style="213"/>
    <col min="6924" max="6924" width="1.33203125" style="213" customWidth="1"/>
    <col min="6925" max="6925" width="5.88671875" style="213" customWidth="1"/>
    <col min="6926" max="6926" width="5.109375" style="213" customWidth="1"/>
    <col min="6927" max="7168" width="7.33203125" style="213"/>
    <col min="7169" max="7169" width="23.44140625" style="213" customWidth="1"/>
    <col min="7170" max="7170" width="1.44140625" style="213" customWidth="1"/>
    <col min="7171" max="7171" width="61.21875" style="213" customWidth="1"/>
    <col min="7172" max="7177" width="7.33203125" style="213"/>
    <col min="7178" max="7178" width="7.33203125" style="213" customWidth="1"/>
    <col min="7179" max="7179" width="7.33203125" style="213"/>
    <col min="7180" max="7180" width="1.33203125" style="213" customWidth="1"/>
    <col min="7181" max="7181" width="5.88671875" style="213" customWidth="1"/>
    <col min="7182" max="7182" width="5.109375" style="213" customWidth="1"/>
    <col min="7183" max="7424" width="7.33203125" style="213"/>
    <col min="7425" max="7425" width="23.44140625" style="213" customWidth="1"/>
    <col min="7426" max="7426" width="1.44140625" style="213" customWidth="1"/>
    <col min="7427" max="7427" width="61.21875" style="213" customWidth="1"/>
    <col min="7428" max="7433" width="7.33203125" style="213"/>
    <col min="7434" max="7434" width="7.33203125" style="213" customWidth="1"/>
    <col min="7435" max="7435" width="7.33203125" style="213"/>
    <col min="7436" max="7436" width="1.33203125" style="213" customWidth="1"/>
    <col min="7437" max="7437" width="5.88671875" style="213" customWidth="1"/>
    <col min="7438" max="7438" width="5.109375" style="213" customWidth="1"/>
    <col min="7439" max="7680" width="7.33203125" style="213"/>
    <col min="7681" max="7681" width="23.44140625" style="213" customWidth="1"/>
    <col min="7682" max="7682" width="1.44140625" style="213" customWidth="1"/>
    <col min="7683" max="7683" width="61.21875" style="213" customWidth="1"/>
    <col min="7684" max="7689" width="7.33203125" style="213"/>
    <col min="7690" max="7690" width="7.33203125" style="213" customWidth="1"/>
    <col min="7691" max="7691" width="7.33203125" style="213"/>
    <col min="7692" max="7692" width="1.33203125" style="213" customWidth="1"/>
    <col min="7693" max="7693" width="5.88671875" style="213" customWidth="1"/>
    <col min="7694" max="7694" width="5.109375" style="213" customWidth="1"/>
    <col min="7695" max="7936" width="7.33203125" style="213"/>
    <col min="7937" max="7937" width="23.44140625" style="213" customWidth="1"/>
    <col min="7938" max="7938" width="1.44140625" style="213" customWidth="1"/>
    <col min="7939" max="7939" width="61.21875" style="213" customWidth="1"/>
    <col min="7940" max="7945" width="7.33203125" style="213"/>
    <col min="7946" max="7946" width="7.33203125" style="213" customWidth="1"/>
    <col min="7947" max="7947" width="7.33203125" style="213"/>
    <col min="7948" max="7948" width="1.33203125" style="213" customWidth="1"/>
    <col min="7949" max="7949" width="5.88671875" style="213" customWidth="1"/>
    <col min="7950" max="7950" width="5.109375" style="213" customWidth="1"/>
    <col min="7951" max="8192" width="7.33203125" style="213"/>
    <col min="8193" max="8193" width="23.44140625" style="213" customWidth="1"/>
    <col min="8194" max="8194" width="1.44140625" style="213" customWidth="1"/>
    <col min="8195" max="8195" width="61.21875" style="213" customWidth="1"/>
    <col min="8196" max="8201" width="7.33203125" style="213"/>
    <col min="8202" max="8202" width="7.33203125" style="213" customWidth="1"/>
    <col min="8203" max="8203" width="7.33203125" style="213"/>
    <col min="8204" max="8204" width="1.33203125" style="213" customWidth="1"/>
    <col min="8205" max="8205" width="5.88671875" style="213" customWidth="1"/>
    <col min="8206" max="8206" width="5.109375" style="213" customWidth="1"/>
    <col min="8207" max="8448" width="7.33203125" style="213"/>
    <col min="8449" max="8449" width="23.44140625" style="213" customWidth="1"/>
    <col min="8450" max="8450" width="1.44140625" style="213" customWidth="1"/>
    <col min="8451" max="8451" width="61.21875" style="213" customWidth="1"/>
    <col min="8452" max="8457" width="7.33203125" style="213"/>
    <col min="8458" max="8458" width="7.33203125" style="213" customWidth="1"/>
    <col min="8459" max="8459" width="7.33203125" style="213"/>
    <col min="8460" max="8460" width="1.33203125" style="213" customWidth="1"/>
    <col min="8461" max="8461" width="5.88671875" style="213" customWidth="1"/>
    <col min="8462" max="8462" width="5.109375" style="213" customWidth="1"/>
    <col min="8463" max="8704" width="7.33203125" style="213"/>
    <col min="8705" max="8705" width="23.44140625" style="213" customWidth="1"/>
    <col min="8706" max="8706" width="1.44140625" style="213" customWidth="1"/>
    <col min="8707" max="8707" width="61.21875" style="213" customWidth="1"/>
    <col min="8708" max="8713" width="7.33203125" style="213"/>
    <col min="8714" max="8714" width="7.33203125" style="213" customWidth="1"/>
    <col min="8715" max="8715" width="7.33203125" style="213"/>
    <col min="8716" max="8716" width="1.33203125" style="213" customWidth="1"/>
    <col min="8717" max="8717" width="5.88671875" style="213" customWidth="1"/>
    <col min="8718" max="8718" width="5.109375" style="213" customWidth="1"/>
    <col min="8719" max="8960" width="7.33203125" style="213"/>
    <col min="8961" max="8961" width="23.44140625" style="213" customWidth="1"/>
    <col min="8962" max="8962" width="1.44140625" style="213" customWidth="1"/>
    <col min="8963" max="8963" width="61.21875" style="213" customWidth="1"/>
    <col min="8964" max="8969" width="7.33203125" style="213"/>
    <col min="8970" max="8970" width="7.33203125" style="213" customWidth="1"/>
    <col min="8971" max="8971" width="7.33203125" style="213"/>
    <col min="8972" max="8972" width="1.33203125" style="213" customWidth="1"/>
    <col min="8973" max="8973" width="5.88671875" style="213" customWidth="1"/>
    <col min="8974" max="8974" width="5.109375" style="213" customWidth="1"/>
    <col min="8975" max="9216" width="7.33203125" style="213"/>
    <col min="9217" max="9217" width="23.44140625" style="213" customWidth="1"/>
    <col min="9218" max="9218" width="1.44140625" style="213" customWidth="1"/>
    <col min="9219" max="9219" width="61.21875" style="213" customWidth="1"/>
    <col min="9220" max="9225" width="7.33203125" style="213"/>
    <col min="9226" max="9226" width="7.33203125" style="213" customWidth="1"/>
    <col min="9227" max="9227" width="7.33203125" style="213"/>
    <col min="9228" max="9228" width="1.33203125" style="213" customWidth="1"/>
    <col min="9229" max="9229" width="5.88671875" style="213" customWidth="1"/>
    <col min="9230" max="9230" width="5.109375" style="213" customWidth="1"/>
    <col min="9231" max="9472" width="7.33203125" style="213"/>
    <col min="9473" max="9473" width="23.44140625" style="213" customWidth="1"/>
    <col min="9474" max="9474" width="1.44140625" style="213" customWidth="1"/>
    <col min="9475" max="9475" width="61.21875" style="213" customWidth="1"/>
    <col min="9476" max="9481" width="7.33203125" style="213"/>
    <col min="9482" max="9482" width="7.33203125" style="213" customWidth="1"/>
    <col min="9483" max="9483" width="7.33203125" style="213"/>
    <col min="9484" max="9484" width="1.33203125" style="213" customWidth="1"/>
    <col min="9485" max="9485" width="5.88671875" style="213" customWidth="1"/>
    <col min="9486" max="9486" width="5.109375" style="213" customWidth="1"/>
    <col min="9487" max="9728" width="7.33203125" style="213"/>
    <col min="9729" max="9729" width="23.44140625" style="213" customWidth="1"/>
    <col min="9730" max="9730" width="1.44140625" style="213" customWidth="1"/>
    <col min="9731" max="9731" width="61.21875" style="213" customWidth="1"/>
    <col min="9732" max="9737" width="7.33203125" style="213"/>
    <col min="9738" max="9738" width="7.33203125" style="213" customWidth="1"/>
    <col min="9739" max="9739" width="7.33203125" style="213"/>
    <col min="9740" max="9740" width="1.33203125" style="213" customWidth="1"/>
    <col min="9741" max="9741" width="5.88671875" style="213" customWidth="1"/>
    <col min="9742" max="9742" width="5.109375" style="213" customWidth="1"/>
    <col min="9743" max="9984" width="7.33203125" style="213"/>
    <col min="9985" max="9985" width="23.44140625" style="213" customWidth="1"/>
    <col min="9986" max="9986" width="1.44140625" style="213" customWidth="1"/>
    <col min="9987" max="9987" width="61.21875" style="213" customWidth="1"/>
    <col min="9988" max="9993" width="7.33203125" style="213"/>
    <col min="9994" max="9994" width="7.33203125" style="213" customWidth="1"/>
    <col min="9995" max="9995" width="7.33203125" style="213"/>
    <col min="9996" max="9996" width="1.33203125" style="213" customWidth="1"/>
    <col min="9997" max="9997" width="5.88671875" style="213" customWidth="1"/>
    <col min="9998" max="9998" width="5.109375" style="213" customWidth="1"/>
    <col min="9999" max="10240" width="7.33203125" style="213"/>
    <col min="10241" max="10241" width="23.44140625" style="213" customWidth="1"/>
    <col min="10242" max="10242" width="1.44140625" style="213" customWidth="1"/>
    <col min="10243" max="10243" width="61.21875" style="213" customWidth="1"/>
    <col min="10244" max="10249" width="7.33203125" style="213"/>
    <col min="10250" max="10250" width="7.33203125" style="213" customWidth="1"/>
    <col min="10251" max="10251" width="7.33203125" style="213"/>
    <col min="10252" max="10252" width="1.33203125" style="213" customWidth="1"/>
    <col min="10253" max="10253" width="5.88671875" style="213" customWidth="1"/>
    <col min="10254" max="10254" width="5.109375" style="213" customWidth="1"/>
    <col min="10255" max="10496" width="7.33203125" style="213"/>
    <col min="10497" max="10497" width="23.44140625" style="213" customWidth="1"/>
    <col min="10498" max="10498" width="1.44140625" style="213" customWidth="1"/>
    <col min="10499" max="10499" width="61.21875" style="213" customWidth="1"/>
    <col min="10500" max="10505" width="7.33203125" style="213"/>
    <col min="10506" max="10506" width="7.33203125" style="213" customWidth="1"/>
    <col min="10507" max="10507" width="7.33203125" style="213"/>
    <col min="10508" max="10508" width="1.33203125" style="213" customWidth="1"/>
    <col min="10509" max="10509" width="5.88671875" style="213" customWidth="1"/>
    <col min="10510" max="10510" width="5.109375" style="213" customWidth="1"/>
    <col min="10511" max="10752" width="7.33203125" style="213"/>
    <col min="10753" max="10753" width="23.44140625" style="213" customWidth="1"/>
    <col min="10754" max="10754" width="1.44140625" style="213" customWidth="1"/>
    <col min="10755" max="10755" width="61.21875" style="213" customWidth="1"/>
    <col min="10756" max="10761" width="7.33203125" style="213"/>
    <col min="10762" max="10762" width="7.33203125" style="213" customWidth="1"/>
    <col min="10763" max="10763" width="7.33203125" style="213"/>
    <col min="10764" max="10764" width="1.33203125" style="213" customWidth="1"/>
    <col min="10765" max="10765" width="5.88671875" style="213" customWidth="1"/>
    <col min="10766" max="10766" width="5.109375" style="213" customWidth="1"/>
    <col min="10767" max="11008" width="7.33203125" style="213"/>
    <col min="11009" max="11009" width="23.44140625" style="213" customWidth="1"/>
    <col min="11010" max="11010" width="1.44140625" style="213" customWidth="1"/>
    <col min="11011" max="11011" width="61.21875" style="213" customWidth="1"/>
    <col min="11012" max="11017" width="7.33203125" style="213"/>
    <col min="11018" max="11018" width="7.33203125" style="213" customWidth="1"/>
    <col min="11019" max="11019" width="7.33203125" style="213"/>
    <col min="11020" max="11020" width="1.33203125" style="213" customWidth="1"/>
    <col min="11021" max="11021" width="5.88671875" style="213" customWidth="1"/>
    <col min="11022" max="11022" width="5.109375" style="213" customWidth="1"/>
    <col min="11023" max="11264" width="7.33203125" style="213"/>
    <col min="11265" max="11265" width="23.44140625" style="213" customWidth="1"/>
    <col min="11266" max="11266" width="1.44140625" style="213" customWidth="1"/>
    <col min="11267" max="11267" width="61.21875" style="213" customWidth="1"/>
    <col min="11268" max="11273" width="7.33203125" style="213"/>
    <col min="11274" max="11274" width="7.33203125" style="213" customWidth="1"/>
    <col min="11275" max="11275" width="7.33203125" style="213"/>
    <col min="11276" max="11276" width="1.33203125" style="213" customWidth="1"/>
    <col min="11277" max="11277" width="5.88671875" style="213" customWidth="1"/>
    <col min="11278" max="11278" width="5.109375" style="213" customWidth="1"/>
    <col min="11279" max="11520" width="7.33203125" style="213"/>
    <col min="11521" max="11521" width="23.44140625" style="213" customWidth="1"/>
    <col min="11522" max="11522" width="1.44140625" style="213" customWidth="1"/>
    <col min="11523" max="11523" width="61.21875" style="213" customWidth="1"/>
    <col min="11524" max="11529" width="7.33203125" style="213"/>
    <col min="11530" max="11530" width="7.33203125" style="213" customWidth="1"/>
    <col min="11531" max="11531" width="7.33203125" style="213"/>
    <col min="11532" max="11532" width="1.33203125" style="213" customWidth="1"/>
    <col min="11533" max="11533" width="5.88671875" style="213" customWidth="1"/>
    <col min="11534" max="11534" width="5.109375" style="213" customWidth="1"/>
    <col min="11535" max="11776" width="7.33203125" style="213"/>
    <col min="11777" max="11777" width="23.44140625" style="213" customWidth="1"/>
    <col min="11778" max="11778" width="1.44140625" style="213" customWidth="1"/>
    <col min="11779" max="11779" width="61.21875" style="213" customWidth="1"/>
    <col min="11780" max="11785" width="7.33203125" style="213"/>
    <col min="11786" max="11786" width="7.33203125" style="213" customWidth="1"/>
    <col min="11787" max="11787" width="7.33203125" style="213"/>
    <col min="11788" max="11788" width="1.33203125" style="213" customWidth="1"/>
    <col min="11789" max="11789" width="5.88671875" style="213" customWidth="1"/>
    <col min="11790" max="11790" width="5.109375" style="213" customWidth="1"/>
    <col min="11791" max="12032" width="7.33203125" style="213"/>
    <col min="12033" max="12033" width="23.44140625" style="213" customWidth="1"/>
    <col min="12034" max="12034" width="1.44140625" style="213" customWidth="1"/>
    <col min="12035" max="12035" width="61.21875" style="213" customWidth="1"/>
    <col min="12036" max="12041" width="7.33203125" style="213"/>
    <col min="12042" max="12042" width="7.33203125" style="213" customWidth="1"/>
    <col min="12043" max="12043" width="7.33203125" style="213"/>
    <col min="12044" max="12044" width="1.33203125" style="213" customWidth="1"/>
    <col min="12045" max="12045" width="5.88671875" style="213" customWidth="1"/>
    <col min="12046" max="12046" width="5.109375" style="213" customWidth="1"/>
    <col min="12047" max="12288" width="7.33203125" style="213"/>
    <col min="12289" max="12289" width="23.44140625" style="213" customWidth="1"/>
    <col min="12290" max="12290" width="1.44140625" style="213" customWidth="1"/>
    <col min="12291" max="12291" width="61.21875" style="213" customWidth="1"/>
    <col min="12292" max="12297" width="7.33203125" style="213"/>
    <col min="12298" max="12298" width="7.33203125" style="213" customWidth="1"/>
    <col min="12299" max="12299" width="7.33203125" style="213"/>
    <col min="12300" max="12300" width="1.33203125" style="213" customWidth="1"/>
    <col min="12301" max="12301" width="5.88671875" style="213" customWidth="1"/>
    <col min="12302" max="12302" width="5.109375" style="213" customWidth="1"/>
    <col min="12303" max="12544" width="7.33203125" style="213"/>
    <col min="12545" max="12545" width="23.44140625" style="213" customWidth="1"/>
    <col min="12546" max="12546" width="1.44140625" style="213" customWidth="1"/>
    <col min="12547" max="12547" width="61.21875" style="213" customWidth="1"/>
    <col min="12548" max="12553" width="7.33203125" style="213"/>
    <col min="12554" max="12554" width="7.33203125" style="213" customWidth="1"/>
    <col min="12555" max="12555" width="7.33203125" style="213"/>
    <col min="12556" max="12556" width="1.33203125" style="213" customWidth="1"/>
    <col min="12557" max="12557" width="5.88671875" style="213" customWidth="1"/>
    <col min="12558" max="12558" width="5.109375" style="213" customWidth="1"/>
    <col min="12559" max="12800" width="7.33203125" style="213"/>
    <col min="12801" max="12801" width="23.44140625" style="213" customWidth="1"/>
    <col min="12802" max="12802" width="1.44140625" style="213" customWidth="1"/>
    <col min="12803" max="12803" width="61.21875" style="213" customWidth="1"/>
    <col min="12804" max="12809" width="7.33203125" style="213"/>
    <col min="12810" max="12810" width="7.33203125" style="213" customWidth="1"/>
    <col min="12811" max="12811" width="7.33203125" style="213"/>
    <col min="12812" max="12812" width="1.33203125" style="213" customWidth="1"/>
    <col min="12813" max="12813" width="5.88671875" style="213" customWidth="1"/>
    <col min="12814" max="12814" width="5.109375" style="213" customWidth="1"/>
    <col min="12815" max="13056" width="7.33203125" style="213"/>
    <col min="13057" max="13057" width="23.44140625" style="213" customWidth="1"/>
    <col min="13058" max="13058" width="1.44140625" style="213" customWidth="1"/>
    <col min="13059" max="13059" width="61.21875" style="213" customWidth="1"/>
    <col min="13060" max="13065" width="7.33203125" style="213"/>
    <col min="13066" max="13066" width="7.33203125" style="213" customWidth="1"/>
    <col min="13067" max="13067" width="7.33203125" style="213"/>
    <col min="13068" max="13068" width="1.33203125" style="213" customWidth="1"/>
    <col min="13069" max="13069" width="5.88671875" style="213" customWidth="1"/>
    <col min="13070" max="13070" width="5.109375" style="213" customWidth="1"/>
    <col min="13071" max="13312" width="7.33203125" style="213"/>
    <col min="13313" max="13313" width="23.44140625" style="213" customWidth="1"/>
    <col min="13314" max="13314" width="1.44140625" style="213" customWidth="1"/>
    <col min="13315" max="13315" width="61.21875" style="213" customWidth="1"/>
    <col min="13316" max="13321" width="7.33203125" style="213"/>
    <col min="13322" max="13322" width="7.33203125" style="213" customWidth="1"/>
    <col min="13323" max="13323" width="7.33203125" style="213"/>
    <col min="13324" max="13324" width="1.33203125" style="213" customWidth="1"/>
    <col min="13325" max="13325" width="5.88671875" style="213" customWidth="1"/>
    <col min="13326" max="13326" width="5.109375" style="213" customWidth="1"/>
    <col min="13327" max="13568" width="7.33203125" style="213"/>
    <col min="13569" max="13569" width="23.44140625" style="213" customWidth="1"/>
    <col min="13570" max="13570" width="1.44140625" style="213" customWidth="1"/>
    <col min="13571" max="13571" width="61.21875" style="213" customWidth="1"/>
    <col min="13572" max="13577" width="7.33203125" style="213"/>
    <col min="13578" max="13578" width="7.33203125" style="213" customWidth="1"/>
    <col min="13579" max="13579" width="7.33203125" style="213"/>
    <col min="13580" max="13580" width="1.33203125" style="213" customWidth="1"/>
    <col min="13581" max="13581" width="5.88671875" style="213" customWidth="1"/>
    <col min="13582" max="13582" width="5.109375" style="213" customWidth="1"/>
    <col min="13583" max="13824" width="7.33203125" style="213"/>
    <col min="13825" max="13825" width="23.44140625" style="213" customWidth="1"/>
    <col min="13826" max="13826" width="1.44140625" style="213" customWidth="1"/>
    <col min="13827" max="13827" width="61.21875" style="213" customWidth="1"/>
    <col min="13828" max="13833" width="7.33203125" style="213"/>
    <col min="13834" max="13834" width="7.33203125" style="213" customWidth="1"/>
    <col min="13835" max="13835" width="7.33203125" style="213"/>
    <col min="13836" max="13836" width="1.33203125" style="213" customWidth="1"/>
    <col min="13837" max="13837" width="5.88671875" style="213" customWidth="1"/>
    <col min="13838" max="13838" width="5.109375" style="213" customWidth="1"/>
    <col min="13839" max="14080" width="7.33203125" style="213"/>
    <col min="14081" max="14081" width="23.44140625" style="213" customWidth="1"/>
    <col min="14082" max="14082" width="1.44140625" style="213" customWidth="1"/>
    <col min="14083" max="14083" width="61.21875" style="213" customWidth="1"/>
    <col min="14084" max="14089" width="7.33203125" style="213"/>
    <col min="14090" max="14090" width="7.33203125" style="213" customWidth="1"/>
    <col min="14091" max="14091" width="7.33203125" style="213"/>
    <col min="14092" max="14092" width="1.33203125" style="213" customWidth="1"/>
    <col min="14093" max="14093" width="5.88671875" style="213" customWidth="1"/>
    <col min="14094" max="14094" width="5.109375" style="213" customWidth="1"/>
    <col min="14095" max="14336" width="7.33203125" style="213"/>
    <col min="14337" max="14337" width="23.44140625" style="213" customWidth="1"/>
    <col min="14338" max="14338" width="1.44140625" style="213" customWidth="1"/>
    <col min="14339" max="14339" width="61.21875" style="213" customWidth="1"/>
    <col min="14340" max="14345" width="7.33203125" style="213"/>
    <col min="14346" max="14346" width="7.33203125" style="213" customWidth="1"/>
    <col min="14347" max="14347" width="7.33203125" style="213"/>
    <col min="14348" max="14348" width="1.33203125" style="213" customWidth="1"/>
    <col min="14349" max="14349" width="5.88671875" style="213" customWidth="1"/>
    <col min="14350" max="14350" width="5.109375" style="213" customWidth="1"/>
    <col min="14351" max="14592" width="7.33203125" style="213"/>
    <col min="14593" max="14593" width="23.44140625" style="213" customWidth="1"/>
    <col min="14594" max="14594" width="1.44140625" style="213" customWidth="1"/>
    <col min="14595" max="14595" width="61.21875" style="213" customWidth="1"/>
    <col min="14596" max="14601" width="7.33203125" style="213"/>
    <col min="14602" max="14602" width="7.33203125" style="213" customWidth="1"/>
    <col min="14603" max="14603" width="7.33203125" style="213"/>
    <col min="14604" max="14604" width="1.33203125" style="213" customWidth="1"/>
    <col min="14605" max="14605" width="5.88671875" style="213" customWidth="1"/>
    <col min="14606" max="14606" width="5.109375" style="213" customWidth="1"/>
    <col min="14607" max="14848" width="7.33203125" style="213"/>
    <col min="14849" max="14849" width="23.44140625" style="213" customWidth="1"/>
    <col min="14850" max="14850" width="1.44140625" style="213" customWidth="1"/>
    <col min="14851" max="14851" width="61.21875" style="213" customWidth="1"/>
    <col min="14852" max="14857" width="7.33203125" style="213"/>
    <col min="14858" max="14858" width="7.33203125" style="213" customWidth="1"/>
    <col min="14859" max="14859" width="7.33203125" style="213"/>
    <col min="14860" max="14860" width="1.33203125" style="213" customWidth="1"/>
    <col min="14861" max="14861" width="5.88671875" style="213" customWidth="1"/>
    <col min="14862" max="14862" width="5.109375" style="213" customWidth="1"/>
    <col min="14863" max="15104" width="7.33203125" style="213"/>
    <col min="15105" max="15105" width="23.44140625" style="213" customWidth="1"/>
    <col min="15106" max="15106" width="1.44140625" style="213" customWidth="1"/>
    <col min="15107" max="15107" width="61.21875" style="213" customWidth="1"/>
    <col min="15108" max="15113" width="7.33203125" style="213"/>
    <col min="15114" max="15114" width="7.33203125" style="213" customWidth="1"/>
    <col min="15115" max="15115" width="7.33203125" style="213"/>
    <col min="15116" max="15116" width="1.33203125" style="213" customWidth="1"/>
    <col min="15117" max="15117" width="5.88671875" style="213" customWidth="1"/>
    <col min="15118" max="15118" width="5.109375" style="213" customWidth="1"/>
    <col min="15119" max="15360" width="7.33203125" style="213"/>
    <col min="15361" max="15361" width="23.44140625" style="213" customWidth="1"/>
    <col min="15362" max="15362" width="1.44140625" style="213" customWidth="1"/>
    <col min="15363" max="15363" width="61.21875" style="213" customWidth="1"/>
    <col min="15364" max="15369" width="7.33203125" style="213"/>
    <col min="15370" max="15370" width="7.33203125" style="213" customWidth="1"/>
    <col min="15371" max="15371" width="7.33203125" style="213"/>
    <col min="15372" max="15372" width="1.33203125" style="213" customWidth="1"/>
    <col min="15373" max="15373" width="5.88671875" style="213" customWidth="1"/>
    <col min="15374" max="15374" width="5.109375" style="213" customWidth="1"/>
    <col min="15375" max="15616" width="7.33203125" style="213"/>
    <col min="15617" max="15617" width="23.44140625" style="213" customWidth="1"/>
    <col min="15618" max="15618" width="1.44140625" style="213" customWidth="1"/>
    <col min="15619" max="15619" width="61.21875" style="213" customWidth="1"/>
    <col min="15620" max="15625" width="7.33203125" style="213"/>
    <col min="15626" max="15626" width="7.33203125" style="213" customWidth="1"/>
    <col min="15627" max="15627" width="7.33203125" style="213"/>
    <col min="15628" max="15628" width="1.33203125" style="213" customWidth="1"/>
    <col min="15629" max="15629" width="5.88671875" style="213" customWidth="1"/>
    <col min="15630" max="15630" width="5.109375" style="213" customWidth="1"/>
    <col min="15631" max="15872" width="7.33203125" style="213"/>
    <col min="15873" max="15873" width="23.44140625" style="213" customWidth="1"/>
    <col min="15874" max="15874" width="1.44140625" style="213" customWidth="1"/>
    <col min="15875" max="15875" width="61.21875" style="213" customWidth="1"/>
    <col min="15876" max="15881" width="7.33203125" style="213"/>
    <col min="15882" max="15882" width="7.33203125" style="213" customWidth="1"/>
    <col min="15883" max="15883" width="7.33203125" style="213"/>
    <col min="15884" max="15884" width="1.33203125" style="213" customWidth="1"/>
    <col min="15885" max="15885" width="5.88671875" style="213" customWidth="1"/>
    <col min="15886" max="15886" width="5.109375" style="213" customWidth="1"/>
    <col min="15887" max="16128" width="7.33203125" style="213"/>
    <col min="16129" max="16129" width="23.44140625" style="213" customWidth="1"/>
    <col min="16130" max="16130" width="1.44140625" style="213" customWidth="1"/>
    <col min="16131" max="16131" width="61.21875" style="213" customWidth="1"/>
    <col min="16132" max="16137" width="7.33203125" style="213"/>
    <col min="16138" max="16138" width="7.33203125" style="213" customWidth="1"/>
    <col min="16139" max="16139" width="7.33203125" style="213"/>
    <col min="16140" max="16140" width="1.33203125" style="213" customWidth="1"/>
    <col min="16141" max="16141" width="5.88671875" style="213" customWidth="1"/>
    <col min="16142" max="16142" width="5.109375" style="213" customWidth="1"/>
    <col min="16143" max="16384" width="7.33203125" style="213"/>
  </cols>
  <sheetData>
    <row r="1" spans="1:3" ht="15" customHeight="1">
      <c r="A1" s="212"/>
    </row>
    <row r="2" spans="1:3" ht="15" customHeight="1"/>
    <row r="3" spans="1:3" ht="15" customHeight="1">
      <c r="A3" s="767" t="s">
        <v>1583</v>
      </c>
      <c r="B3" s="767"/>
      <c r="C3" s="767"/>
    </row>
    <row r="4" spans="1:3" ht="15" customHeight="1"/>
    <row r="5" spans="1:3" ht="15" customHeight="1">
      <c r="A5" s="767" t="s">
        <v>1584</v>
      </c>
      <c r="B5" s="767"/>
      <c r="C5" s="767"/>
    </row>
    <row r="6" spans="1:3" ht="15" customHeight="1"/>
    <row r="7" spans="1:3" ht="15" customHeight="1">
      <c r="A7" s="767" t="str">
        <f>'Rate Case Constants'!C9</f>
        <v>KENTUCKY UTILITIES COMPANY</v>
      </c>
      <c r="B7" s="767"/>
      <c r="C7" s="767"/>
    </row>
    <row r="8" spans="1:3" ht="15" customHeight="1">
      <c r="A8"/>
      <c r="B8"/>
      <c r="C8"/>
    </row>
    <row r="9" spans="1:3" ht="15" customHeight="1">
      <c r="A9" s="767" t="str">
        <f>'Rate Case Constants'!C10</f>
        <v>CASE NO. 2018-00294 - RESPONSE TO PSC 2-65 (SLIPPAGE FACTOR 96.027%)</v>
      </c>
      <c r="B9" s="767"/>
      <c r="C9" s="767"/>
    </row>
    <row r="10" spans="1:3" ht="15" customHeight="1"/>
    <row r="11" spans="1:3" ht="15" customHeight="1">
      <c r="A11" s="214" t="s">
        <v>1585</v>
      </c>
      <c r="C11" s="214" t="str">
        <f>'Rate Case Constants'!C16</f>
        <v>FOR THE 12 MONTHS ENDED DECEMBER 31, 2018</v>
      </c>
    </row>
    <row r="12" spans="1:3" ht="15" customHeight="1">
      <c r="C12"/>
    </row>
    <row r="13" spans="1:3" ht="15" customHeight="1">
      <c r="A13" s="214" t="s">
        <v>1586</v>
      </c>
      <c r="C13" s="214" t="str">
        <f>'Rate Case Constants'!C22</f>
        <v>FOR THE 12 MONTHS ENDED APRIL 30, 2020</v>
      </c>
    </row>
    <row r="14" spans="1:3" ht="15" customHeight="1"/>
    <row r="15" spans="1:3" ht="15" customHeight="1"/>
    <row r="16" spans="1:3" ht="15" customHeight="1"/>
    <row r="17" spans="1:9" ht="15" customHeight="1">
      <c r="A17" s="215" t="s">
        <v>1574</v>
      </c>
      <c r="B17" s="216"/>
      <c r="C17" s="215" t="s">
        <v>205</v>
      </c>
      <c r="D17" s="217"/>
      <c r="E17" s="217"/>
      <c r="F17" s="217"/>
      <c r="G17" s="217"/>
      <c r="H17" s="217"/>
      <c r="I17" s="217"/>
    </row>
    <row r="18" spans="1:9" ht="15" customHeight="1"/>
    <row r="19" spans="1:9" ht="15" customHeight="1"/>
    <row r="20" spans="1:9" ht="15" customHeight="1">
      <c r="A20" s="218" t="s">
        <v>1563</v>
      </c>
      <c r="B20" s="219"/>
      <c r="C20" s="218" t="s">
        <v>1587</v>
      </c>
    </row>
    <row r="21" spans="1:9" ht="15" customHeight="1">
      <c r="A21" s="218" t="s">
        <v>1185</v>
      </c>
      <c r="B21" s="219"/>
      <c r="C21" s="218" t="s">
        <v>1588</v>
      </c>
    </row>
    <row r="22" spans="1:9" ht="15" customHeight="1">
      <c r="A22" s="218" t="s">
        <v>1564</v>
      </c>
      <c r="B22" s="219"/>
      <c r="C22" s="218" t="s">
        <v>221</v>
      </c>
    </row>
    <row r="23" spans="1:9" ht="15" customHeight="1">
      <c r="A23" s="218" t="s">
        <v>1565</v>
      </c>
      <c r="B23" s="219"/>
      <c r="C23" s="218" t="s">
        <v>215</v>
      </c>
    </row>
    <row r="24" spans="1:9" ht="15" customHeight="1">
      <c r="A24" s="213" t="s">
        <v>1566</v>
      </c>
      <c r="C24" s="213" t="s">
        <v>1589</v>
      </c>
    </row>
    <row r="25" spans="1:9" ht="15" customHeight="1">
      <c r="A25" s="213" t="s">
        <v>1567</v>
      </c>
      <c r="C25" s="213" t="s">
        <v>179</v>
      </c>
    </row>
    <row r="26" spans="1:9" ht="15" customHeight="1">
      <c r="A26" s="213" t="s">
        <v>1568</v>
      </c>
      <c r="C26" s="213" t="s">
        <v>186</v>
      </c>
    </row>
    <row r="27" spans="1:9" ht="15" customHeight="1">
      <c r="A27" s="213" t="s">
        <v>1186</v>
      </c>
      <c r="C27" s="213" t="s">
        <v>195</v>
      </c>
    </row>
    <row r="28" spans="1:9" ht="15" customHeight="1">
      <c r="A28" s="213" t="s">
        <v>1575</v>
      </c>
      <c r="C28" s="213" t="s">
        <v>208</v>
      </c>
    </row>
    <row r="29" spans="1:9" ht="15" customHeight="1">
      <c r="A29" s="213" t="s">
        <v>1187</v>
      </c>
      <c r="C29" s="213" t="s">
        <v>1200</v>
      </c>
    </row>
    <row r="30" spans="1:9" ht="15" customHeight="1">
      <c r="A30" s="213" t="s">
        <v>1569</v>
      </c>
      <c r="C30" s="213" t="s">
        <v>1207</v>
      </c>
    </row>
    <row r="31" spans="1:9" ht="15" customHeight="1">
      <c r="A31" s="213" t="s">
        <v>2020</v>
      </c>
      <c r="C31" s="213" t="s">
        <v>1243</v>
      </c>
    </row>
    <row r="32" spans="1:9" ht="15" customHeight="1">
      <c r="A32" s="213" t="s">
        <v>1189</v>
      </c>
      <c r="C32" s="213" t="s">
        <v>476</v>
      </c>
    </row>
    <row r="33" spans="1:5" ht="15" customHeight="1">
      <c r="A33" s="213" t="s">
        <v>1570</v>
      </c>
      <c r="C33" s="213" t="s">
        <v>1713</v>
      </c>
    </row>
    <row r="34" spans="1:5" ht="15" customHeight="1">
      <c r="A34" s="213" t="s">
        <v>2021</v>
      </c>
      <c r="C34" s="213" t="s">
        <v>1219</v>
      </c>
    </row>
    <row r="35" spans="1:5" ht="15" customHeight="1">
      <c r="A35" s="213" t="s">
        <v>1188</v>
      </c>
      <c r="C35" s="213" t="s">
        <v>1418</v>
      </c>
    </row>
    <row r="36" spans="1:5" ht="15" customHeight="1">
      <c r="A36" s="213" t="s">
        <v>1430</v>
      </c>
      <c r="C36" s="213" t="s">
        <v>1435</v>
      </c>
    </row>
    <row r="37" spans="1:5" ht="15" customHeight="1">
      <c r="A37" s="213" t="s">
        <v>1431</v>
      </c>
      <c r="C37" s="213" t="s">
        <v>1436</v>
      </c>
    </row>
    <row r="38" spans="1:5" ht="15" customHeight="1">
      <c r="A38" s="213" t="s">
        <v>1192</v>
      </c>
      <c r="C38" s="213" t="s">
        <v>1590</v>
      </c>
    </row>
    <row r="39" spans="1:5" ht="15" customHeight="1">
      <c r="A39" s="213" t="s">
        <v>1571</v>
      </c>
      <c r="C39" s="213" t="s">
        <v>1591</v>
      </c>
    </row>
    <row r="40" spans="1:5" ht="15" customHeight="1">
      <c r="A40" s="213" t="s">
        <v>1572</v>
      </c>
      <c r="C40" s="213" t="s">
        <v>1469</v>
      </c>
    </row>
    <row r="41" spans="1:5" ht="15" customHeight="1">
      <c r="A41" s="213" t="s">
        <v>1573</v>
      </c>
      <c r="C41" s="213" t="s">
        <v>1592</v>
      </c>
    </row>
    <row r="42" spans="1:5" ht="15" customHeight="1">
      <c r="A42" s="213" t="s">
        <v>1576</v>
      </c>
      <c r="C42" s="213" t="s">
        <v>1456</v>
      </c>
    </row>
    <row r="43" spans="1:5">
      <c r="D43" s="220"/>
      <c r="E43" s="220"/>
    </row>
    <row r="44" spans="1:5">
      <c r="D44" s="220"/>
      <c r="E44" s="220"/>
    </row>
    <row r="45" spans="1:5">
      <c r="D45" s="220"/>
      <c r="E45" s="220"/>
    </row>
    <row r="46" spans="1:5">
      <c r="D46" s="220"/>
      <c r="E46" s="220"/>
    </row>
    <row r="47" spans="1:5">
      <c r="D47" s="220"/>
      <c r="E47" s="220"/>
    </row>
    <row r="48" spans="1:5">
      <c r="D48" s="220"/>
      <c r="E48" s="220"/>
    </row>
    <row r="49" spans="4:5">
      <c r="D49" s="220"/>
      <c r="E49" s="220"/>
    </row>
    <row r="50" spans="4:5">
      <c r="D50" s="220"/>
      <c r="E50" s="220"/>
    </row>
    <row r="51" spans="4:5">
      <c r="D51" s="220"/>
      <c r="E51" s="220"/>
    </row>
    <row r="52" spans="4:5">
      <c r="D52" s="220"/>
      <c r="E52" s="220"/>
    </row>
  </sheetData>
  <mergeCells count="4">
    <mergeCell ref="A3:C3"/>
    <mergeCell ref="A5:C5"/>
    <mergeCell ref="A7:C7"/>
    <mergeCell ref="A9:C9"/>
  </mergeCells>
  <printOptions horizontalCentered="1"/>
  <pageMargins left="1" right="0.75" top="1" bottom="0.75" header="0.3" footer="0.3"/>
  <pageSetup scale="9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R80"/>
  <sheetViews>
    <sheetView workbookViewId="0">
      <pane xSplit="3" ySplit="3" topLeftCell="D25" activePane="bottomRight" state="frozen"/>
      <selection pane="topRight" activeCell="B1" sqref="B1"/>
      <selection pane="bottomLeft" activeCell="A4" sqref="A4"/>
      <selection pane="bottomRight" activeCell="M45" sqref="M45"/>
    </sheetView>
  </sheetViews>
  <sheetFormatPr defaultColWidth="7.77734375" defaultRowHeight="15"/>
  <cols>
    <col min="1" max="1" width="7.77734375" style="235"/>
    <col min="2" max="2" width="13.44140625" style="235" customWidth="1"/>
    <col min="3" max="3" width="26.88671875" style="447" customWidth="1"/>
    <col min="4" max="4" width="9.33203125" style="456" customWidth="1"/>
    <col min="5" max="17" width="9.33203125" style="448" customWidth="1"/>
    <col min="18" max="18" width="9.44140625" style="448" bestFit="1" customWidth="1"/>
    <col min="19" max="16384" width="7.77734375" style="235"/>
  </cols>
  <sheetData>
    <row r="1" spans="1:18" s="400" customFormat="1" ht="18.75">
      <c r="C1" s="430"/>
      <c r="D1" s="451"/>
      <c r="E1" s="449"/>
      <c r="F1" s="449"/>
      <c r="G1" s="449"/>
      <c r="H1" s="449"/>
      <c r="I1" s="449"/>
      <c r="J1" s="449"/>
      <c r="K1" s="449"/>
      <c r="L1" s="449"/>
      <c r="M1" s="449"/>
      <c r="N1" s="449"/>
      <c r="O1" s="449"/>
      <c r="P1" s="449"/>
      <c r="Q1" s="449"/>
      <c r="R1" s="449"/>
    </row>
    <row r="2" spans="1:18" s="400" customFormat="1" ht="30">
      <c r="A2" s="752" t="s">
        <v>1720</v>
      </c>
      <c r="B2" s="400" t="s">
        <v>2218</v>
      </c>
      <c r="C2" s="401" t="s">
        <v>2182</v>
      </c>
      <c r="D2" s="451" t="s">
        <v>2215</v>
      </c>
      <c r="E2" s="441" t="s">
        <v>2529</v>
      </c>
      <c r="F2" s="441" t="s">
        <v>2530</v>
      </c>
      <c r="G2" s="441" t="s">
        <v>2531</v>
      </c>
      <c r="H2" s="441" t="s">
        <v>2532</v>
      </c>
      <c r="I2" s="441" t="s">
        <v>2533</v>
      </c>
      <c r="J2" s="441" t="s">
        <v>2534</v>
      </c>
      <c r="K2" s="441" t="s">
        <v>2535</v>
      </c>
      <c r="L2" s="441" t="s">
        <v>2536</v>
      </c>
      <c r="M2" s="441" t="s">
        <v>2537</v>
      </c>
      <c r="N2" s="441" t="s">
        <v>2538</v>
      </c>
      <c r="O2" s="441" t="s">
        <v>2539</v>
      </c>
      <c r="P2" s="441" t="s">
        <v>2540</v>
      </c>
      <c r="Q2" s="441" t="s">
        <v>2541</v>
      </c>
      <c r="R2" s="441" t="s">
        <v>2219</v>
      </c>
    </row>
    <row r="3" spans="1:18" s="400" customFormat="1">
      <c r="C3" s="440"/>
      <c r="D3" s="451"/>
      <c r="E3" s="441"/>
      <c r="F3" s="441"/>
      <c r="G3" s="441"/>
      <c r="H3" s="441"/>
      <c r="I3" s="441"/>
      <c r="J3" s="441"/>
      <c r="K3" s="441"/>
      <c r="L3" s="441"/>
      <c r="M3" s="441"/>
      <c r="N3" s="441"/>
      <c r="O3" s="441"/>
      <c r="P3" s="441"/>
      <c r="Q3" s="441"/>
      <c r="R3" s="441"/>
    </row>
    <row r="4" spans="1:18">
      <c r="C4" s="442"/>
      <c r="E4" s="443"/>
      <c r="F4" s="443"/>
      <c r="G4" s="443"/>
      <c r="H4" s="443"/>
      <c r="I4" s="443"/>
      <c r="J4" s="443"/>
      <c r="K4" s="443"/>
      <c r="L4" s="443"/>
      <c r="M4" s="443"/>
      <c r="N4" s="443"/>
      <c r="O4" s="443"/>
      <c r="P4" s="443"/>
      <c r="Q4" s="443"/>
      <c r="R4" s="457"/>
    </row>
    <row r="5" spans="1:18">
      <c r="C5" s="444" t="s">
        <v>1481</v>
      </c>
      <c r="E5" s="445"/>
      <c r="F5" s="445"/>
      <c r="G5" s="445"/>
      <c r="H5" s="445"/>
      <c r="I5" s="445"/>
      <c r="J5" s="445"/>
      <c r="K5" s="445"/>
      <c r="L5" s="445"/>
      <c r="M5" s="445"/>
      <c r="N5" s="445"/>
      <c r="O5" s="445"/>
      <c r="P5" s="445"/>
      <c r="Q5" s="445"/>
      <c r="R5" s="446"/>
    </row>
    <row r="6" spans="1:18">
      <c r="A6" s="753" t="str">
        <f t="shared" ref="A6:A45" si="0">IF(ISTEXT(MID($C6,SEARCH("KY",$C6),3)),"KY",IF(ISTEXT(MID($C6,SEARCH("VA",$C6),3)),"VA",IF(ISTEXT(MID($C6,SEARCH("TN",$C6),3)),"TN","KY")))</f>
        <v>KY</v>
      </c>
      <c r="B6" s="753" t="str">
        <f t="shared" ref="B6:B69" si="1">IF(ISTEXT(MID($C6,SEARCH("COMMON",$C6),3)),"COMMON",IF(ISTEXT(MID($C6,SEARCH("GAS",$C6),3)),"",IF(ISTEXT(MID($C6,SEARCH("PRODUCTION",$C6),3)),"PRODUCTION",IF(ISTEXT(MID($C6,SEARCH("TRANSMISSION",$C6),3)),"TRANSMISSION",IF(ISTEXT(MID($C6,SEARCH("DISTRIBUTION",$C6),3)),"DISTRIBUTION",IF(ISTEXT(MID($C6,SEARCH("LAND",$C6),3)),"DISTRIBUTION",IF(ISTEXT(MID($C6,SEARCH("COMMON",$C6),3)),"COMMON",IF(ISTEXT(MID($C6,SEARCH("GENERAL",$C6),3)),"GENERAL",IF(ISTEXT(MID($C6,SEARCH("INTANGIBLE",$C6),3)),"GENERAL",IF(ISTEXT(MID($C6,SEARCH("STORAGE",$C6),3)),"STORAGE AND PROCESSING",""))))))))))</f>
        <v>DISTRIBUTION</v>
      </c>
      <c r="C6" s="442" t="s">
        <v>1482</v>
      </c>
      <c r="D6" s="453" t="str">
        <f t="shared" ref="D6:D47" si="2">IF(ISTEXT(MID($C6,SEARCH("FUTURE USE",$C6),3)),"FUTURE USE",IF(ISTEXT(MID($C6,SEARCH("ECR",$C6),3)),"ECR",IF(ISTEXT(MID($C6,SEARCH("ARO",$C6),3)),"ARO",IF(ISTEXT(MID($C6,SEARCH("DSM",$C6),3)),"DSM",IF(ISTEXT(MID($C6,SEARCH("GLT",$C6),3)),"GLT","")))))</f>
        <v/>
      </c>
      <c r="E6" s="446">
        <v>13866.4776975771</v>
      </c>
      <c r="F6" s="446">
        <v>17028.491022974998</v>
      </c>
      <c r="G6" s="446">
        <v>19362.806936249199</v>
      </c>
      <c r="H6" s="446">
        <v>22211.006138285</v>
      </c>
      <c r="I6" s="446">
        <v>22975.6573535145</v>
      </c>
      <c r="J6" s="446">
        <v>25095.255101884701</v>
      </c>
      <c r="K6" s="446">
        <v>26267.152947184499</v>
      </c>
      <c r="L6" s="446">
        <v>28779.961066402298</v>
      </c>
      <c r="M6" s="446">
        <v>12935.5355819913</v>
      </c>
      <c r="N6" s="446">
        <v>14542.2167771521</v>
      </c>
      <c r="O6" s="446">
        <v>18369.7657373088</v>
      </c>
      <c r="P6" s="446">
        <v>20155.272089812501</v>
      </c>
      <c r="Q6" s="446">
        <v>21844.414483450801</v>
      </c>
      <c r="R6" s="458">
        <f>SUM(E6:Q6)/13</f>
        <v>20264.154841060597</v>
      </c>
    </row>
    <row r="7" spans="1:18">
      <c r="A7" s="753" t="str">
        <f t="shared" si="0"/>
        <v>VA</v>
      </c>
      <c r="B7" s="753" t="str">
        <f t="shared" si="1"/>
        <v>DISTRIBUTION</v>
      </c>
      <c r="C7" s="442" t="s">
        <v>1483</v>
      </c>
      <c r="D7" s="453" t="str">
        <f t="shared" si="2"/>
        <v/>
      </c>
      <c r="E7" s="446">
        <v>7.7099997497498394E-8</v>
      </c>
      <c r="F7" s="446">
        <v>7.2300025522054004E-8</v>
      </c>
      <c r="G7" s="446">
        <v>113.8866776899</v>
      </c>
      <c r="H7" s="446">
        <v>9.7600150184007295E-8</v>
      </c>
      <c r="I7" s="446">
        <v>7.7400159170792904E-8</v>
      </c>
      <c r="J7" s="446">
        <v>7.3200169481424303E-8</v>
      </c>
      <c r="K7" s="446">
        <v>7.03002456248214E-8</v>
      </c>
      <c r="L7" s="446">
        <v>7.5400237165013095E-8</v>
      </c>
      <c r="M7" s="446">
        <v>8.2200273254784406E-8</v>
      </c>
      <c r="N7" s="446">
        <v>6.8100263206360899E-8</v>
      </c>
      <c r="O7" s="446">
        <v>7.4400247740413695E-8</v>
      </c>
      <c r="P7" s="446">
        <v>8.3000230688412504E-8</v>
      </c>
      <c r="Q7" s="446">
        <v>8.6500222096219606E-8</v>
      </c>
      <c r="R7" s="458">
        <f t="shared" ref="R7:R45" si="3">SUM(E7:Q7)/13</f>
        <v>8.7605137405694009</v>
      </c>
    </row>
    <row r="8" spans="1:18">
      <c r="A8" s="753" t="str">
        <f t="shared" si="0"/>
        <v>KY</v>
      </c>
      <c r="B8" s="753" t="str">
        <f t="shared" si="1"/>
        <v>GENERAL</v>
      </c>
      <c r="C8" s="442" t="s">
        <v>1484</v>
      </c>
      <c r="D8" s="453" t="str">
        <f t="shared" si="2"/>
        <v/>
      </c>
      <c r="E8" s="446">
        <v>11447.639366451</v>
      </c>
      <c r="F8" s="446">
        <v>13447.2238379144</v>
      </c>
      <c r="G8" s="446">
        <v>8085.8204475861003</v>
      </c>
      <c r="H8" s="446">
        <v>9396.0450718499997</v>
      </c>
      <c r="I8" s="446">
        <v>10532.726532721499</v>
      </c>
      <c r="J8" s="446">
        <v>11392.2311283296</v>
      </c>
      <c r="K8" s="446">
        <v>12546.2968948788</v>
      </c>
      <c r="L8" s="446">
        <v>9482.9080319814093</v>
      </c>
      <c r="M8" s="446">
        <v>6594.2224735106101</v>
      </c>
      <c r="N8" s="446">
        <v>7090.0455485411103</v>
      </c>
      <c r="O8" s="446">
        <v>7765.7072593661096</v>
      </c>
      <c r="P8" s="446">
        <v>9815.9759625090101</v>
      </c>
      <c r="Q8" s="446">
        <v>11632.1187594353</v>
      </c>
      <c r="R8" s="458">
        <f t="shared" si="3"/>
        <v>9940.6893319288429</v>
      </c>
    </row>
    <row r="9" spans="1:18">
      <c r="A9" s="753" t="str">
        <f t="shared" si="0"/>
        <v>VA</v>
      </c>
      <c r="B9" s="753" t="str">
        <f t="shared" si="1"/>
        <v>GENERAL</v>
      </c>
      <c r="C9" s="442" t="s">
        <v>1485</v>
      </c>
      <c r="D9" s="453" t="str">
        <f t="shared" si="2"/>
        <v/>
      </c>
      <c r="E9" s="446">
        <v>3609.4028219811898</v>
      </c>
      <c r="F9" s="446">
        <v>3924.58251657239</v>
      </c>
      <c r="G9" s="446">
        <v>4193.2347577723904</v>
      </c>
      <c r="H9" s="446">
        <v>49.035707068398501</v>
      </c>
      <c r="I9" s="446">
        <v>49.035707071198502</v>
      </c>
      <c r="J9" s="446">
        <v>49.035707071198502</v>
      </c>
      <c r="K9" s="446">
        <v>49.035707071198502</v>
      </c>
      <c r="L9" s="446">
        <v>49.035707071198502</v>
      </c>
      <c r="M9" s="446">
        <v>49.035707071198502</v>
      </c>
      <c r="N9" s="446">
        <v>49.035707071198502</v>
      </c>
      <c r="O9" s="446">
        <v>49.035707071198502</v>
      </c>
      <c r="P9" s="446">
        <v>49.035707071198502</v>
      </c>
      <c r="Q9" s="446">
        <v>49.035707071198502</v>
      </c>
      <c r="R9" s="458">
        <f t="shared" si="3"/>
        <v>939.8136282334732</v>
      </c>
    </row>
    <row r="10" spans="1:18">
      <c r="A10" s="753" t="str">
        <f t="shared" si="0"/>
        <v>KY</v>
      </c>
      <c r="B10" s="753" t="str">
        <f t="shared" si="1"/>
        <v>PRODUCTION</v>
      </c>
      <c r="C10" s="442" t="s">
        <v>1486</v>
      </c>
      <c r="D10" s="453" t="str">
        <f t="shared" si="2"/>
        <v/>
      </c>
      <c r="E10" s="446">
        <v>216.75023052742199</v>
      </c>
      <c r="F10" s="446">
        <v>216.75023052742199</v>
      </c>
      <c r="G10" s="446">
        <v>216.75023052742199</v>
      </c>
      <c r="H10" s="446">
        <v>216.75023052742199</v>
      </c>
      <c r="I10" s="446">
        <v>216.75023052742199</v>
      </c>
      <c r="J10" s="446">
        <v>216.75023052742199</v>
      </c>
      <c r="K10" s="446">
        <v>216.75023052742199</v>
      </c>
      <c r="L10" s="446">
        <v>216.75023052742199</v>
      </c>
      <c r="M10" s="446">
        <v>216.75023052742199</v>
      </c>
      <c r="N10" s="446">
        <v>216.75023052742199</v>
      </c>
      <c r="O10" s="446">
        <v>216.75023052742199</v>
      </c>
      <c r="P10" s="446">
        <v>216.75023052742199</v>
      </c>
      <c r="Q10" s="446">
        <v>216.75023052742199</v>
      </c>
      <c r="R10" s="458">
        <f t="shared" si="3"/>
        <v>216.75023052742199</v>
      </c>
    </row>
    <row r="11" spans="1:18">
      <c r="A11" s="753" t="str">
        <f t="shared" si="0"/>
        <v>KY</v>
      </c>
      <c r="B11" s="753" t="str">
        <f t="shared" si="1"/>
        <v>GENERAL</v>
      </c>
      <c r="C11" s="442" t="s">
        <v>1487</v>
      </c>
      <c r="D11" s="453" t="str">
        <f t="shared" si="2"/>
        <v/>
      </c>
      <c r="E11" s="446">
        <v>13940.632687094499</v>
      </c>
      <c r="F11" s="446">
        <v>14892.895821399899</v>
      </c>
      <c r="G11" s="446">
        <v>10037.8699553439</v>
      </c>
      <c r="H11" s="446">
        <v>10880.492985234499</v>
      </c>
      <c r="I11" s="446">
        <v>11848.3977366445</v>
      </c>
      <c r="J11" s="446">
        <v>12835.562296964999</v>
      </c>
      <c r="K11" s="446">
        <v>13599.606845586</v>
      </c>
      <c r="L11" s="446">
        <v>13365.528011824799</v>
      </c>
      <c r="M11" s="446">
        <v>12105.593822160699</v>
      </c>
      <c r="N11" s="446">
        <v>12700.0838906806</v>
      </c>
      <c r="O11" s="446">
        <v>13663.9634399809</v>
      </c>
      <c r="P11" s="446">
        <v>8910.70025803309</v>
      </c>
      <c r="Q11" s="446">
        <v>9534.4053505705906</v>
      </c>
      <c r="R11" s="458">
        <f t="shared" si="3"/>
        <v>12178.13331550146</v>
      </c>
    </row>
    <row r="12" spans="1:18">
      <c r="A12" s="753" t="str">
        <f t="shared" si="0"/>
        <v>KY</v>
      </c>
      <c r="B12" s="753" t="str">
        <f t="shared" si="1"/>
        <v>DISTRIBUTION</v>
      </c>
      <c r="C12" s="442" t="s">
        <v>1488</v>
      </c>
      <c r="D12" s="453" t="str">
        <f t="shared" si="2"/>
        <v/>
      </c>
      <c r="E12" s="446">
        <v>19.205918537799899</v>
      </c>
      <c r="F12" s="446">
        <v>19.205918537799899</v>
      </c>
      <c r="G12" s="446">
        <v>19.205918537799899</v>
      </c>
      <c r="H12" s="446">
        <v>19.205918537799899</v>
      </c>
      <c r="I12" s="446">
        <v>19.205918537799899</v>
      </c>
      <c r="J12" s="446">
        <v>19.205918537799899</v>
      </c>
      <c r="K12" s="446">
        <v>19.205918537799899</v>
      </c>
      <c r="L12" s="446">
        <v>19.205918488899801</v>
      </c>
      <c r="M12" s="446">
        <v>-6.1100102755062795E-8</v>
      </c>
      <c r="N12" s="446">
        <v>-6.1100102755062795E-8</v>
      </c>
      <c r="O12" s="446">
        <v>-6.1100102755062795E-8</v>
      </c>
      <c r="P12" s="446">
        <v>-6.1100102755062795E-8</v>
      </c>
      <c r="Q12" s="446">
        <v>-6.1100102755062795E-8</v>
      </c>
      <c r="R12" s="458">
        <f t="shared" si="3"/>
        <v>11.819026765230658</v>
      </c>
    </row>
    <row r="13" spans="1:18">
      <c r="A13" s="753" t="str">
        <f t="shared" si="0"/>
        <v>VA</v>
      </c>
      <c r="B13" s="753" t="str">
        <f t="shared" si="1"/>
        <v>DISTRIBUTION</v>
      </c>
      <c r="C13" s="442" t="s">
        <v>2515</v>
      </c>
      <c r="D13" s="453" t="str">
        <f t="shared" si="2"/>
        <v/>
      </c>
      <c r="E13" s="446">
        <v>-5.8200029684485297E-8</v>
      </c>
      <c r="F13" s="446">
        <v>-5.8200029684485297E-8</v>
      </c>
      <c r="G13" s="446">
        <v>-5.8200029684485297E-8</v>
      </c>
      <c r="H13" s="446">
        <v>-5.8200029684485297E-8</v>
      </c>
      <c r="I13" s="446">
        <v>-5.8200029684485297E-8</v>
      </c>
      <c r="J13" s="446">
        <v>-5.8200029684485297E-8</v>
      </c>
      <c r="K13" s="446">
        <v>-5.8200029684485297E-8</v>
      </c>
      <c r="L13" s="446">
        <v>-5.8200029684485297E-8</v>
      </c>
      <c r="M13" s="446">
        <v>-5.8200029684485297E-8</v>
      </c>
      <c r="N13" s="446">
        <v>-5.8200029684485297E-8</v>
      </c>
      <c r="O13" s="446">
        <v>-5.8200029684485297E-8</v>
      </c>
      <c r="P13" s="446">
        <v>-5.8200029684485297E-8</v>
      </c>
      <c r="Q13" s="446">
        <v>-5.8200029684485297E-8</v>
      </c>
      <c r="R13" s="458">
        <f t="shared" si="3"/>
        <v>-5.8200029684485311E-8</v>
      </c>
    </row>
    <row r="14" spans="1:18">
      <c r="A14" s="753" t="str">
        <f t="shared" si="0"/>
        <v>KY</v>
      </c>
      <c r="B14" s="753" t="str">
        <f t="shared" si="1"/>
        <v>PRODUCTION</v>
      </c>
      <c r="C14" s="442" t="s">
        <v>1489</v>
      </c>
      <c r="D14" s="453" t="str">
        <f t="shared" si="2"/>
        <v/>
      </c>
      <c r="E14" s="446">
        <v>22888.161616942099</v>
      </c>
      <c r="F14" s="446">
        <v>14462.100997433699</v>
      </c>
      <c r="G14" s="446">
        <v>16899.9708279681</v>
      </c>
      <c r="H14" s="446">
        <v>21678.2266288389</v>
      </c>
      <c r="I14" s="446">
        <v>23133.5437056601</v>
      </c>
      <c r="J14" s="446">
        <v>2277.7126321339902</v>
      </c>
      <c r="K14" s="446">
        <v>2989.56749542439</v>
      </c>
      <c r="L14" s="446">
        <v>2857.0960050059898</v>
      </c>
      <c r="M14" s="446">
        <v>933.15759009729197</v>
      </c>
      <c r="N14" s="446">
        <v>1062.16846260289</v>
      </c>
      <c r="O14" s="446">
        <v>831.74078661169199</v>
      </c>
      <c r="P14" s="446">
        <v>12833.3182475503</v>
      </c>
      <c r="Q14" s="446">
        <v>4.37059914799101</v>
      </c>
      <c r="R14" s="458">
        <f t="shared" si="3"/>
        <v>9450.0873534936509</v>
      </c>
    </row>
    <row r="15" spans="1:18">
      <c r="A15" s="753" t="str">
        <f t="shared" si="0"/>
        <v>KY</v>
      </c>
      <c r="B15" s="753" t="str">
        <f t="shared" si="1"/>
        <v>PRODUCTION</v>
      </c>
      <c r="C15" s="442" t="s">
        <v>1490</v>
      </c>
      <c r="D15" s="453" t="str">
        <f t="shared" si="2"/>
        <v/>
      </c>
      <c r="E15" s="446">
        <v>25276.3628380425</v>
      </c>
      <c r="F15" s="446">
        <v>22820.218734620899</v>
      </c>
      <c r="G15" s="446">
        <v>15007.174611754301</v>
      </c>
      <c r="H15" s="446">
        <v>16596.582729425001</v>
      </c>
      <c r="I15" s="446">
        <v>20591.721889145399</v>
      </c>
      <c r="J15" s="446">
        <v>22995.781255164398</v>
      </c>
      <c r="K15" s="446">
        <v>36963.748338972298</v>
      </c>
      <c r="L15" s="446">
        <v>30360.416044503701</v>
      </c>
      <c r="M15" s="446">
        <v>14225.559897626201</v>
      </c>
      <c r="N15" s="446">
        <v>14545.7572430085</v>
      </c>
      <c r="O15" s="446">
        <v>18100.504894678601</v>
      </c>
      <c r="P15" s="446">
        <v>26579.194243988699</v>
      </c>
      <c r="Q15" s="446">
        <v>40872.532602926898</v>
      </c>
      <c r="R15" s="458">
        <f t="shared" si="3"/>
        <v>23456.581178758261</v>
      </c>
    </row>
    <row r="16" spans="1:18">
      <c r="A16" s="753" t="str">
        <f t="shared" si="0"/>
        <v>KY</v>
      </c>
      <c r="B16" s="753" t="str">
        <f t="shared" si="1"/>
        <v>PRODUCTION</v>
      </c>
      <c r="C16" s="442" t="s">
        <v>1491</v>
      </c>
      <c r="D16" s="453" t="str">
        <f t="shared" si="2"/>
        <v>ECR</v>
      </c>
      <c r="E16" s="446">
        <v>50696.530709999999</v>
      </c>
      <c r="F16" s="446">
        <v>51832.334499999997</v>
      </c>
      <c r="G16" s="446">
        <v>53518.218289999997</v>
      </c>
      <c r="H16" s="446">
        <v>55371.502079999998</v>
      </c>
      <c r="I16" s="446">
        <v>57068.545870000002</v>
      </c>
      <c r="J16" s="446">
        <v>59064.749660000001</v>
      </c>
      <c r="K16" s="446">
        <v>60540.352350000001</v>
      </c>
      <c r="L16" s="446">
        <v>38575.625959999998</v>
      </c>
      <c r="M16" s="446">
        <v>0</v>
      </c>
      <c r="N16" s="446">
        <v>0</v>
      </c>
      <c r="O16" s="446">
        <v>0</v>
      </c>
      <c r="P16" s="446">
        <v>0</v>
      </c>
      <c r="Q16" s="446">
        <v>0</v>
      </c>
      <c r="R16" s="458">
        <f t="shared" si="3"/>
        <v>32820.604570769225</v>
      </c>
    </row>
    <row r="17" spans="1:18">
      <c r="A17" s="753" t="str">
        <f t="shared" si="0"/>
        <v>KY</v>
      </c>
      <c r="B17" s="753" t="str">
        <f t="shared" si="1"/>
        <v>PRODUCTION</v>
      </c>
      <c r="C17" s="442" t="s">
        <v>1492</v>
      </c>
      <c r="D17" s="453" t="str">
        <f t="shared" si="2"/>
        <v>ECR</v>
      </c>
      <c r="E17" s="446">
        <v>496.01754975832898</v>
      </c>
      <c r="F17" s="446">
        <v>496.20738832702199</v>
      </c>
      <c r="G17" s="446">
        <v>496.40188054579301</v>
      </c>
      <c r="H17" s="446">
        <v>496.65841826730201</v>
      </c>
      <c r="I17" s="446">
        <v>496.923722864448</v>
      </c>
      <c r="J17" s="446">
        <v>497.18844382163098</v>
      </c>
      <c r="K17" s="446">
        <v>2409.2347328897099</v>
      </c>
      <c r="L17" s="446">
        <v>3471.1516709062298</v>
      </c>
      <c r="M17" s="446">
        <v>896.64801185992405</v>
      </c>
      <c r="N17" s="446">
        <v>896.64801185992405</v>
      </c>
      <c r="O17" s="446">
        <v>896.64801185992405</v>
      </c>
      <c r="P17" s="446">
        <v>46.684011859924297</v>
      </c>
      <c r="Q17" s="446">
        <v>46.684011859924297</v>
      </c>
      <c r="R17" s="458">
        <f t="shared" si="3"/>
        <v>895.62275897539143</v>
      </c>
    </row>
    <row r="18" spans="1:18">
      <c r="A18" s="753" t="str">
        <f t="shared" si="0"/>
        <v>KY</v>
      </c>
      <c r="B18" s="753" t="str">
        <f t="shared" si="1"/>
        <v>PRODUCTION</v>
      </c>
      <c r="C18" s="442" t="s">
        <v>2217</v>
      </c>
      <c r="D18" s="453" t="str">
        <f t="shared" si="2"/>
        <v>ECR</v>
      </c>
      <c r="E18" s="446">
        <v>187339.020066103</v>
      </c>
      <c r="F18" s="446">
        <v>58268.059592018697</v>
      </c>
      <c r="G18" s="446">
        <v>57686.338509137197</v>
      </c>
      <c r="H18" s="446">
        <v>62404.650887453099</v>
      </c>
      <c r="I18" s="446">
        <v>67770.138903746207</v>
      </c>
      <c r="J18" s="446">
        <v>72027.511097325303</v>
      </c>
      <c r="K18" s="446">
        <v>58568.940530771499</v>
      </c>
      <c r="L18" s="446">
        <v>61026.134817851402</v>
      </c>
      <c r="M18" s="446">
        <v>31924.2379884193</v>
      </c>
      <c r="N18" s="446">
        <v>32184.3260695959</v>
      </c>
      <c r="O18" s="446">
        <v>32444.3643657596</v>
      </c>
      <c r="P18" s="446">
        <v>32804.407595155899</v>
      </c>
      <c r="Q18" s="446">
        <v>33314.467985260198</v>
      </c>
      <c r="R18" s="458">
        <f t="shared" si="3"/>
        <v>60597.122954507475</v>
      </c>
    </row>
    <row r="19" spans="1:18">
      <c r="A19" s="753" t="str">
        <f t="shared" si="0"/>
        <v>KY</v>
      </c>
      <c r="B19" s="753" t="str">
        <f t="shared" si="1"/>
        <v>TRANSMISSION</v>
      </c>
      <c r="C19" s="442" t="s">
        <v>1494</v>
      </c>
      <c r="D19" s="453" t="str">
        <f t="shared" si="2"/>
        <v/>
      </c>
      <c r="E19" s="446">
        <v>46920.525923302797</v>
      </c>
      <c r="F19" s="446">
        <v>48954.932578353597</v>
      </c>
      <c r="G19" s="446">
        <v>51547.24264638</v>
      </c>
      <c r="H19" s="446">
        <v>53851.729541552799</v>
      </c>
      <c r="I19" s="446">
        <v>59243.484390719903</v>
      </c>
      <c r="J19" s="446">
        <v>67476.497879507893</v>
      </c>
      <c r="K19" s="446">
        <v>74456.315556795496</v>
      </c>
      <c r="L19" s="446">
        <v>81685.445550992503</v>
      </c>
      <c r="M19" s="446">
        <v>40394.946945757903</v>
      </c>
      <c r="N19" s="446">
        <v>50843.972469476001</v>
      </c>
      <c r="O19" s="446">
        <v>56834.852226365998</v>
      </c>
      <c r="P19" s="446">
        <v>66913.523313120095</v>
      </c>
      <c r="Q19" s="446">
        <v>69048.8195177858</v>
      </c>
      <c r="R19" s="458">
        <f t="shared" si="3"/>
        <v>59090.176041546991</v>
      </c>
    </row>
    <row r="20" spans="1:18">
      <c r="A20" s="753" t="str">
        <f t="shared" si="0"/>
        <v>VA</v>
      </c>
      <c r="B20" s="753" t="str">
        <f t="shared" si="1"/>
        <v>TRANSMISSION</v>
      </c>
      <c r="C20" s="442" t="s">
        <v>1495</v>
      </c>
      <c r="D20" s="453" t="str">
        <f t="shared" si="2"/>
        <v/>
      </c>
      <c r="E20" s="446">
        <v>1663.9846170512999</v>
      </c>
      <c r="F20" s="446">
        <v>2187.5629328484001</v>
      </c>
      <c r="G20" s="446">
        <v>2720.5438956109001</v>
      </c>
      <c r="H20" s="446">
        <v>2772.1834903632998</v>
      </c>
      <c r="I20" s="446">
        <v>2822.9687136912999</v>
      </c>
      <c r="J20" s="446">
        <v>2876.1656167135002</v>
      </c>
      <c r="K20" s="446">
        <v>3124.6315421065001</v>
      </c>
      <c r="L20" s="446">
        <v>3373.0974674995</v>
      </c>
      <c r="M20" s="446">
        <v>3363.6724805965</v>
      </c>
      <c r="N20" s="446">
        <v>3804.0796030726001</v>
      </c>
      <c r="O20" s="446">
        <v>4220.4799371379004</v>
      </c>
      <c r="P20" s="446">
        <v>4931.0564025768999</v>
      </c>
      <c r="Q20" s="446">
        <v>6068.9914096105003</v>
      </c>
      <c r="R20" s="458">
        <f t="shared" si="3"/>
        <v>3379.1860083753154</v>
      </c>
    </row>
    <row r="21" spans="1:18">
      <c r="A21" s="753" t="str">
        <f t="shared" si="0"/>
        <v>KY</v>
      </c>
      <c r="B21" s="753" t="str">
        <f t="shared" si="1"/>
        <v/>
      </c>
      <c r="C21" s="442"/>
      <c r="D21" s="453"/>
      <c r="E21" s="446"/>
      <c r="F21" s="446"/>
      <c r="G21" s="446"/>
      <c r="H21" s="446"/>
      <c r="I21" s="446"/>
      <c r="J21" s="446"/>
      <c r="K21" s="446"/>
      <c r="L21" s="446"/>
      <c r="M21" s="446"/>
      <c r="N21" s="446"/>
      <c r="O21" s="446"/>
      <c r="P21" s="446"/>
      <c r="Q21" s="446"/>
      <c r="R21" s="458">
        <f>SUM(R6:R20)</f>
        <v>233249.5017541257</v>
      </c>
    </row>
    <row r="22" spans="1:18">
      <c r="A22" s="753" t="str">
        <f t="shared" si="0"/>
        <v>KY</v>
      </c>
      <c r="B22" s="753" t="str">
        <f t="shared" si="1"/>
        <v/>
      </c>
      <c r="C22" s="442"/>
      <c r="D22" s="453"/>
      <c r="E22" s="446"/>
      <c r="F22" s="446"/>
      <c r="G22" s="446"/>
      <c r="H22" s="446"/>
      <c r="I22" s="446"/>
      <c r="J22" s="446"/>
      <c r="K22" s="446"/>
      <c r="L22" s="446"/>
      <c r="M22" s="446"/>
      <c r="N22" s="446"/>
      <c r="O22" s="446"/>
      <c r="P22" s="446"/>
      <c r="Q22" s="446"/>
      <c r="R22" s="458"/>
    </row>
    <row r="23" spans="1:18">
      <c r="A23" s="753" t="str">
        <f t="shared" si="0"/>
        <v>KY</v>
      </c>
      <c r="B23" s="753" t="str">
        <f t="shared" si="1"/>
        <v/>
      </c>
      <c r="C23" s="442"/>
      <c r="D23" s="453" t="str">
        <f t="shared" si="2"/>
        <v/>
      </c>
      <c r="E23" s="446"/>
      <c r="F23" s="446"/>
      <c r="G23" s="446"/>
      <c r="H23" s="446"/>
      <c r="I23" s="446"/>
      <c r="J23" s="446"/>
      <c r="K23" s="446"/>
      <c r="L23" s="446"/>
      <c r="M23" s="446"/>
      <c r="N23" s="446"/>
      <c r="O23" s="446"/>
      <c r="P23" s="446"/>
      <c r="Q23" s="446"/>
      <c r="R23" s="458"/>
    </row>
    <row r="24" spans="1:18">
      <c r="A24" s="753" t="str">
        <f t="shared" si="0"/>
        <v>KY</v>
      </c>
      <c r="B24" s="753" t="str">
        <f t="shared" si="1"/>
        <v/>
      </c>
      <c r="C24" s="444" t="s">
        <v>1497</v>
      </c>
      <c r="D24" s="453" t="str">
        <f t="shared" si="2"/>
        <v/>
      </c>
      <c r="E24" s="446">
        <v>0</v>
      </c>
      <c r="F24" s="446">
        <v>0</v>
      </c>
      <c r="G24" s="446">
        <v>0</v>
      </c>
      <c r="H24" s="446">
        <v>0</v>
      </c>
      <c r="I24" s="446">
        <v>0</v>
      </c>
      <c r="J24" s="446">
        <v>0</v>
      </c>
      <c r="K24" s="446">
        <v>0</v>
      </c>
      <c r="L24" s="446">
        <v>0</v>
      </c>
      <c r="M24" s="446">
        <v>0</v>
      </c>
      <c r="N24" s="446">
        <v>0</v>
      </c>
      <c r="O24" s="446">
        <v>0</v>
      </c>
      <c r="P24" s="446">
        <v>0</v>
      </c>
      <c r="Q24" s="446">
        <v>0</v>
      </c>
      <c r="R24" s="458"/>
    </row>
    <row r="25" spans="1:18">
      <c r="A25" s="753" t="str">
        <f t="shared" si="0"/>
        <v>KY</v>
      </c>
      <c r="B25" s="753" t="str">
        <f t="shared" si="1"/>
        <v>PRODUCTION</v>
      </c>
      <c r="C25" s="442" t="s">
        <v>1486</v>
      </c>
      <c r="D25" s="453" t="str">
        <f t="shared" si="2"/>
        <v/>
      </c>
      <c r="E25" s="446">
        <v>2.9727805274226999</v>
      </c>
      <c r="F25" s="446">
        <v>2.9727805274226999</v>
      </c>
      <c r="G25" s="446">
        <v>2.9727805274226999</v>
      </c>
      <c r="H25" s="446">
        <v>2.9727805274226999</v>
      </c>
      <c r="I25" s="446">
        <v>2.9727805274226999</v>
      </c>
      <c r="J25" s="446">
        <v>2.9727805274226999</v>
      </c>
      <c r="K25" s="446">
        <v>2.9727805274226999</v>
      </c>
      <c r="L25" s="446">
        <v>2.9727805274226999</v>
      </c>
      <c r="M25" s="446">
        <v>2.9727805274226999</v>
      </c>
      <c r="N25" s="446">
        <v>2.9727805274226999</v>
      </c>
      <c r="O25" s="446">
        <v>2.9727805274226999</v>
      </c>
      <c r="P25" s="446">
        <v>2.9727805274226999</v>
      </c>
      <c r="Q25" s="446">
        <v>2.9727805274226999</v>
      </c>
      <c r="R25" s="458">
        <f t="shared" si="3"/>
        <v>2.9727805274226999</v>
      </c>
    </row>
    <row r="26" spans="1:18">
      <c r="A26" s="753" t="str">
        <f t="shared" si="0"/>
        <v>KY</v>
      </c>
      <c r="B26" s="753" t="str">
        <f t="shared" si="1"/>
        <v>PRODUCTION</v>
      </c>
      <c r="C26" s="442" t="s">
        <v>1489</v>
      </c>
      <c r="D26" s="453" t="str">
        <f t="shared" si="2"/>
        <v/>
      </c>
      <c r="E26" s="446">
        <v>3.0834617269712998</v>
      </c>
      <c r="F26" s="446">
        <v>3.3382684437142398</v>
      </c>
      <c r="G26" s="446">
        <v>3.6907464351395798</v>
      </c>
      <c r="H26" s="446">
        <v>4.1191675827238896</v>
      </c>
      <c r="I26" s="446">
        <v>4.4918923608999197</v>
      </c>
      <c r="J26" s="446">
        <v>4.49791436508447</v>
      </c>
      <c r="K26" s="446">
        <v>4.49791436508447</v>
      </c>
      <c r="L26" s="446">
        <v>4.49791436508447</v>
      </c>
      <c r="M26" s="446">
        <v>4.49791436508447</v>
      </c>
      <c r="N26" s="446">
        <v>4.49791436508447</v>
      </c>
      <c r="O26" s="446">
        <v>4.49791436508447</v>
      </c>
      <c r="P26" s="446">
        <v>4.49791436508447</v>
      </c>
      <c r="Q26" s="446">
        <v>4.49791436508447</v>
      </c>
      <c r="R26" s="458">
        <f t="shared" si="3"/>
        <v>4.2082193438557445</v>
      </c>
    </row>
    <row r="27" spans="1:18">
      <c r="A27" s="753" t="str">
        <f t="shared" si="0"/>
        <v>KY</v>
      </c>
      <c r="B27" s="753" t="str">
        <f t="shared" si="1"/>
        <v>PRODUCTION</v>
      </c>
      <c r="C27" s="442" t="s">
        <v>1490</v>
      </c>
      <c r="D27" s="453" t="str">
        <f t="shared" si="2"/>
        <v/>
      </c>
      <c r="E27" s="446">
        <v>0</v>
      </c>
      <c r="F27" s="446">
        <v>0</v>
      </c>
      <c r="G27" s="446">
        <v>0</v>
      </c>
      <c r="H27" s="446">
        <v>0</v>
      </c>
      <c r="I27" s="446">
        <v>0</v>
      </c>
      <c r="J27" s="446">
        <v>0</v>
      </c>
      <c r="K27" s="446">
        <v>0</v>
      </c>
      <c r="L27" s="446">
        <v>0</v>
      </c>
      <c r="M27" s="446">
        <v>0</v>
      </c>
      <c r="N27" s="446">
        <v>0</v>
      </c>
      <c r="O27" s="446">
        <v>0</v>
      </c>
      <c r="P27" s="446">
        <v>0</v>
      </c>
      <c r="Q27" s="446">
        <v>0</v>
      </c>
      <c r="R27" s="458">
        <f t="shared" ref="R27:R28" si="4">SUM(E27:Q27)/13</f>
        <v>0</v>
      </c>
    </row>
    <row r="28" spans="1:18">
      <c r="A28" s="753" t="str">
        <f t="shared" si="0"/>
        <v>KY</v>
      </c>
      <c r="B28" s="753" t="str">
        <f t="shared" si="1"/>
        <v>PRODUCTION</v>
      </c>
      <c r="C28" s="442" t="s">
        <v>1491</v>
      </c>
      <c r="D28" s="453" t="str">
        <f t="shared" si="2"/>
        <v>ECR</v>
      </c>
      <c r="E28" s="446">
        <v>607.87933999999996</v>
      </c>
      <c r="F28" s="446">
        <v>607.87933999999996</v>
      </c>
      <c r="G28" s="446">
        <v>607.87933999999996</v>
      </c>
      <c r="H28" s="446">
        <v>607.87933999999996</v>
      </c>
      <c r="I28" s="446">
        <v>607.87933999999996</v>
      </c>
      <c r="J28" s="446">
        <v>607.87933999999996</v>
      </c>
      <c r="K28" s="446">
        <v>607.87933999999996</v>
      </c>
      <c r="L28" s="446">
        <v>607.87933999999996</v>
      </c>
      <c r="M28" s="446">
        <v>607.87933999999996</v>
      </c>
      <c r="N28" s="446">
        <v>607.87933999999996</v>
      </c>
      <c r="O28" s="446">
        <v>607.87933999999996</v>
      </c>
      <c r="P28" s="446">
        <v>607.87933999999996</v>
      </c>
      <c r="Q28" s="446">
        <v>607.87933999999996</v>
      </c>
      <c r="R28" s="458">
        <f t="shared" si="4"/>
        <v>607.87933999999973</v>
      </c>
    </row>
    <row r="29" spans="1:18">
      <c r="A29" s="753" t="str">
        <f t="shared" si="0"/>
        <v>KY</v>
      </c>
      <c r="B29" s="753" t="str">
        <f t="shared" si="1"/>
        <v>PRODUCTION</v>
      </c>
      <c r="C29" s="442" t="s">
        <v>1492</v>
      </c>
      <c r="D29" s="453" t="str">
        <f t="shared" si="2"/>
        <v>ECR</v>
      </c>
      <c r="E29" s="446">
        <v>47.735109758329301</v>
      </c>
      <c r="F29" s="446">
        <v>47.924948327022598</v>
      </c>
      <c r="G29" s="446">
        <v>48.119440545792898</v>
      </c>
      <c r="H29" s="446">
        <v>48.375978267302699</v>
      </c>
      <c r="I29" s="446">
        <v>48.641282864448598</v>
      </c>
      <c r="J29" s="446">
        <v>48.906003821631003</v>
      </c>
      <c r="K29" s="446">
        <v>49.138962889716403</v>
      </c>
      <c r="L29" s="446">
        <v>49.206570906238703</v>
      </c>
      <c r="M29" s="446">
        <v>49.2270718599246</v>
      </c>
      <c r="N29" s="446">
        <v>49.2270718599246</v>
      </c>
      <c r="O29" s="446">
        <v>49.2270718599246</v>
      </c>
      <c r="P29" s="446">
        <v>49.2270718599246</v>
      </c>
      <c r="Q29" s="446">
        <v>49.2270718599246</v>
      </c>
      <c r="R29" s="458">
        <f t="shared" si="3"/>
        <v>48.783358206161957</v>
      </c>
    </row>
    <row r="30" spans="1:18">
      <c r="A30" s="753" t="str">
        <f t="shared" si="0"/>
        <v>KY</v>
      </c>
      <c r="B30" s="753" t="str">
        <f t="shared" si="1"/>
        <v>PRODUCTION</v>
      </c>
      <c r="C30" s="442" t="s">
        <v>2217</v>
      </c>
      <c r="D30" s="453" t="str">
        <f t="shared" si="2"/>
        <v>ECR</v>
      </c>
      <c r="E30" s="446">
        <v>295.83470610305102</v>
      </c>
      <c r="F30" s="446">
        <v>296.08930201880599</v>
      </c>
      <c r="G30" s="446">
        <v>296.29260913726102</v>
      </c>
      <c r="H30" s="446">
        <v>296.605017453139</v>
      </c>
      <c r="I30" s="446">
        <v>297.15686374624102</v>
      </c>
      <c r="J30" s="446">
        <v>297.75803732532501</v>
      </c>
      <c r="K30" s="446">
        <v>298.26744077161601</v>
      </c>
      <c r="L30" s="446">
        <v>298.69067785147303</v>
      </c>
      <c r="M30" s="446">
        <v>298.90462841937602</v>
      </c>
      <c r="N30" s="446">
        <v>298.992709595961</v>
      </c>
      <c r="O30" s="446">
        <v>299.03100575969398</v>
      </c>
      <c r="P30" s="446">
        <v>299.07423515595201</v>
      </c>
      <c r="Q30" s="446">
        <v>299.134625260299</v>
      </c>
      <c r="R30" s="458">
        <f t="shared" si="3"/>
        <v>297.83321989216876</v>
      </c>
    </row>
    <row r="31" spans="1:18">
      <c r="A31" s="753" t="str">
        <f t="shared" si="0"/>
        <v>KY</v>
      </c>
      <c r="B31" s="753" t="str">
        <f t="shared" si="1"/>
        <v/>
      </c>
      <c r="C31" s="442" t="s">
        <v>1496</v>
      </c>
      <c r="D31" s="453" t="str">
        <f t="shared" si="2"/>
        <v/>
      </c>
      <c r="E31" s="446">
        <v>957.50539811577414</v>
      </c>
      <c r="F31" s="446">
        <v>958.20463931696554</v>
      </c>
      <c r="G31" s="446">
        <v>958.95491664561621</v>
      </c>
      <c r="H31" s="446">
        <v>959.95228383058827</v>
      </c>
      <c r="I31" s="446">
        <v>961.14215949901222</v>
      </c>
      <c r="J31" s="446">
        <v>962.01407603946313</v>
      </c>
      <c r="K31" s="446">
        <v>962.75643855383942</v>
      </c>
      <c r="L31" s="446">
        <v>963.24728365021883</v>
      </c>
      <c r="M31" s="446">
        <v>963.48173517180771</v>
      </c>
      <c r="N31" s="446">
        <v>963.56981634839281</v>
      </c>
      <c r="O31" s="446">
        <v>963.60811251212567</v>
      </c>
      <c r="P31" s="446">
        <v>963.65134190838376</v>
      </c>
      <c r="Q31" s="446">
        <v>963.71173201273075</v>
      </c>
      <c r="R31" s="458">
        <f t="shared" si="3"/>
        <v>961.67691796960912</v>
      </c>
    </row>
    <row r="32" spans="1:18">
      <c r="A32" s="753" t="str">
        <f t="shared" si="0"/>
        <v>KY</v>
      </c>
      <c r="B32" s="753" t="str">
        <f t="shared" si="1"/>
        <v/>
      </c>
      <c r="C32" s="442"/>
      <c r="D32" s="453" t="str">
        <f t="shared" si="2"/>
        <v/>
      </c>
      <c r="E32" s="446">
        <v>0</v>
      </c>
      <c r="F32" s="446">
        <v>0</v>
      </c>
      <c r="G32" s="446">
        <v>0</v>
      </c>
      <c r="H32" s="446">
        <v>0</v>
      </c>
      <c r="I32" s="446">
        <v>0</v>
      </c>
      <c r="J32" s="446">
        <v>0</v>
      </c>
      <c r="K32" s="446">
        <v>0</v>
      </c>
      <c r="L32" s="446">
        <v>0</v>
      </c>
      <c r="M32" s="446">
        <v>0</v>
      </c>
      <c r="N32" s="446">
        <v>0</v>
      </c>
      <c r="O32" s="446">
        <v>0</v>
      </c>
      <c r="P32" s="446">
        <v>0</v>
      </c>
      <c r="Q32" s="446">
        <v>0</v>
      </c>
      <c r="R32" s="458"/>
    </row>
    <row r="33" spans="1:18">
      <c r="A33" s="753" t="str">
        <f t="shared" si="0"/>
        <v>KY</v>
      </c>
      <c r="B33" s="753" t="str">
        <f t="shared" si="1"/>
        <v/>
      </c>
      <c r="C33" s="444" t="s">
        <v>1498</v>
      </c>
      <c r="D33" s="453" t="str">
        <f t="shared" si="2"/>
        <v/>
      </c>
      <c r="E33" s="446">
        <v>0</v>
      </c>
      <c r="F33" s="446">
        <v>0</v>
      </c>
      <c r="G33" s="446">
        <v>0</v>
      </c>
      <c r="H33" s="446">
        <v>0</v>
      </c>
      <c r="I33" s="446">
        <v>0</v>
      </c>
      <c r="J33" s="446">
        <v>0</v>
      </c>
      <c r="K33" s="446">
        <v>0</v>
      </c>
      <c r="L33" s="446">
        <v>0</v>
      </c>
      <c r="M33" s="446">
        <v>0</v>
      </c>
      <c r="N33" s="446">
        <v>0</v>
      </c>
      <c r="O33" s="446">
        <v>0</v>
      </c>
      <c r="P33" s="446">
        <v>0</v>
      </c>
      <c r="Q33" s="446">
        <v>0</v>
      </c>
      <c r="R33" s="458"/>
    </row>
    <row r="34" spans="1:18">
      <c r="A34" s="753" t="str">
        <f t="shared" si="0"/>
        <v>KY</v>
      </c>
      <c r="B34" s="753" t="str">
        <f t="shared" ref="B34:B45" si="5">IF(ISTEXT(MID($C34,SEARCH("COMMON",$C34),3)),"COMMON",IF(ISTEXT(MID($C34,SEARCH("GAS",$C34),3)),"",IF(ISTEXT(MID($C34,SEARCH("HYDRO PRODUCTION",$C34),9)),"HYDRO",IF(ISTEXT(MID($C34,SEARCH("OTHER PRODUCTION",$C34),9)),"OTHER",IF(ISTEXT(MID($C34,SEARCH("STEAM PRODUCTION",$C34),9)),"STEAM",IF(ISTEXT(MID($C34,SEARCH("TRANSMISSION",$C34),9)),"TRANSMISSION",IF(ISTEXT(MID($C34,SEARCH("DISTRIBUTION",$C34),9)),"DISTRIBUTION",IF(ISTEXT(MID($C34,SEARCH("COMMON",$C34),9)),"COMMON",IF(ISTEXT(MID($C34,SEARCH("GENERAL",$C34),9)),"GENERAL",IF(ISTEXT(MID($C34,SEARCH("INTANGIBLE",$C34),9)),"INTANGIBLE",IF(ISTEXT(MID($C34,SEARCH("STORAGE",$C34),3)),"STORAGE","")))))))))))</f>
        <v>DISTRIBUTION</v>
      </c>
      <c r="C34" s="442" t="s">
        <v>1482</v>
      </c>
      <c r="D34" s="453" t="str">
        <f t="shared" si="2"/>
        <v/>
      </c>
      <c r="E34" s="446">
        <v>658.421198275601</v>
      </c>
      <c r="F34" s="446">
        <v>752.08151683469998</v>
      </c>
      <c r="G34" s="446">
        <v>913.42252923019998</v>
      </c>
      <c r="H34" s="446">
        <v>961.82414157760002</v>
      </c>
      <c r="I34" s="446">
        <v>952.66020187810102</v>
      </c>
      <c r="J34" s="446">
        <v>952.56046823889994</v>
      </c>
      <c r="K34" s="446">
        <v>1075.7382094362999</v>
      </c>
      <c r="L34" s="446">
        <v>1130.90794876209</v>
      </c>
      <c r="M34" s="446">
        <v>194.36132311979901</v>
      </c>
      <c r="N34" s="446">
        <v>210.35147028209801</v>
      </c>
      <c r="O34" s="446">
        <v>227.45581872479801</v>
      </c>
      <c r="P34" s="446">
        <v>257.02302176719797</v>
      </c>
      <c r="Q34" s="446">
        <v>293.71646529279798</v>
      </c>
      <c r="R34" s="458">
        <f t="shared" si="3"/>
        <v>660.0403318015525</v>
      </c>
    </row>
    <row r="35" spans="1:18">
      <c r="A35" s="753" t="str">
        <f t="shared" si="0"/>
        <v>VA</v>
      </c>
      <c r="B35" s="753" t="str">
        <f t="shared" si="5"/>
        <v>DISTRIBUTION</v>
      </c>
      <c r="C35" s="442" t="s">
        <v>1483</v>
      </c>
      <c r="D35" s="453" t="str">
        <f t="shared" si="2"/>
        <v/>
      </c>
      <c r="E35" s="446">
        <v>2.1000168715090599E-8</v>
      </c>
      <c r="F35" s="446">
        <v>1.8300173820762201E-8</v>
      </c>
      <c r="G35" s="446">
        <v>26.240722143700101</v>
      </c>
      <c r="H35" s="446">
        <v>1.8200154272562901E-8</v>
      </c>
      <c r="I35" s="446">
        <v>1.4200157494315101E-8</v>
      </c>
      <c r="J35" s="446">
        <v>1.2200157328834301E-8</v>
      </c>
      <c r="K35" s="446">
        <v>8.5001659044792094E-9</v>
      </c>
      <c r="L35" s="446">
        <v>6.90016577209462E-9</v>
      </c>
      <c r="M35" s="446">
        <v>5.9001656893542498E-9</v>
      </c>
      <c r="N35" s="446">
        <v>4.9001656066138796E-9</v>
      </c>
      <c r="O35" s="446">
        <v>3.6001672754082301E-9</v>
      </c>
      <c r="P35" s="446">
        <v>2.9001689938468098E-9</v>
      </c>
      <c r="Q35" s="446">
        <v>1.3001688614622199E-9</v>
      </c>
      <c r="R35" s="458">
        <f t="shared" si="3"/>
        <v>2.0185170970463138</v>
      </c>
    </row>
    <row r="36" spans="1:18">
      <c r="A36" s="753" t="str">
        <f t="shared" si="0"/>
        <v>KY</v>
      </c>
      <c r="B36" s="753" t="str">
        <f t="shared" si="5"/>
        <v>GENERAL</v>
      </c>
      <c r="C36" s="442" t="s">
        <v>1484</v>
      </c>
      <c r="D36" s="453" t="str">
        <f t="shared" si="2"/>
        <v/>
      </c>
      <c r="E36" s="446">
        <v>-7.3999828487103497E-9</v>
      </c>
      <c r="F36" s="446">
        <v>-8.3999829314507207E-9</v>
      </c>
      <c r="G36" s="446">
        <v>-8.3999829314507207E-9</v>
      </c>
      <c r="H36" s="446">
        <v>-8.3999829314507207E-9</v>
      </c>
      <c r="I36" s="446">
        <v>-8.3999829314507207E-9</v>
      </c>
      <c r="J36" s="446">
        <v>-8.3999829314507207E-9</v>
      </c>
      <c r="K36" s="446">
        <v>-8.3999829314507207E-9</v>
      </c>
      <c r="L36" s="446">
        <v>-8.3999829314507207E-9</v>
      </c>
      <c r="M36" s="446">
        <v>-8.3999829314507207E-9</v>
      </c>
      <c r="N36" s="446">
        <v>-8.3999829314507207E-9</v>
      </c>
      <c r="O36" s="446">
        <v>-8.3999829314507207E-9</v>
      </c>
      <c r="P36" s="446">
        <v>-8.3999829314507207E-9</v>
      </c>
      <c r="Q36" s="446">
        <v>-8.3999829314507207E-9</v>
      </c>
      <c r="R36" s="458">
        <f t="shared" si="3"/>
        <v>-8.3230598481630001E-9</v>
      </c>
    </row>
    <row r="37" spans="1:18">
      <c r="A37" s="753" t="str">
        <f t="shared" si="0"/>
        <v>VA</v>
      </c>
      <c r="B37" s="753" t="str">
        <f t="shared" si="5"/>
        <v>GENERAL</v>
      </c>
      <c r="C37" s="442" t="s">
        <v>1485</v>
      </c>
      <c r="D37" s="453" t="str">
        <f t="shared" si="2"/>
        <v/>
      </c>
      <c r="E37" s="446">
        <v>0</v>
      </c>
      <c r="F37" s="446">
        <v>0</v>
      </c>
      <c r="G37" s="446">
        <v>0</v>
      </c>
      <c r="H37" s="446">
        <v>0</v>
      </c>
      <c r="I37" s="446">
        <v>0</v>
      </c>
      <c r="J37" s="446">
        <v>0</v>
      </c>
      <c r="K37" s="446">
        <v>0</v>
      </c>
      <c r="L37" s="446">
        <v>0</v>
      </c>
      <c r="M37" s="446">
        <v>0</v>
      </c>
      <c r="N37" s="446">
        <v>0</v>
      </c>
      <c r="O37" s="446">
        <v>0</v>
      </c>
      <c r="P37" s="446">
        <v>0</v>
      </c>
      <c r="Q37" s="446">
        <v>0</v>
      </c>
      <c r="R37" s="458">
        <f t="shared" si="3"/>
        <v>0</v>
      </c>
    </row>
    <row r="38" spans="1:18">
      <c r="A38" s="753" t="str">
        <f t="shared" si="0"/>
        <v>KY</v>
      </c>
      <c r="B38" s="753" t="str">
        <f t="shared" si="5"/>
        <v>HYDRO</v>
      </c>
      <c r="C38" s="442" t="s">
        <v>1486</v>
      </c>
      <c r="D38" s="453" t="str">
        <f t="shared" si="2"/>
        <v/>
      </c>
      <c r="E38" s="446">
        <v>0</v>
      </c>
      <c r="F38" s="446">
        <v>0</v>
      </c>
      <c r="G38" s="446">
        <v>0</v>
      </c>
      <c r="H38" s="446">
        <v>0</v>
      </c>
      <c r="I38" s="446">
        <v>0</v>
      </c>
      <c r="J38" s="446">
        <v>0</v>
      </c>
      <c r="K38" s="446">
        <v>0</v>
      </c>
      <c r="L38" s="446">
        <v>0</v>
      </c>
      <c r="M38" s="446">
        <v>0</v>
      </c>
      <c r="N38" s="446">
        <v>0</v>
      </c>
      <c r="O38" s="446">
        <v>0</v>
      </c>
      <c r="P38" s="446">
        <v>0</v>
      </c>
      <c r="Q38" s="446">
        <v>0</v>
      </c>
      <c r="R38" s="458">
        <f t="shared" si="3"/>
        <v>0</v>
      </c>
    </row>
    <row r="39" spans="1:18">
      <c r="A39" s="753" t="str">
        <f t="shared" si="0"/>
        <v>KY</v>
      </c>
      <c r="B39" s="753" t="str">
        <f t="shared" si="5"/>
        <v>INTANGIBLE</v>
      </c>
      <c r="C39" s="442" t="s">
        <v>1487</v>
      </c>
      <c r="D39" s="453" t="str">
        <f t="shared" si="2"/>
        <v/>
      </c>
      <c r="E39" s="446">
        <v>3.5293283445000001</v>
      </c>
      <c r="F39" s="446">
        <v>3.5293283445000001</v>
      </c>
      <c r="G39" s="446">
        <v>3.5293283445000001</v>
      </c>
      <c r="H39" s="446">
        <v>3.5293283445000001</v>
      </c>
      <c r="I39" s="446">
        <v>3.5293283445000001</v>
      </c>
      <c r="J39" s="446">
        <v>3.5293283445000001</v>
      </c>
      <c r="K39" s="446">
        <v>3.5293283445000001</v>
      </c>
      <c r="L39" s="446">
        <v>3.5293283445000001</v>
      </c>
      <c r="M39" s="446">
        <v>3.5293283445000001</v>
      </c>
      <c r="N39" s="446">
        <v>3.5293283445000001</v>
      </c>
      <c r="O39" s="446">
        <v>3.5293283445000001</v>
      </c>
      <c r="P39" s="446">
        <v>3.5293283445000001</v>
      </c>
      <c r="Q39" s="446">
        <v>3.5293283445000001</v>
      </c>
      <c r="R39" s="458">
        <f t="shared" si="3"/>
        <v>3.529328344500001</v>
      </c>
    </row>
    <row r="40" spans="1:18">
      <c r="A40" s="753" t="str">
        <f t="shared" si="0"/>
        <v>KY</v>
      </c>
      <c r="B40" s="753" t="str">
        <f t="shared" si="5"/>
        <v>OTHER</v>
      </c>
      <c r="C40" s="442" t="s">
        <v>1489</v>
      </c>
      <c r="D40" s="453" t="str">
        <f t="shared" si="2"/>
        <v/>
      </c>
      <c r="E40" s="446">
        <v>546.89612008819995</v>
      </c>
      <c r="F40" s="446">
        <v>57.6161999866004</v>
      </c>
      <c r="G40" s="446">
        <v>76.821599986600404</v>
      </c>
      <c r="H40" s="446">
        <v>76.821599986600404</v>
      </c>
      <c r="I40" s="446">
        <v>76.821599986600404</v>
      </c>
      <c r="J40" s="446">
        <v>-1.33995428086564E-8</v>
      </c>
      <c r="K40" s="446">
        <v>-1.56995412226024E-8</v>
      </c>
      <c r="L40" s="446">
        <v>-1.7999539636548401E-8</v>
      </c>
      <c r="M40" s="446">
        <v>-1.7999539636548401E-8</v>
      </c>
      <c r="N40" s="446">
        <v>12.247898134800399</v>
      </c>
      <c r="O40" s="446">
        <v>12.247898134800399</v>
      </c>
      <c r="P40" s="446">
        <v>2903.7316736900998</v>
      </c>
      <c r="Q40" s="446">
        <v>4.4549960875883698E-7</v>
      </c>
      <c r="R40" s="458">
        <f t="shared" si="3"/>
        <v>289.47727618266947</v>
      </c>
    </row>
    <row r="41" spans="1:18">
      <c r="A41" s="753" t="str">
        <f t="shared" si="0"/>
        <v>KY</v>
      </c>
      <c r="B41" s="753" t="str">
        <f t="shared" si="5"/>
        <v>STEAM</v>
      </c>
      <c r="C41" s="442" t="s">
        <v>1490</v>
      </c>
      <c r="D41" s="453" t="str">
        <f t="shared" si="2"/>
        <v/>
      </c>
      <c r="E41" s="446">
        <v>25229.904435114498</v>
      </c>
      <c r="F41" s="446">
        <v>27960.143302092802</v>
      </c>
      <c r="G41" s="446">
        <v>28641.6949634312</v>
      </c>
      <c r="H41" s="446">
        <v>30080.0753877805</v>
      </c>
      <c r="I41" s="446">
        <v>30407.794076747599</v>
      </c>
      <c r="J41" s="446">
        <v>17114.6397322025</v>
      </c>
      <c r="K41" s="446">
        <v>18439.5844462844</v>
      </c>
      <c r="L41" s="446">
        <v>18331.235629208601</v>
      </c>
      <c r="M41" s="446">
        <v>24.4587098588926</v>
      </c>
      <c r="N41" s="446">
        <v>24.458709858992599</v>
      </c>
      <c r="O41" s="446">
        <v>126.139520345992</v>
      </c>
      <c r="P41" s="446">
        <v>2260.32552737899</v>
      </c>
      <c r="Q41" s="446">
        <v>2770.0978493323901</v>
      </c>
      <c r="R41" s="458">
        <f t="shared" si="3"/>
        <v>15493.119406895179</v>
      </c>
    </row>
    <row r="42" spans="1:18">
      <c r="A42" s="753" t="str">
        <f t="shared" si="0"/>
        <v>KY</v>
      </c>
      <c r="B42" s="753" t="str">
        <f t="shared" si="5"/>
        <v>STEAM</v>
      </c>
      <c r="C42" s="442" t="s">
        <v>1491</v>
      </c>
      <c r="D42" s="453" t="str">
        <f t="shared" si="2"/>
        <v>ECR</v>
      </c>
      <c r="E42" s="446">
        <v>-9.9999999960687007E-6</v>
      </c>
      <c r="F42" s="446">
        <v>-9.9999999960687007E-6</v>
      </c>
      <c r="G42" s="446">
        <v>-9.9999999960687007E-6</v>
      </c>
      <c r="H42" s="446">
        <v>-9.9999999960687007E-6</v>
      </c>
      <c r="I42" s="446">
        <v>-9.9999999960687007E-6</v>
      </c>
      <c r="J42" s="446">
        <v>-9.9999999960687007E-6</v>
      </c>
      <c r="K42" s="446">
        <v>32.400889999999997</v>
      </c>
      <c r="L42" s="446">
        <v>64.801789999999997</v>
      </c>
      <c r="M42" s="446">
        <v>1.4210854715202001E-14</v>
      </c>
      <c r="N42" s="446">
        <v>1.4210854715202001E-14</v>
      </c>
      <c r="O42" s="446">
        <v>1.4210854715202001E-14</v>
      </c>
      <c r="P42" s="446">
        <v>1.4210854715202001E-14</v>
      </c>
      <c r="Q42" s="446">
        <v>1.4210854715202001E-14</v>
      </c>
      <c r="R42" s="458">
        <f t="shared" si="3"/>
        <v>7.4771246153846231</v>
      </c>
    </row>
    <row r="43" spans="1:18">
      <c r="A43" s="753" t="str">
        <f t="shared" si="0"/>
        <v>KY</v>
      </c>
      <c r="B43" s="753" t="str">
        <f t="shared" si="5"/>
        <v>STEAM</v>
      </c>
      <c r="C43" s="493" t="s">
        <v>1492</v>
      </c>
      <c r="D43" s="453" t="str">
        <f t="shared" si="2"/>
        <v>ECR</v>
      </c>
      <c r="E43" s="446">
        <v>1.81898940354585E-12</v>
      </c>
      <c r="F43" s="446">
        <v>1.81898940354585E-12</v>
      </c>
      <c r="G43" s="446">
        <v>1.81898940354585E-12</v>
      </c>
      <c r="H43" s="446">
        <v>1.81898940354585E-12</v>
      </c>
      <c r="I43" s="446">
        <v>1.81898940354585E-12</v>
      </c>
      <c r="J43" s="446">
        <v>1.81898940354585E-12</v>
      </c>
      <c r="K43" s="446">
        <v>49.372800000001803</v>
      </c>
      <c r="L43" s="446">
        <v>98.745600000001801</v>
      </c>
      <c r="M43" s="446">
        <v>1.81898940354585E-12</v>
      </c>
      <c r="N43" s="446">
        <v>1.81898940354585E-12</v>
      </c>
      <c r="O43" s="446">
        <v>1.81898940354585E-12</v>
      </c>
      <c r="P43" s="446">
        <v>1.81898940354585E-12</v>
      </c>
      <c r="Q43" s="446">
        <v>1.81898940354585E-12</v>
      </c>
      <c r="R43" s="458">
        <f t="shared" si="3"/>
        <v>11.393723076924893</v>
      </c>
    </row>
    <row r="44" spans="1:18">
      <c r="A44" s="753" t="str">
        <f t="shared" si="0"/>
        <v>KY</v>
      </c>
      <c r="B44" s="753" t="str">
        <f t="shared" si="5"/>
        <v>TRANSMISSION</v>
      </c>
      <c r="C44" s="442" t="s">
        <v>1494</v>
      </c>
      <c r="D44" s="453" t="str">
        <f t="shared" si="2"/>
        <v/>
      </c>
      <c r="E44" s="446">
        <v>1695.7778883226999</v>
      </c>
      <c r="F44" s="446">
        <v>1127.1077707525001</v>
      </c>
      <c r="G44" s="446">
        <v>1209.9203128233</v>
      </c>
      <c r="H44" s="446">
        <v>1340.5766943949</v>
      </c>
      <c r="I44" s="446">
        <v>1500.052363112</v>
      </c>
      <c r="J44" s="446">
        <v>1654.1833898671</v>
      </c>
      <c r="K44" s="446">
        <v>1833.6409329057999</v>
      </c>
      <c r="L44" s="446">
        <v>2008.7989630469001</v>
      </c>
      <c r="M44" s="446">
        <v>1394.9572355882999</v>
      </c>
      <c r="N44" s="446">
        <v>1887.7467792760999</v>
      </c>
      <c r="O44" s="446">
        <v>2395.8162832513999</v>
      </c>
      <c r="P44" s="446">
        <v>2907.1547191468999</v>
      </c>
      <c r="Q44" s="446">
        <v>3279.5154769307001</v>
      </c>
      <c r="R44" s="458">
        <f t="shared" si="3"/>
        <v>1864.2499084168155</v>
      </c>
    </row>
    <row r="45" spans="1:18">
      <c r="A45" s="753" t="str">
        <f t="shared" si="0"/>
        <v>VA</v>
      </c>
      <c r="B45" s="753" t="str">
        <f t="shared" si="5"/>
        <v>TRANSMISSION</v>
      </c>
      <c r="C45" s="442" t="s">
        <v>1495</v>
      </c>
      <c r="D45" s="453" t="str">
        <f t="shared" si="2"/>
        <v/>
      </c>
      <c r="E45" s="446">
        <v>22.3655045364</v>
      </c>
      <c r="F45" s="446">
        <v>25.875060921599999</v>
      </c>
      <c r="G45" s="446">
        <v>29.595886309499999</v>
      </c>
      <c r="H45" s="446">
        <v>30.675969197400001</v>
      </c>
      <c r="I45" s="446">
        <v>31.6504127826</v>
      </c>
      <c r="J45" s="446">
        <v>32.866748380799997</v>
      </c>
      <c r="K45" s="446">
        <v>34.083083979000001</v>
      </c>
      <c r="L45" s="446">
        <v>35.299419577199998</v>
      </c>
      <c r="M45" s="446">
        <v>36.515755175400002</v>
      </c>
      <c r="N45" s="446">
        <v>62.344742335500001</v>
      </c>
      <c r="O45" s="446">
        <v>88.1737294956</v>
      </c>
      <c r="P45" s="446">
        <v>114.0027166557</v>
      </c>
      <c r="Q45" s="446">
        <v>139.83170381580001</v>
      </c>
      <c r="R45" s="458">
        <f t="shared" si="3"/>
        <v>52.560056397115382</v>
      </c>
    </row>
    <row r="46" spans="1:18">
      <c r="A46" s="753"/>
      <c r="B46" s="753" t="str">
        <f t="shared" si="1"/>
        <v/>
      </c>
      <c r="C46" s="442"/>
      <c r="D46" s="453"/>
      <c r="E46" s="446"/>
      <c r="F46" s="446"/>
      <c r="G46" s="446"/>
      <c r="H46" s="446"/>
      <c r="I46" s="446"/>
      <c r="J46" s="446"/>
      <c r="K46" s="446"/>
      <c r="L46" s="446"/>
      <c r="M46" s="446"/>
      <c r="N46" s="446"/>
      <c r="O46" s="446"/>
      <c r="P46" s="446"/>
      <c r="Q46" s="446"/>
      <c r="R46" s="458">
        <f>SUM(R34:R45)</f>
        <v>18383.865672818865</v>
      </c>
    </row>
    <row r="47" spans="1:18">
      <c r="A47" s="753"/>
      <c r="B47" s="753" t="str">
        <f t="shared" si="1"/>
        <v/>
      </c>
      <c r="C47" s="442"/>
      <c r="D47" s="453" t="str">
        <f t="shared" si="2"/>
        <v/>
      </c>
      <c r="E47" s="446"/>
      <c r="F47" s="446"/>
      <c r="G47" s="446"/>
      <c r="H47" s="446"/>
      <c r="I47" s="446"/>
      <c r="J47" s="446"/>
      <c r="K47" s="446"/>
      <c r="L47" s="446"/>
      <c r="M47" s="446"/>
      <c r="N47" s="446"/>
      <c r="O47" s="446"/>
      <c r="P47" s="446"/>
      <c r="Q47" s="446"/>
      <c r="R47" s="458"/>
    </row>
    <row r="48" spans="1:18">
      <c r="A48" s="753"/>
      <c r="B48" s="753" t="str">
        <f t="shared" si="1"/>
        <v/>
      </c>
    </row>
    <row r="49" spans="1:2">
      <c r="A49" s="753"/>
      <c r="B49" s="753" t="str">
        <f t="shared" si="1"/>
        <v/>
      </c>
    </row>
    <row r="50" spans="1:2">
      <c r="A50" s="753"/>
      <c r="B50" s="753" t="str">
        <f t="shared" si="1"/>
        <v/>
      </c>
    </row>
    <row r="51" spans="1:2">
      <c r="A51" s="753"/>
      <c r="B51" s="753" t="str">
        <f t="shared" si="1"/>
        <v/>
      </c>
    </row>
    <row r="52" spans="1:2">
      <c r="A52" s="753"/>
      <c r="B52" s="753" t="str">
        <f t="shared" si="1"/>
        <v/>
      </c>
    </row>
    <row r="53" spans="1:2">
      <c r="A53" s="753"/>
      <c r="B53" s="753" t="str">
        <f t="shared" si="1"/>
        <v/>
      </c>
    </row>
    <row r="54" spans="1:2">
      <c r="A54" s="753"/>
      <c r="B54" s="753" t="str">
        <f t="shared" si="1"/>
        <v/>
      </c>
    </row>
    <row r="55" spans="1:2">
      <c r="A55" s="753"/>
      <c r="B55" s="753" t="str">
        <f t="shared" si="1"/>
        <v/>
      </c>
    </row>
    <row r="56" spans="1:2">
      <c r="A56" s="753"/>
      <c r="B56" s="753" t="str">
        <f t="shared" si="1"/>
        <v/>
      </c>
    </row>
    <row r="57" spans="1:2">
      <c r="A57" s="753"/>
      <c r="B57" s="753" t="str">
        <f t="shared" si="1"/>
        <v/>
      </c>
    </row>
    <row r="58" spans="1:2">
      <c r="A58" s="753"/>
      <c r="B58" s="753" t="str">
        <f t="shared" si="1"/>
        <v/>
      </c>
    </row>
    <row r="59" spans="1:2">
      <c r="A59" s="753"/>
      <c r="B59" s="753" t="str">
        <f t="shared" si="1"/>
        <v/>
      </c>
    </row>
    <row r="60" spans="1:2">
      <c r="A60" s="753"/>
      <c r="B60" s="753" t="str">
        <f t="shared" si="1"/>
        <v/>
      </c>
    </row>
    <row r="61" spans="1:2">
      <c r="A61" s="753"/>
      <c r="B61" s="753" t="str">
        <f t="shared" si="1"/>
        <v/>
      </c>
    </row>
    <row r="62" spans="1:2">
      <c r="A62" s="753"/>
      <c r="B62" s="753" t="str">
        <f t="shared" si="1"/>
        <v/>
      </c>
    </row>
    <row r="63" spans="1:2">
      <c r="A63" s="753"/>
      <c r="B63" s="753" t="str">
        <f t="shared" si="1"/>
        <v/>
      </c>
    </row>
    <row r="64" spans="1:2">
      <c r="A64" s="753"/>
      <c r="B64" s="753" t="str">
        <f t="shared" si="1"/>
        <v/>
      </c>
    </row>
    <row r="65" spans="1:2">
      <c r="A65" s="753"/>
      <c r="B65" s="753" t="str">
        <f t="shared" si="1"/>
        <v/>
      </c>
    </row>
    <row r="66" spans="1:2">
      <c r="A66" s="753"/>
      <c r="B66" s="753" t="str">
        <f t="shared" si="1"/>
        <v/>
      </c>
    </row>
    <row r="67" spans="1:2">
      <c r="A67" s="753"/>
      <c r="B67" s="753" t="str">
        <f t="shared" si="1"/>
        <v/>
      </c>
    </row>
    <row r="68" spans="1:2">
      <c r="A68" s="753"/>
      <c r="B68" s="753" t="str">
        <f t="shared" si="1"/>
        <v/>
      </c>
    </row>
    <row r="69" spans="1:2">
      <c r="A69" s="753"/>
      <c r="B69" s="753" t="str">
        <f t="shared" si="1"/>
        <v/>
      </c>
    </row>
    <row r="70" spans="1:2">
      <c r="A70" s="753"/>
      <c r="B70" s="753" t="str">
        <f t="shared" ref="B70:B80" si="6">IF(ISTEXT(MID($C70,SEARCH("COMMON",$C70),3)),"COMMON",IF(ISTEXT(MID($C70,SEARCH("GAS",$C70),3)),"",IF(ISTEXT(MID($C70,SEARCH("PRODUCTION",$C70),3)),"PRODUCTION",IF(ISTEXT(MID($C70,SEARCH("TRANSMISSION",$C70),3)),"TRANSMISSION",IF(ISTEXT(MID($C70,SEARCH("DISTRIBUTION",$C70),3)),"DISTRIBUTION",IF(ISTEXT(MID($C70,SEARCH("LAND",$C70),3)),"DISTRIBUTION",IF(ISTEXT(MID($C70,SEARCH("COMMON",$C70),3)),"COMMON",IF(ISTEXT(MID($C70,SEARCH("GENERAL",$C70),3)),"GENERAL",IF(ISTEXT(MID($C70,SEARCH("INTANGIBLE",$C70),3)),"GENERAL",IF(ISTEXT(MID($C70,SEARCH("STORAGE",$C70),3)),"STORAGE AND PROCESSING",""))))))))))</f>
        <v/>
      </c>
    </row>
    <row r="71" spans="1:2">
      <c r="A71" s="753"/>
      <c r="B71" s="753" t="str">
        <f t="shared" si="6"/>
        <v/>
      </c>
    </row>
    <row r="72" spans="1:2">
      <c r="A72" s="753"/>
      <c r="B72" s="753" t="str">
        <f t="shared" si="6"/>
        <v/>
      </c>
    </row>
    <row r="73" spans="1:2">
      <c r="A73" s="753"/>
      <c r="B73" s="753" t="str">
        <f t="shared" si="6"/>
        <v/>
      </c>
    </row>
    <row r="74" spans="1:2">
      <c r="A74" s="753"/>
      <c r="B74" s="753" t="str">
        <f t="shared" si="6"/>
        <v/>
      </c>
    </row>
    <row r="75" spans="1:2">
      <c r="A75" s="753"/>
      <c r="B75" s="753" t="str">
        <f t="shared" si="6"/>
        <v/>
      </c>
    </row>
    <row r="76" spans="1:2">
      <c r="A76" s="753"/>
      <c r="B76" s="753" t="str">
        <f t="shared" si="6"/>
        <v/>
      </c>
    </row>
    <row r="77" spans="1:2">
      <c r="A77" s="753"/>
      <c r="B77" s="753" t="str">
        <f t="shared" si="6"/>
        <v/>
      </c>
    </row>
    <row r="78" spans="1:2">
      <c r="A78" s="753"/>
      <c r="B78" s="753" t="str">
        <f t="shared" si="6"/>
        <v/>
      </c>
    </row>
    <row r="79" spans="1:2">
      <c r="A79" s="753"/>
      <c r="B79" s="753" t="str">
        <f t="shared" si="6"/>
        <v/>
      </c>
    </row>
    <row r="80" spans="1:2">
      <c r="A80" s="753"/>
      <c r="B80" s="753" t="str">
        <f t="shared" si="6"/>
        <v/>
      </c>
    </row>
  </sheetData>
  <pageMargins left="0.75" right="0.75" top="1" bottom="1" header="0.5" footer="0.5"/>
  <pageSetup scale="67"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7"/>
  <sheetViews>
    <sheetView zoomScaleNormal="100" workbookViewId="0">
      <selection activeCell="J12" sqref="J12"/>
    </sheetView>
  </sheetViews>
  <sheetFormatPr defaultColWidth="7.109375" defaultRowHeight="12.75"/>
  <cols>
    <col min="1" max="1" width="6.109375" style="559" customWidth="1"/>
    <col min="2" max="2" width="8.33203125" style="721" bestFit="1" customWidth="1"/>
    <col min="3" max="3" width="27.77734375" style="722" customWidth="1"/>
    <col min="4" max="4" width="2.6640625" style="39" customWidth="1"/>
    <col min="5" max="5" width="14.33203125" style="39" customWidth="1"/>
    <col min="6" max="6" width="2.88671875" style="39" customWidth="1"/>
    <col min="7" max="7" width="17" style="39" bestFit="1" customWidth="1"/>
    <col min="8" max="8" width="15.109375" style="556" customWidth="1"/>
    <col min="9" max="9" width="11.6640625" style="556" customWidth="1"/>
    <col min="10" max="11" width="14.109375" style="556" customWidth="1"/>
    <col min="12" max="12" width="13.5546875" style="556" customWidth="1"/>
    <col min="13" max="13" width="12" style="556" customWidth="1"/>
    <col min="14" max="16384" width="7.109375" style="556"/>
  </cols>
  <sheetData>
    <row r="1" spans="1:16" ht="18">
      <c r="A1" s="781" t="s">
        <v>2569</v>
      </c>
      <c r="B1" s="781"/>
      <c r="C1" s="781"/>
      <c r="D1" s="781"/>
      <c r="E1" s="781"/>
      <c r="F1" s="781"/>
      <c r="G1" s="781"/>
    </row>
    <row r="2" spans="1:16" ht="15.75">
      <c r="A2" s="782" t="s">
        <v>2570</v>
      </c>
      <c r="B2" s="782"/>
      <c r="C2" s="782"/>
      <c r="D2" s="782"/>
      <c r="E2" s="782"/>
      <c r="F2" s="782"/>
      <c r="G2" s="782"/>
    </row>
    <row r="3" spans="1:16">
      <c r="A3" s="557"/>
      <c r="B3" s="5"/>
      <c r="C3" s="558"/>
      <c r="F3" s="43"/>
    </row>
    <row r="4" spans="1:16">
      <c r="A4" s="47" t="s">
        <v>72</v>
      </c>
      <c r="B4" s="5"/>
      <c r="C4" s="558"/>
      <c r="F4" s="43"/>
      <c r="J4" s="559" t="s">
        <v>2571</v>
      </c>
      <c r="K4" s="559" t="s">
        <v>2571</v>
      </c>
      <c r="L4" s="559" t="s">
        <v>2571</v>
      </c>
    </row>
    <row r="5" spans="1:16">
      <c r="A5" s="560" t="s">
        <v>2572</v>
      </c>
      <c r="B5" s="561" t="s">
        <v>2573</v>
      </c>
      <c r="C5" s="560" t="s">
        <v>2182</v>
      </c>
      <c r="D5" s="562"/>
      <c r="E5" s="563" t="s">
        <v>2574</v>
      </c>
      <c r="F5" s="562"/>
      <c r="G5" s="564" t="s">
        <v>2575</v>
      </c>
      <c r="H5" s="564" t="s">
        <v>2025</v>
      </c>
      <c r="J5" s="563" t="s">
        <v>2574</v>
      </c>
      <c r="K5" s="564" t="s">
        <v>2575</v>
      </c>
      <c r="L5" s="564" t="s">
        <v>2025</v>
      </c>
    </row>
    <row r="6" spans="1:16">
      <c r="A6" s="557" t="s">
        <v>17</v>
      </c>
      <c r="B6" s="565">
        <v>311</v>
      </c>
      <c r="C6" s="558" t="s">
        <v>148</v>
      </c>
      <c r="D6" s="43"/>
      <c r="E6" s="39">
        <v>1882476.0300000005</v>
      </c>
      <c r="F6" s="43"/>
      <c r="G6" s="39">
        <v>1708100.9900000007</v>
      </c>
      <c r="H6" s="571">
        <f>SUM(D6:G6)</f>
        <v>3590577.0200000014</v>
      </c>
      <c r="J6" s="39">
        <f>J$11/J$12*E6</f>
        <v>988596.47019308212</v>
      </c>
      <c r="K6" s="39">
        <f>K$11/K$12*G6</f>
        <v>1330307.5133872263</v>
      </c>
      <c r="L6" s="571">
        <f>SUM(J6:K6)</f>
        <v>2318903.9835803085</v>
      </c>
    </row>
    <row r="7" spans="1:16">
      <c r="A7" s="557" t="s">
        <v>17</v>
      </c>
      <c r="B7" s="565">
        <v>312</v>
      </c>
      <c r="C7" s="558" t="s">
        <v>1629</v>
      </c>
      <c r="D7" s="43"/>
      <c r="E7" s="39">
        <v>10076094.27</v>
      </c>
      <c r="F7" s="43"/>
      <c r="G7" s="39">
        <v>20458258.069999997</v>
      </c>
      <c r="H7" s="571">
        <f>SUM(D7:G7)</f>
        <v>30534352.339999996</v>
      </c>
      <c r="J7" s="39">
        <f t="shared" ref="J7:J10" si="0">J$11/J$12*E7</f>
        <v>5291536.8216692451</v>
      </c>
      <c r="K7" s="39">
        <f>K$11/K$12*G7</f>
        <v>15933352.056271475</v>
      </c>
      <c r="L7" s="571">
        <f t="shared" ref="L7:L10" si="1">SUM(J7:K7)</f>
        <v>21224888.877940722</v>
      </c>
    </row>
    <row r="8" spans="1:16">
      <c r="A8" s="557" t="s">
        <v>17</v>
      </c>
      <c r="B8" s="565">
        <v>314</v>
      </c>
      <c r="C8" s="558" t="s">
        <v>1631</v>
      </c>
      <c r="D8" s="43"/>
      <c r="E8" s="39">
        <v>2805789.7000000007</v>
      </c>
      <c r="F8" s="43"/>
      <c r="G8" s="39">
        <v>1245261.0999999999</v>
      </c>
      <c r="H8" s="571">
        <f>SUM(D8:G8)</f>
        <v>4051050.8000000007</v>
      </c>
      <c r="J8" s="39">
        <f t="shared" si="0"/>
        <v>1473481.6004664383</v>
      </c>
      <c r="K8" s="39">
        <f>K$11/K$12*G8</f>
        <v>969837.38500077871</v>
      </c>
      <c r="L8" s="571">
        <f t="shared" si="1"/>
        <v>2443318.9854672169</v>
      </c>
    </row>
    <row r="9" spans="1:16">
      <c r="A9" s="557" t="s">
        <v>17</v>
      </c>
      <c r="B9" s="565">
        <v>315</v>
      </c>
      <c r="C9" s="558" t="s">
        <v>2576</v>
      </c>
      <c r="D9" s="43"/>
      <c r="E9" s="39">
        <v>1844987.04</v>
      </c>
      <c r="F9" s="43"/>
      <c r="G9" s="39">
        <v>1085187.5699999998</v>
      </c>
      <c r="H9" s="571">
        <f>SUM(D9:G9)</f>
        <v>2930174.61</v>
      </c>
      <c r="J9" s="39">
        <f t="shared" si="0"/>
        <v>968908.84464328736</v>
      </c>
      <c r="K9" s="39">
        <f>K$11/K$12*G9</f>
        <v>845168.51536127599</v>
      </c>
      <c r="L9" s="571">
        <f t="shared" si="1"/>
        <v>1814077.3600045634</v>
      </c>
    </row>
    <row r="10" spans="1:16">
      <c r="A10" s="557" t="s">
        <v>17</v>
      </c>
      <c r="B10" s="565">
        <v>316</v>
      </c>
      <c r="C10" s="558" t="s">
        <v>2577</v>
      </c>
      <c r="D10" s="43"/>
      <c r="E10" s="39">
        <v>173324.99000000005</v>
      </c>
      <c r="F10" s="43"/>
      <c r="G10" s="39">
        <v>83497.62</v>
      </c>
      <c r="H10" s="571">
        <f>SUM(D10:G10)</f>
        <v>256822.61000000004</v>
      </c>
      <c r="J10" s="39">
        <f t="shared" si="0"/>
        <v>91022.924371712332</v>
      </c>
      <c r="K10" s="39">
        <f>K$11/K$12*G10</f>
        <v>65029.826623981695</v>
      </c>
      <c r="L10" s="571">
        <f t="shared" si="1"/>
        <v>156052.75099569402</v>
      </c>
    </row>
    <row r="11" spans="1:16" ht="13.5" thickBot="1">
      <c r="A11" s="557"/>
      <c r="B11" s="565"/>
      <c r="C11" s="558"/>
      <c r="D11" s="566"/>
      <c r="E11" s="567">
        <f>SUM(E6:E10)</f>
        <v>16782672.030000001</v>
      </c>
      <c r="F11" s="566"/>
      <c r="G11" s="567">
        <f>SUM(G6:G10)</f>
        <v>24580305.350000001</v>
      </c>
      <c r="H11" s="567">
        <f>SUM(H6:H10)</f>
        <v>41362977.379999995</v>
      </c>
      <c r="J11" s="718">
        <f>'JURISSEP F'!G86</f>
        <v>8813546.6613437645</v>
      </c>
      <c r="K11" s="718">
        <f>'JURISSEP F'!G87</f>
        <v>19143695.29664474</v>
      </c>
      <c r="L11" s="567">
        <f>SUM(L6:L10)</f>
        <v>27957241.957988508</v>
      </c>
      <c r="M11" s="39">
        <f>H11-L11</f>
        <v>13405735.422011487</v>
      </c>
      <c r="N11" s="39"/>
      <c r="O11" s="39"/>
      <c r="P11" s="39"/>
    </row>
    <row r="12" spans="1:16" ht="13.5" thickTop="1">
      <c r="A12" s="557"/>
      <c r="B12" s="565"/>
      <c r="C12" s="558"/>
      <c r="D12" s="43"/>
      <c r="F12" s="43"/>
      <c r="I12" s="568" t="s">
        <v>2578</v>
      </c>
      <c r="J12" s="39">
        <f>E11</f>
        <v>16782672.030000001</v>
      </c>
      <c r="K12" s="39">
        <f>G11</f>
        <v>24580305.350000001</v>
      </c>
    </row>
    <row r="13" spans="1:16">
      <c r="A13" s="557"/>
      <c r="B13" s="565"/>
      <c r="C13" s="558"/>
      <c r="D13" s="43"/>
      <c r="F13" s="43"/>
      <c r="J13" s="39"/>
      <c r="K13" s="39"/>
      <c r="L13" s="39"/>
    </row>
    <row r="14" spans="1:16">
      <c r="A14" s="569" t="s">
        <v>47</v>
      </c>
      <c r="B14" s="5"/>
      <c r="C14" s="558"/>
      <c r="D14" s="43"/>
      <c r="F14" s="43"/>
      <c r="J14" s="559"/>
      <c r="K14" s="559"/>
      <c r="L14" s="559"/>
    </row>
    <row r="15" spans="1:16">
      <c r="A15" s="560" t="s">
        <v>2572</v>
      </c>
      <c r="B15" s="561" t="s">
        <v>2573</v>
      </c>
      <c r="C15" s="560" t="s">
        <v>2182</v>
      </c>
      <c r="D15" s="562"/>
      <c r="E15" s="563" t="s">
        <v>2574</v>
      </c>
      <c r="F15" s="562"/>
      <c r="G15" s="564" t="s">
        <v>2575</v>
      </c>
      <c r="H15" s="564" t="s">
        <v>2025</v>
      </c>
      <c r="J15" s="564"/>
      <c r="K15" s="564"/>
      <c r="L15" s="564"/>
    </row>
    <row r="16" spans="1:16">
      <c r="A16" s="557" t="s">
        <v>17</v>
      </c>
      <c r="B16" s="565">
        <v>332</v>
      </c>
      <c r="C16" s="570" t="s">
        <v>2579</v>
      </c>
      <c r="D16" s="43"/>
      <c r="E16" s="39">
        <v>0</v>
      </c>
      <c r="F16" s="43"/>
      <c r="G16" s="39">
        <v>42952.319999999992</v>
      </c>
      <c r="H16" s="571">
        <f>SUM(D16:G16)</f>
        <v>42952.319999999992</v>
      </c>
      <c r="J16" s="39">
        <f t="shared" ref="J16:J19" si="2">J$11/J$12*E16</f>
        <v>0</v>
      </c>
      <c r="K16" s="39">
        <f>K$11/K$12*G16</f>
        <v>33452.234000176068</v>
      </c>
      <c r="L16" s="571">
        <f t="shared" ref="L16:L19" si="3">SUM(J16:K16)</f>
        <v>33452.234000176068</v>
      </c>
    </row>
    <row r="17" spans="1:13">
      <c r="A17" s="557" t="s">
        <v>17</v>
      </c>
      <c r="B17" s="565">
        <v>333</v>
      </c>
      <c r="C17" s="558" t="s">
        <v>2580</v>
      </c>
      <c r="D17" s="43"/>
      <c r="E17" s="39">
        <v>0</v>
      </c>
      <c r="F17" s="43"/>
      <c r="G17" s="39">
        <v>58500</v>
      </c>
      <c r="H17" s="571">
        <f>SUM(D17:G17)</f>
        <v>58500</v>
      </c>
      <c r="J17" s="39">
        <f t="shared" si="2"/>
        <v>0</v>
      </c>
      <c r="K17" s="39">
        <f>K$11/K$12*G17</f>
        <v>45561.117280982733</v>
      </c>
      <c r="L17" s="571">
        <f t="shared" si="3"/>
        <v>45561.117280982733</v>
      </c>
    </row>
    <row r="18" spans="1:13">
      <c r="A18" s="557" t="s">
        <v>17</v>
      </c>
      <c r="B18" s="565">
        <v>334</v>
      </c>
      <c r="C18" s="558" t="s">
        <v>2576</v>
      </c>
      <c r="D18" s="43"/>
      <c r="E18" s="39">
        <v>0</v>
      </c>
      <c r="F18" s="43"/>
      <c r="G18" s="39">
        <v>3884.4399999999996</v>
      </c>
      <c r="H18" s="571">
        <f>SUM(D18:G18)</f>
        <v>3884.4399999999996</v>
      </c>
      <c r="J18" s="39">
        <f t="shared" si="2"/>
        <v>0</v>
      </c>
      <c r="K18" s="39">
        <f>K$11/K$12*G18</f>
        <v>3025.2893403579578</v>
      </c>
      <c r="L18" s="571">
        <f t="shared" si="3"/>
        <v>3025.2893403579578</v>
      </c>
    </row>
    <row r="19" spans="1:13">
      <c r="A19" s="557" t="s">
        <v>17</v>
      </c>
      <c r="B19" s="565">
        <v>335</v>
      </c>
      <c r="C19" s="558" t="s">
        <v>2577</v>
      </c>
      <c r="D19" s="43"/>
      <c r="E19" s="39">
        <v>820.00000000000023</v>
      </c>
      <c r="F19" s="43"/>
      <c r="G19" s="39">
        <v>0</v>
      </c>
      <c r="H19" s="571">
        <f>SUM(D19:G19)</f>
        <v>820.00000000000023</v>
      </c>
      <c r="J19" s="39">
        <f t="shared" si="2"/>
        <v>430.6291780821918</v>
      </c>
      <c r="K19" s="39">
        <f>K$11/K$12*G19</f>
        <v>0</v>
      </c>
      <c r="L19" s="571">
        <f t="shared" si="3"/>
        <v>430.6291780821918</v>
      </c>
    </row>
    <row r="20" spans="1:13" ht="13.5" thickBot="1">
      <c r="A20" s="557"/>
      <c r="B20" s="565"/>
      <c r="C20" s="570"/>
      <c r="D20" s="566"/>
      <c r="E20" s="567">
        <f>SUM(E16:E19)</f>
        <v>820.00000000000023</v>
      </c>
      <c r="F20" s="566"/>
      <c r="G20" s="567">
        <f>SUM(G16:G19)</f>
        <v>105336.76</v>
      </c>
      <c r="H20" s="567">
        <f>SUM(H16:H19)</f>
        <v>106156.76</v>
      </c>
      <c r="J20" s="718">
        <f>'JURISSEP F'!G99</f>
        <v>430.62917808219174</v>
      </c>
      <c r="K20" s="718">
        <f>'JURISSEP F'!G100</f>
        <v>82038.640621516752</v>
      </c>
      <c r="L20" s="567">
        <f>SUM(L15:L19)</f>
        <v>82469.269799598944</v>
      </c>
      <c r="M20" s="39">
        <f>H20-L20</f>
        <v>23687.490200401051</v>
      </c>
    </row>
    <row r="21" spans="1:13" ht="13.5" thickTop="1">
      <c r="A21" s="557"/>
      <c r="B21" s="565"/>
      <c r="C21" s="570"/>
      <c r="D21" s="43"/>
      <c r="F21" s="43"/>
      <c r="I21" s="568" t="s">
        <v>2578</v>
      </c>
      <c r="J21" s="39">
        <f>E20</f>
        <v>820.00000000000023</v>
      </c>
      <c r="K21" s="39">
        <f>G20</f>
        <v>105336.76</v>
      </c>
    </row>
    <row r="22" spans="1:13">
      <c r="A22" s="557"/>
      <c r="B22" s="565"/>
      <c r="C22" s="570"/>
      <c r="D22" s="43"/>
      <c r="F22" s="43"/>
    </row>
    <row r="23" spans="1:13">
      <c r="A23" s="569" t="s">
        <v>61</v>
      </c>
      <c r="B23" s="5"/>
      <c r="C23" s="558"/>
      <c r="D23" s="43"/>
      <c r="F23" s="43"/>
    </row>
    <row r="24" spans="1:13">
      <c r="A24" s="560" t="s">
        <v>2572</v>
      </c>
      <c r="B24" s="561" t="s">
        <v>2573</v>
      </c>
      <c r="C24" s="560" t="s">
        <v>2182</v>
      </c>
      <c r="D24" s="562"/>
      <c r="E24" s="563" t="s">
        <v>2574</v>
      </c>
      <c r="F24" s="562"/>
      <c r="G24" s="564" t="s">
        <v>2575</v>
      </c>
      <c r="H24" s="564" t="s">
        <v>2025</v>
      </c>
      <c r="J24" s="564"/>
      <c r="K24" s="564"/>
      <c r="L24" s="564"/>
    </row>
    <row r="25" spans="1:13">
      <c r="A25" s="557" t="s">
        <v>17</v>
      </c>
      <c r="B25" s="565">
        <v>341</v>
      </c>
      <c r="C25" s="558" t="s">
        <v>148</v>
      </c>
      <c r="D25" s="43"/>
      <c r="E25" s="39">
        <v>187.92000000000007</v>
      </c>
      <c r="F25" s="43"/>
      <c r="G25" s="39">
        <v>557312.54999999993</v>
      </c>
      <c r="H25" s="571">
        <f t="shared" ref="H25:H30" si="4">SUM(D25:G25)</f>
        <v>557500.47</v>
      </c>
      <c r="J25" s="571">
        <f t="shared" ref="J25:J30" si="5">J$11/J$12*E25</f>
        <v>98.687603835616443</v>
      </c>
      <c r="K25" s="571">
        <f t="shared" ref="K25:K30" si="6">K$11/K$12*G25</f>
        <v>434047.56329424871</v>
      </c>
      <c r="L25" s="571">
        <f t="shared" ref="L25:L30" si="7">SUM(J25:K25)</f>
        <v>434146.25089808431</v>
      </c>
    </row>
    <row r="26" spans="1:13">
      <c r="A26" s="557" t="s">
        <v>17</v>
      </c>
      <c r="B26" s="565">
        <v>342</v>
      </c>
      <c r="C26" s="570" t="s">
        <v>2581</v>
      </c>
      <c r="D26" s="43"/>
      <c r="E26" s="39">
        <v>32.499999999999986</v>
      </c>
      <c r="F26" s="43"/>
      <c r="G26" s="39">
        <v>121095.92999999996</v>
      </c>
      <c r="H26" s="571">
        <f t="shared" si="4"/>
        <v>121128.42999999996</v>
      </c>
      <c r="J26" s="571">
        <f t="shared" si="5"/>
        <v>17.067619863013686</v>
      </c>
      <c r="K26" s="571">
        <f t="shared" si="6"/>
        <v>94312.23707657562</v>
      </c>
      <c r="L26" s="571">
        <f t="shared" si="7"/>
        <v>94329.30469643863</v>
      </c>
    </row>
    <row r="27" spans="1:13">
      <c r="A27" s="557" t="s">
        <v>17</v>
      </c>
      <c r="B27" s="565">
        <v>343</v>
      </c>
      <c r="C27" s="558" t="s">
        <v>1654</v>
      </c>
      <c r="D27" s="43"/>
      <c r="E27" s="39">
        <v>1164.0900000000001</v>
      </c>
      <c r="F27" s="43"/>
      <c r="G27" s="39">
        <v>3196369.3800000004</v>
      </c>
      <c r="H27" s="571">
        <f t="shared" si="4"/>
        <v>3197533.47</v>
      </c>
      <c r="J27" s="571">
        <f t="shared" si="5"/>
        <v>611.33063404109578</v>
      </c>
      <c r="K27" s="571">
        <f t="shared" si="6"/>
        <v>2489404.4477867018</v>
      </c>
      <c r="L27" s="571">
        <f t="shared" si="7"/>
        <v>2490015.7784207431</v>
      </c>
    </row>
    <row r="28" spans="1:13">
      <c r="A28" s="557" t="s">
        <v>17</v>
      </c>
      <c r="B28" s="565">
        <v>344</v>
      </c>
      <c r="C28" s="558" t="s">
        <v>1658</v>
      </c>
      <c r="D28" s="43"/>
      <c r="E28" s="39">
        <v>290.23000000000008</v>
      </c>
      <c r="F28" s="43"/>
      <c r="G28" s="39">
        <v>715275.37000000011</v>
      </c>
      <c r="H28" s="571">
        <f t="shared" si="4"/>
        <v>715565.60000000009</v>
      </c>
      <c r="J28" s="571">
        <f t="shared" si="5"/>
        <v>152.41647116438355</v>
      </c>
      <c r="K28" s="571">
        <f t="shared" si="6"/>
        <v>557072.56445757812</v>
      </c>
      <c r="L28" s="571">
        <f t="shared" si="7"/>
        <v>557224.98092874256</v>
      </c>
    </row>
    <row r="29" spans="1:13">
      <c r="A29" s="557" t="s">
        <v>17</v>
      </c>
      <c r="B29" s="565">
        <v>345</v>
      </c>
      <c r="C29" s="558" t="s">
        <v>2576</v>
      </c>
      <c r="D29" s="43"/>
      <c r="E29" s="39">
        <v>234.51999999999998</v>
      </c>
      <c r="F29" s="43"/>
      <c r="G29" s="39">
        <v>358092.41000000009</v>
      </c>
      <c r="H29" s="571">
        <f t="shared" si="4"/>
        <v>358326.93000000011</v>
      </c>
      <c r="J29" s="571">
        <f t="shared" si="5"/>
        <v>123.1599449315068</v>
      </c>
      <c r="K29" s="571">
        <f t="shared" si="6"/>
        <v>278890.43229811551</v>
      </c>
      <c r="L29" s="571">
        <f t="shared" si="7"/>
        <v>279013.59224304702</v>
      </c>
    </row>
    <row r="30" spans="1:13">
      <c r="A30" s="557" t="s">
        <v>17</v>
      </c>
      <c r="B30" s="565">
        <v>346</v>
      </c>
      <c r="C30" s="558" t="s">
        <v>2577</v>
      </c>
      <c r="D30" s="43"/>
      <c r="E30" s="39">
        <v>25</v>
      </c>
      <c r="F30" s="43"/>
      <c r="G30" s="39">
        <v>34127.94000000001</v>
      </c>
      <c r="H30" s="571">
        <f t="shared" si="4"/>
        <v>34152.94000000001</v>
      </c>
      <c r="J30" s="571">
        <f t="shared" si="5"/>
        <v>13.12893835616438</v>
      </c>
      <c r="K30" s="571">
        <f t="shared" si="6"/>
        <v>26579.608152108412</v>
      </c>
      <c r="L30" s="571">
        <f t="shared" si="7"/>
        <v>26592.737090464576</v>
      </c>
    </row>
    <row r="31" spans="1:13" ht="13.5" thickBot="1">
      <c r="A31" s="557"/>
      <c r="B31" s="565"/>
      <c r="C31" s="558"/>
      <c r="D31" s="566"/>
      <c r="E31" s="567">
        <f>SUM(E25:E30)</f>
        <v>1934.2600000000002</v>
      </c>
      <c r="F31" s="566"/>
      <c r="G31" s="567">
        <f>SUM(G25:G30)</f>
        <v>4982273.580000001</v>
      </c>
      <c r="H31" s="567">
        <f>SUM(H25:H30)</f>
        <v>4984207.8400000008</v>
      </c>
      <c r="J31" s="718">
        <f>'JURISSEP F'!G112</f>
        <v>1015.7912121917808</v>
      </c>
      <c r="K31" s="718">
        <f>'JURISSEP F'!G113</f>
        <v>3880306.8530653277</v>
      </c>
      <c r="L31" s="567">
        <f>SUM(L25:L30)</f>
        <v>3881322.64427752</v>
      </c>
      <c r="M31" s="39">
        <f>H31-L31</f>
        <v>1102885.1957224808</v>
      </c>
    </row>
    <row r="32" spans="1:13" ht="13.5" thickTop="1">
      <c r="A32" s="557"/>
      <c r="B32" s="565"/>
      <c r="C32" s="558"/>
      <c r="D32" s="43"/>
      <c r="F32" s="43"/>
      <c r="I32" s="568" t="s">
        <v>2578</v>
      </c>
      <c r="J32" s="39">
        <f>E31</f>
        <v>1934.2600000000002</v>
      </c>
      <c r="K32" s="39">
        <f>G31</f>
        <v>4982273.580000001</v>
      </c>
    </row>
    <row r="33" spans="1:13">
      <c r="A33" s="557"/>
      <c r="B33" s="565"/>
      <c r="C33" s="558"/>
      <c r="D33" s="43"/>
      <c r="F33" s="43"/>
    </row>
    <row r="34" spans="1:13">
      <c r="A34" s="569" t="s">
        <v>84</v>
      </c>
      <c r="B34" s="5"/>
      <c r="C34" s="558"/>
      <c r="D34" s="43"/>
      <c r="F34" s="43"/>
    </row>
    <row r="35" spans="1:13">
      <c r="A35" s="560" t="s">
        <v>2572</v>
      </c>
      <c r="B35" s="561" t="s">
        <v>2573</v>
      </c>
      <c r="C35" s="560" t="s">
        <v>2182</v>
      </c>
      <c r="D35" s="562"/>
      <c r="E35" s="563" t="s">
        <v>2574</v>
      </c>
      <c r="F35" s="562"/>
      <c r="G35" s="564" t="s">
        <v>2575</v>
      </c>
      <c r="H35" s="564" t="s">
        <v>2025</v>
      </c>
      <c r="J35" s="564"/>
      <c r="K35" s="564"/>
      <c r="L35" s="564"/>
    </row>
    <row r="36" spans="1:13">
      <c r="A36" s="557" t="s">
        <v>17</v>
      </c>
      <c r="B36" s="565">
        <v>350</v>
      </c>
      <c r="C36" s="558" t="s">
        <v>2582</v>
      </c>
      <c r="D36" s="43"/>
      <c r="E36" s="39">
        <v>76669.999999999985</v>
      </c>
      <c r="F36" s="43"/>
      <c r="G36" s="39">
        <v>5847.8599999999979</v>
      </c>
      <c r="H36" s="571">
        <f>SUM(D36:G36)</f>
        <v>82517.859999999986</v>
      </c>
      <c r="J36" s="571">
        <f t="shared" ref="J36:J43" si="8">J$11/J$12*E36</f>
        <v>40263.828150684909</v>
      </c>
      <c r="K36" s="571">
        <f t="shared" ref="K36:K43" si="9">K$11/K$12*G36</f>
        <v>4554.4450479105572</v>
      </c>
      <c r="L36" s="571">
        <f t="shared" ref="L36:L43" si="10">SUM(J36:K36)</f>
        <v>44818.273198595467</v>
      </c>
    </row>
    <row r="37" spans="1:13">
      <c r="A37" s="557" t="s">
        <v>17</v>
      </c>
      <c r="B37" s="565">
        <v>352</v>
      </c>
      <c r="C37" s="558" t="s">
        <v>148</v>
      </c>
      <c r="D37" s="43"/>
      <c r="E37" s="39">
        <v>72901.48000000001</v>
      </c>
      <c r="F37" s="43"/>
      <c r="G37" s="39">
        <v>38295.990000000013</v>
      </c>
      <c r="H37" s="571">
        <f t="shared" ref="H37:H43" si="11">SUM(D37:G37)</f>
        <v>111197.47000000003</v>
      </c>
      <c r="J37" s="571">
        <f t="shared" si="8"/>
        <v>38284.761479726025</v>
      </c>
      <c r="K37" s="571">
        <f t="shared" si="9"/>
        <v>29825.779346689615</v>
      </c>
      <c r="L37" s="571">
        <f t="shared" si="10"/>
        <v>68110.540826415643</v>
      </c>
    </row>
    <row r="38" spans="1:13">
      <c r="A38" s="557" t="s">
        <v>17</v>
      </c>
      <c r="B38" s="565">
        <v>353</v>
      </c>
      <c r="C38" s="558" t="s">
        <v>1679</v>
      </c>
      <c r="D38" s="43"/>
      <c r="E38" s="39">
        <v>539842.31000000006</v>
      </c>
      <c r="F38" s="43"/>
      <c r="G38" s="39">
        <v>482691.92000000016</v>
      </c>
      <c r="H38" s="571">
        <f t="shared" si="11"/>
        <v>1022534.2300000002</v>
      </c>
      <c r="J38" s="571">
        <f t="shared" si="8"/>
        <v>283502.25640157529</v>
      </c>
      <c r="K38" s="571">
        <f t="shared" si="9"/>
        <v>375931.336370987</v>
      </c>
      <c r="L38" s="571">
        <f t="shared" si="10"/>
        <v>659433.59277256229</v>
      </c>
    </row>
    <row r="39" spans="1:13">
      <c r="A39" s="557" t="s">
        <v>17</v>
      </c>
      <c r="B39" s="565">
        <v>354</v>
      </c>
      <c r="C39" s="558" t="s">
        <v>1666</v>
      </c>
      <c r="D39" s="43"/>
      <c r="E39" s="39">
        <v>842038.67</v>
      </c>
      <c r="F39" s="43"/>
      <c r="G39" s="39">
        <v>120310.06000000001</v>
      </c>
      <c r="H39" s="571">
        <f t="shared" si="11"/>
        <v>962348.7300000001</v>
      </c>
      <c r="J39" s="571">
        <f t="shared" si="8"/>
        <v>442202.95167746564</v>
      </c>
      <c r="K39" s="571">
        <f t="shared" si="9"/>
        <v>93700.183824650769</v>
      </c>
      <c r="L39" s="571">
        <f t="shared" si="10"/>
        <v>535903.13550211641</v>
      </c>
    </row>
    <row r="40" spans="1:13">
      <c r="A40" s="557" t="s">
        <v>17</v>
      </c>
      <c r="B40" s="565">
        <v>355</v>
      </c>
      <c r="C40" s="558" t="s">
        <v>1668</v>
      </c>
      <c r="D40" s="43"/>
      <c r="E40" s="39">
        <v>229757.81000000003</v>
      </c>
      <c r="F40" s="43"/>
      <c r="G40" s="39">
        <v>579741.87999999977</v>
      </c>
      <c r="H40" s="571">
        <f t="shared" si="11"/>
        <v>809499.68999999983</v>
      </c>
      <c r="J40" s="571">
        <f t="shared" si="8"/>
        <v>120659.04497349313</v>
      </c>
      <c r="K40" s="571">
        <f t="shared" si="9"/>
        <v>451516.03055345995</v>
      </c>
      <c r="L40" s="571">
        <f t="shared" si="10"/>
        <v>572175.07552695309</v>
      </c>
    </row>
    <row r="41" spans="1:13">
      <c r="A41" s="557" t="s">
        <v>17</v>
      </c>
      <c r="B41" s="565">
        <v>356</v>
      </c>
      <c r="C41" s="558" t="s">
        <v>2583</v>
      </c>
      <c r="D41" s="43"/>
      <c r="E41" s="39">
        <v>1047148.39</v>
      </c>
      <c r="F41" s="43"/>
      <c r="G41" s="39">
        <v>191092.74000000002</v>
      </c>
      <c r="H41" s="571">
        <f t="shared" si="11"/>
        <v>1238241.1300000001</v>
      </c>
      <c r="J41" s="571">
        <f t="shared" si="8"/>
        <v>549917.86648267112</v>
      </c>
      <c r="K41" s="571">
        <f t="shared" si="9"/>
        <v>148827.32886639898</v>
      </c>
      <c r="L41" s="571">
        <f t="shared" si="10"/>
        <v>698745.19534907013</v>
      </c>
    </row>
    <row r="42" spans="1:13">
      <c r="A42" s="557" t="s">
        <v>17</v>
      </c>
      <c r="B42" s="565">
        <v>357</v>
      </c>
      <c r="C42" s="558" t="s">
        <v>1672</v>
      </c>
      <c r="D42" s="43"/>
      <c r="E42" s="39">
        <v>274.99999999999994</v>
      </c>
      <c r="F42" s="43"/>
      <c r="G42" s="39">
        <v>1122</v>
      </c>
      <c r="H42" s="571">
        <f t="shared" si="11"/>
        <v>1397</v>
      </c>
      <c r="J42" s="571">
        <f t="shared" si="8"/>
        <v>144.41832191780816</v>
      </c>
      <c r="K42" s="571">
        <f t="shared" si="9"/>
        <v>873.83886477372005</v>
      </c>
      <c r="L42" s="571">
        <f t="shared" si="10"/>
        <v>1018.2571866915282</v>
      </c>
    </row>
    <row r="43" spans="1:13">
      <c r="A43" s="557" t="s">
        <v>17</v>
      </c>
      <c r="B43" s="565">
        <v>358</v>
      </c>
      <c r="C43" s="570" t="s">
        <v>2584</v>
      </c>
      <c r="D43" s="43"/>
      <c r="E43" s="39">
        <v>2210.9999999999995</v>
      </c>
      <c r="F43" s="43"/>
      <c r="G43" s="39">
        <v>1128</v>
      </c>
      <c r="H43" s="571">
        <f t="shared" si="11"/>
        <v>3338.9999999999995</v>
      </c>
      <c r="J43" s="571">
        <f t="shared" si="8"/>
        <v>1161.1233082191775</v>
      </c>
      <c r="K43" s="571">
        <f t="shared" si="9"/>
        <v>878.51179987946182</v>
      </c>
      <c r="L43" s="571">
        <f t="shared" si="10"/>
        <v>2039.6351080986392</v>
      </c>
    </row>
    <row r="44" spans="1:13" ht="13.5" thickBot="1">
      <c r="A44" s="557"/>
      <c r="B44" s="565"/>
      <c r="C44" s="570"/>
      <c r="D44" s="566"/>
      <c r="E44" s="567">
        <f>SUM(E36:E43)</f>
        <v>2810844.66</v>
      </c>
      <c r="F44" s="566"/>
      <c r="G44" s="567">
        <f>SUM(G36:G43)</f>
        <v>1420230.45</v>
      </c>
      <c r="H44" s="567">
        <f>SUM(H36:H43)</f>
        <v>4231075.1100000003</v>
      </c>
      <c r="J44" s="718">
        <f>'JURISSEP F'!G131</f>
        <v>1476136.2507957534</v>
      </c>
      <c r="K44" s="718">
        <f>'JURISSEP F'!G132</f>
        <v>1106107.4546747499</v>
      </c>
      <c r="L44" s="567">
        <f>SUM(L36:L43)</f>
        <v>2582243.7054705038</v>
      </c>
      <c r="M44" s="39">
        <f>H44-L44</f>
        <v>1648831.4045294966</v>
      </c>
    </row>
    <row r="45" spans="1:13" ht="15.75" thickTop="1">
      <c r="A45" s="557"/>
      <c r="B45" s="565"/>
      <c r="C45" s="558"/>
      <c r="D45" s="43"/>
      <c r="E45" s="719"/>
      <c r="F45" s="572"/>
      <c r="G45" s="719"/>
      <c r="I45" s="568" t="s">
        <v>2578</v>
      </c>
      <c r="J45" s="39">
        <f>E44</f>
        <v>2810844.66</v>
      </c>
      <c r="K45" s="39">
        <f>G44</f>
        <v>1420230.45</v>
      </c>
    </row>
    <row r="46" spans="1:13">
      <c r="A46" s="557"/>
      <c r="B46" s="565"/>
      <c r="C46" s="558"/>
      <c r="D46" s="43"/>
      <c r="F46" s="43"/>
    </row>
    <row r="47" spans="1:13">
      <c r="A47" s="569" t="s">
        <v>84</v>
      </c>
      <c r="B47" s="5"/>
      <c r="C47" s="558"/>
      <c r="D47" s="43"/>
      <c r="F47" s="43"/>
    </row>
    <row r="48" spans="1:13">
      <c r="A48" s="573" t="s">
        <v>2572</v>
      </c>
      <c r="B48" s="574" t="s">
        <v>2573</v>
      </c>
      <c r="C48" s="573" t="s">
        <v>2182</v>
      </c>
      <c r="D48" s="562"/>
      <c r="E48" s="563" t="s">
        <v>2574</v>
      </c>
      <c r="F48" s="562"/>
      <c r="G48" s="564" t="s">
        <v>2575</v>
      </c>
      <c r="H48" s="564" t="s">
        <v>2025</v>
      </c>
    </row>
    <row r="49" spans="1:8">
      <c r="A49" s="557" t="s">
        <v>101</v>
      </c>
      <c r="B49" s="565">
        <v>352</v>
      </c>
      <c r="C49" s="558" t="s">
        <v>148</v>
      </c>
      <c r="D49" s="43"/>
      <c r="E49" s="39">
        <v>0</v>
      </c>
      <c r="F49" s="43"/>
      <c r="G49" s="39">
        <v>3</v>
      </c>
      <c r="H49" s="571">
        <f>SUM(D49:G49)</f>
        <v>3</v>
      </c>
    </row>
    <row r="50" spans="1:8">
      <c r="A50" s="557" t="s">
        <v>101</v>
      </c>
      <c r="B50" s="565">
        <v>353</v>
      </c>
      <c r="C50" s="558" t="s">
        <v>1679</v>
      </c>
      <c r="D50" s="43"/>
      <c r="E50" s="39">
        <v>2.0000000000000009</v>
      </c>
      <c r="F50" s="43"/>
      <c r="G50" s="39">
        <v>1571.0000000000002</v>
      </c>
      <c r="H50" s="571">
        <f>SUM(D50:G50)</f>
        <v>1573.0000000000002</v>
      </c>
    </row>
    <row r="51" spans="1:8">
      <c r="A51" s="557" t="s">
        <v>101</v>
      </c>
      <c r="B51" s="565">
        <v>355</v>
      </c>
      <c r="C51" s="558" t="s">
        <v>1668</v>
      </c>
      <c r="D51" s="43"/>
      <c r="E51" s="39">
        <v>0</v>
      </c>
      <c r="F51" s="43"/>
      <c r="G51" s="39">
        <v>649.7700000000001</v>
      </c>
      <c r="H51" s="571">
        <f>SUM(D51:G51)</f>
        <v>649.7700000000001</v>
      </c>
    </row>
    <row r="52" spans="1:8">
      <c r="A52" s="557" t="s">
        <v>101</v>
      </c>
      <c r="B52" s="565">
        <v>356</v>
      </c>
      <c r="C52" s="558" t="s">
        <v>2583</v>
      </c>
      <c r="D52" s="43"/>
      <c r="E52" s="39">
        <v>0</v>
      </c>
      <c r="F52" s="43"/>
      <c r="G52" s="39">
        <v>2064.610000000001</v>
      </c>
      <c r="H52" s="571">
        <f>SUM(D52:G52)</f>
        <v>2064.610000000001</v>
      </c>
    </row>
    <row r="53" spans="1:8" ht="13.5" thickBot="1">
      <c r="A53" s="557"/>
      <c r="B53" s="5"/>
      <c r="C53" s="558"/>
      <c r="D53" s="566"/>
      <c r="E53" s="567">
        <f>SUM(E49:E52)</f>
        <v>2.0000000000000009</v>
      </c>
      <c r="F53" s="566"/>
      <c r="G53" s="567">
        <f>SUM(G49:G52)</f>
        <v>4288.380000000001</v>
      </c>
      <c r="H53" s="567">
        <f>SUM(H49:H52)</f>
        <v>4290.380000000001</v>
      </c>
    </row>
    <row r="54" spans="1:8" ht="15.75" thickTop="1">
      <c r="A54" s="557"/>
      <c r="B54" s="5"/>
      <c r="C54" s="558"/>
      <c r="D54" s="43"/>
      <c r="E54" s="719"/>
      <c r="F54" s="572"/>
      <c r="G54" s="719"/>
    </row>
    <row r="55" spans="1:8">
      <c r="A55" s="557"/>
      <c r="B55" s="5"/>
      <c r="C55" s="558"/>
      <c r="D55" s="43"/>
      <c r="E55" s="720"/>
      <c r="F55" s="575"/>
      <c r="G55" s="720"/>
    </row>
    <row r="56" spans="1:8" ht="13.5" thickBot="1">
      <c r="A56" s="557"/>
      <c r="B56" s="5"/>
      <c r="C56" s="576" t="s">
        <v>234</v>
      </c>
      <c r="D56" s="566"/>
      <c r="E56" s="567">
        <f>SUM(E53,E44,E31,E20,E11)</f>
        <v>19596272.950000003</v>
      </c>
      <c r="F56" s="566"/>
      <c r="G56" s="567">
        <f>SUM(G53,G44,G31,G20,G11)</f>
        <v>31092434.520000003</v>
      </c>
      <c r="H56" s="567">
        <f>SUM(H53,H44,H31,H20,H11)</f>
        <v>50688707.469999999</v>
      </c>
    </row>
    <row r="57" spans="1:8" ht="13.5" thickTop="1">
      <c r="D57" s="43"/>
      <c r="F57" s="43"/>
    </row>
  </sheetData>
  <mergeCells count="2">
    <mergeCell ref="A1:G1"/>
    <mergeCell ref="A2:G2"/>
  </mergeCells>
  <printOptions horizontalCentered="1"/>
  <pageMargins left="0.75" right="0.25" top="0.75" bottom="0.75" header="0.5" footer="0.5"/>
  <pageSetup scale="12"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5"/>
  <sheetViews>
    <sheetView zoomScaleNormal="100" workbookViewId="0">
      <pane xSplit="10" ySplit="7" topLeftCell="W8" activePane="bottomRight" state="frozen"/>
      <selection pane="topRight" activeCell="K1" sqref="K1"/>
      <selection pane="bottomLeft" activeCell="A8" sqref="A8"/>
      <selection pane="bottomRight" activeCell="F30" sqref="F30"/>
    </sheetView>
  </sheetViews>
  <sheetFormatPr defaultRowHeight="15" outlineLevelCol="1"/>
  <cols>
    <col min="1" max="1" width="34" style="524" bestFit="1" customWidth="1"/>
    <col min="2" max="2" width="10.77734375" style="524" customWidth="1"/>
    <col min="3" max="3" width="1.33203125" style="524" customWidth="1"/>
    <col min="4" max="4" width="10.88671875" style="524" bestFit="1" customWidth="1"/>
    <col min="5" max="5" width="14.44140625" style="524" customWidth="1"/>
    <col min="6" max="6" width="14.5546875" style="524" customWidth="1"/>
    <col min="7" max="7" width="14.44140625" style="524" customWidth="1"/>
    <col min="8" max="8" width="19.33203125" style="524" customWidth="1"/>
    <col min="9" max="9" width="1.33203125" style="524" customWidth="1"/>
    <col min="10" max="10" width="28.88671875" style="524" bestFit="1" customWidth="1"/>
    <col min="11" max="22" width="10.77734375" style="524" hidden="1" customWidth="1" outlineLevel="1"/>
    <col min="23" max="23" width="10.77734375" style="524" customWidth="1" collapsed="1"/>
    <col min="24" max="38" width="10.77734375" style="524" hidden="1" customWidth="1" outlineLevel="1"/>
    <col min="39" max="39" width="10.77734375" style="524" customWidth="1" collapsed="1"/>
    <col min="40" max="40" width="10" style="524" customWidth="1"/>
    <col min="41" max="16384" width="8.88671875" style="524"/>
  </cols>
  <sheetData>
    <row r="1" spans="1:40">
      <c r="A1" s="524" t="s">
        <v>2066</v>
      </c>
      <c r="E1" s="525" t="s">
        <v>2070</v>
      </c>
      <c r="J1" s="526" t="s">
        <v>142</v>
      </c>
    </row>
    <row r="2" spans="1:40">
      <c r="A2" s="526" t="s">
        <v>142</v>
      </c>
      <c r="B2" s="527" t="s">
        <v>2067</v>
      </c>
      <c r="D2" s="525"/>
      <c r="E2" s="528" t="s">
        <v>2068</v>
      </c>
      <c r="F2" s="528" t="s">
        <v>2069</v>
      </c>
      <c r="G2" s="524" t="s">
        <v>2546</v>
      </c>
      <c r="H2" s="525"/>
      <c r="I2" s="525"/>
      <c r="J2" s="525"/>
    </row>
    <row r="3" spans="1:40">
      <c r="A3" s="529" t="s">
        <v>1722</v>
      </c>
      <c r="B3" s="530"/>
      <c r="D3" s="525"/>
      <c r="E3" s="525"/>
      <c r="F3" s="525"/>
      <c r="G3" s="531">
        <v>41882</v>
      </c>
      <c r="H3" s="525"/>
      <c r="I3" s="525"/>
      <c r="J3" s="532" t="s">
        <v>2080</v>
      </c>
    </row>
    <row r="4" spans="1:40">
      <c r="A4" s="289" t="s">
        <v>1728</v>
      </c>
      <c r="B4" s="533">
        <v>10406297.27</v>
      </c>
      <c r="D4" s="525">
        <v>2009</v>
      </c>
      <c r="E4" s="403">
        <f>SUM(B4,B6,B7,B11)</f>
        <v>189011612.11999899</v>
      </c>
      <c r="F4" s="403">
        <v>180102328</v>
      </c>
      <c r="G4" s="404">
        <f>E4-F4</f>
        <v>8909284.1199989915</v>
      </c>
      <c r="H4" s="534"/>
      <c r="I4" s="525"/>
      <c r="J4" s="534" t="s">
        <v>2547</v>
      </c>
    </row>
    <row r="5" spans="1:40">
      <c r="A5" s="289" t="s">
        <v>1729</v>
      </c>
      <c r="B5" s="533">
        <v>846666.62</v>
      </c>
      <c r="D5" s="525">
        <v>2011</v>
      </c>
      <c r="E5" s="403">
        <f>SUM(B5,B8,B10)</f>
        <v>166282247.66000003</v>
      </c>
      <c r="F5" s="403">
        <v>166282247.66</v>
      </c>
      <c r="G5" s="404">
        <f>E5-F5</f>
        <v>0</v>
      </c>
      <c r="H5" s="525"/>
      <c r="I5" s="525"/>
      <c r="J5" s="526" t="s">
        <v>2548</v>
      </c>
      <c r="Q5" s="528"/>
    </row>
    <row r="6" spans="1:40" ht="15.75">
      <c r="A6" s="289" t="s">
        <v>1731</v>
      </c>
      <c r="B6" s="533">
        <v>2584305.42</v>
      </c>
      <c r="D6" s="525"/>
      <c r="E6" s="406">
        <f>SUM(E4:E5)</f>
        <v>355293859.77999902</v>
      </c>
      <c r="F6" s="406">
        <f t="shared" ref="F6:G6" si="0">SUM(F4:F5)</f>
        <v>346384575.65999997</v>
      </c>
      <c r="G6" s="407">
        <f t="shared" si="0"/>
        <v>8909284.1199989915</v>
      </c>
      <c r="H6" s="535"/>
      <c r="I6" s="525"/>
      <c r="K6" s="536">
        <v>43100</v>
      </c>
      <c r="L6" s="536">
        <f t="shared" ref="L6:AM6" si="1">EOMONTH(K6,1)</f>
        <v>43131</v>
      </c>
      <c r="M6" s="536">
        <f t="shared" si="1"/>
        <v>43159</v>
      </c>
      <c r="N6" s="536">
        <f t="shared" si="1"/>
        <v>43190</v>
      </c>
      <c r="O6" s="536">
        <f t="shared" si="1"/>
        <v>43220</v>
      </c>
      <c r="P6" s="536">
        <f t="shared" si="1"/>
        <v>43251</v>
      </c>
      <c r="Q6" s="536">
        <f t="shared" si="1"/>
        <v>43281</v>
      </c>
      <c r="R6" s="536">
        <f t="shared" si="1"/>
        <v>43312</v>
      </c>
      <c r="S6" s="536">
        <f t="shared" si="1"/>
        <v>43343</v>
      </c>
      <c r="T6" s="536">
        <f t="shared" si="1"/>
        <v>43373</v>
      </c>
      <c r="U6" s="536">
        <f t="shared" si="1"/>
        <v>43404</v>
      </c>
      <c r="V6" s="536">
        <f t="shared" si="1"/>
        <v>43434</v>
      </c>
      <c r="W6" s="536">
        <f t="shared" si="1"/>
        <v>43465</v>
      </c>
      <c r="X6" s="536">
        <f t="shared" si="1"/>
        <v>43496</v>
      </c>
      <c r="Y6" s="536">
        <f t="shared" si="1"/>
        <v>43524</v>
      </c>
      <c r="Z6" s="536">
        <f t="shared" si="1"/>
        <v>43555</v>
      </c>
      <c r="AA6" s="536">
        <f t="shared" si="1"/>
        <v>43585</v>
      </c>
      <c r="AB6" s="536">
        <f t="shared" si="1"/>
        <v>43616</v>
      </c>
      <c r="AC6" s="536">
        <f t="shared" si="1"/>
        <v>43646</v>
      </c>
      <c r="AD6" s="536">
        <f t="shared" si="1"/>
        <v>43677</v>
      </c>
      <c r="AE6" s="536">
        <f t="shared" si="1"/>
        <v>43708</v>
      </c>
      <c r="AF6" s="536">
        <f t="shared" si="1"/>
        <v>43738</v>
      </c>
      <c r="AG6" s="536">
        <f t="shared" si="1"/>
        <v>43769</v>
      </c>
      <c r="AH6" s="536">
        <f t="shared" si="1"/>
        <v>43799</v>
      </c>
      <c r="AI6" s="536">
        <f t="shared" si="1"/>
        <v>43830</v>
      </c>
      <c r="AJ6" s="536">
        <f t="shared" si="1"/>
        <v>43861</v>
      </c>
      <c r="AK6" s="536">
        <f t="shared" si="1"/>
        <v>43890</v>
      </c>
      <c r="AL6" s="536">
        <f t="shared" si="1"/>
        <v>43921</v>
      </c>
      <c r="AM6" s="536">
        <f t="shared" si="1"/>
        <v>43951</v>
      </c>
      <c r="AN6" s="411" t="s">
        <v>2012</v>
      </c>
    </row>
    <row r="7" spans="1:40" ht="15.75">
      <c r="A7" s="289" t="s">
        <v>1734</v>
      </c>
      <c r="B7" s="533">
        <v>175986872.06999898</v>
      </c>
      <c r="D7" s="537" t="s">
        <v>2071</v>
      </c>
      <c r="E7" s="405"/>
      <c r="F7" s="405"/>
      <c r="G7" s="405"/>
      <c r="H7" s="535"/>
      <c r="I7" s="525"/>
      <c r="J7" s="525"/>
      <c r="K7" s="528" t="s">
        <v>2081</v>
      </c>
      <c r="L7" s="528" t="s">
        <v>2081</v>
      </c>
      <c r="M7" s="528" t="s">
        <v>2081</v>
      </c>
      <c r="N7" s="528" t="s">
        <v>2081</v>
      </c>
      <c r="O7" s="528" t="s">
        <v>2081</v>
      </c>
      <c r="P7" s="528" t="s">
        <v>2081</v>
      </c>
      <c r="Q7" s="528" t="s">
        <v>2081</v>
      </c>
    </row>
    <row r="8" spans="1:40">
      <c r="A8" s="289" t="s">
        <v>1735</v>
      </c>
      <c r="B8" s="533">
        <v>163180101.67000002</v>
      </c>
      <c r="D8" s="525" t="s">
        <v>2082</v>
      </c>
      <c r="E8" s="404">
        <f>95757252.91</f>
        <v>95757252.909999996</v>
      </c>
      <c r="F8" s="404">
        <v>94427917</v>
      </c>
      <c r="G8" s="404">
        <f>E8-F8</f>
        <v>1329335.9099999964</v>
      </c>
      <c r="H8" s="404" t="s">
        <v>2072</v>
      </c>
      <c r="I8" s="525"/>
      <c r="J8" s="404" t="s">
        <v>2547</v>
      </c>
      <c r="K8" s="538">
        <v>2935.6168012499916</v>
      </c>
      <c r="L8" s="538">
        <f>$G8*L21/12</f>
        <v>2935.6168012499916</v>
      </c>
      <c r="M8" s="538">
        <f t="shared" ref="M8:AM8" si="2">$G8*M21/12</f>
        <v>2935.6168012499916</v>
      </c>
      <c r="N8" s="538">
        <f t="shared" si="2"/>
        <v>2935.6168012499916</v>
      </c>
      <c r="O8" s="538">
        <f t="shared" si="2"/>
        <v>2935.6168012499916</v>
      </c>
      <c r="P8" s="538">
        <f t="shared" si="2"/>
        <v>2935.6168012499916</v>
      </c>
      <c r="Q8" s="538">
        <f t="shared" si="2"/>
        <v>2935.6168012499916</v>
      </c>
      <c r="R8" s="538">
        <f t="shared" si="2"/>
        <v>2935.6168012499916</v>
      </c>
      <c r="S8" s="538">
        <f t="shared" si="2"/>
        <v>2935.6168012499916</v>
      </c>
      <c r="T8" s="538">
        <f t="shared" si="2"/>
        <v>2935.6168012499916</v>
      </c>
      <c r="U8" s="538">
        <f t="shared" si="2"/>
        <v>2935.6168012499916</v>
      </c>
      <c r="V8" s="538">
        <f t="shared" si="2"/>
        <v>2935.6168012499916</v>
      </c>
      <c r="W8" s="538">
        <f t="shared" si="2"/>
        <v>2935.6168012499916</v>
      </c>
      <c r="X8" s="538">
        <f t="shared" si="2"/>
        <v>2935.6168012499916</v>
      </c>
      <c r="Y8" s="538">
        <f t="shared" si="2"/>
        <v>2935.6168012499916</v>
      </c>
      <c r="Z8" s="538">
        <f t="shared" si="2"/>
        <v>2935.6168012499916</v>
      </c>
      <c r="AA8" s="538">
        <f t="shared" si="2"/>
        <v>2935.6168012499916</v>
      </c>
      <c r="AB8" s="538">
        <f t="shared" si="2"/>
        <v>5749.3778107499847</v>
      </c>
      <c r="AC8" s="538">
        <f t="shared" si="2"/>
        <v>5749.3778107499847</v>
      </c>
      <c r="AD8" s="538">
        <f t="shared" si="2"/>
        <v>5749.3778107499847</v>
      </c>
      <c r="AE8" s="538">
        <f t="shared" si="2"/>
        <v>5749.3778107499847</v>
      </c>
      <c r="AF8" s="538">
        <f t="shared" si="2"/>
        <v>5749.3778107499847</v>
      </c>
      <c r="AG8" s="538">
        <f t="shared" si="2"/>
        <v>5749.3778107499847</v>
      </c>
      <c r="AH8" s="538">
        <f t="shared" si="2"/>
        <v>5749.3778107499847</v>
      </c>
      <c r="AI8" s="538">
        <f t="shared" si="2"/>
        <v>5749.3778107499847</v>
      </c>
      <c r="AJ8" s="538">
        <f t="shared" si="2"/>
        <v>5749.3778107499847</v>
      </c>
      <c r="AK8" s="538">
        <f t="shared" si="2"/>
        <v>5749.3778107499847</v>
      </c>
      <c r="AL8" s="538">
        <f t="shared" si="2"/>
        <v>5749.3778107499847</v>
      </c>
      <c r="AM8" s="538">
        <f t="shared" si="2"/>
        <v>5749.3778107499847</v>
      </c>
    </row>
    <row r="9" spans="1:40">
      <c r="A9" s="289" t="s">
        <v>1736</v>
      </c>
      <c r="B9" s="533"/>
      <c r="D9" s="525" t="s">
        <v>2083</v>
      </c>
      <c r="E9" s="404">
        <v>16710059.9</v>
      </c>
      <c r="F9" s="404">
        <v>16622587</v>
      </c>
      <c r="G9" s="404">
        <f t="shared" ref="G9:G12" si="3">E9-F9</f>
        <v>87472.900000000373</v>
      </c>
      <c r="H9" s="404" t="s">
        <v>2073</v>
      </c>
      <c r="I9" s="525"/>
      <c r="J9" s="404" t="s">
        <v>2547</v>
      </c>
      <c r="K9" s="538">
        <v>193.16932083333415</v>
      </c>
      <c r="L9" s="538">
        <f t="shared" ref="L9:AM12" si="4">$G9*L22/12</f>
        <v>193.16932083333415</v>
      </c>
      <c r="M9" s="538">
        <f t="shared" si="4"/>
        <v>193.16932083333415</v>
      </c>
      <c r="N9" s="538">
        <f t="shared" si="4"/>
        <v>193.16932083333415</v>
      </c>
      <c r="O9" s="538">
        <f t="shared" si="4"/>
        <v>193.16932083333415</v>
      </c>
      <c r="P9" s="538">
        <f t="shared" si="4"/>
        <v>193.16932083333415</v>
      </c>
      <c r="Q9" s="538">
        <f t="shared" si="4"/>
        <v>193.16932083333415</v>
      </c>
      <c r="R9" s="538">
        <f t="shared" si="4"/>
        <v>193.16932083333415</v>
      </c>
      <c r="S9" s="538">
        <f t="shared" si="4"/>
        <v>193.16932083333415</v>
      </c>
      <c r="T9" s="538">
        <f t="shared" si="4"/>
        <v>193.16932083333415</v>
      </c>
      <c r="U9" s="538">
        <f t="shared" si="4"/>
        <v>193.16932083333415</v>
      </c>
      <c r="V9" s="538">
        <f t="shared" si="4"/>
        <v>193.16932083333415</v>
      </c>
      <c r="W9" s="538">
        <f t="shared" si="4"/>
        <v>193.16932083333415</v>
      </c>
      <c r="X9" s="538">
        <f t="shared" si="4"/>
        <v>193.16932083333415</v>
      </c>
      <c r="Y9" s="538">
        <f t="shared" si="4"/>
        <v>193.16932083333415</v>
      </c>
      <c r="Z9" s="538">
        <f t="shared" si="4"/>
        <v>193.16932083333415</v>
      </c>
      <c r="AA9" s="538">
        <f t="shared" si="4"/>
        <v>193.16932083333415</v>
      </c>
      <c r="AB9" s="538">
        <f t="shared" si="4"/>
        <v>378.32029250000164</v>
      </c>
      <c r="AC9" s="538">
        <f t="shared" si="4"/>
        <v>378.32029250000164</v>
      </c>
      <c r="AD9" s="538">
        <f t="shared" si="4"/>
        <v>378.32029250000164</v>
      </c>
      <c r="AE9" s="538">
        <f t="shared" si="4"/>
        <v>378.32029250000164</v>
      </c>
      <c r="AF9" s="538">
        <f t="shared" si="4"/>
        <v>378.32029250000164</v>
      </c>
      <c r="AG9" s="538">
        <f t="shared" si="4"/>
        <v>378.32029250000164</v>
      </c>
      <c r="AH9" s="538">
        <f t="shared" si="4"/>
        <v>378.32029250000164</v>
      </c>
      <c r="AI9" s="538">
        <f t="shared" si="4"/>
        <v>378.32029250000164</v>
      </c>
      <c r="AJ9" s="538">
        <f t="shared" si="4"/>
        <v>378.32029250000164</v>
      </c>
      <c r="AK9" s="538">
        <f t="shared" si="4"/>
        <v>378.32029250000164</v>
      </c>
      <c r="AL9" s="538">
        <f t="shared" si="4"/>
        <v>378.32029250000164</v>
      </c>
      <c r="AM9" s="538">
        <f t="shared" si="4"/>
        <v>378.32029250000164</v>
      </c>
    </row>
    <row r="10" spans="1:40">
      <c r="A10" s="289" t="s">
        <v>1739</v>
      </c>
      <c r="B10" s="533">
        <v>2255479.37</v>
      </c>
      <c r="D10" s="525" t="s">
        <v>2074</v>
      </c>
      <c r="E10" s="404">
        <f>58863047.67+34137.36</f>
        <v>58897185.030000001</v>
      </c>
      <c r="F10" s="404">
        <v>55740733</v>
      </c>
      <c r="G10" s="404">
        <f t="shared" si="3"/>
        <v>3156452.0300000012</v>
      </c>
      <c r="H10" s="404" t="s">
        <v>2075</v>
      </c>
      <c r="I10" s="525"/>
      <c r="J10" s="404" t="s">
        <v>2547</v>
      </c>
      <c r="K10" s="538">
        <v>6838.9793983333357</v>
      </c>
      <c r="L10" s="538">
        <f t="shared" si="4"/>
        <v>6838.9793983333357</v>
      </c>
      <c r="M10" s="538">
        <f t="shared" si="4"/>
        <v>6838.9793983333357</v>
      </c>
      <c r="N10" s="538">
        <f t="shared" si="4"/>
        <v>6838.9793983333357</v>
      </c>
      <c r="O10" s="538">
        <f t="shared" si="4"/>
        <v>6838.9793983333357</v>
      </c>
      <c r="P10" s="538">
        <f t="shared" si="4"/>
        <v>6838.9793983333357</v>
      </c>
      <c r="Q10" s="538">
        <f t="shared" si="4"/>
        <v>6838.9793983333357</v>
      </c>
      <c r="R10" s="538">
        <f t="shared" si="4"/>
        <v>6838.9793983333357</v>
      </c>
      <c r="S10" s="538">
        <f t="shared" si="4"/>
        <v>6838.9793983333357</v>
      </c>
      <c r="T10" s="538">
        <f t="shared" si="4"/>
        <v>6838.9793983333357</v>
      </c>
      <c r="U10" s="538">
        <f t="shared" si="4"/>
        <v>6838.9793983333357</v>
      </c>
      <c r="V10" s="538">
        <f t="shared" si="4"/>
        <v>6838.9793983333357</v>
      </c>
      <c r="W10" s="538">
        <f t="shared" si="4"/>
        <v>6838.9793983333357</v>
      </c>
      <c r="X10" s="538">
        <f t="shared" si="4"/>
        <v>6838.9793983333357</v>
      </c>
      <c r="Y10" s="538">
        <f t="shared" si="4"/>
        <v>6838.9793983333357</v>
      </c>
      <c r="Z10" s="538">
        <f t="shared" si="4"/>
        <v>6838.9793983333357</v>
      </c>
      <c r="AA10" s="538">
        <f t="shared" si="4"/>
        <v>6838.9793983333357</v>
      </c>
      <c r="AB10" s="538">
        <f t="shared" si="4"/>
        <v>11442.138608750005</v>
      </c>
      <c r="AC10" s="538">
        <f t="shared" si="4"/>
        <v>11442.138608750005</v>
      </c>
      <c r="AD10" s="538">
        <f t="shared" si="4"/>
        <v>11442.138608750005</v>
      </c>
      <c r="AE10" s="538">
        <f t="shared" si="4"/>
        <v>11442.138608750005</v>
      </c>
      <c r="AF10" s="538">
        <f t="shared" si="4"/>
        <v>11442.138608750005</v>
      </c>
      <c r="AG10" s="538">
        <f t="shared" si="4"/>
        <v>11442.138608750005</v>
      </c>
      <c r="AH10" s="538">
        <f t="shared" si="4"/>
        <v>11442.138608750005</v>
      </c>
      <c r="AI10" s="538">
        <f t="shared" si="4"/>
        <v>11442.138608750005</v>
      </c>
      <c r="AJ10" s="538">
        <f t="shared" si="4"/>
        <v>11442.138608750005</v>
      </c>
      <c r="AK10" s="538">
        <f t="shared" si="4"/>
        <v>11442.138608750005</v>
      </c>
      <c r="AL10" s="538">
        <f t="shared" si="4"/>
        <v>11442.138608750005</v>
      </c>
      <c r="AM10" s="538">
        <f t="shared" si="4"/>
        <v>11442.138608750005</v>
      </c>
    </row>
    <row r="11" spans="1:40">
      <c r="A11" s="289" t="s">
        <v>1817</v>
      </c>
      <c r="B11" s="533">
        <v>34137.360000000001</v>
      </c>
      <c r="D11" s="525" t="s">
        <v>2076</v>
      </c>
      <c r="E11" s="404">
        <v>13367694.26</v>
      </c>
      <c r="F11" s="404">
        <v>9031671</v>
      </c>
      <c r="G11" s="404">
        <f t="shared" si="3"/>
        <v>4336023.26</v>
      </c>
      <c r="H11" s="404" t="s">
        <v>2077</v>
      </c>
      <c r="I11" s="525"/>
      <c r="J11" s="404" t="s">
        <v>2547</v>
      </c>
      <c r="K11" s="538">
        <v>8563.6459384999998</v>
      </c>
      <c r="L11" s="538">
        <f t="shared" si="4"/>
        <v>8563.6459384999998</v>
      </c>
      <c r="M11" s="538">
        <f t="shared" si="4"/>
        <v>8563.6459384999998</v>
      </c>
      <c r="N11" s="538">
        <f t="shared" si="4"/>
        <v>8563.6459384999998</v>
      </c>
      <c r="O11" s="538">
        <f t="shared" si="4"/>
        <v>8563.6459384999998</v>
      </c>
      <c r="P11" s="538">
        <f t="shared" si="4"/>
        <v>8563.6459384999998</v>
      </c>
      <c r="Q11" s="538">
        <f t="shared" si="4"/>
        <v>8563.6459384999998</v>
      </c>
      <c r="R11" s="538">
        <f t="shared" si="4"/>
        <v>8563.6459384999998</v>
      </c>
      <c r="S11" s="538">
        <f t="shared" si="4"/>
        <v>8563.6459384999998</v>
      </c>
      <c r="T11" s="538">
        <f t="shared" si="4"/>
        <v>8563.6459384999998</v>
      </c>
      <c r="U11" s="538">
        <f t="shared" si="4"/>
        <v>8563.6459384999998</v>
      </c>
      <c r="V11" s="538">
        <f t="shared" si="4"/>
        <v>8563.6459384999998</v>
      </c>
      <c r="W11" s="538">
        <f t="shared" si="4"/>
        <v>8563.6459384999998</v>
      </c>
      <c r="X11" s="538">
        <f t="shared" si="4"/>
        <v>8563.6459384999998</v>
      </c>
      <c r="Y11" s="538">
        <f t="shared" si="4"/>
        <v>8563.6459384999998</v>
      </c>
      <c r="Z11" s="538">
        <f t="shared" si="4"/>
        <v>8563.6459384999998</v>
      </c>
      <c r="AA11" s="538">
        <f t="shared" si="4"/>
        <v>8563.6459384999998</v>
      </c>
      <c r="AB11" s="538">
        <f t="shared" si="4"/>
        <v>7840.9753951666653</v>
      </c>
      <c r="AC11" s="538">
        <f t="shared" si="4"/>
        <v>7840.9753951666653</v>
      </c>
      <c r="AD11" s="538">
        <f t="shared" si="4"/>
        <v>7840.9753951666653</v>
      </c>
      <c r="AE11" s="538">
        <f t="shared" si="4"/>
        <v>7840.9753951666653</v>
      </c>
      <c r="AF11" s="538">
        <f t="shared" si="4"/>
        <v>7840.9753951666653</v>
      </c>
      <c r="AG11" s="538">
        <f t="shared" si="4"/>
        <v>7840.9753951666653</v>
      </c>
      <c r="AH11" s="538">
        <f t="shared" si="4"/>
        <v>7840.9753951666653</v>
      </c>
      <c r="AI11" s="538">
        <f t="shared" si="4"/>
        <v>7840.9753951666653</v>
      </c>
      <c r="AJ11" s="538">
        <f t="shared" si="4"/>
        <v>7840.9753951666653</v>
      </c>
      <c r="AK11" s="538">
        <f t="shared" si="4"/>
        <v>7840.9753951666653</v>
      </c>
      <c r="AL11" s="538">
        <f t="shared" si="4"/>
        <v>7840.9753951666653</v>
      </c>
      <c r="AM11" s="538">
        <f t="shared" si="4"/>
        <v>7840.9753951666653</v>
      </c>
    </row>
    <row r="12" spans="1:40">
      <c r="B12" s="539">
        <f>SUM(B4:B11)</f>
        <v>355293859.77999902</v>
      </c>
      <c r="D12" s="525" t="s">
        <v>2084</v>
      </c>
      <c r="E12" s="404">
        <v>4279420.0199999996</v>
      </c>
      <c r="F12" s="404">
        <v>4279420</v>
      </c>
      <c r="G12" s="404">
        <f t="shared" si="3"/>
        <v>1.9999999552965164E-2</v>
      </c>
      <c r="H12" s="404" t="s">
        <v>2078</v>
      </c>
      <c r="I12" s="525"/>
      <c r="J12" s="404" t="s">
        <v>2547</v>
      </c>
      <c r="K12" s="538">
        <v>3.9499999117106196E-5</v>
      </c>
      <c r="L12" s="538">
        <f t="shared" si="4"/>
        <v>3.9499999117106196E-5</v>
      </c>
      <c r="M12" s="538">
        <f t="shared" si="4"/>
        <v>3.9499999117106196E-5</v>
      </c>
      <c r="N12" s="538">
        <f t="shared" si="4"/>
        <v>3.9499999117106196E-5</v>
      </c>
      <c r="O12" s="538">
        <f t="shared" si="4"/>
        <v>3.9499999117106196E-5</v>
      </c>
      <c r="P12" s="538">
        <f t="shared" si="4"/>
        <v>3.9499999117106196E-5</v>
      </c>
      <c r="Q12" s="538">
        <f t="shared" si="4"/>
        <v>3.9499999117106196E-5</v>
      </c>
      <c r="R12" s="538">
        <f t="shared" si="4"/>
        <v>3.9499999117106196E-5</v>
      </c>
      <c r="S12" s="538">
        <f t="shared" si="4"/>
        <v>3.9499999117106196E-5</v>
      </c>
      <c r="T12" s="538">
        <f t="shared" si="4"/>
        <v>3.9499999117106196E-5</v>
      </c>
      <c r="U12" s="538">
        <f t="shared" si="4"/>
        <v>3.9499999117106196E-5</v>
      </c>
      <c r="V12" s="538">
        <f t="shared" si="4"/>
        <v>3.9499999117106196E-5</v>
      </c>
      <c r="W12" s="538">
        <f t="shared" si="4"/>
        <v>3.9499999117106196E-5</v>
      </c>
      <c r="X12" s="538">
        <f t="shared" si="4"/>
        <v>3.9499999117106196E-5</v>
      </c>
      <c r="Y12" s="538">
        <f t="shared" si="4"/>
        <v>3.9499999117106196E-5</v>
      </c>
      <c r="Z12" s="538">
        <f t="shared" si="4"/>
        <v>3.9499999117106196E-5</v>
      </c>
      <c r="AA12" s="538">
        <f t="shared" si="4"/>
        <v>3.9499999117106196E-5</v>
      </c>
      <c r="AB12" s="538">
        <f t="shared" si="4"/>
        <v>3.616666585827867E-5</v>
      </c>
      <c r="AC12" s="538">
        <f t="shared" si="4"/>
        <v>3.616666585827867E-5</v>
      </c>
      <c r="AD12" s="538">
        <f t="shared" si="4"/>
        <v>3.616666585827867E-5</v>
      </c>
      <c r="AE12" s="538">
        <f t="shared" si="4"/>
        <v>3.616666585827867E-5</v>
      </c>
      <c r="AF12" s="538">
        <f t="shared" si="4"/>
        <v>3.616666585827867E-5</v>
      </c>
      <c r="AG12" s="538">
        <f t="shared" si="4"/>
        <v>3.616666585827867E-5</v>
      </c>
      <c r="AH12" s="538">
        <f t="shared" si="4"/>
        <v>3.616666585827867E-5</v>
      </c>
      <c r="AI12" s="538">
        <f t="shared" si="4"/>
        <v>3.616666585827867E-5</v>
      </c>
      <c r="AJ12" s="538">
        <f t="shared" si="4"/>
        <v>3.616666585827867E-5</v>
      </c>
      <c r="AK12" s="538">
        <f t="shared" si="4"/>
        <v>3.616666585827867E-5</v>
      </c>
      <c r="AL12" s="538">
        <f t="shared" si="4"/>
        <v>3.616666585827867E-5</v>
      </c>
      <c r="AM12" s="538">
        <f t="shared" si="4"/>
        <v>3.616666585827867E-5</v>
      </c>
    </row>
    <row r="13" spans="1:40" ht="15.75" thickBot="1">
      <c r="B13" s="538"/>
      <c r="D13" s="525"/>
      <c r="E13" s="409">
        <f>SUM(E8:E12)</f>
        <v>189011612.12</v>
      </c>
      <c r="F13" s="409">
        <f>SUM(F8:F12)</f>
        <v>180102328</v>
      </c>
      <c r="G13" s="409">
        <f>SUM(G8:G12)</f>
        <v>8909284.1199999973</v>
      </c>
      <c r="H13" s="404"/>
      <c r="I13" s="525"/>
      <c r="J13" s="524" t="s">
        <v>2549</v>
      </c>
      <c r="K13" s="540">
        <f>SUM(K8:K12)</f>
        <v>18531.411498416663</v>
      </c>
      <c r="L13" s="540">
        <f t="shared" ref="L13:AM13" si="5">SUM(L8:L12)</f>
        <v>18531.411498416663</v>
      </c>
      <c r="M13" s="540">
        <f t="shared" si="5"/>
        <v>18531.411498416663</v>
      </c>
      <c r="N13" s="540">
        <f t="shared" si="5"/>
        <v>18531.411498416663</v>
      </c>
      <c r="O13" s="540">
        <f t="shared" si="5"/>
        <v>18531.411498416663</v>
      </c>
      <c r="P13" s="540">
        <f t="shared" si="5"/>
        <v>18531.411498416663</v>
      </c>
      <c r="Q13" s="540">
        <f t="shared" si="5"/>
        <v>18531.411498416663</v>
      </c>
      <c r="R13" s="540">
        <f t="shared" si="5"/>
        <v>18531.411498416663</v>
      </c>
      <c r="S13" s="540">
        <f t="shared" si="5"/>
        <v>18531.411498416663</v>
      </c>
      <c r="T13" s="540">
        <f t="shared" si="5"/>
        <v>18531.411498416663</v>
      </c>
      <c r="U13" s="540">
        <f t="shared" si="5"/>
        <v>18531.411498416663</v>
      </c>
      <c r="V13" s="540">
        <f t="shared" si="5"/>
        <v>18531.411498416663</v>
      </c>
      <c r="W13" s="540">
        <f t="shared" si="5"/>
        <v>18531.411498416663</v>
      </c>
      <c r="X13" s="540">
        <f t="shared" si="5"/>
        <v>18531.411498416663</v>
      </c>
      <c r="Y13" s="540">
        <f t="shared" si="5"/>
        <v>18531.411498416663</v>
      </c>
      <c r="Z13" s="540">
        <f t="shared" si="5"/>
        <v>18531.411498416663</v>
      </c>
      <c r="AA13" s="540">
        <f t="shared" si="5"/>
        <v>18531.411498416663</v>
      </c>
      <c r="AB13" s="540">
        <f t="shared" si="5"/>
        <v>25410.812143333318</v>
      </c>
      <c r="AC13" s="540">
        <f t="shared" si="5"/>
        <v>25410.812143333318</v>
      </c>
      <c r="AD13" s="540">
        <f t="shared" si="5"/>
        <v>25410.812143333318</v>
      </c>
      <c r="AE13" s="540">
        <f t="shared" si="5"/>
        <v>25410.812143333318</v>
      </c>
      <c r="AF13" s="540">
        <f t="shared" si="5"/>
        <v>25410.812143333318</v>
      </c>
      <c r="AG13" s="540">
        <f t="shared" si="5"/>
        <v>25410.812143333318</v>
      </c>
      <c r="AH13" s="540">
        <f t="shared" si="5"/>
        <v>25410.812143333318</v>
      </c>
      <c r="AI13" s="540">
        <f t="shared" si="5"/>
        <v>25410.812143333318</v>
      </c>
      <c r="AJ13" s="540">
        <f t="shared" si="5"/>
        <v>25410.812143333318</v>
      </c>
      <c r="AK13" s="540">
        <f t="shared" si="5"/>
        <v>25410.812143333318</v>
      </c>
      <c r="AL13" s="540">
        <f t="shared" si="5"/>
        <v>25410.812143333318</v>
      </c>
      <c r="AM13" s="540">
        <f t="shared" si="5"/>
        <v>25410.812143333318</v>
      </c>
    </row>
    <row r="14" spans="1:40" ht="16.5" thickTop="1">
      <c r="A14" s="529" t="s">
        <v>1831</v>
      </c>
      <c r="B14" s="538"/>
      <c r="D14" s="525"/>
      <c r="E14" s="405"/>
      <c r="F14" s="408"/>
      <c r="G14" s="408"/>
      <c r="H14" s="535"/>
      <c r="I14" s="525"/>
      <c r="J14" s="525"/>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row>
    <row r="15" spans="1:40" ht="15.75">
      <c r="A15" s="289" t="s">
        <v>1731</v>
      </c>
      <c r="B15" s="538">
        <v>27267.75</v>
      </c>
      <c r="D15" s="525"/>
      <c r="E15" s="405"/>
      <c r="F15" s="408"/>
      <c r="G15" s="408"/>
      <c r="H15" s="535"/>
      <c r="I15" s="525"/>
      <c r="J15" s="525"/>
      <c r="K15" s="538"/>
      <c r="L15" s="538"/>
      <c r="M15" s="538"/>
      <c r="N15" s="538"/>
      <c r="O15" s="538"/>
      <c r="P15" s="538"/>
      <c r="Q15" s="538"/>
      <c r="R15" s="538"/>
      <c r="S15" s="538"/>
      <c r="T15" s="538"/>
      <c r="U15" s="538"/>
      <c r="V15" s="538"/>
      <c r="W15" s="352" t="s">
        <v>2085</v>
      </c>
      <c r="X15" s="538"/>
      <c r="Y15" s="538"/>
      <c r="Z15" s="538"/>
      <c r="AA15" s="538"/>
      <c r="AB15" s="538"/>
      <c r="AC15" s="538"/>
      <c r="AD15" s="538"/>
      <c r="AE15" s="538"/>
      <c r="AF15" s="538"/>
      <c r="AG15" s="538"/>
      <c r="AH15" s="538"/>
      <c r="AI15" s="538"/>
      <c r="AJ15" s="538"/>
      <c r="AK15" s="538"/>
      <c r="AL15" s="538"/>
      <c r="AM15" s="352" t="s">
        <v>2085</v>
      </c>
      <c r="AN15" s="352" t="s">
        <v>2085</v>
      </c>
    </row>
    <row r="16" spans="1:40" ht="15.75">
      <c r="A16" s="289" t="s">
        <v>1734</v>
      </c>
      <c r="B16" s="538">
        <v>5566618.1600000001</v>
      </c>
      <c r="D16" s="525"/>
      <c r="E16" s="405"/>
      <c r="F16" s="408"/>
      <c r="G16" s="408"/>
      <c r="H16" s="535"/>
      <c r="I16" s="525"/>
      <c r="J16" s="541" t="s">
        <v>2550</v>
      </c>
      <c r="K16" s="538"/>
      <c r="L16" s="538"/>
      <c r="M16" s="538"/>
      <c r="N16" s="538"/>
      <c r="O16" s="538"/>
      <c r="P16" s="538"/>
      <c r="Q16" s="538"/>
      <c r="R16" s="538"/>
      <c r="S16" s="538"/>
      <c r="T16" s="538"/>
      <c r="U16" s="538"/>
      <c r="V16" s="538"/>
      <c r="W16" s="352" t="s">
        <v>2080</v>
      </c>
      <c r="X16" s="538"/>
      <c r="Y16" s="538"/>
      <c r="Z16" s="538"/>
      <c r="AA16" s="538"/>
      <c r="AB16" s="538"/>
      <c r="AC16" s="538"/>
      <c r="AD16" s="538"/>
      <c r="AE16" s="538"/>
      <c r="AF16" s="538"/>
      <c r="AG16" s="538"/>
      <c r="AH16" s="538"/>
      <c r="AI16" s="538"/>
      <c r="AJ16" s="538"/>
      <c r="AK16" s="538"/>
      <c r="AL16" s="538"/>
      <c r="AM16" s="352" t="s">
        <v>2080</v>
      </c>
      <c r="AN16" s="352" t="s">
        <v>2080</v>
      </c>
    </row>
    <row r="17" spans="1:40">
      <c r="A17" s="289" t="s">
        <v>1735</v>
      </c>
      <c r="B17" s="538">
        <v>1005645.77</v>
      </c>
      <c r="D17" s="525"/>
      <c r="E17" s="351" t="s">
        <v>2068</v>
      </c>
      <c r="F17" s="351" t="s">
        <v>2069</v>
      </c>
      <c r="G17" s="405" t="s">
        <v>2085</v>
      </c>
      <c r="H17" s="525"/>
      <c r="I17" s="525"/>
      <c r="J17" s="404" t="s">
        <v>2547</v>
      </c>
      <c r="K17" s="542">
        <v>1000219.5960825011</v>
      </c>
      <c r="L17" s="542">
        <f>K17+L13</f>
        <v>1018751.0075809178</v>
      </c>
      <c r="M17" s="542">
        <f t="shared" ref="M17:AM17" si="6">L17+M13</f>
        <v>1037282.4190793345</v>
      </c>
      <c r="N17" s="542">
        <f t="shared" si="6"/>
        <v>1055813.8305777512</v>
      </c>
      <c r="O17" s="542">
        <f t="shared" si="6"/>
        <v>1074345.2420761678</v>
      </c>
      <c r="P17" s="542">
        <f t="shared" si="6"/>
        <v>1092876.6535745845</v>
      </c>
      <c r="Q17" s="542">
        <f t="shared" si="6"/>
        <v>1111408.0650730012</v>
      </c>
      <c r="R17" s="542">
        <f t="shared" si="6"/>
        <v>1129939.4765714179</v>
      </c>
      <c r="S17" s="542">
        <f t="shared" si="6"/>
        <v>1148470.8880698346</v>
      </c>
      <c r="T17" s="542">
        <f t="shared" si="6"/>
        <v>1167002.2995682512</v>
      </c>
      <c r="U17" s="542">
        <f t="shared" si="6"/>
        <v>1185533.7110666679</v>
      </c>
      <c r="V17" s="542">
        <f t="shared" si="6"/>
        <v>1204065.1225650846</v>
      </c>
      <c r="W17" s="550">
        <f t="shared" si="6"/>
        <v>1222596.5340635013</v>
      </c>
      <c r="X17" s="542">
        <f t="shared" si="6"/>
        <v>1241127.945561918</v>
      </c>
      <c r="Y17" s="542">
        <f t="shared" si="6"/>
        <v>1259659.3570603346</v>
      </c>
      <c r="Z17" s="542">
        <f t="shared" si="6"/>
        <v>1278190.7685587513</v>
      </c>
      <c r="AA17" s="542">
        <f t="shared" si="6"/>
        <v>1296722.180057168</v>
      </c>
      <c r="AB17" s="542">
        <f t="shared" si="6"/>
        <v>1322132.9922005013</v>
      </c>
      <c r="AC17" s="542">
        <f t="shared" si="6"/>
        <v>1347543.8043438345</v>
      </c>
      <c r="AD17" s="542">
        <f t="shared" si="6"/>
        <v>1372954.6164871678</v>
      </c>
      <c r="AE17" s="542">
        <f t="shared" si="6"/>
        <v>1398365.428630501</v>
      </c>
      <c r="AF17" s="542">
        <f t="shared" si="6"/>
        <v>1423776.2407738343</v>
      </c>
      <c r="AG17" s="542">
        <f t="shared" si="6"/>
        <v>1449187.0529171675</v>
      </c>
      <c r="AH17" s="542">
        <f t="shared" si="6"/>
        <v>1474597.8650605008</v>
      </c>
      <c r="AI17" s="542">
        <f t="shared" si="6"/>
        <v>1500008.6772038341</v>
      </c>
      <c r="AJ17" s="542">
        <f t="shared" si="6"/>
        <v>1525419.4893471673</v>
      </c>
      <c r="AK17" s="542">
        <f t="shared" si="6"/>
        <v>1550830.3014905006</v>
      </c>
      <c r="AL17" s="542">
        <f t="shared" si="6"/>
        <v>1576241.1136338338</v>
      </c>
      <c r="AM17" s="550">
        <f t="shared" si="6"/>
        <v>1601651.9257771671</v>
      </c>
      <c r="AN17" s="553">
        <f>SUM(AA17:AM17)/13</f>
        <v>1449187.0529171675</v>
      </c>
    </row>
    <row r="18" spans="1:40" ht="16.5" thickBot="1">
      <c r="A18" s="289" t="s">
        <v>1736</v>
      </c>
      <c r="B18" s="538">
        <v>0</v>
      </c>
      <c r="D18" s="525"/>
      <c r="E18" s="405"/>
      <c r="F18" s="408"/>
      <c r="G18" s="408"/>
      <c r="H18" s="535"/>
      <c r="I18" s="525"/>
      <c r="J18" s="525" t="s">
        <v>2551</v>
      </c>
      <c r="K18" s="540">
        <f>SUM(K17)</f>
        <v>1000219.5960825011</v>
      </c>
      <c r="L18" s="540">
        <f t="shared" ref="L18:AN18" si="7">SUM(L17)</f>
        <v>1018751.0075809178</v>
      </c>
      <c r="M18" s="540">
        <f t="shared" si="7"/>
        <v>1037282.4190793345</v>
      </c>
      <c r="N18" s="540">
        <f t="shared" si="7"/>
        <v>1055813.8305777512</v>
      </c>
      <c r="O18" s="540">
        <f t="shared" si="7"/>
        <v>1074345.2420761678</v>
      </c>
      <c r="P18" s="540">
        <f t="shared" si="7"/>
        <v>1092876.6535745845</v>
      </c>
      <c r="Q18" s="540">
        <f t="shared" si="7"/>
        <v>1111408.0650730012</v>
      </c>
      <c r="R18" s="540">
        <f t="shared" si="7"/>
        <v>1129939.4765714179</v>
      </c>
      <c r="S18" s="540">
        <f t="shared" si="7"/>
        <v>1148470.8880698346</v>
      </c>
      <c r="T18" s="540">
        <f t="shared" si="7"/>
        <v>1167002.2995682512</v>
      </c>
      <c r="U18" s="540">
        <f t="shared" si="7"/>
        <v>1185533.7110666679</v>
      </c>
      <c r="V18" s="540">
        <f t="shared" si="7"/>
        <v>1204065.1225650846</v>
      </c>
      <c r="W18" s="551">
        <f t="shared" si="7"/>
        <v>1222596.5340635013</v>
      </c>
      <c r="X18" s="540">
        <f t="shared" si="7"/>
        <v>1241127.945561918</v>
      </c>
      <c r="Y18" s="540">
        <f t="shared" si="7"/>
        <v>1259659.3570603346</v>
      </c>
      <c r="Z18" s="540">
        <f t="shared" si="7"/>
        <v>1278190.7685587513</v>
      </c>
      <c r="AA18" s="540">
        <f t="shared" si="7"/>
        <v>1296722.180057168</v>
      </c>
      <c r="AB18" s="540">
        <f t="shared" si="7"/>
        <v>1322132.9922005013</v>
      </c>
      <c r="AC18" s="540">
        <f t="shared" si="7"/>
        <v>1347543.8043438345</v>
      </c>
      <c r="AD18" s="540">
        <f t="shared" si="7"/>
        <v>1372954.6164871678</v>
      </c>
      <c r="AE18" s="540">
        <f t="shared" si="7"/>
        <v>1398365.428630501</v>
      </c>
      <c r="AF18" s="540">
        <f t="shared" si="7"/>
        <v>1423776.2407738343</v>
      </c>
      <c r="AG18" s="540">
        <f t="shared" si="7"/>
        <v>1449187.0529171675</v>
      </c>
      <c r="AH18" s="540">
        <f t="shared" si="7"/>
        <v>1474597.8650605008</v>
      </c>
      <c r="AI18" s="540">
        <f t="shared" si="7"/>
        <v>1500008.6772038341</v>
      </c>
      <c r="AJ18" s="540">
        <f t="shared" si="7"/>
        <v>1525419.4893471673</v>
      </c>
      <c r="AK18" s="540">
        <f t="shared" si="7"/>
        <v>1550830.3014905006</v>
      </c>
      <c r="AL18" s="540">
        <f t="shared" si="7"/>
        <v>1576241.1136338338</v>
      </c>
      <c r="AM18" s="551">
        <f t="shared" si="7"/>
        <v>1601651.9257771671</v>
      </c>
      <c r="AN18" s="551">
        <f t="shared" si="7"/>
        <v>1449187.0529171675</v>
      </c>
    </row>
    <row r="19" spans="1:40" ht="16.5" thickTop="1">
      <c r="A19" s="289" t="s">
        <v>1739</v>
      </c>
      <c r="B19" s="538">
        <v>6061.59</v>
      </c>
      <c r="D19" s="525">
        <v>2009</v>
      </c>
      <c r="E19" s="403">
        <f>SUM(B15,B16,B20)</f>
        <v>5604411.6699999999</v>
      </c>
      <c r="F19" s="404">
        <v>5277511</v>
      </c>
      <c r="G19" s="404">
        <f>E19-F19</f>
        <v>326900.66999999993</v>
      </c>
      <c r="H19" s="535"/>
      <c r="I19" s="525"/>
      <c r="J19" s="525"/>
      <c r="W19" s="552">
        <f>W6</f>
        <v>43465</v>
      </c>
      <c r="AM19" s="552">
        <f>AM6</f>
        <v>43951</v>
      </c>
      <c r="AN19" s="554" t="s">
        <v>2012</v>
      </c>
    </row>
    <row r="20" spans="1:40" ht="15.75">
      <c r="A20" s="289" t="s">
        <v>1817</v>
      </c>
      <c r="B20" s="538">
        <v>10525.76</v>
      </c>
      <c r="D20" s="525">
        <v>2011</v>
      </c>
      <c r="E20" s="403">
        <f>SUM(B17,B19)</f>
        <v>1011707.36</v>
      </c>
      <c r="F20" s="404">
        <v>1008226.26</v>
      </c>
      <c r="G20" s="404">
        <f>E20-F20</f>
        <v>3481.0999999999767</v>
      </c>
      <c r="H20" s="535"/>
      <c r="I20" s="525"/>
      <c r="J20" s="543" t="s">
        <v>2552</v>
      </c>
    </row>
    <row r="21" spans="1:40" ht="15.75">
      <c r="B21" s="539">
        <f>SUM(B15:B20)</f>
        <v>6616119.0299999993</v>
      </c>
      <c r="D21" s="525"/>
      <c r="E21" s="406">
        <f>SUM(E19:E20)</f>
        <v>6616119.0300000003</v>
      </c>
      <c r="F21" s="406">
        <f t="shared" ref="F21:G21" si="8">SUM(F19:F20)</f>
        <v>6285737.2599999998</v>
      </c>
      <c r="G21" s="406">
        <f t="shared" si="8"/>
        <v>330381.7699999999</v>
      </c>
      <c r="H21" s="535"/>
      <c r="I21" s="525"/>
      <c r="J21" s="404" t="s">
        <v>2547</v>
      </c>
      <c r="K21" s="544">
        <v>2.6499999999999999E-2</v>
      </c>
      <c r="L21" s="544">
        <f>K21</f>
        <v>2.6499999999999999E-2</v>
      </c>
      <c r="M21" s="544">
        <f t="shared" ref="M21:AA21" si="9">L21</f>
        <v>2.6499999999999999E-2</v>
      </c>
      <c r="N21" s="544">
        <f t="shared" si="9"/>
        <v>2.6499999999999999E-2</v>
      </c>
      <c r="O21" s="544">
        <f t="shared" si="9"/>
        <v>2.6499999999999999E-2</v>
      </c>
      <c r="P21" s="544">
        <f t="shared" si="9"/>
        <v>2.6499999999999999E-2</v>
      </c>
      <c r="Q21" s="544">
        <f t="shared" si="9"/>
        <v>2.6499999999999999E-2</v>
      </c>
      <c r="R21" s="544">
        <f t="shared" si="9"/>
        <v>2.6499999999999999E-2</v>
      </c>
      <c r="S21" s="544">
        <f t="shared" si="9"/>
        <v>2.6499999999999999E-2</v>
      </c>
      <c r="T21" s="544">
        <f t="shared" si="9"/>
        <v>2.6499999999999999E-2</v>
      </c>
      <c r="U21" s="544">
        <f t="shared" si="9"/>
        <v>2.6499999999999999E-2</v>
      </c>
      <c r="V21" s="544">
        <f t="shared" si="9"/>
        <v>2.6499999999999999E-2</v>
      </c>
      <c r="W21" s="544">
        <f t="shared" si="9"/>
        <v>2.6499999999999999E-2</v>
      </c>
      <c r="X21" s="544">
        <f t="shared" si="9"/>
        <v>2.6499999999999999E-2</v>
      </c>
      <c r="Y21" s="544">
        <f t="shared" si="9"/>
        <v>2.6499999999999999E-2</v>
      </c>
      <c r="Z21" s="544">
        <f t="shared" si="9"/>
        <v>2.6499999999999999E-2</v>
      </c>
      <c r="AA21" s="544">
        <f t="shared" si="9"/>
        <v>2.6499999999999999E-2</v>
      </c>
      <c r="AB21" s="544">
        <v>5.1900000000000002E-2</v>
      </c>
      <c r="AC21" s="544">
        <f>AB21</f>
        <v>5.1900000000000002E-2</v>
      </c>
      <c r="AD21" s="544">
        <f t="shared" ref="AD21:AM21" si="10">AC21</f>
        <v>5.1900000000000002E-2</v>
      </c>
      <c r="AE21" s="544">
        <f t="shared" si="10"/>
        <v>5.1900000000000002E-2</v>
      </c>
      <c r="AF21" s="544">
        <f t="shared" si="10"/>
        <v>5.1900000000000002E-2</v>
      </c>
      <c r="AG21" s="544">
        <f t="shared" si="10"/>
        <v>5.1900000000000002E-2</v>
      </c>
      <c r="AH21" s="544">
        <f t="shared" si="10"/>
        <v>5.1900000000000002E-2</v>
      </c>
      <c r="AI21" s="544">
        <f t="shared" si="10"/>
        <v>5.1900000000000002E-2</v>
      </c>
      <c r="AJ21" s="544">
        <f t="shared" si="10"/>
        <v>5.1900000000000002E-2</v>
      </c>
      <c r="AK21" s="544">
        <f t="shared" si="10"/>
        <v>5.1900000000000002E-2</v>
      </c>
      <c r="AL21" s="544">
        <f t="shared" si="10"/>
        <v>5.1900000000000002E-2</v>
      </c>
      <c r="AM21" s="544">
        <f t="shared" si="10"/>
        <v>5.1900000000000002E-2</v>
      </c>
    </row>
    <row r="22" spans="1:40" ht="15.75">
      <c r="B22" s="538"/>
      <c r="D22" s="525"/>
      <c r="E22" s="346"/>
      <c r="F22" s="410"/>
      <c r="G22" s="410"/>
      <c r="H22" s="535"/>
      <c r="I22" s="525"/>
      <c r="J22" s="404" t="s">
        <v>2547</v>
      </c>
      <c r="K22" s="544">
        <v>2.6499999999999999E-2</v>
      </c>
      <c r="L22" s="544">
        <f t="shared" ref="L22:AA25" si="11">K22</f>
        <v>2.6499999999999999E-2</v>
      </c>
      <c r="M22" s="544">
        <f t="shared" si="11"/>
        <v>2.6499999999999999E-2</v>
      </c>
      <c r="N22" s="544">
        <f t="shared" si="11"/>
        <v>2.6499999999999999E-2</v>
      </c>
      <c r="O22" s="544">
        <f t="shared" si="11"/>
        <v>2.6499999999999999E-2</v>
      </c>
      <c r="P22" s="544">
        <f t="shared" si="11"/>
        <v>2.6499999999999999E-2</v>
      </c>
      <c r="Q22" s="544">
        <f t="shared" si="11"/>
        <v>2.6499999999999999E-2</v>
      </c>
      <c r="R22" s="544">
        <f t="shared" si="11"/>
        <v>2.6499999999999999E-2</v>
      </c>
      <c r="S22" s="544">
        <f t="shared" si="11"/>
        <v>2.6499999999999999E-2</v>
      </c>
      <c r="T22" s="544">
        <f t="shared" si="11"/>
        <v>2.6499999999999999E-2</v>
      </c>
      <c r="U22" s="544">
        <f t="shared" si="11"/>
        <v>2.6499999999999999E-2</v>
      </c>
      <c r="V22" s="544">
        <f t="shared" si="11"/>
        <v>2.6499999999999999E-2</v>
      </c>
      <c r="W22" s="544">
        <f t="shared" si="11"/>
        <v>2.6499999999999999E-2</v>
      </c>
      <c r="X22" s="544">
        <f t="shared" si="11"/>
        <v>2.6499999999999999E-2</v>
      </c>
      <c r="Y22" s="544">
        <f t="shared" si="11"/>
        <v>2.6499999999999999E-2</v>
      </c>
      <c r="Z22" s="544">
        <f t="shared" si="11"/>
        <v>2.6499999999999999E-2</v>
      </c>
      <c r="AA22" s="544">
        <f t="shared" si="11"/>
        <v>2.6499999999999999E-2</v>
      </c>
      <c r="AB22" s="544">
        <v>5.1900000000000002E-2</v>
      </c>
      <c r="AC22" s="544">
        <f t="shared" ref="AC22:AM25" si="12">AB22</f>
        <v>5.1900000000000002E-2</v>
      </c>
      <c r="AD22" s="544">
        <f t="shared" si="12"/>
        <v>5.1900000000000002E-2</v>
      </c>
      <c r="AE22" s="544">
        <f t="shared" si="12"/>
        <v>5.1900000000000002E-2</v>
      </c>
      <c r="AF22" s="544">
        <f t="shared" si="12"/>
        <v>5.1900000000000002E-2</v>
      </c>
      <c r="AG22" s="544">
        <f t="shared" si="12"/>
        <v>5.1900000000000002E-2</v>
      </c>
      <c r="AH22" s="544">
        <f t="shared" si="12"/>
        <v>5.1900000000000002E-2</v>
      </c>
      <c r="AI22" s="544">
        <f t="shared" si="12"/>
        <v>5.1900000000000002E-2</v>
      </c>
      <c r="AJ22" s="544">
        <f t="shared" si="12"/>
        <v>5.1900000000000002E-2</v>
      </c>
      <c r="AK22" s="544">
        <f t="shared" si="12"/>
        <v>5.1900000000000002E-2</v>
      </c>
      <c r="AL22" s="544">
        <f t="shared" si="12"/>
        <v>5.1900000000000002E-2</v>
      </c>
      <c r="AM22" s="544">
        <f t="shared" si="12"/>
        <v>5.1900000000000002E-2</v>
      </c>
    </row>
    <row r="23" spans="1:40">
      <c r="A23" s="287" t="s">
        <v>2079</v>
      </c>
      <c r="B23" s="538"/>
      <c r="J23" s="404" t="s">
        <v>2547</v>
      </c>
      <c r="K23" s="544">
        <v>2.5999999999999999E-2</v>
      </c>
      <c r="L23" s="544">
        <f t="shared" si="11"/>
        <v>2.5999999999999999E-2</v>
      </c>
      <c r="M23" s="544">
        <f t="shared" si="11"/>
        <v>2.5999999999999999E-2</v>
      </c>
      <c r="N23" s="544">
        <f t="shared" si="11"/>
        <v>2.5999999999999999E-2</v>
      </c>
      <c r="O23" s="544">
        <f t="shared" si="11"/>
        <v>2.5999999999999999E-2</v>
      </c>
      <c r="P23" s="544">
        <f t="shared" si="11"/>
        <v>2.5999999999999999E-2</v>
      </c>
      <c r="Q23" s="544">
        <f t="shared" si="11"/>
        <v>2.5999999999999999E-2</v>
      </c>
      <c r="R23" s="544">
        <f t="shared" si="11"/>
        <v>2.5999999999999999E-2</v>
      </c>
      <c r="S23" s="544">
        <f t="shared" si="11"/>
        <v>2.5999999999999999E-2</v>
      </c>
      <c r="T23" s="544">
        <f t="shared" si="11"/>
        <v>2.5999999999999999E-2</v>
      </c>
      <c r="U23" s="544">
        <f t="shared" si="11"/>
        <v>2.5999999999999999E-2</v>
      </c>
      <c r="V23" s="544">
        <f t="shared" si="11"/>
        <v>2.5999999999999999E-2</v>
      </c>
      <c r="W23" s="544">
        <f t="shared" si="11"/>
        <v>2.5999999999999999E-2</v>
      </c>
      <c r="X23" s="544">
        <f t="shared" si="11"/>
        <v>2.5999999999999999E-2</v>
      </c>
      <c r="Y23" s="544">
        <f t="shared" si="11"/>
        <v>2.5999999999999999E-2</v>
      </c>
      <c r="Z23" s="544">
        <f t="shared" si="11"/>
        <v>2.5999999999999999E-2</v>
      </c>
      <c r="AA23" s="544">
        <f t="shared" si="11"/>
        <v>2.5999999999999999E-2</v>
      </c>
      <c r="AB23" s="544">
        <v>4.3500000000000004E-2</v>
      </c>
      <c r="AC23" s="544">
        <f t="shared" si="12"/>
        <v>4.3500000000000004E-2</v>
      </c>
      <c r="AD23" s="544">
        <f t="shared" si="12"/>
        <v>4.3500000000000004E-2</v>
      </c>
      <c r="AE23" s="544">
        <f t="shared" si="12"/>
        <v>4.3500000000000004E-2</v>
      </c>
      <c r="AF23" s="544">
        <f t="shared" si="12"/>
        <v>4.3500000000000004E-2</v>
      </c>
      <c r="AG23" s="544">
        <f t="shared" si="12"/>
        <v>4.3500000000000004E-2</v>
      </c>
      <c r="AH23" s="544">
        <f t="shared" si="12"/>
        <v>4.3500000000000004E-2</v>
      </c>
      <c r="AI23" s="544">
        <f t="shared" si="12"/>
        <v>4.3500000000000004E-2</v>
      </c>
      <c r="AJ23" s="544">
        <f t="shared" si="12"/>
        <v>4.3500000000000004E-2</v>
      </c>
      <c r="AK23" s="544">
        <f t="shared" si="12"/>
        <v>4.3500000000000004E-2</v>
      </c>
      <c r="AL23" s="544">
        <f t="shared" si="12"/>
        <v>4.3500000000000004E-2</v>
      </c>
      <c r="AM23" s="544">
        <f t="shared" si="12"/>
        <v>4.3500000000000004E-2</v>
      </c>
    </row>
    <row r="24" spans="1:40">
      <c r="A24" s="545" t="s">
        <v>1491</v>
      </c>
      <c r="B24" s="538">
        <v>266359366.59999999</v>
      </c>
      <c r="F24" s="546"/>
      <c r="G24" s="546"/>
      <c r="H24" s="546"/>
      <c r="I24" s="546"/>
      <c r="J24" s="404" t="s">
        <v>2547</v>
      </c>
      <c r="K24" s="544">
        <v>2.3699999999999999E-2</v>
      </c>
      <c r="L24" s="544">
        <f t="shared" si="11"/>
        <v>2.3699999999999999E-2</v>
      </c>
      <c r="M24" s="544">
        <f t="shared" si="11"/>
        <v>2.3699999999999999E-2</v>
      </c>
      <c r="N24" s="544">
        <f t="shared" si="11"/>
        <v>2.3699999999999999E-2</v>
      </c>
      <c r="O24" s="544">
        <f t="shared" si="11"/>
        <v>2.3699999999999999E-2</v>
      </c>
      <c r="P24" s="544">
        <f t="shared" si="11"/>
        <v>2.3699999999999999E-2</v>
      </c>
      <c r="Q24" s="544">
        <f t="shared" si="11"/>
        <v>2.3699999999999999E-2</v>
      </c>
      <c r="R24" s="544">
        <f t="shared" si="11"/>
        <v>2.3699999999999999E-2</v>
      </c>
      <c r="S24" s="544">
        <f t="shared" si="11"/>
        <v>2.3699999999999999E-2</v>
      </c>
      <c r="T24" s="544">
        <f t="shared" si="11"/>
        <v>2.3699999999999999E-2</v>
      </c>
      <c r="U24" s="544">
        <f t="shared" si="11"/>
        <v>2.3699999999999999E-2</v>
      </c>
      <c r="V24" s="544">
        <f t="shared" si="11"/>
        <v>2.3699999999999999E-2</v>
      </c>
      <c r="W24" s="544">
        <f t="shared" si="11"/>
        <v>2.3699999999999999E-2</v>
      </c>
      <c r="X24" s="544">
        <f t="shared" si="11"/>
        <v>2.3699999999999999E-2</v>
      </c>
      <c r="Y24" s="544">
        <f t="shared" si="11"/>
        <v>2.3699999999999999E-2</v>
      </c>
      <c r="Z24" s="544">
        <f t="shared" si="11"/>
        <v>2.3699999999999999E-2</v>
      </c>
      <c r="AA24" s="544">
        <f t="shared" si="11"/>
        <v>2.3699999999999999E-2</v>
      </c>
      <c r="AB24" s="544">
        <v>2.1699999999999997E-2</v>
      </c>
      <c r="AC24" s="544">
        <f t="shared" si="12"/>
        <v>2.1699999999999997E-2</v>
      </c>
      <c r="AD24" s="544">
        <f t="shared" si="12"/>
        <v>2.1699999999999997E-2</v>
      </c>
      <c r="AE24" s="544">
        <f t="shared" si="12"/>
        <v>2.1699999999999997E-2</v>
      </c>
      <c r="AF24" s="544">
        <f t="shared" si="12"/>
        <v>2.1699999999999997E-2</v>
      </c>
      <c r="AG24" s="544">
        <f t="shared" si="12"/>
        <v>2.1699999999999997E-2</v>
      </c>
      <c r="AH24" s="544">
        <f t="shared" si="12"/>
        <v>2.1699999999999997E-2</v>
      </c>
      <c r="AI24" s="544">
        <f t="shared" si="12"/>
        <v>2.1699999999999997E-2</v>
      </c>
      <c r="AJ24" s="544">
        <f t="shared" si="12"/>
        <v>2.1699999999999997E-2</v>
      </c>
      <c r="AK24" s="544">
        <f t="shared" si="12"/>
        <v>2.1699999999999997E-2</v>
      </c>
      <c r="AL24" s="544">
        <f t="shared" si="12"/>
        <v>2.1699999999999997E-2</v>
      </c>
      <c r="AM24" s="544">
        <f t="shared" si="12"/>
        <v>2.1699999999999997E-2</v>
      </c>
    </row>
    <row r="25" spans="1:40">
      <c r="A25" s="545" t="s">
        <v>1492</v>
      </c>
      <c r="B25" s="538">
        <v>359690383.24000001</v>
      </c>
      <c r="F25" s="547"/>
      <c r="G25" s="547"/>
      <c r="H25" s="547"/>
      <c r="I25" s="548"/>
      <c r="J25" s="404" t="s">
        <v>2547</v>
      </c>
      <c r="K25" s="544">
        <v>2.3699999999999999E-2</v>
      </c>
      <c r="L25" s="544">
        <f t="shared" si="11"/>
        <v>2.3699999999999999E-2</v>
      </c>
      <c r="M25" s="544">
        <f t="shared" si="11"/>
        <v>2.3699999999999999E-2</v>
      </c>
      <c r="N25" s="544">
        <f t="shared" si="11"/>
        <v>2.3699999999999999E-2</v>
      </c>
      <c r="O25" s="544">
        <f t="shared" si="11"/>
        <v>2.3699999999999999E-2</v>
      </c>
      <c r="P25" s="544">
        <f t="shared" si="11"/>
        <v>2.3699999999999999E-2</v>
      </c>
      <c r="Q25" s="544">
        <f t="shared" si="11"/>
        <v>2.3699999999999999E-2</v>
      </c>
      <c r="R25" s="544">
        <f t="shared" si="11"/>
        <v>2.3699999999999999E-2</v>
      </c>
      <c r="S25" s="544">
        <f t="shared" si="11"/>
        <v>2.3699999999999999E-2</v>
      </c>
      <c r="T25" s="544">
        <f t="shared" si="11"/>
        <v>2.3699999999999999E-2</v>
      </c>
      <c r="U25" s="544">
        <f t="shared" si="11"/>
        <v>2.3699999999999999E-2</v>
      </c>
      <c r="V25" s="544">
        <f t="shared" si="11"/>
        <v>2.3699999999999999E-2</v>
      </c>
      <c r="W25" s="544">
        <f t="shared" si="11"/>
        <v>2.3699999999999999E-2</v>
      </c>
      <c r="X25" s="544">
        <f t="shared" si="11"/>
        <v>2.3699999999999999E-2</v>
      </c>
      <c r="Y25" s="544">
        <f t="shared" si="11"/>
        <v>2.3699999999999999E-2</v>
      </c>
      <c r="Z25" s="544">
        <f t="shared" si="11"/>
        <v>2.3699999999999999E-2</v>
      </c>
      <c r="AA25" s="544">
        <f t="shared" si="11"/>
        <v>2.3699999999999999E-2</v>
      </c>
      <c r="AB25" s="544">
        <v>2.1699999999999997E-2</v>
      </c>
      <c r="AC25" s="544">
        <f t="shared" si="12"/>
        <v>2.1699999999999997E-2</v>
      </c>
      <c r="AD25" s="544">
        <f t="shared" si="12"/>
        <v>2.1699999999999997E-2</v>
      </c>
      <c r="AE25" s="544">
        <f t="shared" si="12"/>
        <v>2.1699999999999997E-2</v>
      </c>
      <c r="AF25" s="544">
        <f t="shared" si="12"/>
        <v>2.1699999999999997E-2</v>
      </c>
      <c r="AG25" s="544">
        <f t="shared" si="12"/>
        <v>2.1699999999999997E-2</v>
      </c>
      <c r="AH25" s="544">
        <f t="shared" si="12"/>
        <v>2.1699999999999997E-2</v>
      </c>
      <c r="AI25" s="544">
        <f t="shared" si="12"/>
        <v>2.1699999999999997E-2</v>
      </c>
      <c r="AJ25" s="544">
        <f t="shared" si="12"/>
        <v>2.1699999999999997E-2</v>
      </c>
      <c r="AK25" s="544">
        <f t="shared" si="12"/>
        <v>2.1699999999999997E-2</v>
      </c>
      <c r="AL25" s="544">
        <f t="shared" si="12"/>
        <v>2.1699999999999997E-2</v>
      </c>
      <c r="AM25" s="544">
        <f t="shared" si="12"/>
        <v>2.1699999999999997E-2</v>
      </c>
    </row>
    <row r="26" spans="1:40">
      <c r="A26" s="545" t="s">
        <v>1493</v>
      </c>
      <c r="B26" s="538">
        <v>34723.19</v>
      </c>
      <c r="F26" s="548"/>
      <c r="G26" s="547"/>
      <c r="H26" s="547"/>
      <c r="I26" s="548"/>
      <c r="J26" s="549"/>
    </row>
    <row r="27" spans="1:40">
      <c r="F27" s="547"/>
      <c r="G27" s="547"/>
      <c r="H27" s="547"/>
      <c r="I27" s="548"/>
      <c r="J27" s="549"/>
    </row>
    <row r="28" spans="1:40">
      <c r="F28" s="548"/>
      <c r="G28" s="547"/>
      <c r="H28" s="547"/>
      <c r="I28" s="548"/>
      <c r="J28" s="549"/>
    </row>
    <row r="29" spans="1:40">
      <c r="F29" s="547"/>
      <c r="G29" s="547"/>
      <c r="H29" s="547"/>
      <c r="I29" s="548"/>
      <c r="J29" s="549"/>
    </row>
    <row r="30" spans="1:40">
      <c r="F30" s="548"/>
      <c r="G30" s="547"/>
      <c r="H30" s="547"/>
      <c r="I30" s="548"/>
      <c r="J30" s="549"/>
    </row>
    <row r="31" spans="1:40">
      <c r="F31" s="547"/>
      <c r="G31" s="547"/>
      <c r="H31" s="547"/>
      <c r="I31" s="548"/>
      <c r="J31" s="549"/>
    </row>
    <row r="32" spans="1:40">
      <c r="F32" s="547"/>
      <c r="G32" s="547"/>
      <c r="H32" s="547"/>
      <c r="I32" s="548"/>
      <c r="J32" s="549"/>
    </row>
    <row r="33" spans="6:10">
      <c r="F33" s="547"/>
      <c r="G33" s="547"/>
      <c r="H33" s="548"/>
      <c r="I33" s="548"/>
      <c r="J33" s="548"/>
    </row>
    <row r="34" spans="6:10">
      <c r="F34" s="548"/>
      <c r="G34" s="548"/>
      <c r="H34" s="548"/>
      <c r="I34" s="548"/>
      <c r="J34" s="548"/>
    </row>
    <row r="35" spans="6:10">
      <c r="F35" s="548"/>
      <c r="G35" s="548"/>
      <c r="H35" s="548"/>
      <c r="I35" s="548"/>
      <c r="J35" s="548"/>
    </row>
  </sheetData>
  <pageMargins left="0.7" right="0.7" top="0.75" bottom="0.75" header="0.3" footer="0.3"/>
  <pageSetup scale="6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9"/>
  <sheetViews>
    <sheetView workbookViewId="0">
      <pane xSplit="1" ySplit="5" topLeftCell="B6" activePane="bottomRight" state="frozen"/>
      <selection pane="topRight" activeCell="B1" sqref="B1"/>
      <selection pane="bottomLeft" activeCell="A4" sqref="A4"/>
      <selection pane="bottomRight" activeCell="C13" sqref="C13"/>
    </sheetView>
  </sheetViews>
  <sheetFormatPr defaultRowHeight="15"/>
  <cols>
    <col min="1" max="1" width="28.6640625" style="732" bestFit="1" customWidth="1"/>
    <col min="2" max="30" width="8.33203125" style="730" customWidth="1"/>
    <col min="31" max="16384" width="8.88671875" style="730"/>
  </cols>
  <sheetData>
    <row r="1" spans="1:30" s="724" customFormat="1" ht="23.25" customHeight="1">
      <c r="A1" s="723" t="s">
        <v>2412</v>
      </c>
    </row>
    <row r="2" spans="1:30" s="724" customFormat="1" ht="23.25" customHeight="1">
      <c r="A2" s="723" t="s">
        <v>2411</v>
      </c>
    </row>
    <row r="3" spans="1:30" s="726" customFormat="1">
      <c r="A3" s="725" t="s">
        <v>2553</v>
      </c>
    </row>
    <row r="4" spans="1:30" s="726" customFormat="1" ht="15" customHeight="1">
      <c r="A4" s="727"/>
      <c r="B4" s="726" t="s">
        <v>2501</v>
      </c>
      <c r="C4" s="726" t="s">
        <v>2471</v>
      </c>
      <c r="D4" s="726" t="s">
        <v>2472</v>
      </c>
      <c r="E4" s="726" t="s">
        <v>2473</v>
      </c>
      <c r="F4" s="726" t="s">
        <v>2474</v>
      </c>
      <c r="G4" s="726" t="s">
        <v>2475</v>
      </c>
      <c r="H4" s="726" t="s">
        <v>2476</v>
      </c>
      <c r="I4" s="726" t="s">
        <v>2398</v>
      </c>
      <c r="J4" s="726" t="s">
        <v>2399</v>
      </c>
      <c r="K4" s="726" t="s">
        <v>2400</v>
      </c>
      <c r="L4" s="726" t="s">
        <v>2401</v>
      </c>
      <c r="M4" s="726" t="s">
        <v>2402</v>
      </c>
      <c r="N4" s="726" t="s">
        <v>2403</v>
      </c>
      <c r="O4" s="726" t="s">
        <v>2554</v>
      </c>
      <c r="P4" s="726" t="s">
        <v>2555</v>
      </c>
      <c r="Q4" s="726" t="s">
        <v>2556</v>
      </c>
      <c r="R4" s="726" t="s">
        <v>2529</v>
      </c>
      <c r="S4" s="726" t="s">
        <v>2530</v>
      </c>
      <c r="T4" s="726" t="s">
        <v>2531</v>
      </c>
      <c r="U4" s="726" t="s">
        <v>2532</v>
      </c>
      <c r="V4" s="726" t="s">
        <v>2533</v>
      </c>
      <c r="W4" s="726" t="s">
        <v>2534</v>
      </c>
      <c r="X4" s="726" t="s">
        <v>2535</v>
      </c>
      <c r="Y4" s="726" t="s">
        <v>2536</v>
      </c>
      <c r="Z4" s="726" t="s">
        <v>2537</v>
      </c>
      <c r="AA4" s="726" t="s">
        <v>2538</v>
      </c>
      <c r="AB4" s="726" t="s">
        <v>2539</v>
      </c>
      <c r="AC4" s="726" t="s">
        <v>2540</v>
      </c>
      <c r="AD4" s="726" t="s">
        <v>2541</v>
      </c>
    </row>
    <row r="5" spans="1:30" s="726" customFormat="1">
      <c r="A5" s="728" t="s">
        <v>2557</v>
      </c>
    </row>
    <row r="6" spans="1:30">
      <c r="A6" s="729" t="s">
        <v>2405</v>
      </c>
    </row>
    <row r="7" spans="1:30">
      <c r="A7" s="731" t="s">
        <v>1831</v>
      </c>
      <c r="B7" s="730">
        <v>38088.166089999904</v>
      </c>
      <c r="C7" s="730">
        <v>39052.059050000003</v>
      </c>
      <c r="D7" s="730">
        <v>40016.022970000005</v>
      </c>
      <c r="E7" s="730">
        <v>40979.98689</v>
      </c>
      <c r="F7" s="730">
        <v>41943.950810000002</v>
      </c>
      <c r="G7" s="730">
        <v>42907.914730000004</v>
      </c>
      <c r="H7" s="730">
        <v>43871.878650000006</v>
      </c>
      <c r="I7" s="730">
        <v>44838.570275043101</v>
      </c>
      <c r="J7" s="730">
        <v>45840.418432447099</v>
      </c>
      <c r="K7" s="730">
        <v>46902.745678064101</v>
      </c>
      <c r="L7" s="730">
        <v>47994.880613699104</v>
      </c>
      <c r="M7" s="730">
        <v>49090.386657380099</v>
      </c>
      <c r="N7" s="730">
        <v>50188.922075662005</v>
      </c>
      <c r="O7" s="730">
        <v>51288.898368645001</v>
      </c>
      <c r="P7" s="730">
        <v>52388.925024128002</v>
      </c>
      <c r="Q7" s="730">
        <v>53489.273999611003</v>
      </c>
      <c r="R7" s="730">
        <v>54590.042465094099</v>
      </c>
      <c r="S7" s="730">
        <v>56418.079632523099</v>
      </c>
      <c r="T7" s="730">
        <v>58246.162912452099</v>
      </c>
      <c r="U7" s="730">
        <v>60074.292304881099</v>
      </c>
      <c r="V7" s="730">
        <v>61902.467809810099</v>
      </c>
      <c r="W7" s="730">
        <v>63730.6894272391</v>
      </c>
      <c r="X7" s="730">
        <v>65558.957157168101</v>
      </c>
      <c r="Y7" s="730">
        <v>67408.529570060098</v>
      </c>
      <c r="Z7" s="730">
        <v>68721.914367922102</v>
      </c>
      <c r="AA7" s="730">
        <v>70668.259692641106</v>
      </c>
      <c r="AB7" s="730">
        <v>72616.364453360104</v>
      </c>
      <c r="AC7" s="730">
        <v>74565.856929079106</v>
      </c>
      <c r="AD7" s="730">
        <v>76515.53349312811</v>
      </c>
    </row>
    <row r="8" spans="1:30">
      <c r="A8" s="732" t="s">
        <v>2404</v>
      </c>
      <c r="B8" s="730">
        <v>-6.6878099999999998</v>
      </c>
      <c r="C8" s="730">
        <v>-6.6878099999999998</v>
      </c>
      <c r="D8" s="730">
        <v>-6.6878099999999998</v>
      </c>
      <c r="E8" s="730">
        <v>-6.6878099999999998</v>
      </c>
      <c r="F8" s="730">
        <v>-6.6878099999999998</v>
      </c>
      <c r="G8" s="730">
        <v>-6.6878099999999998</v>
      </c>
      <c r="H8" s="730">
        <v>-6.6878099999999998</v>
      </c>
      <c r="I8" s="730">
        <v>-36.445779999999999</v>
      </c>
      <c r="J8" s="730">
        <v>-36.445779999999999</v>
      </c>
      <c r="K8" s="730">
        <v>-36.445779999999999</v>
      </c>
      <c r="L8" s="730">
        <v>-36.445779999999999</v>
      </c>
      <c r="M8" s="730">
        <v>-36.445779999999999</v>
      </c>
      <c r="N8" s="730">
        <v>-36.445779999999999</v>
      </c>
      <c r="O8" s="730">
        <v>-36.445779999999999</v>
      </c>
      <c r="P8" s="730">
        <v>-36.445779999999999</v>
      </c>
      <c r="Q8" s="730">
        <v>-36.445779999999999</v>
      </c>
      <c r="R8" s="730">
        <v>-36.445779999999999</v>
      </c>
      <c r="S8" s="730">
        <v>-36.445779999999999</v>
      </c>
      <c r="T8" s="730">
        <v>-36.445779999999999</v>
      </c>
      <c r="U8" s="730">
        <v>-36.445779999999999</v>
      </c>
      <c r="V8" s="730">
        <v>-36.445779999999999</v>
      </c>
      <c r="W8" s="730">
        <v>-36.445779999999999</v>
      </c>
      <c r="X8" s="730">
        <v>-36.445779999999999</v>
      </c>
      <c r="Y8" s="730">
        <v>-36.445779999999999</v>
      </c>
      <c r="Z8" s="730">
        <v>-101.24757</v>
      </c>
      <c r="AA8" s="730">
        <v>-101.24757</v>
      </c>
      <c r="AB8" s="730">
        <v>-101.24757</v>
      </c>
      <c r="AC8" s="730">
        <v>-101.24757</v>
      </c>
      <c r="AD8" s="730">
        <v>-101.24757</v>
      </c>
    </row>
    <row r="9" spans="1:30">
      <c r="A9" s="732" t="s">
        <v>2558</v>
      </c>
      <c r="B9" s="730">
        <v>38081.478279999901</v>
      </c>
      <c r="C9" s="730">
        <v>39045.37124</v>
      </c>
      <c r="D9" s="730">
        <v>40009.335160000002</v>
      </c>
      <c r="E9" s="730">
        <v>40973.299079999997</v>
      </c>
      <c r="F9" s="730">
        <v>41937.262999999999</v>
      </c>
      <c r="G9" s="730">
        <v>42901.226920000001</v>
      </c>
      <c r="H9" s="730">
        <v>43865.190840000003</v>
      </c>
      <c r="I9" s="730">
        <v>44802.124495043099</v>
      </c>
      <c r="J9" s="730">
        <v>45803.972652447097</v>
      </c>
      <c r="K9" s="730">
        <v>46866.299898064099</v>
      </c>
      <c r="L9" s="730">
        <v>47958.434833699102</v>
      </c>
      <c r="M9" s="730">
        <v>49053.940877380097</v>
      </c>
      <c r="N9" s="730">
        <v>50152.476295662003</v>
      </c>
      <c r="O9" s="730">
        <v>51252.452588644999</v>
      </c>
      <c r="P9" s="730">
        <v>52352.479244128001</v>
      </c>
      <c r="Q9" s="730">
        <v>53452.828219611001</v>
      </c>
      <c r="R9" s="730">
        <v>54553.596685094097</v>
      </c>
      <c r="S9" s="730">
        <v>56381.633852523097</v>
      </c>
      <c r="T9" s="730">
        <v>58209.717132452097</v>
      </c>
      <c r="U9" s="730">
        <v>60037.846524881097</v>
      </c>
      <c r="V9" s="730">
        <v>61866.022029810098</v>
      </c>
      <c r="W9" s="730">
        <v>63694.243647239098</v>
      </c>
      <c r="X9" s="730">
        <v>65522.511377168099</v>
      </c>
      <c r="Y9" s="730">
        <v>67372.083790060104</v>
      </c>
      <c r="Z9" s="730">
        <v>68620.666797922095</v>
      </c>
      <c r="AA9" s="730">
        <v>70567.012122641099</v>
      </c>
      <c r="AB9" s="730">
        <v>72515.116883360097</v>
      </c>
      <c r="AC9" s="730">
        <v>74464.609359079099</v>
      </c>
      <c r="AD9" s="730">
        <v>76414.285923128104</v>
      </c>
    </row>
    <row r="10" spans="1:30">
      <c r="A10" s="729" t="s">
        <v>2406</v>
      </c>
    </row>
    <row r="11" spans="1:30">
      <c r="A11" s="731" t="s">
        <v>1831</v>
      </c>
      <c r="B11" s="730">
        <v>46117.700039999901</v>
      </c>
      <c r="C11" s="730">
        <v>47779.107069999998</v>
      </c>
      <c r="D11" s="730">
        <v>49440.5141</v>
      </c>
      <c r="E11" s="730">
        <v>51101.921130000002</v>
      </c>
      <c r="F11" s="730">
        <v>52763.325169999996</v>
      </c>
      <c r="G11" s="730">
        <v>54424.726219999997</v>
      </c>
      <c r="H11" s="730">
        <v>56091.221230000003</v>
      </c>
      <c r="I11" s="730">
        <v>57765.563076373001</v>
      </c>
      <c r="J11" s="730">
        <v>59442.657795020998</v>
      </c>
      <c r="K11" s="730">
        <v>61119.752513668995</v>
      </c>
      <c r="L11" s="730">
        <v>62796.847232316999</v>
      </c>
      <c r="M11" s="730">
        <v>64473.941950964996</v>
      </c>
      <c r="N11" s="730">
        <v>66151.036669613008</v>
      </c>
      <c r="O11" s="730">
        <v>67828.131388260997</v>
      </c>
      <c r="P11" s="730">
        <v>69505.226106909002</v>
      </c>
      <c r="Q11" s="730">
        <v>69455.452075556997</v>
      </c>
      <c r="R11" s="730">
        <v>71128.809294204999</v>
      </c>
      <c r="S11" s="730">
        <v>74289.051820474997</v>
      </c>
      <c r="T11" s="730">
        <v>77449.294346744995</v>
      </c>
      <c r="U11" s="730">
        <v>80609.536873015008</v>
      </c>
      <c r="V11" s="730">
        <v>83769.779399285006</v>
      </c>
      <c r="W11" s="730">
        <v>86930.021925554902</v>
      </c>
      <c r="X11" s="730">
        <v>90090.2644518249</v>
      </c>
      <c r="Y11" s="730">
        <v>93250.506978094912</v>
      </c>
      <c r="Z11" s="730">
        <v>95305.834727084904</v>
      </c>
      <c r="AA11" s="730">
        <v>98472.419598694905</v>
      </c>
      <c r="AB11" s="730">
        <v>101639.00447030499</v>
      </c>
      <c r="AC11" s="730">
        <v>103081.58101968499</v>
      </c>
      <c r="AD11" s="730">
        <v>106250.14924672499</v>
      </c>
    </row>
    <row r="12" spans="1:30">
      <c r="A12" s="732" t="s">
        <v>2404</v>
      </c>
      <c r="B12" s="730">
        <v>0</v>
      </c>
      <c r="C12" s="730">
        <v>0</v>
      </c>
      <c r="D12" s="730">
        <v>0</v>
      </c>
      <c r="E12" s="730">
        <v>0</v>
      </c>
      <c r="F12" s="730">
        <v>0</v>
      </c>
      <c r="G12" s="730">
        <v>0</v>
      </c>
      <c r="H12" s="730">
        <v>0</v>
      </c>
      <c r="I12" s="730">
        <v>-12031.50655</v>
      </c>
      <c r="J12" s="730">
        <v>-12031.50655</v>
      </c>
      <c r="K12" s="730">
        <v>-12031.50655</v>
      </c>
      <c r="L12" s="730">
        <v>-12031.50655</v>
      </c>
      <c r="M12" s="730">
        <v>-12031.50655</v>
      </c>
      <c r="N12" s="730">
        <v>-12031.50655</v>
      </c>
      <c r="O12" s="730">
        <v>-12031.50655</v>
      </c>
      <c r="P12" s="730">
        <v>-12031.50655</v>
      </c>
      <c r="Q12" s="730">
        <v>-12031.50655</v>
      </c>
      <c r="R12" s="730">
        <v>-12031.50655</v>
      </c>
      <c r="S12" s="730">
        <v>-12031.50655</v>
      </c>
      <c r="T12" s="730">
        <v>-12031.50655</v>
      </c>
      <c r="U12" s="730">
        <v>-12031.50655</v>
      </c>
      <c r="V12" s="730">
        <v>-12031.50655</v>
      </c>
      <c r="W12" s="730">
        <v>-12031.50655</v>
      </c>
      <c r="X12" s="730">
        <v>-12031.50655</v>
      </c>
      <c r="Y12" s="730">
        <v>-12031.50655</v>
      </c>
      <c r="Z12" s="730">
        <v>-12130.25215</v>
      </c>
      <c r="AA12" s="730">
        <v>-12130.25215</v>
      </c>
      <c r="AB12" s="730">
        <v>-12130.25215</v>
      </c>
      <c r="AC12" s="730">
        <v>-12352.429750000001</v>
      </c>
      <c r="AD12" s="730">
        <v>-12352.429750000001</v>
      </c>
    </row>
    <row r="13" spans="1:30">
      <c r="A13" s="732" t="s">
        <v>2558</v>
      </c>
      <c r="B13" s="730">
        <v>46117.700039999901</v>
      </c>
      <c r="C13" s="730">
        <v>47779.107069999998</v>
      </c>
      <c r="D13" s="730">
        <v>49440.5141</v>
      </c>
      <c r="E13" s="730">
        <v>51101.921130000002</v>
      </c>
      <c r="F13" s="730">
        <v>52763.325169999996</v>
      </c>
      <c r="G13" s="730">
        <v>54424.726219999997</v>
      </c>
      <c r="H13" s="730">
        <v>56091.221230000003</v>
      </c>
      <c r="I13" s="730">
        <v>45734.056526373002</v>
      </c>
      <c r="J13" s="730">
        <v>47411.151245020999</v>
      </c>
      <c r="K13" s="730">
        <v>49088.245963668996</v>
      </c>
      <c r="L13" s="730">
        <v>50765.340682317001</v>
      </c>
      <c r="M13" s="730">
        <v>52442.435400964998</v>
      </c>
      <c r="N13" s="730">
        <v>54119.530119613002</v>
      </c>
      <c r="O13" s="730">
        <v>55796.624838260999</v>
      </c>
      <c r="P13" s="730">
        <v>57473.719556909004</v>
      </c>
      <c r="Q13" s="730">
        <v>57423.945525556999</v>
      </c>
      <c r="R13" s="730">
        <v>59097.302744205001</v>
      </c>
      <c r="S13" s="730">
        <v>62257.545270474999</v>
      </c>
      <c r="T13" s="730">
        <v>65417.787796744997</v>
      </c>
      <c r="U13" s="730">
        <v>68578.030323015002</v>
      </c>
      <c r="V13" s="730">
        <v>71738.272849285</v>
      </c>
      <c r="W13" s="730">
        <v>74898.515375554896</v>
      </c>
      <c r="X13" s="730">
        <v>78058.757901824894</v>
      </c>
      <c r="Y13" s="730">
        <v>81219.000428094907</v>
      </c>
      <c r="Z13" s="730">
        <v>83175.582577084904</v>
      </c>
      <c r="AA13" s="730">
        <v>86342.167448694905</v>
      </c>
      <c r="AB13" s="730">
        <v>89508.752320304993</v>
      </c>
      <c r="AC13" s="730">
        <v>90729.151269684997</v>
      </c>
      <c r="AD13" s="730">
        <v>93897.719496724996</v>
      </c>
    </row>
    <row r="14" spans="1:30">
      <c r="A14" s="729" t="s">
        <v>2407</v>
      </c>
    </row>
    <row r="15" spans="1:30">
      <c r="A15" s="731" t="s">
        <v>1831</v>
      </c>
      <c r="B15" s="730">
        <v>111.85887999999998</v>
      </c>
      <c r="C15" s="730">
        <v>142.38401999999999</v>
      </c>
      <c r="D15" s="730">
        <v>172.90916000000001</v>
      </c>
      <c r="E15" s="730">
        <v>203.43430000000001</v>
      </c>
      <c r="F15" s="730">
        <v>233.95944</v>
      </c>
      <c r="G15" s="730">
        <v>264.48457999999999</v>
      </c>
      <c r="H15" s="730">
        <v>295.00971999999996</v>
      </c>
      <c r="I15" s="730">
        <v>325.53485731802999</v>
      </c>
      <c r="J15" s="730">
        <v>356.05999463605997</v>
      </c>
      <c r="K15" s="730">
        <v>386.58513195408995</v>
      </c>
      <c r="L15" s="730">
        <v>417.11026927211998</v>
      </c>
      <c r="M15" s="730">
        <v>447.63540659014996</v>
      </c>
      <c r="N15" s="730">
        <v>478.16054390817999</v>
      </c>
      <c r="O15" s="730">
        <v>508.68568122620997</v>
      </c>
      <c r="P15" s="730">
        <v>539.21081854423994</v>
      </c>
      <c r="Q15" s="730">
        <v>569.73595586226998</v>
      </c>
      <c r="R15" s="730">
        <v>600.26109318030001</v>
      </c>
      <c r="S15" s="730">
        <v>662.53277814136993</v>
      </c>
      <c r="T15" s="730">
        <v>724.80446310243894</v>
      </c>
      <c r="U15" s="730">
        <v>787.07614806350898</v>
      </c>
      <c r="V15" s="730">
        <v>849.34783302457902</v>
      </c>
      <c r="W15" s="730">
        <v>911.61951798564894</v>
      </c>
      <c r="X15" s="730">
        <v>973.89120294671898</v>
      </c>
      <c r="Y15" s="730">
        <v>1036.16288790778</v>
      </c>
      <c r="Z15" s="730">
        <v>1098.4345728688502</v>
      </c>
      <c r="AA15" s="730">
        <v>1160.7062578299301</v>
      </c>
      <c r="AB15" s="730">
        <v>1222.977942791</v>
      </c>
      <c r="AC15" s="730">
        <v>1285.2496277520702</v>
      </c>
      <c r="AD15" s="730">
        <v>1347.5213127131401</v>
      </c>
    </row>
    <row r="16" spans="1:30">
      <c r="A16" s="732" t="s">
        <v>2404</v>
      </c>
      <c r="B16" s="730">
        <v>-2.19457999999999</v>
      </c>
      <c r="C16" s="730">
        <v>-2.19457999999999</v>
      </c>
      <c r="D16" s="730">
        <v>-2.19457999999999</v>
      </c>
      <c r="E16" s="730">
        <v>-2.19457999999999</v>
      </c>
      <c r="F16" s="730">
        <v>-2.19457999999999</v>
      </c>
      <c r="G16" s="730">
        <v>-2.19457999999999</v>
      </c>
      <c r="H16" s="730">
        <v>-2.19457999999999</v>
      </c>
      <c r="I16" s="730">
        <v>-2.19457999999999</v>
      </c>
      <c r="J16" s="730">
        <v>-2.19457999999999</v>
      </c>
      <c r="K16" s="730">
        <v>-2.19457999999999</v>
      </c>
      <c r="L16" s="730">
        <v>-2.19457999999999</v>
      </c>
      <c r="M16" s="730">
        <v>-2.19457999999999</v>
      </c>
      <c r="N16" s="730">
        <v>-2.19457999999999</v>
      </c>
      <c r="O16" s="730">
        <v>-2.19457999999999</v>
      </c>
      <c r="P16" s="730">
        <v>-2.19457999999999</v>
      </c>
      <c r="Q16" s="730">
        <v>-2.19457999999999</v>
      </c>
      <c r="R16" s="730">
        <v>-2.19457999999999</v>
      </c>
      <c r="S16" s="730">
        <v>-2.19457999999999</v>
      </c>
      <c r="T16" s="730">
        <v>-2.19457999999999</v>
      </c>
      <c r="U16" s="730">
        <v>-2.19457999999999</v>
      </c>
      <c r="V16" s="730">
        <v>-2.19457999999999</v>
      </c>
      <c r="W16" s="730">
        <v>-2.19457999999999</v>
      </c>
      <c r="X16" s="730">
        <v>-2.19457999999999</v>
      </c>
      <c r="Y16" s="730">
        <v>-2.19457999999999</v>
      </c>
      <c r="Z16" s="730">
        <v>-2.19457999999999</v>
      </c>
      <c r="AA16" s="730">
        <v>-2.19457999999999</v>
      </c>
      <c r="AB16" s="730">
        <v>-2.19457999999999</v>
      </c>
      <c r="AC16" s="730">
        <v>-2.19457999999999</v>
      </c>
      <c r="AD16" s="730">
        <v>-2.19457999999999</v>
      </c>
    </row>
    <row r="17" spans="1:30">
      <c r="A17" s="732" t="s">
        <v>2558</v>
      </c>
      <c r="B17" s="730">
        <v>109.6643</v>
      </c>
      <c r="C17" s="730">
        <v>140.18943999999999</v>
      </c>
      <c r="D17" s="730">
        <v>170.71458000000001</v>
      </c>
      <c r="E17" s="730">
        <v>201.23972000000001</v>
      </c>
      <c r="F17" s="730">
        <v>231.76486</v>
      </c>
      <c r="G17" s="730">
        <v>262.29000000000002</v>
      </c>
      <c r="H17" s="730">
        <v>292.81513999999999</v>
      </c>
      <c r="I17" s="730">
        <v>323.34027731803002</v>
      </c>
      <c r="J17" s="730">
        <v>353.86541463606</v>
      </c>
      <c r="K17" s="730">
        <v>384.39055195408997</v>
      </c>
      <c r="L17" s="730">
        <v>414.91568927212001</v>
      </c>
      <c r="M17" s="730">
        <v>445.44082659014998</v>
      </c>
      <c r="N17" s="730">
        <v>475.96596390818002</v>
      </c>
      <c r="O17" s="730">
        <v>506.49110122620999</v>
      </c>
      <c r="P17" s="730">
        <v>537.01623854423997</v>
      </c>
      <c r="Q17" s="730">
        <v>567.54137586227</v>
      </c>
      <c r="R17" s="730">
        <v>598.06651318030003</v>
      </c>
      <c r="S17" s="730">
        <v>660.33819814136996</v>
      </c>
      <c r="T17" s="730">
        <v>722.60988310243897</v>
      </c>
      <c r="U17" s="730">
        <v>784.88156806350901</v>
      </c>
      <c r="V17" s="730">
        <v>847.15325302457904</v>
      </c>
      <c r="W17" s="730">
        <v>909.42493798564897</v>
      </c>
      <c r="X17" s="730">
        <v>971.696622946719</v>
      </c>
      <c r="Y17" s="730">
        <v>1033.9683079077799</v>
      </c>
      <c r="Z17" s="730">
        <v>1096.2399928688501</v>
      </c>
      <c r="AA17" s="730">
        <v>1158.51167782993</v>
      </c>
      <c r="AB17" s="730">
        <v>1220.7833627909999</v>
      </c>
      <c r="AC17" s="730">
        <v>1283.0550477520701</v>
      </c>
      <c r="AD17" s="730">
        <v>1345.32673271314</v>
      </c>
    </row>
    <row r="18" spans="1:30">
      <c r="A18" s="729" t="s">
        <v>2408</v>
      </c>
    </row>
    <row r="19" spans="1:30">
      <c r="A19" s="731" t="s">
        <v>1831</v>
      </c>
      <c r="B19" s="730">
        <v>2884.0989300000001</v>
      </c>
      <c r="C19" s="730">
        <v>2944.62655</v>
      </c>
      <c r="D19" s="730">
        <v>3005.1541699999998</v>
      </c>
      <c r="E19" s="730">
        <v>3065.6817899999901</v>
      </c>
      <c r="F19" s="730">
        <v>3126.2094099999999</v>
      </c>
      <c r="G19" s="730">
        <v>3186.7370299999998</v>
      </c>
      <c r="H19" s="730">
        <v>3247.2646500000001</v>
      </c>
      <c r="I19" s="730">
        <v>3309.4904721861999</v>
      </c>
      <c r="J19" s="730">
        <v>3413.0480648069001</v>
      </c>
      <c r="K19" s="730">
        <v>3589.406454464</v>
      </c>
      <c r="L19" s="730">
        <v>3800.8627100281001</v>
      </c>
      <c r="M19" s="730">
        <v>1156.617057248759</v>
      </c>
      <c r="N19" s="730">
        <v>1370.9198995699501</v>
      </c>
      <c r="O19" s="730">
        <v>1587.3953502561501</v>
      </c>
      <c r="P19" s="730">
        <v>1803.95528424235</v>
      </c>
      <c r="Q19" s="730">
        <v>2021.0445143535501</v>
      </c>
      <c r="R19" s="730">
        <v>2238.9003359397502</v>
      </c>
      <c r="S19" s="730">
        <v>2525.4706619000499</v>
      </c>
      <c r="T19" s="730">
        <v>2812.1146795603499</v>
      </c>
      <c r="U19" s="730">
        <v>3098.8323888206501</v>
      </c>
      <c r="V19" s="730">
        <v>3385.6237897809501</v>
      </c>
      <c r="W19" s="730">
        <v>3672.4888824412501</v>
      </c>
      <c r="X19" s="730">
        <v>3959.4276667015502</v>
      </c>
      <c r="Y19" s="730">
        <v>4271.75824675285</v>
      </c>
      <c r="Z19" s="730">
        <v>4650.5123811541498</v>
      </c>
      <c r="AA19" s="730">
        <v>5070.8728002554599</v>
      </c>
      <c r="AB19" s="730">
        <v>5493.3574115567599</v>
      </c>
      <c r="AC19" s="730">
        <v>5917.4977949580598</v>
      </c>
      <c r="AD19" s="730">
        <v>6341.8910204593594</v>
      </c>
    </row>
    <row r="20" spans="1:30">
      <c r="A20" s="732" t="s">
        <v>2404</v>
      </c>
      <c r="B20" s="730">
        <v>0</v>
      </c>
      <c r="C20" s="730">
        <v>0</v>
      </c>
      <c r="D20" s="730">
        <v>0</v>
      </c>
      <c r="E20" s="730">
        <v>0</v>
      </c>
      <c r="F20" s="730">
        <v>0</v>
      </c>
      <c r="G20" s="730">
        <v>0</v>
      </c>
      <c r="H20" s="730">
        <v>0</v>
      </c>
      <c r="I20" s="730">
        <v>-187.5</v>
      </c>
      <c r="J20" s="730">
        <v>-187.5</v>
      </c>
      <c r="K20" s="730">
        <v>-187.5</v>
      </c>
      <c r="L20" s="730">
        <v>-187.5</v>
      </c>
      <c r="M20" s="730">
        <v>-187.5</v>
      </c>
      <c r="N20" s="730">
        <v>-187.5</v>
      </c>
      <c r="O20" s="730">
        <v>-187.5</v>
      </c>
      <c r="P20" s="730">
        <v>-187.5</v>
      </c>
      <c r="Q20" s="730">
        <v>-187.5</v>
      </c>
      <c r="R20" s="730">
        <v>-187.5</v>
      </c>
      <c r="S20" s="730">
        <v>-187.5</v>
      </c>
      <c r="T20" s="730">
        <v>-187.5</v>
      </c>
      <c r="U20" s="730">
        <v>-187.5</v>
      </c>
      <c r="V20" s="730">
        <v>-187.5</v>
      </c>
      <c r="W20" s="730">
        <v>-187.5</v>
      </c>
      <c r="X20" s="730">
        <v>-187.5</v>
      </c>
      <c r="Y20" s="730">
        <v>-187.5</v>
      </c>
      <c r="Z20" s="730">
        <v>-187.50001</v>
      </c>
      <c r="AA20" s="730">
        <v>-187.50001</v>
      </c>
      <c r="AB20" s="730">
        <v>-187.50001</v>
      </c>
      <c r="AC20" s="730">
        <v>-187.50001</v>
      </c>
      <c r="AD20" s="730">
        <v>-187.50001</v>
      </c>
    </row>
    <row r="21" spans="1:30">
      <c r="A21" s="732" t="s">
        <v>2558</v>
      </c>
      <c r="B21" s="730">
        <v>2884.0989300000001</v>
      </c>
      <c r="C21" s="730">
        <v>2944.62655</v>
      </c>
      <c r="D21" s="730">
        <v>3005.1541699999998</v>
      </c>
      <c r="E21" s="730">
        <v>3065.6817899999901</v>
      </c>
      <c r="F21" s="730">
        <v>3126.2094099999999</v>
      </c>
      <c r="G21" s="730">
        <v>3186.7370299999998</v>
      </c>
      <c r="H21" s="730">
        <v>3247.2646500000001</v>
      </c>
      <c r="I21" s="730">
        <v>3121.9904721861999</v>
      </c>
      <c r="J21" s="730">
        <v>3225.5480648069001</v>
      </c>
      <c r="K21" s="730">
        <v>3401.906454464</v>
      </c>
      <c r="L21" s="730">
        <v>3613.3627100281001</v>
      </c>
      <c r="M21" s="730">
        <v>969.11705724875901</v>
      </c>
      <c r="N21" s="730">
        <v>1183.4198995699501</v>
      </c>
      <c r="O21" s="730">
        <v>1399.8953502561501</v>
      </c>
      <c r="P21" s="730">
        <v>1616.45528424235</v>
      </c>
      <c r="Q21" s="730">
        <v>1833.5445143535501</v>
      </c>
      <c r="R21" s="730">
        <v>2051.4003359397502</v>
      </c>
      <c r="S21" s="730">
        <v>2337.9706619000499</v>
      </c>
      <c r="T21" s="730">
        <v>2624.6146795603499</v>
      </c>
      <c r="U21" s="730">
        <v>2911.3323888206501</v>
      </c>
      <c r="V21" s="730">
        <v>3198.1237897809501</v>
      </c>
      <c r="W21" s="730">
        <v>3484.9888824412501</v>
      </c>
      <c r="X21" s="730">
        <v>3771.9276667015502</v>
      </c>
      <c r="Y21" s="730">
        <v>4084.25824675285</v>
      </c>
      <c r="Z21" s="730">
        <v>4463.0123711541501</v>
      </c>
      <c r="AA21" s="730">
        <v>4883.3727902554601</v>
      </c>
      <c r="AB21" s="730">
        <v>5305.8574015567601</v>
      </c>
      <c r="AC21" s="730">
        <v>5729.99778495806</v>
      </c>
      <c r="AD21" s="730">
        <v>6154.3910104593597</v>
      </c>
    </row>
    <row r="22" spans="1:30">
      <c r="A22" s="729" t="s">
        <v>2409</v>
      </c>
    </row>
    <row r="23" spans="1:30">
      <c r="A23" s="731" t="s">
        <v>1831</v>
      </c>
      <c r="B23" s="730">
        <v>59055.147850000001</v>
      </c>
      <c r="C23" s="730">
        <v>61264.620929999997</v>
      </c>
      <c r="D23" s="730">
        <v>63474.094010000001</v>
      </c>
      <c r="E23" s="730">
        <v>65683.567089999997</v>
      </c>
      <c r="F23" s="730">
        <v>67893.040169999993</v>
      </c>
      <c r="G23" s="730">
        <v>70102.513249999902</v>
      </c>
      <c r="H23" s="730">
        <v>72322.786859999993</v>
      </c>
      <c r="I23" s="730">
        <v>74557.259924569997</v>
      </c>
      <c r="J23" s="730">
        <v>76796.325458683001</v>
      </c>
      <c r="K23" s="730">
        <v>79036.640365430008</v>
      </c>
      <c r="L23" s="730">
        <v>81277.011094714006</v>
      </c>
      <c r="M23" s="730">
        <v>83517.381823998003</v>
      </c>
      <c r="N23" s="730">
        <v>85757.752553282</v>
      </c>
      <c r="O23" s="730">
        <v>87998.123282565997</v>
      </c>
      <c r="P23" s="730">
        <v>90238.494011850009</v>
      </c>
      <c r="Q23" s="730">
        <v>92478.864741134006</v>
      </c>
      <c r="R23" s="730">
        <v>94719.235470418003</v>
      </c>
      <c r="S23" s="730">
        <v>98964.741093542005</v>
      </c>
      <c r="T23" s="730">
        <v>103210.24671666601</v>
      </c>
      <c r="U23" s="730">
        <v>107455.75233979001</v>
      </c>
      <c r="V23" s="730">
        <v>111701.25796291401</v>
      </c>
      <c r="W23" s="730">
        <v>115946.76358603801</v>
      </c>
      <c r="X23" s="730">
        <v>120192.269209162</v>
      </c>
      <c r="Y23" s="730">
        <v>124437.774832286</v>
      </c>
      <c r="Z23" s="730">
        <v>128683.28045541</v>
      </c>
      <c r="AA23" s="730">
        <v>132928.786078534</v>
      </c>
      <c r="AB23" s="730">
        <v>137174.29170165799</v>
      </c>
      <c r="AC23" s="730">
        <v>141419.797324782</v>
      </c>
      <c r="AD23" s="730">
        <v>145665.30294790599</v>
      </c>
    </row>
    <row r="24" spans="1:30">
      <c r="A24" s="732" t="s">
        <v>2404</v>
      </c>
      <c r="B24" s="730">
        <v>0</v>
      </c>
      <c r="C24" s="730">
        <v>0</v>
      </c>
      <c r="D24" s="730">
        <v>0</v>
      </c>
      <c r="E24" s="730">
        <v>0</v>
      </c>
      <c r="F24" s="730">
        <v>0</v>
      </c>
      <c r="G24" s="730">
        <v>0</v>
      </c>
      <c r="H24" s="730">
        <v>0</v>
      </c>
      <c r="I24" s="730">
        <v>-11442.57386</v>
      </c>
      <c r="J24" s="730">
        <v>-11442.57386</v>
      </c>
      <c r="K24" s="730">
        <v>-11442.57386</v>
      </c>
      <c r="L24" s="730">
        <v>-11442.57386</v>
      </c>
      <c r="M24" s="730">
        <v>-11442.57386</v>
      </c>
      <c r="N24" s="730">
        <v>-11442.57386</v>
      </c>
      <c r="O24" s="730">
        <v>-11442.57386</v>
      </c>
      <c r="P24" s="730">
        <v>-11442.57386</v>
      </c>
      <c r="Q24" s="730">
        <v>-11442.57386</v>
      </c>
      <c r="R24" s="730">
        <v>-11442.57386</v>
      </c>
      <c r="S24" s="730">
        <v>-11442.57386</v>
      </c>
      <c r="T24" s="730">
        <v>-11442.57386</v>
      </c>
      <c r="U24" s="730">
        <v>-11442.57386</v>
      </c>
      <c r="V24" s="730">
        <v>-11442.57386</v>
      </c>
      <c r="W24" s="730">
        <v>-11442.57386</v>
      </c>
      <c r="X24" s="730">
        <v>-11442.57386</v>
      </c>
      <c r="Y24" s="730">
        <v>-11442.57386</v>
      </c>
      <c r="Z24" s="730">
        <v>-11442.57386</v>
      </c>
      <c r="AA24" s="730">
        <v>-11442.57386</v>
      </c>
      <c r="AB24" s="730">
        <v>-11442.57386</v>
      </c>
      <c r="AC24" s="730">
        <v>-11442.57386</v>
      </c>
      <c r="AD24" s="730">
        <v>-11442.57386</v>
      </c>
    </row>
    <row r="25" spans="1:30">
      <c r="A25" s="732" t="s">
        <v>2558</v>
      </c>
      <c r="B25" s="730">
        <v>59055.147850000001</v>
      </c>
      <c r="C25" s="730">
        <v>61264.620929999997</v>
      </c>
      <c r="D25" s="730">
        <v>63474.094010000001</v>
      </c>
      <c r="E25" s="730">
        <v>65683.567089999997</v>
      </c>
      <c r="F25" s="730">
        <v>67893.040169999993</v>
      </c>
      <c r="G25" s="730">
        <v>70102.513249999902</v>
      </c>
      <c r="H25" s="730">
        <v>72322.786859999993</v>
      </c>
      <c r="I25" s="730">
        <v>63114.68606457</v>
      </c>
      <c r="J25" s="730">
        <v>65353.751598682997</v>
      </c>
      <c r="K25" s="730">
        <v>67594.066505430004</v>
      </c>
      <c r="L25" s="730">
        <v>69834.437234714002</v>
      </c>
      <c r="M25" s="730">
        <v>72074.807963997999</v>
      </c>
      <c r="N25" s="730">
        <v>74315.178693281996</v>
      </c>
      <c r="O25" s="730">
        <v>76555.549422565993</v>
      </c>
      <c r="P25" s="730">
        <v>78795.920151850005</v>
      </c>
      <c r="Q25" s="730">
        <v>81036.290881134002</v>
      </c>
      <c r="R25" s="730">
        <v>83276.661610417999</v>
      </c>
      <c r="S25" s="730">
        <v>87522.167233542001</v>
      </c>
      <c r="T25" s="730">
        <v>91767.672856666002</v>
      </c>
      <c r="U25" s="730">
        <v>96013.178479790004</v>
      </c>
      <c r="V25" s="730">
        <v>100258.68410291401</v>
      </c>
      <c r="W25" s="730">
        <v>104504.18972603801</v>
      </c>
      <c r="X25" s="730">
        <v>108749.69534916199</v>
      </c>
      <c r="Y25" s="730">
        <v>112995.20097228599</v>
      </c>
      <c r="Z25" s="730">
        <v>117240.70659541</v>
      </c>
      <c r="AA25" s="730">
        <v>121486.212218534</v>
      </c>
      <c r="AB25" s="730">
        <v>125731.717841658</v>
      </c>
      <c r="AC25" s="730">
        <v>129977.223464782</v>
      </c>
      <c r="AD25" s="730">
        <v>134222.72908790599</v>
      </c>
    </row>
    <row r="26" spans="1:30">
      <c r="A26" s="729" t="s">
        <v>2410</v>
      </c>
    </row>
    <row r="27" spans="1:30">
      <c r="A27" s="731" t="s">
        <v>1831</v>
      </c>
      <c r="B27" s="730">
        <v>180.55253999999999</v>
      </c>
      <c r="C27" s="730">
        <v>201.33993999999899</v>
      </c>
      <c r="D27" s="730">
        <v>222.12734</v>
      </c>
      <c r="E27" s="730">
        <v>242.91473999999999</v>
      </c>
      <c r="F27" s="730">
        <v>263.70213999999999</v>
      </c>
      <c r="G27" s="730">
        <v>284.48953999999998</v>
      </c>
      <c r="H27" s="730">
        <v>305.276939999999</v>
      </c>
      <c r="I27" s="730">
        <v>328.35194458879602</v>
      </c>
      <c r="J27" s="730">
        <v>353.99162867478901</v>
      </c>
      <c r="K27" s="730">
        <v>380.11712946251203</v>
      </c>
      <c r="L27" s="730">
        <v>406.57515528593501</v>
      </c>
      <c r="M27" s="730">
        <v>433.38905468212897</v>
      </c>
      <c r="N27" s="730">
        <v>461.64578196382098</v>
      </c>
      <c r="O27" s="730">
        <v>683.18471160901402</v>
      </c>
      <c r="P27" s="730">
        <v>1099.8538356742069</v>
      </c>
      <c r="Q27" s="730">
        <v>1521.2549568774</v>
      </c>
      <c r="R27" s="730">
        <v>1995.2033419278901</v>
      </c>
      <c r="S27" s="730">
        <v>2654.0745851625898</v>
      </c>
      <c r="T27" s="730">
        <v>3317.1456457122899</v>
      </c>
      <c r="U27" s="730">
        <v>3984.04180404199</v>
      </c>
      <c r="V27" s="730">
        <v>4658.1218645716899</v>
      </c>
      <c r="W27" s="730">
        <v>5339.8086367813903</v>
      </c>
      <c r="X27" s="730">
        <v>6026.4113054610898</v>
      </c>
      <c r="Y27" s="730">
        <v>6717.4049163007903</v>
      </c>
      <c r="Z27" s="730">
        <v>7415.4828144184903</v>
      </c>
      <c r="AA27" s="730">
        <v>8119.3601171741902</v>
      </c>
      <c r="AB27" s="730">
        <v>8824.1022699498917</v>
      </c>
      <c r="AC27" s="730">
        <v>9529.3711585955916</v>
      </c>
      <c r="AD27" s="730">
        <v>10235.26004151129</v>
      </c>
    </row>
    <row r="28" spans="1:30">
      <c r="A28" s="732" t="s">
        <v>2404</v>
      </c>
      <c r="B28" s="730">
        <v>0</v>
      </c>
      <c r="C28" s="730">
        <v>0</v>
      </c>
      <c r="D28" s="730">
        <v>0</v>
      </c>
      <c r="E28" s="730">
        <v>0</v>
      </c>
      <c r="F28" s="730">
        <v>0</v>
      </c>
      <c r="G28" s="730">
        <v>0</v>
      </c>
      <c r="H28" s="730">
        <v>0</v>
      </c>
      <c r="I28" s="730">
        <v>0</v>
      </c>
      <c r="J28" s="730">
        <v>0</v>
      </c>
      <c r="K28" s="730">
        <v>0</v>
      </c>
      <c r="L28" s="730">
        <v>0</v>
      </c>
      <c r="M28" s="730">
        <v>0</v>
      </c>
      <c r="N28" s="730">
        <v>0</v>
      </c>
      <c r="O28" s="730">
        <v>-435.78028</v>
      </c>
      <c r="P28" s="730">
        <v>-435.78028</v>
      </c>
      <c r="Q28" s="730">
        <v>-435.78028</v>
      </c>
      <c r="R28" s="730">
        <v>-435.78028</v>
      </c>
      <c r="S28" s="730">
        <v>-435.78028</v>
      </c>
      <c r="T28" s="730">
        <v>-435.78028</v>
      </c>
      <c r="U28" s="730">
        <v>-435.78028</v>
      </c>
      <c r="V28" s="730">
        <v>-435.78028</v>
      </c>
      <c r="W28" s="730">
        <v>-435.78028</v>
      </c>
      <c r="X28" s="730">
        <v>-435.78028</v>
      </c>
      <c r="Y28" s="730">
        <v>-435.78028</v>
      </c>
      <c r="Z28" s="730">
        <v>-435.78028</v>
      </c>
      <c r="AA28" s="730">
        <v>-435.78028</v>
      </c>
      <c r="AB28" s="730">
        <v>-435.78028</v>
      </c>
      <c r="AC28" s="730">
        <v>-435.78028</v>
      </c>
      <c r="AD28" s="730">
        <v>-435.78028</v>
      </c>
    </row>
    <row r="29" spans="1:30">
      <c r="A29" s="732" t="s">
        <v>2558</v>
      </c>
      <c r="B29" s="730">
        <v>180.55253999999999</v>
      </c>
      <c r="C29" s="730">
        <v>201.33993999999899</v>
      </c>
      <c r="D29" s="730">
        <v>222.12734</v>
      </c>
      <c r="E29" s="730">
        <v>242.91473999999999</v>
      </c>
      <c r="F29" s="730">
        <v>263.70213999999999</v>
      </c>
      <c r="G29" s="730">
        <v>284.48953999999998</v>
      </c>
      <c r="H29" s="730">
        <v>305.276939999999</v>
      </c>
      <c r="I29" s="730">
        <v>328.35194458879602</v>
      </c>
      <c r="J29" s="730">
        <v>353.99162867478901</v>
      </c>
      <c r="K29" s="730">
        <v>380.11712946251203</v>
      </c>
      <c r="L29" s="730">
        <v>406.57515528593501</v>
      </c>
      <c r="M29" s="730">
        <v>433.38905468212897</v>
      </c>
      <c r="N29" s="730">
        <v>461.64578196382098</v>
      </c>
      <c r="O29" s="730">
        <v>247.40443160901401</v>
      </c>
      <c r="P29" s="730">
        <v>664.073555674207</v>
      </c>
      <c r="Q29" s="730">
        <v>1085.4746768774</v>
      </c>
      <c r="R29" s="730">
        <v>1559.4230619278901</v>
      </c>
      <c r="S29" s="730">
        <v>2218.2943051625898</v>
      </c>
      <c r="T29" s="730">
        <v>2881.36536571229</v>
      </c>
      <c r="U29" s="730">
        <v>3548.26152404199</v>
      </c>
      <c r="V29" s="730">
        <v>4222.34158457169</v>
      </c>
      <c r="W29" s="730">
        <v>4904.0283567813904</v>
      </c>
      <c r="X29" s="730">
        <v>5590.6310254610898</v>
      </c>
      <c r="Y29" s="730">
        <v>6281.6246363007904</v>
      </c>
      <c r="Z29" s="730">
        <v>6979.7025344184904</v>
      </c>
      <c r="AA29" s="730">
        <v>7683.5798371741903</v>
      </c>
      <c r="AB29" s="730">
        <v>8388.3219899498908</v>
      </c>
      <c r="AC29" s="730">
        <v>9093.5908785955908</v>
      </c>
      <c r="AD29" s="730">
        <v>9799.4797615112893</v>
      </c>
    </row>
  </sheetData>
  <pageMargins left="0.75" right="0.75" top="1" bottom="1" header="0.5" footer="0.5"/>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Q80"/>
  <sheetViews>
    <sheetView zoomScale="85" zoomScaleNormal="85" workbookViewId="0">
      <pane xSplit="2" ySplit="3" topLeftCell="C4" activePane="bottomRight" state="frozen"/>
      <selection activeCell="H27" sqref="H27"/>
      <selection pane="topRight" activeCell="H27" sqref="H27"/>
      <selection pane="bottomLeft" activeCell="H27" sqref="H27"/>
      <selection pane="bottomRight" activeCell="H28" sqref="H28"/>
    </sheetView>
  </sheetViews>
  <sheetFormatPr defaultColWidth="9" defaultRowHeight="15"/>
  <cols>
    <col min="1" max="1" width="9" style="737"/>
    <col min="2" max="2" width="38.88671875" style="743" customWidth="1"/>
    <col min="3" max="4" width="9.33203125" style="737" customWidth="1"/>
    <col min="5" max="5" width="10.33203125" style="737" customWidth="1"/>
    <col min="6" max="15" width="9.33203125" style="737" customWidth="1"/>
    <col min="16" max="16384" width="9" style="737"/>
  </cols>
  <sheetData>
    <row r="1" spans="2:17" s="734" customFormat="1">
      <c r="B1" s="733"/>
    </row>
    <row r="2" spans="2:17" s="734" customFormat="1">
      <c r="B2" s="735" t="s">
        <v>1841</v>
      </c>
      <c r="C2" s="400" t="s">
        <v>2471</v>
      </c>
      <c r="D2" s="400" t="s">
        <v>2472</v>
      </c>
      <c r="E2" s="400" t="s">
        <v>2473</v>
      </c>
      <c r="F2" s="400" t="s">
        <v>2474</v>
      </c>
      <c r="G2" s="400" t="s">
        <v>2475</v>
      </c>
      <c r="H2" s="400" t="s">
        <v>2476</v>
      </c>
      <c r="I2" s="400" t="s">
        <v>2398</v>
      </c>
      <c r="J2" s="400" t="s">
        <v>2399</v>
      </c>
      <c r="K2" s="400" t="s">
        <v>2400</v>
      </c>
      <c r="L2" s="400" t="s">
        <v>2401</v>
      </c>
      <c r="M2" s="400" t="s">
        <v>2402</v>
      </c>
      <c r="N2" s="400" t="s">
        <v>2403</v>
      </c>
      <c r="O2" s="400" t="s">
        <v>2562</v>
      </c>
    </row>
    <row r="3" spans="2:17" s="734" customFormat="1">
      <c r="B3" s="736" t="s">
        <v>1840</v>
      </c>
    </row>
    <row r="4" spans="2:17">
      <c r="B4" s="735"/>
    </row>
    <row r="5" spans="2:17">
      <c r="B5" s="236" t="s">
        <v>2413</v>
      </c>
      <c r="C5" s="402">
        <f>C68/1000</f>
        <v>2703.154</v>
      </c>
      <c r="D5" s="402">
        <f t="shared" ref="D5:H5" si="0">D68/1000</f>
        <v>2706.306</v>
      </c>
      <c r="E5" s="402">
        <f t="shared" si="0"/>
        <v>2706.306</v>
      </c>
      <c r="F5" s="402">
        <f t="shared" si="0"/>
        <v>2706.306</v>
      </c>
      <c r="G5" s="402">
        <f t="shared" si="0"/>
        <v>2706.306</v>
      </c>
      <c r="H5" s="402">
        <f t="shared" si="0"/>
        <v>2712.0479999999998</v>
      </c>
      <c r="I5" s="738">
        <v>2723.7316896320467</v>
      </c>
      <c r="J5" s="738">
        <v>2761.8260688152468</v>
      </c>
      <c r="K5" s="738">
        <v>2822.3051570282464</v>
      </c>
      <c r="L5" s="738">
        <v>2852.1128470462468</v>
      </c>
      <c r="M5" s="738">
        <v>2855.4839550922466</v>
      </c>
      <c r="N5" s="738">
        <v>2858.5133296932468</v>
      </c>
      <c r="O5" s="402">
        <f t="shared" ref="O5:O6" si="1">SUM(C5:N5)</f>
        <v>33114.399047307284</v>
      </c>
    </row>
    <row r="6" spans="2:17">
      <c r="B6" s="236" t="s">
        <v>2563</v>
      </c>
      <c r="C6" s="402">
        <v>168.82154</v>
      </c>
      <c r="D6" s="402">
        <v>170.67373000000001</v>
      </c>
      <c r="E6" s="402">
        <v>173.81841</v>
      </c>
      <c r="F6" s="402">
        <v>266.17953</v>
      </c>
      <c r="G6" s="402">
        <v>234.23414</v>
      </c>
      <c r="H6" s="402">
        <v>258.22044</v>
      </c>
      <c r="I6" s="738">
        <v>292.95956848557432</v>
      </c>
      <c r="J6" s="738">
        <v>324.29830735514486</v>
      </c>
      <c r="K6" s="738">
        <v>351.99223541710052</v>
      </c>
      <c r="L6" s="738">
        <v>398.12612084699202</v>
      </c>
      <c r="M6" s="738">
        <v>431.04843258160628</v>
      </c>
      <c r="N6" s="738">
        <v>490.52359129471199</v>
      </c>
      <c r="O6" s="402">
        <f t="shared" si="1"/>
        <v>3560.8960459811296</v>
      </c>
      <c r="P6" s="738"/>
      <c r="Q6" s="738"/>
    </row>
    <row r="7" spans="2:17">
      <c r="B7" s="236" t="s">
        <v>2414</v>
      </c>
      <c r="C7" s="402">
        <f t="shared" ref="C7:H14" ca="1" si="2">C70/1000</f>
        <v>156.85900000000001</v>
      </c>
      <c r="D7" s="402">
        <f t="shared" ca="1" si="2"/>
        <v>156.85900000000001</v>
      </c>
      <c r="E7" s="402">
        <f t="shared" ca="1" si="2"/>
        <v>156.85900000000001</v>
      </c>
      <c r="F7" s="402">
        <f t="shared" ca="1" si="2"/>
        <v>156.85900000000001</v>
      </c>
      <c r="G7" s="402">
        <f t="shared" ca="1" si="2"/>
        <v>156.85900000000001</v>
      </c>
      <c r="H7" s="402">
        <f t="shared" ca="1" si="2"/>
        <v>156.85900000000001</v>
      </c>
      <c r="I7" s="738">
        <v>160.05861417</v>
      </c>
      <c r="J7" s="738">
        <v>160.05861417</v>
      </c>
      <c r="K7" s="738">
        <v>160.05861417</v>
      </c>
      <c r="L7" s="738">
        <v>160.05861417</v>
      </c>
      <c r="M7" s="738">
        <v>160.05861417</v>
      </c>
      <c r="N7" s="738">
        <v>160.05861417</v>
      </c>
      <c r="O7" s="402">
        <f ca="1">SUM(C7:N7)</f>
        <v>1901.5056850200003</v>
      </c>
    </row>
    <row r="8" spans="2:17">
      <c r="B8" s="236" t="s">
        <v>2480</v>
      </c>
      <c r="C8" s="402">
        <f t="shared" ca="1" si="2"/>
        <v>0</v>
      </c>
      <c r="D8" s="402">
        <f t="shared" ca="1" si="2"/>
        <v>0</v>
      </c>
      <c r="E8" s="402">
        <f t="shared" ca="1" si="2"/>
        <v>0</v>
      </c>
      <c r="F8" s="402">
        <f t="shared" ca="1" si="2"/>
        <v>0</v>
      </c>
      <c r="G8" s="402">
        <f t="shared" ca="1" si="2"/>
        <v>0</v>
      </c>
      <c r="H8" s="402">
        <f t="shared" ca="1" si="2"/>
        <v>-194.06902875454648</v>
      </c>
      <c r="I8" s="738">
        <v>-52.360934189986899</v>
      </c>
      <c r="J8" s="738">
        <v>-52.360934189986899</v>
      </c>
      <c r="K8" s="738">
        <v>-52.360934189986899</v>
      </c>
      <c r="L8" s="738">
        <v>-52.360934189986899</v>
      </c>
      <c r="M8" s="738">
        <v>-52.360934189986899</v>
      </c>
      <c r="N8" s="738">
        <v>-52.360934189986899</v>
      </c>
      <c r="O8" s="402">
        <f t="shared" ref="O8" ca="1" si="3">SUM(C8:N8)</f>
        <v>-508.23463389446783</v>
      </c>
    </row>
    <row r="9" spans="2:17">
      <c r="B9" s="236" t="s">
        <v>2481</v>
      </c>
      <c r="C9" s="402">
        <f t="shared" ca="1" si="2"/>
        <v>0</v>
      </c>
      <c r="D9" s="402">
        <f t="shared" ca="1" si="2"/>
        <v>0</v>
      </c>
      <c r="E9" s="402">
        <f t="shared" ca="1" si="2"/>
        <v>0</v>
      </c>
      <c r="F9" s="402">
        <f t="shared" ca="1" si="2"/>
        <v>0</v>
      </c>
      <c r="G9" s="402">
        <f t="shared" ca="1" si="2"/>
        <v>0</v>
      </c>
      <c r="H9" s="402">
        <f t="shared" ca="1" si="2"/>
        <v>0</v>
      </c>
      <c r="I9" s="738"/>
      <c r="J9" s="738"/>
      <c r="K9" s="738"/>
      <c r="L9" s="738"/>
      <c r="M9" s="738"/>
      <c r="N9" s="738"/>
      <c r="O9" s="402">
        <f t="shared" ref="O9:O16" ca="1" si="4">SUM(C9:N9)</f>
        <v>0</v>
      </c>
    </row>
    <row r="10" spans="2:17">
      <c r="B10" s="236" t="s">
        <v>2415</v>
      </c>
      <c r="C10" s="402">
        <f t="shared" ca="1" si="2"/>
        <v>26.249030000000001</v>
      </c>
      <c r="D10" s="402">
        <f t="shared" ca="1" si="2"/>
        <v>30.459599999999998</v>
      </c>
      <c r="E10" s="402">
        <f t="shared" ca="1" si="2"/>
        <v>5.4914599999999991</v>
      </c>
      <c r="F10" s="402">
        <f t="shared" ca="1" si="2"/>
        <v>-29.73021</v>
      </c>
      <c r="G10" s="402">
        <f t="shared" ca="1" si="2"/>
        <v>-53.197270000000003</v>
      </c>
      <c r="H10" s="402">
        <f t="shared" ca="1" si="2"/>
        <v>-27.575660000000003</v>
      </c>
      <c r="I10" s="738">
        <v>9.5449999999999999</v>
      </c>
      <c r="J10" s="738">
        <v>9.5449999999999999</v>
      </c>
      <c r="K10" s="738">
        <v>10.045</v>
      </c>
      <c r="L10" s="738">
        <v>9.5449999999999999</v>
      </c>
      <c r="M10" s="738">
        <v>9.5449999999999999</v>
      </c>
      <c r="N10" s="738">
        <v>9.4489999999999998</v>
      </c>
      <c r="O10" s="402">
        <f t="shared" ca="1" si="4"/>
        <v>9.3709499999999917</v>
      </c>
    </row>
    <row r="11" spans="2:17">
      <c r="B11" s="236" t="s">
        <v>2416</v>
      </c>
      <c r="C11" s="402">
        <f t="shared" ca="1" si="2"/>
        <v>345.88825666666673</v>
      </c>
      <c r="D11" s="402">
        <f t="shared" ca="1" si="2"/>
        <v>345.2979866666667</v>
      </c>
      <c r="E11" s="402">
        <f t="shared" ca="1" si="2"/>
        <v>336.89626666666669</v>
      </c>
      <c r="F11" s="402">
        <f t="shared" ca="1" si="2"/>
        <v>189.46699666666663</v>
      </c>
      <c r="G11" s="402">
        <f t="shared" ca="1" si="2"/>
        <v>175.67311666666663</v>
      </c>
      <c r="H11" s="402">
        <f t="shared" ca="1" si="2"/>
        <v>168.15025666666665</v>
      </c>
      <c r="I11" s="738">
        <v>416.17200000000003</v>
      </c>
      <c r="J11" s="738">
        <v>416.17200000000003</v>
      </c>
      <c r="K11" s="738">
        <v>418.73</v>
      </c>
      <c r="L11" s="738">
        <v>418.73</v>
      </c>
      <c r="M11" s="738">
        <v>418.73</v>
      </c>
      <c r="N11" s="738">
        <v>422.99200000000002</v>
      </c>
      <c r="O11" s="402">
        <f t="shared" ca="1" si="4"/>
        <v>4072.8988800000002</v>
      </c>
    </row>
    <row r="12" spans="2:17">
      <c r="B12" s="236" t="s">
        <v>2417</v>
      </c>
      <c r="C12" s="402">
        <f t="shared" ca="1" si="2"/>
        <v>1249.56297</v>
      </c>
      <c r="D12" s="402">
        <f t="shared" ca="1" si="2"/>
        <v>821.24277999999993</v>
      </c>
      <c r="E12" s="402">
        <f t="shared" ca="1" si="2"/>
        <v>776.73940000000005</v>
      </c>
      <c r="F12" s="402">
        <f t="shared" ca="1" si="2"/>
        <v>870.70427000000007</v>
      </c>
      <c r="G12" s="402">
        <f t="shared" ca="1" si="2"/>
        <v>1126.0157199999999</v>
      </c>
      <c r="H12" s="402">
        <f t="shared" ca="1" si="2"/>
        <v>999.72392000000002</v>
      </c>
      <c r="I12" s="738">
        <v>959.36500000000001</v>
      </c>
      <c r="J12" s="738">
        <v>1383.9839999999999</v>
      </c>
      <c r="K12" s="738">
        <v>1077.6029999999901</v>
      </c>
      <c r="L12" s="738">
        <v>1082.2170000000001</v>
      </c>
      <c r="M12" s="738">
        <v>1033.8109999999999</v>
      </c>
      <c r="N12" s="738">
        <v>1281.1499999999901</v>
      </c>
      <c r="O12" s="402">
        <f t="shared" ca="1" si="4"/>
        <v>12662.119059999981</v>
      </c>
    </row>
    <row r="13" spans="2:17">
      <c r="B13" s="236" t="s">
        <v>2418</v>
      </c>
      <c r="C13" s="489">
        <f t="shared" ca="1" si="2"/>
        <v>0.29399999999999998</v>
      </c>
      <c r="D13" s="489">
        <f t="shared" ca="1" si="2"/>
        <v>0.17</v>
      </c>
      <c r="E13" s="489">
        <f t="shared" ca="1" si="2"/>
        <v>0.28599999999999998</v>
      </c>
      <c r="F13" s="489">
        <f t="shared" ca="1" si="2"/>
        <v>0.32500000000000001</v>
      </c>
      <c r="G13" s="489">
        <f t="shared" ca="1" si="2"/>
        <v>0.33900000000000002</v>
      </c>
      <c r="H13" s="489">
        <f t="shared" ca="1" si="2"/>
        <v>0.30199999999999999</v>
      </c>
      <c r="I13" s="738">
        <v>0</v>
      </c>
      <c r="J13" s="738">
        <v>2.5</v>
      </c>
      <c r="K13" s="738">
        <v>0</v>
      </c>
      <c r="L13" s="738">
        <v>0</v>
      </c>
      <c r="M13" s="738">
        <v>0</v>
      </c>
      <c r="N13" s="738">
        <v>0</v>
      </c>
      <c r="O13" s="489">
        <f t="shared" ca="1" si="4"/>
        <v>4.2160000000000002</v>
      </c>
    </row>
    <row r="14" spans="2:17">
      <c r="B14" s="236" t="s">
        <v>2419</v>
      </c>
      <c r="C14" s="489">
        <f t="shared" ca="1" si="2"/>
        <v>676.5347999999999</v>
      </c>
      <c r="D14" s="489">
        <f t="shared" ca="1" si="2"/>
        <v>501.11897999999997</v>
      </c>
      <c r="E14" s="489">
        <f t="shared" ca="1" si="2"/>
        <v>639.84872999999993</v>
      </c>
      <c r="F14" s="489">
        <f t="shared" ca="1" si="2"/>
        <v>701.81980999999996</v>
      </c>
      <c r="G14" s="489">
        <f t="shared" ca="1" si="2"/>
        <v>774.7639200000001</v>
      </c>
      <c r="H14" s="489">
        <f t="shared" ca="1" si="2"/>
        <v>743.4398799999999</v>
      </c>
      <c r="I14" s="739">
        <v>378.11500000000001</v>
      </c>
      <c r="J14" s="739">
        <v>329.80500000000001</v>
      </c>
      <c r="K14" s="739">
        <v>402.51</v>
      </c>
      <c r="L14" s="739">
        <v>444.36799999999999</v>
      </c>
      <c r="M14" s="739">
        <v>425.60899999999998</v>
      </c>
      <c r="N14" s="739">
        <v>437.745</v>
      </c>
      <c r="O14" s="489">
        <f t="shared" ca="1" si="4"/>
        <v>6455.6781200000005</v>
      </c>
    </row>
    <row r="15" spans="2:17">
      <c r="B15" s="236" t="s">
        <v>2420</v>
      </c>
      <c r="C15" s="235">
        <v>0</v>
      </c>
      <c r="D15" s="235">
        <v>0</v>
      </c>
      <c r="E15" s="235">
        <v>0</v>
      </c>
      <c r="F15" s="235">
        <v>0</v>
      </c>
      <c r="G15" s="235">
        <v>0</v>
      </c>
      <c r="H15" s="235">
        <v>0</v>
      </c>
      <c r="I15" s="739">
        <v>0</v>
      </c>
      <c r="J15" s="739">
        <v>0</v>
      </c>
      <c r="K15" s="739">
        <v>0</v>
      </c>
      <c r="L15" s="739">
        <v>0</v>
      </c>
      <c r="M15" s="739">
        <v>0</v>
      </c>
      <c r="N15" s="739">
        <v>0</v>
      </c>
      <c r="O15" s="402">
        <f t="shared" si="4"/>
        <v>0</v>
      </c>
    </row>
    <row r="16" spans="2:17">
      <c r="B16" s="236" t="s">
        <v>2421</v>
      </c>
      <c r="C16" s="235">
        <f ca="1">C78/1000</f>
        <v>0</v>
      </c>
      <c r="D16" s="235">
        <f t="shared" ref="D16:H16" ca="1" si="5">D78/1000</f>
        <v>0</v>
      </c>
      <c r="E16" s="402">
        <f t="shared" ca="1" si="5"/>
        <v>0</v>
      </c>
      <c r="F16" s="235">
        <f t="shared" ca="1" si="5"/>
        <v>0</v>
      </c>
      <c r="G16" s="235">
        <f t="shared" ca="1" si="5"/>
        <v>0</v>
      </c>
      <c r="H16" s="235">
        <f t="shared" ca="1" si="5"/>
        <v>0</v>
      </c>
      <c r="I16" s="738"/>
      <c r="J16" s="738"/>
      <c r="K16" s="738"/>
      <c r="L16" s="738"/>
      <c r="M16" s="738"/>
      <c r="N16" s="738"/>
      <c r="O16" s="402">
        <f t="shared" ca="1" si="4"/>
        <v>0</v>
      </c>
    </row>
    <row r="17" spans="1:15">
      <c r="B17" s="735" t="s">
        <v>2007</v>
      </c>
      <c r="C17" s="490">
        <f t="shared" ref="C17:H17" ca="1" si="6">SUM(C4:C16)</f>
        <v>5327.3635966666661</v>
      </c>
      <c r="D17" s="490">
        <f t="shared" ca="1" si="6"/>
        <v>4732.1280766666669</v>
      </c>
      <c r="E17" s="490">
        <f t="shared" ca="1" si="6"/>
        <v>4796.2452666666668</v>
      </c>
      <c r="F17" s="490">
        <f t="shared" ca="1" si="6"/>
        <v>4861.9303966666657</v>
      </c>
      <c r="G17" s="490">
        <f t="shared" ca="1" si="6"/>
        <v>5120.9936266666673</v>
      </c>
      <c r="H17" s="490">
        <f t="shared" ca="1" si="6"/>
        <v>4817.0988079121198</v>
      </c>
      <c r="I17" s="740">
        <f t="shared" ref="I17:N17" si="7">SUM(I5:I16)</f>
        <v>4887.5859380976344</v>
      </c>
      <c r="J17" s="740">
        <f t="shared" si="7"/>
        <v>5335.8280561504052</v>
      </c>
      <c r="K17" s="740">
        <f t="shared" si="7"/>
        <v>5190.8830724253503</v>
      </c>
      <c r="L17" s="740">
        <f t="shared" si="7"/>
        <v>5312.7966478732524</v>
      </c>
      <c r="M17" s="740">
        <f t="shared" si="7"/>
        <v>5281.9250676538668</v>
      </c>
      <c r="N17" s="740">
        <f t="shared" si="7"/>
        <v>5608.0706009679625</v>
      </c>
      <c r="O17" s="490">
        <f t="shared" ref="O17" ca="1" si="8">SUM(O4:O16)</f>
        <v>61272.849154413925</v>
      </c>
    </row>
    <row r="18" spans="1:15">
      <c r="B18" s="735"/>
    </row>
    <row r="19" spans="1:15" s="235" customFormat="1">
      <c r="B19" s="741" t="s">
        <v>2008</v>
      </c>
    </row>
    <row r="20" spans="1:15">
      <c r="B20" s="236" t="s">
        <v>2415</v>
      </c>
      <c r="C20" s="402">
        <f ca="1">C10</f>
        <v>26.249030000000001</v>
      </c>
      <c r="D20" s="402">
        <f t="shared" ref="D20:N22" ca="1" si="9">D10</f>
        <v>30.459599999999998</v>
      </c>
      <c r="E20" s="402">
        <f t="shared" ca="1" si="9"/>
        <v>5.4914599999999991</v>
      </c>
      <c r="F20" s="402">
        <f t="shared" ca="1" si="9"/>
        <v>-29.73021</v>
      </c>
      <c r="G20" s="402">
        <f t="shared" ca="1" si="9"/>
        <v>-53.197270000000003</v>
      </c>
      <c r="H20" s="402">
        <f t="shared" ca="1" si="9"/>
        <v>-27.575660000000003</v>
      </c>
      <c r="I20" s="402">
        <f t="shared" si="9"/>
        <v>9.5449999999999999</v>
      </c>
      <c r="J20" s="402">
        <f t="shared" si="9"/>
        <v>9.5449999999999999</v>
      </c>
      <c r="K20" s="402">
        <f t="shared" si="9"/>
        <v>10.045</v>
      </c>
      <c r="L20" s="402">
        <f t="shared" si="9"/>
        <v>9.5449999999999999</v>
      </c>
      <c r="M20" s="402">
        <f t="shared" si="9"/>
        <v>9.5449999999999999</v>
      </c>
      <c r="N20" s="402">
        <f t="shared" si="9"/>
        <v>9.4489999999999998</v>
      </c>
      <c r="O20" s="402">
        <f t="shared" ref="O20:O23" ca="1" si="10">SUM(C20:N20)</f>
        <v>9.3709499999999917</v>
      </c>
    </row>
    <row r="21" spans="1:15">
      <c r="B21" s="236" t="s">
        <v>2416</v>
      </c>
      <c r="C21" s="402">
        <f ca="1">C11</f>
        <v>345.88825666666673</v>
      </c>
      <c r="D21" s="402">
        <f t="shared" ca="1" si="9"/>
        <v>345.2979866666667</v>
      </c>
      <c r="E21" s="402">
        <f t="shared" ca="1" si="9"/>
        <v>336.89626666666669</v>
      </c>
      <c r="F21" s="402">
        <f t="shared" ca="1" si="9"/>
        <v>189.46699666666663</v>
      </c>
      <c r="G21" s="402">
        <f t="shared" ca="1" si="9"/>
        <v>175.67311666666663</v>
      </c>
      <c r="H21" s="402">
        <f t="shared" ca="1" si="9"/>
        <v>168.15025666666665</v>
      </c>
      <c r="I21" s="402">
        <f t="shared" si="9"/>
        <v>416.17200000000003</v>
      </c>
      <c r="J21" s="402">
        <f t="shared" si="9"/>
        <v>416.17200000000003</v>
      </c>
      <c r="K21" s="402">
        <f t="shared" si="9"/>
        <v>418.73</v>
      </c>
      <c r="L21" s="402">
        <f t="shared" si="9"/>
        <v>418.73</v>
      </c>
      <c r="M21" s="402">
        <f t="shared" si="9"/>
        <v>418.73</v>
      </c>
      <c r="N21" s="402">
        <f t="shared" si="9"/>
        <v>422.99200000000002</v>
      </c>
      <c r="O21" s="402">
        <f t="shared" ca="1" si="10"/>
        <v>4072.8988800000002</v>
      </c>
    </row>
    <row r="22" spans="1:15">
      <c r="B22" s="236" t="s">
        <v>2417</v>
      </c>
      <c r="C22" s="402">
        <f ca="1">C12</f>
        <v>1249.56297</v>
      </c>
      <c r="D22" s="402">
        <f t="shared" ca="1" si="9"/>
        <v>821.24277999999993</v>
      </c>
      <c r="E22" s="402">
        <f t="shared" ca="1" si="9"/>
        <v>776.73940000000005</v>
      </c>
      <c r="F22" s="402">
        <f t="shared" ca="1" si="9"/>
        <v>870.70427000000007</v>
      </c>
      <c r="G22" s="402">
        <f t="shared" ca="1" si="9"/>
        <v>1126.0157199999999</v>
      </c>
      <c r="H22" s="402">
        <f t="shared" ca="1" si="9"/>
        <v>999.72392000000002</v>
      </c>
      <c r="I22" s="402">
        <f t="shared" si="9"/>
        <v>959.36500000000001</v>
      </c>
      <c r="J22" s="402">
        <f t="shared" si="9"/>
        <v>1383.9839999999999</v>
      </c>
      <c r="K22" s="402">
        <f t="shared" si="9"/>
        <v>1077.6029999999901</v>
      </c>
      <c r="L22" s="402">
        <f t="shared" si="9"/>
        <v>1082.2170000000001</v>
      </c>
      <c r="M22" s="402">
        <f t="shared" si="9"/>
        <v>1033.8109999999999</v>
      </c>
      <c r="N22" s="402">
        <f t="shared" si="9"/>
        <v>1281.1499999999901</v>
      </c>
      <c r="O22" s="402">
        <f t="shared" ca="1" si="10"/>
        <v>12662.119059999981</v>
      </c>
    </row>
    <row r="23" spans="1:15">
      <c r="B23" s="236" t="s">
        <v>2419</v>
      </c>
      <c r="C23" s="489">
        <f ca="1">C14</f>
        <v>676.5347999999999</v>
      </c>
      <c r="D23" s="489">
        <f t="shared" ref="D23:N23" ca="1" si="11">D14</f>
        <v>501.11897999999997</v>
      </c>
      <c r="E23" s="489">
        <f t="shared" ca="1" si="11"/>
        <v>639.84872999999993</v>
      </c>
      <c r="F23" s="489">
        <f t="shared" ca="1" si="11"/>
        <v>701.81980999999996</v>
      </c>
      <c r="G23" s="489">
        <f t="shared" ca="1" si="11"/>
        <v>774.7639200000001</v>
      </c>
      <c r="H23" s="489">
        <f t="shared" ca="1" si="11"/>
        <v>743.4398799999999</v>
      </c>
      <c r="I23" s="489">
        <f t="shared" si="11"/>
        <v>378.11500000000001</v>
      </c>
      <c r="J23" s="489">
        <f t="shared" si="11"/>
        <v>329.80500000000001</v>
      </c>
      <c r="K23" s="489">
        <f t="shared" si="11"/>
        <v>402.51</v>
      </c>
      <c r="L23" s="489">
        <f t="shared" si="11"/>
        <v>444.36799999999999</v>
      </c>
      <c r="M23" s="489">
        <f t="shared" si="11"/>
        <v>425.60899999999998</v>
      </c>
      <c r="N23" s="489">
        <f t="shared" si="11"/>
        <v>437.745</v>
      </c>
      <c r="O23" s="402">
        <f t="shared" ca="1" si="10"/>
        <v>6455.6781200000005</v>
      </c>
    </row>
    <row r="24" spans="1:15" s="235" customFormat="1">
      <c r="B24" s="236"/>
      <c r="H24" s="402"/>
    </row>
    <row r="25" spans="1:15" s="235" customFormat="1">
      <c r="B25" s="236" t="s">
        <v>2009</v>
      </c>
      <c r="C25" s="740">
        <f t="shared" ref="C25:N25" ca="1" si="12">SUM(C20:C24)</f>
        <v>2298.2350566666664</v>
      </c>
      <c r="D25" s="740">
        <f t="shared" ca="1" si="12"/>
        <v>1698.1193466666666</v>
      </c>
      <c r="E25" s="740">
        <f t="shared" ca="1" si="12"/>
        <v>1758.9758566666667</v>
      </c>
      <c r="F25" s="740">
        <f t="shared" ca="1" si="12"/>
        <v>1732.2608666666667</v>
      </c>
      <c r="G25" s="740">
        <f t="shared" ca="1" si="12"/>
        <v>2023.2554866666667</v>
      </c>
      <c r="H25" s="740">
        <f t="shared" ca="1" si="12"/>
        <v>1883.7383966666666</v>
      </c>
      <c r="I25" s="740">
        <f t="shared" si="12"/>
        <v>1763.1970000000001</v>
      </c>
      <c r="J25" s="740">
        <f t="shared" si="12"/>
        <v>2139.5059999999999</v>
      </c>
      <c r="K25" s="740">
        <f t="shared" si="12"/>
        <v>1908.8879999999901</v>
      </c>
      <c r="L25" s="740">
        <f t="shared" si="12"/>
        <v>1954.8600000000001</v>
      </c>
      <c r="M25" s="740">
        <f t="shared" si="12"/>
        <v>1887.6949999999999</v>
      </c>
      <c r="N25" s="740">
        <f t="shared" si="12"/>
        <v>2151.3359999999902</v>
      </c>
      <c r="O25" s="490">
        <f ca="1">SUM(C25:N25)</f>
        <v>23200.067009999977</v>
      </c>
    </row>
    <row r="26" spans="1:15" s="235" customFormat="1">
      <c r="B26" s="236" t="s">
        <v>2008</v>
      </c>
      <c r="I26" s="402"/>
      <c r="J26" s="402"/>
      <c r="K26" s="402"/>
      <c r="L26" s="402"/>
      <c r="M26" s="402"/>
      <c r="N26" s="402"/>
      <c r="O26" s="402">
        <f ca="1">O25*0.125</f>
        <v>2900.0083762499971</v>
      </c>
    </row>
    <row r="29" spans="1:15">
      <c r="A29" s="236" t="s">
        <v>2422</v>
      </c>
      <c r="B29" s="236"/>
    </row>
    <row r="30" spans="1:15">
      <c r="A30" s="488">
        <v>407.3</v>
      </c>
      <c r="B30" s="236" t="s">
        <v>2423</v>
      </c>
      <c r="C30" s="737">
        <v>189607.50794117679</v>
      </c>
      <c r="D30" s="737">
        <v>206313.44993833904</v>
      </c>
      <c r="E30" s="737">
        <v>219722.09156428574</v>
      </c>
      <c r="F30" s="737">
        <v>245744.95457478004</v>
      </c>
      <c r="G30" s="737">
        <v>260810.74950374392</v>
      </c>
      <c r="H30" s="737">
        <v>288288.98506345315</v>
      </c>
      <c r="K30" s="742">
        <f>I30-J30</f>
        <v>0</v>
      </c>
    </row>
    <row r="31" spans="1:15">
      <c r="A31" s="235" t="str">
        <f>MID($B31,1,3)</f>
        <v>408</v>
      </c>
      <c r="B31" s="236" t="s">
        <v>2004</v>
      </c>
      <c r="C31" s="737">
        <v>156859</v>
      </c>
      <c r="D31" s="737">
        <v>156859</v>
      </c>
      <c r="E31" s="737">
        <v>156859</v>
      </c>
      <c r="F31" s="737">
        <v>156859</v>
      </c>
      <c r="G31" s="737">
        <v>156859</v>
      </c>
      <c r="H31" s="737">
        <v>156859</v>
      </c>
    </row>
    <row r="32" spans="1:15">
      <c r="A32" s="488">
        <v>411.8</v>
      </c>
      <c r="B32" s="236" t="s">
        <v>2005</v>
      </c>
    </row>
    <row r="33" spans="1:8">
      <c r="A33" s="235" t="str">
        <f t="shared" ref="A33:A62" si="13">MID($B33,1,3)</f>
        <v>502</v>
      </c>
      <c r="B33" s="236" t="s">
        <v>2425</v>
      </c>
      <c r="C33" s="737">
        <v>7977.57</v>
      </c>
      <c r="D33" s="737">
        <v>6717.61</v>
      </c>
      <c r="E33" s="737">
        <v>6631.87</v>
      </c>
      <c r="F33" s="737">
        <v>10291.48</v>
      </c>
      <c r="G33" s="737">
        <v>8029.84</v>
      </c>
      <c r="H33" s="737">
        <v>4530.01</v>
      </c>
    </row>
    <row r="34" spans="1:8">
      <c r="A34" s="235" t="str">
        <f>MID($B34,1,3)</f>
        <v>501</v>
      </c>
      <c r="B34" s="236" t="s">
        <v>2424</v>
      </c>
      <c r="C34" s="737">
        <v>17004.3</v>
      </c>
      <c r="D34" s="737">
        <v>24821.23</v>
      </c>
      <c r="E34" s="737">
        <v>10328.11</v>
      </c>
      <c r="F34" s="737">
        <v>1218.51</v>
      </c>
      <c r="G34" s="737">
        <v>3587.88</v>
      </c>
      <c r="H34" s="737">
        <v>24806.69</v>
      </c>
    </row>
    <row r="35" spans="1:8">
      <c r="A35" s="235" t="str">
        <f t="shared" si="13"/>
        <v>501</v>
      </c>
      <c r="B35" s="236" t="s">
        <v>2424</v>
      </c>
      <c r="C35" s="737">
        <v>10978.03</v>
      </c>
      <c r="D35" s="737">
        <v>5638.3700000000008</v>
      </c>
      <c r="E35" s="737">
        <v>10287.280000000001</v>
      </c>
      <c r="F35" s="737">
        <v>10023.91</v>
      </c>
      <c r="G35" s="737">
        <v>8290.5300000000007</v>
      </c>
      <c r="H35" s="737">
        <v>8555.06</v>
      </c>
    </row>
    <row r="36" spans="1:8">
      <c r="A36" s="235" t="str">
        <f t="shared" si="13"/>
        <v>512</v>
      </c>
      <c r="B36" s="236" t="s">
        <v>2470</v>
      </c>
      <c r="C36" s="737">
        <v>1128.4000000000001</v>
      </c>
      <c r="D36" s="737">
        <v>3065.05</v>
      </c>
      <c r="E36" s="737">
        <v>2045.61</v>
      </c>
      <c r="F36" s="737">
        <v>3446.56</v>
      </c>
      <c r="G36" s="737">
        <v>950.81999999999994</v>
      </c>
      <c r="H36" s="737">
        <v>259.03000000000003</v>
      </c>
    </row>
    <row r="37" spans="1:8">
      <c r="A37" s="235" t="str">
        <f t="shared" si="13"/>
        <v>512</v>
      </c>
      <c r="B37" s="236" t="s">
        <v>2470</v>
      </c>
      <c r="C37" s="737">
        <v>1597.56</v>
      </c>
      <c r="D37" s="737">
        <v>219.15</v>
      </c>
      <c r="E37" s="737">
        <v>141.62</v>
      </c>
      <c r="F37" s="737">
        <v>2368.4</v>
      </c>
      <c r="G37" s="737">
        <v>103.87</v>
      </c>
      <c r="H37" s="737">
        <v>175.9</v>
      </c>
    </row>
    <row r="38" spans="1:8">
      <c r="A38" s="235" t="str">
        <f t="shared" si="13"/>
        <v>512</v>
      </c>
      <c r="B38" s="236" t="s">
        <v>2470</v>
      </c>
      <c r="C38" s="737">
        <v>538.16999999999996</v>
      </c>
      <c r="D38" s="737">
        <v>67.430000000000007</v>
      </c>
      <c r="E38" s="737">
        <v>740.02</v>
      </c>
      <c r="F38" s="737">
        <v>163.72999999999999</v>
      </c>
      <c r="G38" s="737">
        <v>412.98</v>
      </c>
      <c r="H38" s="737">
        <v>795.43999999999994</v>
      </c>
    </row>
    <row r="39" spans="1:8">
      <c r="A39" s="235" t="str">
        <f t="shared" si="13"/>
        <v>512</v>
      </c>
      <c r="B39" s="236" t="s">
        <v>2470</v>
      </c>
      <c r="C39" s="737">
        <v>0.85</v>
      </c>
      <c r="D39" s="737">
        <v>0.28999999999999998</v>
      </c>
      <c r="E39" s="737">
        <v>8.1</v>
      </c>
      <c r="F39" s="737">
        <v>279.54000000000002</v>
      </c>
      <c r="G39" s="737">
        <v>90.66</v>
      </c>
    </row>
    <row r="40" spans="1:8">
      <c r="A40" s="235" t="str">
        <f t="shared" si="13"/>
        <v>512</v>
      </c>
      <c r="B40" s="236" t="s">
        <v>2470</v>
      </c>
      <c r="C40" s="737">
        <v>88.12</v>
      </c>
      <c r="D40" s="737">
        <v>1046.1500000000001</v>
      </c>
      <c r="E40" s="737">
        <v>1583.15</v>
      </c>
      <c r="F40" s="737">
        <v>45.77</v>
      </c>
    </row>
    <row r="41" spans="1:8">
      <c r="A41" s="235" t="str">
        <f t="shared" si="13"/>
        <v>512</v>
      </c>
      <c r="B41" s="236" t="s">
        <v>2470</v>
      </c>
      <c r="D41" s="737">
        <v>43.519999999999996</v>
      </c>
      <c r="E41" s="737">
        <v>1578.75</v>
      </c>
      <c r="F41" s="737">
        <v>2143.2600000000002</v>
      </c>
    </row>
    <row r="42" spans="1:8">
      <c r="A42" s="235" t="str">
        <f t="shared" si="13"/>
        <v>501</v>
      </c>
      <c r="B42" s="236" t="s">
        <v>2424</v>
      </c>
      <c r="C42" s="737">
        <v>-1733.3</v>
      </c>
      <c r="E42" s="737">
        <v>-15123.93</v>
      </c>
      <c r="F42" s="737">
        <v>-40972.629999999997</v>
      </c>
      <c r="G42" s="737">
        <v>-65075.68</v>
      </c>
      <c r="H42" s="737">
        <v>-60937.41</v>
      </c>
    </row>
    <row r="43" spans="1:8">
      <c r="A43" s="235">
        <v>502</v>
      </c>
      <c r="B43" s="236" t="s">
        <v>2426</v>
      </c>
      <c r="C43" s="737">
        <v>-63744.533333333333</v>
      </c>
      <c r="D43" s="737">
        <v>-69813.013333333336</v>
      </c>
      <c r="E43" s="737">
        <v>-74597.083333333358</v>
      </c>
      <c r="F43" s="737">
        <v>-81629.803333333344</v>
      </c>
      <c r="G43" s="737">
        <v>-93070.003333333356</v>
      </c>
      <c r="H43" s="737">
        <v>-101071.00333333334</v>
      </c>
    </row>
    <row r="44" spans="1:8">
      <c r="A44" s="235" t="str">
        <f>MID($B44,2,3)</f>
        <v>506</v>
      </c>
      <c r="B44" s="236" t="s">
        <v>2447</v>
      </c>
      <c r="C44" s="737">
        <v>16887.88</v>
      </c>
      <c r="D44" s="737">
        <v>26332.07</v>
      </c>
      <c r="E44" s="737">
        <v>43487.26</v>
      </c>
      <c r="F44" s="737">
        <v>15845.78</v>
      </c>
      <c r="G44" s="737">
        <v>14691.96</v>
      </c>
      <c r="H44" s="737">
        <v>35987.19</v>
      </c>
    </row>
    <row r="45" spans="1:8">
      <c r="A45" s="235" t="str">
        <f t="shared" ref="A45:A59" si="14">MID($B45,2,3)</f>
        <v>506</v>
      </c>
      <c r="B45" s="236" t="s">
        <v>2448</v>
      </c>
      <c r="C45" s="737">
        <v>0</v>
      </c>
      <c r="D45" s="737">
        <v>0</v>
      </c>
      <c r="E45" s="737">
        <v>0</v>
      </c>
      <c r="F45" s="737">
        <v>0</v>
      </c>
      <c r="G45" s="737">
        <v>0</v>
      </c>
      <c r="H45" s="737">
        <v>0</v>
      </c>
    </row>
    <row r="46" spans="1:8">
      <c r="A46" s="235" t="str">
        <f t="shared" si="14"/>
        <v>512</v>
      </c>
      <c r="B46" s="236" t="s">
        <v>2449</v>
      </c>
      <c r="C46" s="737">
        <v>14321.72</v>
      </c>
      <c r="D46" s="737">
        <v>9373.7900000000009</v>
      </c>
      <c r="E46" s="737">
        <v>35489.51</v>
      </c>
      <c r="F46" s="737">
        <v>65600.59</v>
      </c>
      <c r="G46" s="737">
        <v>58708.959999999999</v>
      </c>
      <c r="H46" s="737">
        <v>13588.63</v>
      </c>
    </row>
    <row r="47" spans="1:8">
      <c r="A47" s="235" t="str">
        <f t="shared" si="14"/>
        <v>506</v>
      </c>
      <c r="B47" s="236" t="s">
        <v>2427</v>
      </c>
      <c r="C47" s="737">
        <v>0</v>
      </c>
      <c r="D47" s="737">
        <v>0</v>
      </c>
      <c r="E47" s="737">
        <v>0</v>
      </c>
      <c r="F47" s="737">
        <v>0</v>
      </c>
      <c r="G47" s="737">
        <v>0</v>
      </c>
      <c r="H47" s="737">
        <v>0</v>
      </c>
    </row>
    <row r="48" spans="1:8">
      <c r="A48" s="235" t="str">
        <f t="shared" si="14"/>
        <v>506</v>
      </c>
      <c r="B48" s="236" t="s">
        <v>2428</v>
      </c>
      <c r="C48" s="737">
        <v>0</v>
      </c>
      <c r="D48" s="737">
        <v>0</v>
      </c>
      <c r="E48" s="737">
        <v>0</v>
      </c>
      <c r="F48" s="737">
        <v>0</v>
      </c>
      <c r="G48" s="737">
        <v>0</v>
      </c>
      <c r="H48" s="737">
        <v>0</v>
      </c>
    </row>
    <row r="49" spans="1:8">
      <c r="A49" s="235" t="str">
        <f t="shared" si="14"/>
        <v>512</v>
      </c>
      <c r="B49" s="236" t="s">
        <v>2429</v>
      </c>
      <c r="C49" s="737">
        <v>0</v>
      </c>
      <c r="D49" s="737">
        <v>0</v>
      </c>
      <c r="E49" s="737">
        <v>0</v>
      </c>
      <c r="F49" s="737">
        <v>0</v>
      </c>
      <c r="G49" s="737">
        <v>0</v>
      </c>
      <c r="H49" s="737">
        <v>0</v>
      </c>
    </row>
    <row r="50" spans="1:8">
      <c r="A50" s="235" t="str">
        <f t="shared" si="14"/>
        <v>502</v>
      </c>
      <c r="B50" s="236" t="s">
        <v>2450</v>
      </c>
      <c r="C50" s="737">
        <v>335863.52</v>
      </c>
      <c r="D50" s="737">
        <v>337009.64</v>
      </c>
      <c r="E50" s="737">
        <v>332020.96000000002</v>
      </c>
      <c r="F50" s="737">
        <v>199892.32</v>
      </c>
      <c r="G50" s="737">
        <v>199030.36</v>
      </c>
      <c r="H50" s="737">
        <v>198954.08</v>
      </c>
    </row>
    <row r="51" spans="1:8">
      <c r="A51" s="235" t="str">
        <f t="shared" si="14"/>
        <v>512</v>
      </c>
      <c r="B51" s="236" t="s">
        <v>2451</v>
      </c>
      <c r="C51" s="737">
        <v>383360.97</v>
      </c>
      <c r="D51" s="737">
        <v>321818.06</v>
      </c>
      <c r="E51" s="737">
        <v>506180.38</v>
      </c>
      <c r="F51" s="737">
        <v>379832.41</v>
      </c>
      <c r="G51" s="737">
        <v>539788.77</v>
      </c>
      <c r="H51" s="737">
        <v>513967.23</v>
      </c>
    </row>
    <row r="52" spans="1:8">
      <c r="A52" s="235" t="str">
        <f t="shared" si="14"/>
        <v>506</v>
      </c>
      <c r="B52" s="236" t="s">
        <v>2427</v>
      </c>
      <c r="C52" s="737">
        <v>11104.99</v>
      </c>
      <c r="D52" s="737">
        <v>0</v>
      </c>
      <c r="E52" s="737">
        <v>115488.48</v>
      </c>
      <c r="F52" s="737">
        <v>55299.13</v>
      </c>
      <c r="G52" s="737">
        <v>46418.86</v>
      </c>
      <c r="H52" s="737">
        <v>51234.04</v>
      </c>
    </row>
    <row r="53" spans="1:8">
      <c r="A53" s="235" t="str">
        <f t="shared" si="14"/>
        <v>506</v>
      </c>
      <c r="B53" s="236" t="s">
        <v>2428</v>
      </c>
      <c r="C53" s="737">
        <v>1026387.33</v>
      </c>
      <c r="D53" s="737">
        <v>666863.23</v>
      </c>
      <c r="E53" s="737">
        <v>602057.61</v>
      </c>
      <c r="F53" s="737">
        <v>674064.12</v>
      </c>
      <c r="G53" s="737">
        <v>836909.14</v>
      </c>
      <c r="H53" s="737">
        <v>784464.55</v>
      </c>
    </row>
    <row r="54" spans="1:8">
      <c r="A54" s="235" t="str">
        <f t="shared" si="14"/>
        <v>512</v>
      </c>
      <c r="B54" s="236" t="s">
        <v>2429</v>
      </c>
      <c r="C54" s="737">
        <v>84435.77</v>
      </c>
      <c r="D54" s="737">
        <v>80290.25</v>
      </c>
      <c r="E54" s="737">
        <v>-52056.149999999994</v>
      </c>
      <c r="F54" s="737">
        <v>40419.18</v>
      </c>
      <c r="G54" s="737">
        <v>46374.619999999995</v>
      </c>
      <c r="H54" s="737">
        <v>110782.45</v>
      </c>
    </row>
    <row r="55" spans="1:8">
      <c r="A55" s="235" t="str">
        <f t="shared" si="14"/>
        <v>506</v>
      </c>
      <c r="B55" s="236" t="s">
        <v>2430</v>
      </c>
      <c r="C55" s="737">
        <v>0</v>
      </c>
      <c r="D55" s="737">
        <v>0</v>
      </c>
      <c r="E55" s="737">
        <v>0</v>
      </c>
      <c r="F55" s="737">
        <v>0</v>
      </c>
      <c r="G55" s="737">
        <v>0</v>
      </c>
      <c r="H55" s="737">
        <v>0</v>
      </c>
    </row>
    <row r="56" spans="1:8">
      <c r="A56" s="235" t="str">
        <f t="shared" si="14"/>
        <v>512</v>
      </c>
      <c r="B56" s="236" t="s">
        <v>2431</v>
      </c>
      <c r="C56" s="737">
        <v>63892.39</v>
      </c>
      <c r="D56" s="737">
        <v>36893.049999999996</v>
      </c>
      <c r="E56" s="737">
        <v>45099.490000000005</v>
      </c>
      <c r="F56" s="737">
        <v>48393.700000000004</v>
      </c>
      <c r="G56" s="737">
        <v>50958.66</v>
      </c>
      <c r="H56" s="737">
        <v>38035.71</v>
      </c>
    </row>
    <row r="57" spans="1:8">
      <c r="A57" s="235" t="str">
        <f t="shared" si="14"/>
        <v>506</v>
      </c>
      <c r="B57" s="236" t="s">
        <v>2432</v>
      </c>
      <c r="C57" s="737">
        <v>195182.77</v>
      </c>
      <c r="D57" s="737">
        <v>10834.2</v>
      </c>
      <c r="E57" s="737">
        <v>15706.05</v>
      </c>
      <c r="F57" s="737">
        <v>74698.960000000006</v>
      </c>
      <c r="G57" s="737">
        <v>56278.04</v>
      </c>
      <c r="H57" s="737">
        <v>-41975.58</v>
      </c>
    </row>
    <row r="58" spans="1:8">
      <c r="A58" s="235" t="str">
        <f t="shared" si="14"/>
        <v>502</v>
      </c>
      <c r="B58" s="236" t="s">
        <v>2450</v>
      </c>
      <c r="C58" s="737">
        <v>65791.7</v>
      </c>
      <c r="D58" s="737">
        <v>71383.75</v>
      </c>
      <c r="E58" s="737">
        <v>72840.52</v>
      </c>
      <c r="F58" s="737">
        <v>60913</v>
      </c>
      <c r="G58" s="737">
        <v>61682.92</v>
      </c>
      <c r="H58" s="737">
        <v>65737.17</v>
      </c>
    </row>
    <row r="59" spans="1:8">
      <c r="A59" s="235" t="str">
        <f t="shared" si="14"/>
        <v>512</v>
      </c>
      <c r="B59" s="236" t="s">
        <v>2451</v>
      </c>
      <c r="C59" s="737">
        <v>127170.85</v>
      </c>
      <c r="D59" s="737">
        <v>48302.239999999998</v>
      </c>
      <c r="E59" s="737">
        <v>99038.25</v>
      </c>
      <c r="F59" s="737">
        <v>159126.67000000001</v>
      </c>
      <c r="G59" s="737">
        <v>77374.58</v>
      </c>
      <c r="H59" s="737">
        <v>65835.490000000005</v>
      </c>
    </row>
    <row r="60" spans="1:8">
      <c r="A60" s="235" t="str">
        <f>MID($B60,1,3)</f>
        <v>506</v>
      </c>
      <c r="B60" s="236" t="s">
        <v>2433</v>
      </c>
      <c r="D60" s="737">
        <v>117213.28</v>
      </c>
      <c r="F60" s="737">
        <v>50796.28</v>
      </c>
      <c r="G60" s="737">
        <v>171717.72</v>
      </c>
      <c r="H60" s="737">
        <v>170013.72</v>
      </c>
    </row>
    <row r="61" spans="1:8">
      <c r="A61" s="235" t="str">
        <f>MID($B61,1,3)</f>
        <v>509</v>
      </c>
      <c r="B61" s="236" t="s">
        <v>2006</v>
      </c>
      <c r="C61" s="737">
        <v>294</v>
      </c>
      <c r="D61" s="737">
        <v>170</v>
      </c>
      <c r="E61" s="737">
        <v>286</v>
      </c>
      <c r="F61" s="737">
        <v>325</v>
      </c>
      <c r="G61" s="737">
        <v>339</v>
      </c>
      <c r="H61" s="737">
        <v>302</v>
      </c>
    </row>
    <row r="62" spans="1:8">
      <c r="A62" s="235" t="str">
        <f t="shared" si="13"/>
        <v>411</v>
      </c>
      <c r="B62" s="236" t="s">
        <v>2477</v>
      </c>
      <c r="H62" s="737">
        <v>-194069.02875454648</v>
      </c>
    </row>
    <row r="63" spans="1:8">
      <c r="A63" s="235">
        <v>923</v>
      </c>
      <c r="B63" s="236" t="s">
        <v>2434</v>
      </c>
    </row>
    <row r="64" spans="1:8">
      <c r="A64" s="235"/>
      <c r="B64" s="236" t="s">
        <v>234</v>
      </c>
      <c r="C64" s="737">
        <f t="shared" ref="C64:H64" si="15">SUM(C30:C63)</f>
        <v>2644995.5646078438</v>
      </c>
      <c r="D64" s="737">
        <f t="shared" si="15"/>
        <v>2061461.7966050056</v>
      </c>
      <c r="E64" s="737">
        <f t="shared" si="15"/>
        <v>2135842.9482309525</v>
      </c>
      <c r="F64" s="737">
        <f t="shared" si="15"/>
        <v>2135189.8212414463</v>
      </c>
      <c r="G64" s="737">
        <f t="shared" si="15"/>
        <v>2441264.2361704106</v>
      </c>
      <c r="H64" s="737">
        <f t="shared" si="15"/>
        <v>2135119.3529755739</v>
      </c>
    </row>
    <row r="67" spans="1:9">
      <c r="A67" s="236" t="s">
        <v>2435</v>
      </c>
      <c r="B67" s="235"/>
      <c r="C67" s="235"/>
      <c r="D67" s="235"/>
      <c r="E67" s="235"/>
      <c r="F67" s="235"/>
      <c r="G67" s="235"/>
      <c r="H67" s="235"/>
      <c r="I67" s="235"/>
    </row>
    <row r="68" spans="1:9">
      <c r="A68" s="235" t="s">
        <v>2436</v>
      </c>
      <c r="B68" s="236" t="s">
        <v>2437</v>
      </c>
      <c r="C68" s="235">
        <v>2703154</v>
      </c>
      <c r="D68" s="235">
        <v>2706306</v>
      </c>
      <c r="E68" s="235">
        <v>2706306</v>
      </c>
      <c r="F68" s="235">
        <v>2706306</v>
      </c>
      <c r="G68" s="235">
        <v>2706306</v>
      </c>
      <c r="H68" s="235">
        <v>2712048</v>
      </c>
      <c r="I68" s="235"/>
    </row>
    <row r="69" spans="1:9">
      <c r="A69" s="488">
        <v>407.3</v>
      </c>
      <c r="B69" s="236" t="s">
        <v>2438</v>
      </c>
      <c r="C69" s="235">
        <f t="shared" ref="C69:H78" ca="1" si="16">SUMIF($A$30:$H$63,$A69,C$30:C$63)</f>
        <v>189607.50794117679</v>
      </c>
      <c r="D69" s="235">
        <f t="shared" ca="1" si="16"/>
        <v>206313.44993833904</v>
      </c>
      <c r="E69" s="235">
        <f t="shared" ca="1" si="16"/>
        <v>219722.09156428574</v>
      </c>
      <c r="F69" s="235">
        <f t="shared" ca="1" si="16"/>
        <v>245744.95457478004</v>
      </c>
      <c r="G69" s="235">
        <f t="shared" ca="1" si="16"/>
        <v>260810.74950374392</v>
      </c>
      <c r="H69" s="235">
        <f t="shared" ca="1" si="16"/>
        <v>288288.98506345315</v>
      </c>
      <c r="I69" s="235"/>
    </row>
    <row r="70" spans="1:9">
      <c r="A70" s="235">
        <v>408</v>
      </c>
      <c r="B70" s="236" t="s">
        <v>2439</v>
      </c>
      <c r="C70" s="235">
        <f t="shared" ca="1" si="16"/>
        <v>156859</v>
      </c>
      <c r="D70" s="235">
        <f t="shared" ca="1" si="16"/>
        <v>156859</v>
      </c>
      <c r="E70" s="235">
        <f t="shared" ca="1" si="16"/>
        <v>156859</v>
      </c>
      <c r="F70" s="235">
        <f t="shared" ca="1" si="16"/>
        <v>156859</v>
      </c>
      <c r="G70" s="235">
        <f t="shared" ca="1" si="16"/>
        <v>156859</v>
      </c>
      <c r="H70" s="235">
        <f t="shared" ca="1" si="16"/>
        <v>156859</v>
      </c>
      <c r="I70" s="235"/>
    </row>
    <row r="71" spans="1:9">
      <c r="A71" s="235">
        <v>411</v>
      </c>
      <c r="B71" s="236" t="s">
        <v>2479</v>
      </c>
      <c r="C71" s="235">
        <f t="shared" ca="1" si="16"/>
        <v>0</v>
      </c>
      <c r="D71" s="235">
        <f t="shared" ca="1" si="16"/>
        <v>0</v>
      </c>
      <c r="E71" s="235">
        <f t="shared" ca="1" si="16"/>
        <v>0</v>
      </c>
      <c r="F71" s="235">
        <f t="shared" ca="1" si="16"/>
        <v>0</v>
      </c>
      <c r="G71" s="235">
        <f t="shared" ca="1" si="16"/>
        <v>0</v>
      </c>
      <c r="H71" s="235">
        <f t="shared" ca="1" si="16"/>
        <v>-194069.02875454648</v>
      </c>
      <c r="I71" s="235"/>
    </row>
    <row r="72" spans="1:9">
      <c r="A72" s="488">
        <v>411.8</v>
      </c>
      <c r="B72" s="236" t="s">
        <v>2478</v>
      </c>
      <c r="C72" s="235">
        <f t="shared" ca="1" si="16"/>
        <v>0</v>
      </c>
      <c r="D72" s="235">
        <f t="shared" ca="1" si="16"/>
        <v>0</v>
      </c>
      <c r="E72" s="235">
        <f t="shared" ca="1" si="16"/>
        <v>0</v>
      </c>
      <c r="F72" s="235">
        <f t="shared" ca="1" si="16"/>
        <v>0</v>
      </c>
      <c r="G72" s="235">
        <f t="shared" ca="1" si="16"/>
        <v>0</v>
      </c>
      <c r="H72" s="235">
        <f t="shared" ca="1" si="16"/>
        <v>0</v>
      </c>
      <c r="I72" s="235"/>
    </row>
    <row r="73" spans="1:9">
      <c r="A73" s="235">
        <v>501</v>
      </c>
      <c r="B73" s="236" t="s">
        <v>2440</v>
      </c>
      <c r="C73" s="235">
        <f t="shared" ca="1" si="16"/>
        <v>26249.030000000002</v>
      </c>
      <c r="D73" s="235">
        <f t="shared" ca="1" si="16"/>
        <v>30459.599999999999</v>
      </c>
      <c r="E73" s="235">
        <f t="shared" ca="1" si="16"/>
        <v>5491.4599999999991</v>
      </c>
      <c r="F73" s="235">
        <f t="shared" ca="1" si="16"/>
        <v>-29730.21</v>
      </c>
      <c r="G73" s="235">
        <f t="shared" ca="1" si="16"/>
        <v>-53197.270000000004</v>
      </c>
      <c r="H73" s="235">
        <f t="shared" ca="1" si="16"/>
        <v>-27575.660000000003</v>
      </c>
      <c r="I73" s="235"/>
    </row>
    <row r="74" spans="1:9">
      <c r="A74" s="235">
        <v>502</v>
      </c>
      <c r="B74" s="236" t="s">
        <v>2441</v>
      </c>
      <c r="C74" s="235">
        <f t="shared" ca="1" si="16"/>
        <v>345888.25666666671</v>
      </c>
      <c r="D74" s="235">
        <f t="shared" ca="1" si="16"/>
        <v>345297.98666666669</v>
      </c>
      <c r="E74" s="235">
        <f t="shared" ca="1" si="16"/>
        <v>336896.26666666666</v>
      </c>
      <c r="F74" s="235">
        <f t="shared" ca="1" si="16"/>
        <v>189466.99666666664</v>
      </c>
      <c r="G74" s="235">
        <f t="shared" ca="1" si="16"/>
        <v>175673.11666666664</v>
      </c>
      <c r="H74" s="235">
        <f t="shared" ca="1" si="16"/>
        <v>168150.25666666665</v>
      </c>
      <c r="I74" s="235"/>
    </row>
    <row r="75" spans="1:9">
      <c r="A75" s="235">
        <v>506</v>
      </c>
      <c r="B75" s="236" t="s">
        <v>2442</v>
      </c>
      <c r="C75" s="235">
        <f t="shared" ca="1" si="16"/>
        <v>1249562.97</v>
      </c>
      <c r="D75" s="235">
        <f t="shared" ca="1" si="16"/>
        <v>821242.77999999991</v>
      </c>
      <c r="E75" s="235">
        <f t="shared" ca="1" si="16"/>
        <v>776739.4</v>
      </c>
      <c r="F75" s="235">
        <f t="shared" ca="1" si="16"/>
        <v>870704.27</v>
      </c>
      <c r="G75" s="235">
        <f t="shared" ca="1" si="16"/>
        <v>1126015.72</v>
      </c>
      <c r="H75" s="235">
        <f t="shared" ca="1" si="16"/>
        <v>999723.92</v>
      </c>
      <c r="I75" s="235"/>
    </row>
    <row r="76" spans="1:9">
      <c r="A76" s="235">
        <v>509</v>
      </c>
      <c r="B76" s="236" t="s">
        <v>2443</v>
      </c>
      <c r="C76" s="235">
        <f t="shared" ca="1" si="16"/>
        <v>294</v>
      </c>
      <c r="D76" s="235">
        <f t="shared" ca="1" si="16"/>
        <v>170</v>
      </c>
      <c r="E76" s="235">
        <f t="shared" ca="1" si="16"/>
        <v>286</v>
      </c>
      <c r="F76" s="235">
        <f t="shared" ca="1" si="16"/>
        <v>325</v>
      </c>
      <c r="G76" s="235">
        <f t="shared" ca="1" si="16"/>
        <v>339</v>
      </c>
      <c r="H76" s="235">
        <f t="shared" ca="1" si="16"/>
        <v>302</v>
      </c>
      <c r="I76" s="235"/>
    </row>
    <row r="77" spans="1:9">
      <c r="A77" s="235">
        <v>512</v>
      </c>
      <c r="B77" s="236" t="s">
        <v>2444</v>
      </c>
      <c r="C77" s="235">
        <f t="shared" ca="1" si="16"/>
        <v>676534.79999999993</v>
      </c>
      <c r="D77" s="235">
        <f t="shared" ca="1" si="16"/>
        <v>501118.98</v>
      </c>
      <c r="E77" s="235">
        <f t="shared" ca="1" si="16"/>
        <v>639848.73</v>
      </c>
      <c r="F77" s="235">
        <f t="shared" ca="1" si="16"/>
        <v>701819.80999999994</v>
      </c>
      <c r="G77" s="235">
        <f t="shared" ca="1" si="16"/>
        <v>774763.92</v>
      </c>
      <c r="H77" s="235">
        <f t="shared" ca="1" si="16"/>
        <v>743439.87999999989</v>
      </c>
      <c r="I77" s="235"/>
    </row>
    <row r="78" spans="1:9">
      <c r="A78" s="235">
        <v>923</v>
      </c>
      <c r="B78" s="236" t="s">
        <v>2434</v>
      </c>
      <c r="C78" s="235">
        <f t="shared" ca="1" si="16"/>
        <v>0</v>
      </c>
      <c r="D78" s="235">
        <f t="shared" ca="1" si="16"/>
        <v>0</v>
      </c>
      <c r="E78" s="235">
        <f t="shared" ca="1" si="16"/>
        <v>0</v>
      </c>
      <c r="F78" s="235">
        <f t="shared" ca="1" si="16"/>
        <v>0</v>
      </c>
      <c r="G78" s="235">
        <f t="shared" ca="1" si="16"/>
        <v>0</v>
      </c>
      <c r="H78" s="235">
        <f t="shared" ca="1" si="16"/>
        <v>0</v>
      </c>
      <c r="I78" s="235"/>
    </row>
    <row r="79" spans="1:9">
      <c r="A79" s="235"/>
      <c r="B79" s="236" t="s">
        <v>2445</v>
      </c>
      <c r="C79" s="235">
        <f t="shared" ref="C79:H79" ca="1" si="17">SUM(C68:C78)</f>
        <v>5348149.5646078428</v>
      </c>
      <c r="D79" s="235">
        <f t="shared" ca="1" si="17"/>
        <v>4767767.7966050059</v>
      </c>
      <c r="E79" s="235">
        <f t="shared" ca="1" si="17"/>
        <v>4842148.948230952</v>
      </c>
      <c r="F79" s="235">
        <f t="shared" ca="1" si="17"/>
        <v>4841495.8212414468</v>
      </c>
      <c r="G79" s="235">
        <f t="shared" ca="1" si="17"/>
        <v>5147570.2361704102</v>
      </c>
      <c r="H79" s="235">
        <f t="shared" ca="1" si="17"/>
        <v>4847167.3529755734</v>
      </c>
      <c r="I79" s="235"/>
    </row>
    <row r="80" spans="1:9">
      <c r="A80" s="235"/>
      <c r="B80" s="236" t="s">
        <v>2446</v>
      </c>
      <c r="C80" s="235">
        <f t="shared" ref="C80:G80" ca="1" si="18">SUM(C73:C77)-C76</f>
        <v>2298235.0566666666</v>
      </c>
      <c r="D80" s="235">
        <f t="shared" ca="1" si="18"/>
        <v>1698119.3466666667</v>
      </c>
      <c r="E80" s="235">
        <f t="shared" ca="1" si="18"/>
        <v>1758975.8566666667</v>
      </c>
      <c r="F80" s="235">
        <f t="shared" ca="1" si="18"/>
        <v>1732260.8666666667</v>
      </c>
      <c r="G80" s="235">
        <f t="shared" ca="1" si="18"/>
        <v>2023255.4866666668</v>
      </c>
      <c r="H80" s="235">
        <f ca="1">SUM(H73:H77)-H76</f>
        <v>1883738.3966666665</v>
      </c>
      <c r="I80" s="235"/>
    </row>
  </sheetData>
  <pageMargins left="0.75" right="0.75" top="1" bottom="1" header="0.5" footer="0.5"/>
  <pageSetup scale="76"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25"/>
  <sheetViews>
    <sheetView zoomScaleNormal="100" workbookViewId="0">
      <pane xSplit="1" ySplit="3" topLeftCell="B4" activePane="bottomRight" state="frozen"/>
      <selection activeCell="K33" sqref="K33"/>
      <selection pane="topRight" activeCell="K33" sqref="K33"/>
      <selection pane="bottomLeft" activeCell="K33" sqref="K33"/>
      <selection pane="bottomRight" activeCell="D22" sqref="D22"/>
    </sheetView>
  </sheetViews>
  <sheetFormatPr defaultColWidth="9" defaultRowHeight="15"/>
  <cols>
    <col min="1" max="1" width="32.33203125" style="289" customWidth="1"/>
    <col min="2" max="14" width="9.33203125" style="288" customWidth="1"/>
    <col min="15" max="16384" width="9" style="288"/>
  </cols>
  <sheetData>
    <row r="1" spans="1:14" s="285" customFormat="1">
      <c r="A1" s="284"/>
    </row>
    <row r="2" spans="1:14" s="285" customFormat="1">
      <c r="A2" s="287" t="s">
        <v>1841</v>
      </c>
      <c r="B2" s="400" t="s">
        <v>2530</v>
      </c>
      <c r="C2" s="400" t="s">
        <v>2531</v>
      </c>
      <c r="D2" s="400" t="s">
        <v>2532</v>
      </c>
      <c r="E2" s="400" t="s">
        <v>2533</v>
      </c>
      <c r="F2" s="400" t="s">
        <v>2534</v>
      </c>
      <c r="G2" s="400" t="s">
        <v>2535</v>
      </c>
      <c r="H2" s="400" t="s">
        <v>2536</v>
      </c>
      <c r="I2" s="400" t="s">
        <v>2537</v>
      </c>
      <c r="J2" s="400" t="s">
        <v>2538</v>
      </c>
      <c r="K2" s="400" t="s">
        <v>2539</v>
      </c>
      <c r="L2" s="400" t="s">
        <v>2540</v>
      </c>
      <c r="M2" s="400" t="s">
        <v>2541</v>
      </c>
      <c r="N2" s="400" t="s">
        <v>2564</v>
      </c>
    </row>
    <row r="3" spans="1:14" s="285" customFormat="1">
      <c r="A3" s="286" t="s">
        <v>1840</v>
      </c>
    </row>
    <row r="4" spans="1:14">
      <c r="A4" s="287"/>
    </row>
    <row r="5" spans="1:14">
      <c r="A5" s="236" t="s">
        <v>2413</v>
      </c>
      <c r="B5" s="491">
        <v>5443.7688347715466</v>
      </c>
      <c r="C5" s="491">
        <v>5689.4109166345452</v>
      </c>
      <c r="D5" s="491">
        <v>5696.0466601755452</v>
      </c>
      <c r="E5" s="491">
        <v>5699.8210142455464</v>
      </c>
      <c r="F5" s="491">
        <v>5703.4340555155459</v>
      </c>
      <c r="G5" s="491">
        <v>5743.1953996975462</v>
      </c>
      <c r="H5" s="491">
        <v>5804.289623970546</v>
      </c>
      <c r="I5" s="491">
        <v>5936.7501724125459</v>
      </c>
      <c r="J5" s="491">
        <v>6046.6370262835462</v>
      </c>
      <c r="K5" s="491">
        <v>6048.6127123135466</v>
      </c>
      <c r="L5" s="491">
        <v>6051.4246050535467</v>
      </c>
      <c r="M5" s="491">
        <v>6053.2491210435464</v>
      </c>
      <c r="N5" s="402">
        <f t="shared" ref="N5:N6" si="0">SUM(B5:M5)</f>
        <v>69916.64014211754</v>
      </c>
    </row>
    <row r="6" spans="1:14">
      <c r="A6" s="236" t="s">
        <v>2563</v>
      </c>
      <c r="B6" s="491">
        <v>605.72655154081701</v>
      </c>
      <c r="C6" s="491">
        <v>632.89613433257898</v>
      </c>
      <c r="D6" s="491">
        <v>652.62392579264804</v>
      </c>
      <c r="E6" s="491">
        <v>672.02769273018805</v>
      </c>
      <c r="F6" s="491">
        <v>686.786388939983</v>
      </c>
      <c r="G6" s="491">
        <v>698.66162508875402</v>
      </c>
      <c r="H6" s="491">
        <v>709.42291653241296</v>
      </c>
      <c r="I6" s="491">
        <v>745.85080184893309</v>
      </c>
      <c r="J6" s="491">
        <v>753.32996301657499</v>
      </c>
      <c r="K6" s="491">
        <v>763.84217689457205</v>
      </c>
      <c r="L6" s="491">
        <v>775.44815492934504</v>
      </c>
      <c r="M6" s="491">
        <v>797.35698366716906</v>
      </c>
      <c r="N6" s="402">
        <f t="shared" si="0"/>
        <v>8493.973315313975</v>
      </c>
    </row>
    <row r="7" spans="1:14">
      <c r="A7" s="236" t="s">
        <v>2414</v>
      </c>
      <c r="B7" s="491">
        <v>162.32705547949899</v>
      </c>
      <c r="C7" s="491">
        <v>162.32705547949899</v>
      </c>
      <c r="D7" s="491">
        <v>162.32705547949899</v>
      </c>
      <c r="E7" s="491">
        <v>162.32705547949899</v>
      </c>
      <c r="F7" s="491">
        <v>162.32705547949899</v>
      </c>
      <c r="G7" s="491">
        <v>162.32705547949899</v>
      </c>
      <c r="H7" s="491">
        <v>162.32705547949899</v>
      </c>
      <c r="I7" s="491">
        <v>160.03927804816306</v>
      </c>
      <c r="J7" s="491">
        <v>189.95269351087805</v>
      </c>
      <c r="K7" s="491">
        <v>189.95269351087805</v>
      </c>
      <c r="L7" s="491">
        <v>187.77148491712805</v>
      </c>
      <c r="M7" s="491">
        <v>187.77148491712805</v>
      </c>
      <c r="N7" s="402">
        <f>SUM(B7:M7)</f>
        <v>2051.7770232606681</v>
      </c>
    </row>
    <row r="8" spans="1:14">
      <c r="A8" s="236" t="s">
        <v>2480</v>
      </c>
      <c r="B8" s="491">
        <v>-55.016755994512401</v>
      </c>
      <c r="C8" s="491">
        <v>-55.016755994512401</v>
      </c>
      <c r="D8" s="491">
        <v>-55.016755994511897</v>
      </c>
      <c r="E8" s="491">
        <v>-55.016755994512401</v>
      </c>
      <c r="F8" s="491">
        <v>-55.016755994512401</v>
      </c>
      <c r="G8" s="491">
        <v>-55.016755994512401</v>
      </c>
      <c r="H8" s="491">
        <v>-55.016755994513098</v>
      </c>
      <c r="I8" s="491">
        <v>-55.0167559945112</v>
      </c>
      <c r="J8" s="491">
        <v>-58.019858201678801</v>
      </c>
      <c r="K8" s="491">
        <v>-58.019858201678197</v>
      </c>
      <c r="L8" s="491">
        <v>-58.019858201678197</v>
      </c>
      <c r="M8" s="491">
        <v>-58.0198582016776</v>
      </c>
      <c r="N8" s="402">
        <f t="shared" ref="N8" si="1">SUM(B8:M8)</f>
        <v>-672.21348076281095</v>
      </c>
    </row>
    <row r="9" spans="1:14">
      <c r="A9" s="236" t="s">
        <v>2481</v>
      </c>
      <c r="B9" s="491"/>
      <c r="C9" s="491"/>
      <c r="D9" s="491"/>
      <c r="E9" s="491"/>
      <c r="F9" s="491"/>
      <c r="G9" s="491"/>
      <c r="H9" s="491"/>
      <c r="I9" s="491"/>
      <c r="J9" s="491"/>
      <c r="K9" s="491"/>
      <c r="L9" s="491"/>
      <c r="M9" s="491"/>
      <c r="N9" s="402">
        <f t="shared" ref="N9:N15" si="2">SUM(B9:M9)</f>
        <v>0</v>
      </c>
    </row>
    <row r="10" spans="1:14">
      <c r="A10" s="236" t="s">
        <v>2415</v>
      </c>
      <c r="B10" s="491">
        <v>-44.353999999999999</v>
      </c>
      <c r="C10" s="491">
        <v>-44.353999999999999</v>
      </c>
      <c r="D10" s="491">
        <v>-44.353999999999999</v>
      </c>
      <c r="E10" s="491">
        <v>-44.353999999999999</v>
      </c>
      <c r="F10" s="491">
        <v>-43.853999999999999</v>
      </c>
      <c r="G10" s="491">
        <v>-44.353999999999999</v>
      </c>
      <c r="H10" s="491">
        <v>-44.353999999999999</v>
      </c>
      <c r="I10" s="491">
        <v>-44.353999999999999</v>
      </c>
      <c r="J10" s="491">
        <v>-43.847000000000001</v>
      </c>
      <c r="K10" s="491">
        <v>-43.847000000000001</v>
      </c>
      <c r="L10" s="491">
        <v>-43.847000000000001</v>
      </c>
      <c r="M10" s="491">
        <v>-43.347000000000001</v>
      </c>
      <c r="N10" s="402">
        <f t="shared" si="2"/>
        <v>-529.21999999999991</v>
      </c>
    </row>
    <row r="11" spans="1:14">
      <c r="A11" s="236" t="s">
        <v>2416</v>
      </c>
      <c r="B11" s="491">
        <v>317.17200000000003</v>
      </c>
      <c r="C11" s="491">
        <v>295.32400000000001</v>
      </c>
      <c r="D11" s="491">
        <v>314.81400000000002</v>
      </c>
      <c r="E11" s="491">
        <v>318.79399999999998</v>
      </c>
      <c r="F11" s="491">
        <v>307.57900000000001</v>
      </c>
      <c r="G11" s="491">
        <v>320.226</v>
      </c>
      <c r="H11" s="491">
        <v>300.03300000000002</v>
      </c>
      <c r="I11" s="491">
        <v>323.39499999999998</v>
      </c>
      <c r="J11" s="491">
        <v>384.22199999999998</v>
      </c>
      <c r="K11" s="491">
        <v>373.637</v>
      </c>
      <c r="L11" s="491">
        <v>380.241999999999</v>
      </c>
      <c r="M11" s="491">
        <v>378.202</v>
      </c>
      <c r="N11" s="402">
        <f t="shared" si="2"/>
        <v>4013.6399999999994</v>
      </c>
    </row>
    <row r="12" spans="1:14">
      <c r="A12" s="236" t="s">
        <v>2417</v>
      </c>
      <c r="B12" s="491">
        <v>865.36400000000003</v>
      </c>
      <c r="C12" s="491">
        <v>976.07600000000002</v>
      </c>
      <c r="D12" s="491">
        <v>1062.9079999999999</v>
      </c>
      <c r="E12" s="491">
        <v>1099.3689999999999</v>
      </c>
      <c r="F12" s="491">
        <v>900.76700000000005</v>
      </c>
      <c r="G12" s="491">
        <v>822.50800000000004</v>
      </c>
      <c r="H12" s="491">
        <v>608.46400000000006</v>
      </c>
      <c r="I12" s="491">
        <v>920.16200000000003</v>
      </c>
      <c r="J12" s="491">
        <v>1075.8409999999999</v>
      </c>
      <c r="K12" s="491">
        <v>959.32799999999997</v>
      </c>
      <c r="L12" s="491">
        <v>798.78</v>
      </c>
      <c r="M12" s="491">
        <v>839.99299999999903</v>
      </c>
      <c r="N12" s="402">
        <f t="shared" si="2"/>
        <v>10929.559999999998</v>
      </c>
    </row>
    <row r="13" spans="1:14">
      <c r="A13" s="236" t="s">
        <v>2418</v>
      </c>
      <c r="B13" s="491">
        <v>0</v>
      </c>
      <c r="C13" s="491">
        <v>0</v>
      </c>
      <c r="D13" s="491">
        <v>0</v>
      </c>
      <c r="E13" s="491">
        <v>2.5</v>
      </c>
      <c r="F13" s="491">
        <v>0</v>
      </c>
      <c r="G13" s="491">
        <v>0</v>
      </c>
      <c r="H13" s="491">
        <v>0</v>
      </c>
      <c r="I13" s="491">
        <v>0</v>
      </c>
      <c r="J13" s="491">
        <v>0</v>
      </c>
      <c r="K13" s="491">
        <v>0</v>
      </c>
      <c r="L13" s="491">
        <v>0</v>
      </c>
      <c r="M13" s="491">
        <v>2.5</v>
      </c>
      <c r="N13" s="489">
        <f t="shared" si="2"/>
        <v>5</v>
      </c>
    </row>
    <row r="14" spans="1:14">
      <c r="A14" s="236" t="s">
        <v>2419</v>
      </c>
      <c r="B14" s="465">
        <v>419.04300000000001</v>
      </c>
      <c r="C14" s="465">
        <v>406.49799999999999</v>
      </c>
      <c r="D14" s="465">
        <v>390.774</v>
      </c>
      <c r="E14" s="465">
        <v>428.01499999999999</v>
      </c>
      <c r="F14" s="465">
        <v>440.43799999999999</v>
      </c>
      <c r="G14" s="465">
        <v>508.70600000000002</v>
      </c>
      <c r="H14" s="465">
        <v>404.933999999999</v>
      </c>
      <c r="I14" s="465">
        <v>496.93900000000002</v>
      </c>
      <c r="J14" s="465">
        <v>435.363</v>
      </c>
      <c r="K14" s="465">
        <v>545.74900000000002</v>
      </c>
      <c r="L14" s="465">
        <v>513.93899999999996</v>
      </c>
      <c r="M14" s="465">
        <v>583.70799999999997</v>
      </c>
      <c r="N14" s="489">
        <f t="shared" si="2"/>
        <v>5574.1059999999989</v>
      </c>
    </row>
    <row r="15" spans="1:14">
      <c r="A15" s="236" t="s">
        <v>2420</v>
      </c>
      <c r="B15" s="491"/>
      <c r="C15" s="491"/>
      <c r="D15" s="491"/>
      <c r="E15" s="491"/>
      <c r="F15" s="491"/>
      <c r="G15" s="491"/>
      <c r="H15" s="491"/>
      <c r="I15" s="491"/>
      <c r="J15" s="491"/>
      <c r="K15" s="491"/>
      <c r="L15" s="491"/>
      <c r="M15" s="491"/>
      <c r="N15" s="402">
        <f t="shared" si="2"/>
        <v>0</v>
      </c>
    </row>
    <row r="16" spans="1:14">
      <c r="A16" s="287" t="s">
        <v>2007</v>
      </c>
      <c r="B16" s="290">
        <f>SUM(B5:B15)</f>
        <v>7714.0306857973501</v>
      </c>
      <c r="C16" s="290">
        <f t="shared" ref="C16:M16" si="3">SUM(C5:C15)</f>
        <v>8063.1613504521101</v>
      </c>
      <c r="D16" s="290">
        <f t="shared" si="3"/>
        <v>8180.122885453181</v>
      </c>
      <c r="E16" s="290">
        <f t="shared" si="3"/>
        <v>8283.4830064607213</v>
      </c>
      <c r="F16" s="290">
        <f t="shared" si="3"/>
        <v>8102.4607439405154</v>
      </c>
      <c r="G16" s="290">
        <f t="shared" si="3"/>
        <v>8156.2533242712861</v>
      </c>
      <c r="H16" s="290">
        <f t="shared" si="3"/>
        <v>7890.0998399879445</v>
      </c>
      <c r="I16" s="290">
        <f t="shared" si="3"/>
        <v>8483.7654963151308</v>
      </c>
      <c r="J16" s="290">
        <f t="shared" si="3"/>
        <v>8783.4788246093194</v>
      </c>
      <c r="K16" s="290">
        <f t="shared" si="3"/>
        <v>8779.2547245173173</v>
      </c>
      <c r="L16" s="290">
        <f t="shared" si="3"/>
        <v>8605.73838669834</v>
      </c>
      <c r="M16" s="290">
        <f t="shared" si="3"/>
        <v>8741.4137314261661</v>
      </c>
      <c r="N16" s="490">
        <f t="shared" ref="N16" si="4">SUM(N5:N15)</f>
        <v>99783.262999929371</v>
      </c>
    </row>
    <row r="17" spans="1:14">
      <c r="A17" s="287"/>
    </row>
    <row r="18" spans="1:14" s="163" customFormat="1">
      <c r="A18" s="162" t="s">
        <v>2008</v>
      </c>
    </row>
    <row r="19" spans="1:14">
      <c r="A19" s="236" t="s">
        <v>2415</v>
      </c>
      <c r="B19" s="402">
        <f>B10</f>
        <v>-44.353999999999999</v>
      </c>
      <c r="C19" s="402">
        <f t="shared" ref="C19:M21" si="5">C10</f>
        <v>-44.353999999999999</v>
      </c>
      <c r="D19" s="402">
        <f t="shared" si="5"/>
        <v>-44.353999999999999</v>
      </c>
      <c r="E19" s="402">
        <f t="shared" si="5"/>
        <v>-44.353999999999999</v>
      </c>
      <c r="F19" s="402">
        <f t="shared" si="5"/>
        <v>-43.853999999999999</v>
      </c>
      <c r="G19" s="402">
        <f t="shared" si="5"/>
        <v>-44.353999999999999</v>
      </c>
      <c r="H19" s="402">
        <f t="shared" si="5"/>
        <v>-44.353999999999999</v>
      </c>
      <c r="I19" s="402">
        <f t="shared" si="5"/>
        <v>-44.353999999999999</v>
      </c>
      <c r="J19" s="402">
        <f t="shared" si="5"/>
        <v>-43.847000000000001</v>
      </c>
      <c r="K19" s="402">
        <f t="shared" si="5"/>
        <v>-43.847000000000001</v>
      </c>
      <c r="L19" s="402">
        <f t="shared" si="5"/>
        <v>-43.847000000000001</v>
      </c>
      <c r="M19" s="402">
        <f t="shared" si="5"/>
        <v>-43.347000000000001</v>
      </c>
      <c r="N19" s="402">
        <f t="shared" ref="N19:N22" si="6">SUM(B19:M19)</f>
        <v>-529.21999999999991</v>
      </c>
    </row>
    <row r="20" spans="1:14">
      <c r="A20" s="236" t="s">
        <v>2416</v>
      </c>
      <c r="B20" s="402">
        <f>B11</f>
        <v>317.17200000000003</v>
      </c>
      <c r="C20" s="402">
        <f t="shared" si="5"/>
        <v>295.32400000000001</v>
      </c>
      <c r="D20" s="402">
        <f t="shared" si="5"/>
        <v>314.81400000000002</v>
      </c>
      <c r="E20" s="402">
        <f t="shared" si="5"/>
        <v>318.79399999999998</v>
      </c>
      <c r="F20" s="402">
        <f t="shared" si="5"/>
        <v>307.57900000000001</v>
      </c>
      <c r="G20" s="402">
        <f t="shared" si="5"/>
        <v>320.226</v>
      </c>
      <c r="H20" s="402">
        <f t="shared" si="5"/>
        <v>300.03300000000002</v>
      </c>
      <c r="I20" s="402">
        <f t="shared" si="5"/>
        <v>323.39499999999998</v>
      </c>
      <c r="J20" s="402">
        <f t="shared" si="5"/>
        <v>384.22199999999998</v>
      </c>
      <c r="K20" s="402">
        <f t="shared" si="5"/>
        <v>373.637</v>
      </c>
      <c r="L20" s="402">
        <f t="shared" si="5"/>
        <v>380.241999999999</v>
      </c>
      <c r="M20" s="402">
        <f t="shared" si="5"/>
        <v>378.202</v>
      </c>
      <c r="N20" s="402">
        <f t="shared" si="6"/>
        <v>4013.6399999999994</v>
      </c>
    </row>
    <row r="21" spans="1:14">
      <c r="A21" s="236" t="s">
        <v>2417</v>
      </c>
      <c r="B21" s="402">
        <f>B12</f>
        <v>865.36400000000003</v>
      </c>
      <c r="C21" s="402">
        <f t="shared" si="5"/>
        <v>976.07600000000002</v>
      </c>
      <c r="D21" s="402">
        <f t="shared" si="5"/>
        <v>1062.9079999999999</v>
      </c>
      <c r="E21" s="402">
        <f t="shared" si="5"/>
        <v>1099.3689999999999</v>
      </c>
      <c r="F21" s="402">
        <f t="shared" si="5"/>
        <v>900.76700000000005</v>
      </c>
      <c r="G21" s="402">
        <f t="shared" si="5"/>
        <v>822.50800000000004</v>
      </c>
      <c r="H21" s="402">
        <f t="shared" si="5"/>
        <v>608.46400000000006</v>
      </c>
      <c r="I21" s="402">
        <f t="shared" si="5"/>
        <v>920.16200000000003</v>
      </c>
      <c r="J21" s="402">
        <f t="shared" si="5"/>
        <v>1075.8409999999999</v>
      </c>
      <c r="K21" s="402">
        <f t="shared" si="5"/>
        <v>959.32799999999997</v>
      </c>
      <c r="L21" s="402">
        <f t="shared" si="5"/>
        <v>798.78</v>
      </c>
      <c r="M21" s="402">
        <f t="shared" si="5"/>
        <v>839.99299999999903</v>
      </c>
      <c r="N21" s="402">
        <f t="shared" si="6"/>
        <v>10929.559999999998</v>
      </c>
    </row>
    <row r="22" spans="1:14">
      <c r="A22" s="236" t="s">
        <v>2419</v>
      </c>
      <c r="B22" s="489">
        <f>B14</f>
        <v>419.04300000000001</v>
      </c>
      <c r="C22" s="489">
        <f t="shared" ref="C22:M22" si="7">C14</f>
        <v>406.49799999999999</v>
      </c>
      <c r="D22" s="489">
        <f t="shared" si="7"/>
        <v>390.774</v>
      </c>
      <c r="E22" s="489">
        <f t="shared" si="7"/>
        <v>428.01499999999999</v>
      </c>
      <c r="F22" s="489">
        <f t="shared" si="7"/>
        <v>440.43799999999999</v>
      </c>
      <c r="G22" s="489">
        <f t="shared" si="7"/>
        <v>508.70600000000002</v>
      </c>
      <c r="H22" s="489">
        <f t="shared" si="7"/>
        <v>404.933999999999</v>
      </c>
      <c r="I22" s="489">
        <f t="shared" si="7"/>
        <v>496.93900000000002</v>
      </c>
      <c r="J22" s="489">
        <f t="shared" si="7"/>
        <v>435.363</v>
      </c>
      <c r="K22" s="489">
        <f t="shared" si="7"/>
        <v>545.74900000000002</v>
      </c>
      <c r="L22" s="489">
        <f t="shared" si="7"/>
        <v>513.93899999999996</v>
      </c>
      <c r="M22" s="489">
        <f t="shared" si="7"/>
        <v>583.70799999999997</v>
      </c>
      <c r="N22" s="402">
        <f t="shared" si="6"/>
        <v>5574.1059999999989</v>
      </c>
    </row>
    <row r="23" spans="1:14" s="163" customFormat="1">
      <c r="A23" s="164"/>
      <c r="B23" s="235"/>
      <c r="C23" s="235"/>
      <c r="D23" s="235"/>
      <c r="E23" s="235"/>
      <c r="F23" s="235"/>
      <c r="G23" s="235"/>
      <c r="H23" s="235"/>
      <c r="I23" s="235"/>
      <c r="J23" s="235"/>
      <c r="K23" s="235"/>
      <c r="L23" s="235"/>
      <c r="M23" s="235"/>
      <c r="N23" s="235"/>
    </row>
    <row r="24" spans="1:14" s="163" customFormat="1">
      <c r="A24" s="164" t="s">
        <v>2009</v>
      </c>
      <c r="B24" s="290">
        <f t="shared" ref="B24:M24" si="8">SUM(B19:B23)</f>
        <v>1557.2249999999999</v>
      </c>
      <c r="C24" s="290">
        <f t="shared" si="8"/>
        <v>1633.5440000000001</v>
      </c>
      <c r="D24" s="290">
        <f t="shared" si="8"/>
        <v>1724.1419999999998</v>
      </c>
      <c r="E24" s="290">
        <f t="shared" si="8"/>
        <v>1801.8240000000001</v>
      </c>
      <c r="F24" s="290">
        <f t="shared" si="8"/>
        <v>1604.9300000000003</v>
      </c>
      <c r="G24" s="290">
        <f t="shared" si="8"/>
        <v>1607.0860000000002</v>
      </c>
      <c r="H24" s="290">
        <f t="shared" si="8"/>
        <v>1269.0769999999991</v>
      </c>
      <c r="I24" s="290">
        <f t="shared" si="8"/>
        <v>1696.1420000000001</v>
      </c>
      <c r="J24" s="290">
        <f t="shared" si="8"/>
        <v>1851.579</v>
      </c>
      <c r="K24" s="290">
        <f t="shared" si="8"/>
        <v>1834.867</v>
      </c>
      <c r="L24" s="290">
        <f t="shared" si="8"/>
        <v>1649.1139999999991</v>
      </c>
      <c r="M24" s="290">
        <f t="shared" si="8"/>
        <v>1758.5559999999991</v>
      </c>
      <c r="N24" s="490">
        <f>SUM(B24:M24)</f>
        <v>19988.085999999996</v>
      </c>
    </row>
    <row r="25" spans="1:14">
      <c r="A25" s="164" t="s">
        <v>2008</v>
      </c>
      <c r="N25" s="491">
        <f>N24*0.125</f>
        <v>2498.5107499999995</v>
      </c>
    </row>
  </sheetData>
  <pageMargins left="0.75" right="0.75" top="1" bottom="1" header="0.5" footer="0.5"/>
  <pageSetup scale="80"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D8"/>
  <sheetViews>
    <sheetView workbookViewId="0">
      <selection activeCell="H22" sqref="H22"/>
    </sheetView>
  </sheetViews>
  <sheetFormatPr defaultColWidth="9" defaultRowHeight="15"/>
  <cols>
    <col min="1" max="1" width="9" style="415"/>
    <col min="2" max="7" width="10.44140625" style="415" customWidth="1"/>
    <col min="8" max="10" width="9.88671875" style="415" bestFit="1" customWidth="1"/>
    <col min="11" max="12" width="10.77734375" style="415" bestFit="1" customWidth="1"/>
    <col min="13" max="13" width="14" style="415" bestFit="1" customWidth="1"/>
    <col min="14" max="24" width="10.77734375" style="415" bestFit="1" customWidth="1"/>
    <col min="25" max="25" width="9.6640625" style="415" customWidth="1"/>
    <col min="26" max="26" width="10.109375" style="415" customWidth="1"/>
    <col min="27" max="27" width="10.33203125" style="415" customWidth="1"/>
    <col min="28" max="28" width="9.6640625" style="415" customWidth="1"/>
    <col min="29" max="29" width="9.77734375" style="415" customWidth="1"/>
    <col min="30" max="30" width="14" style="415" bestFit="1" customWidth="1"/>
    <col min="31" max="16384" width="9" style="415"/>
  </cols>
  <sheetData>
    <row r="1" spans="1:30">
      <c r="B1" s="744" t="s">
        <v>2471</v>
      </c>
      <c r="C1" s="744" t="s">
        <v>2472</v>
      </c>
      <c r="D1" s="744" t="s">
        <v>2473</v>
      </c>
      <c r="E1" s="744" t="s">
        <v>2474</v>
      </c>
      <c r="F1" s="744" t="s">
        <v>2475</v>
      </c>
      <c r="G1" s="744" t="s">
        <v>2476</v>
      </c>
      <c r="H1" s="744" t="s">
        <v>2398</v>
      </c>
      <c r="I1" s="744" t="s">
        <v>2399</v>
      </c>
      <c r="J1" s="744" t="s">
        <v>2400</v>
      </c>
      <c r="K1" s="744" t="s">
        <v>2401</v>
      </c>
      <c r="L1" s="744" t="s">
        <v>2402</v>
      </c>
      <c r="M1" s="744" t="s">
        <v>2403</v>
      </c>
      <c r="N1" s="744" t="s">
        <v>2554</v>
      </c>
      <c r="O1" s="744" t="s">
        <v>2555</v>
      </c>
      <c r="P1" s="744" t="s">
        <v>2556</v>
      </c>
      <c r="Q1" s="744" t="s">
        <v>2529</v>
      </c>
      <c r="R1" s="744" t="s">
        <v>2530</v>
      </c>
      <c r="S1" s="744" t="s">
        <v>2531</v>
      </c>
      <c r="T1" s="744" t="s">
        <v>2532</v>
      </c>
      <c r="U1" s="744" t="s">
        <v>2533</v>
      </c>
      <c r="V1" s="744" t="s">
        <v>2534</v>
      </c>
      <c r="W1" s="744" t="s">
        <v>2535</v>
      </c>
      <c r="X1" s="744" t="s">
        <v>2536</v>
      </c>
      <c r="Y1" s="744" t="s">
        <v>2537</v>
      </c>
      <c r="Z1" s="744" t="s">
        <v>2538</v>
      </c>
      <c r="AA1" s="744" t="s">
        <v>2539</v>
      </c>
      <c r="AB1" s="744" t="s">
        <v>2540</v>
      </c>
      <c r="AC1" s="744" t="s">
        <v>2541</v>
      </c>
      <c r="AD1" s="744" t="s">
        <v>2012</v>
      </c>
    </row>
    <row r="2" spans="1:30">
      <c r="A2" s="745" t="s">
        <v>2010</v>
      </c>
      <c r="B2" s="746">
        <v>-304298.30039607169</v>
      </c>
      <c r="C2" s="746">
        <v>-304817.99113673926</v>
      </c>
      <c r="D2" s="746">
        <v>-306048.56789869664</v>
      </c>
      <c r="E2" s="746">
        <v>-308630.88376486942</v>
      </c>
      <c r="F2" s="746">
        <v>-310488.83880473278</v>
      </c>
      <c r="G2" s="746">
        <v>-312041.98893267533</v>
      </c>
      <c r="H2" s="746">
        <v>-314014.82227491477</v>
      </c>
      <c r="I2" s="746">
        <v>-316760.43938522524</v>
      </c>
      <c r="J2" s="746">
        <v>-320081.58299026033</v>
      </c>
      <c r="K2" s="746">
        <v>-323844.61868016148</v>
      </c>
      <c r="L2" s="746">
        <v>-327474.9195367542</v>
      </c>
      <c r="M2" s="746">
        <f>-335914.909399555*1000</f>
        <v>-335914909.39955503</v>
      </c>
      <c r="N2" s="746">
        <v>-337176.00797756342</v>
      </c>
      <c r="O2" s="746">
        <v>-338647.55946668843</v>
      </c>
      <c r="P2" s="746">
        <v>-340209.70274975611</v>
      </c>
      <c r="Q2" s="746">
        <v>-342590.33496300306</v>
      </c>
      <c r="R2" s="746">
        <v>-345527.9818960554</v>
      </c>
      <c r="S2" s="746">
        <v>-348823.52739394072</v>
      </c>
      <c r="T2" s="746">
        <v>-352033.83814679005</v>
      </c>
      <c r="U2" s="746">
        <v>-355308.71538165916</v>
      </c>
      <c r="V2" s="746">
        <v>-358310.27259142231</v>
      </c>
      <c r="W2" s="746">
        <v>-361288.24013016693</v>
      </c>
      <c r="X2" s="746">
        <v>-365256.06592289952</v>
      </c>
      <c r="Y2" s="746">
        <v>-376022.83275174786</v>
      </c>
      <c r="Z2" s="746">
        <v>-376928.98800041998</v>
      </c>
      <c r="AA2" s="746">
        <v>-377624.88784409239</v>
      </c>
      <c r="AB2" s="746">
        <v>-378245.56917368929</v>
      </c>
      <c r="AC2" s="746">
        <v>-379699.09664650063</v>
      </c>
      <c r="AD2" s="746">
        <f>SUM(Q2:W2,X2:AC2)/13*1000</f>
        <v>-362896950.06479907</v>
      </c>
    </row>
    <row r="3" spans="1:30" ht="15.75">
      <c r="A3" s="745" t="s">
        <v>2013</v>
      </c>
      <c r="B3" s="747"/>
      <c r="C3" s="747"/>
      <c r="D3" s="747"/>
      <c r="E3" s="747"/>
      <c r="F3" s="747"/>
      <c r="G3" s="747"/>
      <c r="H3" s="748"/>
      <c r="I3" s="748"/>
      <c r="J3" s="748"/>
      <c r="K3" s="748"/>
      <c r="L3" s="748"/>
      <c r="M3" s="749">
        <f>'JURISSEP B'!$G$1260</f>
        <v>0.87673530496058716</v>
      </c>
      <c r="N3" s="748"/>
      <c r="O3" s="748"/>
      <c r="P3" s="748"/>
      <c r="Q3" s="748"/>
      <c r="R3" s="748"/>
      <c r="S3" s="748"/>
      <c r="T3" s="748"/>
      <c r="U3" s="748"/>
      <c r="V3" s="748"/>
      <c r="W3" s="748"/>
      <c r="X3" s="748"/>
      <c r="Y3" s="748"/>
      <c r="Z3" s="748"/>
      <c r="AA3" s="748"/>
      <c r="AB3" s="748"/>
      <c r="AC3" s="748"/>
      <c r="AD3" s="749">
        <f>'JURISSEP F'!$G$1260</f>
        <v>0.93741603079505231</v>
      </c>
    </row>
    <row r="4" spans="1:30" ht="15.75">
      <c r="A4" s="745" t="s">
        <v>2014</v>
      </c>
      <c r="B4" s="747"/>
      <c r="C4" s="747"/>
      <c r="D4" s="747"/>
      <c r="E4" s="747"/>
      <c r="F4" s="747"/>
      <c r="G4" s="747"/>
      <c r="H4" s="748"/>
      <c r="I4" s="748"/>
      <c r="J4" s="748"/>
      <c r="K4" s="748"/>
      <c r="L4" s="748"/>
      <c r="M4" s="748">
        <f>M2*M3</f>
        <v>-294508460.53322691</v>
      </c>
      <c r="N4" s="748"/>
      <c r="O4" s="748"/>
      <c r="P4" s="748"/>
      <c r="Q4" s="748"/>
      <c r="R4" s="748"/>
      <c r="S4" s="748"/>
      <c r="T4" s="748"/>
      <c r="U4" s="748"/>
      <c r="V4" s="748"/>
      <c r="W4" s="748"/>
      <c r="X4" s="748"/>
      <c r="Y4" s="748"/>
      <c r="Z4" s="748"/>
      <c r="AA4" s="748"/>
      <c r="AB4" s="748"/>
      <c r="AC4" s="748"/>
      <c r="AD4" s="748">
        <f>AD2*AD3</f>
        <v>-340185418.51737422</v>
      </c>
    </row>
    <row r="5" spans="1:30" ht="15.75">
      <c r="A5" s="745"/>
      <c r="B5" s="747"/>
      <c r="C5" s="747"/>
      <c r="D5" s="747"/>
      <c r="E5" s="747"/>
      <c r="F5" s="747"/>
      <c r="G5" s="747"/>
      <c r="H5" s="748"/>
      <c r="I5" s="748"/>
      <c r="J5" s="748"/>
      <c r="K5" s="748"/>
      <c r="L5" s="748"/>
      <c r="M5" s="748"/>
      <c r="N5" s="748"/>
      <c r="O5" s="748"/>
      <c r="P5" s="748"/>
      <c r="Q5" s="748"/>
      <c r="R5" s="748"/>
      <c r="S5" s="748"/>
      <c r="T5" s="748"/>
      <c r="U5" s="748"/>
      <c r="V5" s="748"/>
      <c r="W5" s="748"/>
      <c r="X5" s="748"/>
      <c r="Y5" s="748"/>
      <c r="Z5" s="748"/>
      <c r="AA5" s="748"/>
      <c r="AB5" s="748"/>
      <c r="AC5" s="748"/>
      <c r="AD5" s="748"/>
    </row>
    <row r="6" spans="1:30" ht="15.75">
      <c r="A6" s="745"/>
      <c r="B6" s="747"/>
      <c r="C6" s="747"/>
      <c r="D6" s="747"/>
      <c r="E6" s="747"/>
      <c r="F6" s="747"/>
      <c r="G6" s="747"/>
      <c r="H6" s="748"/>
      <c r="I6" s="748"/>
      <c r="J6" s="748"/>
      <c r="K6" s="748"/>
      <c r="L6" s="748"/>
      <c r="M6" s="748"/>
      <c r="N6" s="748"/>
      <c r="O6" s="748"/>
      <c r="P6" s="748"/>
      <c r="Q6" s="748"/>
      <c r="R6" s="748"/>
      <c r="S6" s="748"/>
      <c r="T6" s="748"/>
      <c r="U6" s="748"/>
      <c r="V6" s="748"/>
      <c r="W6" s="748"/>
      <c r="X6" s="748"/>
      <c r="Y6" s="748"/>
      <c r="Z6" s="748"/>
      <c r="AA6" s="748"/>
      <c r="AB6" s="748"/>
      <c r="AC6" s="748"/>
      <c r="AD6" s="748"/>
    </row>
    <row r="7" spans="1:30" ht="15.75">
      <c r="A7" s="745"/>
      <c r="B7" s="747"/>
      <c r="C7" s="747"/>
      <c r="D7" s="747"/>
      <c r="E7" s="747"/>
      <c r="F7" s="747"/>
      <c r="G7" s="747"/>
      <c r="H7" s="748"/>
      <c r="I7" s="748"/>
      <c r="J7" s="748"/>
      <c r="K7" s="748"/>
      <c r="L7" s="748"/>
      <c r="M7" s="748"/>
      <c r="N7" s="748"/>
      <c r="O7" s="748"/>
      <c r="P7" s="748"/>
      <c r="Q7" s="748"/>
      <c r="R7" s="748"/>
      <c r="S7" s="748"/>
      <c r="T7" s="748"/>
      <c r="U7" s="748"/>
      <c r="V7" s="748"/>
      <c r="W7" s="748"/>
      <c r="X7" s="748"/>
      <c r="Y7" s="748"/>
      <c r="Z7" s="748"/>
      <c r="AA7" s="748"/>
      <c r="AB7" s="748"/>
      <c r="AC7" s="748"/>
      <c r="AD7" s="748"/>
    </row>
    <row r="8" spans="1:30">
      <c r="A8" s="750" t="s">
        <v>2011</v>
      </c>
      <c r="B8" s="746">
        <v>-254703.95669982961</v>
      </c>
      <c r="C8" s="746">
        <v>-255461.43653841241</v>
      </c>
      <c r="D8" s="746">
        <v>-256870.927084725</v>
      </c>
      <c r="E8" s="746">
        <v>-258103.44392876831</v>
      </c>
      <c r="F8" s="746">
        <v>-259244.28845238889</v>
      </c>
      <c r="G8" s="746">
        <v>-260465.7683444361</v>
      </c>
      <c r="H8" s="746">
        <v>-261819.11509919641</v>
      </c>
      <c r="I8" s="746">
        <v>-264024.68864487385</v>
      </c>
      <c r="J8" s="746">
        <v>-267131.63205297029</v>
      </c>
      <c r="K8" s="746">
        <v>-270307.56834170857</v>
      </c>
      <c r="L8" s="746">
        <v>-273225.26214260986</v>
      </c>
      <c r="M8" s="746">
        <f>-278650.776617759</f>
        <v>-278650.77661775902</v>
      </c>
      <c r="N8" s="746">
        <v>-281168.31340300478</v>
      </c>
      <c r="O8" s="746">
        <v>-283726.47485351644</v>
      </c>
      <c r="P8" s="746">
        <v>-286355.50966260239</v>
      </c>
      <c r="Q8" s="746">
        <v>-289553.79481828783</v>
      </c>
      <c r="R8" s="746">
        <v>-292507.45087738684</v>
      </c>
      <c r="S8" s="746">
        <v>-294938.36603416892</v>
      </c>
      <c r="T8" s="746">
        <v>-297631.01709695224</v>
      </c>
      <c r="U8" s="746">
        <v>-300649.0994425735</v>
      </c>
      <c r="V8" s="746">
        <v>-303614.67268363526</v>
      </c>
      <c r="W8" s="746">
        <v>-306432.38851188467</v>
      </c>
      <c r="X8" s="746">
        <v>-310165.84574728436</v>
      </c>
      <c r="Y8" s="746">
        <v>-317694.23916654685</v>
      </c>
      <c r="Z8" s="746">
        <v>-318230.95850966481</v>
      </c>
      <c r="AA8" s="746">
        <v>-318766.34109350678</v>
      </c>
      <c r="AB8" s="746">
        <v>-319350.06707537523</v>
      </c>
      <c r="AC8" s="746">
        <v>-320075.57533751143</v>
      </c>
      <c r="AD8" s="746">
        <f>SUM(Q8:W8,X8:AC8)/13*1000</f>
        <v>-306893062.7995984</v>
      </c>
    </row>
  </sheetData>
  <pageMargins left="0.7" right="0.7" top="0.75" bottom="0.75" header="0.3" footer="0.3"/>
  <pageSetup scale="39"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Q11"/>
  <sheetViews>
    <sheetView zoomScale="85" zoomScaleNormal="85" workbookViewId="0">
      <pane xSplit="1" ySplit="1" topLeftCell="L2" activePane="bottomRight" state="frozen"/>
      <selection activeCell="AF2" sqref="AF2"/>
      <selection pane="topRight" activeCell="AF2" sqref="AF2"/>
      <selection pane="bottomLeft" activeCell="AF2" sqref="AF2"/>
      <selection pane="bottomRight" activeCell="AD18" sqref="AD18"/>
    </sheetView>
  </sheetViews>
  <sheetFormatPr defaultColWidth="9" defaultRowHeight="15"/>
  <cols>
    <col min="1" max="1" width="28.88671875" style="415" bestFit="1" customWidth="1"/>
    <col min="2" max="7" width="12.88671875" style="415" bestFit="1" customWidth="1"/>
    <col min="8" max="8" width="11.77734375" style="415" bestFit="1" customWidth="1"/>
    <col min="9" max="12" width="8.44140625" style="415" bestFit="1" customWidth="1"/>
    <col min="13" max="13" width="13.44140625" style="415" customWidth="1"/>
    <col min="14" max="29" width="8.44140625" style="415" bestFit="1" customWidth="1"/>
    <col min="30" max="30" width="14" style="415" customWidth="1"/>
    <col min="31" max="16384" width="9" style="415"/>
  </cols>
  <sheetData>
    <row r="1" spans="1:43">
      <c r="B1" s="744" t="s">
        <v>2471</v>
      </c>
      <c r="C1" s="744" t="s">
        <v>2472</v>
      </c>
      <c r="D1" s="744" t="s">
        <v>2473</v>
      </c>
      <c r="E1" s="744" t="s">
        <v>2474</v>
      </c>
      <c r="F1" s="744" t="s">
        <v>2475</v>
      </c>
      <c r="G1" s="744" t="s">
        <v>2476</v>
      </c>
      <c r="H1" s="744" t="s">
        <v>2398</v>
      </c>
      <c r="I1" s="744" t="s">
        <v>2399</v>
      </c>
      <c r="J1" s="744" t="s">
        <v>2400</v>
      </c>
      <c r="K1" s="744" t="s">
        <v>2401</v>
      </c>
      <c r="L1" s="744" t="s">
        <v>2402</v>
      </c>
      <c r="M1" s="744" t="s">
        <v>2403</v>
      </c>
      <c r="N1" s="744" t="s">
        <v>2554</v>
      </c>
      <c r="O1" s="744" t="s">
        <v>2555</v>
      </c>
      <c r="P1" s="744" t="s">
        <v>2556</v>
      </c>
      <c r="Q1" s="744" t="s">
        <v>2529</v>
      </c>
      <c r="R1" s="744" t="s">
        <v>2530</v>
      </c>
      <c r="S1" s="744" t="s">
        <v>2531</v>
      </c>
      <c r="T1" s="744" t="s">
        <v>2532</v>
      </c>
      <c r="U1" s="744" t="s">
        <v>2533</v>
      </c>
      <c r="V1" s="744" t="s">
        <v>2534</v>
      </c>
      <c r="W1" s="744" t="s">
        <v>2535</v>
      </c>
      <c r="X1" s="744" t="s">
        <v>2536</v>
      </c>
      <c r="Y1" s="744" t="s">
        <v>2537</v>
      </c>
      <c r="Z1" s="744" t="s">
        <v>2538</v>
      </c>
      <c r="AA1" s="744" t="s">
        <v>2539</v>
      </c>
      <c r="AB1" s="744" t="s">
        <v>2540</v>
      </c>
      <c r="AC1" s="744" t="s">
        <v>2541</v>
      </c>
      <c r="AD1" s="744" t="s">
        <v>2012</v>
      </c>
      <c r="AE1" s="416"/>
      <c r="AF1" s="416"/>
      <c r="AG1" s="416"/>
      <c r="AH1" s="416"/>
      <c r="AI1" s="416"/>
      <c r="AJ1" s="416"/>
      <c r="AK1" s="416"/>
      <c r="AL1" s="416"/>
      <c r="AM1" s="416"/>
      <c r="AN1" s="416"/>
      <c r="AO1" s="416"/>
      <c r="AP1" s="416"/>
      <c r="AQ1" s="416"/>
    </row>
    <row r="2" spans="1:43">
      <c r="A2" s="415" t="s">
        <v>2016</v>
      </c>
      <c r="B2" s="751">
        <v>-1907.4482977470934</v>
      </c>
      <c r="C2" s="751">
        <v>-1894.9961763438632</v>
      </c>
      <c r="D2" s="751">
        <v>-1883.8899007456862</v>
      </c>
      <c r="E2" s="751">
        <v>-1871.5941277921002</v>
      </c>
      <c r="F2" s="751">
        <v>-1859.3804758813578</v>
      </c>
      <c r="G2" s="751">
        <v>-1847.2414821632908</v>
      </c>
      <c r="H2" s="751">
        <v>-1836.1785436249208</v>
      </c>
      <c r="I2" s="751">
        <v>-1825.1019848141859</v>
      </c>
      <c r="J2" s="751">
        <v>-1813.8590117763961</v>
      </c>
      <c r="K2" s="751">
        <v>-1802.448973381421</v>
      </c>
      <c r="L2" s="751">
        <v>-1791.025029520611</v>
      </c>
      <c r="M2" s="751">
        <f>-1782.74930126464*1000</f>
        <v>-1782749.3012646399</v>
      </c>
      <c r="N2" s="751">
        <v>-1768.0010676831989</v>
      </c>
      <c r="O2" s="751">
        <v>-1753.1918452214622</v>
      </c>
      <c r="P2" s="751">
        <v>-1738.3216338819254</v>
      </c>
      <c r="Q2" s="751">
        <v>-1723.3904336620938</v>
      </c>
      <c r="R2" s="751">
        <v>-1708.3982445644619</v>
      </c>
      <c r="S2" s="751">
        <v>-1693.3450665865353</v>
      </c>
      <c r="T2" s="751">
        <v>-1678.2308997283135</v>
      </c>
      <c r="U2" s="751">
        <v>-1663.0557439922916</v>
      </c>
      <c r="V2" s="751">
        <v>-1647.8195993759748</v>
      </c>
      <c r="W2" s="751">
        <v>-1632.5224658818579</v>
      </c>
      <c r="X2" s="751">
        <v>-1617.1643435074461</v>
      </c>
      <c r="Y2" s="751">
        <v>-1601.7452322552342</v>
      </c>
      <c r="Z2" s="751">
        <v>-1582.8789959982435</v>
      </c>
      <c r="AA2" s="751">
        <v>-1564.0053191023528</v>
      </c>
      <c r="AB2" s="751">
        <v>-1545.1242015525922</v>
      </c>
      <c r="AC2" s="751">
        <v>-1526.2356433489617</v>
      </c>
      <c r="AD2" s="751">
        <f>SUM(Q2:AC2)/13*1000</f>
        <v>-1629532.0145812586</v>
      </c>
    </row>
    <row r="3" spans="1:43" ht="15.75">
      <c r="A3" s="415" t="s">
        <v>2019</v>
      </c>
      <c r="B3" s="292"/>
      <c r="C3" s="292"/>
      <c r="D3" s="292"/>
      <c r="E3" s="292"/>
      <c r="F3" s="292"/>
      <c r="G3" s="292"/>
      <c r="H3" s="751"/>
      <c r="I3" s="751"/>
      <c r="J3" s="751"/>
      <c r="K3" s="751"/>
      <c r="L3" s="751"/>
      <c r="M3" s="751"/>
      <c r="N3" s="751"/>
      <c r="O3" s="751"/>
      <c r="P3" s="751"/>
      <c r="Q3" s="751"/>
      <c r="R3" s="751"/>
      <c r="S3" s="751"/>
      <c r="T3" s="751"/>
      <c r="U3" s="751"/>
      <c r="V3" s="751"/>
      <c r="W3" s="751"/>
      <c r="X3" s="751"/>
      <c r="Y3" s="751"/>
      <c r="Z3" s="751"/>
      <c r="AA3" s="751"/>
      <c r="AB3" s="751"/>
      <c r="AC3" s="751"/>
      <c r="AD3" s="751"/>
    </row>
    <row r="4" spans="1:43" ht="15.75">
      <c r="B4" s="292"/>
      <c r="C4" s="292"/>
      <c r="D4" s="292"/>
      <c r="E4" s="292"/>
      <c r="F4" s="292"/>
      <c r="G4" s="292"/>
      <c r="H4" s="751"/>
      <c r="I4" s="751"/>
      <c r="J4" s="751"/>
      <c r="K4" s="751"/>
      <c r="L4" s="751"/>
      <c r="M4" s="751"/>
      <c r="N4" s="751"/>
      <c r="O4" s="751"/>
      <c r="P4" s="751"/>
      <c r="Q4" s="751"/>
      <c r="R4" s="751"/>
      <c r="S4" s="751"/>
      <c r="T4" s="751"/>
      <c r="U4" s="751"/>
      <c r="V4" s="751"/>
      <c r="W4" s="751"/>
      <c r="X4" s="751"/>
      <c r="Y4" s="751"/>
      <c r="Z4" s="751"/>
      <c r="AA4" s="751"/>
      <c r="AB4" s="751"/>
      <c r="AC4" s="751"/>
      <c r="AD4" s="751"/>
    </row>
    <row r="5" spans="1:43" ht="15.75">
      <c r="B5" s="292"/>
      <c r="C5" s="292"/>
      <c r="D5" s="292"/>
      <c r="E5" s="292"/>
      <c r="F5" s="292"/>
      <c r="G5" s="292"/>
      <c r="H5" s="751"/>
      <c r="I5" s="751"/>
      <c r="J5" s="751"/>
      <c r="K5" s="751"/>
      <c r="L5" s="751"/>
      <c r="M5" s="751"/>
      <c r="N5" s="751"/>
      <c r="O5" s="751"/>
      <c r="P5" s="751"/>
      <c r="Q5" s="751"/>
      <c r="R5" s="751"/>
      <c r="S5" s="751"/>
      <c r="T5" s="751"/>
      <c r="U5" s="751"/>
      <c r="V5" s="751"/>
      <c r="W5" s="751"/>
      <c r="X5" s="751"/>
      <c r="Y5" s="751"/>
      <c r="Z5" s="751"/>
      <c r="AA5" s="751"/>
      <c r="AB5" s="751"/>
      <c r="AC5" s="751"/>
      <c r="AD5" s="751"/>
    </row>
    <row r="6" spans="1:43" ht="15.75">
      <c r="B6" s="292"/>
      <c r="C6" s="292"/>
      <c r="D6" s="292"/>
      <c r="E6" s="292"/>
      <c r="F6" s="292"/>
      <c r="G6" s="292"/>
      <c r="H6" s="751"/>
      <c r="I6" s="751"/>
      <c r="J6" s="751"/>
      <c r="K6" s="751"/>
      <c r="L6" s="751"/>
      <c r="M6" s="751"/>
      <c r="N6" s="751"/>
      <c r="O6" s="751"/>
      <c r="P6" s="751"/>
      <c r="Q6" s="751"/>
      <c r="R6" s="751"/>
      <c r="S6" s="751"/>
      <c r="T6" s="751"/>
      <c r="U6" s="751"/>
      <c r="V6" s="751"/>
      <c r="W6" s="751"/>
      <c r="X6" s="751"/>
      <c r="Y6" s="751"/>
      <c r="Z6" s="751"/>
      <c r="AA6" s="751"/>
      <c r="AB6" s="751"/>
      <c r="AC6" s="751"/>
      <c r="AD6" s="751"/>
    </row>
    <row r="7" spans="1:43" ht="15.75">
      <c r="B7" s="292"/>
      <c r="C7" s="292"/>
      <c r="D7" s="292"/>
      <c r="E7" s="292"/>
      <c r="F7" s="292"/>
      <c r="G7" s="292"/>
      <c r="H7" s="751"/>
      <c r="I7" s="751"/>
      <c r="J7" s="751"/>
      <c r="K7" s="751"/>
      <c r="L7" s="751"/>
      <c r="M7" s="751"/>
      <c r="N7" s="751"/>
      <c r="O7" s="751"/>
      <c r="P7" s="751"/>
      <c r="Q7" s="751"/>
      <c r="R7" s="751"/>
      <c r="S7" s="751"/>
      <c r="T7" s="751"/>
      <c r="U7" s="751"/>
      <c r="V7" s="751"/>
      <c r="W7" s="751"/>
      <c r="X7" s="751"/>
      <c r="Y7" s="751"/>
      <c r="Z7" s="751"/>
      <c r="AA7" s="751"/>
      <c r="AB7" s="751"/>
      <c r="AC7" s="751"/>
      <c r="AD7" s="751"/>
    </row>
    <row r="8" spans="1:43" ht="15.75">
      <c r="B8" s="292"/>
      <c r="C8" s="292"/>
      <c r="D8" s="292"/>
      <c r="E8" s="292"/>
      <c r="F8" s="292"/>
      <c r="G8" s="292"/>
      <c r="H8" s="751"/>
      <c r="I8" s="751"/>
      <c r="J8" s="751"/>
      <c r="K8" s="751"/>
      <c r="L8" s="751"/>
      <c r="M8" s="751"/>
      <c r="N8" s="751"/>
      <c r="O8" s="751"/>
      <c r="P8" s="751"/>
      <c r="Q8" s="751"/>
      <c r="R8" s="751"/>
      <c r="S8" s="751"/>
      <c r="T8" s="751"/>
      <c r="U8" s="751"/>
      <c r="V8" s="751"/>
      <c r="W8" s="751"/>
      <c r="X8" s="751"/>
      <c r="Y8" s="751"/>
      <c r="Z8" s="751"/>
      <c r="AA8" s="751"/>
      <c r="AB8" s="751"/>
      <c r="AC8" s="751"/>
      <c r="AD8" s="751"/>
    </row>
    <row r="9" spans="1:43" ht="15.75">
      <c r="B9" s="292"/>
      <c r="C9" s="292"/>
      <c r="D9" s="292"/>
      <c r="E9" s="292"/>
      <c r="F9" s="292"/>
      <c r="G9" s="292"/>
      <c r="H9" s="751"/>
      <c r="I9" s="751"/>
      <c r="J9" s="751"/>
      <c r="K9" s="751"/>
      <c r="L9" s="751"/>
      <c r="M9" s="751"/>
      <c r="N9" s="751"/>
      <c r="O9" s="751"/>
      <c r="P9" s="751"/>
      <c r="Q9" s="751"/>
      <c r="R9" s="751"/>
      <c r="S9" s="751"/>
      <c r="T9" s="751"/>
      <c r="U9" s="751"/>
      <c r="V9" s="751"/>
      <c r="W9" s="751"/>
      <c r="X9" s="751"/>
      <c r="Y9" s="751"/>
      <c r="Z9" s="751"/>
      <c r="AA9" s="751"/>
      <c r="AB9" s="751"/>
      <c r="AC9" s="751"/>
      <c r="AD9" s="751"/>
    </row>
    <row r="10" spans="1:43">
      <c r="A10" s="415" t="s">
        <v>2017</v>
      </c>
      <c r="B10" s="751">
        <v>-1463.583751096786</v>
      </c>
      <c r="C10" s="751">
        <v>-1453.5470501114096</v>
      </c>
      <c r="D10" s="751">
        <v>-1426.6919449397615</v>
      </c>
      <c r="E10" s="751">
        <v>-1416.4026638825651</v>
      </c>
      <c r="F10" s="751">
        <v>-1406.565394374398</v>
      </c>
      <c r="G10" s="751">
        <v>-1396.5879887188091</v>
      </c>
      <c r="H10" s="751">
        <v>-1387.7274336402691</v>
      </c>
      <c r="I10" s="751">
        <v>-1378.8544361364491</v>
      </c>
      <c r="J10" s="751">
        <v>-1369.838470511889</v>
      </c>
      <c r="K10" s="751">
        <v>-1360.6795322606188</v>
      </c>
      <c r="L10" s="751">
        <v>-1351.5084662310137</v>
      </c>
      <c r="M10" s="751">
        <f>-1345.01040723335*1000</f>
        <v>-1345010.40723335</v>
      </c>
      <c r="N10" s="751">
        <v>-1332.1703042076342</v>
      </c>
      <c r="O10" s="751">
        <v>-1319.2770092015758</v>
      </c>
      <c r="P10" s="751">
        <v>-1306.3305221652724</v>
      </c>
      <c r="Q10" s="751">
        <v>-1293.330843098724</v>
      </c>
      <c r="R10" s="751">
        <v>-1280.2779719994355</v>
      </c>
      <c r="S10" s="751">
        <v>-1267.1719088699022</v>
      </c>
      <c r="T10" s="751">
        <v>-1254.0126537101237</v>
      </c>
      <c r="U10" s="751">
        <v>-1240.8002065176054</v>
      </c>
      <c r="V10" s="751">
        <v>-1227.534567294842</v>
      </c>
      <c r="W10" s="751">
        <v>-1214.2157360418335</v>
      </c>
      <c r="X10" s="751">
        <v>-1200.8437127585801</v>
      </c>
      <c r="Y10" s="751">
        <v>-1187.4184974425866</v>
      </c>
      <c r="Z10" s="751">
        <v>-1170.9544960909661</v>
      </c>
      <c r="AA10" s="751">
        <v>-1154.4840053815708</v>
      </c>
      <c r="AB10" s="751">
        <v>-1138.0070252370556</v>
      </c>
      <c r="AC10" s="751">
        <v>-1121.5235556574203</v>
      </c>
      <c r="AD10" s="751">
        <f t="shared" ref="AD10:AD11" si="0">SUM(Q10:AC10)/13*1000</f>
        <v>-1211582.706161588</v>
      </c>
    </row>
    <row r="11" spans="1:43">
      <c r="A11" s="415" t="s">
        <v>2018</v>
      </c>
      <c r="B11" s="751"/>
      <c r="C11" s="751"/>
      <c r="D11" s="751"/>
      <c r="E11" s="751"/>
      <c r="F11" s="751"/>
      <c r="G11" s="751"/>
      <c r="H11" s="751"/>
      <c r="I11" s="751"/>
      <c r="J11" s="751"/>
      <c r="K11" s="751"/>
      <c r="L11" s="751"/>
      <c r="M11" s="751"/>
      <c r="N11" s="751"/>
      <c r="O11" s="751"/>
      <c r="P11" s="751"/>
      <c r="Q11" s="751"/>
      <c r="R11" s="751"/>
      <c r="S11" s="751"/>
      <c r="T11" s="751"/>
      <c r="U11" s="751"/>
      <c r="V11" s="751"/>
      <c r="W11" s="751"/>
      <c r="X11" s="751"/>
      <c r="Y11" s="751"/>
      <c r="Z11" s="751"/>
      <c r="AA11" s="751"/>
      <c r="AB11" s="751"/>
      <c r="AC11" s="751"/>
      <c r="AD11" s="751">
        <f t="shared" si="0"/>
        <v>0</v>
      </c>
    </row>
  </sheetData>
  <pageMargins left="0.7" right="0.7" top="0.75" bottom="0.75" header="0.3" footer="0.3"/>
  <pageSetup scale="39"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7"/>
  <sheetViews>
    <sheetView workbookViewId="0">
      <pane xSplit="1" topLeftCell="B1" activePane="topRight" state="frozen"/>
      <selection pane="topRight" activeCell="L10" sqref="L10"/>
    </sheetView>
  </sheetViews>
  <sheetFormatPr defaultColWidth="9" defaultRowHeight="15"/>
  <cols>
    <col min="1" max="1" width="44.109375" style="412" bestFit="1" customWidth="1"/>
    <col min="2" max="4" width="9" style="412"/>
    <col min="5" max="5" width="9.88671875" style="412" customWidth="1"/>
    <col min="6" max="16384" width="9" style="412"/>
  </cols>
  <sheetData>
    <row r="1" spans="1:78" ht="30">
      <c r="A1" s="717" t="s">
        <v>1841</v>
      </c>
      <c r="B1" s="704" t="s">
        <v>2501</v>
      </c>
      <c r="C1" s="704" t="s">
        <v>2471</v>
      </c>
      <c r="D1" s="704" t="s">
        <v>2472</v>
      </c>
      <c r="E1" s="704" t="s">
        <v>2473</v>
      </c>
      <c r="F1" s="704" t="s">
        <v>2474</v>
      </c>
      <c r="G1" s="704" t="s">
        <v>2475</v>
      </c>
      <c r="H1" s="704" t="s">
        <v>2476</v>
      </c>
      <c r="I1" s="704" t="s">
        <v>2398</v>
      </c>
      <c r="J1" s="704" t="s">
        <v>2399</v>
      </c>
      <c r="K1" s="704" t="s">
        <v>2400</v>
      </c>
      <c r="L1" s="704" t="s">
        <v>2401</v>
      </c>
      <c r="M1" s="704" t="s">
        <v>2402</v>
      </c>
      <c r="N1" s="704" t="s">
        <v>2403</v>
      </c>
      <c r="O1" s="400" t="s">
        <v>2516</v>
      </c>
      <c r="P1" s="704" t="s">
        <v>2554</v>
      </c>
      <c r="Q1" s="704" t="s">
        <v>2555</v>
      </c>
      <c r="R1" s="704" t="s">
        <v>2556</v>
      </c>
      <c r="S1" s="704" t="s">
        <v>2529</v>
      </c>
      <c r="T1" s="704" t="s">
        <v>2530</v>
      </c>
      <c r="U1" s="704" t="s">
        <v>2531</v>
      </c>
      <c r="V1" s="704" t="s">
        <v>2532</v>
      </c>
      <c r="W1" s="704" t="s">
        <v>2533</v>
      </c>
      <c r="X1" s="704" t="s">
        <v>2534</v>
      </c>
      <c r="Y1" s="704" t="s">
        <v>2535</v>
      </c>
      <c r="Z1" s="704" t="s">
        <v>2536</v>
      </c>
      <c r="AA1" s="704" t="s">
        <v>2537</v>
      </c>
      <c r="AB1" s="704" t="s">
        <v>2538</v>
      </c>
      <c r="AC1" s="704" t="s">
        <v>2539</v>
      </c>
      <c r="AD1" s="704" t="s">
        <v>2540</v>
      </c>
      <c r="AE1" s="704" t="s">
        <v>2541</v>
      </c>
      <c r="AF1" s="400" t="s">
        <v>2565</v>
      </c>
      <c r="AG1" s="400"/>
      <c r="AH1" s="400"/>
      <c r="AI1" s="400"/>
      <c r="AJ1" s="400"/>
      <c r="AK1" s="400"/>
      <c r="AL1" s="400"/>
      <c r="AM1" s="400"/>
      <c r="AN1" s="400"/>
      <c r="AO1" s="400"/>
      <c r="AP1" s="400"/>
      <c r="AQ1" s="400"/>
      <c r="AR1" s="400"/>
      <c r="AS1" s="400"/>
      <c r="AT1" s="400"/>
      <c r="AU1" s="400"/>
      <c r="AV1" s="400"/>
      <c r="AW1" s="400"/>
      <c r="AX1" s="400"/>
      <c r="AY1" s="400"/>
      <c r="AZ1" s="400"/>
      <c r="BA1" s="400"/>
      <c r="BB1" s="400"/>
      <c r="BC1" s="400"/>
      <c r="BD1" s="400"/>
      <c r="BE1" s="400"/>
      <c r="BF1" s="400"/>
      <c r="BG1" s="400"/>
      <c r="BH1" s="400"/>
      <c r="BI1" s="400"/>
      <c r="BJ1" s="400"/>
      <c r="BK1" s="400"/>
      <c r="BL1" s="400"/>
      <c r="BM1" s="400"/>
      <c r="BN1" s="400"/>
      <c r="BO1" s="400"/>
      <c r="BP1" s="400"/>
      <c r="BQ1" s="400"/>
      <c r="BR1" s="400"/>
      <c r="BS1" s="400"/>
      <c r="BT1" s="400"/>
      <c r="BU1" s="400"/>
      <c r="BV1" s="400"/>
      <c r="BW1" s="400"/>
      <c r="BX1" s="400"/>
      <c r="BY1" s="400"/>
      <c r="BZ1" s="400"/>
    </row>
    <row r="2" spans="1:78">
      <c r="A2" s="413" t="s">
        <v>1840</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row>
    <row r="3" spans="1:78">
      <c r="A3" s="414"/>
    </row>
    <row r="5" spans="1:78">
      <c r="A5" s="412" t="s">
        <v>2269</v>
      </c>
      <c r="B5" s="235">
        <v>131.23773</v>
      </c>
      <c r="C5" s="235">
        <v>130.94333</v>
      </c>
      <c r="D5" s="235">
        <v>130.77305999999999</v>
      </c>
      <c r="E5" s="235">
        <v>130.48747</v>
      </c>
      <c r="F5" s="235">
        <v>130.16242</v>
      </c>
      <c r="G5" s="235">
        <v>129.82372000000001</v>
      </c>
      <c r="H5" s="235">
        <v>129.52207999999999</v>
      </c>
      <c r="I5" s="235">
        <v>129.52207999999999</v>
      </c>
      <c r="J5" s="235">
        <v>129.52207999999999</v>
      </c>
      <c r="K5" s="235">
        <v>129.52207999999999</v>
      </c>
      <c r="L5" s="235">
        <v>129.52207999999999</v>
      </c>
      <c r="M5" s="235">
        <v>129.52207999999999</v>
      </c>
      <c r="N5" s="235">
        <v>129.52207999999999</v>
      </c>
      <c r="O5" s="402">
        <f>SUM(B5:L5,M5:N5)/13</f>
        <v>130.00632999999999</v>
      </c>
      <c r="P5" s="235">
        <v>129.52207999999999</v>
      </c>
      <c r="Q5" s="235">
        <v>129.52207999999999</v>
      </c>
      <c r="R5" s="235">
        <v>129.52207999999999</v>
      </c>
      <c r="S5" s="235">
        <v>129.52207999999999</v>
      </c>
      <c r="T5" s="235">
        <v>129.52207999999999</v>
      </c>
      <c r="U5" s="235">
        <v>129.52207999999999</v>
      </c>
      <c r="V5" s="235">
        <v>129.52207999999999</v>
      </c>
      <c r="W5" s="235">
        <v>129.52207999999999</v>
      </c>
      <c r="X5" s="235">
        <v>129.52207999999999</v>
      </c>
      <c r="Y5" s="235">
        <v>129.52207999999999</v>
      </c>
      <c r="Z5" s="235">
        <v>129.52207999999999</v>
      </c>
      <c r="AA5" s="235">
        <v>129.52207999999999</v>
      </c>
      <c r="AB5" s="235">
        <v>129.52207999999999</v>
      </c>
      <c r="AC5" s="235">
        <v>129.52207999999999</v>
      </c>
      <c r="AD5" s="235">
        <v>129.52207999999999</v>
      </c>
      <c r="AE5" s="235">
        <v>129.52207999999999</v>
      </c>
      <c r="AF5" s="402">
        <f>SUM(S5:Y5,Z5:AE5)/13</f>
        <v>129.52207999999999</v>
      </c>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row>
    <row r="6" spans="1:78">
      <c r="A6" s="412" t="s">
        <v>2094</v>
      </c>
      <c r="O6" s="487">
        <f>'JURISSEP B'!$G$1153</f>
        <v>0.87673530496058716</v>
      </c>
      <c r="AF6" s="487">
        <f>'JURISSEP F'!$G$1153</f>
        <v>0.93741603079505242</v>
      </c>
    </row>
    <row r="7" spans="1:78">
      <c r="O7" s="555">
        <f>O5*O6</f>
        <v>113.98113937935672</v>
      </c>
      <c r="AF7" s="555">
        <f>AF5*AF6</f>
        <v>121.41607413391924</v>
      </c>
    </row>
  </sheetData>
  <pageMargins left="0.7" right="0.7" top="0.75" bottom="0.75" header="0.3" footer="0.3"/>
  <pageSetup scale="3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S467"/>
  <sheetViews>
    <sheetView zoomScale="70" zoomScaleNormal="70" workbookViewId="0">
      <selection activeCell="B2" sqref="B2"/>
    </sheetView>
  </sheetViews>
  <sheetFormatPr defaultColWidth="9" defaultRowHeight="15.75"/>
  <cols>
    <col min="1" max="1" width="9" style="647"/>
    <col min="2" max="2" width="9" style="470"/>
    <col min="3" max="3" width="1.6640625" style="470" customWidth="1"/>
    <col min="4" max="4" width="68.6640625" style="470" bestFit="1" customWidth="1"/>
    <col min="5" max="5" width="1.6640625" style="470" customWidth="1"/>
    <col min="6" max="6" width="25.33203125" style="469" customWidth="1"/>
    <col min="7" max="7" width="1.6640625" style="470" customWidth="1"/>
    <col min="8" max="8" width="10.44140625" style="656" bestFit="1" customWidth="1"/>
    <col min="9" max="9" width="1.6640625" style="656" customWidth="1"/>
    <col min="10" max="10" width="11.88671875" style="656" bestFit="1" customWidth="1"/>
    <col min="11" max="11" width="1.6640625" style="656" customWidth="1"/>
    <col min="12" max="12" width="11.109375" style="656" bestFit="1" customWidth="1"/>
    <col min="13" max="13" width="1.6640625" style="656" customWidth="1"/>
    <col min="14" max="14" width="10.44140625" style="656" bestFit="1" customWidth="1"/>
    <col min="15" max="15" width="1.6640625" style="656" customWidth="1"/>
    <col min="16" max="16" width="17.33203125" style="656" customWidth="1"/>
    <col min="17" max="17" width="1.6640625" style="656" customWidth="1"/>
    <col min="18" max="18" width="13.109375" style="656" bestFit="1" customWidth="1"/>
    <col min="19" max="16384" width="9" style="237"/>
  </cols>
  <sheetData>
    <row r="1" spans="1:19">
      <c r="B1" s="783" t="s">
        <v>0</v>
      </c>
      <c r="C1" s="783"/>
      <c r="D1" s="783"/>
      <c r="E1" s="783"/>
      <c r="F1" s="783"/>
      <c r="G1" s="783"/>
      <c r="H1" s="783"/>
      <c r="I1" s="783"/>
      <c r="J1" s="783"/>
      <c r="K1" s="783"/>
      <c r="L1" s="783"/>
      <c r="M1" s="783"/>
      <c r="N1" s="783"/>
      <c r="O1" s="783"/>
      <c r="P1" s="783"/>
      <c r="Q1" s="783"/>
      <c r="R1" s="783"/>
    </row>
    <row r="2" spans="1:19">
      <c r="A2" s="273"/>
      <c r="B2" s="238"/>
      <c r="C2" s="238"/>
      <c r="D2" s="238"/>
      <c r="E2" s="238"/>
      <c r="F2" s="244"/>
      <c r="G2" s="238"/>
      <c r="H2" s="648"/>
      <c r="I2" s="648"/>
      <c r="J2" s="648"/>
      <c r="K2" s="648"/>
      <c r="L2" s="648"/>
      <c r="M2" s="648"/>
      <c r="N2" s="648"/>
      <c r="O2" s="648"/>
      <c r="P2" s="251"/>
      <c r="Q2" s="251"/>
      <c r="R2" s="251"/>
    </row>
    <row r="3" spans="1:19">
      <c r="A3" s="273"/>
      <c r="B3" s="238"/>
      <c r="C3" s="238"/>
      <c r="D3" s="238"/>
      <c r="E3" s="238"/>
      <c r="F3" s="244"/>
      <c r="G3" s="238"/>
      <c r="H3" s="648"/>
      <c r="I3" s="648"/>
      <c r="J3" s="648"/>
      <c r="K3" s="648"/>
      <c r="L3" s="648"/>
      <c r="M3" s="648"/>
      <c r="N3" s="648"/>
      <c r="O3" s="648"/>
      <c r="P3" s="251"/>
      <c r="Q3" s="251"/>
      <c r="R3" s="251"/>
    </row>
    <row r="4" spans="1:19" s="687" customFormat="1">
      <c r="A4" s="785" t="s">
        <v>2270</v>
      </c>
      <c r="B4" s="785"/>
      <c r="C4" s="785"/>
      <c r="D4" s="785"/>
      <c r="E4" s="785"/>
      <c r="F4" s="785"/>
      <c r="G4" s="785"/>
      <c r="H4" s="785"/>
      <c r="I4" s="785"/>
      <c r="J4" s="785"/>
      <c r="K4" s="785"/>
      <c r="L4" s="785"/>
      <c r="M4" s="785"/>
      <c r="N4" s="785"/>
      <c r="O4" s="785"/>
      <c r="P4" s="785"/>
      <c r="Q4" s="785"/>
      <c r="R4" s="785"/>
      <c r="S4" s="785"/>
    </row>
    <row r="5" spans="1:19" s="687" customFormat="1">
      <c r="A5" s="786" t="s">
        <v>2702</v>
      </c>
      <c r="B5" s="785"/>
      <c r="C5" s="785"/>
      <c r="D5" s="785"/>
      <c r="E5" s="785"/>
      <c r="F5" s="785"/>
      <c r="G5" s="785"/>
      <c r="H5" s="785"/>
      <c r="I5" s="785"/>
      <c r="J5" s="785"/>
      <c r="K5" s="785"/>
      <c r="L5" s="785"/>
      <c r="M5" s="785"/>
      <c r="N5" s="785"/>
      <c r="O5" s="785"/>
      <c r="P5" s="785"/>
      <c r="Q5" s="785"/>
      <c r="R5" s="785"/>
      <c r="S5" s="785"/>
    </row>
    <row r="6" spans="1:19">
      <c r="A6" s="273"/>
      <c r="B6" s="241"/>
      <c r="C6" s="242"/>
      <c r="D6" s="242"/>
      <c r="E6" s="242"/>
      <c r="F6" s="250"/>
      <c r="G6" s="242"/>
      <c r="H6" s="251"/>
      <c r="I6" s="251"/>
      <c r="J6" s="251"/>
      <c r="K6" s="251"/>
      <c r="L6" s="251"/>
      <c r="M6" s="251"/>
      <c r="N6" s="251"/>
      <c r="O6" s="251"/>
      <c r="P6" s="251"/>
      <c r="Q6" s="251"/>
      <c r="R6" s="251"/>
    </row>
    <row r="7" spans="1:19">
      <c r="A7" s="273"/>
      <c r="B7" s="241"/>
      <c r="C7" s="242"/>
      <c r="D7" s="242"/>
      <c r="E7" s="242"/>
      <c r="F7" s="250"/>
      <c r="G7" s="242"/>
      <c r="H7" s="251"/>
      <c r="I7" s="251"/>
      <c r="J7" s="251"/>
      <c r="K7" s="251"/>
      <c r="L7" s="251"/>
      <c r="M7" s="251"/>
      <c r="N7" s="251"/>
      <c r="O7" s="251"/>
      <c r="P7" s="251"/>
      <c r="Q7" s="251"/>
      <c r="R7" s="251"/>
    </row>
    <row r="8" spans="1:19">
      <c r="A8" s="273"/>
      <c r="B8" s="241"/>
      <c r="C8" s="242"/>
      <c r="D8" s="242"/>
      <c r="E8" s="242"/>
      <c r="F8" s="250"/>
      <c r="G8" s="242"/>
      <c r="H8" s="648" t="s">
        <v>1252</v>
      </c>
      <c r="I8" s="251"/>
      <c r="J8" s="648" t="s">
        <v>1253</v>
      </c>
      <c r="K8" s="648"/>
      <c r="L8" s="648" t="s">
        <v>1254</v>
      </c>
      <c r="M8" s="648"/>
      <c r="N8" s="648" t="s">
        <v>1255</v>
      </c>
      <c r="O8" s="648"/>
      <c r="P8" s="251"/>
      <c r="Q8" s="251"/>
      <c r="R8" s="251"/>
    </row>
    <row r="9" spans="1:19">
      <c r="A9" s="272"/>
      <c r="B9" s="239"/>
      <c r="C9" s="243"/>
      <c r="D9" s="244"/>
      <c r="E9" s="643"/>
      <c r="F9" s="244" t="s">
        <v>1256</v>
      </c>
      <c r="G9" s="643"/>
      <c r="H9" s="648" t="s">
        <v>1257</v>
      </c>
      <c r="I9" s="251"/>
      <c r="J9" s="648" t="s">
        <v>1258</v>
      </c>
      <c r="K9" s="648"/>
      <c r="L9" s="648" t="s">
        <v>1259</v>
      </c>
      <c r="M9" s="648"/>
      <c r="N9" s="648" t="s">
        <v>1260</v>
      </c>
      <c r="O9" s="648"/>
      <c r="P9" s="251"/>
      <c r="Q9" s="251"/>
      <c r="R9" s="648" t="s">
        <v>1261</v>
      </c>
    </row>
    <row r="10" spans="1:19">
      <c r="A10" s="272"/>
      <c r="B10" s="239"/>
      <c r="C10" s="243"/>
      <c r="D10" s="643"/>
      <c r="E10" s="643"/>
      <c r="F10" s="244" t="s">
        <v>1260</v>
      </c>
      <c r="G10" s="643"/>
      <c r="H10" s="649" t="s">
        <v>1262</v>
      </c>
      <c r="I10" s="251"/>
      <c r="J10" s="649" t="s">
        <v>1262</v>
      </c>
      <c r="K10" s="649"/>
      <c r="L10" s="649" t="s">
        <v>1262</v>
      </c>
      <c r="M10" s="649"/>
      <c r="N10" s="649" t="s">
        <v>1262</v>
      </c>
      <c r="O10" s="649"/>
      <c r="P10" s="648" t="s">
        <v>1263</v>
      </c>
      <c r="Q10" s="648"/>
      <c r="R10" s="648" t="s">
        <v>1264</v>
      </c>
    </row>
    <row r="11" spans="1:19">
      <c r="A11" s="784" t="s">
        <v>1265</v>
      </c>
      <c r="B11" s="784"/>
      <c r="C11" s="784"/>
      <c r="D11" s="784"/>
      <c r="E11" s="643"/>
      <c r="F11" s="245" t="s">
        <v>1266</v>
      </c>
      <c r="G11" s="643"/>
      <c r="H11" s="650" t="s">
        <v>1267</v>
      </c>
      <c r="I11" s="251"/>
      <c r="J11" s="650" t="s">
        <v>1268</v>
      </c>
      <c r="K11" s="648"/>
      <c r="L11" s="650" t="s">
        <v>1268</v>
      </c>
      <c r="M11" s="648"/>
      <c r="N11" s="650" t="s">
        <v>1268</v>
      </c>
      <c r="O11" s="650"/>
      <c r="P11" s="650" t="s">
        <v>1269</v>
      </c>
      <c r="Q11" s="650"/>
      <c r="R11" s="650" t="s">
        <v>1270</v>
      </c>
    </row>
    <row r="12" spans="1:19">
      <c r="A12" s="272"/>
      <c r="B12" s="239"/>
      <c r="C12" s="243"/>
      <c r="D12" s="246"/>
      <c r="E12" s="246"/>
      <c r="F12" s="244"/>
      <c r="G12" s="246"/>
      <c r="H12" s="648"/>
      <c r="I12" s="251"/>
      <c r="J12" s="648"/>
      <c r="K12" s="251"/>
      <c r="L12" s="648"/>
      <c r="M12" s="251"/>
      <c r="N12" s="648"/>
      <c r="O12" s="648"/>
      <c r="P12" s="251"/>
      <c r="Q12" s="251"/>
      <c r="R12" s="251"/>
    </row>
    <row r="13" spans="1:19">
      <c r="A13" s="272"/>
      <c r="B13" s="239"/>
      <c r="C13" s="249"/>
      <c r="D13" s="247" t="s">
        <v>1271</v>
      </c>
      <c r="E13" s="249"/>
      <c r="F13" s="250"/>
      <c r="G13" s="249"/>
      <c r="H13" s="251"/>
      <c r="I13" s="251"/>
      <c r="J13" s="251"/>
      <c r="K13" s="251"/>
      <c r="L13" s="251"/>
      <c r="M13" s="251"/>
      <c r="N13" s="251"/>
      <c r="O13" s="251"/>
      <c r="P13" s="251"/>
      <c r="Q13" s="251"/>
      <c r="R13" s="251"/>
    </row>
    <row r="14" spans="1:19">
      <c r="A14" s="272"/>
      <c r="B14" s="239"/>
      <c r="C14" s="249"/>
      <c r="D14" s="249"/>
      <c r="E14" s="249"/>
      <c r="F14" s="250"/>
      <c r="G14" s="249"/>
      <c r="H14" s="251"/>
      <c r="I14" s="251"/>
      <c r="J14" s="251"/>
      <c r="K14" s="251"/>
      <c r="L14" s="251"/>
      <c r="M14" s="251"/>
      <c r="N14" s="251"/>
      <c r="O14" s="251"/>
      <c r="P14" s="251"/>
      <c r="Q14" s="251"/>
      <c r="R14" s="251"/>
    </row>
    <row r="15" spans="1:19">
      <c r="A15" s="272"/>
      <c r="B15" s="239"/>
      <c r="C15" s="249"/>
      <c r="D15" s="245" t="s">
        <v>294</v>
      </c>
      <c r="E15" s="249"/>
      <c r="F15" s="250"/>
      <c r="G15" s="249"/>
      <c r="H15" s="251"/>
      <c r="I15" s="251"/>
      <c r="J15" s="251"/>
      <c r="K15" s="251"/>
      <c r="L15" s="251"/>
      <c r="M15" s="251"/>
      <c r="N15" s="251"/>
      <c r="O15" s="251"/>
      <c r="P15" s="251"/>
      <c r="Q15" s="251"/>
      <c r="R15" s="251"/>
    </row>
    <row r="16" spans="1:19">
      <c r="A16" s="272"/>
      <c r="B16" s="239"/>
      <c r="C16" s="249"/>
      <c r="D16" s="249"/>
      <c r="E16" s="249"/>
      <c r="F16" s="250"/>
      <c r="G16" s="249"/>
      <c r="H16" s="251"/>
      <c r="I16" s="251"/>
      <c r="J16" s="251"/>
      <c r="K16" s="251"/>
      <c r="L16" s="251"/>
      <c r="M16" s="251"/>
      <c r="N16" s="251"/>
      <c r="O16" s="251"/>
      <c r="P16" s="251"/>
      <c r="Q16" s="251"/>
      <c r="R16" s="251"/>
    </row>
    <row r="17" spans="1:18">
      <c r="A17" s="272"/>
      <c r="B17" s="248">
        <v>302</v>
      </c>
      <c r="C17" s="249"/>
      <c r="D17" s="249" t="s">
        <v>1272</v>
      </c>
      <c r="E17" s="249"/>
      <c r="F17" s="250">
        <v>0</v>
      </c>
      <c r="G17" s="249"/>
      <c r="H17" s="251">
        <v>3.63</v>
      </c>
      <c r="I17" s="251"/>
      <c r="J17" s="251">
        <v>3.63</v>
      </c>
      <c r="K17" s="251"/>
      <c r="L17" s="251">
        <v>0</v>
      </c>
      <c r="M17" s="251"/>
      <c r="N17" s="251">
        <v>0</v>
      </c>
      <c r="O17" s="251"/>
      <c r="P17" s="651" t="s">
        <v>1273</v>
      </c>
      <c r="Q17" s="251"/>
      <c r="R17" s="652">
        <v>1.6</v>
      </c>
    </row>
    <row r="18" spans="1:18">
      <c r="A18" s="272"/>
      <c r="B18" s="248">
        <v>303</v>
      </c>
      <c r="C18" s="249"/>
      <c r="D18" s="249" t="s">
        <v>1274</v>
      </c>
      <c r="E18" s="249"/>
      <c r="F18" s="250">
        <v>0</v>
      </c>
      <c r="G18" s="249"/>
      <c r="H18" s="251">
        <v>20.96</v>
      </c>
      <c r="I18" s="251"/>
      <c r="J18" s="251">
        <v>20.96</v>
      </c>
      <c r="K18" s="251"/>
      <c r="L18" s="251">
        <v>0</v>
      </c>
      <c r="M18" s="251"/>
      <c r="N18" s="251">
        <v>0</v>
      </c>
      <c r="O18" s="251"/>
      <c r="P18" s="651" t="s">
        <v>1275</v>
      </c>
      <c r="Q18" s="251"/>
      <c r="R18" s="652">
        <v>3.1</v>
      </c>
    </row>
    <row r="19" spans="1:18">
      <c r="A19" s="272"/>
      <c r="B19" s="248">
        <v>303.10000000000002</v>
      </c>
      <c r="C19" s="249"/>
      <c r="D19" s="249" t="s">
        <v>1276</v>
      </c>
      <c r="E19" s="249"/>
      <c r="F19" s="250">
        <v>0</v>
      </c>
      <c r="G19" s="249"/>
      <c r="H19" s="251">
        <v>10.06</v>
      </c>
      <c r="I19" s="251"/>
      <c r="J19" s="251">
        <v>10.06</v>
      </c>
      <c r="K19" s="251"/>
      <c r="L19" s="251">
        <v>0</v>
      </c>
      <c r="M19" s="251"/>
      <c r="N19" s="251">
        <v>0</v>
      </c>
      <c r="O19" s="251"/>
      <c r="P19" s="651" t="s">
        <v>1277</v>
      </c>
      <c r="Q19" s="251"/>
      <c r="R19" s="652">
        <v>3.5</v>
      </c>
    </row>
    <row r="20" spans="1:18">
      <c r="A20" s="272"/>
      <c r="B20" s="239"/>
      <c r="C20" s="249"/>
      <c r="D20" s="249"/>
      <c r="E20" s="249"/>
      <c r="F20" s="250"/>
      <c r="G20" s="249"/>
      <c r="H20" s="251"/>
      <c r="I20" s="251"/>
      <c r="J20" s="251"/>
      <c r="K20" s="251"/>
      <c r="L20" s="251"/>
      <c r="M20" s="251"/>
      <c r="N20" s="251"/>
      <c r="O20" s="251"/>
      <c r="P20" s="251"/>
      <c r="Q20" s="251"/>
      <c r="R20" s="251"/>
    </row>
    <row r="21" spans="1:18">
      <c r="A21" s="272">
        <v>302</v>
      </c>
      <c r="B21" s="239"/>
      <c r="C21" s="249"/>
      <c r="D21" s="247" t="s">
        <v>1278</v>
      </c>
      <c r="E21" s="249"/>
      <c r="F21" s="250">
        <v>0</v>
      </c>
      <c r="G21" s="249"/>
      <c r="H21" s="251">
        <v>3.63</v>
      </c>
      <c r="I21" s="251"/>
      <c r="J21" s="251"/>
      <c r="K21" s="251"/>
      <c r="L21" s="251"/>
      <c r="M21" s="251"/>
      <c r="N21" s="251"/>
      <c r="O21" s="251"/>
      <c r="P21" s="653" t="s">
        <v>1273</v>
      </c>
      <c r="Q21" s="251"/>
      <c r="R21" s="251">
        <v>3.3</v>
      </c>
    </row>
    <row r="22" spans="1:18">
      <c r="A22" s="272">
        <v>303</v>
      </c>
      <c r="B22" s="239"/>
      <c r="C22" s="249"/>
      <c r="D22" s="247" t="s">
        <v>1278</v>
      </c>
      <c r="E22" s="249"/>
      <c r="F22" s="250">
        <v>0</v>
      </c>
      <c r="G22" s="249"/>
      <c r="H22" s="251">
        <v>16.11</v>
      </c>
      <c r="I22" s="251"/>
      <c r="J22" s="251"/>
      <c r="K22" s="251"/>
      <c r="L22" s="251"/>
      <c r="M22" s="251"/>
      <c r="N22" s="251"/>
      <c r="O22" s="251"/>
      <c r="P22" s="251" t="s">
        <v>1415</v>
      </c>
      <c r="Q22" s="251"/>
      <c r="R22" s="653" t="s">
        <v>1835</v>
      </c>
    </row>
    <row r="23" spans="1:18">
      <c r="A23" s="272"/>
      <c r="B23" s="239"/>
      <c r="C23" s="249"/>
      <c r="D23" s="247"/>
      <c r="E23" s="249"/>
      <c r="F23" s="250"/>
      <c r="G23" s="249"/>
      <c r="H23" s="251"/>
      <c r="I23" s="251"/>
      <c r="J23" s="251"/>
      <c r="K23" s="251"/>
      <c r="L23" s="251"/>
      <c r="M23" s="251"/>
      <c r="N23" s="251"/>
      <c r="O23" s="251"/>
      <c r="P23" s="251"/>
      <c r="Q23" s="251"/>
      <c r="R23" s="251"/>
    </row>
    <row r="24" spans="1:18">
      <c r="A24" s="272"/>
      <c r="B24" s="239"/>
      <c r="C24" s="249"/>
      <c r="D24" s="249"/>
      <c r="E24" s="249"/>
      <c r="F24" s="250"/>
      <c r="G24" s="249"/>
      <c r="H24" s="251"/>
      <c r="I24" s="251"/>
      <c r="J24" s="251"/>
      <c r="K24" s="251"/>
      <c r="L24" s="251"/>
      <c r="M24" s="251"/>
      <c r="N24" s="251"/>
      <c r="O24" s="251"/>
      <c r="P24" s="251"/>
      <c r="Q24" s="251"/>
      <c r="R24" s="251"/>
    </row>
    <row r="25" spans="1:18">
      <c r="A25" s="272"/>
      <c r="B25" s="239"/>
      <c r="C25" s="249"/>
      <c r="D25" s="244" t="s">
        <v>1279</v>
      </c>
      <c r="E25" s="249"/>
      <c r="F25" s="250"/>
      <c r="G25" s="249"/>
      <c r="H25" s="251"/>
      <c r="I25" s="251"/>
      <c r="J25" s="251"/>
      <c r="K25" s="251"/>
      <c r="L25" s="251"/>
      <c r="M25" s="251"/>
      <c r="N25" s="251"/>
      <c r="O25" s="251"/>
      <c r="P25" s="251"/>
      <c r="Q25" s="251"/>
      <c r="R25" s="251"/>
    </row>
    <row r="26" spans="1:18">
      <c r="A26" s="272"/>
      <c r="B26" s="239"/>
      <c r="C26" s="249"/>
      <c r="D26" s="252"/>
      <c r="E26" s="249"/>
      <c r="F26" s="250"/>
      <c r="G26" s="249"/>
      <c r="H26" s="251"/>
      <c r="I26" s="251"/>
      <c r="J26" s="251"/>
      <c r="K26" s="251"/>
      <c r="L26" s="251"/>
      <c r="M26" s="251"/>
      <c r="N26" s="251"/>
      <c r="O26" s="251"/>
      <c r="P26" s="251"/>
      <c r="Q26" s="251"/>
      <c r="R26" s="251"/>
    </row>
    <row r="27" spans="1:18">
      <c r="A27" s="272"/>
      <c r="B27" s="248">
        <v>311</v>
      </c>
      <c r="C27" s="249"/>
      <c r="D27" s="249" t="s">
        <v>1280</v>
      </c>
      <c r="E27" s="249"/>
      <c r="F27" s="250"/>
      <c r="G27" s="249"/>
      <c r="H27" s="251"/>
      <c r="I27" s="251"/>
      <c r="J27" s="251"/>
      <c r="K27" s="251"/>
      <c r="L27" s="251"/>
      <c r="M27" s="251"/>
      <c r="N27" s="251"/>
      <c r="O27" s="251"/>
      <c r="P27" s="251"/>
      <c r="Q27" s="251"/>
      <c r="R27" s="251"/>
    </row>
    <row r="28" spans="1:18">
      <c r="A28" s="272"/>
      <c r="B28" s="248"/>
      <c r="C28" s="249"/>
      <c r="D28" s="253" t="s">
        <v>1289</v>
      </c>
      <c r="E28" s="249"/>
      <c r="F28" s="654">
        <v>-6</v>
      </c>
      <c r="G28" s="249"/>
      <c r="H28" s="251">
        <v>0.05</v>
      </c>
      <c r="I28" s="251"/>
      <c r="J28" s="251">
        <v>0.05</v>
      </c>
      <c r="K28" s="251"/>
      <c r="L28" s="251">
        <v>0</v>
      </c>
      <c r="M28" s="251"/>
      <c r="N28" s="251">
        <v>0</v>
      </c>
      <c r="O28" s="251"/>
      <c r="P28" s="655" t="s">
        <v>2271</v>
      </c>
      <c r="Q28" s="251"/>
      <c r="R28" s="251">
        <v>7.5</v>
      </c>
    </row>
    <row r="29" spans="1:18">
      <c r="A29" s="272"/>
      <c r="B29" s="248"/>
      <c r="C29" s="249"/>
      <c r="D29" s="253" t="s">
        <v>1292</v>
      </c>
      <c r="E29" s="249"/>
      <c r="F29" s="654">
        <v>-6</v>
      </c>
      <c r="G29" s="249"/>
      <c r="H29" s="251">
        <v>4.8299999999999992</v>
      </c>
      <c r="I29" s="251"/>
      <c r="J29" s="251">
        <v>4.6899999999999995</v>
      </c>
      <c r="K29" s="251"/>
      <c r="L29" s="251">
        <v>0.13999999999999999</v>
      </c>
      <c r="M29" s="251"/>
      <c r="N29" s="251">
        <v>0</v>
      </c>
      <c r="O29" s="251"/>
      <c r="P29" s="655" t="s">
        <v>2271</v>
      </c>
      <c r="Q29" s="251"/>
      <c r="R29" s="251">
        <v>19.399999999999999</v>
      </c>
    </row>
    <row r="30" spans="1:18">
      <c r="A30" s="272"/>
      <c r="B30" s="248"/>
      <c r="C30" s="249"/>
      <c r="D30" s="253" t="s">
        <v>1290</v>
      </c>
      <c r="E30" s="249"/>
      <c r="F30" s="654">
        <v>-6</v>
      </c>
      <c r="G30" s="249"/>
      <c r="H30" s="251">
        <v>0.66999999999999993</v>
      </c>
      <c r="I30" s="251"/>
      <c r="J30" s="251">
        <v>0.65</v>
      </c>
      <c r="K30" s="251"/>
      <c r="L30" s="251">
        <v>0.02</v>
      </c>
      <c r="M30" s="251"/>
      <c r="N30" s="251">
        <v>0</v>
      </c>
      <c r="O30" s="251"/>
      <c r="P30" s="655" t="s">
        <v>2271</v>
      </c>
      <c r="Q30" s="251"/>
      <c r="R30" s="251">
        <v>13.4</v>
      </c>
    </row>
    <row r="31" spans="1:18">
      <c r="A31" s="272"/>
      <c r="B31" s="248"/>
      <c r="C31" s="249"/>
      <c r="D31" s="253" t="s">
        <v>1291</v>
      </c>
      <c r="E31" s="249"/>
      <c r="F31" s="654">
        <v>-6</v>
      </c>
      <c r="G31" s="249"/>
      <c r="H31" s="251">
        <v>1.8000000000000003</v>
      </c>
      <c r="I31" s="251"/>
      <c r="J31" s="251">
        <v>1.7500000000000002</v>
      </c>
      <c r="K31" s="251"/>
      <c r="L31" s="251">
        <v>0.05</v>
      </c>
      <c r="M31" s="251"/>
      <c r="N31" s="251">
        <v>0</v>
      </c>
      <c r="O31" s="251"/>
      <c r="P31" s="655" t="s">
        <v>2271</v>
      </c>
      <c r="Q31" s="251"/>
      <c r="R31" s="251">
        <v>19.2</v>
      </c>
    </row>
    <row r="32" spans="1:18">
      <c r="A32" s="272"/>
      <c r="B32" s="248"/>
      <c r="C32" s="249"/>
      <c r="D32" s="253" t="s">
        <v>1295</v>
      </c>
      <c r="E32" s="249"/>
      <c r="F32" s="654">
        <v>-7</v>
      </c>
      <c r="G32" s="249"/>
      <c r="H32" s="251">
        <v>0.31999999999999995</v>
      </c>
      <c r="I32" s="251"/>
      <c r="J32" s="251">
        <v>0.31</v>
      </c>
      <c r="K32" s="251"/>
      <c r="L32" s="251">
        <v>0.01</v>
      </c>
      <c r="M32" s="251"/>
      <c r="N32" s="251">
        <v>0</v>
      </c>
      <c r="O32" s="251"/>
      <c r="P32" s="655" t="s">
        <v>2271</v>
      </c>
      <c r="Q32" s="251"/>
      <c r="R32" s="251">
        <v>18.3</v>
      </c>
    </row>
    <row r="33" spans="1:18">
      <c r="A33" s="272"/>
      <c r="B33" s="248"/>
      <c r="C33" s="249"/>
      <c r="D33" s="253" t="s">
        <v>1294</v>
      </c>
      <c r="E33" s="249"/>
      <c r="F33" s="654">
        <v>-7</v>
      </c>
      <c r="G33" s="249"/>
      <c r="H33" s="251">
        <v>1.1599999999999999</v>
      </c>
      <c r="I33" s="251"/>
      <c r="J33" s="251">
        <v>1.1199999999999999</v>
      </c>
      <c r="K33" s="251"/>
      <c r="L33" s="251">
        <v>0.04</v>
      </c>
      <c r="M33" s="251"/>
      <c r="N33" s="251">
        <v>0</v>
      </c>
      <c r="O33" s="251"/>
      <c r="P33" s="655" t="s">
        <v>2271</v>
      </c>
      <c r="Q33" s="251"/>
      <c r="R33" s="251">
        <v>18.3</v>
      </c>
    </row>
    <row r="34" spans="1:18">
      <c r="A34" s="272"/>
      <c r="B34" s="248"/>
      <c r="C34" s="249"/>
      <c r="D34" s="253" t="s">
        <v>1296</v>
      </c>
      <c r="E34" s="249"/>
      <c r="F34" s="654">
        <v>-7</v>
      </c>
      <c r="G34" s="249"/>
      <c r="H34" s="251">
        <v>0.88</v>
      </c>
      <c r="I34" s="251"/>
      <c r="J34" s="251">
        <v>0.85000000000000009</v>
      </c>
      <c r="K34" s="251"/>
      <c r="L34" s="251">
        <v>0.03</v>
      </c>
      <c r="M34" s="251"/>
      <c r="N34" s="251">
        <v>0</v>
      </c>
      <c r="O34" s="251"/>
      <c r="P34" s="655" t="s">
        <v>2271</v>
      </c>
      <c r="Q34" s="251"/>
      <c r="R34" s="251">
        <v>18</v>
      </c>
    </row>
    <row r="35" spans="1:18">
      <c r="A35" s="272"/>
      <c r="B35" s="248"/>
      <c r="C35" s="249"/>
      <c r="D35" s="253" t="s">
        <v>1299</v>
      </c>
      <c r="E35" s="249"/>
      <c r="F35" s="654">
        <v>-7</v>
      </c>
      <c r="G35" s="249"/>
      <c r="H35" s="251">
        <v>1.2</v>
      </c>
      <c r="I35" s="251"/>
      <c r="J35" s="251">
        <v>1.1499999999999999</v>
      </c>
      <c r="K35" s="251"/>
      <c r="L35" s="251">
        <v>0.05</v>
      </c>
      <c r="M35" s="251"/>
      <c r="N35" s="251">
        <v>0</v>
      </c>
      <c r="O35" s="251"/>
      <c r="P35" s="655" t="s">
        <v>2271</v>
      </c>
      <c r="Q35" s="251"/>
      <c r="R35" s="251">
        <v>18.2</v>
      </c>
    </row>
    <row r="36" spans="1:18">
      <c r="A36" s="272"/>
      <c r="B36" s="248"/>
      <c r="C36" s="249"/>
      <c r="D36" s="253" t="s">
        <v>1297</v>
      </c>
      <c r="E36" s="249"/>
      <c r="F36" s="654">
        <v>-7</v>
      </c>
      <c r="G36" s="249"/>
      <c r="H36" s="251">
        <v>1.47</v>
      </c>
      <c r="I36" s="251"/>
      <c r="J36" s="251">
        <v>1.41</v>
      </c>
      <c r="K36" s="251"/>
      <c r="L36" s="251">
        <v>0.06</v>
      </c>
      <c r="M36" s="251"/>
      <c r="N36" s="251">
        <v>0</v>
      </c>
      <c r="O36" s="251"/>
      <c r="P36" s="655" t="s">
        <v>2271</v>
      </c>
      <c r="Q36" s="251"/>
      <c r="R36" s="251">
        <v>21.1</v>
      </c>
    </row>
    <row r="37" spans="1:18">
      <c r="A37" s="272"/>
      <c r="B37" s="248"/>
      <c r="C37" s="249"/>
      <c r="D37" s="253" t="s">
        <v>1298</v>
      </c>
      <c r="E37" s="249"/>
      <c r="F37" s="654">
        <v>-7</v>
      </c>
      <c r="G37" s="249"/>
      <c r="H37" s="251">
        <v>2.4900000000000002</v>
      </c>
      <c r="I37" s="251"/>
      <c r="J37" s="251">
        <v>2.39</v>
      </c>
      <c r="K37" s="251"/>
      <c r="L37" s="251">
        <v>0.1</v>
      </c>
      <c r="M37" s="251"/>
      <c r="N37" s="251">
        <v>0</v>
      </c>
      <c r="O37" s="251"/>
      <c r="P37" s="655" t="s">
        <v>2271</v>
      </c>
      <c r="Q37" s="251"/>
      <c r="R37" s="251">
        <v>22.1</v>
      </c>
    </row>
    <row r="38" spans="1:18">
      <c r="A38" s="272"/>
      <c r="B38" s="248"/>
      <c r="C38" s="249"/>
      <c r="D38" s="253" t="s">
        <v>1283</v>
      </c>
      <c r="E38" s="249"/>
      <c r="F38" s="654">
        <v>-1</v>
      </c>
      <c r="G38" s="249"/>
      <c r="H38" s="251">
        <v>1.1199999999999999</v>
      </c>
      <c r="I38" s="251"/>
      <c r="J38" s="251">
        <v>1.1100000000000001</v>
      </c>
      <c r="K38" s="251"/>
      <c r="L38" s="251">
        <v>0.01</v>
      </c>
      <c r="M38" s="251"/>
      <c r="N38" s="251">
        <v>0</v>
      </c>
      <c r="O38" s="251"/>
      <c r="P38" s="655" t="s">
        <v>2271</v>
      </c>
      <c r="Q38" s="251"/>
      <c r="R38" s="251">
        <v>24.1</v>
      </c>
    </row>
    <row r="39" spans="1:18">
      <c r="A39" s="272"/>
      <c r="B39" s="248"/>
      <c r="C39" s="249"/>
      <c r="D39" s="253" t="s">
        <v>1281</v>
      </c>
      <c r="E39" s="249"/>
      <c r="F39" s="654">
        <v>-13</v>
      </c>
      <c r="G39" s="249"/>
      <c r="H39" s="251">
        <v>2.0499999999999998</v>
      </c>
      <c r="I39" s="251"/>
      <c r="J39" s="251">
        <v>1.92</v>
      </c>
      <c r="K39" s="251"/>
      <c r="L39" s="251">
        <v>0.13</v>
      </c>
      <c r="M39" s="251"/>
      <c r="N39" s="251">
        <v>0</v>
      </c>
      <c r="O39" s="251"/>
      <c r="P39" s="655" t="s">
        <v>2271</v>
      </c>
      <c r="Q39" s="251"/>
      <c r="R39" s="251">
        <v>48.2</v>
      </c>
    </row>
    <row r="40" spans="1:18">
      <c r="A40" s="272"/>
      <c r="B40" s="248"/>
      <c r="C40" s="249"/>
      <c r="D40" s="253" t="s">
        <v>1282</v>
      </c>
      <c r="E40" s="249"/>
      <c r="F40" s="654">
        <v>-13</v>
      </c>
      <c r="G40" s="249"/>
      <c r="H40" s="251">
        <v>1.44</v>
      </c>
      <c r="I40" s="251"/>
      <c r="J40" s="251">
        <v>1.35</v>
      </c>
      <c r="K40" s="251"/>
      <c r="L40" s="251">
        <v>0.09</v>
      </c>
      <c r="M40" s="251"/>
      <c r="N40" s="251">
        <v>0</v>
      </c>
      <c r="O40" s="251"/>
      <c r="P40" s="655" t="s">
        <v>2271</v>
      </c>
      <c r="Q40" s="251"/>
      <c r="R40" s="251">
        <v>46.8</v>
      </c>
    </row>
    <row r="41" spans="1:18">
      <c r="A41" s="272"/>
      <c r="B41" s="248"/>
      <c r="C41" s="249"/>
      <c r="D41" s="249"/>
      <c r="E41" s="249"/>
      <c r="F41" s="250"/>
      <c r="G41" s="249"/>
      <c r="H41" s="251"/>
      <c r="I41" s="251"/>
      <c r="J41" s="251"/>
      <c r="K41" s="251"/>
      <c r="L41" s="251"/>
      <c r="M41" s="251"/>
      <c r="N41" s="251"/>
      <c r="O41" s="251"/>
      <c r="P41" s="251"/>
      <c r="Q41" s="251"/>
      <c r="R41" s="251"/>
    </row>
    <row r="42" spans="1:18">
      <c r="A42" s="272"/>
      <c r="B42" s="248"/>
      <c r="C42" s="249"/>
      <c r="D42" s="254" t="s">
        <v>2674</v>
      </c>
      <c r="E42" s="249"/>
      <c r="F42" s="278" t="s">
        <v>2675</v>
      </c>
      <c r="G42" s="249"/>
      <c r="H42" s="251">
        <v>2.1</v>
      </c>
      <c r="I42" s="251"/>
      <c r="J42" s="251"/>
      <c r="K42" s="251"/>
      <c r="L42" s="251"/>
      <c r="M42" s="251"/>
      <c r="N42" s="251"/>
      <c r="O42" s="251"/>
      <c r="P42" s="251" t="s">
        <v>2271</v>
      </c>
      <c r="Q42" s="251"/>
      <c r="R42" s="251">
        <v>27.4</v>
      </c>
    </row>
    <row r="43" spans="1:18">
      <c r="A43" s="272"/>
      <c r="B43" s="248"/>
      <c r="C43" s="249"/>
      <c r="D43" s="249"/>
      <c r="E43" s="249"/>
      <c r="F43" s="250"/>
      <c r="G43" s="249"/>
      <c r="H43" s="251"/>
      <c r="I43" s="251"/>
      <c r="J43" s="251"/>
      <c r="K43" s="251"/>
      <c r="L43" s="251"/>
      <c r="M43" s="251"/>
      <c r="N43" s="251"/>
      <c r="O43" s="251"/>
      <c r="P43" s="251"/>
      <c r="Q43" s="251"/>
      <c r="R43" s="251"/>
    </row>
    <row r="44" spans="1:18">
      <c r="A44" s="272"/>
      <c r="B44" s="248"/>
      <c r="C44" s="249"/>
      <c r="D44" s="249"/>
      <c r="E44" s="249"/>
      <c r="F44" s="250"/>
      <c r="G44" s="249"/>
      <c r="H44" s="251"/>
      <c r="I44" s="251"/>
      <c r="J44" s="251"/>
      <c r="K44" s="251"/>
      <c r="L44" s="251"/>
      <c r="M44" s="251"/>
      <c r="N44" s="251"/>
      <c r="O44" s="251"/>
      <c r="P44" s="251"/>
      <c r="Q44" s="251"/>
      <c r="R44" s="251"/>
    </row>
    <row r="45" spans="1:18">
      <c r="A45" s="468"/>
      <c r="B45" s="474">
        <v>311.10000000000002</v>
      </c>
      <c r="C45" s="472"/>
      <c r="D45" s="475" t="s">
        <v>2272</v>
      </c>
      <c r="E45" s="476"/>
      <c r="F45" s="476"/>
      <c r="G45" s="468"/>
      <c r="H45" s="251"/>
      <c r="I45" s="251"/>
      <c r="J45" s="251"/>
      <c r="K45" s="251"/>
      <c r="L45" s="251"/>
      <c r="M45" s="251"/>
      <c r="N45" s="251"/>
      <c r="P45" s="657"/>
      <c r="R45" s="658"/>
    </row>
    <row r="46" spans="1:18">
      <c r="A46" s="272"/>
      <c r="B46" s="248"/>
      <c r="C46" s="249"/>
      <c r="D46" s="253" t="s">
        <v>2676</v>
      </c>
      <c r="E46" s="249"/>
      <c r="F46" s="654">
        <v>-13</v>
      </c>
      <c r="G46" s="249"/>
      <c r="H46" s="251">
        <v>0</v>
      </c>
      <c r="I46" s="251"/>
      <c r="J46" s="251">
        <v>0</v>
      </c>
      <c r="K46" s="251"/>
      <c r="L46" s="251">
        <v>0</v>
      </c>
      <c r="M46" s="251"/>
      <c r="N46" s="251">
        <v>0</v>
      </c>
      <c r="O46" s="251"/>
      <c r="P46" s="655" t="s">
        <v>2274</v>
      </c>
      <c r="Q46" s="251"/>
      <c r="R46" s="251">
        <v>44.8</v>
      </c>
    </row>
    <row r="47" spans="1:18">
      <c r="A47" s="272"/>
      <c r="B47" s="248"/>
      <c r="C47" s="249"/>
      <c r="D47" s="253" t="s">
        <v>2677</v>
      </c>
      <c r="E47" s="249"/>
      <c r="F47" s="654">
        <v>-7</v>
      </c>
      <c r="G47" s="249"/>
      <c r="H47" s="251">
        <v>0</v>
      </c>
      <c r="I47" s="251"/>
      <c r="J47" s="251">
        <v>0</v>
      </c>
      <c r="K47" s="251"/>
      <c r="L47" s="251">
        <v>0</v>
      </c>
      <c r="M47" s="251"/>
      <c r="N47" s="251">
        <v>0</v>
      </c>
      <c r="O47" s="251"/>
      <c r="P47" s="655" t="s">
        <v>2271</v>
      </c>
      <c r="Q47" s="251"/>
      <c r="R47" s="251">
        <v>18.3</v>
      </c>
    </row>
    <row r="48" spans="1:18">
      <c r="A48" s="272"/>
      <c r="B48" s="248"/>
      <c r="C48" s="249"/>
      <c r="D48" s="253" t="s">
        <v>2678</v>
      </c>
      <c r="E48" s="249"/>
      <c r="F48" s="654">
        <v>-7</v>
      </c>
      <c r="G48" s="249"/>
      <c r="H48" s="251">
        <v>0</v>
      </c>
      <c r="I48" s="251"/>
      <c r="J48" s="251">
        <v>0</v>
      </c>
      <c r="K48" s="251"/>
      <c r="L48" s="251">
        <v>0</v>
      </c>
      <c r="M48" s="251"/>
      <c r="N48" s="251">
        <v>0</v>
      </c>
      <c r="O48" s="251"/>
      <c r="P48" s="655" t="s">
        <v>2271</v>
      </c>
      <c r="Q48" s="251"/>
      <c r="R48" s="251">
        <v>18.3</v>
      </c>
    </row>
    <row r="49" spans="1:18">
      <c r="A49" s="468"/>
      <c r="B49" s="474"/>
      <c r="C49" s="472"/>
      <c r="D49" s="478"/>
      <c r="E49" s="476"/>
      <c r="F49" s="476"/>
      <c r="G49" s="468"/>
      <c r="H49" s="251"/>
      <c r="I49" s="251"/>
      <c r="J49" s="251"/>
      <c r="K49" s="251"/>
      <c r="L49" s="251"/>
      <c r="M49" s="251"/>
      <c r="N49" s="251"/>
      <c r="P49" s="657"/>
      <c r="R49" s="658"/>
    </row>
    <row r="50" spans="1:18">
      <c r="A50" s="468"/>
      <c r="B50" s="474"/>
      <c r="C50" s="472"/>
      <c r="D50" s="478" t="s">
        <v>2277</v>
      </c>
      <c r="E50" s="476"/>
      <c r="F50" s="476"/>
      <c r="G50" s="468"/>
      <c r="H50" s="251">
        <v>0</v>
      </c>
      <c r="I50" s="251"/>
      <c r="J50" s="251"/>
      <c r="K50" s="251"/>
      <c r="L50" s="251"/>
      <c r="M50" s="251"/>
      <c r="N50" s="251"/>
      <c r="P50" s="657"/>
      <c r="R50" s="658">
        <v>49.1</v>
      </c>
    </row>
    <row r="51" spans="1:18">
      <c r="A51" s="468"/>
      <c r="B51" s="474"/>
      <c r="C51" s="472"/>
      <c r="D51" s="478"/>
      <c r="E51" s="476"/>
      <c r="F51" s="476"/>
      <c r="G51" s="468"/>
      <c r="H51" s="251"/>
      <c r="I51" s="251"/>
      <c r="J51" s="251"/>
      <c r="K51" s="251"/>
      <c r="L51" s="251"/>
      <c r="M51" s="251"/>
      <c r="N51" s="251"/>
      <c r="P51" s="657"/>
      <c r="R51" s="658"/>
    </row>
    <row r="52" spans="1:18">
      <c r="A52" s="468"/>
      <c r="B52" s="474">
        <v>311.2</v>
      </c>
      <c r="C52" s="472"/>
      <c r="D52" s="475" t="s">
        <v>2278</v>
      </c>
      <c r="E52" s="476"/>
      <c r="F52" s="476"/>
      <c r="G52" s="468"/>
      <c r="H52" s="251"/>
      <c r="I52" s="251"/>
      <c r="J52" s="251"/>
      <c r="K52" s="251"/>
      <c r="L52" s="251"/>
      <c r="M52" s="251"/>
      <c r="N52" s="251"/>
      <c r="P52" s="657"/>
      <c r="R52" s="658"/>
    </row>
    <row r="53" spans="1:18">
      <c r="A53" s="468"/>
      <c r="B53" s="474"/>
      <c r="C53" s="472"/>
      <c r="D53" s="475" t="s">
        <v>1284</v>
      </c>
      <c r="E53" s="476"/>
      <c r="F53" s="476">
        <v>-10</v>
      </c>
      <c r="G53" s="468"/>
      <c r="H53" s="251">
        <v>0</v>
      </c>
      <c r="I53" s="251"/>
      <c r="J53" s="251">
        <v>0</v>
      </c>
      <c r="K53" s="251"/>
      <c r="L53" s="251">
        <v>0</v>
      </c>
      <c r="M53" s="251"/>
      <c r="N53" s="251">
        <v>0</v>
      </c>
      <c r="P53" s="657" t="s">
        <v>2271</v>
      </c>
      <c r="R53" s="658">
        <v>0</v>
      </c>
    </row>
    <row r="54" spans="1:18">
      <c r="A54" s="468"/>
      <c r="B54" s="474"/>
      <c r="C54" s="472"/>
      <c r="D54" s="475" t="s">
        <v>1285</v>
      </c>
      <c r="E54" s="476"/>
      <c r="F54" s="476">
        <v>-10</v>
      </c>
      <c r="G54" s="468"/>
      <c r="H54" s="251">
        <v>0</v>
      </c>
      <c r="I54" s="251"/>
      <c r="J54" s="251">
        <v>0</v>
      </c>
      <c r="K54" s="251"/>
      <c r="L54" s="251">
        <v>0</v>
      </c>
      <c r="M54" s="251"/>
      <c r="N54" s="251">
        <v>0</v>
      </c>
      <c r="P54" s="657" t="s">
        <v>2271</v>
      </c>
      <c r="R54" s="658">
        <v>0</v>
      </c>
    </row>
    <row r="55" spans="1:18">
      <c r="A55" s="468"/>
      <c r="B55" s="474"/>
      <c r="C55" s="472"/>
      <c r="D55" s="477" t="s">
        <v>1286</v>
      </c>
      <c r="E55" s="476"/>
      <c r="F55" s="476">
        <v>-10</v>
      </c>
      <c r="G55" s="468"/>
      <c r="H55" s="251">
        <v>0</v>
      </c>
      <c r="I55" s="251"/>
      <c r="J55" s="251">
        <v>0</v>
      </c>
      <c r="K55" s="251"/>
      <c r="L55" s="251">
        <v>0</v>
      </c>
      <c r="M55" s="251"/>
      <c r="N55" s="251">
        <v>0</v>
      </c>
      <c r="P55" s="657" t="s">
        <v>2271</v>
      </c>
      <c r="R55" s="658">
        <v>0</v>
      </c>
    </row>
    <row r="56" spans="1:18">
      <c r="A56" s="468"/>
      <c r="B56" s="474"/>
      <c r="C56" s="472"/>
      <c r="D56" s="477" t="s">
        <v>1287</v>
      </c>
      <c r="E56" s="476"/>
      <c r="F56" s="476">
        <v>-10</v>
      </c>
      <c r="G56" s="468"/>
      <c r="H56" s="251">
        <v>0</v>
      </c>
      <c r="I56" s="251"/>
      <c r="J56" s="251">
        <v>0</v>
      </c>
      <c r="K56" s="251"/>
      <c r="L56" s="251">
        <v>0</v>
      </c>
      <c r="M56" s="251"/>
      <c r="N56" s="251">
        <v>0</v>
      </c>
      <c r="P56" s="657" t="s">
        <v>2271</v>
      </c>
      <c r="R56" s="658">
        <v>0</v>
      </c>
    </row>
    <row r="57" spans="1:18">
      <c r="A57" s="468"/>
      <c r="B57" s="474"/>
      <c r="C57" s="472"/>
      <c r="D57" s="477" t="s">
        <v>1288</v>
      </c>
      <c r="E57" s="476"/>
      <c r="F57" s="476">
        <v>-10</v>
      </c>
      <c r="G57" s="468"/>
      <c r="H57" s="251">
        <v>0</v>
      </c>
      <c r="I57" s="251"/>
      <c r="J57" s="251">
        <v>0</v>
      </c>
      <c r="K57" s="251"/>
      <c r="L57" s="251">
        <v>0</v>
      </c>
      <c r="M57" s="251"/>
      <c r="N57" s="251">
        <v>0</v>
      </c>
      <c r="P57" s="657" t="s">
        <v>2271</v>
      </c>
      <c r="R57" s="658">
        <v>0</v>
      </c>
    </row>
    <row r="58" spans="1:18">
      <c r="A58" s="468"/>
      <c r="B58" s="474"/>
      <c r="C58" s="472"/>
      <c r="D58" s="477" t="s">
        <v>1293</v>
      </c>
      <c r="E58" s="476"/>
      <c r="F58" s="476">
        <v>-10</v>
      </c>
      <c r="G58" s="468"/>
      <c r="H58" s="251">
        <v>0</v>
      </c>
      <c r="I58" s="251"/>
      <c r="J58" s="251">
        <v>0</v>
      </c>
      <c r="K58" s="251"/>
      <c r="L58" s="251">
        <v>0</v>
      </c>
      <c r="M58" s="251"/>
      <c r="N58" s="251">
        <v>0</v>
      </c>
      <c r="P58" s="657" t="s">
        <v>2271</v>
      </c>
      <c r="R58" s="658">
        <v>0</v>
      </c>
    </row>
    <row r="59" spans="1:18">
      <c r="A59" s="468"/>
      <c r="B59" s="474"/>
      <c r="C59" s="472"/>
      <c r="D59" s="478"/>
      <c r="E59" s="476"/>
      <c r="F59" s="476"/>
      <c r="G59" s="468"/>
      <c r="H59" s="251"/>
      <c r="I59" s="251"/>
      <c r="J59" s="251"/>
      <c r="K59" s="251"/>
      <c r="L59" s="251"/>
      <c r="M59" s="251"/>
      <c r="N59" s="251"/>
      <c r="P59" s="657"/>
      <c r="R59" s="658"/>
    </row>
    <row r="60" spans="1:18">
      <c r="A60" s="468"/>
      <c r="B60" s="474"/>
      <c r="C60" s="472"/>
      <c r="D60" s="478" t="s">
        <v>2679</v>
      </c>
      <c r="E60" s="476"/>
      <c r="F60" s="476"/>
      <c r="G60" s="468"/>
      <c r="H60" s="251">
        <v>0</v>
      </c>
      <c r="I60" s="251"/>
      <c r="J60" s="251"/>
      <c r="K60" s="251"/>
      <c r="L60" s="251"/>
      <c r="M60" s="251"/>
      <c r="N60" s="251"/>
      <c r="P60" s="657" t="str">
        <f>P58</f>
        <v>100-R2.5</v>
      </c>
      <c r="R60" s="658">
        <v>0</v>
      </c>
    </row>
    <row r="61" spans="1:18">
      <c r="A61" s="468"/>
      <c r="B61" s="474"/>
      <c r="C61" s="472"/>
      <c r="D61" s="478"/>
      <c r="E61" s="476"/>
      <c r="F61" s="476"/>
      <c r="G61" s="468"/>
      <c r="H61" s="251"/>
      <c r="I61" s="251"/>
      <c r="J61" s="251"/>
      <c r="K61" s="251"/>
      <c r="L61" s="251"/>
      <c r="M61" s="251"/>
      <c r="N61" s="251"/>
      <c r="P61" s="657"/>
      <c r="R61" s="658"/>
    </row>
    <row r="62" spans="1:18">
      <c r="A62" s="468">
        <v>311</v>
      </c>
      <c r="B62" s="474"/>
      <c r="C62" s="472"/>
      <c r="D62" s="478" t="s">
        <v>1300</v>
      </c>
      <c r="E62" s="476"/>
      <c r="F62" s="278" t="str">
        <f>F42</f>
        <v>-1%,-6%,-7%,-10%,-13%</v>
      </c>
      <c r="G62" s="468"/>
      <c r="H62" s="251">
        <v>2</v>
      </c>
      <c r="I62" s="251"/>
      <c r="J62" s="251"/>
      <c r="K62" s="251"/>
      <c r="L62" s="251"/>
      <c r="M62" s="251"/>
      <c r="N62" s="251"/>
      <c r="P62" s="659" t="s">
        <v>2271</v>
      </c>
      <c r="R62" s="660">
        <v>27.5</v>
      </c>
    </row>
    <row r="63" spans="1:18">
      <c r="A63" s="272"/>
      <c r="B63" s="248"/>
      <c r="C63" s="249"/>
      <c r="D63" s="249"/>
      <c r="E63" s="249"/>
      <c r="F63" s="250"/>
      <c r="G63" s="249"/>
      <c r="H63" s="251"/>
      <c r="I63" s="251"/>
      <c r="J63" s="251"/>
      <c r="K63" s="251"/>
      <c r="L63" s="251"/>
      <c r="M63" s="251"/>
      <c r="N63" s="251"/>
      <c r="O63" s="251"/>
      <c r="P63" s="251"/>
      <c r="Q63" s="251"/>
      <c r="R63" s="251"/>
    </row>
    <row r="64" spans="1:18">
      <c r="A64" s="272"/>
      <c r="B64" s="248">
        <v>312</v>
      </c>
      <c r="C64" s="249"/>
      <c r="D64" s="249" t="s">
        <v>1301</v>
      </c>
      <c r="E64" s="249"/>
      <c r="F64" s="250"/>
      <c r="G64" s="249"/>
      <c r="H64" s="251"/>
      <c r="I64" s="251"/>
      <c r="J64" s="251"/>
      <c r="K64" s="251"/>
      <c r="L64" s="251"/>
      <c r="M64" s="251"/>
      <c r="N64" s="251"/>
      <c r="O64" s="251"/>
      <c r="P64" s="251"/>
      <c r="Q64" s="251"/>
      <c r="R64" s="251"/>
    </row>
    <row r="65" spans="1:18">
      <c r="A65" s="272"/>
      <c r="B65" s="248"/>
      <c r="C65" s="249"/>
      <c r="D65" s="661" t="s">
        <v>1289</v>
      </c>
      <c r="E65" s="249"/>
      <c r="F65" s="654">
        <v>-6</v>
      </c>
      <c r="G65" s="249"/>
      <c r="H65" s="251">
        <v>3.16</v>
      </c>
      <c r="I65" s="251"/>
      <c r="J65" s="251">
        <v>3.09</v>
      </c>
      <c r="K65" s="251"/>
      <c r="L65" s="251">
        <v>0.13999999999999999</v>
      </c>
      <c r="M65" s="251"/>
      <c r="N65" s="251">
        <v>-6.9999999999999993E-2</v>
      </c>
      <c r="O65" s="251"/>
      <c r="P65" s="655" t="s">
        <v>2279</v>
      </c>
      <c r="Q65" s="251"/>
      <c r="R65" s="662">
        <v>7.4</v>
      </c>
    </row>
    <row r="66" spans="1:18">
      <c r="A66" s="272"/>
      <c r="B66" s="248"/>
      <c r="C66" s="249"/>
      <c r="D66" s="661" t="s">
        <v>1292</v>
      </c>
      <c r="E66" s="249"/>
      <c r="F66" s="654">
        <v>-6</v>
      </c>
      <c r="G66" s="249"/>
      <c r="H66" s="251">
        <v>4.8100000000000005</v>
      </c>
      <c r="I66" s="251"/>
      <c r="J66" s="251">
        <v>4.7600000000000007</v>
      </c>
      <c r="K66" s="251"/>
      <c r="L66" s="251">
        <v>0.1</v>
      </c>
      <c r="M66" s="251"/>
      <c r="N66" s="251">
        <v>-0.05</v>
      </c>
      <c r="O66" s="251"/>
      <c r="P66" s="662" t="s">
        <v>2279</v>
      </c>
      <c r="Q66" s="251"/>
      <c r="R66" s="662">
        <v>19.100000000000001</v>
      </c>
    </row>
    <row r="67" spans="1:18">
      <c r="A67" s="272"/>
      <c r="B67" s="248"/>
      <c r="C67" s="249"/>
      <c r="D67" s="661" t="s">
        <v>1290</v>
      </c>
      <c r="E67" s="249"/>
      <c r="F67" s="654">
        <v>-6</v>
      </c>
      <c r="G67" s="249"/>
      <c r="H67" s="251">
        <v>2.98</v>
      </c>
      <c r="I67" s="251"/>
      <c r="J67" s="251">
        <v>2.93</v>
      </c>
      <c r="K67" s="251"/>
      <c r="L67" s="251">
        <v>0.11</v>
      </c>
      <c r="M67" s="251"/>
      <c r="N67" s="251">
        <v>-0.06</v>
      </c>
      <c r="O67" s="251"/>
      <c r="P67" s="662" t="s">
        <v>2279</v>
      </c>
      <c r="Q67" s="251"/>
      <c r="R67" s="662">
        <v>13.1</v>
      </c>
    </row>
    <row r="68" spans="1:18">
      <c r="A68" s="663"/>
      <c r="B68" s="249"/>
      <c r="C68" s="249"/>
      <c r="D68" s="661" t="s">
        <v>1291</v>
      </c>
      <c r="E68" s="249"/>
      <c r="F68" s="654">
        <v>-6</v>
      </c>
      <c r="G68" s="249"/>
      <c r="H68" s="251">
        <v>2.65</v>
      </c>
      <c r="I68" s="251"/>
      <c r="J68" s="251">
        <v>2.6</v>
      </c>
      <c r="K68" s="251"/>
      <c r="L68" s="251">
        <v>0.1</v>
      </c>
      <c r="M68" s="251"/>
      <c r="N68" s="251">
        <v>-0.05</v>
      </c>
      <c r="O68" s="251"/>
      <c r="P68" s="662" t="s">
        <v>2279</v>
      </c>
      <c r="Q68" s="251"/>
      <c r="R68" s="662">
        <v>18.899999999999999</v>
      </c>
    </row>
    <row r="69" spans="1:18">
      <c r="A69" s="663"/>
      <c r="B69" s="249"/>
      <c r="C69" s="249"/>
      <c r="D69" s="661" t="s">
        <v>1295</v>
      </c>
      <c r="E69" s="249"/>
      <c r="F69" s="654">
        <v>-7</v>
      </c>
      <c r="G69" s="249"/>
      <c r="H69" s="251">
        <v>2.93</v>
      </c>
      <c r="I69" s="251"/>
      <c r="J69" s="251">
        <v>2.87</v>
      </c>
      <c r="K69" s="251"/>
      <c r="L69" s="251">
        <v>0.11</v>
      </c>
      <c r="M69" s="251"/>
      <c r="N69" s="251">
        <v>-0.05</v>
      </c>
      <c r="O69" s="251"/>
      <c r="P69" s="662" t="s">
        <v>2279</v>
      </c>
      <c r="Q69" s="251"/>
      <c r="R69" s="662">
        <v>18</v>
      </c>
    </row>
    <row r="70" spans="1:18">
      <c r="A70" s="663"/>
      <c r="B70" s="249"/>
      <c r="C70" s="249"/>
      <c r="D70" s="661" t="s">
        <v>1294</v>
      </c>
      <c r="E70" s="249"/>
      <c r="F70" s="654">
        <v>-7</v>
      </c>
      <c r="G70" s="249"/>
      <c r="H70" s="251">
        <v>4.17</v>
      </c>
      <c r="I70" s="251"/>
      <c r="J70" s="251">
        <v>4.1099999999999994</v>
      </c>
      <c r="K70" s="251"/>
      <c r="L70" s="251">
        <v>0.1</v>
      </c>
      <c r="M70" s="251"/>
      <c r="N70" s="251">
        <v>-0.04</v>
      </c>
      <c r="O70" s="251"/>
      <c r="P70" s="662" t="s">
        <v>2279</v>
      </c>
      <c r="Q70" s="251"/>
      <c r="R70" s="662">
        <v>18.100000000000001</v>
      </c>
    </row>
    <row r="71" spans="1:18">
      <c r="A71" s="663"/>
      <c r="B71" s="249"/>
      <c r="C71" s="249"/>
      <c r="D71" s="661" t="s">
        <v>1296</v>
      </c>
      <c r="E71" s="249"/>
      <c r="F71" s="654">
        <v>-7</v>
      </c>
      <c r="G71" s="249"/>
      <c r="H71" s="251">
        <v>1.6500000000000001</v>
      </c>
      <c r="I71" s="251"/>
      <c r="J71" s="251">
        <v>1.58</v>
      </c>
      <c r="K71" s="251"/>
      <c r="L71" s="251">
        <v>0.12</v>
      </c>
      <c r="M71" s="251"/>
      <c r="N71" s="251">
        <v>-0.05</v>
      </c>
      <c r="O71" s="251"/>
      <c r="P71" s="662" t="s">
        <v>2279</v>
      </c>
      <c r="Q71" s="251"/>
      <c r="R71" s="662">
        <v>18</v>
      </c>
    </row>
    <row r="72" spans="1:18">
      <c r="A72" s="663"/>
      <c r="B72" s="249"/>
      <c r="C72" s="249"/>
      <c r="D72" s="661" t="s">
        <v>1299</v>
      </c>
      <c r="E72" s="249"/>
      <c r="F72" s="654">
        <v>-7</v>
      </c>
      <c r="G72" s="249"/>
      <c r="H72" s="251">
        <v>2.38</v>
      </c>
      <c r="I72" s="251"/>
      <c r="J72" s="251">
        <v>2.37</v>
      </c>
      <c r="K72" s="251"/>
      <c r="L72" s="251">
        <v>0.02</v>
      </c>
      <c r="M72" s="251"/>
      <c r="N72" s="251">
        <v>-0.01</v>
      </c>
      <c r="O72" s="251"/>
      <c r="P72" s="662" t="s">
        <v>2279</v>
      </c>
      <c r="Q72" s="251"/>
      <c r="R72" s="662">
        <v>17.899999999999999</v>
      </c>
    </row>
    <row r="73" spans="1:18">
      <c r="A73" s="663"/>
      <c r="B73" s="249"/>
      <c r="C73" s="249"/>
      <c r="D73" s="661" t="s">
        <v>1297</v>
      </c>
      <c r="E73" s="249"/>
      <c r="F73" s="654">
        <v>-7</v>
      </c>
      <c r="G73" s="249"/>
      <c r="H73" s="251">
        <v>2.2599999999999998</v>
      </c>
      <c r="I73" s="251"/>
      <c r="J73" s="251">
        <v>2.2200000000000002</v>
      </c>
      <c r="K73" s="251"/>
      <c r="L73" s="251">
        <v>0.08</v>
      </c>
      <c r="M73" s="251"/>
      <c r="N73" s="251">
        <v>-0.04</v>
      </c>
      <c r="O73" s="251"/>
      <c r="P73" s="662" t="s">
        <v>2279</v>
      </c>
      <c r="Q73" s="251"/>
      <c r="R73" s="662">
        <v>20.6</v>
      </c>
    </row>
    <row r="74" spans="1:18">
      <c r="A74" s="663"/>
      <c r="B74" s="249"/>
      <c r="C74" s="249"/>
      <c r="D74" s="661" t="s">
        <v>1303</v>
      </c>
      <c r="E74" s="249"/>
      <c r="F74" s="654">
        <v>-7</v>
      </c>
      <c r="G74" s="249"/>
      <c r="H74" s="251">
        <v>3.8900000000000006</v>
      </c>
      <c r="I74" s="251"/>
      <c r="J74" s="251">
        <v>3.83</v>
      </c>
      <c r="K74" s="251"/>
      <c r="L74" s="251">
        <v>0.1</v>
      </c>
      <c r="M74" s="251"/>
      <c r="N74" s="251">
        <v>-0.04</v>
      </c>
      <c r="O74" s="251"/>
      <c r="P74" s="655" t="s">
        <v>2279</v>
      </c>
      <c r="Q74" s="251"/>
      <c r="R74" s="662">
        <v>20.8</v>
      </c>
    </row>
    <row r="75" spans="1:18">
      <c r="A75" s="663"/>
      <c r="B75" s="249"/>
      <c r="C75" s="249"/>
      <c r="D75" s="661" t="s">
        <v>1298</v>
      </c>
      <c r="E75" s="249"/>
      <c r="F75" s="654">
        <v>-7</v>
      </c>
      <c r="G75" s="249"/>
      <c r="H75" s="251">
        <v>2.6</v>
      </c>
      <c r="I75" s="251"/>
      <c r="J75" s="251">
        <v>2.54</v>
      </c>
      <c r="K75" s="251"/>
      <c r="L75" s="251">
        <v>0.11</v>
      </c>
      <c r="M75" s="251"/>
      <c r="N75" s="251">
        <v>-0.05</v>
      </c>
      <c r="O75" s="251"/>
      <c r="P75" s="655" t="s">
        <v>2279</v>
      </c>
      <c r="Q75" s="251"/>
      <c r="R75" s="662">
        <v>21.7</v>
      </c>
    </row>
    <row r="76" spans="1:18">
      <c r="A76" s="663"/>
      <c r="B76" s="249"/>
      <c r="C76" s="249"/>
      <c r="D76" s="661" t="s">
        <v>1304</v>
      </c>
      <c r="E76" s="249"/>
      <c r="F76" s="654">
        <v>-7</v>
      </c>
      <c r="G76" s="249"/>
      <c r="H76" s="251">
        <v>4.0100000000000007</v>
      </c>
      <c r="I76" s="251"/>
      <c r="J76" s="251">
        <v>3.9600000000000004</v>
      </c>
      <c r="K76" s="251"/>
      <c r="L76" s="251">
        <v>0.09</v>
      </c>
      <c r="M76" s="251"/>
      <c r="N76" s="251">
        <v>-0.04</v>
      </c>
      <c r="O76" s="251"/>
      <c r="P76" s="655" t="s">
        <v>2279</v>
      </c>
      <c r="Q76" s="251"/>
      <c r="R76" s="662">
        <v>21.9</v>
      </c>
    </row>
    <row r="77" spans="1:18">
      <c r="A77" s="272"/>
      <c r="B77" s="248"/>
      <c r="C77" s="249"/>
      <c r="D77" s="664" t="s">
        <v>1281</v>
      </c>
      <c r="E77" s="249"/>
      <c r="F77" s="654">
        <v>-13</v>
      </c>
      <c r="G77" s="249"/>
      <c r="H77" s="251">
        <v>2.37</v>
      </c>
      <c r="I77" s="251"/>
      <c r="J77" s="251">
        <v>2.3199999999999998</v>
      </c>
      <c r="K77" s="251"/>
      <c r="L77" s="251">
        <v>6.9999999999999993E-2</v>
      </c>
      <c r="M77" s="251"/>
      <c r="N77" s="251">
        <v>-0.02</v>
      </c>
      <c r="O77" s="251"/>
      <c r="P77" s="655" t="s">
        <v>2279</v>
      </c>
      <c r="Q77" s="251"/>
      <c r="R77" s="662">
        <v>44.8</v>
      </c>
    </row>
    <row r="78" spans="1:18">
      <c r="A78" s="272"/>
      <c r="B78" s="248"/>
      <c r="C78" s="249"/>
      <c r="D78" s="664" t="s">
        <v>1282</v>
      </c>
      <c r="E78" s="249"/>
      <c r="F78" s="654">
        <v>-13</v>
      </c>
      <c r="G78" s="249"/>
      <c r="H78" s="251">
        <v>2.2200000000000002</v>
      </c>
      <c r="I78" s="251"/>
      <c r="J78" s="251">
        <v>2.17</v>
      </c>
      <c r="K78" s="251"/>
      <c r="L78" s="251">
        <v>6.9999999999999993E-2</v>
      </c>
      <c r="M78" s="251"/>
      <c r="N78" s="251">
        <v>-0.02</v>
      </c>
      <c r="O78" s="251"/>
      <c r="P78" s="655" t="s">
        <v>2279</v>
      </c>
      <c r="Q78" s="251"/>
      <c r="R78" s="662">
        <v>44.4</v>
      </c>
    </row>
    <row r="79" spans="1:18">
      <c r="A79" s="272"/>
      <c r="B79" s="248"/>
      <c r="C79" s="249"/>
      <c r="D79" s="249"/>
      <c r="E79" s="249"/>
      <c r="F79" s="250"/>
      <c r="G79" s="249"/>
      <c r="H79" s="251"/>
      <c r="I79" s="251"/>
      <c r="J79" s="251"/>
      <c r="K79" s="251"/>
      <c r="L79" s="251"/>
      <c r="M79" s="251"/>
      <c r="N79" s="251"/>
      <c r="O79" s="251"/>
      <c r="P79" s="251"/>
      <c r="Q79" s="251"/>
      <c r="R79" s="251"/>
    </row>
    <row r="80" spans="1:18">
      <c r="A80" s="272"/>
      <c r="B80" s="248"/>
      <c r="C80" s="249"/>
      <c r="D80" s="254" t="s">
        <v>2680</v>
      </c>
      <c r="E80" s="249"/>
      <c r="F80" s="278" t="s">
        <v>2681</v>
      </c>
      <c r="G80" s="249"/>
      <c r="H80" s="251">
        <v>2.89</v>
      </c>
      <c r="I80" s="251"/>
      <c r="J80" s="251"/>
      <c r="K80" s="251"/>
      <c r="L80" s="251"/>
      <c r="M80" s="251"/>
      <c r="N80" s="251"/>
      <c r="O80" s="251"/>
      <c r="P80" s="662" t="s">
        <v>2279</v>
      </c>
      <c r="Q80" s="251"/>
      <c r="R80" s="251">
        <v>21.8</v>
      </c>
    </row>
    <row r="81" spans="1:18">
      <c r="A81" s="272"/>
      <c r="B81" s="248"/>
      <c r="C81" s="249"/>
      <c r="D81" s="254"/>
      <c r="E81" s="249"/>
      <c r="F81" s="250"/>
      <c r="G81" s="249"/>
      <c r="H81" s="251"/>
      <c r="I81" s="251"/>
      <c r="J81" s="251"/>
      <c r="K81" s="251"/>
      <c r="L81" s="251"/>
      <c r="M81" s="251"/>
      <c r="N81" s="251"/>
      <c r="O81" s="251"/>
      <c r="P81" s="251"/>
      <c r="Q81" s="251"/>
      <c r="R81" s="251"/>
    </row>
    <row r="82" spans="1:18">
      <c r="A82" s="468"/>
      <c r="B82" s="474">
        <v>312.10000000000002</v>
      </c>
      <c r="C82" s="472"/>
      <c r="D82" s="475" t="s">
        <v>2280</v>
      </c>
      <c r="E82" s="476"/>
      <c r="F82" s="476"/>
      <c r="G82" s="468"/>
      <c r="H82" s="251"/>
      <c r="I82" s="251"/>
      <c r="J82" s="251"/>
      <c r="K82" s="251"/>
      <c r="L82" s="251"/>
      <c r="M82" s="251"/>
      <c r="N82" s="251"/>
      <c r="P82" s="657"/>
      <c r="R82" s="658"/>
    </row>
    <row r="83" spans="1:18">
      <c r="A83" s="468"/>
      <c r="B83" s="474"/>
      <c r="C83" s="472"/>
      <c r="D83" s="475" t="s">
        <v>2273</v>
      </c>
      <c r="E83" s="476"/>
      <c r="F83" s="476">
        <v>0</v>
      </c>
      <c r="G83" s="468"/>
      <c r="H83" s="251">
        <v>0</v>
      </c>
      <c r="I83" s="251"/>
      <c r="J83" s="251">
        <v>0</v>
      </c>
      <c r="K83" s="251"/>
      <c r="L83" s="251">
        <v>0</v>
      </c>
      <c r="M83" s="251"/>
      <c r="N83" s="251">
        <v>0</v>
      </c>
      <c r="P83" s="657" t="s">
        <v>2274</v>
      </c>
      <c r="R83" s="662">
        <v>43.3</v>
      </c>
    </row>
    <row r="84" spans="1:18">
      <c r="A84" s="468"/>
      <c r="B84" s="474"/>
      <c r="C84" s="472"/>
      <c r="D84" s="477" t="s">
        <v>2281</v>
      </c>
      <c r="E84" s="476"/>
      <c r="F84" s="476">
        <v>0</v>
      </c>
      <c r="G84" s="468"/>
      <c r="H84" s="251">
        <v>0</v>
      </c>
      <c r="I84" s="251"/>
      <c r="J84" s="251">
        <v>0</v>
      </c>
      <c r="K84" s="251"/>
      <c r="L84" s="251">
        <v>0</v>
      </c>
      <c r="M84" s="251"/>
      <c r="N84" s="251">
        <v>0</v>
      </c>
      <c r="P84" s="657" t="s">
        <v>2274</v>
      </c>
      <c r="R84" s="662">
        <v>7.4</v>
      </c>
    </row>
    <row r="85" spans="1:18">
      <c r="A85" s="468"/>
      <c r="B85" s="474"/>
      <c r="C85" s="472"/>
      <c r="D85" s="477" t="s">
        <v>2282</v>
      </c>
      <c r="E85" s="476"/>
      <c r="F85" s="476">
        <v>0</v>
      </c>
      <c r="G85" s="468"/>
      <c r="H85" s="251">
        <v>0</v>
      </c>
      <c r="I85" s="251"/>
      <c r="J85" s="251">
        <v>0</v>
      </c>
      <c r="K85" s="251"/>
      <c r="L85" s="251">
        <v>0</v>
      </c>
      <c r="M85" s="251"/>
      <c r="N85" s="251">
        <v>0</v>
      </c>
      <c r="P85" s="657" t="s">
        <v>2274</v>
      </c>
      <c r="R85" s="662">
        <v>13.1</v>
      </c>
    </row>
    <row r="86" spans="1:18">
      <c r="A86" s="468"/>
      <c r="B86" s="474"/>
      <c r="C86" s="472"/>
      <c r="D86" s="477" t="s">
        <v>2283</v>
      </c>
      <c r="E86" s="476"/>
      <c r="F86" s="476">
        <v>0</v>
      </c>
      <c r="G86" s="468"/>
      <c r="H86" s="251">
        <v>0</v>
      </c>
      <c r="I86" s="251"/>
      <c r="J86" s="251">
        <v>0</v>
      </c>
      <c r="K86" s="251"/>
      <c r="L86" s="251">
        <v>0</v>
      </c>
      <c r="M86" s="251"/>
      <c r="N86" s="251">
        <v>0</v>
      </c>
      <c r="P86" s="657" t="s">
        <v>2274</v>
      </c>
      <c r="R86" s="662">
        <v>18.899999999999999</v>
      </c>
    </row>
    <row r="87" spans="1:18">
      <c r="A87" s="468"/>
      <c r="B87" s="474"/>
      <c r="C87" s="472"/>
      <c r="D87" s="477" t="s">
        <v>2276</v>
      </c>
      <c r="E87" s="476"/>
      <c r="F87" s="476">
        <v>0</v>
      </c>
      <c r="G87" s="468"/>
      <c r="H87" s="251">
        <v>0</v>
      </c>
      <c r="I87" s="251"/>
      <c r="J87" s="251">
        <v>0</v>
      </c>
      <c r="K87" s="251"/>
      <c r="L87" s="251">
        <v>0</v>
      </c>
      <c r="M87" s="251"/>
      <c r="N87" s="251">
        <v>0</v>
      </c>
      <c r="P87" s="657" t="s">
        <v>2274</v>
      </c>
      <c r="R87" s="662">
        <v>18</v>
      </c>
    </row>
    <row r="88" spans="1:18">
      <c r="A88" s="468"/>
      <c r="B88" s="474"/>
      <c r="C88" s="472"/>
      <c r="D88" s="477" t="s">
        <v>2284</v>
      </c>
      <c r="E88" s="476"/>
      <c r="F88" s="476">
        <v>0</v>
      </c>
      <c r="G88" s="468"/>
      <c r="H88" s="251">
        <v>0</v>
      </c>
      <c r="I88" s="251"/>
      <c r="J88" s="251">
        <v>0</v>
      </c>
      <c r="K88" s="251"/>
      <c r="L88" s="251">
        <v>0</v>
      </c>
      <c r="M88" s="251"/>
      <c r="N88" s="251">
        <v>0</v>
      </c>
      <c r="P88" s="657" t="s">
        <v>2274</v>
      </c>
      <c r="R88" s="662">
        <v>21.7</v>
      </c>
    </row>
    <row r="89" spans="1:18">
      <c r="A89" s="483"/>
      <c r="B89" s="479"/>
      <c r="C89" s="480"/>
      <c r="D89" s="481" t="s">
        <v>2285</v>
      </c>
      <c r="E89" s="482"/>
      <c r="F89" s="482">
        <v>0</v>
      </c>
      <c r="G89" s="483"/>
      <c r="H89" s="251">
        <v>0</v>
      </c>
      <c r="I89" s="251"/>
      <c r="J89" s="251">
        <v>0</v>
      </c>
      <c r="K89" s="251"/>
      <c r="L89" s="251">
        <v>0</v>
      </c>
      <c r="M89" s="251"/>
      <c r="N89" s="251">
        <v>0</v>
      </c>
      <c r="O89" s="665"/>
      <c r="P89" s="666" t="s">
        <v>2274</v>
      </c>
      <c r="Q89" s="665"/>
      <c r="R89" s="662">
        <v>17.899999999999999</v>
      </c>
    </row>
    <row r="90" spans="1:18">
      <c r="A90" s="468"/>
      <c r="B90" s="474"/>
      <c r="C90" s="472"/>
      <c r="D90" s="475" t="s">
        <v>2286</v>
      </c>
      <c r="E90" s="473"/>
      <c r="F90" s="476">
        <v>0</v>
      </c>
      <c r="G90" s="468"/>
      <c r="H90" s="251">
        <v>0</v>
      </c>
      <c r="I90" s="251"/>
      <c r="J90" s="251">
        <v>0</v>
      </c>
      <c r="K90" s="251"/>
      <c r="L90" s="251">
        <v>0</v>
      </c>
      <c r="M90" s="251"/>
      <c r="N90" s="251">
        <v>0</v>
      </c>
      <c r="P90" s="656" t="s">
        <v>2274</v>
      </c>
      <c r="R90" s="662">
        <v>0</v>
      </c>
    </row>
    <row r="91" spans="1:18">
      <c r="A91" s="468"/>
      <c r="B91" s="468"/>
      <c r="C91" s="472"/>
      <c r="D91" s="477" t="s">
        <v>2287</v>
      </c>
      <c r="E91" s="473"/>
      <c r="F91" s="476">
        <v>0</v>
      </c>
      <c r="G91" s="468"/>
      <c r="H91" s="251">
        <v>0</v>
      </c>
      <c r="I91" s="251"/>
      <c r="J91" s="251">
        <v>0</v>
      </c>
      <c r="K91" s="251"/>
      <c r="L91" s="251">
        <v>0</v>
      </c>
      <c r="M91" s="251"/>
      <c r="N91" s="251">
        <v>0</v>
      </c>
      <c r="P91" s="656" t="s">
        <v>2274</v>
      </c>
      <c r="R91" s="662">
        <v>0</v>
      </c>
    </row>
    <row r="92" spans="1:18">
      <c r="A92" s="468"/>
      <c r="B92" s="474"/>
      <c r="C92" s="472"/>
      <c r="D92" s="477" t="s">
        <v>2288</v>
      </c>
      <c r="E92" s="476"/>
      <c r="F92" s="476">
        <v>0</v>
      </c>
      <c r="G92" s="468"/>
      <c r="H92" s="251">
        <v>0</v>
      </c>
      <c r="I92" s="251"/>
      <c r="J92" s="251">
        <v>0</v>
      </c>
      <c r="K92" s="251"/>
      <c r="L92" s="251">
        <v>0</v>
      </c>
      <c r="M92" s="251"/>
      <c r="N92" s="251">
        <v>0</v>
      </c>
      <c r="P92" s="656" t="s">
        <v>2274</v>
      </c>
      <c r="R92" s="662">
        <v>0</v>
      </c>
    </row>
    <row r="93" spans="1:18">
      <c r="A93" s="468"/>
      <c r="B93" s="474"/>
      <c r="C93" s="472"/>
      <c r="D93" s="478"/>
      <c r="E93" s="476"/>
      <c r="F93" s="476"/>
      <c r="G93" s="468"/>
      <c r="H93" s="251"/>
      <c r="I93" s="251"/>
      <c r="J93" s="251"/>
      <c r="K93" s="251"/>
      <c r="L93" s="251"/>
      <c r="M93" s="251"/>
      <c r="N93" s="251"/>
      <c r="P93" s="657"/>
      <c r="R93" s="658"/>
    </row>
    <row r="94" spans="1:18">
      <c r="A94" s="468"/>
      <c r="B94" s="474"/>
      <c r="C94" s="472"/>
      <c r="D94" s="478" t="s">
        <v>2289</v>
      </c>
      <c r="E94" s="476"/>
      <c r="F94" s="476"/>
      <c r="G94" s="468"/>
      <c r="H94" s="251">
        <v>0</v>
      </c>
      <c r="I94" s="251"/>
      <c r="J94" s="251"/>
      <c r="K94" s="251"/>
      <c r="L94" s="251"/>
      <c r="M94" s="251"/>
      <c r="N94" s="251"/>
      <c r="P94" s="657"/>
      <c r="R94" s="658">
        <v>20.5</v>
      </c>
    </row>
    <row r="95" spans="1:18">
      <c r="A95" s="468"/>
      <c r="B95" s="474"/>
      <c r="C95" s="472"/>
      <c r="D95" s="478"/>
      <c r="E95" s="476"/>
      <c r="F95" s="476"/>
      <c r="G95" s="468"/>
      <c r="H95" s="251"/>
      <c r="I95" s="251"/>
      <c r="J95" s="251"/>
      <c r="K95" s="251"/>
      <c r="L95" s="251"/>
      <c r="M95" s="251"/>
      <c r="N95" s="251"/>
      <c r="P95" s="657"/>
      <c r="R95" s="658"/>
    </row>
    <row r="96" spans="1:18">
      <c r="A96" s="468"/>
      <c r="B96" s="474">
        <v>312.2</v>
      </c>
      <c r="C96" s="472"/>
      <c r="D96" s="475" t="s">
        <v>2290</v>
      </c>
      <c r="E96" s="476"/>
      <c r="F96" s="476"/>
      <c r="G96" s="468"/>
      <c r="H96" s="251"/>
      <c r="I96" s="251"/>
      <c r="J96" s="251"/>
      <c r="K96" s="251"/>
      <c r="L96" s="251"/>
      <c r="M96" s="251"/>
      <c r="N96" s="251"/>
      <c r="P96" s="657"/>
      <c r="R96" s="658"/>
    </row>
    <row r="97" spans="1:18">
      <c r="A97" s="468"/>
      <c r="B97" s="474"/>
      <c r="C97" s="472"/>
      <c r="D97" s="475" t="s">
        <v>1284</v>
      </c>
      <c r="E97" s="473"/>
      <c r="F97" s="476">
        <v>-10</v>
      </c>
      <c r="G97" s="468"/>
      <c r="H97" s="251">
        <v>0</v>
      </c>
      <c r="I97" s="251"/>
      <c r="J97" s="251">
        <v>0</v>
      </c>
      <c r="K97" s="251"/>
      <c r="L97" s="251">
        <v>0</v>
      </c>
      <c r="M97" s="251"/>
      <c r="N97" s="251">
        <v>0</v>
      </c>
      <c r="P97" s="656" t="s">
        <v>2279</v>
      </c>
      <c r="R97" s="658">
        <v>0</v>
      </c>
    </row>
    <row r="98" spans="1:18">
      <c r="A98" s="468"/>
      <c r="B98" s="474"/>
      <c r="C98" s="472"/>
      <c r="D98" s="475" t="s">
        <v>1285</v>
      </c>
      <c r="E98" s="473"/>
      <c r="F98" s="476">
        <v>-10</v>
      </c>
      <c r="G98" s="468"/>
      <c r="H98" s="251">
        <v>0</v>
      </c>
      <c r="I98" s="251"/>
      <c r="J98" s="251">
        <v>0</v>
      </c>
      <c r="K98" s="251"/>
      <c r="L98" s="251">
        <v>0</v>
      </c>
      <c r="M98" s="251"/>
      <c r="N98" s="251">
        <v>0</v>
      </c>
      <c r="P98" s="656" t="s">
        <v>2279</v>
      </c>
      <c r="R98" s="658">
        <v>0</v>
      </c>
    </row>
    <row r="99" spans="1:18">
      <c r="A99" s="468"/>
      <c r="B99" s="468"/>
      <c r="C99" s="472"/>
      <c r="D99" s="477" t="s">
        <v>1286</v>
      </c>
      <c r="E99" s="473"/>
      <c r="F99" s="476">
        <v>-10</v>
      </c>
      <c r="G99" s="468"/>
      <c r="H99" s="251">
        <v>0</v>
      </c>
      <c r="I99" s="251"/>
      <c r="J99" s="251">
        <v>0</v>
      </c>
      <c r="K99" s="251"/>
      <c r="L99" s="251">
        <v>0</v>
      </c>
      <c r="M99" s="251"/>
      <c r="N99" s="251">
        <v>0</v>
      </c>
      <c r="P99" s="656" t="s">
        <v>2279</v>
      </c>
      <c r="R99" s="658">
        <v>0</v>
      </c>
    </row>
    <row r="100" spans="1:18">
      <c r="A100" s="468"/>
      <c r="B100" s="474"/>
      <c r="C100" s="472"/>
      <c r="D100" s="477" t="s">
        <v>1287</v>
      </c>
      <c r="E100" s="476"/>
      <c r="F100" s="476">
        <v>-10</v>
      </c>
      <c r="G100" s="468"/>
      <c r="H100" s="251">
        <v>0</v>
      </c>
      <c r="I100" s="251"/>
      <c r="J100" s="251">
        <v>0</v>
      </c>
      <c r="K100" s="251"/>
      <c r="L100" s="251">
        <v>0</v>
      </c>
      <c r="M100" s="251"/>
      <c r="N100" s="251">
        <v>0</v>
      </c>
      <c r="P100" s="657" t="s">
        <v>2279</v>
      </c>
      <c r="R100" s="658">
        <v>0</v>
      </c>
    </row>
    <row r="101" spans="1:18">
      <c r="A101" s="468"/>
      <c r="B101" s="474"/>
      <c r="C101" s="472"/>
      <c r="D101" s="477" t="s">
        <v>1288</v>
      </c>
      <c r="E101" s="476"/>
      <c r="F101" s="476">
        <v>-10</v>
      </c>
      <c r="G101" s="468"/>
      <c r="H101" s="251">
        <v>0</v>
      </c>
      <c r="I101" s="251"/>
      <c r="J101" s="251">
        <v>0</v>
      </c>
      <c r="K101" s="251"/>
      <c r="L101" s="251">
        <v>0</v>
      </c>
      <c r="M101" s="251"/>
      <c r="N101" s="251">
        <v>0</v>
      </c>
      <c r="P101" s="656" t="s">
        <v>2279</v>
      </c>
      <c r="R101" s="658">
        <v>0</v>
      </c>
    </row>
    <row r="102" spans="1:18">
      <c r="A102" s="483"/>
      <c r="B102" s="484"/>
      <c r="C102" s="480"/>
      <c r="D102" s="481" t="s">
        <v>1293</v>
      </c>
      <c r="E102" s="482"/>
      <c r="F102" s="482">
        <v>-10</v>
      </c>
      <c r="G102" s="483"/>
      <c r="H102" s="251">
        <v>0</v>
      </c>
      <c r="I102" s="251"/>
      <c r="J102" s="251">
        <v>0</v>
      </c>
      <c r="K102" s="251"/>
      <c r="L102" s="251">
        <v>0</v>
      </c>
      <c r="M102" s="251"/>
      <c r="N102" s="251">
        <v>0</v>
      </c>
      <c r="O102" s="665"/>
      <c r="P102" s="665" t="s">
        <v>2279</v>
      </c>
      <c r="Q102" s="665"/>
      <c r="R102" s="658">
        <v>0</v>
      </c>
    </row>
    <row r="103" spans="1:18">
      <c r="A103" s="468"/>
      <c r="B103" s="474"/>
      <c r="C103" s="472"/>
      <c r="D103" s="478"/>
      <c r="E103" s="476"/>
      <c r="F103" s="476"/>
      <c r="G103" s="468"/>
      <c r="H103" s="251"/>
      <c r="I103" s="251"/>
      <c r="J103" s="251"/>
      <c r="K103" s="251"/>
      <c r="L103" s="251"/>
      <c r="M103" s="251"/>
      <c r="N103" s="251"/>
      <c r="P103" s="657"/>
      <c r="R103" s="667"/>
    </row>
    <row r="104" spans="1:18">
      <c r="A104" s="468"/>
      <c r="B104" s="474"/>
      <c r="C104" s="472"/>
      <c r="D104" s="478" t="s">
        <v>2682</v>
      </c>
      <c r="E104" s="476"/>
      <c r="F104" s="476"/>
      <c r="G104" s="468"/>
      <c r="H104" s="251">
        <v>0</v>
      </c>
      <c r="I104" s="251"/>
      <c r="J104" s="251"/>
      <c r="K104" s="251"/>
      <c r="L104" s="251"/>
      <c r="M104" s="251"/>
      <c r="N104" s="251"/>
      <c r="P104" s="657"/>
      <c r="R104" s="667"/>
    </row>
    <row r="105" spans="1:18">
      <c r="A105" s="468"/>
      <c r="B105" s="474"/>
      <c r="C105" s="472"/>
      <c r="D105" s="478"/>
      <c r="E105" s="476"/>
      <c r="F105" s="476"/>
      <c r="G105" s="468"/>
      <c r="H105" s="251"/>
      <c r="I105" s="251"/>
      <c r="J105" s="251"/>
      <c r="K105" s="251"/>
      <c r="L105" s="251"/>
      <c r="M105" s="251"/>
      <c r="N105" s="251"/>
      <c r="P105" s="657"/>
      <c r="R105" s="667"/>
    </row>
    <row r="106" spans="1:18">
      <c r="A106" s="468">
        <v>312</v>
      </c>
      <c r="B106" s="474"/>
      <c r="C106" s="472"/>
      <c r="D106" s="478" t="s">
        <v>1305</v>
      </c>
      <c r="E106" s="476"/>
      <c r="F106" s="278" t="str">
        <f>F80</f>
        <v>-6%,-7%,-10%,-13%</v>
      </c>
      <c r="G106" s="468"/>
      <c r="H106" s="251">
        <v>2.83</v>
      </c>
      <c r="I106" s="251"/>
      <c r="J106" s="251"/>
      <c r="K106" s="251"/>
      <c r="L106" s="251"/>
      <c r="M106" s="251"/>
      <c r="N106" s="251"/>
      <c r="P106" s="659" t="s">
        <v>2397</v>
      </c>
      <c r="R106" s="660">
        <v>21.8</v>
      </c>
    </row>
    <row r="107" spans="1:18">
      <c r="A107" s="272"/>
      <c r="B107" s="248"/>
      <c r="C107" s="249"/>
      <c r="D107" s="254"/>
      <c r="E107" s="249"/>
      <c r="F107" s="250"/>
      <c r="G107" s="249"/>
      <c r="H107" s="251"/>
      <c r="I107" s="251"/>
      <c r="J107" s="251"/>
      <c r="K107" s="251"/>
      <c r="L107" s="251"/>
      <c r="M107" s="251"/>
      <c r="N107" s="251"/>
      <c r="O107" s="251"/>
      <c r="P107" s="251"/>
      <c r="Q107" s="251"/>
      <c r="R107" s="251"/>
    </row>
    <row r="108" spans="1:18">
      <c r="A108" s="272"/>
      <c r="B108" s="248">
        <v>314</v>
      </c>
      <c r="C108" s="249"/>
      <c r="D108" s="249" t="s">
        <v>1306</v>
      </c>
      <c r="E108" s="249"/>
      <c r="F108" s="250"/>
      <c r="G108" s="249"/>
      <c r="H108" s="251"/>
      <c r="I108" s="251"/>
      <c r="J108" s="251"/>
      <c r="K108" s="251"/>
      <c r="L108" s="251"/>
      <c r="M108" s="251"/>
      <c r="N108" s="251"/>
      <c r="O108" s="251"/>
      <c r="P108" s="251"/>
      <c r="Q108" s="251"/>
      <c r="R108" s="251"/>
    </row>
    <row r="109" spans="1:18">
      <c r="A109" s="272"/>
      <c r="B109" s="248"/>
      <c r="C109" s="249"/>
      <c r="D109" s="664" t="s">
        <v>1289</v>
      </c>
      <c r="E109" s="249"/>
      <c r="F109" s="654">
        <v>-6</v>
      </c>
      <c r="G109" s="249"/>
      <c r="H109" s="251">
        <v>2.68</v>
      </c>
      <c r="I109" s="251"/>
      <c r="J109" s="251">
        <v>2.85</v>
      </c>
      <c r="K109" s="251"/>
      <c r="L109" s="251">
        <v>0.21</v>
      </c>
      <c r="M109" s="251"/>
      <c r="N109" s="251">
        <v>-0.38</v>
      </c>
      <c r="O109" s="251"/>
      <c r="P109" s="655" t="s">
        <v>1373</v>
      </c>
      <c r="Q109" s="251"/>
      <c r="R109" s="251">
        <v>7.3</v>
      </c>
    </row>
    <row r="110" spans="1:18">
      <c r="A110" s="272"/>
      <c r="B110" s="248"/>
      <c r="C110" s="249"/>
      <c r="D110" s="664" t="s">
        <v>1290</v>
      </c>
      <c r="E110" s="249"/>
      <c r="F110" s="654">
        <v>-6</v>
      </c>
      <c r="G110" s="249"/>
      <c r="H110" s="251">
        <v>1.73</v>
      </c>
      <c r="I110" s="251"/>
      <c r="J110" s="251">
        <v>1.7399999999999998</v>
      </c>
      <c r="K110" s="251"/>
      <c r="L110" s="251">
        <v>0.13</v>
      </c>
      <c r="M110" s="251"/>
      <c r="N110" s="251">
        <v>-0.13999999999999999</v>
      </c>
      <c r="O110" s="251"/>
      <c r="P110" s="655" t="s">
        <v>1373</v>
      </c>
      <c r="Q110" s="251"/>
      <c r="R110" s="251">
        <v>13.1</v>
      </c>
    </row>
    <row r="111" spans="1:18">
      <c r="A111" s="272"/>
      <c r="B111" s="248"/>
      <c r="C111" s="249"/>
      <c r="D111" s="664" t="s">
        <v>1291</v>
      </c>
      <c r="E111" s="249"/>
      <c r="F111" s="654">
        <v>-6</v>
      </c>
      <c r="G111" s="249"/>
      <c r="H111" s="251">
        <v>1.73</v>
      </c>
      <c r="I111" s="251"/>
      <c r="J111" s="251">
        <v>1.7500000000000002</v>
      </c>
      <c r="K111" s="251"/>
      <c r="L111" s="251">
        <v>0.13</v>
      </c>
      <c r="M111" s="251"/>
      <c r="N111" s="251">
        <v>-0.15</v>
      </c>
      <c r="O111" s="251"/>
      <c r="P111" s="655" t="s">
        <v>1373</v>
      </c>
      <c r="Q111" s="251"/>
      <c r="R111" s="251">
        <v>18.8</v>
      </c>
    </row>
    <row r="112" spans="1:18">
      <c r="A112" s="272"/>
      <c r="B112" s="248"/>
      <c r="C112" s="249"/>
      <c r="D112" s="664" t="s">
        <v>1295</v>
      </c>
      <c r="E112" s="249"/>
      <c r="F112" s="654">
        <v>-7</v>
      </c>
      <c r="G112" s="249"/>
      <c r="H112" s="251">
        <v>2.6</v>
      </c>
      <c r="I112" s="251"/>
      <c r="J112" s="251">
        <v>2.5100000000000002</v>
      </c>
      <c r="K112" s="251"/>
      <c r="L112" s="251">
        <v>0.22999999999999998</v>
      </c>
      <c r="M112" s="251"/>
      <c r="N112" s="251">
        <v>-0.13999999999999999</v>
      </c>
      <c r="O112" s="251"/>
      <c r="P112" s="655" t="s">
        <v>1373</v>
      </c>
      <c r="Q112" s="251"/>
      <c r="R112" s="251">
        <v>17.600000000000001</v>
      </c>
    </row>
    <row r="113" spans="1:18">
      <c r="A113" s="272"/>
      <c r="B113" s="248"/>
      <c r="C113" s="249"/>
      <c r="D113" s="664" t="s">
        <v>1296</v>
      </c>
      <c r="E113" s="249"/>
      <c r="F113" s="654">
        <v>-7</v>
      </c>
      <c r="G113" s="249"/>
      <c r="H113" s="251">
        <v>2.11</v>
      </c>
      <c r="I113" s="251"/>
      <c r="J113" s="251">
        <v>2.0299999999999998</v>
      </c>
      <c r="K113" s="251"/>
      <c r="L113" s="251">
        <v>0.18</v>
      </c>
      <c r="M113" s="251"/>
      <c r="N113" s="251">
        <v>-0.1</v>
      </c>
      <c r="O113" s="251"/>
      <c r="P113" s="655" t="s">
        <v>1373</v>
      </c>
      <c r="Q113" s="251"/>
      <c r="R113" s="251">
        <v>17</v>
      </c>
    </row>
    <row r="114" spans="1:18">
      <c r="A114" s="272"/>
      <c r="B114" s="248"/>
      <c r="C114" s="249"/>
      <c r="D114" s="664" t="s">
        <v>1297</v>
      </c>
      <c r="E114" s="249"/>
      <c r="F114" s="654">
        <v>-7</v>
      </c>
      <c r="G114" s="249"/>
      <c r="H114" s="251">
        <v>1.97</v>
      </c>
      <c r="I114" s="251"/>
      <c r="J114" s="251">
        <v>1.8900000000000001</v>
      </c>
      <c r="K114" s="251"/>
      <c r="L114" s="251">
        <v>0.16999999999999998</v>
      </c>
      <c r="M114" s="251"/>
      <c r="N114" s="251">
        <v>-0.09</v>
      </c>
      <c r="O114" s="251"/>
      <c r="P114" s="655" t="s">
        <v>1373</v>
      </c>
      <c r="Q114" s="251"/>
      <c r="R114" s="251">
        <v>19.600000000000001</v>
      </c>
    </row>
    <row r="115" spans="1:18">
      <c r="A115" s="272"/>
      <c r="B115" s="248"/>
      <c r="C115" s="249"/>
      <c r="D115" s="664" t="s">
        <v>1298</v>
      </c>
      <c r="E115" s="249"/>
      <c r="F115" s="654">
        <v>-7</v>
      </c>
      <c r="G115" s="249"/>
      <c r="H115" s="251">
        <v>2.39</v>
      </c>
      <c r="I115" s="251"/>
      <c r="J115" s="251">
        <v>2.29</v>
      </c>
      <c r="K115" s="251"/>
      <c r="L115" s="251">
        <v>0.21</v>
      </c>
      <c r="M115" s="251"/>
      <c r="N115" s="251">
        <v>-0.11</v>
      </c>
      <c r="O115" s="251"/>
      <c r="P115" s="655" t="s">
        <v>1373</v>
      </c>
      <c r="Q115" s="251"/>
      <c r="R115" s="251">
        <v>20.6</v>
      </c>
    </row>
    <row r="116" spans="1:18">
      <c r="A116" s="272"/>
      <c r="B116" s="248"/>
      <c r="C116" s="256"/>
      <c r="D116" s="664" t="s">
        <v>1281</v>
      </c>
      <c r="E116" s="239"/>
      <c r="F116" s="654">
        <v>-13</v>
      </c>
      <c r="G116" s="239"/>
      <c r="H116" s="251">
        <v>2.37</v>
      </c>
      <c r="I116" s="251"/>
      <c r="J116" s="251">
        <v>2.3199999999999998</v>
      </c>
      <c r="K116" s="251"/>
      <c r="L116" s="251">
        <v>6.9999999999999993E-2</v>
      </c>
      <c r="M116" s="251"/>
      <c r="N116" s="251">
        <v>-0.02</v>
      </c>
      <c r="O116" s="251"/>
      <c r="P116" s="655" t="s">
        <v>1373</v>
      </c>
      <c r="Q116" s="251"/>
      <c r="R116" s="251">
        <v>43.3</v>
      </c>
    </row>
    <row r="117" spans="1:18">
      <c r="A117" s="272"/>
      <c r="B117" s="248"/>
      <c r="C117" s="249"/>
      <c r="D117" s="249"/>
      <c r="E117" s="249"/>
      <c r="F117" s="250"/>
      <c r="G117" s="249"/>
      <c r="H117" s="251"/>
      <c r="I117" s="251"/>
      <c r="J117" s="251"/>
      <c r="K117" s="251"/>
      <c r="L117" s="251"/>
      <c r="M117" s="251"/>
      <c r="N117" s="251"/>
      <c r="O117" s="251"/>
      <c r="P117" s="251"/>
      <c r="Q117" s="251"/>
      <c r="R117" s="251"/>
    </row>
    <row r="118" spans="1:18">
      <c r="B118" s="248"/>
      <c r="C118" s="249"/>
      <c r="D118" s="254" t="s">
        <v>2683</v>
      </c>
      <c r="E118" s="249"/>
      <c r="F118" s="278" t="s">
        <v>2331</v>
      </c>
      <c r="G118" s="249"/>
      <c r="H118" s="251">
        <v>2.2200000000000002</v>
      </c>
      <c r="I118" s="251"/>
      <c r="J118" s="251"/>
      <c r="K118" s="251"/>
      <c r="L118" s="251"/>
      <c r="M118" s="251"/>
      <c r="N118" s="251"/>
      <c r="O118" s="251"/>
      <c r="P118" s="251" t="s">
        <v>2684</v>
      </c>
      <c r="Q118" s="251"/>
      <c r="R118" s="251">
        <v>23</v>
      </c>
    </row>
    <row r="119" spans="1:18">
      <c r="A119" s="272"/>
      <c r="B119" s="248"/>
      <c r="C119" s="249"/>
      <c r="D119" s="254"/>
      <c r="E119" s="249"/>
      <c r="F119" s="278"/>
      <c r="G119" s="249"/>
      <c r="H119" s="251"/>
      <c r="I119" s="251"/>
      <c r="J119" s="251"/>
      <c r="K119" s="251"/>
      <c r="L119" s="251"/>
      <c r="M119" s="251"/>
      <c r="N119" s="251"/>
      <c r="O119" s="251"/>
      <c r="P119" s="251"/>
      <c r="Q119" s="251"/>
      <c r="R119" s="251"/>
    </row>
    <row r="120" spans="1:18">
      <c r="A120" s="468"/>
      <c r="B120" s="474">
        <v>314.10000000000002</v>
      </c>
      <c r="C120" s="472"/>
      <c r="D120" s="475" t="s">
        <v>2291</v>
      </c>
      <c r="E120" s="476"/>
      <c r="F120" s="476"/>
      <c r="G120" s="468"/>
      <c r="H120" s="251"/>
      <c r="I120" s="251"/>
      <c r="J120" s="251"/>
      <c r="K120" s="251"/>
      <c r="L120" s="251"/>
      <c r="M120" s="251"/>
      <c r="N120" s="251"/>
      <c r="P120" s="657"/>
      <c r="R120" s="658"/>
    </row>
    <row r="121" spans="1:18">
      <c r="A121" s="468"/>
      <c r="B121" s="474"/>
      <c r="C121" s="472"/>
      <c r="D121" s="477" t="s">
        <v>1284</v>
      </c>
      <c r="E121" s="476"/>
      <c r="F121" s="668">
        <v>0</v>
      </c>
      <c r="G121" s="669"/>
      <c r="H121" s="251">
        <v>0</v>
      </c>
      <c r="I121" s="251"/>
      <c r="J121" s="251">
        <v>0</v>
      </c>
      <c r="K121" s="251"/>
      <c r="L121" s="251">
        <v>0</v>
      </c>
      <c r="M121" s="251"/>
      <c r="N121" s="251">
        <v>0</v>
      </c>
      <c r="R121" s="658">
        <v>0</v>
      </c>
    </row>
    <row r="122" spans="1:18">
      <c r="A122" s="468"/>
      <c r="B122" s="474"/>
      <c r="C122" s="472"/>
      <c r="D122" s="477" t="s">
        <v>1285</v>
      </c>
      <c r="E122" s="476"/>
      <c r="F122" s="668">
        <v>0</v>
      </c>
      <c r="G122" s="669"/>
      <c r="H122" s="251">
        <v>0</v>
      </c>
      <c r="I122" s="251"/>
      <c r="J122" s="251">
        <v>0</v>
      </c>
      <c r="K122" s="251"/>
      <c r="L122" s="251">
        <v>0</v>
      </c>
      <c r="M122" s="251"/>
      <c r="N122" s="251">
        <v>0</v>
      </c>
      <c r="R122" s="658">
        <v>0</v>
      </c>
    </row>
    <row r="123" spans="1:18">
      <c r="A123" s="468"/>
      <c r="B123" s="474"/>
      <c r="C123" s="472"/>
      <c r="D123" s="477" t="s">
        <v>1286</v>
      </c>
      <c r="E123" s="476"/>
      <c r="F123" s="668">
        <v>0</v>
      </c>
      <c r="G123" s="669"/>
      <c r="H123" s="251">
        <v>0</v>
      </c>
      <c r="I123" s="251"/>
      <c r="J123" s="251">
        <v>0</v>
      </c>
      <c r="K123" s="251"/>
      <c r="L123" s="251">
        <v>0</v>
      </c>
      <c r="M123" s="251"/>
      <c r="N123" s="251">
        <v>0</v>
      </c>
      <c r="R123" s="658">
        <v>0</v>
      </c>
    </row>
    <row r="124" spans="1:18">
      <c r="A124" s="468"/>
      <c r="B124" s="474"/>
      <c r="C124" s="472"/>
      <c r="D124" s="477" t="s">
        <v>1287</v>
      </c>
      <c r="E124" s="476"/>
      <c r="F124" s="668">
        <v>0</v>
      </c>
      <c r="G124" s="669"/>
      <c r="H124" s="251">
        <v>0</v>
      </c>
      <c r="I124" s="251"/>
      <c r="J124" s="251">
        <v>0</v>
      </c>
      <c r="K124" s="251"/>
      <c r="L124" s="251">
        <v>0</v>
      </c>
      <c r="M124" s="251"/>
      <c r="N124" s="251">
        <v>0</v>
      </c>
      <c r="R124" s="658">
        <v>0</v>
      </c>
    </row>
    <row r="125" spans="1:18">
      <c r="A125" s="468"/>
      <c r="B125" s="474"/>
      <c r="C125" s="472"/>
      <c r="D125" s="478"/>
      <c r="E125" s="476"/>
      <c r="F125" s="668"/>
      <c r="G125" s="669"/>
      <c r="H125" s="251"/>
      <c r="I125" s="251"/>
      <c r="J125" s="251"/>
      <c r="K125" s="251"/>
      <c r="L125" s="251"/>
      <c r="M125" s="251"/>
      <c r="N125" s="251"/>
      <c r="R125" s="658"/>
    </row>
    <row r="126" spans="1:18">
      <c r="A126" s="468"/>
      <c r="B126" s="474"/>
      <c r="C126" s="472"/>
      <c r="D126" s="478" t="s">
        <v>2292</v>
      </c>
      <c r="E126" s="476"/>
      <c r="F126" s="668">
        <v>0</v>
      </c>
      <c r="G126" s="669"/>
      <c r="H126" s="251">
        <v>0</v>
      </c>
      <c r="I126" s="251"/>
      <c r="J126" s="251">
        <v>0</v>
      </c>
      <c r="K126" s="251"/>
      <c r="L126" s="251">
        <v>0</v>
      </c>
      <c r="M126" s="251"/>
      <c r="N126" s="251">
        <v>0</v>
      </c>
      <c r="R126" s="658">
        <v>0</v>
      </c>
    </row>
    <row r="127" spans="1:18">
      <c r="A127" s="272"/>
      <c r="B127" s="248"/>
      <c r="C127" s="249"/>
      <c r="D127" s="249"/>
      <c r="E127" s="249"/>
      <c r="F127" s="250"/>
      <c r="G127" s="249"/>
      <c r="H127" s="251"/>
      <c r="I127" s="251"/>
      <c r="J127" s="251"/>
      <c r="K127" s="251"/>
      <c r="L127" s="251"/>
      <c r="M127" s="251"/>
      <c r="N127" s="251"/>
      <c r="O127" s="251"/>
      <c r="P127" s="251"/>
      <c r="Q127" s="251"/>
      <c r="R127" s="251"/>
    </row>
    <row r="128" spans="1:18">
      <c r="A128" s="272">
        <v>314</v>
      </c>
      <c r="B128" s="248"/>
      <c r="C128" s="249"/>
      <c r="D128" s="670" t="s">
        <v>1307</v>
      </c>
      <c r="E128" s="249"/>
      <c r="F128" s="250" t="s">
        <v>2331</v>
      </c>
      <c r="G128" s="249"/>
      <c r="H128" s="251">
        <v>2.2200000000000002</v>
      </c>
      <c r="I128" s="251"/>
      <c r="J128" s="251"/>
      <c r="K128" s="251"/>
      <c r="L128" s="251"/>
      <c r="M128" s="251"/>
      <c r="N128" s="251"/>
      <c r="O128" s="251"/>
      <c r="P128" s="251" t="s">
        <v>2684</v>
      </c>
      <c r="Q128" s="251"/>
      <c r="R128" s="251">
        <v>23</v>
      </c>
    </row>
    <row r="129" spans="1:19">
      <c r="A129" s="272"/>
      <c r="B129" s="248"/>
      <c r="C129" s="249"/>
      <c r="D129" s="249"/>
      <c r="E129" s="249"/>
      <c r="F129" s="250"/>
      <c r="G129" s="249"/>
      <c r="H129" s="251"/>
      <c r="I129" s="251"/>
      <c r="J129" s="251"/>
      <c r="K129" s="251"/>
      <c r="L129" s="251"/>
      <c r="M129" s="251"/>
      <c r="N129" s="251"/>
      <c r="O129" s="251"/>
      <c r="P129" s="251"/>
      <c r="Q129" s="251"/>
      <c r="R129" s="251"/>
    </row>
    <row r="130" spans="1:19">
      <c r="A130" s="272"/>
      <c r="B130" s="248">
        <v>315</v>
      </c>
      <c r="C130" s="249"/>
      <c r="D130" s="249" t="s">
        <v>1308</v>
      </c>
      <c r="E130" s="249"/>
      <c r="F130" s="250"/>
      <c r="G130" s="249"/>
      <c r="H130" s="251"/>
      <c r="I130" s="251"/>
      <c r="J130" s="251"/>
      <c r="K130" s="251"/>
      <c r="L130" s="251"/>
      <c r="M130" s="251"/>
      <c r="N130" s="251"/>
      <c r="O130" s="251"/>
      <c r="P130" s="251"/>
      <c r="Q130" s="251"/>
      <c r="R130" s="251"/>
      <c r="S130" s="240"/>
    </row>
    <row r="131" spans="1:19">
      <c r="A131" s="272"/>
      <c r="B131" s="248"/>
      <c r="C131" s="249"/>
      <c r="D131" s="661" t="s">
        <v>1289</v>
      </c>
      <c r="E131" s="249"/>
      <c r="F131" s="654">
        <v>-6</v>
      </c>
      <c r="G131" s="249"/>
      <c r="H131" s="662">
        <v>1.33</v>
      </c>
      <c r="I131" s="251"/>
      <c r="J131" s="662">
        <v>1.34</v>
      </c>
      <c r="K131" s="251"/>
      <c r="L131" s="662">
        <v>0.06</v>
      </c>
      <c r="M131" s="251"/>
      <c r="N131" s="662">
        <v>-6.9999999999999993E-2</v>
      </c>
      <c r="O131" s="251"/>
      <c r="P131" s="251" t="s">
        <v>2293</v>
      </c>
      <c r="Q131" s="251"/>
      <c r="R131" s="662">
        <v>7.5</v>
      </c>
      <c r="S131" s="240"/>
    </row>
    <row r="132" spans="1:19">
      <c r="A132" s="272"/>
      <c r="B132" s="248"/>
      <c r="C132" s="249"/>
      <c r="D132" s="661" t="s">
        <v>1292</v>
      </c>
      <c r="E132" s="249"/>
      <c r="F132" s="654">
        <v>-6</v>
      </c>
      <c r="G132" s="249"/>
      <c r="H132" s="662">
        <v>4.7899999999999991</v>
      </c>
      <c r="I132" s="251"/>
      <c r="J132" s="662">
        <v>4.6399999999999997</v>
      </c>
      <c r="K132" s="251"/>
      <c r="L132" s="662">
        <v>0.22999999999999998</v>
      </c>
      <c r="M132" s="251"/>
      <c r="N132" s="662">
        <v>-0.08</v>
      </c>
      <c r="O132" s="251"/>
      <c r="P132" s="251" t="s">
        <v>2293</v>
      </c>
      <c r="Q132" s="251"/>
      <c r="R132" s="662">
        <v>19.399999999999999</v>
      </c>
      <c r="S132" s="240"/>
    </row>
    <row r="133" spans="1:19">
      <c r="A133" s="272"/>
      <c r="B133" s="248"/>
      <c r="C133" s="249"/>
      <c r="D133" s="661" t="s">
        <v>1290</v>
      </c>
      <c r="E133" s="249"/>
      <c r="F133" s="654">
        <v>-6</v>
      </c>
      <c r="G133" s="249"/>
      <c r="H133" s="662">
        <v>2.13</v>
      </c>
      <c r="I133" s="251"/>
      <c r="J133" s="662">
        <v>2.09</v>
      </c>
      <c r="K133" s="251"/>
      <c r="L133" s="662">
        <v>0.1</v>
      </c>
      <c r="M133" s="251"/>
      <c r="N133" s="662">
        <v>-0.06</v>
      </c>
      <c r="O133" s="251"/>
      <c r="P133" s="251" t="s">
        <v>2293</v>
      </c>
      <c r="Q133" s="251"/>
      <c r="R133" s="662">
        <v>13.4</v>
      </c>
      <c r="S133" s="240"/>
    </row>
    <row r="134" spans="1:19">
      <c r="A134" s="272"/>
      <c r="B134" s="248"/>
      <c r="C134" s="249"/>
      <c r="D134" s="661" t="s">
        <v>1291</v>
      </c>
      <c r="E134" s="249"/>
      <c r="F134" s="654">
        <v>-6</v>
      </c>
      <c r="G134" s="249"/>
      <c r="H134" s="662">
        <v>1.3399999999999999</v>
      </c>
      <c r="I134" s="251"/>
      <c r="J134" s="662">
        <v>1.3</v>
      </c>
      <c r="K134" s="251"/>
      <c r="L134" s="662">
        <v>6.9999999999999993E-2</v>
      </c>
      <c r="M134" s="251"/>
      <c r="N134" s="662">
        <v>-0.03</v>
      </c>
      <c r="O134" s="251"/>
      <c r="P134" s="251" t="s">
        <v>2293</v>
      </c>
      <c r="Q134" s="251"/>
      <c r="R134" s="662">
        <v>19.3</v>
      </c>
      <c r="S134" s="258"/>
    </row>
    <row r="135" spans="1:19">
      <c r="A135" s="272"/>
      <c r="B135" s="248"/>
      <c r="C135" s="249"/>
      <c r="D135" s="661" t="s">
        <v>1295</v>
      </c>
      <c r="E135" s="249"/>
      <c r="F135" s="654">
        <v>-7</v>
      </c>
      <c r="G135" s="249"/>
      <c r="H135" s="662">
        <v>0.6</v>
      </c>
      <c r="I135" s="251"/>
      <c r="J135" s="662">
        <v>0.6</v>
      </c>
      <c r="K135" s="251"/>
      <c r="L135" s="662">
        <v>0.03</v>
      </c>
      <c r="M135" s="251"/>
      <c r="N135" s="662">
        <v>-0.03</v>
      </c>
      <c r="O135" s="251"/>
      <c r="P135" s="251" t="s">
        <v>2293</v>
      </c>
      <c r="Q135" s="251"/>
      <c r="R135" s="662">
        <v>18.2</v>
      </c>
      <c r="S135" s="258"/>
    </row>
    <row r="136" spans="1:19">
      <c r="A136" s="272"/>
      <c r="B136" s="248"/>
      <c r="C136" s="249"/>
      <c r="D136" s="661" t="s">
        <v>1294</v>
      </c>
      <c r="E136" s="249"/>
      <c r="F136" s="654">
        <v>-7</v>
      </c>
      <c r="G136" s="249"/>
      <c r="H136" s="662">
        <v>4.04</v>
      </c>
      <c r="I136" s="251"/>
      <c r="J136" s="662">
        <v>3.88</v>
      </c>
      <c r="K136" s="251"/>
      <c r="L136" s="662">
        <v>0.22999999999999998</v>
      </c>
      <c r="M136" s="251"/>
      <c r="N136" s="662">
        <v>-6.9999999999999993E-2</v>
      </c>
      <c r="O136" s="251"/>
      <c r="P136" s="251" t="s">
        <v>2293</v>
      </c>
      <c r="Q136" s="251"/>
      <c r="R136" s="662">
        <v>18.399999999999999</v>
      </c>
      <c r="S136" s="240"/>
    </row>
    <row r="137" spans="1:19">
      <c r="A137" s="272"/>
      <c r="B137" s="248"/>
      <c r="C137" s="249"/>
      <c r="D137" s="661" t="s">
        <v>1296</v>
      </c>
      <c r="E137" s="249"/>
      <c r="F137" s="654">
        <v>-7</v>
      </c>
      <c r="G137" s="249"/>
      <c r="H137" s="662">
        <v>1.49</v>
      </c>
      <c r="I137" s="251"/>
      <c r="J137" s="662">
        <v>1.43</v>
      </c>
      <c r="K137" s="251"/>
      <c r="L137" s="662">
        <v>0.09</v>
      </c>
      <c r="M137" s="251"/>
      <c r="N137" s="662">
        <v>-0.03</v>
      </c>
      <c r="O137" s="251"/>
      <c r="P137" s="251" t="s">
        <v>2293</v>
      </c>
      <c r="Q137" s="251"/>
      <c r="R137" s="662">
        <v>17.7</v>
      </c>
      <c r="S137" s="240"/>
    </row>
    <row r="138" spans="1:19">
      <c r="A138" s="272"/>
      <c r="B138" s="248"/>
      <c r="C138" s="249"/>
      <c r="D138" s="661" t="s">
        <v>1299</v>
      </c>
      <c r="E138" s="249"/>
      <c r="F138" s="654">
        <v>-7</v>
      </c>
      <c r="G138" s="249"/>
      <c r="H138" s="662">
        <v>4.9399999999999995</v>
      </c>
      <c r="I138" s="251"/>
      <c r="J138" s="662">
        <v>4.74</v>
      </c>
      <c r="K138" s="251"/>
      <c r="L138" s="662">
        <v>0.28999999999999998</v>
      </c>
      <c r="M138" s="251"/>
      <c r="N138" s="662">
        <v>-0.09</v>
      </c>
      <c r="O138" s="251"/>
      <c r="P138" s="251" t="s">
        <v>2293</v>
      </c>
      <c r="Q138" s="251"/>
      <c r="R138" s="662">
        <v>18.399999999999999</v>
      </c>
      <c r="S138" s="240"/>
    </row>
    <row r="139" spans="1:19">
      <c r="A139" s="272"/>
      <c r="B139" s="248"/>
      <c r="C139" s="249"/>
      <c r="D139" s="661" t="s">
        <v>1297</v>
      </c>
      <c r="E139" s="249"/>
      <c r="F139" s="654">
        <v>-7</v>
      </c>
      <c r="G139" s="249"/>
      <c r="H139" s="662">
        <v>1.4500000000000002</v>
      </c>
      <c r="I139" s="251"/>
      <c r="J139" s="662">
        <v>1.4000000000000001</v>
      </c>
      <c r="K139" s="251"/>
      <c r="L139" s="662">
        <v>0.08</v>
      </c>
      <c r="M139" s="251"/>
      <c r="N139" s="662">
        <v>-0.03</v>
      </c>
      <c r="O139" s="251"/>
      <c r="P139" s="251" t="s">
        <v>2293</v>
      </c>
      <c r="Q139" s="251"/>
      <c r="R139" s="662">
        <v>20.5</v>
      </c>
      <c r="S139" s="240"/>
    </row>
    <row r="140" spans="1:19">
      <c r="A140" s="272"/>
      <c r="B140" s="248"/>
      <c r="C140" s="249"/>
      <c r="D140" s="661" t="s">
        <v>1303</v>
      </c>
      <c r="E140" s="249"/>
      <c r="F140" s="654">
        <v>-7</v>
      </c>
      <c r="G140" s="249"/>
      <c r="H140" s="662">
        <v>3.91</v>
      </c>
      <c r="I140" s="251"/>
      <c r="J140" s="662">
        <v>3.75</v>
      </c>
      <c r="K140" s="251"/>
      <c r="L140" s="662">
        <v>0.22999999999999998</v>
      </c>
      <c r="M140" s="251"/>
      <c r="N140" s="662">
        <v>-6.9999999999999993E-2</v>
      </c>
      <c r="O140" s="251"/>
      <c r="P140" s="251" t="s">
        <v>2293</v>
      </c>
      <c r="Q140" s="251"/>
      <c r="R140" s="662">
        <v>21.2</v>
      </c>
      <c r="S140" s="240"/>
    </row>
    <row r="141" spans="1:19">
      <c r="A141" s="272"/>
      <c r="B141" s="248"/>
      <c r="C141" s="249"/>
      <c r="D141" s="661" t="s">
        <v>1298</v>
      </c>
      <c r="E141" s="249"/>
      <c r="F141" s="654">
        <v>-7</v>
      </c>
      <c r="G141" s="249"/>
      <c r="H141" s="662">
        <v>1.67</v>
      </c>
      <c r="I141" s="251"/>
      <c r="J141" s="662">
        <v>1.6</v>
      </c>
      <c r="K141" s="251"/>
      <c r="L141" s="662">
        <v>0.1</v>
      </c>
      <c r="M141" s="251"/>
      <c r="N141" s="662">
        <v>-0.03</v>
      </c>
      <c r="O141" s="251"/>
      <c r="P141" s="251" t="s">
        <v>2293</v>
      </c>
      <c r="Q141" s="251"/>
      <c r="R141" s="662">
        <v>21.5</v>
      </c>
      <c r="S141" s="240"/>
    </row>
    <row r="142" spans="1:19">
      <c r="A142" s="272"/>
      <c r="B142" s="248"/>
      <c r="C142" s="249"/>
      <c r="D142" s="661" t="s">
        <v>1304</v>
      </c>
      <c r="E142" s="249"/>
      <c r="F142" s="654">
        <v>-7</v>
      </c>
      <c r="G142" s="249"/>
      <c r="H142" s="662">
        <v>4.05</v>
      </c>
      <c r="I142" s="251"/>
      <c r="J142" s="662">
        <v>3.9</v>
      </c>
      <c r="K142" s="251"/>
      <c r="L142" s="662">
        <v>0.22999999999999998</v>
      </c>
      <c r="M142" s="251"/>
      <c r="N142" s="662">
        <v>-0.08</v>
      </c>
      <c r="O142" s="251"/>
      <c r="P142" s="251" t="s">
        <v>2293</v>
      </c>
      <c r="Q142" s="251"/>
      <c r="R142" s="662">
        <v>22.3</v>
      </c>
      <c r="S142" s="240"/>
    </row>
    <row r="143" spans="1:19">
      <c r="A143" s="272"/>
      <c r="B143" s="248"/>
      <c r="C143" s="249"/>
      <c r="D143" s="664" t="s">
        <v>1281</v>
      </c>
      <c r="E143" s="249"/>
      <c r="F143" s="654">
        <v>-13</v>
      </c>
      <c r="G143" s="249"/>
      <c r="H143" s="662">
        <v>2.1800000000000002</v>
      </c>
      <c r="I143" s="251"/>
      <c r="J143" s="662">
        <v>2.04</v>
      </c>
      <c r="K143" s="251"/>
      <c r="L143" s="662">
        <v>0.18</v>
      </c>
      <c r="M143" s="251"/>
      <c r="N143" s="662">
        <v>-0.04</v>
      </c>
      <c r="O143" s="251"/>
      <c r="P143" s="251" t="s">
        <v>2293</v>
      </c>
      <c r="Q143" s="251"/>
      <c r="R143" s="662">
        <v>46.6</v>
      </c>
      <c r="S143" s="240"/>
    </row>
    <row r="144" spans="1:19">
      <c r="A144" s="272"/>
      <c r="B144" s="248"/>
      <c r="C144" s="249"/>
      <c r="D144" s="664" t="s">
        <v>1282</v>
      </c>
      <c r="E144" s="249"/>
      <c r="F144" s="654">
        <v>-13</v>
      </c>
      <c r="G144" s="249"/>
      <c r="H144" s="662">
        <v>1.66</v>
      </c>
      <c r="I144" s="251"/>
      <c r="J144" s="662">
        <v>1.54</v>
      </c>
      <c r="K144" s="251"/>
      <c r="L144" s="662">
        <v>0.13999999999999999</v>
      </c>
      <c r="M144" s="251"/>
      <c r="N144" s="662">
        <v>-0.02</v>
      </c>
      <c r="O144" s="251"/>
      <c r="P144" s="251" t="s">
        <v>2293</v>
      </c>
      <c r="Q144" s="251"/>
      <c r="R144" s="662">
        <v>40.9</v>
      </c>
      <c r="S144" s="240"/>
    </row>
    <row r="145" spans="1:19">
      <c r="A145" s="272"/>
      <c r="B145" s="248"/>
      <c r="C145" s="249"/>
      <c r="D145" s="664" t="s">
        <v>1285</v>
      </c>
      <c r="E145" s="249"/>
      <c r="F145" s="671">
        <v>0</v>
      </c>
      <c r="G145" s="249"/>
      <c r="H145" s="662">
        <v>0</v>
      </c>
      <c r="I145" s="251"/>
      <c r="J145" s="662">
        <v>0</v>
      </c>
      <c r="K145" s="251"/>
      <c r="L145" s="662">
        <v>0</v>
      </c>
      <c r="M145" s="251"/>
      <c r="N145" s="662">
        <v>0</v>
      </c>
      <c r="O145" s="251"/>
      <c r="P145" s="251" t="s">
        <v>1309</v>
      </c>
      <c r="Q145" s="251"/>
      <c r="R145" s="251">
        <v>26.5</v>
      </c>
      <c r="S145" s="240"/>
    </row>
    <row r="146" spans="1:19">
      <c r="A146" s="272"/>
      <c r="B146" s="248"/>
      <c r="C146" s="249"/>
      <c r="D146" s="249"/>
      <c r="E146" s="249"/>
      <c r="F146" s="250"/>
      <c r="G146" s="249"/>
      <c r="H146" s="251"/>
      <c r="I146" s="251"/>
      <c r="J146" s="251"/>
      <c r="K146" s="251"/>
      <c r="L146" s="251"/>
      <c r="M146" s="251"/>
      <c r="N146" s="251"/>
      <c r="O146" s="251"/>
      <c r="P146" s="251"/>
      <c r="Q146" s="251"/>
      <c r="R146" s="251"/>
    </row>
    <row r="147" spans="1:19">
      <c r="A147" s="272"/>
      <c r="B147" s="248"/>
      <c r="C147" s="249"/>
      <c r="D147" s="254" t="s">
        <v>2685</v>
      </c>
      <c r="E147" s="249"/>
      <c r="F147" s="278" t="s">
        <v>2681</v>
      </c>
      <c r="G147" s="249"/>
      <c r="H147" s="251">
        <v>2.5</v>
      </c>
      <c r="I147" s="251"/>
      <c r="J147" s="251"/>
      <c r="K147" s="251"/>
      <c r="L147" s="251"/>
      <c r="M147" s="251"/>
      <c r="N147" s="251"/>
      <c r="O147" s="251"/>
      <c r="P147" s="251" t="str">
        <f>P145</f>
        <v>70-S3</v>
      </c>
      <c r="Q147" s="251"/>
      <c r="R147" s="251">
        <v>24.1</v>
      </c>
    </row>
    <row r="148" spans="1:19">
      <c r="A148" s="468"/>
      <c r="B148" s="474"/>
      <c r="C148" s="472"/>
      <c r="D148" s="478"/>
      <c r="E148" s="476"/>
      <c r="F148" s="476"/>
      <c r="G148" s="468"/>
      <c r="P148" s="657"/>
      <c r="R148" s="658"/>
    </row>
    <row r="149" spans="1:19">
      <c r="A149" s="468"/>
      <c r="B149" s="474">
        <v>315.10000000000002</v>
      </c>
      <c r="C149" s="472"/>
      <c r="D149" s="475" t="s">
        <v>2294</v>
      </c>
      <c r="E149" s="476"/>
      <c r="F149" s="476"/>
      <c r="G149" s="468"/>
      <c r="P149" s="657"/>
      <c r="R149" s="658"/>
    </row>
    <row r="150" spans="1:19">
      <c r="A150" s="468"/>
      <c r="B150" s="474"/>
      <c r="C150" s="472"/>
      <c r="D150" s="475" t="s">
        <v>1284</v>
      </c>
      <c r="E150" s="473"/>
      <c r="F150" s="469">
        <v>-10</v>
      </c>
      <c r="G150" s="468"/>
      <c r="H150" s="656">
        <v>0</v>
      </c>
      <c r="J150" s="656">
        <v>0</v>
      </c>
      <c r="L150" s="656">
        <v>0</v>
      </c>
      <c r="N150" s="656">
        <v>0</v>
      </c>
      <c r="P150" s="656" t="s">
        <v>2293</v>
      </c>
      <c r="R150" s="672">
        <v>0</v>
      </c>
    </row>
    <row r="151" spans="1:19">
      <c r="A151" s="468"/>
      <c r="B151" s="474"/>
      <c r="C151" s="472"/>
      <c r="D151" s="477" t="s">
        <v>1286</v>
      </c>
      <c r="E151" s="473"/>
      <c r="F151" s="469">
        <v>-10</v>
      </c>
      <c r="G151" s="468"/>
      <c r="H151" s="656">
        <v>0</v>
      </c>
      <c r="J151" s="656">
        <v>0</v>
      </c>
      <c r="L151" s="656">
        <v>0</v>
      </c>
      <c r="N151" s="656">
        <v>0</v>
      </c>
      <c r="P151" s="656" t="s">
        <v>2293</v>
      </c>
      <c r="R151" s="672">
        <v>0</v>
      </c>
    </row>
    <row r="152" spans="1:19">
      <c r="A152" s="468"/>
      <c r="B152" s="474"/>
      <c r="C152" s="472"/>
      <c r="D152" s="477" t="s">
        <v>1287</v>
      </c>
      <c r="E152" s="476"/>
      <c r="F152" s="476">
        <v>-10</v>
      </c>
      <c r="G152" s="468"/>
      <c r="H152" s="656">
        <v>0</v>
      </c>
      <c r="J152" s="656">
        <v>0</v>
      </c>
      <c r="L152" s="656">
        <v>0</v>
      </c>
      <c r="N152" s="656">
        <v>0</v>
      </c>
      <c r="P152" s="657" t="s">
        <v>2293</v>
      </c>
      <c r="R152" s="672">
        <v>0</v>
      </c>
    </row>
    <row r="153" spans="1:19">
      <c r="A153" s="468"/>
      <c r="B153" s="474"/>
      <c r="C153" s="472"/>
      <c r="D153" s="478"/>
      <c r="E153" s="476"/>
      <c r="F153" s="476"/>
      <c r="G153" s="468"/>
      <c r="P153" s="657"/>
      <c r="R153" s="672"/>
    </row>
    <row r="154" spans="1:19">
      <c r="A154" s="468"/>
      <c r="B154" s="474"/>
      <c r="C154" s="472"/>
      <c r="D154" s="478" t="s">
        <v>2295</v>
      </c>
      <c r="E154" s="476"/>
      <c r="F154" s="476"/>
      <c r="G154" s="468"/>
      <c r="H154" s="656">
        <v>0</v>
      </c>
      <c r="J154" s="656">
        <v>0</v>
      </c>
      <c r="L154" s="656">
        <v>0</v>
      </c>
      <c r="N154" s="656">
        <v>0</v>
      </c>
      <c r="P154" s="657"/>
      <c r="R154" s="672">
        <v>0</v>
      </c>
    </row>
    <row r="155" spans="1:19">
      <c r="A155" s="468"/>
      <c r="B155" s="474"/>
      <c r="C155" s="472"/>
      <c r="D155" s="478"/>
      <c r="E155" s="476"/>
      <c r="F155" s="476"/>
      <c r="G155" s="468"/>
      <c r="P155" s="657"/>
      <c r="R155" s="672"/>
    </row>
    <row r="156" spans="1:19">
      <c r="A156" s="468">
        <v>315</v>
      </c>
      <c r="B156" s="474"/>
      <c r="C156" s="472"/>
      <c r="D156" s="478" t="s">
        <v>1310</v>
      </c>
      <c r="E156" s="476"/>
      <c r="F156" s="476" t="s">
        <v>2681</v>
      </c>
      <c r="G156" s="468"/>
      <c r="H156" s="656">
        <v>2.5</v>
      </c>
      <c r="P156" s="657" t="s">
        <v>1309</v>
      </c>
      <c r="R156" s="672">
        <v>24.1</v>
      </c>
    </row>
    <row r="157" spans="1:19">
      <c r="A157" s="468"/>
      <c r="B157" s="474"/>
      <c r="C157" s="472"/>
      <c r="D157" s="478"/>
      <c r="E157" s="476"/>
      <c r="F157" s="476"/>
      <c r="G157" s="468"/>
      <c r="P157" s="657"/>
      <c r="R157" s="672"/>
    </row>
    <row r="158" spans="1:19">
      <c r="A158" s="272"/>
      <c r="B158" s="248"/>
      <c r="C158" s="249"/>
      <c r="D158" s="249"/>
      <c r="E158" s="249"/>
      <c r="F158" s="250"/>
      <c r="G158" s="249"/>
      <c r="H158" s="251"/>
      <c r="I158" s="251"/>
      <c r="J158" s="251"/>
      <c r="K158" s="251"/>
      <c r="L158" s="251"/>
      <c r="M158" s="251"/>
      <c r="N158" s="251"/>
      <c r="O158" s="251"/>
      <c r="P158" s="251"/>
      <c r="Q158" s="251"/>
      <c r="R158" s="251"/>
    </row>
    <row r="159" spans="1:19">
      <c r="A159" s="272"/>
      <c r="B159" s="248">
        <v>316</v>
      </c>
      <c r="C159" s="249" t="s">
        <v>160</v>
      </c>
      <c r="D159" s="249" t="s">
        <v>1311</v>
      </c>
      <c r="E159" s="249"/>
      <c r="F159" s="250"/>
      <c r="G159" s="249"/>
      <c r="H159" s="251"/>
      <c r="I159" s="251"/>
      <c r="J159" s="251"/>
      <c r="K159" s="251"/>
      <c r="L159" s="251"/>
      <c r="M159" s="251"/>
      <c r="N159" s="251"/>
      <c r="O159" s="251"/>
      <c r="P159" s="251"/>
      <c r="Q159" s="251"/>
      <c r="R159" s="251"/>
    </row>
    <row r="160" spans="1:19">
      <c r="A160" s="272"/>
      <c r="B160" s="248"/>
      <c r="C160" s="249"/>
      <c r="D160" s="253" t="s">
        <v>1281</v>
      </c>
      <c r="E160" s="249"/>
      <c r="F160" s="250">
        <v>-11</v>
      </c>
      <c r="G160" s="249"/>
      <c r="H160" s="662">
        <v>1.5999999999999996</v>
      </c>
      <c r="I160" s="251"/>
      <c r="J160" s="662">
        <v>1.5699999999999998</v>
      </c>
      <c r="K160" s="251"/>
      <c r="L160" s="662">
        <v>0.06</v>
      </c>
      <c r="M160" s="251"/>
      <c r="N160" s="662">
        <v>-0.03</v>
      </c>
      <c r="O160" s="251"/>
      <c r="P160" s="655" t="s">
        <v>2297</v>
      </c>
      <c r="Q160" s="251"/>
      <c r="R160" s="251">
        <v>48.2</v>
      </c>
    </row>
    <row r="161" spans="1:19">
      <c r="A161" s="272"/>
      <c r="B161" s="248"/>
      <c r="C161" s="249"/>
      <c r="D161" s="249" t="s">
        <v>1283</v>
      </c>
      <c r="E161" s="249"/>
      <c r="F161" s="250">
        <v>-1</v>
      </c>
      <c r="G161" s="249"/>
      <c r="H161" s="662">
        <v>0.06</v>
      </c>
      <c r="I161" s="251"/>
      <c r="J161" s="662">
        <v>6.9999999999999993E-2</v>
      </c>
      <c r="K161" s="251"/>
      <c r="L161" s="662">
        <v>0</v>
      </c>
      <c r="M161" s="251"/>
      <c r="N161" s="662">
        <v>-0.01</v>
      </c>
      <c r="O161" s="251"/>
      <c r="P161" s="655" t="s">
        <v>2297</v>
      </c>
      <c r="Q161" s="251"/>
      <c r="R161" s="251">
        <v>26.8</v>
      </c>
    </row>
    <row r="162" spans="1:19">
      <c r="A162" s="272"/>
      <c r="B162" s="248"/>
      <c r="C162" s="249"/>
      <c r="D162" s="253" t="s">
        <v>1286</v>
      </c>
      <c r="E162" s="249"/>
      <c r="F162" s="250">
        <v>-2</v>
      </c>
      <c r="G162" s="249"/>
      <c r="H162" s="662">
        <v>1.27</v>
      </c>
      <c r="I162" s="251"/>
      <c r="J162" s="662">
        <v>1.22</v>
      </c>
      <c r="K162" s="251"/>
      <c r="L162" s="662">
        <v>0.06</v>
      </c>
      <c r="M162" s="251"/>
      <c r="N162" s="662">
        <v>-0.01</v>
      </c>
      <c r="O162" s="251"/>
      <c r="P162" s="655" t="s">
        <v>2297</v>
      </c>
      <c r="Q162" s="251"/>
      <c r="R162" s="251">
        <v>4</v>
      </c>
      <c r="S162" s="240"/>
    </row>
    <row r="163" spans="1:19">
      <c r="A163" s="272"/>
      <c r="B163" s="248"/>
      <c r="C163" s="249"/>
      <c r="D163" s="253" t="s">
        <v>1289</v>
      </c>
      <c r="E163" s="249"/>
      <c r="F163" s="250">
        <v>-4</v>
      </c>
      <c r="G163" s="249"/>
      <c r="H163" s="662">
        <v>3.0300000000000002</v>
      </c>
      <c r="I163" s="251"/>
      <c r="J163" s="662">
        <v>2.91</v>
      </c>
      <c r="K163" s="251"/>
      <c r="L163" s="662">
        <v>0.15</v>
      </c>
      <c r="M163" s="251"/>
      <c r="N163" s="662">
        <v>-0.03</v>
      </c>
      <c r="O163" s="251"/>
      <c r="P163" s="655" t="s">
        <v>2297</v>
      </c>
      <c r="Q163" s="251"/>
      <c r="R163" s="251">
        <v>16</v>
      </c>
      <c r="S163" s="240"/>
    </row>
    <row r="164" spans="1:19">
      <c r="A164" s="272"/>
      <c r="B164" s="248"/>
      <c r="C164" s="249"/>
      <c r="D164" s="253" t="s">
        <v>1290</v>
      </c>
      <c r="E164" s="249"/>
      <c r="F164" s="250">
        <v>-4</v>
      </c>
      <c r="G164" s="249"/>
      <c r="H164" s="662">
        <v>0</v>
      </c>
      <c r="I164" s="251"/>
      <c r="J164" s="662">
        <v>0</v>
      </c>
      <c r="K164" s="251"/>
      <c r="L164" s="662">
        <v>0</v>
      </c>
      <c r="M164" s="251"/>
      <c r="N164" s="662">
        <v>0</v>
      </c>
      <c r="O164" s="251"/>
      <c r="P164" s="655"/>
      <c r="Q164" s="251"/>
      <c r="R164" s="251">
        <v>21.7</v>
      </c>
      <c r="S164" s="240"/>
    </row>
    <row r="165" spans="1:19">
      <c r="A165" s="272"/>
      <c r="B165" s="248"/>
      <c r="C165" s="249"/>
      <c r="D165" s="253" t="s">
        <v>1291</v>
      </c>
      <c r="E165" s="249"/>
      <c r="F165" s="250">
        <v>-4</v>
      </c>
      <c r="G165" s="249"/>
      <c r="H165" s="662">
        <v>0</v>
      </c>
      <c r="I165" s="251"/>
      <c r="J165" s="662">
        <v>0</v>
      </c>
      <c r="K165" s="251"/>
      <c r="L165" s="662">
        <v>0</v>
      </c>
      <c r="M165" s="251"/>
      <c r="N165" s="662">
        <v>0</v>
      </c>
      <c r="O165" s="251"/>
      <c r="P165" s="655" t="s">
        <v>2297</v>
      </c>
      <c r="Q165" s="251"/>
      <c r="R165" s="251">
        <v>22.3</v>
      </c>
      <c r="S165" s="240"/>
    </row>
    <row r="166" spans="1:19">
      <c r="A166" s="274"/>
      <c r="B166" s="255"/>
      <c r="C166" s="249"/>
      <c r="D166" s="253" t="s">
        <v>1294</v>
      </c>
      <c r="E166" s="249"/>
      <c r="F166" s="250">
        <v>-5</v>
      </c>
      <c r="G166" s="249"/>
      <c r="H166" s="662">
        <v>0</v>
      </c>
      <c r="I166" s="251"/>
      <c r="J166" s="662">
        <v>0</v>
      </c>
      <c r="K166" s="251"/>
      <c r="L166" s="662">
        <v>0</v>
      </c>
      <c r="M166" s="251"/>
      <c r="N166" s="662">
        <v>0</v>
      </c>
      <c r="O166" s="251"/>
      <c r="P166" s="655" t="s">
        <v>2297</v>
      </c>
      <c r="Q166" s="251"/>
      <c r="R166" s="251">
        <v>21.4</v>
      </c>
      <c r="S166" s="240"/>
    </row>
    <row r="167" spans="1:19">
      <c r="A167" s="272"/>
      <c r="B167" s="248"/>
      <c r="C167" s="249"/>
      <c r="D167" s="253" t="s">
        <v>1295</v>
      </c>
      <c r="E167" s="249"/>
      <c r="F167" s="250">
        <v>-5</v>
      </c>
      <c r="G167" s="249"/>
      <c r="H167" s="662">
        <v>3.0399999999999996</v>
      </c>
      <c r="I167" s="251"/>
      <c r="J167" s="662">
        <v>3.01</v>
      </c>
      <c r="K167" s="251"/>
      <c r="L167" s="662">
        <v>0.06</v>
      </c>
      <c r="M167" s="251"/>
      <c r="N167" s="662">
        <v>-0.03</v>
      </c>
      <c r="O167" s="251"/>
      <c r="P167" s="655" t="s">
        <v>2297</v>
      </c>
      <c r="Q167" s="251"/>
      <c r="R167" s="251">
        <v>21.2</v>
      </c>
      <c r="S167" s="240"/>
    </row>
    <row r="168" spans="1:19">
      <c r="A168" s="663"/>
      <c r="B168" s="249"/>
      <c r="C168" s="249"/>
      <c r="D168" s="253" t="s">
        <v>1296</v>
      </c>
      <c r="E168" s="249"/>
      <c r="F168" s="250">
        <v>-5</v>
      </c>
      <c r="G168" s="249"/>
      <c r="H168" s="662">
        <v>2.5100000000000002</v>
      </c>
      <c r="I168" s="251"/>
      <c r="J168" s="662">
        <v>2.34</v>
      </c>
      <c r="K168" s="251"/>
      <c r="L168" s="662">
        <v>0.19</v>
      </c>
      <c r="M168" s="251"/>
      <c r="N168" s="662">
        <v>-0.02</v>
      </c>
      <c r="O168" s="251"/>
      <c r="P168" s="655" t="s">
        <v>2297</v>
      </c>
      <c r="Q168" s="251"/>
      <c r="R168" s="251">
        <v>20.6</v>
      </c>
      <c r="S168" s="240"/>
    </row>
    <row r="169" spans="1:19">
      <c r="A169" s="272"/>
      <c r="B169" s="248"/>
      <c r="C169" s="249"/>
      <c r="D169" s="253" t="s">
        <v>1297</v>
      </c>
      <c r="E169" s="249"/>
      <c r="F169" s="250">
        <v>-5</v>
      </c>
      <c r="G169" s="249"/>
      <c r="H169" s="662">
        <v>0</v>
      </c>
      <c r="I169" s="251"/>
      <c r="J169" s="662">
        <v>0</v>
      </c>
      <c r="K169" s="251"/>
      <c r="L169" s="662">
        <v>0</v>
      </c>
      <c r="M169" s="251"/>
      <c r="N169" s="662">
        <v>0</v>
      </c>
      <c r="O169" s="251"/>
      <c r="P169" s="655" t="s">
        <v>2297</v>
      </c>
      <c r="Q169" s="251"/>
      <c r="R169" s="251">
        <v>23.2</v>
      </c>
      <c r="S169" s="240"/>
    </row>
    <row r="170" spans="1:19">
      <c r="A170" s="272"/>
      <c r="B170" s="248"/>
      <c r="C170" s="249"/>
      <c r="D170" s="253" t="s">
        <v>1298</v>
      </c>
      <c r="E170" s="249"/>
      <c r="F170" s="250">
        <v>-5</v>
      </c>
      <c r="G170" s="249"/>
      <c r="H170" s="662">
        <v>0</v>
      </c>
      <c r="I170" s="251"/>
      <c r="J170" s="662">
        <v>0</v>
      </c>
      <c r="K170" s="251"/>
      <c r="L170" s="662">
        <v>0</v>
      </c>
      <c r="M170" s="251"/>
      <c r="N170" s="662">
        <v>0</v>
      </c>
      <c r="O170" s="251"/>
      <c r="P170" s="655" t="s">
        <v>2297</v>
      </c>
      <c r="Q170" s="251"/>
      <c r="R170" s="251">
        <v>24.8</v>
      </c>
      <c r="S170" s="261"/>
    </row>
    <row r="171" spans="1:19">
      <c r="A171" s="272"/>
      <c r="B171" s="248"/>
      <c r="C171" s="249"/>
      <c r="D171" s="253"/>
      <c r="E171" s="249"/>
      <c r="F171" s="250"/>
      <c r="G171" s="249"/>
      <c r="H171" s="251"/>
      <c r="I171" s="251"/>
      <c r="J171" s="251"/>
      <c r="K171" s="251"/>
      <c r="L171" s="251"/>
      <c r="M171" s="251"/>
      <c r="N171" s="251"/>
      <c r="O171" s="251"/>
      <c r="P171" s="251"/>
      <c r="Q171" s="251"/>
      <c r="R171" s="251"/>
      <c r="S171" s="240"/>
    </row>
    <row r="172" spans="1:19">
      <c r="B172" s="248"/>
      <c r="C172" s="249"/>
      <c r="D172" s="254" t="s">
        <v>2686</v>
      </c>
      <c r="E172" s="249"/>
      <c r="F172" s="278" t="s">
        <v>1837</v>
      </c>
      <c r="G172" s="249"/>
      <c r="H172" s="251">
        <v>2.29</v>
      </c>
      <c r="I172" s="251"/>
      <c r="J172" s="251"/>
      <c r="K172" s="251"/>
      <c r="L172" s="251"/>
      <c r="M172" s="251"/>
      <c r="N172" s="251"/>
      <c r="O172" s="251"/>
      <c r="P172" s="251" t="str">
        <f>P170</f>
        <v>75-R1.5</v>
      </c>
      <c r="Q172" s="251"/>
      <c r="R172" s="251">
        <v>25.8</v>
      </c>
      <c r="S172" s="240"/>
    </row>
    <row r="173" spans="1:19">
      <c r="A173" s="272"/>
      <c r="B173" s="248"/>
      <c r="C173" s="249"/>
      <c r="D173" s="254"/>
      <c r="E173" s="249"/>
      <c r="F173" s="278"/>
      <c r="G173" s="249"/>
      <c r="H173" s="251"/>
      <c r="I173" s="251"/>
      <c r="J173" s="251"/>
      <c r="K173" s="251"/>
      <c r="L173" s="251"/>
      <c r="M173" s="251"/>
      <c r="N173" s="251"/>
      <c r="O173" s="251"/>
      <c r="P173" s="251"/>
      <c r="Q173" s="251"/>
      <c r="R173" s="251"/>
      <c r="S173" s="240"/>
    </row>
    <row r="174" spans="1:19">
      <c r="A174" s="468"/>
      <c r="B174" s="474">
        <v>316.10000000000002</v>
      </c>
      <c r="C174" s="472"/>
      <c r="D174" s="475" t="s">
        <v>2299</v>
      </c>
      <c r="E174" s="476"/>
      <c r="F174" s="476"/>
      <c r="G174" s="468"/>
      <c r="P174" s="657"/>
      <c r="R174" s="658"/>
      <c r="S174" s="258"/>
    </row>
    <row r="175" spans="1:19">
      <c r="A175" s="468"/>
      <c r="B175" s="474"/>
      <c r="C175" s="472"/>
      <c r="D175" s="475" t="s">
        <v>1284</v>
      </c>
      <c r="E175" s="476"/>
      <c r="F175" s="250">
        <v>-3</v>
      </c>
      <c r="G175" s="249"/>
      <c r="H175" s="656">
        <v>0</v>
      </c>
      <c r="J175" s="656">
        <v>0</v>
      </c>
      <c r="L175" s="656">
        <v>0</v>
      </c>
      <c r="N175" s="656">
        <v>0</v>
      </c>
      <c r="O175" s="251"/>
      <c r="P175" s="655" t="s">
        <v>2297</v>
      </c>
      <c r="Q175" s="251"/>
      <c r="R175" s="672">
        <v>0</v>
      </c>
      <c r="S175" s="267"/>
    </row>
    <row r="176" spans="1:19">
      <c r="A176" s="468"/>
      <c r="B176" s="474"/>
      <c r="C176" s="472"/>
      <c r="D176" s="475" t="s">
        <v>1285</v>
      </c>
      <c r="E176" s="476"/>
      <c r="F176" s="250">
        <v>-3</v>
      </c>
      <c r="G176" s="249"/>
      <c r="H176" s="656">
        <v>0</v>
      </c>
      <c r="J176" s="656">
        <v>0</v>
      </c>
      <c r="L176" s="656">
        <v>0</v>
      </c>
      <c r="N176" s="656">
        <v>0</v>
      </c>
      <c r="O176" s="251"/>
      <c r="P176" s="655" t="s">
        <v>2297</v>
      </c>
      <c r="Q176" s="251"/>
      <c r="R176" s="672">
        <v>0</v>
      </c>
      <c r="S176" s="267"/>
    </row>
    <row r="177" spans="1:19">
      <c r="A177" s="468"/>
      <c r="B177" s="474"/>
      <c r="C177" s="472"/>
      <c r="D177" s="477" t="s">
        <v>1287</v>
      </c>
      <c r="E177" s="476"/>
      <c r="F177" s="250">
        <v>-2</v>
      </c>
      <c r="G177" s="249"/>
      <c r="H177" s="656">
        <v>0</v>
      </c>
      <c r="J177" s="656">
        <v>0</v>
      </c>
      <c r="L177" s="656">
        <v>0</v>
      </c>
      <c r="N177" s="656">
        <v>0</v>
      </c>
      <c r="O177" s="251"/>
      <c r="P177" s="655" t="s">
        <v>2297</v>
      </c>
      <c r="Q177" s="251"/>
      <c r="R177" s="672">
        <v>0</v>
      </c>
      <c r="S177" s="267"/>
    </row>
    <row r="178" spans="1:19">
      <c r="A178" s="468"/>
      <c r="B178" s="474"/>
      <c r="C178" s="472"/>
      <c r="D178" s="477" t="s">
        <v>1288</v>
      </c>
      <c r="E178" s="476"/>
      <c r="F178" s="250">
        <v>-2</v>
      </c>
      <c r="G178" s="249"/>
      <c r="H178" s="656">
        <v>0</v>
      </c>
      <c r="J178" s="656">
        <v>0</v>
      </c>
      <c r="L178" s="656">
        <v>0</v>
      </c>
      <c r="N178" s="656">
        <v>0</v>
      </c>
      <c r="O178" s="251"/>
      <c r="P178" s="655" t="s">
        <v>2297</v>
      </c>
      <c r="Q178" s="251"/>
      <c r="R178" s="672">
        <v>0</v>
      </c>
      <c r="S178" s="267"/>
    </row>
    <row r="179" spans="1:19">
      <c r="A179" s="468"/>
      <c r="B179" s="474"/>
      <c r="C179" s="472"/>
      <c r="D179" s="478"/>
      <c r="E179" s="476"/>
      <c r="F179" s="476"/>
      <c r="G179" s="468"/>
      <c r="P179" s="657"/>
      <c r="R179" s="672"/>
      <c r="S179" s="267"/>
    </row>
    <row r="180" spans="1:19">
      <c r="A180" s="468"/>
      <c r="B180" s="474"/>
      <c r="C180" s="472"/>
      <c r="D180" s="478" t="s">
        <v>2300</v>
      </c>
      <c r="E180" s="476"/>
      <c r="F180" s="476"/>
      <c r="G180" s="468"/>
      <c r="H180" s="672">
        <v>0</v>
      </c>
      <c r="P180" s="657"/>
      <c r="R180" s="672">
        <v>0</v>
      </c>
      <c r="S180" s="240"/>
    </row>
    <row r="181" spans="1:19">
      <c r="A181" s="468"/>
      <c r="B181" s="474"/>
      <c r="C181" s="472"/>
      <c r="D181" s="478"/>
      <c r="E181" s="476"/>
      <c r="F181" s="476"/>
      <c r="G181" s="468"/>
      <c r="H181" s="672"/>
      <c r="P181" s="657"/>
      <c r="R181" s="672"/>
      <c r="S181" s="240"/>
    </row>
    <row r="182" spans="1:19">
      <c r="A182" s="272">
        <v>316</v>
      </c>
      <c r="B182" s="474"/>
      <c r="C182" s="472"/>
      <c r="D182" s="478" t="s">
        <v>2687</v>
      </c>
      <c r="E182" s="476"/>
      <c r="F182" s="278" t="s">
        <v>1837</v>
      </c>
      <c r="G182" s="249"/>
      <c r="H182" s="251">
        <v>2.29</v>
      </c>
      <c r="I182" s="251"/>
      <c r="J182" s="251"/>
      <c r="K182" s="251"/>
      <c r="L182" s="251"/>
      <c r="M182" s="251"/>
      <c r="N182" s="251"/>
      <c r="O182" s="251"/>
      <c r="P182" s="251" t="str">
        <f>P172</f>
        <v>75-R1.5</v>
      </c>
      <c r="Q182" s="251"/>
      <c r="R182" s="251">
        <v>25.8</v>
      </c>
      <c r="S182" s="240"/>
    </row>
    <row r="183" spans="1:19">
      <c r="A183" s="272"/>
      <c r="B183" s="248"/>
      <c r="C183" s="249"/>
      <c r="D183" s="254"/>
      <c r="E183" s="249"/>
      <c r="F183" s="250"/>
      <c r="G183" s="249"/>
      <c r="H183" s="251"/>
      <c r="I183" s="251"/>
      <c r="J183" s="251"/>
      <c r="K183" s="251"/>
      <c r="L183" s="251"/>
      <c r="M183" s="251"/>
      <c r="N183" s="251"/>
      <c r="O183" s="251"/>
      <c r="P183" s="251"/>
      <c r="Q183" s="251"/>
      <c r="R183" s="251"/>
      <c r="S183" s="240"/>
    </row>
    <row r="184" spans="1:19">
      <c r="A184" s="272"/>
      <c r="B184" s="248"/>
      <c r="C184" s="249"/>
      <c r="D184" s="247" t="s">
        <v>1313</v>
      </c>
      <c r="E184" s="249"/>
      <c r="F184" s="250"/>
      <c r="G184" s="249"/>
      <c r="H184" s="251">
        <v>2.25</v>
      </c>
      <c r="I184" s="251"/>
      <c r="J184" s="251"/>
      <c r="K184" s="251"/>
      <c r="L184" s="251"/>
      <c r="M184" s="251"/>
      <c r="N184" s="251"/>
      <c r="O184" s="251"/>
      <c r="P184" s="251"/>
      <c r="Q184" s="251"/>
      <c r="R184" s="251"/>
      <c r="S184" s="240"/>
    </row>
    <row r="185" spans="1:19">
      <c r="A185" s="272"/>
      <c r="B185" s="248"/>
      <c r="C185" s="249"/>
      <c r="D185" s="247"/>
      <c r="E185" s="249"/>
      <c r="F185" s="250"/>
      <c r="G185" s="249"/>
      <c r="H185" s="251"/>
      <c r="I185" s="251"/>
      <c r="J185" s="251"/>
      <c r="K185" s="251"/>
      <c r="L185" s="251"/>
      <c r="M185" s="251"/>
      <c r="N185" s="251"/>
      <c r="O185" s="251"/>
      <c r="P185" s="251"/>
      <c r="Q185" s="251"/>
      <c r="R185" s="251"/>
      <c r="S185" s="240"/>
    </row>
    <row r="186" spans="1:19">
      <c r="A186" s="272"/>
      <c r="B186" s="248"/>
      <c r="C186" s="249"/>
      <c r="D186" s="245" t="s">
        <v>316</v>
      </c>
      <c r="E186" s="249"/>
      <c r="F186" s="250"/>
      <c r="G186" s="249"/>
      <c r="H186" s="251"/>
      <c r="I186" s="251"/>
      <c r="J186" s="251"/>
      <c r="K186" s="251"/>
      <c r="L186" s="251"/>
      <c r="M186" s="251"/>
      <c r="N186" s="251"/>
      <c r="O186" s="251"/>
      <c r="P186" s="251"/>
      <c r="Q186" s="251"/>
      <c r="R186" s="251"/>
      <c r="S186" s="240"/>
    </row>
    <row r="187" spans="1:19">
      <c r="A187" s="272"/>
      <c r="B187" s="248"/>
      <c r="C187" s="249"/>
      <c r="D187" s="257"/>
      <c r="E187" s="249"/>
      <c r="F187" s="250"/>
      <c r="G187" s="249"/>
      <c r="H187" s="251"/>
      <c r="I187" s="251"/>
      <c r="J187" s="251"/>
      <c r="K187" s="251"/>
      <c r="L187" s="251"/>
      <c r="M187" s="251"/>
      <c r="N187" s="251"/>
      <c r="O187" s="251"/>
      <c r="P187" s="251"/>
      <c r="Q187" s="251"/>
      <c r="R187" s="251"/>
      <c r="S187" s="240"/>
    </row>
    <row r="188" spans="1:19">
      <c r="A188" s="272"/>
      <c r="B188" s="248">
        <v>330.1</v>
      </c>
      <c r="C188" s="249"/>
      <c r="D188" s="257" t="s">
        <v>1314</v>
      </c>
      <c r="E188" s="249"/>
      <c r="F188" s="250"/>
      <c r="G188" s="249"/>
      <c r="H188" s="251"/>
      <c r="I188" s="251"/>
      <c r="J188" s="251"/>
      <c r="K188" s="251"/>
      <c r="L188" s="251"/>
      <c r="M188" s="251"/>
      <c r="N188" s="251"/>
      <c r="O188" s="251"/>
      <c r="P188" s="251"/>
      <c r="Q188" s="251"/>
      <c r="R188" s="251"/>
      <c r="S188" s="240"/>
    </row>
    <row r="189" spans="1:19">
      <c r="A189" s="272">
        <v>330</v>
      </c>
      <c r="B189" s="248"/>
      <c r="C189" s="249"/>
      <c r="D189" s="257" t="s">
        <v>1315</v>
      </c>
      <c r="E189" s="249"/>
      <c r="F189" s="673">
        <v>0</v>
      </c>
      <c r="G189" s="249"/>
      <c r="H189" s="251">
        <v>0</v>
      </c>
      <c r="I189" s="251"/>
      <c r="J189" s="251">
        <v>0</v>
      </c>
      <c r="K189" s="251"/>
      <c r="L189" s="251">
        <v>0</v>
      </c>
      <c r="M189" s="251"/>
      <c r="N189" s="251">
        <v>0</v>
      </c>
      <c r="O189" s="251"/>
      <c r="P189" s="651" t="s">
        <v>1316</v>
      </c>
      <c r="Q189" s="651"/>
      <c r="R189" s="652">
        <v>0</v>
      </c>
      <c r="S189" s="240"/>
    </row>
    <row r="190" spans="1:19">
      <c r="A190" s="272"/>
      <c r="B190" s="248"/>
      <c r="C190" s="249"/>
      <c r="D190" s="257"/>
      <c r="E190" s="249"/>
      <c r="F190" s="673"/>
      <c r="G190" s="249"/>
      <c r="H190" s="251"/>
      <c r="I190" s="251"/>
      <c r="J190" s="251"/>
      <c r="K190" s="251"/>
      <c r="L190" s="251"/>
      <c r="M190" s="251"/>
      <c r="N190" s="251"/>
      <c r="O190" s="251"/>
      <c r="P190" s="651"/>
      <c r="Q190" s="651"/>
      <c r="R190" s="652"/>
      <c r="S190" s="240"/>
    </row>
    <row r="191" spans="1:19">
      <c r="A191" s="272"/>
      <c r="B191" s="248"/>
      <c r="C191" s="249"/>
      <c r="D191" s="259" t="s">
        <v>1317</v>
      </c>
      <c r="E191" s="249"/>
      <c r="F191" s="673"/>
      <c r="G191" s="249"/>
      <c r="H191" s="251">
        <v>0</v>
      </c>
      <c r="I191" s="251"/>
      <c r="J191" s="251"/>
      <c r="K191" s="251"/>
      <c r="L191" s="251"/>
      <c r="M191" s="251"/>
      <c r="N191" s="251"/>
      <c r="O191" s="251"/>
      <c r="P191" s="651"/>
      <c r="Q191" s="651"/>
      <c r="R191" s="652">
        <v>0</v>
      </c>
      <c r="S191" s="240"/>
    </row>
    <row r="192" spans="1:19">
      <c r="A192" s="272"/>
      <c r="B192" s="248"/>
      <c r="C192" s="249"/>
      <c r="D192" s="257"/>
      <c r="E192" s="249"/>
      <c r="F192" s="673"/>
      <c r="G192" s="249"/>
      <c r="H192" s="251"/>
      <c r="I192" s="251"/>
      <c r="J192" s="251"/>
      <c r="K192" s="251"/>
      <c r="L192" s="251"/>
      <c r="M192" s="251"/>
      <c r="N192" s="251"/>
      <c r="O192" s="251"/>
      <c r="P192" s="651"/>
      <c r="Q192" s="651"/>
      <c r="R192" s="652"/>
      <c r="S192" s="240"/>
    </row>
    <row r="193" spans="1:19">
      <c r="A193" s="272"/>
      <c r="B193" s="248">
        <v>331</v>
      </c>
      <c r="C193" s="249"/>
      <c r="D193" s="257" t="s">
        <v>1318</v>
      </c>
      <c r="E193" s="249"/>
      <c r="F193" s="673"/>
      <c r="G193" s="249"/>
      <c r="H193" s="251"/>
      <c r="I193" s="251"/>
      <c r="J193" s="251"/>
      <c r="K193" s="251"/>
      <c r="L193" s="251"/>
      <c r="M193" s="251"/>
      <c r="N193" s="251"/>
      <c r="O193" s="251"/>
      <c r="P193" s="651"/>
      <c r="Q193" s="651"/>
      <c r="R193" s="652"/>
      <c r="S193" s="240"/>
    </row>
    <row r="194" spans="1:19">
      <c r="A194" s="272">
        <v>331</v>
      </c>
      <c r="B194" s="248"/>
      <c r="C194" s="249"/>
      <c r="D194" s="257" t="s">
        <v>1319</v>
      </c>
      <c r="E194" s="249"/>
      <c r="F194" s="673">
        <v>-3</v>
      </c>
      <c r="G194" s="249"/>
      <c r="H194" s="251">
        <v>2.48</v>
      </c>
      <c r="I194" s="251"/>
      <c r="J194" s="251">
        <v>2.41</v>
      </c>
      <c r="K194" s="251"/>
      <c r="L194" s="251">
        <v>7.0000000000000007E-2</v>
      </c>
      <c r="M194" s="251"/>
      <c r="N194" s="251">
        <v>0</v>
      </c>
      <c r="O194" s="251"/>
      <c r="P194" s="651" t="s">
        <v>1320</v>
      </c>
      <c r="Q194" s="651"/>
      <c r="R194" s="652">
        <v>24.7</v>
      </c>
    </row>
    <row r="195" spans="1:19">
      <c r="A195" s="272"/>
      <c r="B195" s="248"/>
      <c r="C195" s="249"/>
      <c r="D195" s="257"/>
      <c r="E195" s="249"/>
      <c r="F195" s="673"/>
      <c r="G195" s="249"/>
      <c r="H195" s="251"/>
      <c r="I195" s="251"/>
      <c r="J195" s="251"/>
      <c r="K195" s="251"/>
      <c r="L195" s="251"/>
      <c r="M195" s="251"/>
      <c r="N195" s="251"/>
      <c r="O195" s="251"/>
      <c r="P195" s="651"/>
      <c r="Q195" s="651"/>
      <c r="R195" s="652"/>
    </row>
    <row r="196" spans="1:19">
      <c r="A196" s="272"/>
      <c r="B196" s="248"/>
      <c r="C196" s="249"/>
      <c r="D196" s="259" t="s">
        <v>1321</v>
      </c>
      <c r="E196" s="249"/>
      <c r="F196" s="673"/>
      <c r="G196" s="249"/>
      <c r="H196" s="251">
        <v>2.48</v>
      </c>
      <c r="I196" s="251"/>
      <c r="J196" s="251"/>
      <c r="K196" s="251"/>
      <c r="L196" s="251"/>
      <c r="M196" s="251"/>
      <c r="N196" s="251"/>
      <c r="O196" s="251"/>
      <c r="P196" s="651"/>
      <c r="Q196" s="651"/>
      <c r="R196" s="652">
        <v>24.7</v>
      </c>
    </row>
    <row r="197" spans="1:19">
      <c r="A197" s="272"/>
      <c r="B197" s="248"/>
      <c r="C197" s="249"/>
      <c r="D197" s="257"/>
      <c r="E197" s="249"/>
      <c r="F197" s="673"/>
      <c r="G197" s="249"/>
      <c r="H197" s="251"/>
      <c r="I197" s="251"/>
      <c r="J197" s="251"/>
      <c r="K197" s="251"/>
      <c r="L197" s="251"/>
      <c r="M197" s="251"/>
      <c r="N197" s="251"/>
      <c r="O197" s="251"/>
      <c r="P197" s="651"/>
      <c r="Q197" s="651"/>
      <c r="R197" s="652"/>
    </row>
    <row r="198" spans="1:19">
      <c r="A198" s="272"/>
      <c r="B198" s="248">
        <v>332</v>
      </c>
      <c r="C198" s="249"/>
      <c r="D198" s="257" t="s">
        <v>1322</v>
      </c>
      <c r="E198" s="249"/>
      <c r="F198" s="674"/>
      <c r="G198" s="249"/>
      <c r="H198" s="251"/>
      <c r="I198" s="251"/>
      <c r="J198" s="251"/>
      <c r="K198" s="251"/>
      <c r="L198" s="251"/>
      <c r="M198" s="251"/>
      <c r="N198" s="251"/>
      <c r="O198" s="251"/>
      <c r="P198" s="652"/>
      <c r="Q198" s="652"/>
      <c r="R198" s="652"/>
    </row>
    <row r="199" spans="1:19">
      <c r="A199" s="272">
        <v>332</v>
      </c>
      <c r="B199" s="248"/>
      <c r="C199" s="249"/>
      <c r="D199" s="257" t="s">
        <v>1319</v>
      </c>
      <c r="E199" s="249"/>
      <c r="F199" s="673">
        <v>-3</v>
      </c>
      <c r="G199" s="249"/>
      <c r="H199" s="251">
        <v>2.61</v>
      </c>
      <c r="I199" s="251"/>
      <c r="J199" s="251">
        <v>2.5299999999999998</v>
      </c>
      <c r="K199" s="251"/>
      <c r="L199" s="251">
        <v>0.08</v>
      </c>
      <c r="M199" s="251"/>
      <c r="N199" s="251">
        <v>0</v>
      </c>
      <c r="O199" s="251"/>
      <c r="P199" s="651" t="s">
        <v>2301</v>
      </c>
      <c r="Q199" s="651"/>
      <c r="R199" s="652">
        <v>25.1</v>
      </c>
    </row>
    <row r="200" spans="1:19">
      <c r="A200" s="272"/>
      <c r="B200" s="248"/>
      <c r="C200" s="249"/>
      <c r="D200" s="257"/>
      <c r="E200" s="249"/>
      <c r="F200" s="673"/>
      <c r="G200" s="249"/>
      <c r="H200" s="251"/>
      <c r="I200" s="251"/>
      <c r="J200" s="251"/>
      <c r="K200" s="251"/>
      <c r="L200" s="251"/>
      <c r="M200" s="251"/>
      <c r="N200" s="251"/>
      <c r="O200" s="251"/>
      <c r="P200" s="651"/>
      <c r="Q200" s="651"/>
      <c r="R200" s="652"/>
    </row>
    <row r="201" spans="1:19">
      <c r="A201" s="272"/>
      <c r="B201" s="248"/>
      <c r="C201" s="249"/>
      <c r="D201" s="259" t="s">
        <v>1323</v>
      </c>
      <c r="E201" s="249"/>
      <c r="F201" s="673"/>
      <c r="G201" s="249"/>
      <c r="H201" s="251">
        <v>2.61</v>
      </c>
      <c r="I201" s="251"/>
      <c r="J201" s="251"/>
      <c r="K201" s="251"/>
      <c r="L201" s="251"/>
      <c r="M201" s="251"/>
      <c r="N201" s="251"/>
      <c r="O201" s="251"/>
      <c r="P201" s="651"/>
      <c r="Q201" s="651"/>
      <c r="R201" s="652">
        <v>25.1</v>
      </c>
    </row>
    <row r="202" spans="1:19">
      <c r="A202" s="272"/>
      <c r="B202" s="248"/>
      <c r="C202" s="249"/>
      <c r="D202" s="257"/>
      <c r="E202" s="249"/>
      <c r="F202" s="673"/>
      <c r="G202" s="249"/>
      <c r="H202" s="251"/>
      <c r="I202" s="251"/>
      <c r="J202" s="251"/>
      <c r="K202" s="251"/>
      <c r="L202" s="251"/>
      <c r="M202" s="251"/>
      <c r="N202" s="251"/>
      <c r="O202" s="251"/>
      <c r="P202" s="651"/>
      <c r="Q202" s="651"/>
      <c r="R202" s="652"/>
    </row>
    <row r="203" spans="1:19">
      <c r="A203" s="272"/>
      <c r="B203" s="248">
        <v>333</v>
      </c>
      <c r="C203" s="249"/>
      <c r="D203" s="257" t="s">
        <v>1324</v>
      </c>
      <c r="E203" s="249"/>
      <c r="F203" s="673"/>
      <c r="G203" s="249"/>
      <c r="H203" s="251"/>
      <c r="I203" s="251"/>
      <c r="J203" s="251"/>
      <c r="K203" s="251"/>
      <c r="L203" s="251"/>
      <c r="M203" s="251"/>
      <c r="N203" s="251"/>
      <c r="O203" s="251"/>
      <c r="P203" s="651"/>
      <c r="Q203" s="651"/>
      <c r="R203" s="652"/>
    </row>
    <row r="204" spans="1:19">
      <c r="A204" s="272">
        <v>333</v>
      </c>
      <c r="B204" s="248"/>
      <c r="C204" s="249"/>
      <c r="D204" s="257" t="s">
        <v>1325</v>
      </c>
      <c r="E204" s="249"/>
      <c r="F204" s="673">
        <v>-3</v>
      </c>
      <c r="G204" s="249"/>
      <c r="H204" s="251">
        <v>3.8600000000000003</v>
      </c>
      <c r="I204" s="251"/>
      <c r="J204" s="251">
        <v>3.75</v>
      </c>
      <c r="K204" s="251"/>
      <c r="L204" s="251">
        <v>0.15</v>
      </c>
      <c r="M204" s="251"/>
      <c r="N204" s="251">
        <v>-0.04</v>
      </c>
      <c r="O204" s="251"/>
      <c r="P204" s="651" t="s">
        <v>1326</v>
      </c>
      <c r="Q204" s="651"/>
      <c r="R204" s="652">
        <v>25.2</v>
      </c>
    </row>
    <row r="205" spans="1:19">
      <c r="A205" s="272"/>
      <c r="B205" s="248"/>
      <c r="C205" s="249"/>
      <c r="D205" s="257"/>
      <c r="E205" s="249"/>
      <c r="F205" s="673"/>
      <c r="G205" s="249"/>
      <c r="H205" s="251"/>
      <c r="I205" s="251"/>
      <c r="J205" s="251"/>
      <c r="K205" s="251"/>
      <c r="L205" s="251"/>
      <c r="M205" s="251"/>
      <c r="N205" s="251"/>
      <c r="O205" s="251"/>
      <c r="P205" s="651"/>
      <c r="Q205" s="651"/>
      <c r="R205" s="652"/>
    </row>
    <row r="206" spans="1:19">
      <c r="A206" s="272"/>
      <c r="B206" s="248"/>
      <c r="C206" s="249"/>
      <c r="D206" s="259" t="s">
        <v>1327</v>
      </c>
      <c r="E206" s="249"/>
      <c r="F206" s="673"/>
      <c r="G206" s="249"/>
      <c r="H206" s="251">
        <v>3.8600000000000003</v>
      </c>
      <c r="I206" s="251"/>
      <c r="J206" s="251"/>
      <c r="K206" s="251"/>
      <c r="L206" s="251"/>
      <c r="M206" s="251"/>
      <c r="N206" s="251"/>
      <c r="O206" s="251"/>
      <c r="P206" s="651"/>
      <c r="Q206" s="651"/>
      <c r="R206" s="652">
        <v>25.2</v>
      </c>
    </row>
    <row r="207" spans="1:19">
      <c r="A207" s="272"/>
      <c r="B207" s="248"/>
      <c r="C207" s="249"/>
      <c r="D207" s="257"/>
      <c r="E207" s="249"/>
      <c r="F207" s="673"/>
      <c r="G207" s="249"/>
      <c r="H207" s="251"/>
      <c r="I207" s="251"/>
      <c r="J207" s="251"/>
      <c r="K207" s="251"/>
      <c r="L207" s="251"/>
      <c r="M207" s="251"/>
      <c r="N207" s="251"/>
      <c r="O207" s="251"/>
      <c r="P207" s="651"/>
      <c r="Q207" s="651"/>
      <c r="R207" s="652"/>
    </row>
    <row r="208" spans="1:19">
      <c r="A208" s="272"/>
      <c r="B208" s="248">
        <v>334</v>
      </c>
      <c r="C208" s="249"/>
      <c r="D208" s="257" t="s">
        <v>1328</v>
      </c>
      <c r="E208" s="249"/>
      <c r="F208" s="673"/>
      <c r="G208" s="249"/>
      <c r="H208" s="251"/>
      <c r="I208" s="251"/>
      <c r="J208" s="251"/>
      <c r="K208" s="251"/>
      <c r="L208" s="251"/>
      <c r="M208" s="251"/>
      <c r="N208" s="251"/>
      <c r="O208" s="251"/>
      <c r="P208" s="651"/>
      <c r="Q208" s="651"/>
      <c r="R208" s="652"/>
    </row>
    <row r="209" spans="1:18">
      <c r="A209" s="272">
        <v>334</v>
      </c>
      <c r="B209" s="248"/>
      <c r="C209" s="249"/>
      <c r="D209" s="257" t="s">
        <v>1325</v>
      </c>
      <c r="E209" s="249"/>
      <c r="F209" s="673">
        <v>-3</v>
      </c>
      <c r="G209" s="249"/>
      <c r="H209" s="251">
        <v>3.8099999999999996</v>
      </c>
      <c r="I209" s="251"/>
      <c r="J209" s="251">
        <v>3.7</v>
      </c>
      <c r="K209" s="251"/>
      <c r="L209" s="251">
        <v>0.11</v>
      </c>
      <c r="M209" s="251"/>
      <c r="N209" s="251">
        <v>0</v>
      </c>
      <c r="O209" s="251"/>
      <c r="P209" s="651" t="s">
        <v>1329</v>
      </c>
      <c r="Q209" s="651"/>
      <c r="R209" s="652">
        <v>22.7</v>
      </c>
    </row>
    <row r="210" spans="1:18">
      <c r="A210" s="272"/>
      <c r="B210" s="248"/>
      <c r="C210" s="249"/>
      <c r="D210" s="257"/>
      <c r="E210" s="249"/>
      <c r="F210" s="673"/>
      <c r="G210" s="249"/>
      <c r="H210" s="251"/>
      <c r="I210" s="251"/>
      <c r="J210" s="251"/>
      <c r="K210" s="251"/>
      <c r="L210" s="251"/>
      <c r="M210" s="251"/>
      <c r="N210" s="251"/>
      <c r="O210" s="251"/>
      <c r="P210" s="651"/>
      <c r="Q210" s="651"/>
      <c r="R210" s="652"/>
    </row>
    <row r="211" spans="1:18">
      <c r="A211" s="272"/>
      <c r="B211" s="248"/>
      <c r="C211" s="249"/>
      <c r="D211" s="259" t="s">
        <v>1330</v>
      </c>
      <c r="E211" s="249"/>
      <c r="F211" s="673"/>
      <c r="G211" s="249"/>
      <c r="H211" s="251">
        <v>3.8099999999999996</v>
      </c>
      <c r="I211" s="251"/>
      <c r="J211" s="251"/>
      <c r="K211" s="251"/>
      <c r="L211" s="251"/>
      <c r="M211" s="251"/>
      <c r="N211" s="251"/>
      <c r="O211" s="251"/>
      <c r="P211" s="651"/>
      <c r="Q211" s="651"/>
      <c r="R211" s="652">
        <v>22.7</v>
      </c>
    </row>
    <row r="212" spans="1:18">
      <c r="A212" s="272"/>
      <c r="B212" s="248"/>
      <c r="C212" s="249"/>
      <c r="D212" s="257"/>
      <c r="E212" s="249"/>
      <c r="F212" s="673"/>
      <c r="G212" s="249"/>
      <c r="H212" s="251"/>
      <c r="I212" s="251"/>
      <c r="J212" s="251"/>
      <c r="K212" s="251"/>
      <c r="L212" s="251"/>
      <c r="M212" s="251"/>
      <c r="N212" s="251"/>
      <c r="O212" s="251"/>
      <c r="P212" s="651"/>
      <c r="Q212" s="651"/>
      <c r="R212" s="652"/>
    </row>
    <row r="213" spans="1:18">
      <c r="A213" s="272"/>
      <c r="B213" s="248">
        <v>335</v>
      </c>
      <c r="C213" s="249"/>
      <c r="D213" s="257" t="s">
        <v>1331</v>
      </c>
      <c r="E213" s="249"/>
      <c r="F213" s="673"/>
      <c r="G213" s="249"/>
      <c r="H213" s="251"/>
      <c r="I213" s="251"/>
      <c r="J213" s="251"/>
      <c r="K213" s="251"/>
      <c r="L213" s="251"/>
      <c r="M213" s="251"/>
      <c r="N213" s="251"/>
      <c r="O213" s="251"/>
      <c r="P213" s="651"/>
      <c r="Q213" s="651"/>
      <c r="R213" s="652"/>
    </row>
    <row r="214" spans="1:18">
      <c r="A214" s="272">
        <v>335</v>
      </c>
      <c r="B214" s="248"/>
      <c r="C214" s="249"/>
      <c r="D214" s="257" t="s">
        <v>1325</v>
      </c>
      <c r="E214" s="249"/>
      <c r="F214" s="673">
        <v>-3</v>
      </c>
      <c r="G214" s="249"/>
      <c r="H214" s="251">
        <v>3.7599999999999993</v>
      </c>
      <c r="I214" s="251"/>
      <c r="J214" s="251">
        <v>3.65</v>
      </c>
      <c r="K214" s="251"/>
      <c r="L214" s="251">
        <v>0.11</v>
      </c>
      <c r="M214" s="251"/>
      <c r="N214" s="251">
        <v>0</v>
      </c>
      <c r="O214" s="251"/>
      <c r="P214" s="651" t="s">
        <v>2302</v>
      </c>
      <c r="Q214" s="651"/>
      <c r="R214" s="652">
        <v>17.600000000000001</v>
      </c>
    </row>
    <row r="215" spans="1:18">
      <c r="A215" s="272"/>
      <c r="B215" s="248"/>
      <c r="C215" s="249"/>
      <c r="D215" s="257"/>
      <c r="E215" s="249"/>
      <c r="F215" s="673"/>
      <c r="G215" s="249"/>
      <c r="H215" s="251"/>
      <c r="I215" s="251"/>
      <c r="J215" s="251"/>
      <c r="K215" s="251"/>
      <c r="L215" s="251"/>
      <c r="M215" s="251"/>
      <c r="N215" s="251"/>
      <c r="O215" s="251"/>
      <c r="P215" s="651"/>
      <c r="Q215" s="651"/>
      <c r="R215" s="652"/>
    </row>
    <row r="216" spans="1:18">
      <c r="A216" s="272"/>
      <c r="B216" s="248"/>
      <c r="C216" s="249"/>
      <c r="D216" s="259" t="s">
        <v>1332</v>
      </c>
      <c r="E216" s="249"/>
      <c r="F216" s="673"/>
      <c r="G216" s="249"/>
      <c r="H216" s="251">
        <v>3.7599999999999993</v>
      </c>
      <c r="I216" s="251"/>
      <c r="J216" s="251"/>
      <c r="K216" s="251"/>
      <c r="L216" s="251"/>
      <c r="M216" s="251"/>
      <c r="N216" s="251"/>
      <c r="O216" s="251"/>
      <c r="P216" s="651"/>
      <c r="Q216" s="651"/>
      <c r="R216" s="652">
        <v>17.600000000000001</v>
      </c>
    </row>
    <row r="217" spans="1:18">
      <c r="A217" s="272"/>
      <c r="B217" s="248"/>
      <c r="C217" s="249"/>
      <c r="D217" s="257"/>
      <c r="E217" s="249"/>
      <c r="F217" s="673"/>
      <c r="G217" s="249"/>
      <c r="H217" s="251"/>
      <c r="I217" s="251"/>
      <c r="J217" s="251"/>
      <c r="K217" s="251"/>
      <c r="L217" s="251"/>
      <c r="M217" s="251"/>
      <c r="N217" s="251"/>
      <c r="O217" s="251"/>
      <c r="P217" s="651"/>
      <c r="Q217" s="651"/>
      <c r="R217" s="652"/>
    </row>
    <row r="218" spans="1:18">
      <c r="A218" s="272"/>
      <c r="B218" s="248">
        <v>336</v>
      </c>
      <c r="C218" s="249"/>
      <c r="D218" s="257" t="s">
        <v>1333</v>
      </c>
      <c r="E218" s="249"/>
      <c r="F218" s="673"/>
      <c r="G218" s="249"/>
      <c r="H218" s="251"/>
      <c r="I218" s="251"/>
      <c r="J218" s="251"/>
      <c r="K218" s="251"/>
      <c r="L218" s="251"/>
      <c r="M218" s="251"/>
      <c r="N218" s="251"/>
      <c r="O218" s="251"/>
      <c r="P218" s="651"/>
      <c r="Q218" s="651"/>
      <c r="R218" s="652"/>
    </row>
    <row r="219" spans="1:18">
      <c r="A219" s="272">
        <v>336</v>
      </c>
      <c r="B219" s="248"/>
      <c r="C219" s="249"/>
      <c r="D219" s="257" t="s">
        <v>1319</v>
      </c>
      <c r="E219" s="249"/>
      <c r="F219" s="673">
        <v>-3</v>
      </c>
      <c r="G219" s="249"/>
      <c r="H219" s="251">
        <v>3.3300000000000005</v>
      </c>
      <c r="I219" s="251"/>
      <c r="J219" s="251">
        <v>3.23</v>
      </c>
      <c r="K219" s="251"/>
      <c r="L219" s="251">
        <v>0.1</v>
      </c>
      <c r="M219" s="251"/>
      <c r="N219" s="251">
        <v>0</v>
      </c>
      <c r="O219" s="251"/>
      <c r="P219" s="651" t="s">
        <v>2303</v>
      </c>
      <c r="Q219" s="651"/>
      <c r="R219" s="652">
        <v>21.9</v>
      </c>
    </row>
    <row r="220" spans="1:18">
      <c r="A220" s="272"/>
      <c r="B220" s="248"/>
      <c r="C220" s="249"/>
      <c r="D220" s="257"/>
      <c r="E220" s="249"/>
      <c r="F220" s="250"/>
      <c r="G220" s="249"/>
      <c r="H220" s="251"/>
      <c r="I220" s="251"/>
      <c r="J220" s="251"/>
      <c r="K220" s="251"/>
      <c r="L220" s="251"/>
      <c r="M220" s="251"/>
      <c r="N220" s="251"/>
      <c r="O220" s="251"/>
      <c r="P220" s="251"/>
      <c r="Q220" s="251"/>
      <c r="R220" s="251"/>
    </row>
    <row r="221" spans="1:18">
      <c r="A221" s="272"/>
      <c r="B221" s="248"/>
      <c r="C221" s="249"/>
      <c r="D221" s="259" t="s">
        <v>1334</v>
      </c>
      <c r="E221" s="249"/>
      <c r="F221" s="250"/>
      <c r="G221" s="249"/>
      <c r="H221" s="251">
        <v>3.33</v>
      </c>
      <c r="I221" s="251"/>
      <c r="J221" s="251"/>
      <c r="K221" s="251"/>
      <c r="L221" s="251"/>
      <c r="M221" s="251"/>
      <c r="N221" s="251"/>
      <c r="O221" s="251"/>
      <c r="P221" s="251"/>
      <c r="Q221" s="251"/>
      <c r="R221" s="251">
        <v>21.9</v>
      </c>
    </row>
    <row r="222" spans="1:18">
      <c r="A222" s="272"/>
      <c r="B222" s="248"/>
      <c r="C222" s="249"/>
      <c r="D222" s="257"/>
      <c r="E222" s="249"/>
      <c r="F222" s="250"/>
      <c r="G222" s="249"/>
      <c r="H222" s="251"/>
      <c r="I222" s="251"/>
      <c r="J222" s="251"/>
      <c r="K222" s="251"/>
      <c r="L222" s="251"/>
      <c r="M222" s="251"/>
      <c r="N222" s="251"/>
      <c r="O222" s="251"/>
      <c r="P222" s="251"/>
      <c r="Q222" s="251"/>
      <c r="R222" s="251"/>
    </row>
    <row r="223" spans="1:18">
      <c r="A223" s="275"/>
      <c r="B223" s="260"/>
      <c r="C223" s="243"/>
      <c r="D223" s="247" t="s">
        <v>1335</v>
      </c>
      <c r="E223" s="243"/>
      <c r="F223" s="250"/>
      <c r="G223" s="243"/>
      <c r="H223" s="251">
        <v>3.05</v>
      </c>
      <c r="I223" s="251"/>
      <c r="J223" s="251"/>
      <c r="K223" s="251"/>
      <c r="L223" s="251"/>
      <c r="M223" s="251"/>
      <c r="N223" s="251"/>
      <c r="O223" s="251"/>
      <c r="P223" s="648"/>
      <c r="Q223" s="648"/>
      <c r="R223" s="251"/>
    </row>
    <row r="224" spans="1:18">
      <c r="A224" s="272"/>
      <c r="B224" s="248"/>
      <c r="C224" s="249"/>
      <c r="D224" s="257"/>
      <c r="E224" s="249"/>
      <c r="F224" s="250"/>
      <c r="G224" s="249"/>
      <c r="H224" s="251"/>
      <c r="I224" s="251"/>
      <c r="J224" s="251"/>
      <c r="K224" s="251"/>
      <c r="L224" s="251"/>
      <c r="M224" s="251"/>
      <c r="N224" s="251"/>
      <c r="O224" s="251"/>
      <c r="P224" s="251"/>
      <c r="Q224" s="251"/>
      <c r="R224" s="251"/>
    </row>
    <row r="225" spans="1:18">
      <c r="A225" s="272"/>
      <c r="B225" s="248"/>
      <c r="C225" s="249"/>
      <c r="D225" s="262"/>
      <c r="E225" s="249"/>
      <c r="F225" s="250"/>
      <c r="G225" s="249"/>
      <c r="H225" s="251"/>
      <c r="I225" s="251"/>
      <c r="J225" s="251"/>
      <c r="K225" s="251"/>
      <c r="L225" s="251"/>
      <c r="M225" s="251"/>
      <c r="N225" s="251"/>
      <c r="O225" s="251"/>
      <c r="P225" s="251"/>
      <c r="Q225" s="251"/>
      <c r="R225" s="251"/>
    </row>
    <row r="226" spans="1:18">
      <c r="A226" s="272"/>
      <c r="B226" s="248"/>
      <c r="C226" s="239"/>
      <c r="D226" s="244" t="s">
        <v>326</v>
      </c>
      <c r="E226" s="239"/>
      <c r="F226" s="250"/>
      <c r="G226" s="239"/>
      <c r="H226" s="251"/>
      <c r="I226" s="251"/>
      <c r="J226" s="251"/>
      <c r="K226" s="251"/>
      <c r="L226" s="251"/>
      <c r="M226" s="251"/>
      <c r="N226" s="251"/>
      <c r="O226" s="251"/>
      <c r="P226" s="251"/>
      <c r="Q226" s="251"/>
      <c r="R226" s="251"/>
    </row>
    <row r="227" spans="1:18">
      <c r="A227" s="272"/>
      <c r="B227" s="248"/>
      <c r="C227" s="249"/>
      <c r="D227" s="263"/>
      <c r="E227" s="249"/>
      <c r="F227" s="250"/>
      <c r="G227" s="249"/>
      <c r="H227" s="251"/>
      <c r="I227" s="251"/>
      <c r="J227" s="251"/>
      <c r="K227" s="251"/>
      <c r="L227" s="251"/>
      <c r="M227" s="251"/>
      <c r="N227" s="251"/>
      <c r="O227" s="251"/>
      <c r="P227" s="251"/>
      <c r="Q227" s="251"/>
      <c r="R227" s="251"/>
    </row>
    <row r="228" spans="1:18">
      <c r="A228" s="276"/>
      <c r="B228" s="264">
        <v>340.1</v>
      </c>
      <c r="C228" s="265"/>
      <c r="D228" s="266" t="s">
        <v>1314</v>
      </c>
      <c r="E228" s="265"/>
      <c r="F228" s="250"/>
      <c r="G228" s="265"/>
      <c r="H228" s="251"/>
      <c r="I228" s="251"/>
      <c r="J228" s="251"/>
      <c r="K228" s="251"/>
      <c r="L228" s="251"/>
      <c r="M228" s="251"/>
      <c r="N228" s="251"/>
      <c r="O228" s="251"/>
      <c r="P228" s="675"/>
      <c r="Q228" s="675"/>
      <c r="R228" s="251"/>
    </row>
    <row r="229" spans="1:18">
      <c r="A229" s="276">
        <v>340</v>
      </c>
      <c r="B229" s="264"/>
      <c r="C229" s="265"/>
      <c r="D229" s="266" t="s">
        <v>1336</v>
      </c>
      <c r="E229" s="265"/>
      <c r="F229" s="250">
        <v>0</v>
      </c>
      <c r="G229" s="265"/>
      <c r="H229" s="251">
        <v>2.19</v>
      </c>
      <c r="I229" s="251"/>
      <c r="J229" s="251">
        <v>2.19</v>
      </c>
      <c r="K229" s="251"/>
      <c r="L229" s="251">
        <v>0</v>
      </c>
      <c r="M229" s="251"/>
      <c r="N229" s="251">
        <v>0</v>
      </c>
      <c r="O229" s="251"/>
      <c r="P229" s="675" t="s">
        <v>1277</v>
      </c>
      <c r="Q229" s="675"/>
      <c r="R229" s="251">
        <v>178.7</v>
      </c>
    </row>
    <row r="230" spans="1:18">
      <c r="A230" s="276"/>
      <c r="B230" s="264"/>
      <c r="C230" s="265"/>
      <c r="D230" s="266"/>
      <c r="E230" s="265"/>
      <c r="F230" s="250"/>
      <c r="G230" s="265"/>
      <c r="H230" s="251"/>
      <c r="I230" s="251"/>
      <c r="J230" s="251"/>
      <c r="K230" s="251"/>
      <c r="L230" s="251"/>
      <c r="M230" s="251"/>
      <c r="N230" s="251"/>
      <c r="O230" s="251"/>
      <c r="P230" s="675"/>
      <c r="Q230" s="675"/>
      <c r="R230" s="251"/>
    </row>
    <row r="231" spans="1:18">
      <c r="A231" s="276"/>
      <c r="B231" s="264"/>
      <c r="C231" s="265"/>
      <c r="D231" s="268" t="s">
        <v>1337</v>
      </c>
      <c r="E231" s="265"/>
      <c r="F231" s="250"/>
      <c r="G231" s="265"/>
      <c r="H231" s="251">
        <v>2.19</v>
      </c>
      <c r="I231" s="251"/>
      <c r="J231" s="251"/>
      <c r="K231" s="251"/>
      <c r="L231" s="251"/>
      <c r="M231" s="251"/>
      <c r="N231" s="251"/>
      <c r="O231" s="251"/>
      <c r="P231" s="675"/>
      <c r="Q231" s="675"/>
      <c r="R231" s="251">
        <v>178.7</v>
      </c>
    </row>
    <row r="232" spans="1:18">
      <c r="A232" s="276"/>
      <c r="B232" s="264"/>
      <c r="C232" s="265"/>
      <c r="D232" s="266"/>
      <c r="E232" s="265"/>
      <c r="F232" s="250"/>
      <c r="G232" s="265"/>
      <c r="H232" s="251"/>
      <c r="I232" s="251"/>
      <c r="J232" s="251"/>
      <c r="K232" s="251"/>
      <c r="L232" s="251"/>
      <c r="M232" s="251"/>
      <c r="N232" s="251"/>
      <c r="O232" s="251"/>
      <c r="P232" s="675"/>
      <c r="Q232" s="675"/>
      <c r="R232" s="251"/>
    </row>
    <row r="233" spans="1:18">
      <c r="A233" s="272"/>
      <c r="B233" s="248">
        <v>341</v>
      </c>
      <c r="C233" s="249"/>
      <c r="D233" s="253" t="s">
        <v>1318</v>
      </c>
      <c r="E233" s="249"/>
      <c r="F233" s="250"/>
      <c r="G233" s="249"/>
      <c r="H233" s="251"/>
      <c r="I233" s="251"/>
      <c r="J233" s="251"/>
      <c r="K233" s="251"/>
      <c r="L233" s="251"/>
      <c r="M233" s="251"/>
      <c r="N233" s="251"/>
      <c r="O233" s="251"/>
      <c r="P233" s="251"/>
      <c r="Q233" s="251"/>
      <c r="R233" s="251"/>
    </row>
    <row r="234" spans="1:18">
      <c r="A234" s="272"/>
      <c r="B234" s="248"/>
      <c r="C234" s="249"/>
      <c r="D234" s="269" t="s">
        <v>1349</v>
      </c>
      <c r="E234" s="249"/>
      <c r="F234" s="673">
        <v>-7</v>
      </c>
      <c r="G234" s="249"/>
      <c r="H234" s="652">
        <v>2.92</v>
      </c>
      <c r="I234" s="251"/>
      <c r="J234" s="652">
        <v>2.73</v>
      </c>
      <c r="K234" s="251"/>
      <c r="L234" s="652">
        <v>0.19</v>
      </c>
      <c r="M234" s="251"/>
      <c r="N234" s="251">
        <v>0</v>
      </c>
      <c r="O234" s="251"/>
      <c r="P234" s="651" t="s">
        <v>2305</v>
      </c>
      <c r="Q234" s="251"/>
      <c r="R234" s="652">
        <v>14.6</v>
      </c>
    </row>
    <row r="235" spans="1:18">
      <c r="A235" s="272"/>
      <c r="B235" s="248"/>
      <c r="C235" s="249"/>
      <c r="D235" s="269" t="s">
        <v>1350</v>
      </c>
      <c r="E235" s="249"/>
      <c r="F235" s="673">
        <v>-7</v>
      </c>
      <c r="G235" s="249"/>
      <c r="H235" s="652">
        <v>4.3199999999999994</v>
      </c>
      <c r="I235" s="251"/>
      <c r="J235" s="652">
        <v>4.04</v>
      </c>
      <c r="K235" s="251"/>
      <c r="L235" s="652">
        <v>0.27999999999999997</v>
      </c>
      <c r="M235" s="251"/>
      <c r="N235" s="251">
        <v>0</v>
      </c>
      <c r="O235" s="251"/>
      <c r="P235" s="651" t="s">
        <v>2305</v>
      </c>
      <c r="Q235" s="251"/>
      <c r="R235" s="652">
        <v>10.199999999999999</v>
      </c>
    </row>
    <row r="236" spans="1:18">
      <c r="A236" s="272"/>
      <c r="B236" s="248"/>
      <c r="C236" s="249"/>
      <c r="D236" s="269" t="s">
        <v>1344</v>
      </c>
      <c r="E236" s="249"/>
      <c r="F236" s="673">
        <v>-7</v>
      </c>
      <c r="G236" s="249"/>
      <c r="H236" s="652">
        <v>3.94</v>
      </c>
      <c r="I236" s="251"/>
      <c r="J236" s="652">
        <v>3.6799999999999997</v>
      </c>
      <c r="K236" s="251"/>
      <c r="L236" s="652">
        <v>0.26</v>
      </c>
      <c r="M236" s="251"/>
      <c r="N236" s="251">
        <v>0</v>
      </c>
      <c r="O236" s="251"/>
      <c r="P236" s="651" t="s">
        <v>2305</v>
      </c>
      <c r="Q236" s="251"/>
      <c r="R236" s="652">
        <v>14.9</v>
      </c>
    </row>
    <row r="237" spans="1:18">
      <c r="A237" s="272"/>
      <c r="B237" s="248"/>
      <c r="C237" s="249"/>
      <c r="D237" s="269" t="s">
        <v>1345</v>
      </c>
      <c r="E237" s="249"/>
      <c r="F237" s="673">
        <v>-7</v>
      </c>
      <c r="G237" s="249"/>
      <c r="H237" s="652">
        <v>4.34</v>
      </c>
      <c r="I237" s="251"/>
      <c r="J237" s="652">
        <v>4.0599999999999996</v>
      </c>
      <c r="K237" s="251"/>
      <c r="L237" s="652">
        <v>0.27999999999999997</v>
      </c>
      <c r="M237" s="251"/>
      <c r="N237" s="251">
        <v>0</v>
      </c>
      <c r="O237" s="251"/>
      <c r="P237" s="651" t="s">
        <v>2305</v>
      </c>
      <c r="Q237" s="251"/>
      <c r="R237" s="652">
        <v>13</v>
      </c>
    </row>
    <row r="238" spans="1:18">
      <c r="A238" s="272"/>
      <c r="B238" s="248"/>
      <c r="C238" s="249"/>
      <c r="D238" s="269" t="s">
        <v>1346</v>
      </c>
      <c r="E238" s="249"/>
      <c r="F238" s="673">
        <v>-7</v>
      </c>
      <c r="G238" s="249"/>
      <c r="H238" s="652">
        <v>4.33</v>
      </c>
      <c r="I238" s="251"/>
      <c r="J238" s="652">
        <v>4.05</v>
      </c>
      <c r="K238" s="251"/>
      <c r="L238" s="652">
        <v>0.27999999999999997</v>
      </c>
      <c r="M238" s="251"/>
      <c r="N238" s="251">
        <v>0</v>
      </c>
      <c r="O238" s="251"/>
      <c r="P238" s="651" t="s">
        <v>2305</v>
      </c>
      <c r="Q238" s="251"/>
      <c r="R238" s="652">
        <v>13</v>
      </c>
    </row>
    <row r="239" spans="1:18">
      <c r="A239" s="272"/>
      <c r="B239" s="248"/>
      <c r="C239" s="249"/>
      <c r="D239" s="269" t="s">
        <v>1347</v>
      </c>
      <c r="E239" s="249"/>
      <c r="F239" s="673">
        <v>-7</v>
      </c>
      <c r="G239" s="249"/>
      <c r="H239" s="652">
        <v>3.9699999999999998</v>
      </c>
      <c r="I239" s="251"/>
      <c r="J239" s="652">
        <v>3.71</v>
      </c>
      <c r="K239" s="251"/>
      <c r="L239" s="652">
        <v>0.26</v>
      </c>
      <c r="M239" s="251"/>
      <c r="N239" s="251">
        <v>0</v>
      </c>
      <c r="O239" s="251"/>
      <c r="P239" s="651" t="s">
        <v>2305</v>
      </c>
      <c r="Q239" s="251"/>
      <c r="R239" s="652">
        <v>9.1999999999999993</v>
      </c>
    </row>
    <row r="240" spans="1:18">
      <c r="A240" s="272"/>
      <c r="B240" s="248"/>
      <c r="C240" s="249"/>
      <c r="D240" s="269" t="s">
        <v>1348</v>
      </c>
      <c r="E240" s="249"/>
      <c r="F240" s="673">
        <v>-7</v>
      </c>
      <c r="G240" s="249"/>
      <c r="H240" s="652">
        <v>2.76</v>
      </c>
      <c r="I240" s="251"/>
      <c r="J240" s="652">
        <v>2.58</v>
      </c>
      <c r="K240" s="251"/>
      <c r="L240" s="652">
        <v>0.18</v>
      </c>
      <c r="M240" s="251"/>
      <c r="N240" s="251">
        <v>0</v>
      </c>
      <c r="O240" s="251"/>
      <c r="P240" s="651" t="s">
        <v>2305</v>
      </c>
      <c r="Q240" s="251"/>
      <c r="R240" s="652">
        <v>14.6</v>
      </c>
    </row>
    <row r="241" spans="1:18">
      <c r="A241" s="272"/>
      <c r="B241" s="248"/>
      <c r="C241" s="249"/>
      <c r="D241" s="269" t="s">
        <v>2688</v>
      </c>
      <c r="E241" s="249"/>
      <c r="F241" s="673">
        <v>-5</v>
      </c>
      <c r="G241" s="249"/>
      <c r="H241" s="652">
        <v>4.24</v>
      </c>
      <c r="I241" s="251"/>
      <c r="J241" s="652">
        <v>4.04</v>
      </c>
      <c r="K241" s="251"/>
      <c r="L241" s="652">
        <v>0.2</v>
      </c>
      <c r="M241" s="251"/>
      <c r="N241" s="251">
        <v>0</v>
      </c>
      <c r="O241" s="251"/>
      <c r="P241" s="651" t="s">
        <v>2689</v>
      </c>
      <c r="Q241" s="251"/>
      <c r="R241" s="652">
        <v>40</v>
      </c>
    </row>
    <row r="242" spans="1:18">
      <c r="A242" s="272"/>
      <c r="B242" s="248"/>
      <c r="C242" s="249"/>
      <c r="D242" s="269" t="s">
        <v>1351</v>
      </c>
      <c r="E242" s="249"/>
      <c r="F242" s="673">
        <v>-10</v>
      </c>
      <c r="G242" s="249"/>
      <c r="H242" s="652">
        <v>19.170000000000002</v>
      </c>
      <c r="I242" s="251"/>
      <c r="J242" s="652">
        <v>17.43</v>
      </c>
      <c r="K242" s="251"/>
      <c r="L242" s="652">
        <v>1.7399999999999998</v>
      </c>
      <c r="M242" s="251"/>
      <c r="N242" s="251">
        <v>0</v>
      </c>
      <c r="O242" s="251"/>
      <c r="P242" s="651" t="s">
        <v>2305</v>
      </c>
      <c r="Q242" s="251"/>
      <c r="R242" s="652">
        <v>4.5</v>
      </c>
    </row>
    <row r="243" spans="1:18">
      <c r="A243" s="272"/>
      <c r="B243" s="248"/>
      <c r="C243" s="249"/>
      <c r="D243" s="269" t="s">
        <v>1352</v>
      </c>
      <c r="E243" s="249"/>
      <c r="F243" s="673">
        <v>-6</v>
      </c>
      <c r="G243" s="249"/>
      <c r="H243" s="652">
        <v>4.16</v>
      </c>
      <c r="I243" s="251"/>
      <c r="J243" s="652">
        <v>3.92</v>
      </c>
      <c r="K243" s="251"/>
      <c r="L243" s="652">
        <v>0.24</v>
      </c>
      <c r="M243" s="251"/>
      <c r="N243" s="251">
        <v>0</v>
      </c>
      <c r="O243" s="251"/>
      <c r="P243" s="651" t="s">
        <v>2305</v>
      </c>
      <c r="Q243" s="251"/>
      <c r="R243" s="652">
        <v>14.9</v>
      </c>
    </row>
    <row r="244" spans="1:18">
      <c r="A244" s="272"/>
      <c r="B244" s="248"/>
      <c r="C244" s="249"/>
      <c r="D244" s="269" t="s">
        <v>1343</v>
      </c>
      <c r="E244" s="249"/>
      <c r="F244" s="673">
        <v>-7</v>
      </c>
      <c r="G244" s="249"/>
      <c r="H244" s="652">
        <v>3.7900000000000005</v>
      </c>
      <c r="I244" s="251"/>
      <c r="J244" s="652">
        <v>3.54</v>
      </c>
      <c r="K244" s="251"/>
      <c r="L244" s="652">
        <v>0.25</v>
      </c>
      <c r="M244" s="251"/>
      <c r="N244" s="251">
        <v>0</v>
      </c>
      <c r="O244" s="251"/>
      <c r="P244" s="651" t="s">
        <v>2305</v>
      </c>
      <c r="Q244" s="251"/>
      <c r="R244" s="652">
        <v>17.7</v>
      </c>
    </row>
    <row r="245" spans="1:18">
      <c r="A245" s="272"/>
      <c r="B245" s="248"/>
      <c r="C245" s="249"/>
      <c r="D245" s="269" t="s">
        <v>1338</v>
      </c>
      <c r="E245" s="249"/>
      <c r="F245" s="673">
        <v>-7</v>
      </c>
      <c r="G245" s="249"/>
      <c r="H245" s="652">
        <v>3.8700000000000006</v>
      </c>
      <c r="I245" s="251"/>
      <c r="J245" s="652">
        <v>3.62</v>
      </c>
      <c r="K245" s="251"/>
      <c r="L245" s="652">
        <v>0.25</v>
      </c>
      <c r="M245" s="251"/>
      <c r="N245" s="251">
        <v>0</v>
      </c>
      <c r="O245" s="251"/>
      <c r="P245" s="651" t="s">
        <v>2305</v>
      </c>
      <c r="Q245" s="251"/>
      <c r="R245" s="652">
        <v>15.8</v>
      </c>
    </row>
    <row r="246" spans="1:18">
      <c r="A246" s="272"/>
      <c r="B246" s="248"/>
      <c r="C246" s="249"/>
      <c r="D246" s="269" t="s">
        <v>1339</v>
      </c>
      <c r="E246" s="249"/>
      <c r="F246" s="673">
        <v>-7</v>
      </c>
      <c r="G246" s="249"/>
      <c r="H246" s="652">
        <v>3.8600000000000003</v>
      </c>
      <c r="I246" s="251"/>
      <c r="J246" s="652">
        <v>3.61</v>
      </c>
      <c r="K246" s="251"/>
      <c r="L246" s="652">
        <v>0.25</v>
      </c>
      <c r="M246" s="251"/>
      <c r="N246" s="251">
        <v>0</v>
      </c>
      <c r="O246" s="251"/>
      <c r="P246" s="651" t="s">
        <v>2305</v>
      </c>
      <c r="Q246" s="251"/>
      <c r="R246" s="652">
        <v>15.8</v>
      </c>
    </row>
    <row r="247" spans="1:18">
      <c r="A247" s="272"/>
      <c r="B247" s="248"/>
      <c r="C247" s="249"/>
      <c r="D247" s="269" t="s">
        <v>1340</v>
      </c>
      <c r="E247" s="249"/>
      <c r="F247" s="673">
        <v>-7</v>
      </c>
      <c r="G247" s="249"/>
      <c r="H247" s="652">
        <v>3.7800000000000002</v>
      </c>
      <c r="I247" s="251"/>
      <c r="J247" s="652">
        <v>3.53</v>
      </c>
      <c r="K247" s="251"/>
      <c r="L247" s="652">
        <v>0.25</v>
      </c>
      <c r="M247" s="251"/>
      <c r="N247" s="251">
        <v>0</v>
      </c>
      <c r="O247" s="251"/>
      <c r="P247" s="651" t="s">
        <v>2305</v>
      </c>
      <c r="Q247" s="251"/>
      <c r="R247" s="652">
        <v>17.7</v>
      </c>
    </row>
    <row r="248" spans="1:18">
      <c r="A248" s="272"/>
      <c r="B248" s="248"/>
      <c r="C248" s="249"/>
      <c r="D248" s="269" t="s">
        <v>1341</v>
      </c>
      <c r="E248" s="249"/>
      <c r="F248" s="673">
        <v>-7</v>
      </c>
      <c r="G248" s="249"/>
      <c r="H248" s="652">
        <v>3.7800000000000002</v>
      </c>
      <c r="I248" s="251"/>
      <c r="J248" s="652">
        <v>3.53</v>
      </c>
      <c r="K248" s="251"/>
      <c r="L248" s="652">
        <v>0.25</v>
      </c>
      <c r="M248" s="251"/>
      <c r="N248" s="251">
        <v>0</v>
      </c>
      <c r="O248" s="251"/>
      <c r="P248" s="651" t="s">
        <v>2305</v>
      </c>
      <c r="Q248" s="251"/>
      <c r="R248" s="652">
        <v>17.7</v>
      </c>
    </row>
    <row r="249" spans="1:18">
      <c r="A249" s="272"/>
      <c r="B249" s="248"/>
      <c r="C249" s="249"/>
      <c r="D249" s="269" t="s">
        <v>1342</v>
      </c>
      <c r="E249" s="249"/>
      <c r="F249" s="673">
        <v>-7</v>
      </c>
      <c r="G249" s="249"/>
      <c r="H249" s="652">
        <v>3.7900000000000005</v>
      </c>
      <c r="I249" s="251"/>
      <c r="J249" s="652">
        <v>3.54</v>
      </c>
      <c r="K249" s="251"/>
      <c r="L249" s="652">
        <v>0.25</v>
      </c>
      <c r="M249" s="251"/>
      <c r="N249" s="251">
        <v>0</v>
      </c>
      <c r="O249" s="251"/>
      <c r="P249" s="651" t="s">
        <v>2305</v>
      </c>
      <c r="Q249" s="251"/>
      <c r="R249" s="652">
        <v>17.7</v>
      </c>
    </row>
    <row r="250" spans="1:18">
      <c r="A250" s="272"/>
      <c r="B250" s="248"/>
      <c r="C250" s="249"/>
      <c r="D250" s="269" t="s">
        <v>2304</v>
      </c>
      <c r="E250" s="249"/>
      <c r="F250" s="673">
        <v>-12</v>
      </c>
      <c r="G250" s="249"/>
      <c r="H250" s="652">
        <v>3.0300000000000002</v>
      </c>
      <c r="I250" s="251"/>
      <c r="J250" s="652">
        <v>2.71</v>
      </c>
      <c r="K250" s="251"/>
      <c r="L250" s="652">
        <v>0.32</v>
      </c>
      <c r="M250" s="251"/>
      <c r="N250" s="251">
        <v>0</v>
      </c>
      <c r="O250" s="251"/>
      <c r="P250" s="651" t="s">
        <v>2305</v>
      </c>
      <c r="Q250" s="251"/>
      <c r="R250" s="652">
        <v>35.6</v>
      </c>
    </row>
    <row r="251" spans="1:18">
      <c r="A251" s="272"/>
      <c r="B251" s="248"/>
      <c r="C251" s="249"/>
      <c r="D251" s="253"/>
      <c r="E251" s="249"/>
      <c r="F251" s="250"/>
      <c r="G251" s="249"/>
      <c r="H251" s="251"/>
      <c r="I251" s="251"/>
      <c r="J251" s="251"/>
      <c r="K251" s="251"/>
      <c r="L251" s="251"/>
      <c r="M251" s="251"/>
      <c r="N251" s="251"/>
      <c r="O251" s="251"/>
      <c r="P251" s="251"/>
      <c r="Q251" s="251"/>
      <c r="R251" s="251"/>
    </row>
    <row r="252" spans="1:18">
      <c r="A252" s="272">
        <v>341</v>
      </c>
      <c r="B252" s="248"/>
      <c r="C252" s="249"/>
      <c r="D252" s="254" t="s">
        <v>1353</v>
      </c>
      <c r="E252" s="249"/>
      <c r="F252" s="278" t="s">
        <v>2690</v>
      </c>
      <c r="G252" s="249"/>
      <c r="H252" s="251">
        <v>3.38</v>
      </c>
      <c r="I252" s="251"/>
      <c r="J252" s="251"/>
      <c r="K252" s="251"/>
      <c r="L252" s="251"/>
      <c r="M252" s="251"/>
      <c r="N252" s="251"/>
      <c r="O252" s="251"/>
      <c r="P252" s="251" t="str">
        <f>P250</f>
        <v>50-R2.5</v>
      </c>
      <c r="Q252" s="251"/>
      <c r="R252" s="251">
        <v>25.9</v>
      </c>
    </row>
    <row r="253" spans="1:18">
      <c r="A253" s="272"/>
      <c r="B253" s="248"/>
      <c r="C253" s="249"/>
      <c r="D253" s="253"/>
      <c r="E253" s="249"/>
      <c r="F253" s="250"/>
      <c r="G253" s="249"/>
      <c r="H253" s="251"/>
      <c r="I253" s="251"/>
      <c r="J253" s="251"/>
      <c r="K253" s="251"/>
      <c r="L253" s="251"/>
      <c r="M253" s="251"/>
      <c r="N253" s="251"/>
      <c r="O253" s="251"/>
      <c r="P253" s="251"/>
      <c r="Q253" s="251"/>
      <c r="R253" s="251"/>
    </row>
    <row r="254" spans="1:18">
      <c r="A254" s="272"/>
      <c r="B254" s="248">
        <v>342</v>
      </c>
      <c r="C254" s="249"/>
      <c r="D254" s="249" t="s">
        <v>1354</v>
      </c>
      <c r="E254" s="249"/>
      <c r="F254" s="250"/>
      <c r="G254" s="249"/>
      <c r="H254" s="251"/>
      <c r="I254" s="251"/>
      <c r="J254" s="251"/>
      <c r="K254" s="251"/>
      <c r="L254" s="251"/>
      <c r="M254" s="251"/>
      <c r="N254" s="251"/>
      <c r="O254" s="251"/>
      <c r="P254" s="251"/>
      <c r="Q254" s="251"/>
      <c r="R254" s="251"/>
    </row>
    <row r="255" spans="1:18">
      <c r="A255" s="272"/>
      <c r="B255" s="248"/>
      <c r="C255" s="249"/>
      <c r="D255" s="269" t="s">
        <v>1349</v>
      </c>
      <c r="E255" s="249"/>
      <c r="F255" s="673">
        <v>-7</v>
      </c>
      <c r="G255" s="249"/>
      <c r="H255" s="652">
        <v>5.43</v>
      </c>
      <c r="I255" s="251"/>
      <c r="J255" s="652">
        <v>5.07</v>
      </c>
      <c r="K255" s="251"/>
      <c r="L255" s="652">
        <v>0.36</v>
      </c>
      <c r="M255" s="251"/>
      <c r="N255" s="251">
        <v>0</v>
      </c>
      <c r="O255" s="251"/>
      <c r="P255" s="251" t="s">
        <v>1355</v>
      </c>
      <c r="Q255" s="251"/>
      <c r="R255" s="652">
        <v>15.1</v>
      </c>
    </row>
    <row r="256" spans="1:18">
      <c r="A256" s="272"/>
      <c r="B256" s="248"/>
      <c r="C256" s="249"/>
      <c r="D256" s="269" t="s">
        <v>1350</v>
      </c>
      <c r="E256" s="249"/>
      <c r="F256" s="673">
        <v>-7</v>
      </c>
      <c r="G256" s="249"/>
      <c r="H256" s="652">
        <v>7.39</v>
      </c>
      <c r="I256" s="251"/>
      <c r="J256" s="652">
        <v>6.9099999999999993</v>
      </c>
      <c r="K256" s="251"/>
      <c r="L256" s="652">
        <v>0.48</v>
      </c>
      <c r="M256" s="251"/>
      <c r="N256" s="251">
        <v>0</v>
      </c>
      <c r="O256" s="251"/>
      <c r="P256" s="251" t="s">
        <v>1355</v>
      </c>
      <c r="Q256" s="251"/>
      <c r="R256" s="652">
        <v>10.3</v>
      </c>
    </row>
    <row r="257" spans="1:18">
      <c r="A257" s="272"/>
      <c r="B257" s="248"/>
      <c r="C257" s="249"/>
      <c r="D257" s="253" t="s">
        <v>1344</v>
      </c>
      <c r="E257" s="249"/>
      <c r="F257" s="673">
        <v>-7</v>
      </c>
      <c r="G257" s="249"/>
      <c r="H257" s="652">
        <v>5</v>
      </c>
      <c r="I257" s="251"/>
      <c r="J257" s="652">
        <v>4.67</v>
      </c>
      <c r="K257" s="251"/>
      <c r="L257" s="652">
        <v>0.33</v>
      </c>
      <c r="M257" s="251"/>
      <c r="N257" s="251">
        <v>0</v>
      </c>
      <c r="O257" s="251"/>
      <c r="P257" s="251" t="s">
        <v>1355</v>
      </c>
      <c r="Q257" s="251"/>
      <c r="R257" s="652">
        <v>14.8</v>
      </c>
    </row>
    <row r="258" spans="1:18">
      <c r="A258" s="272"/>
      <c r="B258" s="248"/>
      <c r="C258" s="249"/>
      <c r="D258" s="269" t="s">
        <v>1345</v>
      </c>
      <c r="E258" s="249"/>
      <c r="F258" s="673">
        <v>-7</v>
      </c>
      <c r="G258" s="249"/>
      <c r="H258" s="652">
        <v>6.9599999999999991</v>
      </c>
      <c r="I258" s="251"/>
      <c r="J258" s="652">
        <v>6.5</v>
      </c>
      <c r="K258" s="251"/>
      <c r="L258" s="652">
        <v>0.45999999999999996</v>
      </c>
      <c r="M258" s="251"/>
      <c r="N258" s="251">
        <v>0</v>
      </c>
      <c r="O258" s="251"/>
      <c r="P258" s="251" t="s">
        <v>1355</v>
      </c>
      <c r="Q258" s="251"/>
      <c r="R258" s="652">
        <v>13.2</v>
      </c>
    </row>
    <row r="259" spans="1:18">
      <c r="A259" s="272"/>
      <c r="B259" s="248"/>
      <c r="C259" s="249"/>
      <c r="D259" s="269" t="s">
        <v>1346</v>
      </c>
      <c r="E259" s="249"/>
      <c r="F259" s="673">
        <v>-7</v>
      </c>
      <c r="G259" s="249"/>
      <c r="H259" s="652">
        <v>6.9899999999999993</v>
      </c>
      <c r="I259" s="251"/>
      <c r="J259" s="652">
        <v>6.5299999999999994</v>
      </c>
      <c r="K259" s="251"/>
      <c r="L259" s="652">
        <v>0.45999999999999996</v>
      </c>
      <c r="M259" s="251"/>
      <c r="N259" s="251">
        <v>0</v>
      </c>
      <c r="O259" s="251"/>
      <c r="P259" s="251" t="s">
        <v>1355</v>
      </c>
      <c r="Q259" s="251"/>
      <c r="R259" s="652">
        <v>13.2</v>
      </c>
    </row>
    <row r="260" spans="1:18">
      <c r="A260" s="272"/>
      <c r="B260" s="248"/>
      <c r="C260" s="249"/>
      <c r="D260" s="269" t="s">
        <v>1347</v>
      </c>
      <c r="E260" s="249"/>
      <c r="F260" s="673">
        <v>-7</v>
      </c>
      <c r="G260" s="249"/>
      <c r="H260" s="652">
        <v>6.5299999999999994</v>
      </c>
      <c r="I260" s="251"/>
      <c r="J260" s="652">
        <v>6.1</v>
      </c>
      <c r="K260" s="251"/>
      <c r="L260" s="652">
        <v>0.43</v>
      </c>
      <c r="M260" s="251"/>
      <c r="N260" s="251">
        <v>0</v>
      </c>
      <c r="O260" s="251"/>
      <c r="P260" s="251" t="s">
        <v>1355</v>
      </c>
      <c r="Q260" s="251"/>
      <c r="R260" s="652">
        <v>9.4</v>
      </c>
    </row>
    <row r="261" spans="1:18">
      <c r="A261" s="272"/>
      <c r="B261" s="248"/>
      <c r="C261" s="249"/>
      <c r="D261" s="269" t="s">
        <v>1348</v>
      </c>
      <c r="E261" s="249"/>
      <c r="F261" s="673">
        <v>-7</v>
      </c>
      <c r="G261" s="249"/>
      <c r="H261" s="652">
        <v>4.6500000000000004</v>
      </c>
      <c r="I261" s="251"/>
      <c r="J261" s="652">
        <v>4.3499999999999996</v>
      </c>
      <c r="K261" s="251"/>
      <c r="L261" s="652">
        <v>0.3</v>
      </c>
      <c r="M261" s="251"/>
      <c r="N261" s="251">
        <v>0</v>
      </c>
      <c r="O261" s="251"/>
      <c r="P261" s="251" t="s">
        <v>1355</v>
      </c>
      <c r="Q261" s="251"/>
      <c r="R261" s="652">
        <v>14.8</v>
      </c>
    </row>
    <row r="262" spans="1:18">
      <c r="A262" s="272"/>
      <c r="B262" s="248"/>
      <c r="C262" s="249"/>
      <c r="D262" s="269" t="s">
        <v>1336</v>
      </c>
      <c r="E262" s="249"/>
      <c r="F262" s="673">
        <v>-7</v>
      </c>
      <c r="G262" s="249"/>
      <c r="H262" s="652">
        <v>3.0300000000000002</v>
      </c>
      <c r="I262" s="251"/>
      <c r="J262" s="652">
        <v>2.83</v>
      </c>
      <c r="K262" s="251"/>
      <c r="L262" s="652">
        <v>0.2</v>
      </c>
      <c r="M262" s="251"/>
      <c r="N262" s="251">
        <v>0</v>
      </c>
      <c r="O262" s="251"/>
      <c r="P262" s="251" t="s">
        <v>1355</v>
      </c>
      <c r="Q262" s="251"/>
      <c r="R262" s="652">
        <v>14.2</v>
      </c>
    </row>
    <row r="263" spans="1:18">
      <c r="A263" s="272"/>
      <c r="B263" s="248"/>
      <c r="C263" s="249"/>
      <c r="D263" s="269" t="s">
        <v>1351</v>
      </c>
      <c r="E263" s="249"/>
      <c r="F263" s="673">
        <v>-10</v>
      </c>
      <c r="G263" s="249"/>
      <c r="H263" s="652">
        <v>15.740000000000002</v>
      </c>
      <c r="I263" s="251"/>
      <c r="J263" s="652">
        <v>14.31</v>
      </c>
      <c r="K263" s="251"/>
      <c r="L263" s="652">
        <v>1.43</v>
      </c>
      <c r="M263" s="251"/>
      <c r="N263" s="251">
        <v>0</v>
      </c>
      <c r="O263" s="251"/>
      <c r="P263" s="251" t="s">
        <v>1355</v>
      </c>
      <c r="Q263" s="251"/>
      <c r="R263" s="652">
        <v>4.4000000000000004</v>
      </c>
    </row>
    <row r="264" spans="1:18">
      <c r="A264" s="272"/>
      <c r="B264" s="248"/>
      <c r="C264" s="249"/>
      <c r="D264" s="269" t="s">
        <v>1352</v>
      </c>
      <c r="E264" s="249"/>
      <c r="F264" s="673">
        <v>-6</v>
      </c>
      <c r="G264" s="249"/>
      <c r="H264" s="652">
        <v>3.8900000000000006</v>
      </c>
      <c r="I264" s="251"/>
      <c r="J264" s="652">
        <v>3.6700000000000004</v>
      </c>
      <c r="K264" s="251"/>
      <c r="L264" s="652">
        <v>0.22</v>
      </c>
      <c r="M264" s="251"/>
      <c r="N264" s="251">
        <v>0</v>
      </c>
      <c r="O264" s="251"/>
      <c r="P264" s="251" t="s">
        <v>1355</v>
      </c>
      <c r="Q264" s="251"/>
      <c r="R264" s="652">
        <v>14.7</v>
      </c>
    </row>
    <row r="265" spans="1:18">
      <c r="A265" s="272"/>
      <c r="B265" s="248"/>
      <c r="C265" s="249"/>
      <c r="D265" s="269" t="s">
        <v>1343</v>
      </c>
      <c r="E265" s="249"/>
      <c r="F265" s="673">
        <v>-7</v>
      </c>
      <c r="G265" s="249"/>
      <c r="H265" s="652">
        <v>3.85</v>
      </c>
      <c r="I265" s="251"/>
      <c r="J265" s="652">
        <v>3.5999999999999996</v>
      </c>
      <c r="K265" s="251"/>
      <c r="L265" s="652">
        <v>0.25</v>
      </c>
      <c r="M265" s="251"/>
      <c r="N265" s="251">
        <v>0</v>
      </c>
      <c r="O265" s="251"/>
      <c r="P265" s="251" t="s">
        <v>1355</v>
      </c>
      <c r="Q265" s="251"/>
      <c r="R265" s="652">
        <v>17.5</v>
      </c>
    </row>
    <row r="266" spans="1:18">
      <c r="A266" s="272"/>
      <c r="B266" s="248"/>
      <c r="C266" s="249"/>
      <c r="D266" s="269" t="s">
        <v>1338</v>
      </c>
      <c r="E266" s="249"/>
      <c r="F266" s="673">
        <v>-7</v>
      </c>
      <c r="G266" s="249"/>
      <c r="H266" s="652">
        <v>3.9</v>
      </c>
      <c r="I266" s="251"/>
      <c r="J266" s="652">
        <v>3.64</v>
      </c>
      <c r="K266" s="251"/>
      <c r="L266" s="652">
        <v>0.26</v>
      </c>
      <c r="M266" s="251"/>
      <c r="N266" s="251">
        <v>0</v>
      </c>
      <c r="O266" s="251"/>
      <c r="P266" s="251" t="s">
        <v>1355</v>
      </c>
      <c r="Q266" s="251"/>
      <c r="R266" s="652">
        <v>15.6</v>
      </c>
    </row>
    <row r="267" spans="1:18">
      <c r="A267" s="272"/>
      <c r="B267" s="248"/>
      <c r="C267" s="249"/>
      <c r="D267" s="269" t="s">
        <v>1339</v>
      </c>
      <c r="E267" s="249"/>
      <c r="F267" s="673">
        <v>-7</v>
      </c>
      <c r="G267" s="249"/>
      <c r="H267" s="652">
        <v>3.9</v>
      </c>
      <c r="I267" s="251"/>
      <c r="J267" s="652">
        <v>3.64</v>
      </c>
      <c r="K267" s="251"/>
      <c r="L267" s="652">
        <v>0.26</v>
      </c>
      <c r="M267" s="251"/>
      <c r="N267" s="251">
        <v>0</v>
      </c>
      <c r="O267" s="251"/>
      <c r="P267" s="251" t="s">
        <v>1355</v>
      </c>
      <c r="Q267" s="251"/>
      <c r="R267" s="652">
        <v>15.6</v>
      </c>
    </row>
    <row r="268" spans="1:18">
      <c r="A268" s="272"/>
      <c r="B268" s="248"/>
      <c r="C268" s="249"/>
      <c r="D268" s="269" t="s">
        <v>1340</v>
      </c>
      <c r="E268" s="249"/>
      <c r="F268" s="673">
        <v>-7</v>
      </c>
      <c r="G268" s="249"/>
      <c r="H268" s="652">
        <v>3.8200000000000003</v>
      </c>
      <c r="I268" s="251"/>
      <c r="J268" s="652">
        <v>3.5700000000000003</v>
      </c>
      <c r="K268" s="251"/>
      <c r="L268" s="652">
        <v>0.25</v>
      </c>
      <c r="M268" s="251"/>
      <c r="N268" s="251">
        <v>0</v>
      </c>
      <c r="O268" s="251"/>
      <c r="P268" s="251" t="s">
        <v>1355</v>
      </c>
      <c r="Q268" s="251"/>
      <c r="R268" s="652">
        <v>17.5</v>
      </c>
    </row>
    <row r="269" spans="1:18">
      <c r="A269" s="272"/>
      <c r="B269" s="248"/>
      <c r="C269" s="249"/>
      <c r="D269" s="269" t="s">
        <v>1341</v>
      </c>
      <c r="E269" s="249"/>
      <c r="F269" s="673">
        <v>-7</v>
      </c>
      <c r="G269" s="249"/>
      <c r="H269" s="652">
        <v>3.8200000000000003</v>
      </c>
      <c r="I269" s="251"/>
      <c r="J269" s="652">
        <v>3.5700000000000003</v>
      </c>
      <c r="K269" s="251"/>
      <c r="L269" s="652">
        <v>0.25</v>
      </c>
      <c r="M269" s="251"/>
      <c r="N269" s="251">
        <v>0</v>
      </c>
      <c r="O269" s="251"/>
      <c r="P269" s="251" t="s">
        <v>1355</v>
      </c>
      <c r="Q269" s="251"/>
      <c r="R269" s="652">
        <v>17.5</v>
      </c>
    </row>
    <row r="270" spans="1:18">
      <c r="A270" s="272"/>
      <c r="B270" s="248"/>
      <c r="C270" s="249"/>
      <c r="D270" s="269" t="s">
        <v>1342</v>
      </c>
      <c r="E270" s="249"/>
      <c r="F270" s="673">
        <v>-7</v>
      </c>
      <c r="G270" s="249"/>
      <c r="H270" s="652">
        <v>3.83</v>
      </c>
      <c r="I270" s="251"/>
      <c r="J270" s="652">
        <v>3.58</v>
      </c>
      <c r="K270" s="251"/>
      <c r="L270" s="652">
        <v>0.25</v>
      </c>
      <c r="M270" s="251"/>
      <c r="N270" s="251">
        <v>0</v>
      </c>
      <c r="O270" s="251"/>
      <c r="P270" s="251" t="s">
        <v>1355</v>
      </c>
      <c r="Q270" s="251"/>
      <c r="R270" s="652">
        <v>17.5</v>
      </c>
    </row>
    <row r="271" spans="1:18">
      <c r="A271" s="272"/>
      <c r="B271" s="248"/>
      <c r="C271" s="249"/>
      <c r="D271" s="269" t="s">
        <v>1356</v>
      </c>
      <c r="E271" s="249"/>
      <c r="F271" s="673">
        <v>-7</v>
      </c>
      <c r="G271" s="249"/>
      <c r="H271" s="652">
        <v>3.53</v>
      </c>
      <c r="I271" s="251"/>
      <c r="J271" s="652">
        <v>3.3000000000000003</v>
      </c>
      <c r="K271" s="251"/>
      <c r="L271" s="652">
        <v>0.22999999999999998</v>
      </c>
      <c r="M271" s="251"/>
      <c r="N271" s="251">
        <v>0</v>
      </c>
      <c r="O271" s="251"/>
      <c r="P271" s="251" t="s">
        <v>1355</v>
      </c>
      <c r="Q271" s="251"/>
      <c r="R271" s="652">
        <v>17.399999999999999</v>
      </c>
    </row>
    <row r="272" spans="1:18">
      <c r="A272" s="272"/>
      <c r="B272" s="248"/>
      <c r="C272" s="249"/>
      <c r="D272" s="266" t="s">
        <v>2304</v>
      </c>
      <c r="E272" s="249"/>
      <c r="F272" s="673">
        <v>-12</v>
      </c>
      <c r="G272" s="249"/>
      <c r="H272" s="652">
        <v>3.1</v>
      </c>
      <c r="I272" s="251"/>
      <c r="J272" s="652">
        <v>2.77</v>
      </c>
      <c r="K272" s="251"/>
      <c r="L272" s="652">
        <v>0.33</v>
      </c>
      <c r="M272" s="251"/>
      <c r="N272" s="251">
        <v>0</v>
      </c>
      <c r="O272" s="251"/>
      <c r="P272" s="251" t="s">
        <v>1355</v>
      </c>
      <c r="Q272" s="251"/>
      <c r="R272" s="652">
        <v>35.6</v>
      </c>
    </row>
    <row r="273" spans="1:18">
      <c r="A273" s="272"/>
      <c r="B273" s="248"/>
      <c r="C273" s="249"/>
      <c r="D273" s="269" t="s">
        <v>2306</v>
      </c>
      <c r="E273" s="249"/>
      <c r="F273" s="673">
        <v>-12</v>
      </c>
      <c r="G273" s="249"/>
      <c r="H273" s="652">
        <v>3.1</v>
      </c>
      <c r="I273" s="251"/>
      <c r="J273" s="652">
        <v>2.77</v>
      </c>
      <c r="K273" s="251"/>
      <c r="L273" s="652">
        <v>0.33</v>
      </c>
      <c r="M273" s="251"/>
      <c r="N273" s="251">
        <v>0</v>
      </c>
      <c r="O273" s="251"/>
      <c r="P273" s="251" t="s">
        <v>1355</v>
      </c>
      <c r="Q273" s="251"/>
      <c r="R273" s="652">
        <v>35.6</v>
      </c>
    </row>
    <row r="274" spans="1:18">
      <c r="A274" s="272"/>
      <c r="B274" s="248"/>
      <c r="C274" s="249"/>
      <c r="D274" s="269" t="s">
        <v>2691</v>
      </c>
      <c r="E274" s="249"/>
      <c r="F274" s="673">
        <v>-12</v>
      </c>
      <c r="G274" s="249"/>
      <c r="H274" s="652">
        <v>3.1</v>
      </c>
      <c r="I274" s="251"/>
      <c r="J274" s="652">
        <v>2.77</v>
      </c>
      <c r="K274" s="251"/>
      <c r="L274" s="652">
        <v>0.33</v>
      </c>
      <c r="M274" s="251"/>
      <c r="N274" s="251">
        <v>0</v>
      </c>
      <c r="O274" s="251"/>
      <c r="P274" s="251" t="s">
        <v>1355</v>
      </c>
      <c r="Q274" s="251"/>
      <c r="R274" s="652">
        <v>14.7</v>
      </c>
    </row>
    <row r="275" spans="1:18">
      <c r="A275" s="272"/>
      <c r="B275" s="248"/>
      <c r="C275" s="249"/>
      <c r="D275" s="249"/>
      <c r="E275" s="249"/>
      <c r="F275" s="250"/>
      <c r="G275" s="249"/>
      <c r="H275" s="251"/>
      <c r="I275" s="251"/>
      <c r="J275" s="251"/>
      <c r="K275" s="251"/>
      <c r="L275" s="251"/>
      <c r="M275" s="251"/>
      <c r="N275" s="251"/>
      <c r="O275" s="251"/>
      <c r="P275" s="251"/>
      <c r="Q275" s="251"/>
      <c r="R275" s="251"/>
    </row>
    <row r="276" spans="1:18">
      <c r="A276" s="272">
        <v>342</v>
      </c>
      <c r="B276" s="248"/>
      <c r="C276" s="249"/>
      <c r="D276" s="254" t="s">
        <v>1357</v>
      </c>
      <c r="E276" s="249"/>
      <c r="F276" s="278" t="s">
        <v>2332</v>
      </c>
      <c r="G276" s="249"/>
      <c r="H276" s="251">
        <v>3.27</v>
      </c>
      <c r="I276" s="251"/>
      <c r="J276" s="251"/>
      <c r="K276" s="251"/>
      <c r="L276" s="251"/>
      <c r="M276" s="251"/>
      <c r="N276" s="251"/>
      <c r="O276" s="251"/>
      <c r="P276" s="251" t="str">
        <f>P274</f>
        <v>45-R2.5</v>
      </c>
      <c r="Q276" s="251"/>
      <c r="R276" s="251">
        <v>31.3</v>
      </c>
    </row>
    <row r="277" spans="1:18">
      <c r="A277" s="272"/>
      <c r="B277" s="248"/>
      <c r="C277" s="249"/>
      <c r="D277" s="249"/>
      <c r="E277" s="249"/>
      <c r="F277" s="250"/>
      <c r="G277" s="249"/>
      <c r="H277" s="251"/>
      <c r="I277" s="251"/>
      <c r="J277" s="251"/>
      <c r="K277" s="251"/>
      <c r="L277" s="251"/>
      <c r="M277" s="251"/>
      <c r="N277" s="251"/>
      <c r="O277" s="251"/>
      <c r="P277" s="251"/>
      <c r="Q277" s="251"/>
      <c r="R277" s="251"/>
    </row>
    <row r="278" spans="1:18">
      <c r="A278" s="272"/>
      <c r="B278" s="248">
        <v>343</v>
      </c>
      <c r="C278" s="249"/>
      <c r="D278" s="249" t="s">
        <v>1358</v>
      </c>
      <c r="E278" s="249"/>
      <c r="F278" s="250"/>
      <c r="G278" s="249"/>
      <c r="H278" s="251"/>
      <c r="I278" s="251"/>
      <c r="J278" s="251"/>
      <c r="K278" s="251"/>
      <c r="L278" s="251"/>
      <c r="M278" s="251"/>
      <c r="N278" s="251"/>
      <c r="O278" s="251"/>
      <c r="P278" s="251"/>
      <c r="Q278" s="251"/>
      <c r="R278" s="251"/>
    </row>
    <row r="279" spans="1:18">
      <c r="A279" s="272"/>
      <c r="B279" s="248"/>
      <c r="C279" s="249"/>
      <c r="D279" s="269" t="s">
        <v>1349</v>
      </c>
      <c r="E279" s="249"/>
      <c r="F279" s="673">
        <v>-7</v>
      </c>
      <c r="G279" s="249"/>
      <c r="H279" s="251">
        <v>4.9399999999999995</v>
      </c>
      <c r="I279" s="251"/>
      <c r="J279" s="251">
        <v>4.62</v>
      </c>
      <c r="K279" s="251"/>
      <c r="L279" s="251">
        <v>0.37</v>
      </c>
      <c r="M279" s="251"/>
      <c r="N279" s="251">
        <v>-0.05</v>
      </c>
      <c r="O279" s="251"/>
      <c r="P279" s="651" t="s">
        <v>1359</v>
      </c>
      <c r="Q279" s="251"/>
      <c r="R279" s="652">
        <v>13.8</v>
      </c>
    </row>
    <row r="280" spans="1:18">
      <c r="A280" s="272"/>
      <c r="B280" s="248"/>
      <c r="C280" s="249"/>
      <c r="D280" s="269" t="s">
        <v>1350</v>
      </c>
      <c r="E280" s="249"/>
      <c r="F280" s="673">
        <v>-7</v>
      </c>
      <c r="G280" s="249"/>
      <c r="H280" s="251">
        <v>4.82</v>
      </c>
      <c r="I280" s="251"/>
      <c r="J280" s="251">
        <v>4.51</v>
      </c>
      <c r="K280" s="251"/>
      <c r="L280" s="251">
        <v>0.36</v>
      </c>
      <c r="M280" s="251"/>
      <c r="N280" s="251">
        <v>-0.05</v>
      </c>
      <c r="O280" s="251"/>
      <c r="P280" s="651" t="s">
        <v>1359</v>
      </c>
      <c r="Q280" s="251"/>
      <c r="R280" s="652">
        <v>9.6</v>
      </c>
    </row>
    <row r="281" spans="1:18">
      <c r="A281" s="272"/>
      <c r="B281" s="248"/>
      <c r="C281" s="249"/>
      <c r="D281" s="269" t="s">
        <v>1344</v>
      </c>
      <c r="E281" s="249"/>
      <c r="F281" s="673">
        <v>-7</v>
      </c>
      <c r="G281" s="249"/>
      <c r="H281" s="251">
        <v>4.41</v>
      </c>
      <c r="I281" s="251"/>
      <c r="J281" s="251">
        <v>4.12</v>
      </c>
      <c r="K281" s="251"/>
      <c r="L281" s="251">
        <v>0.33</v>
      </c>
      <c r="M281" s="251"/>
      <c r="N281" s="251">
        <v>-0.04</v>
      </c>
      <c r="O281" s="251"/>
      <c r="P281" s="651" t="s">
        <v>1359</v>
      </c>
      <c r="Q281" s="251"/>
      <c r="R281" s="652">
        <v>13.8</v>
      </c>
    </row>
    <row r="282" spans="1:18">
      <c r="A282" s="272"/>
      <c r="B282" s="248"/>
      <c r="C282" s="249"/>
      <c r="D282" s="269" t="s">
        <v>1345</v>
      </c>
      <c r="E282" s="249"/>
      <c r="F282" s="673">
        <v>-7</v>
      </c>
      <c r="G282" s="249"/>
      <c r="H282" s="251">
        <v>5.42</v>
      </c>
      <c r="I282" s="251"/>
      <c r="J282" s="251">
        <v>5.0599999999999996</v>
      </c>
      <c r="K282" s="251"/>
      <c r="L282" s="251">
        <v>0.41000000000000003</v>
      </c>
      <c r="M282" s="251"/>
      <c r="N282" s="251">
        <v>-0.05</v>
      </c>
      <c r="O282" s="251"/>
      <c r="P282" s="651" t="s">
        <v>1359</v>
      </c>
      <c r="Q282" s="251"/>
      <c r="R282" s="652">
        <v>12.2</v>
      </c>
    </row>
    <row r="283" spans="1:18">
      <c r="A283" s="272"/>
      <c r="B283" s="248"/>
      <c r="C283" s="249"/>
      <c r="D283" s="269" t="s">
        <v>1346</v>
      </c>
      <c r="E283" s="249"/>
      <c r="F283" s="673">
        <v>-7</v>
      </c>
      <c r="G283" s="249"/>
      <c r="H283" s="251">
        <v>5.28</v>
      </c>
      <c r="I283" s="251"/>
      <c r="J283" s="251">
        <v>4.9399999999999995</v>
      </c>
      <c r="K283" s="251"/>
      <c r="L283" s="251">
        <v>0.38999999999999996</v>
      </c>
      <c r="M283" s="251"/>
      <c r="N283" s="251">
        <v>-0.05</v>
      </c>
      <c r="O283" s="251"/>
      <c r="P283" s="651" t="s">
        <v>1359</v>
      </c>
      <c r="Q283" s="251"/>
      <c r="R283" s="652">
        <v>12.2</v>
      </c>
    </row>
    <row r="284" spans="1:18">
      <c r="A284" s="272"/>
      <c r="B284" s="248"/>
      <c r="C284" s="249"/>
      <c r="D284" s="269" t="s">
        <v>1347</v>
      </c>
      <c r="E284" s="249"/>
      <c r="F284" s="673">
        <v>-7</v>
      </c>
      <c r="G284" s="249"/>
      <c r="H284" s="251">
        <v>5.81</v>
      </c>
      <c r="I284" s="251"/>
      <c r="J284" s="251">
        <v>5.43</v>
      </c>
      <c r="K284" s="251"/>
      <c r="L284" s="251">
        <v>0.43</v>
      </c>
      <c r="M284" s="251"/>
      <c r="N284" s="251">
        <v>-0.05</v>
      </c>
      <c r="O284" s="251"/>
      <c r="P284" s="651" t="s">
        <v>1359</v>
      </c>
      <c r="Q284" s="251"/>
      <c r="R284" s="652">
        <v>8.8000000000000007</v>
      </c>
    </row>
    <row r="285" spans="1:18">
      <c r="A285" s="272"/>
      <c r="B285" s="248"/>
      <c r="C285" s="249"/>
      <c r="D285" s="269" t="s">
        <v>1348</v>
      </c>
      <c r="E285" s="249"/>
      <c r="F285" s="673">
        <v>-7</v>
      </c>
      <c r="G285" s="249"/>
      <c r="H285" s="251">
        <v>4.74</v>
      </c>
      <c r="I285" s="251"/>
      <c r="J285" s="251">
        <v>4.43</v>
      </c>
      <c r="K285" s="251"/>
      <c r="L285" s="251">
        <v>0.35000000000000003</v>
      </c>
      <c r="M285" s="251"/>
      <c r="N285" s="251">
        <v>-0.04</v>
      </c>
      <c r="O285" s="251"/>
      <c r="P285" s="651" t="s">
        <v>1359</v>
      </c>
      <c r="Q285" s="251"/>
      <c r="R285" s="652">
        <v>13.6</v>
      </c>
    </row>
    <row r="286" spans="1:18">
      <c r="A286" s="272"/>
      <c r="B286" s="248"/>
      <c r="C286" s="249"/>
      <c r="D286" s="269" t="s">
        <v>1352</v>
      </c>
      <c r="E286" s="249"/>
      <c r="F286" s="673">
        <v>-6</v>
      </c>
      <c r="G286" s="249"/>
      <c r="H286" s="251">
        <v>5.53</v>
      </c>
      <c r="I286" s="251"/>
      <c r="J286" s="251">
        <v>5.21</v>
      </c>
      <c r="K286" s="251"/>
      <c r="L286" s="251">
        <v>0.37</v>
      </c>
      <c r="M286" s="251"/>
      <c r="N286" s="251">
        <v>-0.05</v>
      </c>
      <c r="O286" s="251"/>
      <c r="P286" s="651" t="s">
        <v>1359</v>
      </c>
      <c r="Q286" s="251"/>
      <c r="R286" s="652">
        <v>13.9</v>
      </c>
    </row>
    <row r="287" spans="1:18">
      <c r="A287" s="274"/>
      <c r="B287" s="255"/>
      <c r="C287" s="249"/>
      <c r="D287" s="269" t="s">
        <v>1343</v>
      </c>
      <c r="E287" s="249"/>
      <c r="F287" s="673">
        <v>-7</v>
      </c>
      <c r="G287" s="249"/>
      <c r="H287" s="251">
        <v>4.49</v>
      </c>
      <c r="I287" s="251"/>
      <c r="J287" s="251">
        <v>4.1900000000000004</v>
      </c>
      <c r="K287" s="251"/>
      <c r="L287" s="251">
        <v>0.33999999999999997</v>
      </c>
      <c r="M287" s="251"/>
      <c r="N287" s="251">
        <v>-0.04</v>
      </c>
      <c r="O287" s="251"/>
      <c r="P287" s="651" t="s">
        <v>1359</v>
      </c>
      <c r="Q287" s="251"/>
      <c r="R287" s="652">
        <v>16.399999999999999</v>
      </c>
    </row>
    <row r="288" spans="1:18">
      <c r="A288" s="272"/>
      <c r="B288" s="248"/>
      <c r="C288" s="249"/>
      <c r="D288" s="269" t="s">
        <v>1338</v>
      </c>
      <c r="E288" s="249"/>
      <c r="F288" s="673">
        <v>-7</v>
      </c>
      <c r="G288" s="249"/>
      <c r="H288" s="251">
        <v>4.58</v>
      </c>
      <c r="I288" s="251"/>
      <c r="J288" s="251">
        <v>4.2799999999999994</v>
      </c>
      <c r="K288" s="251"/>
      <c r="L288" s="251">
        <v>0.33999999999999997</v>
      </c>
      <c r="M288" s="251"/>
      <c r="N288" s="251">
        <v>-0.04</v>
      </c>
      <c r="O288" s="251"/>
      <c r="P288" s="651" t="s">
        <v>1359</v>
      </c>
      <c r="Q288" s="251"/>
      <c r="R288" s="652">
        <v>14.7</v>
      </c>
    </row>
    <row r="289" spans="1:19">
      <c r="A289" s="272"/>
      <c r="B289" s="248"/>
      <c r="C289" s="249"/>
      <c r="D289" s="269" t="s">
        <v>1339</v>
      </c>
      <c r="E289" s="249"/>
      <c r="F289" s="673">
        <v>-7</v>
      </c>
      <c r="G289" s="249"/>
      <c r="H289" s="251">
        <v>4.5000000000000009</v>
      </c>
      <c r="I289" s="251"/>
      <c r="J289" s="251">
        <v>4.2</v>
      </c>
      <c r="K289" s="251"/>
      <c r="L289" s="251">
        <v>0.33999999999999997</v>
      </c>
      <c r="M289" s="251"/>
      <c r="N289" s="251">
        <v>-0.04</v>
      </c>
      <c r="O289" s="251"/>
      <c r="P289" s="651" t="s">
        <v>1359</v>
      </c>
      <c r="Q289" s="251"/>
      <c r="R289" s="652">
        <v>14.6</v>
      </c>
    </row>
    <row r="290" spans="1:19">
      <c r="A290" s="272"/>
      <c r="B290" s="248"/>
      <c r="C290" s="249"/>
      <c r="D290" s="269" t="s">
        <v>1340</v>
      </c>
      <c r="E290" s="249"/>
      <c r="F290" s="673">
        <v>-7</v>
      </c>
      <c r="G290" s="249"/>
      <c r="H290" s="251">
        <v>4.5200000000000005</v>
      </c>
      <c r="I290" s="251"/>
      <c r="J290" s="251">
        <v>4.22</v>
      </c>
      <c r="K290" s="251"/>
      <c r="L290" s="251">
        <v>0.33999999999999997</v>
      </c>
      <c r="M290" s="251"/>
      <c r="N290" s="251">
        <v>-0.04</v>
      </c>
      <c r="O290" s="251"/>
      <c r="P290" s="651" t="s">
        <v>1359</v>
      </c>
      <c r="Q290" s="251"/>
      <c r="R290" s="652">
        <v>16.399999999999999</v>
      </c>
      <c r="S290" s="240"/>
    </row>
    <row r="291" spans="1:19">
      <c r="A291" s="272"/>
      <c r="B291" s="248"/>
      <c r="C291" s="249"/>
      <c r="D291" s="269" t="s">
        <v>1341</v>
      </c>
      <c r="E291" s="249"/>
      <c r="F291" s="673">
        <v>-7</v>
      </c>
      <c r="G291" s="249"/>
      <c r="H291" s="251">
        <v>4.57</v>
      </c>
      <c r="I291" s="251"/>
      <c r="J291" s="251">
        <v>4.2700000000000005</v>
      </c>
      <c r="K291" s="251"/>
      <c r="L291" s="251">
        <v>0.33999999999999997</v>
      </c>
      <c r="M291" s="251"/>
      <c r="N291" s="251">
        <v>-0.04</v>
      </c>
      <c r="O291" s="251"/>
      <c r="P291" s="651" t="s">
        <v>1359</v>
      </c>
      <c r="Q291" s="251"/>
      <c r="R291" s="652">
        <v>16.399999999999999</v>
      </c>
      <c r="S291" s="240"/>
    </row>
    <row r="292" spans="1:19">
      <c r="A292" s="272"/>
      <c r="B292" s="248"/>
      <c r="C292" s="249"/>
      <c r="D292" s="269" t="s">
        <v>1342</v>
      </c>
      <c r="E292" s="249"/>
      <c r="F292" s="673">
        <v>-7</v>
      </c>
      <c r="G292" s="249"/>
      <c r="H292" s="251">
        <v>4.4799999999999995</v>
      </c>
      <c r="I292" s="251"/>
      <c r="J292" s="251">
        <v>4.1900000000000004</v>
      </c>
      <c r="K292" s="251"/>
      <c r="L292" s="251">
        <v>0.33</v>
      </c>
      <c r="M292" s="251"/>
      <c r="N292" s="251">
        <v>-0.04</v>
      </c>
      <c r="O292" s="251"/>
      <c r="P292" s="651" t="s">
        <v>1359</v>
      </c>
      <c r="Q292" s="251"/>
      <c r="R292" s="652">
        <v>16.3</v>
      </c>
      <c r="S292" s="240"/>
    </row>
    <row r="293" spans="1:19">
      <c r="A293" s="272"/>
      <c r="B293" s="248"/>
      <c r="C293" s="249"/>
      <c r="D293" s="269" t="s">
        <v>2304</v>
      </c>
      <c r="E293" s="249"/>
      <c r="F293" s="673">
        <v>-12</v>
      </c>
      <c r="G293" s="249"/>
      <c r="H293" s="251">
        <v>3.5699999999999994</v>
      </c>
      <c r="I293" s="251"/>
      <c r="J293" s="251">
        <v>3.19</v>
      </c>
      <c r="K293" s="251"/>
      <c r="L293" s="251">
        <v>0.41000000000000003</v>
      </c>
      <c r="M293" s="251"/>
      <c r="N293" s="251">
        <v>-0.03</v>
      </c>
      <c r="O293" s="251"/>
      <c r="P293" s="651" t="s">
        <v>1359</v>
      </c>
      <c r="Q293" s="251"/>
      <c r="R293" s="652">
        <v>30.9</v>
      </c>
      <c r="S293" s="240"/>
    </row>
    <row r="294" spans="1:19">
      <c r="A294" s="272"/>
      <c r="B294" s="248"/>
      <c r="C294" s="249"/>
      <c r="D294" s="249"/>
      <c r="E294" s="249"/>
      <c r="F294" s="250"/>
      <c r="G294" s="249"/>
      <c r="H294" s="251"/>
      <c r="I294" s="251"/>
      <c r="J294" s="251"/>
      <c r="K294" s="251"/>
      <c r="L294" s="251"/>
      <c r="M294" s="251"/>
      <c r="N294" s="251"/>
      <c r="O294" s="251"/>
      <c r="P294" s="251"/>
      <c r="Q294" s="251"/>
      <c r="R294" s="251"/>
      <c r="S294" s="240"/>
    </row>
    <row r="295" spans="1:19">
      <c r="A295" s="272">
        <v>343</v>
      </c>
      <c r="B295" s="248"/>
      <c r="C295" s="249"/>
      <c r="D295" s="254" t="s">
        <v>1360</v>
      </c>
      <c r="E295" s="249"/>
      <c r="F295" s="278" t="s">
        <v>2333</v>
      </c>
      <c r="G295" s="249"/>
      <c r="H295" s="251">
        <v>4.63</v>
      </c>
      <c r="I295" s="251"/>
      <c r="J295" s="251"/>
      <c r="K295" s="251"/>
      <c r="L295" s="251"/>
      <c r="M295" s="251"/>
      <c r="N295" s="251"/>
      <c r="O295" s="251"/>
      <c r="P295" s="251" t="str">
        <f>P293</f>
        <v>35-R1.5</v>
      </c>
      <c r="Q295" s="251"/>
      <c r="R295" s="251">
        <v>16</v>
      </c>
      <c r="S295" s="240"/>
    </row>
    <row r="296" spans="1:19">
      <c r="A296" s="272"/>
      <c r="B296" s="248"/>
      <c r="C296" s="249"/>
      <c r="D296" s="249"/>
      <c r="E296" s="249"/>
      <c r="F296" s="250"/>
      <c r="G296" s="249"/>
      <c r="H296" s="251"/>
      <c r="I296" s="251"/>
      <c r="J296" s="251"/>
      <c r="K296" s="251"/>
      <c r="L296" s="251"/>
      <c r="M296" s="251"/>
      <c r="N296" s="251"/>
      <c r="O296" s="251"/>
      <c r="P296" s="251"/>
      <c r="Q296" s="251"/>
      <c r="R296" s="251"/>
      <c r="S296" s="240"/>
    </row>
    <row r="297" spans="1:19">
      <c r="A297" s="272"/>
      <c r="B297" s="248">
        <v>344</v>
      </c>
      <c r="C297" s="249"/>
      <c r="D297" s="249" t="s">
        <v>1361</v>
      </c>
      <c r="E297" s="249"/>
      <c r="F297" s="250"/>
      <c r="G297" s="249"/>
      <c r="H297" s="251"/>
      <c r="I297" s="251"/>
      <c r="J297" s="251"/>
      <c r="K297" s="251"/>
      <c r="L297" s="251"/>
      <c r="M297" s="251"/>
      <c r="N297" s="251"/>
      <c r="O297" s="251"/>
      <c r="P297" s="251"/>
      <c r="Q297" s="251"/>
      <c r="R297" s="251"/>
      <c r="S297" s="240"/>
    </row>
    <row r="298" spans="1:19">
      <c r="A298" s="272"/>
      <c r="B298" s="248"/>
      <c r="C298" s="249"/>
      <c r="D298" s="676" t="s">
        <v>1349</v>
      </c>
      <c r="E298" s="249"/>
      <c r="F298" s="673">
        <v>-7</v>
      </c>
      <c r="G298" s="249"/>
      <c r="H298" s="652">
        <v>2.94</v>
      </c>
      <c r="I298" s="251"/>
      <c r="J298" s="652">
        <v>2.74</v>
      </c>
      <c r="K298" s="251"/>
      <c r="L298" s="652">
        <v>0.25</v>
      </c>
      <c r="M298" s="251"/>
      <c r="N298" s="652">
        <v>-0.05</v>
      </c>
      <c r="O298" s="251"/>
      <c r="P298" s="651" t="s">
        <v>2307</v>
      </c>
      <c r="Q298" s="251"/>
      <c r="R298" s="652">
        <v>14.9</v>
      </c>
      <c r="S298" s="258"/>
    </row>
    <row r="299" spans="1:19">
      <c r="A299" s="272"/>
      <c r="B299" s="248"/>
      <c r="C299" s="249"/>
      <c r="D299" s="676" t="s">
        <v>1350</v>
      </c>
      <c r="E299" s="249"/>
      <c r="F299" s="673">
        <v>-7</v>
      </c>
      <c r="G299" s="249"/>
      <c r="H299" s="652">
        <v>5.55</v>
      </c>
      <c r="I299" s="251"/>
      <c r="J299" s="652">
        <v>5.18</v>
      </c>
      <c r="K299" s="251"/>
      <c r="L299" s="652">
        <v>0.47000000000000003</v>
      </c>
      <c r="M299" s="251"/>
      <c r="N299" s="652">
        <v>-0.1</v>
      </c>
      <c r="O299" s="251"/>
      <c r="P299" s="651" t="s">
        <v>2307</v>
      </c>
      <c r="Q299" s="251"/>
      <c r="R299" s="652">
        <v>10.4</v>
      </c>
      <c r="S299" s="258"/>
    </row>
    <row r="300" spans="1:19">
      <c r="A300" s="272"/>
      <c r="B300" s="248"/>
      <c r="C300" s="249"/>
      <c r="D300" s="676" t="s">
        <v>1344</v>
      </c>
      <c r="E300" s="249"/>
      <c r="F300" s="673">
        <v>-7</v>
      </c>
      <c r="G300" s="249"/>
      <c r="H300" s="652">
        <v>3.9799999999999995</v>
      </c>
      <c r="I300" s="251"/>
      <c r="J300" s="652">
        <v>3.7199999999999998</v>
      </c>
      <c r="K300" s="251"/>
      <c r="L300" s="652">
        <v>0.33</v>
      </c>
      <c r="M300" s="251"/>
      <c r="N300" s="652">
        <v>-6.9999999999999993E-2</v>
      </c>
      <c r="O300" s="251"/>
      <c r="P300" s="651" t="s">
        <v>2307</v>
      </c>
      <c r="Q300" s="251"/>
      <c r="R300" s="652">
        <v>15.2</v>
      </c>
      <c r="S300" s="258"/>
    </row>
    <row r="301" spans="1:19">
      <c r="A301" s="272"/>
      <c r="B301" s="248"/>
      <c r="C301" s="249"/>
      <c r="D301" s="676" t="s">
        <v>1345</v>
      </c>
      <c r="E301" s="249"/>
      <c r="F301" s="673">
        <v>-7</v>
      </c>
      <c r="G301" s="249"/>
      <c r="H301" s="652">
        <v>4.0199999999999996</v>
      </c>
      <c r="I301" s="251"/>
      <c r="J301" s="652">
        <v>3.7600000000000002</v>
      </c>
      <c r="K301" s="251"/>
      <c r="L301" s="652">
        <v>0.33999999999999997</v>
      </c>
      <c r="M301" s="251"/>
      <c r="N301" s="652">
        <v>-0.08</v>
      </c>
      <c r="O301" s="251"/>
      <c r="P301" s="651" t="s">
        <v>2307</v>
      </c>
      <c r="Q301" s="251"/>
      <c r="R301" s="652">
        <v>13.3</v>
      </c>
      <c r="S301" s="258"/>
    </row>
    <row r="302" spans="1:19">
      <c r="A302" s="272"/>
      <c r="B302" s="248"/>
      <c r="C302" s="249"/>
      <c r="D302" s="676" t="s">
        <v>1346</v>
      </c>
      <c r="E302" s="249"/>
      <c r="F302" s="673">
        <v>-7</v>
      </c>
      <c r="G302" s="249"/>
      <c r="H302" s="652">
        <v>4.0799999999999992</v>
      </c>
      <c r="I302" s="251"/>
      <c r="J302" s="652">
        <v>3.82</v>
      </c>
      <c r="K302" s="251"/>
      <c r="L302" s="652">
        <v>0.33999999999999997</v>
      </c>
      <c r="M302" s="251"/>
      <c r="N302" s="652">
        <v>-0.08</v>
      </c>
      <c r="O302" s="251"/>
      <c r="P302" s="651" t="s">
        <v>2307</v>
      </c>
      <c r="Q302" s="251"/>
      <c r="R302" s="652">
        <v>13.3</v>
      </c>
      <c r="S302" s="258"/>
    </row>
    <row r="303" spans="1:19">
      <c r="A303" s="272"/>
      <c r="B303" s="248"/>
      <c r="C303" s="249"/>
      <c r="D303" s="676" t="s">
        <v>1347</v>
      </c>
      <c r="E303" s="249"/>
      <c r="F303" s="673">
        <v>-7</v>
      </c>
      <c r="G303" s="249"/>
      <c r="H303" s="652">
        <v>4.04</v>
      </c>
      <c r="I303" s="251"/>
      <c r="J303" s="652">
        <v>3.7800000000000002</v>
      </c>
      <c r="K303" s="251"/>
      <c r="L303" s="652">
        <v>0.33999999999999997</v>
      </c>
      <c r="M303" s="251"/>
      <c r="N303" s="652">
        <v>-0.08</v>
      </c>
      <c r="O303" s="251"/>
      <c r="P303" s="651" t="s">
        <v>2307</v>
      </c>
      <c r="Q303" s="251"/>
      <c r="R303" s="652">
        <v>9.3000000000000007</v>
      </c>
      <c r="S303" s="249"/>
    </row>
    <row r="304" spans="1:19">
      <c r="A304" s="272"/>
      <c r="B304" s="248"/>
      <c r="C304" s="249"/>
      <c r="D304" s="676" t="s">
        <v>1348</v>
      </c>
      <c r="E304" s="249"/>
      <c r="F304" s="673">
        <v>-7</v>
      </c>
      <c r="G304" s="249"/>
      <c r="H304" s="652">
        <v>2.77</v>
      </c>
      <c r="I304" s="251"/>
      <c r="J304" s="652">
        <v>2.59</v>
      </c>
      <c r="K304" s="251"/>
      <c r="L304" s="652">
        <v>0.22999999999999998</v>
      </c>
      <c r="M304" s="251"/>
      <c r="N304" s="652">
        <v>-0.05</v>
      </c>
      <c r="O304" s="251"/>
      <c r="P304" s="651" t="s">
        <v>2307</v>
      </c>
      <c r="Q304" s="251"/>
      <c r="R304" s="652">
        <v>14.8</v>
      </c>
      <c r="S304" s="249"/>
    </row>
    <row r="305" spans="1:19">
      <c r="A305" s="272"/>
      <c r="B305" s="248"/>
      <c r="C305" s="249"/>
      <c r="D305" s="677" t="s">
        <v>2688</v>
      </c>
      <c r="E305" s="249"/>
      <c r="F305" s="673">
        <v>-5</v>
      </c>
      <c r="G305" s="249"/>
      <c r="H305" s="652">
        <v>4.6100000000000003</v>
      </c>
      <c r="I305" s="251"/>
      <c r="J305" s="652">
        <v>4.3900000000000006</v>
      </c>
      <c r="K305" s="251"/>
      <c r="L305" s="652">
        <v>0.26</v>
      </c>
      <c r="M305" s="251"/>
      <c r="N305" s="652">
        <v>-0.04</v>
      </c>
      <c r="O305" s="251"/>
      <c r="P305" s="651" t="s">
        <v>2692</v>
      </c>
      <c r="Q305" s="251"/>
      <c r="R305" s="652">
        <v>30</v>
      </c>
      <c r="S305" s="249"/>
    </row>
    <row r="306" spans="1:19">
      <c r="A306" s="272"/>
      <c r="B306" s="248"/>
      <c r="C306" s="249"/>
      <c r="D306" s="676" t="s">
        <v>1351</v>
      </c>
      <c r="E306" s="249"/>
      <c r="F306" s="673">
        <v>-10</v>
      </c>
      <c r="G306" s="249"/>
      <c r="H306" s="652">
        <v>5.37</v>
      </c>
      <c r="I306" s="251"/>
      <c r="J306" s="652">
        <v>4.88</v>
      </c>
      <c r="K306" s="251"/>
      <c r="L306" s="652">
        <v>0.59</v>
      </c>
      <c r="M306" s="251"/>
      <c r="N306" s="652">
        <v>-0.1</v>
      </c>
      <c r="O306" s="251"/>
      <c r="P306" s="651" t="s">
        <v>2307</v>
      </c>
      <c r="Q306" s="251"/>
      <c r="R306" s="652">
        <v>4.2</v>
      </c>
      <c r="S306" s="249"/>
    </row>
    <row r="307" spans="1:19">
      <c r="A307" s="272"/>
      <c r="B307" s="248"/>
      <c r="C307" s="249"/>
      <c r="D307" s="676" t="s">
        <v>1352</v>
      </c>
      <c r="E307" s="249"/>
      <c r="F307" s="673">
        <v>-6</v>
      </c>
      <c r="G307" s="249"/>
      <c r="H307" s="652">
        <v>4.21</v>
      </c>
      <c r="I307" s="251"/>
      <c r="J307" s="652">
        <v>3.9699999999999998</v>
      </c>
      <c r="K307" s="251"/>
      <c r="L307" s="652">
        <v>0.32</v>
      </c>
      <c r="M307" s="251"/>
      <c r="N307" s="652">
        <v>-0.08</v>
      </c>
      <c r="O307" s="251"/>
      <c r="P307" s="651" t="s">
        <v>2307</v>
      </c>
      <c r="Q307" s="251"/>
      <c r="R307" s="652">
        <v>15.3</v>
      </c>
      <c r="S307" s="249"/>
    </row>
    <row r="308" spans="1:19">
      <c r="A308" s="272"/>
      <c r="B308" s="248"/>
      <c r="C308" s="249"/>
      <c r="D308" s="676" t="s">
        <v>1343</v>
      </c>
      <c r="E308" s="249"/>
      <c r="F308" s="673">
        <v>-7</v>
      </c>
      <c r="G308" s="249"/>
      <c r="H308" s="652">
        <v>3.7600000000000002</v>
      </c>
      <c r="I308" s="251"/>
      <c r="J308" s="652">
        <v>3.51</v>
      </c>
      <c r="K308" s="251"/>
      <c r="L308" s="652">
        <v>0.32</v>
      </c>
      <c r="M308" s="251"/>
      <c r="N308" s="652">
        <v>-6.9999999999999993E-2</v>
      </c>
      <c r="O308" s="251"/>
      <c r="P308" s="651" t="s">
        <v>2307</v>
      </c>
      <c r="Q308" s="251"/>
      <c r="R308" s="652">
        <v>18.2</v>
      </c>
      <c r="S308" s="258"/>
    </row>
    <row r="309" spans="1:19">
      <c r="A309" s="272"/>
      <c r="B309" s="248"/>
      <c r="C309" s="249"/>
      <c r="D309" s="676" t="s">
        <v>1338</v>
      </c>
      <c r="E309" s="249"/>
      <c r="F309" s="673">
        <v>-7</v>
      </c>
      <c r="G309" s="249"/>
      <c r="H309" s="652">
        <v>3.85</v>
      </c>
      <c r="I309" s="251"/>
      <c r="J309" s="652">
        <v>3.5999999999999996</v>
      </c>
      <c r="K309" s="251"/>
      <c r="L309" s="652">
        <v>0.32</v>
      </c>
      <c r="M309" s="251"/>
      <c r="N309" s="652">
        <v>-6.9999999999999993E-2</v>
      </c>
      <c r="O309" s="251"/>
      <c r="P309" s="651" t="s">
        <v>2307</v>
      </c>
      <c r="Q309" s="251"/>
      <c r="R309" s="652">
        <v>16.2</v>
      </c>
      <c r="S309" s="258"/>
    </row>
    <row r="310" spans="1:19">
      <c r="A310" s="272"/>
      <c r="B310" s="248"/>
      <c r="C310" s="249"/>
      <c r="D310" s="676" t="s">
        <v>1339</v>
      </c>
      <c r="E310" s="249"/>
      <c r="F310" s="673">
        <v>-7</v>
      </c>
      <c r="G310" s="249"/>
      <c r="H310" s="652">
        <v>3.85</v>
      </c>
      <c r="I310" s="251"/>
      <c r="J310" s="652">
        <v>3.5999999999999996</v>
      </c>
      <c r="K310" s="251"/>
      <c r="L310" s="652">
        <v>0.32</v>
      </c>
      <c r="M310" s="251"/>
      <c r="N310" s="652">
        <v>-6.9999999999999993E-2</v>
      </c>
      <c r="O310" s="251"/>
      <c r="P310" s="651" t="s">
        <v>2307</v>
      </c>
      <c r="Q310" s="251"/>
      <c r="R310" s="652">
        <v>16.2</v>
      </c>
      <c r="S310" s="258"/>
    </row>
    <row r="311" spans="1:19">
      <c r="A311" s="272"/>
      <c r="B311" s="248"/>
      <c r="C311" s="249"/>
      <c r="D311" s="676" t="s">
        <v>1340</v>
      </c>
      <c r="E311" s="249"/>
      <c r="F311" s="673">
        <v>-7</v>
      </c>
      <c r="G311" s="249"/>
      <c r="H311" s="652">
        <v>3.7500000000000004</v>
      </c>
      <c r="I311" s="251"/>
      <c r="J311" s="652">
        <v>3.5000000000000004</v>
      </c>
      <c r="K311" s="251"/>
      <c r="L311" s="652">
        <v>0.32</v>
      </c>
      <c r="M311" s="251"/>
      <c r="N311" s="652">
        <v>-6.9999999999999993E-2</v>
      </c>
      <c r="O311" s="251"/>
      <c r="P311" s="651" t="s">
        <v>2307</v>
      </c>
      <c r="Q311" s="251"/>
      <c r="R311" s="652">
        <v>18.2</v>
      </c>
      <c r="S311" s="258"/>
    </row>
    <row r="312" spans="1:19" s="293" customFormat="1">
      <c r="A312" s="272"/>
      <c r="B312" s="248"/>
      <c r="C312" s="239"/>
      <c r="D312" s="676" t="s">
        <v>1341</v>
      </c>
      <c r="E312" s="239"/>
      <c r="F312" s="673">
        <v>-7</v>
      </c>
      <c r="G312" s="239"/>
      <c r="H312" s="652">
        <v>3.7500000000000004</v>
      </c>
      <c r="I312" s="251"/>
      <c r="J312" s="652">
        <v>3.5000000000000004</v>
      </c>
      <c r="K312" s="251"/>
      <c r="L312" s="652">
        <v>0.32</v>
      </c>
      <c r="M312" s="251"/>
      <c r="N312" s="652">
        <v>-6.9999999999999993E-2</v>
      </c>
      <c r="O312" s="251"/>
      <c r="P312" s="651" t="s">
        <v>2307</v>
      </c>
      <c r="Q312" s="251"/>
      <c r="R312" s="652">
        <v>18.2</v>
      </c>
      <c r="S312" s="297"/>
    </row>
    <row r="313" spans="1:19" s="293" customFormat="1">
      <c r="A313" s="272"/>
      <c r="B313" s="248"/>
      <c r="C313" s="249"/>
      <c r="D313" s="676" t="s">
        <v>1342</v>
      </c>
      <c r="E313" s="249"/>
      <c r="F313" s="673">
        <v>-7</v>
      </c>
      <c r="G313" s="249"/>
      <c r="H313" s="652">
        <v>3.7600000000000002</v>
      </c>
      <c r="I313" s="251"/>
      <c r="J313" s="652">
        <v>3.51</v>
      </c>
      <c r="K313" s="251"/>
      <c r="L313" s="652">
        <v>0.32</v>
      </c>
      <c r="M313" s="251"/>
      <c r="N313" s="652">
        <v>-6.9999999999999993E-2</v>
      </c>
      <c r="O313" s="251"/>
      <c r="P313" s="651" t="s">
        <v>2307</v>
      </c>
      <c r="Q313" s="251"/>
      <c r="R313" s="652">
        <v>18.2</v>
      </c>
      <c r="S313" s="297"/>
    </row>
    <row r="314" spans="1:19" s="293" customFormat="1">
      <c r="A314" s="272"/>
      <c r="B314" s="248"/>
      <c r="C314" s="249"/>
      <c r="D314" s="678" t="s">
        <v>2304</v>
      </c>
      <c r="E314" s="249"/>
      <c r="F314" s="673">
        <v>-12</v>
      </c>
      <c r="G314" s="249"/>
      <c r="H314" s="652">
        <v>2.8899999999999997</v>
      </c>
      <c r="I314" s="251"/>
      <c r="J314" s="652">
        <v>2.58</v>
      </c>
      <c r="K314" s="251"/>
      <c r="L314" s="652">
        <v>0.36</v>
      </c>
      <c r="M314" s="251"/>
      <c r="N314" s="652">
        <v>-0.05</v>
      </c>
      <c r="O314" s="251"/>
      <c r="P314" s="651" t="s">
        <v>2307</v>
      </c>
      <c r="Q314" s="251"/>
      <c r="R314" s="652">
        <v>38.200000000000003</v>
      </c>
      <c r="S314" s="297"/>
    </row>
    <row r="315" spans="1:19" s="293" customFormat="1">
      <c r="A315" s="272"/>
      <c r="B315" s="248"/>
      <c r="C315" s="249"/>
      <c r="D315" s="249"/>
      <c r="E315" s="249"/>
      <c r="F315" s="250"/>
      <c r="G315" s="249"/>
      <c r="H315" s="251"/>
      <c r="I315" s="251"/>
      <c r="J315" s="251"/>
      <c r="K315" s="251"/>
      <c r="L315" s="251"/>
      <c r="M315" s="251"/>
      <c r="N315" s="251"/>
      <c r="O315" s="251"/>
      <c r="P315" s="251"/>
      <c r="Q315" s="251"/>
      <c r="R315" s="251"/>
      <c r="S315" s="297"/>
    </row>
    <row r="316" spans="1:19" s="293" customFormat="1">
      <c r="A316" s="272">
        <v>344</v>
      </c>
      <c r="B316" s="248"/>
      <c r="C316" s="249"/>
      <c r="D316" s="254" t="s">
        <v>1362</v>
      </c>
      <c r="E316" s="249"/>
      <c r="F316" s="278" t="s">
        <v>2690</v>
      </c>
      <c r="G316" s="249"/>
      <c r="H316" s="251">
        <v>3.26</v>
      </c>
      <c r="I316" s="251"/>
      <c r="J316" s="251"/>
      <c r="K316" s="251"/>
      <c r="L316" s="251"/>
      <c r="M316" s="251"/>
      <c r="N316" s="251"/>
      <c r="O316" s="251"/>
      <c r="P316" s="251" t="str">
        <f>P314</f>
        <v>55-S2.5</v>
      </c>
      <c r="Q316" s="251"/>
      <c r="R316" s="251">
        <v>28</v>
      </c>
      <c r="S316" s="297"/>
    </row>
    <row r="317" spans="1:19" s="293" customFormat="1">
      <c r="A317" s="272"/>
      <c r="B317" s="248"/>
      <c r="C317" s="249"/>
      <c r="D317" s="249"/>
      <c r="E317" s="249"/>
      <c r="F317" s="250"/>
      <c r="G317" s="249"/>
      <c r="H317" s="251"/>
      <c r="I317" s="251"/>
      <c r="J317" s="251"/>
      <c r="K317" s="251"/>
      <c r="L317" s="251"/>
      <c r="M317" s="251"/>
      <c r="N317" s="251"/>
      <c r="O317" s="251"/>
      <c r="P317" s="251"/>
      <c r="Q317" s="251"/>
      <c r="R317" s="251"/>
      <c r="S317" s="294"/>
    </row>
    <row r="318" spans="1:19" s="293" customFormat="1">
      <c r="A318" s="272"/>
      <c r="B318" s="248">
        <v>345</v>
      </c>
      <c r="C318" s="249"/>
      <c r="D318" s="249" t="s">
        <v>1363</v>
      </c>
      <c r="E318" s="249"/>
      <c r="F318" s="250"/>
      <c r="G318" s="249"/>
      <c r="H318" s="251"/>
      <c r="I318" s="251"/>
      <c r="J318" s="251"/>
      <c r="K318" s="251"/>
      <c r="L318" s="251"/>
      <c r="M318" s="251"/>
      <c r="N318" s="251"/>
      <c r="O318" s="251"/>
      <c r="P318" s="251"/>
      <c r="Q318" s="251"/>
      <c r="R318" s="251"/>
      <c r="S318" s="297"/>
    </row>
    <row r="319" spans="1:19" s="293" customFormat="1">
      <c r="A319" s="272"/>
      <c r="B319" s="248"/>
      <c r="C319" s="249"/>
      <c r="D319" s="676" t="s">
        <v>1349</v>
      </c>
      <c r="E319" s="249"/>
      <c r="F319" s="673">
        <v>-7</v>
      </c>
      <c r="G319" s="249"/>
      <c r="H319" s="652">
        <v>3.7700000000000005</v>
      </c>
      <c r="I319" s="251"/>
      <c r="J319" s="652">
        <v>3.52</v>
      </c>
      <c r="K319" s="251"/>
      <c r="L319" s="652">
        <v>0.25</v>
      </c>
      <c r="M319" s="251"/>
      <c r="N319" s="251">
        <v>0</v>
      </c>
      <c r="O319" s="251"/>
      <c r="P319" s="651" t="s">
        <v>2308</v>
      </c>
      <c r="Q319" s="251"/>
      <c r="R319" s="652">
        <v>14.8</v>
      </c>
      <c r="S319" s="297"/>
    </row>
    <row r="320" spans="1:19">
      <c r="A320" s="272"/>
      <c r="B320" s="248"/>
      <c r="C320" s="249"/>
      <c r="D320" s="676" t="s">
        <v>1350</v>
      </c>
      <c r="E320" s="249"/>
      <c r="F320" s="673">
        <v>-7</v>
      </c>
      <c r="G320" s="249"/>
      <c r="H320" s="652">
        <v>4.92</v>
      </c>
      <c r="I320" s="251"/>
      <c r="J320" s="652">
        <v>4.5999999999999996</v>
      </c>
      <c r="K320" s="251"/>
      <c r="L320" s="652">
        <v>0.32</v>
      </c>
      <c r="M320" s="251"/>
      <c r="N320" s="251">
        <v>0</v>
      </c>
      <c r="O320" s="251"/>
      <c r="P320" s="651" t="s">
        <v>2308</v>
      </c>
      <c r="Q320" s="251"/>
      <c r="R320" s="652">
        <v>10.3</v>
      </c>
      <c r="S320" s="258"/>
    </row>
    <row r="321" spans="1:19">
      <c r="A321" s="272"/>
      <c r="B321" s="248"/>
      <c r="C321" s="249"/>
      <c r="D321" s="676" t="s">
        <v>1344</v>
      </c>
      <c r="E321" s="249"/>
      <c r="F321" s="673">
        <v>-7</v>
      </c>
      <c r="G321" s="249"/>
      <c r="H321" s="652">
        <v>4.2299999999999995</v>
      </c>
      <c r="I321" s="251"/>
      <c r="J321" s="652">
        <v>3.95</v>
      </c>
      <c r="K321" s="251"/>
      <c r="L321" s="652">
        <v>0.27999999999999997</v>
      </c>
      <c r="M321" s="251"/>
      <c r="N321" s="251">
        <v>0</v>
      </c>
      <c r="O321" s="251"/>
      <c r="P321" s="651" t="s">
        <v>2308</v>
      </c>
      <c r="Q321" s="251"/>
      <c r="R321" s="652">
        <v>15</v>
      </c>
      <c r="S321" s="258"/>
    </row>
    <row r="322" spans="1:19">
      <c r="A322" s="272"/>
      <c r="B322" s="248"/>
      <c r="C322" s="249"/>
      <c r="D322" s="676" t="s">
        <v>1345</v>
      </c>
      <c r="E322" s="249"/>
      <c r="F322" s="673">
        <v>-7</v>
      </c>
      <c r="G322" s="249"/>
      <c r="H322" s="652">
        <v>4.4400000000000004</v>
      </c>
      <c r="I322" s="251"/>
      <c r="J322" s="652">
        <v>4.1500000000000004</v>
      </c>
      <c r="K322" s="251"/>
      <c r="L322" s="652">
        <v>0.28999999999999998</v>
      </c>
      <c r="M322" s="251"/>
      <c r="N322" s="251">
        <v>0</v>
      </c>
      <c r="O322" s="251"/>
      <c r="P322" s="651" t="s">
        <v>2308</v>
      </c>
      <c r="Q322" s="251"/>
      <c r="R322" s="652">
        <v>13.1</v>
      </c>
      <c r="S322" s="258"/>
    </row>
    <row r="323" spans="1:19">
      <c r="A323" s="272"/>
      <c r="B323" s="248"/>
      <c r="C323" s="249"/>
      <c r="D323" s="676" t="s">
        <v>1346</v>
      </c>
      <c r="E323" s="249"/>
      <c r="F323" s="673">
        <v>-7</v>
      </c>
      <c r="G323" s="249"/>
      <c r="H323" s="652">
        <v>4.45</v>
      </c>
      <c r="I323" s="251"/>
      <c r="J323" s="652">
        <v>4.16</v>
      </c>
      <c r="K323" s="251"/>
      <c r="L323" s="652">
        <v>0.28999999999999998</v>
      </c>
      <c r="M323" s="251"/>
      <c r="N323" s="251">
        <v>0</v>
      </c>
      <c r="O323" s="251"/>
      <c r="P323" s="651" t="s">
        <v>2308</v>
      </c>
      <c r="Q323" s="251"/>
      <c r="R323" s="652">
        <v>13.1</v>
      </c>
      <c r="S323" s="249"/>
    </row>
    <row r="324" spans="1:19">
      <c r="A324" s="272"/>
      <c r="B324" s="248"/>
      <c r="C324" s="249"/>
      <c r="D324" s="676" t="s">
        <v>1347</v>
      </c>
      <c r="E324" s="249"/>
      <c r="F324" s="673">
        <v>-7</v>
      </c>
      <c r="G324" s="249"/>
      <c r="H324" s="652">
        <v>5.84</v>
      </c>
      <c r="I324" s="251"/>
      <c r="J324" s="652">
        <v>5.46</v>
      </c>
      <c r="K324" s="251"/>
      <c r="L324" s="652">
        <v>0.38</v>
      </c>
      <c r="M324" s="251"/>
      <c r="N324" s="251">
        <v>0</v>
      </c>
      <c r="O324" s="251"/>
      <c r="P324" s="651" t="s">
        <v>2308</v>
      </c>
      <c r="Q324" s="251"/>
      <c r="R324" s="652">
        <v>9.3000000000000007</v>
      </c>
      <c r="S324" s="249"/>
    </row>
    <row r="325" spans="1:19">
      <c r="A325" s="272"/>
      <c r="B325" s="248"/>
      <c r="C325" s="249"/>
      <c r="D325" s="676" t="s">
        <v>1348</v>
      </c>
      <c r="E325" s="249"/>
      <c r="F325" s="673">
        <v>-7</v>
      </c>
      <c r="G325" s="249"/>
      <c r="H325" s="652">
        <v>3.64</v>
      </c>
      <c r="I325" s="251"/>
      <c r="J325" s="652">
        <v>3.4000000000000004</v>
      </c>
      <c r="K325" s="251"/>
      <c r="L325" s="652">
        <v>0.24</v>
      </c>
      <c r="M325" s="251"/>
      <c r="N325" s="251">
        <v>0</v>
      </c>
      <c r="O325" s="251"/>
      <c r="P325" s="651" t="s">
        <v>2308</v>
      </c>
      <c r="Q325" s="251"/>
      <c r="R325" s="652">
        <v>14.8</v>
      </c>
      <c r="S325" s="249"/>
    </row>
    <row r="326" spans="1:19">
      <c r="A326" s="272"/>
      <c r="B326" s="248"/>
      <c r="C326" s="249"/>
      <c r="D326" s="677" t="s">
        <v>2688</v>
      </c>
      <c r="E326" s="249"/>
      <c r="F326" s="673">
        <v>-5</v>
      </c>
      <c r="G326" s="249"/>
      <c r="H326" s="652">
        <v>4.3600000000000003</v>
      </c>
      <c r="I326" s="251"/>
      <c r="J326" s="652">
        <v>4.1500000000000004</v>
      </c>
      <c r="K326" s="251"/>
      <c r="L326" s="652">
        <v>0.21</v>
      </c>
      <c r="M326" s="251"/>
      <c r="N326" s="251">
        <v>0</v>
      </c>
      <c r="O326" s="251"/>
      <c r="P326" s="651" t="s">
        <v>1355</v>
      </c>
      <c r="Q326" s="251"/>
      <c r="R326" s="652">
        <v>45</v>
      </c>
      <c r="S326" s="249"/>
    </row>
    <row r="327" spans="1:19">
      <c r="A327" s="272"/>
      <c r="B327" s="248"/>
      <c r="C327" s="249"/>
      <c r="D327" s="676" t="s">
        <v>1351</v>
      </c>
      <c r="E327" s="249"/>
      <c r="F327" s="673">
        <v>-10</v>
      </c>
      <c r="G327" s="249"/>
      <c r="H327" s="652">
        <v>22.160000000000004</v>
      </c>
      <c r="I327" s="251"/>
      <c r="J327" s="652">
        <v>20.150000000000002</v>
      </c>
      <c r="K327" s="251"/>
      <c r="L327" s="652">
        <v>2.0099999999999998</v>
      </c>
      <c r="M327" s="251"/>
      <c r="N327" s="251">
        <v>0</v>
      </c>
      <c r="O327" s="251"/>
      <c r="P327" s="651" t="s">
        <v>2308</v>
      </c>
      <c r="Q327" s="251"/>
      <c r="R327" s="652">
        <v>4.4000000000000004</v>
      </c>
      <c r="S327" s="249"/>
    </row>
    <row r="328" spans="1:19">
      <c r="A328" s="272"/>
      <c r="B328" s="248"/>
      <c r="C328" s="249"/>
      <c r="D328" s="676" t="s">
        <v>1352</v>
      </c>
      <c r="E328" s="249"/>
      <c r="F328" s="673">
        <v>-6</v>
      </c>
      <c r="G328" s="249"/>
      <c r="H328" s="652">
        <v>4.01</v>
      </c>
      <c r="I328" s="251"/>
      <c r="J328" s="652">
        <v>3.7800000000000002</v>
      </c>
      <c r="K328" s="251"/>
      <c r="L328" s="652">
        <v>0.22999999999999998</v>
      </c>
      <c r="M328" s="251"/>
      <c r="N328" s="251">
        <v>0</v>
      </c>
      <c r="O328" s="251"/>
      <c r="P328" s="651" t="s">
        <v>2308</v>
      </c>
      <c r="Q328" s="251"/>
      <c r="R328" s="652">
        <v>15</v>
      </c>
      <c r="S328" s="249"/>
    </row>
    <row r="329" spans="1:19">
      <c r="A329" s="272"/>
      <c r="B329" s="248"/>
      <c r="C329" s="249"/>
      <c r="D329" s="676" t="s">
        <v>1343</v>
      </c>
      <c r="E329" s="249"/>
      <c r="F329" s="673">
        <v>-7</v>
      </c>
      <c r="G329" s="249"/>
      <c r="H329" s="652">
        <v>4.04</v>
      </c>
      <c r="I329" s="251"/>
      <c r="J329" s="652">
        <v>3.7800000000000002</v>
      </c>
      <c r="K329" s="251"/>
      <c r="L329" s="652">
        <v>0.26</v>
      </c>
      <c r="M329" s="251"/>
      <c r="N329" s="251">
        <v>0</v>
      </c>
      <c r="O329" s="251"/>
      <c r="P329" s="651" t="s">
        <v>2308</v>
      </c>
      <c r="Q329" s="251"/>
      <c r="R329" s="652">
        <v>17.899999999999999</v>
      </c>
      <c r="S329" s="249"/>
    </row>
    <row r="330" spans="1:19">
      <c r="A330" s="272"/>
      <c r="B330" s="248"/>
      <c r="C330" s="249"/>
      <c r="D330" s="676" t="s">
        <v>1338</v>
      </c>
      <c r="E330" s="249"/>
      <c r="F330" s="673">
        <v>-7</v>
      </c>
      <c r="G330" s="249"/>
      <c r="H330" s="652">
        <v>4.1800000000000006</v>
      </c>
      <c r="I330" s="251"/>
      <c r="J330" s="652">
        <v>3.91</v>
      </c>
      <c r="K330" s="251"/>
      <c r="L330" s="652">
        <v>0.27</v>
      </c>
      <c r="M330" s="251"/>
      <c r="N330" s="251">
        <v>0</v>
      </c>
      <c r="O330" s="251"/>
      <c r="P330" s="651" t="s">
        <v>2308</v>
      </c>
      <c r="Q330" s="251"/>
      <c r="R330" s="652">
        <v>16.100000000000001</v>
      </c>
      <c r="S330" s="249"/>
    </row>
    <row r="331" spans="1:19">
      <c r="A331" s="272"/>
      <c r="B331" s="248"/>
      <c r="C331" s="249"/>
      <c r="D331" s="676" t="s">
        <v>1339</v>
      </c>
      <c r="E331" s="249"/>
      <c r="F331" s="673">
        <v>-7</v>
      </c>
      <c r="G331" s="249"/>
      <c r="H331" s="652">
        <v>4.25</v>
      </c>
      <c r="I331" s="251"/>
      <c r="J331" s="652">
        <v>3.9699999999999998</v>
      </c>
      <c r="K331" s="251"/>
      <c r="L331" s="652">
        <v>0.27999999999999997</v>
      </c>
      <c r="M331" s="251"/>
      <c r="N331" s="251">
        <v>0</v>
      </c>
      <c r="O331" s="251"/>
      <c r="P331" s="651" t="s">
        <v>2308</v>
      </c>
      <c r="Q331" s="251"/>
      <c r="R331" s="652">
        <v>16</v>
      </c>
      <c r="S331" s="249"/>
    </row>
    <row r="332" spans="1:19">
      <c r="A332" s="272"/>
      <c r="B332" s="248"/>
      <c r="C332" s="249"/>
      <c r="D332" s="676" t="s">
        <v>1340</v>
      </c>
      <c r="E332" s="249"/>
      <c r="F332" s="673">
        <v>-7</v>
      </c>
      <c r="G332" s="249"/>
      <c r="H332" s="652">
        <v>4.1300000000000008</v>
      </c>
      <c r="I332" s="251"/>
      <c r="J332" s="652">
        <v>3.8600000000000003</v>
      </c>
      <c r="K332" s="251"/>
      <c r="L332" s="652">
        <v>0.27</v>
      </c>
      <c r="M332" s="251"/>
      <c r="N332" s="251">
        <v>0</v>
      </c>
      <c r="O332" s="251"/>
      <c r="P332" s="651" t="s">
        <v>2308</v>
      </c>
      <c r="Q332" s="251"/>
      <c r="R332" s="652">
        <v>18</v>
      </c>
      <c r="S332" s="249"/>
    </row>
    <row r="333" spans="1:19">
      <c r="A333" s="272"/>
      <c r="B333" s="248"/>
      <c r="C333" s="249"/>
      <c r="D333" s="676" t="s">
        <v>1341</v>
      </c>
      <c r="E333" s="249"/>
      <c r="F333" s="673">
        <v>-7</v>
      </c>
      <c r="G333" s="249"/>
      <c r="H333" s="652">
        <v>3.7900000000000005</v>
      </c>
      <c r="I333" s="251"/>
      <c r="J333" s="652">
        <v>3.54</v>
      </c>
      <c r="K333" s="251"/>
      <c r="L333" s="652">
        <v>0.25</v>
      </c>
      <c r="M333" s="251"/>
      <c r="N333" s="251">
        <v>0</v>
      </c>
      <c r="O333" s="251"/>
      <c r="P333" s="651" t="s">
        <v>2308</v>
      </c>
      <c r="Q333" s="251"/>
      <c r="R333" s="652">
        <v>17.899999999999999</v>
      </c>
      <c r="S333" s="249"/>
    </row>
    <row r="334" spans="1:19">
      <c r="A334" s="272"/>
      <c r="B334" s="248"/>
      <c r="C334" s="249"/>
      <c r="D334" s="676" t="s">
        <v>1342</v>
      </c>
      <c r="E334" s="249"/>
      <c r="F334" s="673">
        <v>-7</v>
      </c>
      <c r="G334" s="249"/>
      <c r="H334" s="652">
        <v>3.9099999999999997</v>
      </c>
      <c r="I334" s="251"/>
      <c r="J334" s="652">
        <v>3.65</v>
      </c>
      <c r="K334" s="251"/>
      <c r="L334" s="652">
        <v>0.26</v>
      </c>
      <c r="M334" s="251"/>
      <c r="N334" s="251">
        <v>0</v>
      </c>
      <c r="O334" s="251"/>
      <c r="P334" s="651" t="s">
        <v>2308</v>
      </c>
      <c r="Q334" s="251"/>
      <c r="R334" s="652">
        <v>18</v>
      </c>
      <c r="S334" s="249"/>
    </row>
    <row r="335" spans="1:19">
      <c r="A335" s="272"/>
      <c r="B335" s="248"/>
      <c r="C335" s="249"/>
      <c r="D335" s="678" t="s">
        <v>2304</v>
      </c>
      <c r="E335" s="249"/>
      <c r="F335" s="673">
        <v>-12</v>
      </c>
      <c r="G335" s="249"/>
      <c r="H335" s="652">
        <v>2.96</v>
      </c>
      <c r="I335" s="251"/>
      <c r="J335" s="652">
        <v>2.64</v>
      </c>
      <c r="K335" s="251"/>
      <c r="L335" s="652">
        <v>0.32</v>
      </c>
      <c r="M335" s="251"/>
      <c r="N335" s="251">
        <v>0</v>
      </c>
      <c r="O335" s="251"/>
      <c r="P335" s="651" t="s">
        <v>2308</v>
      </c>
      <c r="Q335" s="251"/>
      <c r="R335" s="652">
        <v>37.299999999999997</v>
      </c>
      <c r="S335" s="249"/>
    </row>
    <row r="336" spans="1:19">
      <c r="A336" s="272"/>
      <c r="B336" s="248"/>
      <c r="C336" s="249"/>
      <c r="D336" s="249"/>
      <c r="E336" s="249"/>
      <c r="F336" s="250"/>
      <c r="G336" s="249"/>
      <c r="H336" s="251"/>
      <c r="I336" s="251"/>
      <c r="J336" s="251"/>
      <c r="K336" s="251"/>
      <c r="L336" s="251"/>
      <c r="M336" s="251"/>
      <c r="N336" s="251"/>
      <c r="O336" s="251"/>
      <c r="P336" s="251"/>
      <c r="Q336" s="251"/>
      <c r="R336" s="251"/>
      <c r="S336" s="240"/>
    </row>
    <row r="337" spans="1:19">
      <c r="A337" s="272">
        <v>345</v>
      </c>
      <c r="B337" s="248"/>
      <c r="C337" s="249"/>
      <c r="D337" s="254" t="s">
        <v>1364</v>
      </c>
      <c r="E337" s="249"/>
      <c r="F337" s="278" t="str">
        <f>F316</f>
        <v>-5%,-6%,-7%,-10%,-12%</v>
      </c>
      <c r="G337" s="249"/>
      <c r="H337" s="251">
        <v>3.96</v>
      </c>
      <c r="I337" s="251"/>
      <c r="J337" s="251"/>
      <c r="K337" s="251"/>
      <c r="L337" s="251"/>
      <c r="M337" s="251"/>
      <c r="N337" s="251"/>
      <c r="O337" s="251"/>
      <c r="P337" s="251" t="str">
        <f>P335</f>
        <v>50-R3</v>
      </c>
      <c r="Q337" s="251"/>
      <c r="R337" s="251">
        <v>20.399999999999999</v>
      </c>
      <c r="S337" s="240"/>
    </row>
    <row r="338" spans="1:19">
      <c r="A338" s="272"/>
      <c r="B338" s="248"/>
      <c r="C338" s="249"/>
      <c r="D338" s="249"/>
      <c r="E338" s="249"/>
      <c r="F338" s="250"/>
      <c r="G338" s="249"/>
      <c r="H338" s="251"/>
      <c r="I338" s="251"/>
      <c r="J338" s="251"/>
      <c r="K338" s="251"/>
      <c r="L338" s="251"/>
      <c r="M338" s="251"/>
      <c r="N338" s="251"/>
      <c r="O338" s="251"/>
      <c r="P338" s="251"/>
      <c r="Q338" s="251"/>
      <c r="R338" s="251"/>
      <c r="S338" s="240"/>
    </row>
    <row r="339" spans="1:19">
      <c r="A339" s="272"/>
      <c r="B339" s="248">
        <v>346</v>
      </c>
      <c r="C339" s="249"/>
      <c r="D339" s="249" t="s">
        <v>1365</v>
      </c>
      <c r="E339" s="249"/>
      <c r="F339" s="250"/>
      <c r="G339" s="249"/>
      <c r="H339" s="251"/>
      <c r="I339" s="251"/>
      <c r="J339" s="251"/>
      <c r="K339" s="251"/>
      <c r="L339" s="251"/>
      <c r="M339" s="251"/>
      <c r="N339" s="251"/>
      <c r="O339" s="251"/>
      <c r="P339" s="251"/>
      <c r="Q339" s="251"/>
      <c r="R339" s="251"/>
      <c r="S339" s="240"/>
    </row>
    <row r="340" spans="1:19">
      <c r="A340" s="272"/>
      <c r="B340" s="248"/>
      <c r="C340" s="249"/>
      <c r="D340" s="676" t="s">
        <v>1349</v>
      </c>
      <c r="E340" s="249"/>
      <c r="F340" s="673">
        <v>-7</v>
      </c>
      <c r="G340" s="249"/>
      <c r="H340" s="652">
        <v>3.26</v>
      </c>
      <c r="I340" s="251"/>
      <c r="J340" s="652">
        <v>3.05</v>
      </c>
      <c r="K340" s="251"/>
      <c r="L340" s="652">
        <v>0.21</v>
      </c>
      <c r="M340" s="251"/>
      <c r="N340" s="251">
        <v>0</v>
      </c>
      <c r="O340" s="251"/>
      <c r="P340" s="651" t="s">
        <v>2309</v>
      </c>
      <c r="Q340" s="251"/>
      <c r="R340" s="652">
        <v>13.8</v>
      </c>
      <c r="S340" s="240"/>
    </row>
    <row r="341" spans="1:19">
      <c r="A341" s="272"/>
      <c r="B341" s="248"/>
      <c r="C341" s="249"/>
      <c r="D341" s="676" t="s">
        <v>1350</v>
      </c>
      <c r="E341" s="249"/>
      <c r="F341" s="673">
        <v>-7</v>
      </c>
      <c r="G341" s="249"/>
      <c r="H341" s="652">
        <v>5.2200000000000006</v>
      </c>
      <c r="I341" s="251"/>
      <c r="J341" s="652">
        <v>4.88</v>
      </c>
      <c r="K341" s="251"/>
      <c r="L341" s="652">
        <v>0.33999999999999997</v>
      </c>
      <c r="M341" s="251"/>
      <c r="N341" s="251">
        <v>0</v>
      </c>
      <c r="O341" s="251"/>
      <c r="P341" s="651" t="s">
        <v>2309</v>
      </c>
      <c r="Q341" s="251"/>
      <c r="R341" s="652">
        <v>10</v>
      </c>
      <c r="S341" s="240"/>
    </row>
    <row r="342" spans="1:19">
      <c r="A342" s="272"/>
      <c r="B342" s="248"/>
      <c r="C342" s="249"/>
      <c r="D342" s="676" t="s">
        <v>1344</v>
      </c>
      <c r="E342" s="249"/>
      <c r="F342" s="673">
        <v>-7</v>
      </c>
      <c r="G342" s="249"/>
      <c r="H342" s="652">
        <v>4.01</v>
      </c>
      <c r="I342" s="251"/>
      <c r="J342" s="652">
        <v>3.75</v>
      </c>
      <c r="K342" s="251"/>
      <c r="L342" s="652">
        <v>0.26</v>
      </c>
      <c r="M342" s="251"/>
      <c r="N342" s="251">
        <v>0</v>
      </c>
      <c r="O342" s="251"/>
      <c r="P342" s="651" t="s">
        <v>2309</v>
      </c>
      <c r="Q342" s="251"/>
      <c r="R342" s="652">
        <v>14.2</v>
      </c>
      <c r="S342" s="240"/>
    </row>
    <row r="343" spans="1:19">
      <c r="A343" s="272"/>
      <c r="B343" s="248"/>
      <c r="C343" s="249"/>
      <c r="D343" s="676" t="s">
        <v>1345</v>
      </c>
      <c r="E343" s="249"/>
      <c r="F343" s="673">
        <v>-7</v>
      </c>
      <c r="G343" s="249"/>
      <c r="H343" s="652">
        <v>6.22</v>
      </c>
      <c r="I343" s="251"/>
      <c r="J343" s="652">
        <v>5.81</v>
      </c>
      <c r="K343" s="251"/>
      <c r="L343" s="652">
        <v>0.41000000000000003</v>
      </c>
      <c r="M343" s="251"/>
      <c r="N343" s="251">
        <v>0</v>
      </c>
      <c r="O343" s="251"/>
      <c r="P343" s="651" t="s">
        <v>2309</v>
      </c>
      <c r="Q343" s="251"/>
      <c r="R343" s="652">
        <v>13</v>
      </c>
      <c r="S343" s="240"/>
    </row>
    <row r="344" spans="1:19">
      <c r="A344" s="272"/>
      <c r="B344" s="248"/>
      <c r="C344" s="249"/>
      <c r="D344" s="676" t="s">
        <v>1346</v>
      </c>
      <c r="E344" s="249"/>
      <c r="F344" s="673">
        <v>-7</v>
      </c>
      <c r="G344" s="249"/>
      <c r="H344" s="652">
        <v>6.2399999999999993</v>
      </c>
      <c r="I344" s="251"/>
      <c r="J344" s="652">
        <v>5.83</v>
      </c>
      <c r="K344" s="251"/>
      <c r="L344" s="652">
        <v>0.41000000000000003</v>
      </c>
      <c r="M344" s="251"/>
      <c r="N344" s="251">
        <v>0</v>
      </c>
      <c r="O344" s="251"/>
      <c r="P344" s="651" t="s">
        <v>2309</v>
      </c>
      <c r="Q344" s="251"/>
      <c r="R344" s="652">
        <v>13</v>
      </c>
      <c r="S344" s="240"/>
    </row>
    <row r="345" spans="1:19">
      <c r="A345" s="272"/>
      <c r="B345" s="248"/>
      <c r="C345" s="249"/>
      <c r="D345" s="676" t="s">
        <v>1347</v>
      </c>
      <c r="E345" s="249"/>
      <c r="F345" s="673">
        <v>-7</v>
      </c>
      <c r="G345" s="249"/>
      <c r="H345" s="652">
        <v>4.9799999999999995</v>
      </c>
      <c r="I345" s="251"/>
      <c r="J345" s="652">
        <v>4.6500000000000004</v>
      </c>
      <c r="K345" s="251"/>
      <c r="L345" s="652">
        <v>0.33</v>
      </c>
      <c r="M345" s="251"/>
      <c r="N345" s="251">
        <v>0</v>
      </c>
      <c r="O345" s="251"/>
      <c r="P345" s="651" t="s">
        <v>2309</v>
      </c>
      <c r="Q345" s="251"/>
      <c r="R345" s="652">
        <v>9</v>
      </c>
      <c r="S345" s="240"/>
    </row>
    <row r="346" spans="1:19">
      <c r="A346" s="272"/>
      <c r="B346" s="248"/>
      <c r="C346" s="249"/>
      <c r="D346" s="676" t="s">
        <v>1348</v>
      </c>
      <c r="E346" s="249"/>
      <c r="F346" s="673">
        <v>-7</v>
      </c>
      <c r="G346" s="249"/>
      <c r="H346" s="652">
        <v>3.3099999999999996</v>
      </c>
      <c r="I346" s="251"/>
      <c r="J346" s="652">
        <v>3.09</v>
      </c>
      <c r="K346" s="251"/>
      <c r="L346" s="652">
        <v>0.22</v>
      </c>
      <c r="M346" s="251"/>
      <c r="N346" s="251">
        <v>0</v>
      </c>
      <c r="O346" s="251"/>
      <c r="P346" s="651" t="s">
        <v>2309</v>
      </c>
      <c r="Q346" s="251"/>
      <c r="R346" s="652">
        <v>13.9</v>
      </c>
    </row>
    <row r="347" spans="1:19">
      <c r="A347" s="272"/>
      <c r="B347" s="248"/>
      <c r="C347" s="249"/>
      <c r="D347" s="677" t="s">
        <v>2688</v>
      </c>
      <c r="E347" s="249"/>
      <c r="F347" s="673">
        <v>0</v>
      </c>
      <c r="G347" s="249"/>
      <c r="H347" s="652">
        <v>4.25</v>
      </c>
      <c r="I347" s="251"/>
      <c r="J347" s="652">
        <v>4.25</v>
      </c>
      <c r="K347" s="251"/>
      <c r="L347" s="652">
        <v>0</v>
      </c>
      <c r="M347" s="251"/>
      <c r="N347" s="251">
        <v>0</v>
      </c>
      <c r="O347" s="251"/>
      <c r="P347" s="651" t="s">
        <v>2693</v>
      </c>
      <c r="Q347" s="251"/>
      <c r="R347" s="652">
        <v>32</v>
      </c>
    </row>
    <row r="348" spans="1:19">
      <c r="A348" s="274"/>
      <c r="B348" s="255"/>
      <c r="C348" s="249"/>
      <c r="D348" s="676" t="s">
        <v>1351</v>
      </c>
      <c r="E348" s="249"/>
      <c r="F348" s="673">
        <v>-10</v>
      </c>
      <c r="G348" s="249"/>
      <c r="H348" s="652">
        <v>17.75</v>
      </c>
      <c r="I348" s="251"/>
      <c r="J348" s="652">
        <v>16.14</v>
      </c>
      <c r="K348" s="251"/>
      <c r="L348" s="652">
        <v>1.6099999999999999</v>
      </c>
      <c r="M348" s="251"/>
      <c r="N348" s="251">
        <v>0</v>
      </c>
      <c r="O348" s="251"/>
      <c r="P348" s="651" t="s">
        <v>2309</v>
      </c>
      <c r="Q348" s="251"/>
      <c r="R348" s="652">
        <v>4.3</v>
      </c>
    </row>
    <row r="349" spans="1:19">
      <c r="A349" s="272"/>
      <c r="B349" s="248"/>
      <c r="C349" s="249"/>
      <c r="D349" s="676" t="s">
        <v>1352</v>
      </c>
      <c r="E349" s="249"/>
      <c r="F349" s="673">
        <v>-6</v>
      </c>
      <c r="G349" s="249"/>
      <c r="H349" s="652">
        <v>3.93</v>
      </c>
      <c r="I349" s="251"/>
      <c r="J349" s="652">
        <v>3.71</v>
      </c>
      <c r="K349" s="251"/>
      <c r="L349" s="652">
        <v>0.22</v>
      </c>
      <c r="M349" s="251"/>
      <c r="N349" s="251">
        <v>0</v>
      </c>
      <c r="O349" s="251"/>
      <c r="P349" s="651" t="s">
        <v>2309</v>
      </c>
      <c r="Q349" s="251"/>
      <c r="R349" s="652">
        <v>14.2</v>
      </c>
    </row>
    <row r="350" spans="1:19">
      <c r="A350" s="272"/>
      <c r="B350" s="248"/>
      <c r="C350" s="249"/>
      <c r="D350" s="676" t="s">
        <v>1343</v>
      </c>
      <c r="E350" s="249"/>
      <c r="F350" s="673">
        <v>-7</v>
      </c>
      <c r="G350" s="249"/>
      <c r="H350" s="652">
        <v>4.6100000000000003</v>
      </c>
      <c r="I350" s="251"/>
      <c r="J350" s="652">
        <v>4.3099999999999996</v>
      </c>
      <c r="K350" s="251"/>
      <c r="L350" s="652">
        <v>0.3</v>
      </c>
      <c r="M350" s="251"/>
      <c r="N350" s="251">
        <v>0</v>
      </c>
      <c r="O350" s="251"/>
      <c r="P350" s="651" t="s">
        <v>2309</v>
      </c>
      <c r="Q350" s="251"/>
      <c r="R350" s="652">
        <v>17.399999999999999</v>
      </c>
    </row>
    <row r="351" spans="1:19">
      <c r="A351" s="272"/>
      <c r="B351" s="248"/>
      <c r="C351" s="249"/>
      <c r="D351" s="676" t="s">
        <v>1338</v>
      </c>
      <c r="E351" s="249"/>
      <c r="F351" s="673">
        <v>-7</v>
      </c>
      <c r="G351" s="249"/>
      <c r="H351" s="652">
        <v>4.04</v>
      </c>
      <c r="I351" s="251"/>
      <c r="J351" s="652">
        <v>3.7800000000000002</v>
      </c>
      <c r="K351" s="251"/>
      <c r="L351" s="652">
        <v>0.26</v>
      </c>
      <c r="M351" s="251"/>
      <c r="N351" s="251">
        <v>0</v>
      </c>
      <c r="O351" s="251"/>
      <c r="P351" s="651" t="s">
        <v>2309</v>
      </c>
      <c r="Q351" s="251"/>
      <c r="R351" s="652">
        <v>15.5</v>
      </c>
    </row>
    <row r="352" spans="1:19">
      <c r="A352" s="272"/>
      <c r="B352" s="248"/>
      <c r="C352" s="249"/>
      <c r="D352" s="676" t="s">
        <v>1340</v>
      </c>
      <c r="E352" s="249"/>
      <c r="F352" s="673">
        <v>-7</v>
      </c>
      <c r="G352" s="249"/>
      <c r="H352" s="652">
        <v>3.8900000000000006</v>
      </c>
      <c r="I352" s="251"/>
      <c r="J352" s="652">
        <v>3.64</v>
      </c>
      <c r="K352" s="251"/>
      <c r="L352" s="652">
        <v>0.25</v>
      </c>
      <c r="M352" s="251"/>
      <c r="N352" s="251">
        <v>0</v>
      </c>
      <c r="O352" s="251"/>
      <c r="P352" s="651" t="s">
        <v>2309</v>
      </c>
      <c r="Q352" s="251"/>
      <c r="R352" s="652">
        <v>16.899999999999999</v>
      </c>
    </row>
    <row r="353" spans="1:19">
      <c r="A353" s="272"/>
      <c r="B353" s="248"/>
      <c r="C353" s="249"/>
      <c r="D353" s="676" t="s">
        <v>1341</v>
      </c>
      <c r="E353" s="249"/>
      <c r="F353" s="673">
        <v>-7</v>
      </c>
      <c r="G353" s="249"/>
      <c r="H353" s="652">
        <v>3.8900000000000006</v>
      </c>
      <c r="I353" s="251"/>
      <c r="J353" s="652">
        <v>3.64</v>
      </c>
      <c r="K353" s="251"/>
      <c r="L353" s="652">
        <v>0.25</v>
      </c>
      <c r="M353" s="251"/>
      <c r="N353" s="251">
        <v>0</v>
      </c>
      <c r="O353" s="251"/>
      <c r="P353" s="651" t="s">
        <v>2309</v>
      </c>
      <c r="Q353" s="251"/>
      <c r="R353" s="652">
        <v>16.899999999999999</v>
      </c>
    </row>
    <row r="354" spans="1:19">
      <c r="A354" s="272"/>
      <c r="B354" s="248"/>
      <c r="C354" s="249"/>
      <c r="D354" s="676" t="s">
        <v>1342</v>
      </c>
      <c r="E354" s="249"/>
      <c r="F354" s="673">
        <v>-7</v>
      </c>
      <c r="G354" s="249"/>
      <c r="H354" s="652">
        <v>3.9099999999999997</v>
      </c>
      <c r="I354" s="251"/>
      <c r="J354" s="652">
        <v>3.65</v>
      </c>
      <c r="K354" s="251"/>
      <c r="L354" s="652">
        <v>0.26</v>
      </c>
      <c r="M354" s="251"/>
      <c r="N354" s="251">
        <v>0</v>
      </c>
      <c r="O354" s="251"/>
      <c r="P354" s="651" t="s">
        <v>2309</v>
      </c>
      <c r="Q354" s="251"/>
      <c r="R354" s="652">
        <v>16.899999999999999</v>
      </c>
    </row>
    <row r="355" spans="1:19">
      <c r="A355" s="272"/>
      <c r="B355" s="248"/>
      <c r="C355" s="249"/>
      <c r="D355" s="678" t="s">
        <v>2304</v>
      </c>
      <c r="E355" s="249"/>
      <c r="F355" s="673">
        <v>-12</v>
      </c>
      <c r="G355" s="249"/>
      <c r="H355" s="652">
        <v>3.32</v>
      </c>
      <c r="I355" s="251"/>
      <c r="J355" s="652">
        <v>2.96</v>
      </c>
      <c r="K355" s="251"/>
      <c r="L355" s="652">
        <v>0.36</v>
      </c>
      <c r="M355" s="251"/>
      <c r="N355" s="251">
        <v>0</v>
      </c>
      <c r="O355" s="251"/>
      <c r="P355" s="651" t="s">
        <v>2309</v>
      </c>
      <c r="Q355" s="251"/>
      <c r="R355" s="652">
        <v>33.6</v>
      </c>
    </row>
    <row r="356" spans="1:19">
      <c r="A356" s="272"/>
      <c r="B356" s="248"/>
      <c r="C356" s="249"/>
      <c r="D356" s="249"/>
      <c r="E356" s="249"/>
      <c r="F356" s="250"/>
      <c r="G356" s="249"/>
      <c r="H356" s="251"/>
      <c r="I356" s="251"/>
      <c r="J356" s="251"/>
      <c r="K356" s="251"/>
      <c r="L356" s="251"/>
      <c r="M356" s="251"/>
      <c r="N356" s="251"/>
      <c r="O356" s="251"/>
      <c r="P356" s="251"/>
      <c r="Q356" s="251"/>
      <c r="R356" s="251"/>
    </row>
    <row r="357" spans="1:19">
      <c r="A357" s="272">
        <v>346</v>
      </c>
      <c r="B357" s="248"/>
      <c r="C357" s="249"/>
      <c r="D357" s="254" t="s">
        <v>1366</v>
      </c>
      <c r="E357" s="249"/>
      <c r="F357" s="278" t="s">
        <v>2332</v>
      </c>
      <c r="G357" s="249"/>
      <c r="H357" s="251">
        <v>4.3600000000000003</v>
      </c>
      <c r="I357" s="251"/>
      <c r="J357" s="251"/>
      <c r="K357" s="251"/>
      <c r="L357" s="251"/>
      <c r="M357" s="251"/>
      <c r="N357" s="251"/>
      <c r="O357" s="251"/>
      <c r="P357" s="251" t="str">
        <f>P355</f>
        <v>40-R2</v>
      </c>
      <c r="Q357" s="251"/>
      <c r="R357" s="251">
        <v>12.6</v>
      </c>
    </row>
    <row r="358" spans="1:19">
      <c r="A358" s="272"/>
      <c r="B358" s="248"/>
      <c r="C358" s="249"/>
      <c r="D358" s="249"/>
      <c r="E358" s="249"/>
      <c r="F358" s="250"/>
      <c r="G358" s="249"/>
      <c r="H358" s="251"/>
      <c r="I358" s="251"/>
      <c r="J358" s="251"/>
      <c r="K358" s="251"/>
      <c r="L358" s="251"/>
      <c r="M358" s="251"/>
      <c r="N358" s="251"/>
      <c r="O358" s="251"/>
      <c r="P358" s="251"/>
      <c r="Q358" s="251"/>
      <c r="R358" s="251"/>
    </row>
    <row r="359" spans="1:19">
      <c r="A359" s="272"/>
      <c r="B359" s="248"/>
      <c r="C359" s="249"/>
      <c r="D359" s="270" t="s">
        <v>1367</v>
      </c>
      <c r="E359" s="249"/>
      <c r="F359" s="250"/>
      <c r="G359" s="243"/>
      <c r="H359" s="251">
        <v>4</v>
      </c>
      <c r="I359" s="251"/>
      <c r="J359" s="251"/>
      <c r="K359" s="251"/>
      <c r="L359" s="251"/>
      <c r="M359" s="251"/>
      <c r="N359" s="251"/>
      <c r="O359" s="251"/>
      <c r="P359" s="251"/>
      <c r="Q359" s="251"/>
      <c r="R359" s="251"/>
      <c r="S359" s="240"/>
    </row>
    <row r="360" spans="1:19">
      <c r="A360" s="272"/>
      <c r="B360" s="248"/>
      <c r="C360" s="249"/>
      <c r="D360" s="270"/>
      <c r="E360" s="249"/>
      <c r="F360" s="250"/>
      <c r="G360" s="243"/>
      <c r="H360" s="251"/>
      <c r="I360" s="251"/>
      <c r="J360" s="251"/>
      <c r="K360" s="251"/>
      <c r="L360" s="251"/>
      <c r="M360" s="251"/>
      <c r="N360" s="251"/>
      <c r="O360" s="251"/>
      <c r="P360" s="251"/>
      <c r="Q360" s="251"/>
      <c r="R360" s="251"/>
    </row>
    <row r="361" spans="1:19">
      <c r="A361" s="272"/>
      <c r="B361" s="248"/>
      <c r="C361" s="249"/>
      <c r="D361" s="249"/>
      <c r="E361" s="249"/>
      <c r="F361" s="250"/>
      <c r="G361" s="249"/>
      <c r="H361" s="251"/>
      <c r="I361" s="251"/>
      <c r="J361" s="251"/>
      <c r="K361" s="251"/>
      <c r="L361" s="251"/>
      <c r="M361" s="251"/>
      <c r="N361" s="251"/>
      <c r="O361" s="251"/>
      <c r="P361" s="251"/>
      <c r="Q361" s="251"/>
      <c r="R361" s="251"/>
    </row>
    <row r="362" spans="1:19">
      <c r="A362" s="272"/>
      <c r="B362" s="248"/>
      <c r="C362" s="249"/>
      <c r="D362" s="244" t="s">
        <v>1368</v>
      </c>
      <c r="E362" s="249"/>
      <c r="F362" s="250"/>
      <c r="G362" s="249"/>
      <c r="H362" s="251"/>
      <c r="I362" s="251"/>
      <c r="J362" s="251"/>
      <c r="K362" s="251"/>
      <c r="L362" s="251"/>
      <c r="M362" s="251"/>
      <c r="N362" s="251"/>
      <c r="O362" s="251"/>
      <c r="P362" s="251"/>
      <c r="Q362" s="251"/>
      <c r="R362" s="251"/>
    </row>
    <row r="363" spans="1:19">
      <c r="A363" s="272"/>
      <c r="B363" s="248"/>
      <c r="C363" s="249"/>
      <c r="D363" s="252"/>
      <c r="E363" s="249"/>
      <c r="F363" s="250"/>
      <c r="G363" s="249"/>
      <c r="H363" s="251"/>
      <c r="I363" s="251"/>
      <c r="J363" s="251"/>
      <c r="K363" s="251"/>
      <c r="L363" s="251"/>
      <c r="M363" s="251"/>
      <c r="N363" s="251"/>
      <c r="O363" s="251"/>
      <c r="P363" s="251"/>
      <c r="Q363" s="251"/>
      <c r="R363" s="251"/>
    </row>
    <row r="364" spans="1:19">
      <c r="A364" s="272">
        <v>350</v>
      </c>
      <c r="B364" s="248">
        <v>350.1</v>
      </c>
      <c r="C364" s="249"/>
      <c r="D364" s="249" t="s">
        <v>1369</v>
      </c>
      <c r="E364" s="249"/>
      <c r="F364" s="250">
        <v>0</v>
      </c>
      <c r="G364" s="249"/>
      <c r="H364" s="251">
        <v>0.86</v>
      </c>
      <c r="I364" s="251"/>
      <c r="J364" s="251">
        <v>0.86</v>
      </c>
      <c r="K364" s="251"/>
      <c r="L364" s="251">
        <v>0</v>
      </c>
      <c r="M364" s="251"/>
      <c r="N364" s="251">
        <v>0</v>
      </c>
      <c r="O364" s="251"/>
      <c r="P364" s="651" t="s">
        <v>2293</v>
      </c>
      <c r="Q364" s="251"/>
      <c r="R364" s="251">
        <v>48.9</v>
      </c>
    </row>
    <row r="365" spans="1:19">
      <c r="A365" s="272"/>
      <c r="B365" s="248">
        <v>352.1</v>
      </c>
      <c r="C365" s="249"/>
      <c r="D365" s="249" t="s">
        <v>1370</v>
      </c>
      <c r="E365" s="249"/>
      <c r="F365" s="250">
        <v>-25</v>
      </c>
      <c r="G365" s="249"/>
      <c r="H365" s="251">
        <v>1.66</v>
      </c>
      <c r="I365" s="251"/>
      <c r="J365" s="251">
        <v>1.3299999999999998</v>
      </c>
      <c r="K365" s="251"/>
      <c r="L365" s="251">
        <v>0.33</v>
      </c>
      <c r="M365" s="251"/>
      <c r="N365" s="251">
        <v>0</v>
      </c>
      <c r="O365" s="251"/>
      <c r="P365" s="651" t="s">
        <v>2293</v>
      </c>
      <c r="Q365" s="251"/>
      <c r="R365" s="251">
        <v>59.5</v>
      </c>
    </row>
    <row r="366" spans="1:19">
      <c r="A366" s="272"/>
      <c r="B366" s="248">
        <v>352.2</v>
      </c>
      <c r="C366" s="249"/>
      <c r="D366" s="249" t="s">
        <v>1371</v>
      </c>
      <c r="E366" s="249"/>
      <c r="F366" s="250">
        <v>-25</v>
      </c>
      <c r="G366" s="249"/>
      <c r="H366" s="251">
        <v>1.66</v>
      </c>
      <c r="I366" s="251"/>
      <c r="J366" s="251">
        <v>1.3299999999999998</v>
      </c>
      <c r="K366" s="251"/>
      <c r="L366" s="251">
        <v>0.33</v>
      </c>
      <c r="M366" s="251"/>
      <c r="N366" s="251">
        <v>0</v>
      </c>
      <c r="O366" s="251"/>
      <c r="P366" s="651" t="s">
        <v>1384</v>
      </c>
      <c r="Q366" s="251"/>
      <c r="R366" s="251">
        <v>47.9</v>
      </c>
    </row>
    <row r="367" spans="1:19">
      <c r="A367" s="272"/>
      <c r="B367" s="248">
        <v>353.1</v>
      </c>
      <c r="C367" s="249"/>
      <c r="D367" s="249" t="s">
        <v>1372</v>
      </c>
      <c r="E367" s="249"/>
      <c r="F367" s="250">
        <v>-10</v>
      </c>
      <c r="G367" s="249"/>
      <c r="H367" s="251">
        <v>1.9</v>
      </c>
      <c r="I367" s="251"/>
      <c r="J367" s="251">
        <v>1.6500000000000001</v>
      </c>
      <c r="K367" s="251"/>
      <c r="L367" s="251">
        <v>0.3</v>
      </c>
      <c r="M367" s="251"/>
      <c r="N367" s="251">
        <v>-0.05</v>
      </c>
      <c r="O367" s="251"/>
      <c r="P367" s="651" t="s">
        <v>1373</v>
      </c>
      <c r="Q367" s="251"/>
      <c r="R367" s="251">
        <v>46</v>
      </c>
    </row>
    <row r="368" spans="1:19">
      <c r="A368" s="272"/>
      <c r="B368" s="248">
        <v>353.2</v>
      </c>
      <c r="C368" s="249"/>
      <c r="D368" s="249" t="s">
        <v>1374</v>
      </c>
      <c r="E368" s="249"/>
      <c r="F368" s="250">
        <v>-10</v>
      </c>
      <c r="G368" s="249"/>
      <c r="H368" s="653">
        <v>0</v>
      </c>
      <c r="I368" s="251"/>
      <c r="J368" s="251">
        <v>0</v>
      </c>
      <c r="K368" s="251"/>
      <c r="L368" s="251">
        <v>0</v>
      </c>
      <c r="M368" s="251"/>
      <c r="N368" s="251">
        <v>0</v>
      </c>
      <c r="O368" s="251"/>
      <c r="P368" s="651" t="s">
        <v>2310</v>
      </c>
      <c r="Q368" s="251"/>
      <c r="R368" s="251">
        <v>0</v>
      </c>
    </row>
    <row r="369" spans="1:18">
      <c r="A369" s="272">
        <v>354</v>
      </c>
      <c r="B369" s="248"/>
      <c r="C369" s="249"/>
      <c r="D369" s="249" t="s">
        <v>1375</v>
      </c>
      <c r="E369" s="249"/>
      <c r="F369" s="250">
        <v>-25</v>
      </c>
      <c r="G369" s="249"/>
      <c r="H369" s="251">
        <v>1.6900000000000002</v>
      </c>
      <c r="I369" s="251"/>
      <c r="J369" s="251">
        <v>1.21</v>
      </c>
      <c r="K369" s="251"/>
      <c r="L369" s="251">
        <v>0.54</v>
      </c>
      <c r="M369" s="251"/>
      <c r="N369" s="251">
        <v>-0.06</v>
      </c>
      <c r="O369" s="251"/>
      <c r="P369" s="651" t="s">
        <v>1376</v>
      </c>
      <c r="Q369" s="251"/>
      <c r="R369" s="251">
        <v>44.8</v>
      </c>
    </row>
    <row r="370" spans="1:18">
      <c r="A370" s="272">
        <v>355</v>
      </c>
      <c r="B370" s="248"/>
      <c r="C370" s="249"/>
      <c r="D370" s="249" t="s">
        <v>1377</v>
      </c>
      <c r="E370" s="249"/>
      <c r="F370" s="250">
        <v>-55</v>
      </c>
      <c r="G370" s="249"/>
      <c r="H370" s="251">
        <v>2.93</v>
      </c>
      <c r="I370" s="251"/>
      <c r="J370" s="251">
        <v>1.68</v>
      </c>
      <c r="K370" s="251"/>
      <c r="L370" s="251">
        <v>1.4200000000000002</v>
      </c>
      <c r="M370" s="251"/>
      <c r="N370" s="251">
        <v>-0.16999999999999998</v>
      </c>
      <c r="O370" s="251"/>
      <c r="P370" s="651" t="s">
        <v>2311</v>
      </c>
      <c r="Q370" s="251"/>
      <c r="R370" s="251">
        <v>48.8</v>
      </c>
    </row>
    <row r="371" spans="1:18">
      <c r="A371" s="272">
        <v>356</v>
      </c>
      <c r="B371" s="248"/>
      <c r="C371" s="249"/>
      <c r="D371" s="249" t="s">
        <v>1378</v>
      </c>
      <c r="E371" s="249"/>
      <c r="F371" s="250">
        <v>-50</v>
      </c>
      <c r="G371" s="249"/>
      <c r="H371" s="251">
        <v>2.54</v>
      </c>
      <c r="I371" s="251"/>
      <c r="J371" s="251">
        <v>1.46</v>
      </c>
      <c r="K371" s="251"/>
      <c r="L371" s="251">
        <v>1.23</v>
      </c>
      <c r="M371" s="251"/>
      <c r="N371" s="251">
        <v>-0.15</v>
      </c>
      <c r="O371" s="251"/>
      <c r="P371" s="651" t="s">
        <v>2312</v>
      </c>
      <c r="Q371" s="251"/>
      <c r="R371" s="251">
        <v>43.8</v>
      </c>
    </row>
    <row r="372" spans="1:18">
      <c r="A372" s="272">
        <v>357</v>
      </c>
      <c r="B372" s="248"/>
      <c r="C372" s="249"/>
      <c r="D372" s="249" t="s">
        <v>1379</v>
      </c>
      <c r="E372" s="249"/>
      <c r="F372" s="250">
        <v>0</v>
      </c>
      <c r="G372" s="249"/>
      <c r="H372" s="251">
        <v>1.7000000000000002</v>
      </c>
      <c r="I372" s="251"/>
      <c r="J372" s="251">
        <v>1.7000000000000002</v>
      </c>
      <c r="K372" s="251"/>
      <c r="L372" s="251">
        <v>0</v>
      </c>
      <c r="M372" s="251"/>
      <c r="N372" s="251">
        <v>0</v>
      </c>
      <c r="O372" s="251"/>
      <c r="P372" s="651" t="s">
        <v>1391</v>
      </c>
      <c r="Q372" s="251"/>
      <c r="R372" s="251">
        <v>28.7</v>
      </c>
    </row>
    <row r="373" spans="1:18">
      <c r="A373" s="272">
        <v>358</v>
      </c>
      <c r="B373" s="248"/>
      <c r="C373" s="249"/>
      <c r="D373" s="253" t="s">
        <v>1380</v>
      </c>
      <c r="E373" s="249"/>
      <c r="F373" s="250">
        <v>0</v>
      </c>
      <c r="G373" s="249"/>
      <c r="H373" s="251">
        <v>0.74</v>
      </c>
      <c r="I373" s="251"/>
      <c r="J373" s="251">
        <v>0.74</v>
      </c>
      <c r="K373" s="251"/>
      <c r="L373" s="251">
        <v>0</v>
      </c>
      <c r="M373" s="251"/>
      <c r="N373" s="251">
        <v>0</v>
      </c>
      <c r="O373" s="251"/>
      <c r="P373" s="651" t="s">
        <v>2313</v>
      </c>
      <c r="Q373" s="251"/>
      <c r="R373" s="251">
        <v>23.6</v>
      </c>
    </row>
    <row r="374" spans="1:18">
      <c r="A374" s="272"/>
      <c r="B374" s="248"/>
      <c r="C374" s="249"/>
      <c r="D374" s="249"/>
      <c r="E374" s="249"/>
      <c r="F374" s="250"/>
      <c r="G374" s="249"/>
      <c r="H374" s="251"/>
      <c r="I374" s="251"/>
      <c r="J374" s="251"/>
      <c r="K374" s="251"/>
      <c r="L374" s="251"/>
      <c r="M374" s="251"/>
      <c r="N374" s="251"/>
      <c r="O374" s="251"/>
      <c r="P374" s="251"/>
      <c r="Q374" s="251"/>
      <c r="R374" s="251"/>
    </row>
    <row r="375" spans="1:18">
      <c r="A375" s="272"/>
      <c r="B375" s="248"/>
      <c r="C375" s="249"/>
      <c r="D375" s="247" t="s">
        <v>1381</v>
      </c>
      <c r="E375" s="249"/>
      <c r="F375" s="250"/>
      <c r="G375" s="243"/>
      <c r="H375" s="251">
        <v>2.25</v>
      </c>
      <c r="I375" s="251"/>
      <c r="J375" s="679"/>
      <c r="K375" s="251"/>
      <c r="L375" s="251"/>
      <c r="M375" s="251"/>
      <c r="N375" s="251"/>
      <c r="O375" s="251"/>
      <c r="P375" s="251"/>
      <c r="Q375" s="251"/>
      <c r="R375" s="251"/>
    </row>
    <row r="376" spans="1:18">
      <c r="A376" s="272"/>
      <c r="B376" s="248"/>
      <c r="C376" s="249"/>
      <c r="D376" s="247"/>
      <c r="E376" s="249"/>
      <c r="F376" s="250"/>
      <c r="G376" s="243"/>
      <c r="H376" s="251"/>
      <c r="I376" s="251"/>
      <c r="J376" s="251"/>
      <c r="K376" s="251"/>
      <c r="L376" s="251"/>
      <c r="M376" s="251"/>
      <c r="N376" s="251"/>
      <c r="O376" s="251"/>
      <c r="P376" s="251"/>
      <c r="Q376" s="251"/>
      <c r="R376" s="251"/>
    </row>
    <row r="377" spans="1:18">
      <c r="A377" s="680"/>
      <c r="B377" s="295">
        <v>352.1</v>
      </c>
      <c r="C377" s="294"/>
      <c r="D377" s="294" t="s">
        <v>1370</v>
      </c>
      <c r="E377" s="294"/>
      <c r="F377" s="250">
        <v>-25</v>
      </c>
      <c r="G377" s="294"/>
      <c r="H377" s="681">
        <v>1.66</v>
      </c>
      <c r="I377" s="681"/>
      <c r="J377" s="681">
        <v>1.3299999999999998</v>
      </c>
      <c r="K377" s="681"/>
      <c r="L377" s="681">
        <v>0.33</v>
      </c>
      <c r="M377" s="681"/>
      <c r="N377" s="681">
        <v>0</v>
      </c>
      <c r="O377" s="681"/>
      <c r="P377" s="681" t="s">
        <v>2293</v>
      </c>
      <c r="Q377" s="681"/>
      <c r="R377" s="681">
        <v>59.5</v>
      </c>
    </row>
    <row r="378" spans="1:18">
      <c r="A378" s="680"/>
      <c r="B378" s="295">
        <v>352.2</v>
      </c>
      <c r="C378" s="294"/>
      <c r="D378" s="294" t="s">
        <v>1371</v>
      </c>
      <c r="E378" s="294"/>
      <c r="F378" s="250">
        <v>-25</v>
      </c>
      <c r="G378" s="294"/>
      <c r="H378" s="682">
        <v>1.66</v>
      </c>
      <c r="I378" s="681"/>
      <c r="J378" s="681">
        <v>1.3299999999999998</v>
      </c>
      <c r="K378" s="681"/>
      <c r="L378" s="681">
        <v>0.33</v>
      </c>
      <c r="M378" s="681"/>
      <c r="N378" s="681">
        <v>0</v>
      </c>
      <c r="O378" s="681"/>
      <c r="P378" s="681" t="s">
        <v>1384</v>
      </c>
      <c r="Q378" s="681"/>
      <c r="R378" s="681">
        <v>47.9</v>
      </c>
    </row>
    <row r="379" spans="1:18">
      <c r="A379" s="272">
        <v>352</v>
      </c>
      <c r="B379" s="295"/>
      <c r="C379" s="294"/>
      <c r="D379" s="294"/>
      <c r="E379" s="294"/>
      <c r="F379" s="683">
        <v>-0.25</v>
      </c>
      <c r="G379" s="294"/>
      <c r="H379" s="681">
        <f>H378</f>
        <v>1.66</v>
      </c>
      <c r="I379" s="681"/>
      <c r="J379" s="684"/>
      <c r="K379" s="684"/>
      <c r="L379" s="684"/>
      <c r="M379" s="684"/>
      <c r="N379" s="684"/>
      <c r="O379" s="684"/>
      <c r="P379" s="685" t="s">
        <v>2694</v>
      </c>
      <c r="Q379" s="684"/>
      <c r="R379" s="685" t="s">
        <v>2341</v>
      </c>
    </row>
    <row r="380" spans="1:18">
      <c r="A380" s="272"/>
      <c r="B380" s="295"/>
      <c r="C380" s="294"/>
      <c r="D380" s="294"/>
      <c r="E380" s="294"/>
      <c r="F380" s="250"/>
      <c r="G380" s="294"/>
      <c r="H380" s="681"/>
      <c r="I380" s="681"/>
      <c r="J380" s="681"/>
      <c r="K380" s="681"/>
      <c r="L380" s="681"/>
      <c r="M380" s="681"/>
      <c r="N380" s="681"/>
      <c r="O380" s="681"/>
      <c r="P380" s="681"/>
      <c r="Q380" s="681"/>
      <c r="R380" s="681"/>
    </row>
    <row r="381" spans="1:18">
      <c r="A381" s="272"/>
      <c r="B381" s="295">
        <v>353.1</v>
      </c>
      <c r="C381" s="294"/>
      <c r="D381" s="294" t="s">
        <v>1372</v>
      </c>
      <c r="E381" s="294"/>
      <c r="F381" s="250">
        <v>-10</v>
      </c>
      <c r="G381" s="294"/>
      <c r="H381" s="681">
        <f>H367</f>
        <v>1.9</v>
      </c>
      <c r="I381" s="681"/>
      <c r="J381" s="681">
        <f t="shared" ref="J381:R382" si="0">J367</f>
        <v>1.6500000000000001</v>
      </c>
      <c r="K381" s="681"/>
      <c r="L381" s="681">
        <f t="shared" si="0"/>
        <v>0.3</v>
      </c>
      <c r="M381" s="681"/>
      <c r="N381" s="681">
        <f t="shared" si="0"/>
        <v>-0.05</v>
      </c>
      <c r="O381" s="681"/>
      <c r="P381" s="681" t="str">
        <f t="shared" si="0"/>
        <v>60-R2</v>
      </c>
      <c r="Q381" s="681"/>
      <c r="R381" s="681">
        <f t="shared" si="0"/>
        <v>46</v>
      </c>
    </row>
    <row r="382" spans="1:18">
      <c r="A382" s="272"/>
      <c r="B382" s="295">
        <v>353.2</v>
      </c>
      <c r="C382" s="294"/>
      <c r="D382" s="294" t="s">
        <v>1374</v>
      </c>
      <c r="E382" s="294"/>
      <c r="F382" s="250">
        <v>-10</v>
      </c>
      <c r="G382" s="294"/>
      <c r="H382" s="681">
        <f>H368</f>
        <v>0</v>
      </c>
      <c r="I382" s="681"/>
      <c r="J382" s="681">
        <f t="shared" si="0"/>
        <v>0</v>
      </c>
      <c r="K382" s="681"/>
      <c r="L382" s="681">
        <f t="shared" si="0"/>
        <v>0</v>
      </c>
      <c r="M382" s="681"/>
      <c r="N382" s="681">
        <f t="shared" si="0"/>
        <v>0</v>
      </c>
      <c r="O382" s="681"/>
      <c r="P382" s="681" t="str">
        <f t="shared" si="0"/>
        <v>45-R2</v>
      </c>
      <c r="Q382" s="681"/>
      <c r="R382" s="681">
        <f t="shared" si="0"/>
        <v>0</v>
      </c>
    </row>
    <row r="383" spans="1:18">
      <c r="A383" s="272">
        <v>353</v>
      </c>
      <c r="B383" s="295"/>
      <c r="C383" s="294"/>
      <c r="D383" s="298"/>
      <c r="E383" s="294"/>
      <c r="F383" s="683">
        <v>-0.1</v>
      </c>
      <c r="G383" s="299"/>
      <c r="H383" s="684">
        <v>1.67</v>
      </c>
      <c r="I383" s="681"/>
      <c r="J383" s="684"/>
      <c r="K383" s="684"/>
      <c r="L383" s="684"/>
      <c r="M383" s="684"/>
      <c r="N383" s="684"/>
      <c r="O383" s="684"/>
      <c r="P383" s="685" t="s">
        <v>2695</v>
      </c>
      <c r="Q383" s="684"/>
      <c r="R383" s="684">
        <v>46</v>
      </c>
    </row>
    <row r="384" spans="1:18">
      <c r="A384" s="272"/>
      <c r="B384" s="295"/>
      <c r="C384" s="294"/>
      <c r="D384" s="294"/>
      <c r="E384" s="294"/>
      <c r="F384" s="296"/>
      <c r="G384" s="294"/>
      <c r="H384" s="681"/>
      <c r="I384" s="681"/>
      <c r="J384" s="681"/>
      <c r="K384" s="681"/>
      <c r="L384" s="681"/>
      <c r="M384" s="681"/>
      <c r="N384" s="681"/>
      <c r="O384" s="681"/>
      <c r="P384" s="681"/>
      <c r="Q384" s="681"/>
      <c r="R384" s="681"/>
    </row>
    <row r="385" spans="1:18">
      <c r="A385" s="272"/>
      <c r="B385" s="248"/>
      <c r="C385" s="249"/>
      <c r="D385" s="249"/>
      <c r="E385" s="249"/>
      <c r="F385" s="250"/>
      <c r="G385" s="249"/>
      <c r="H385" s="251"/>
      <c r="I385" s="251"/>
      <c r="J385" s="251"/>
      <c r="K385" s="251"/>
      <c r="L385" s="251"/>
      <c r="M385" s="251"/>
      <c r="N385" s="251"/>
      <c r="O385" s="251"/>
      <c r="P385" s="251"/>
      <c r="Q385" s="251"/>
      <c r="R385" s="251"/>
    </row>
    <row r="386" spans="1:18">
      <c r="A386" s="272"/>
      <c r="B386" s="248"/>
      <c r="C386" s="239"/>
      <c r="D386" s="244" t="s">
        <v>1382</v>
      </c>
      <c r="E386" s="239"/>
      <c r="F386" s="250"/>
      <c r="G386" s="239"/>
      <c r="H386" s="251"/>
      <c r="I386" s="251"/>
      <c r="J386" s="251"/>
      <c r="K386" s="251"/>
      <c r="L386" s="251"/>
      <c r="M386" s="251"/>
      <c r="N386" s="251"/>
      <c r="O386" s="251"/>
      <c r="P386" s="251"/>
      <c r="Q386" s="251"/>
      <c r="R386" s="251"/>
    </row>
    <row r="387" spans="1:18">
      <c r="A387" s="272"/>
      <c r="B387" s="248"/>
      <c r="C387" s="249"/>
      <c r="D387" s="252"/>
      <c r="E387" s="249"/>
      <c r="F387" s="250"/>
      <c r="G387" s="249"/>
      <c r="H387" s="251"/>
      <c r="I387" s="251"/>
      <c r="J387" s="251"/>
      <c r="K387" s="251"/>
      <c r="L387" s="251"/>
      <c r="M387" s="251"/>
      <c r="N387" s="251"/>
      <c r="O387" s="251"/>
      <c r="P387" s="251"/>
      <c r="Q387" s="251"/>
      <c r="R387" s="681"/>
    </row>
    <row r="388" spans="1:18">
      <c r="A388" s="272">
        <v>360</v>
      </c>
      <c r="B388" s="248">
        <v>360.1</v>
      </c>
      <c r="C388" s="249"/>
      <c r="D388" s="686" t="s">
        <v>1383</v>
      </c>
      <c r="E388" s="249"/>
      <c r="F388" s="673">
        <v>0</v>
      </c>
      <c r="G388" s="249"/>
      <c r="H388" s="652">
        <v>0.64</v>
      </c>
      <c r="I388" s="251"/>
      <c r="J388" s="251">
        <v>0.64</v>
      </c>
      <c r="K388" s="251"/>
      <c r="L388" s="251">
        <v>0</v>
      </c>
      <c r="M388" s="251"/>
      <c r="N388" s="251">
        <v>0</v>
      </c>
      <c r="O388" s="251"/>
      <c r="P388" s="251" t="s">
        <v>1376</v>
      </c>
      <c r="Q388" s="251"/>
      <c r="R388" s="681">
        <v>51.4</v>
      </c>
    </row>
    <row r="389" spans="1:18">
      <c r="A389" s="272">
        <v>361</v>
      </c>
      <c r="B389" s="248"/>
      <c r="C389" s="249"/>
      <c r="D389" s="687" t="s">
        <v>1385</v>
      </c>
      <c r="E389" s="249"/>
      <c r="F389" s="673">
        <v>-25</v>
      </c>
      <c r="G389" s="249"/>
      <c r="H389" s="652">
        <v>2.15</v>
      </c>
      <c r="I389" s="251"/>
      <c r="J389" s="251">
        <v>1.72</v>
      </c>
      <c r="K389" s="251"/>
      <c r="L389" s="251">
        <v>0.43</v>
      </c>
      <c r="M389" s="251"/>
      <c r="N389" s="251">
        <v>0</v>
      </c>
      <c r="O389" s="251"/>
      <c r="P389" s="251" t="s">
        <v>1302</v>
      </c>
      <c r="Q389" s="251"/>
      <c r="R389" s="681">
        <v>48.4</v>
      </c>
    </row>
    <row r="390" spans="1:18">
      <c r="A390" s="272">
        <v>362</v>
      </c>
      <c r="B390" s="248"/>
      <c r="C390" s="249"/>
      <c r="D390" s="688" t="s">
        <v>1386</v>
      </c>
      <c r="E390" s="249"/>
      <c r="F390" s="673">
        <v>-20</v>
      </c>
      <c r="G390" s="249"/>
      <c r="H390" s="652">
        <v>2.29</v>
      </c>
      <c r="I390" s="251"/>
      <c r="J390" s="251">
        <v>1.91</v>
      </c>
      <c r="K390" s="251"/>
      <c r="L390" s="251">
        <v>0.45999999999999996</v>
      </c>
      <c r="M390" s="251"/>
      <c r="N390" s="251">
        <v>-0.08</v>
      </c>
      <c r="O390" s="251"/>
      <c r="P390" s="251" t="s">
        <v>1387</v>
      </c>
      <c r="Q390" s="251"/>
      <c r="R390" s="681">
        <v>40.299999999999997</v>
      </c>
    </row>
    <row r="391" spans="1:18">
      <c r="A391" s="272">
        <v>364</v>
      </c>
      <c r="B391" s="248"/>
      <c r="C391" s="249"/>
      <c r="D391" s="688" t="s">
        <v>1388</v>
      </c>
      <c r="E391" s="249"/>
      <c r="F391" s="673">
        <v>-50</v>
      </c>
      <c r="G391" s="249"/>
      <c r="H391" s="652">
        <v>2.67</v>
      </c>
      <c r="I391" s="251"/>
      <c r="J391" s="251">
        <v>1.78</v>
      </c>
      <c r="K391" s="251"/>
      <c r="L391" s="251">
        <v>1.0699999999999998</v>
      </c>
      <c r="M391" s="251"/>
      <c r="N391" s="251">
        <v>-0.18</v>
      </c>
      <c r="O391" s="251"/>
      <c r="P391" s="251" t="s">
        <v>2314</v>
      </c>
      <c r="Q391" s="251"/>
      <c r="R391" s="681">
        <v>40.1</v>
      </c>
    </row>
    <row r="392" spans="1:18">
      <c r="A392" s="272">
        <v>365</v>
      </c>
      <c r="B392" s="248"/>
      <c r="C392" s="249"/>
      <c r="D392" s="687" t="s">
        <v>1389</v>
      </c>
      <c r="E392" s="249"/>
      <c r="F392" s="673">
        <v>-30</v>
      </c>
      <c r="G392" s="249"/>
      <c r="H392" s="652">
        <v>2.4699999999999998</v>
      </c>
      <c r="I392" s="251"/>
      <c r="J392" s="251">
        <v>1.9</v>
      </c>
      <c r="K392" s="251"/>
      <c r="L392" s="251">
        <v>0.70000000000000007</v>
      </c>
      <c r="M392" s="251"/>
      <c r="N392" s="251">
        <v>-0.13</v>
      </c>
      <c r="O392" s="251"/>
      <c r="P392" s="251" t="s">
        <v>2315</v>
      </c>
      <c r="Q392" s="251"/>
      <c r="R392" s="681">
        <v>38.299999999999997</v>
      </c>
    </row>
    <row r="393" spans="1:18">
      <c r="A393" s="272">
        <v>366</v>
      </c>
      <c r="B393" s="248"/>
      <c r="C393" s="249"/>
      <c r="D393" s="686" t="s">
        <v>1390</v>
      </c>
      <c r="E393" s="249"/>
      <c r="F393" s="673">
        <v>0</v>
      </c>
      <c r="G393" s="249"/>
      <c r="H393" s="652">
        <v>2.3199999999999998</v>
      </c>
      <c r="I393" s="251"/>
      <c r="J393" s="251">
        <v>2.3199999999999998</v>
      </c>
      <c r="K393" s="251"/>
      <c r="L393" s="251">
        <v>0</v>
      </c>
      <c r="M393" s="251"/>
      <c r="N393" s="251">
        <v>0</v>
      </c>
      <c r="O393" s="251"/>
      <c r="P393" s="251" t="s">
        <v>1391</v>
      </c>
      <c r="Q393" s="251"/>
      <c r="R393" s="681">
        <v>25.6</v>
      </c>
    </row>
    <row r="394" spans="1:18">
      <c r="A394" s="272">
        <v>367</v>
      </c>
      <c r="B394" s="272"/>
      <c r="C394" s="249"/>
      <c r="D394" s="687" t="s">
        <v>1392</v>
      </c>
      <c r="E394" s="249"/>
      <c r="F394" s="673">
        <v>-20</v>
      </c>
      <c r="G394" s="249"/>
      <c r="H394" s="652">
        <v>2.4299999999999997</v>
      </c>
      <c r="I394" s="251"/>
      <c r="J394" s="251">
        <v>2.02</v>
      </c>
      <c r="K394" s="251"/>
      <c r="L394" s="251">
        <v>0.51</v>
      </c>
      <c r="M394" s="251"/>
      <c r="N394" s="251">
        <v>-0.1</v>
      </c>
      <c r="O394" s="251"/>
      <c r="P394" s="251" t="s">
        <v>2316</v>
      </c>
      <c r="Q394" s="251"/>
      <c r="R394" s="681">
        <v>40.200000000000003</v>
      </c>
    </row>
    <row r="395" spans="1:18">
      <c r="A395" s="272">
        <v>368</v>
      </c>
      <c r="B395" s="248"/>
      <c r="C395" s="249"/>
      <c r="D395" s="687" t="s">
        <v>1393</v>
      </c>
      <c r="E395" s="249"/>
      <c r="F395" s="673">
        <v>-5</v>
      </c>
      <c r="G395" s="249"/>
      <c r="H395" s="652">
        <v>1.79</v>
      </c>
      <c r="I395" s="251"/>
      <c r="J395" s="251">
        <v>1.7000000000000002</v>
      </c>
      <c r="K395" s="251"/>
      <c r="L395" s="251">
        <v>0.13999999999999999</v>
      </c>
      <c r="M395" s="251"/>
      <c r="N395" s="251">
        <v>-0.05</v>
      </c>
      <c r="O395" s="251"/>
      <c r="P395" s="251" t="s">
        <v>2317</v>
      </c>
      <c r="Q395" s="251"/>
      <c r="R395" s="681">
        <v>33</v>
      </c>
    </row>
    <row r="396" spans="1:18">
      <c r="A396" s="272">
        <v>369</v>
      </c>
      <c r="B396" s="248"/>
      <c r="C396" s="249"/>
      <c r="D396" s="687" t="s">
        <v>1394</v>
      </c>
      <c r="E396" s="249"/>
      <c r="F396" s="673">
        <v>-25</v>
      </c>
      <c r="G396" s="249"/>
      <c r="H396" s="652">
        <v>1.63</v>
      </c>
      <c r="I396" s="251"/>
      <c r="J396" s="251">
        <v>1.3</v>
      </c>
      <c r="K396" s="251"/>
      <c r="L396" s="251">
        <v>0.33</v>
      </c>
      <c r="M396" s="251"/>
      <c r="N396" s="251">
        <v>0</v>
      </c>
      <c r="O396" s="251"/>
      <c r="P396" s="251" t="s">
        <v>2318</v>
      </c>
      <c r="Q396" s="251"/>
      <c r="R396" s="681">
        <v>36.6</v>
      </c>
    </row>
    <row r="397" spans="1:18">
      <c r="A397" s="272"/>
      <c r="B397" s="248">
        <v>370</v>
      </c>
      <c r="C397" s="249"/>
      <c r="D397" s="689" t="s">
        <v>2696</v>
      </c>
      <c r="E397" s="249"/>
      <c r="F397" s="673">
        <v>0</v>
      </c>
      <c r="G397" s="249"/>
      <c r="H397" s="652">
        <v>4.29</v>
      </c>
      <c r="I397" s="251"/>
      <c r="J397" s="251">
        <v>4.29</v>
      </c>
      <c r="K397" s="251"/>
      <c r="L397" s="251">
        <v>0</v>
      </c>
      <c r="M397" s="251"/>
      <c r="N397" s="251">
        <v>0</v>
      </c>
      <c r="O397" s="251"/>
      <c r="P397" s="251" t="s">
        <v>2323</v>
      </c>
      <c r="Q397" s="251"/>
      <c r="R397" s="681">
        <v>14.7</v>
      </c>
    </row>
    <row r="398" spans="1:18">
      <c r="B398" s="248">
        <v>370.01</v>
      </c>
      <c r="C398" s="249"/>
      <c r="D398" s="687" t="s">
        <v>2319</v>
      </c>
      <c r="E398" s="249"/>
      <c r="F398" s="673">
        <v>0</v>
      </c>
      <c r="G398" s="249"/>
      <c r="H398" s="652">
        <v>6.8500000000000005</v>
      </c>
      <c r="I398" s="251"/>
      <c r="J398" s="251">
        <v>6.8500000000000005</v>
      </c>
      <c r="K398" s="251"/>
      <c r="L398" s="251">
        <v>0</v>
      </c>
      <c r="M398" s="251"/>
      <c r="N398" s="251">
        <v>0</v>
      </c>
      <c r="O398" s="251"/>
      <c r="P398" s="251" t="s">
        <v>2320</v>
      </c>
      <c r="Q398" s="251"/>
      <c r="R398" s="681">
        <v>14.5</v>
      </c>
    </row>
    <row r="399" spans="1:18">
      <c r="B399" s="248">
        <v>370.2</v>
      </c>
      <c r="C399" s="249"/>
      <c r="D399" s="687" t="s">
        <v>1395</v>
      </c>
      <c r="E399" s="249"/>
      <c r="F399" s="673">
        <v>0</v>
      </c>
      <c r="G399" s="249"/>
      <c r="H399" s="652">
        <v>3.51</v>
      </c>
      <c r="I399" s="251"/>
      <c r="J399" s="251">
        <v>3.51</v>
      </c>
      <c r="K399" s="251"/>
      <c r="L399" s="251">
        <v>0</v>
      </c>
      <c r="M399" s="251"/>
      <c r="N399" s="251">
        <v>0</v>
      </c>
      <c r="O399" s="251"/>
      <c r="P399" s="251" t="s">
        <v>2323</v>
      </c>
      <c r="Q399" s="251"/>
      <c r="R399" s="681">
        <v>4.3</v>
      </c>
    </row>
    <row r="400" spans="1:18">
      <c r="A400" s="272">
        <v>371</v>
      </c>
      <c r="B400" s="248"/>
      <c r="C400" s="249"/>
      <c r="D400" s="687" t="s">
        <v>1396</v>
      </c>
      <c r="E400" s="249"/>
      <c r="F400" s="673">
        <v>-10</v>
      </c>
      <c r="G400" s="249"/>
      <c r="H400" s="652">
        <v>0.52999999999999992</v>
      </c>
      <c r="I400" s="251"/>
      <c r="J400" s="251">
        <v>0.48</v>
      </c>
      <c r="K400" s="251"/>
      <c r="L400" s="251">
        <v>0.06</v>
      </c>
      <c r="M400" s="251"/>
      <c r="N400" s="251">
        <v>-0.01</v>
      </c>
      <c r="O400" s="251"/>
      <c r="P400" s="251" t="s">
        <v>2321</v>
      </c>
      <c r="Q400" s="251"/>
      <c r="R400" s="681">
        <v>19.3</v>
      </c>
    </row>
    <row r="401" spans="1:18">
      <c r="A401" s="272">
        <v>373</v>
      </c>
      <c r="B401" s="248"/>
      <c r="C401" s="249"/>
      <c r="D401" s="687" t="s">
        <v>1397</v>
      </c>
      <c r="E401" s="249"/>
      <c r="F401" s="673">
        <v>-10</v>
      </c>
      <c r="G401" s="249"/>
      <c r="H401" s="652">
        <v>4.0000000000000009</v>
      </c>
      <c r="I401" s="251"/>
      <c r="J401" s="251">
        <v>3.64</v>
      </c>
      <c r="K401" s="251"/>
      <c r="L401" s="251">
        <v>0.47000000000000003</v>
      </c>
      <c r="M401" s="251"/>
      <c r="N401" s="251">
        <v>-0.11</v>
      </c>
      <c r="O401" s="251"/>
      <c r="P401" s="251" t="s">
        <v>2322</v>
      </c>
      <c r="Q401" s="251"/>
      <c r="R401" s="681">
        <v>22.1</v>
      </c>
    </row>
    <row r="402" spans="1:18">
      <c r="A402" s="272"/>
      <c r="B402" s="248"/>
      <c r="C402" s="249"/>
      <c r="D402" s="249"/>
      <c r="E402" s="249"/>
      <c r="F402" s="250"/>
      <c r="G402" s="249"/>
      <c r="H402" s="251"/>
      <c r="I402" s="251"/>
      <c r="J402" s="251"/>
      <c r="K402" s="251"/>
      <c r="L402" s="251"/>
      <c r="M402" s="251"/>
      <c r="N402" s="251"/>
      <c r="O402" s="251"/>
      <c r="P402" s="251"/>
      <c r="Q402" s="251"/>
      <c r="R402" s="652"/>
    </row>
    <row r="403" spans="1:18">
      <c r="A403" s="272"/>
      <c r="B403" s="248">
        <v>370</v>
      </c>
      <c r="C403" s="249"/>
      <c r="D403" s="689" t="s">
        <v>2696</v>
      </c>
      <c r="E403" s="249"/>
      <c r="F403" s="673">
        <v>0</v>
      </c>
      <c r="G403" s="249"/>
      <c r="H403" s="652">
        <v>4.29</v>
      </c>
      <c r="I403" s="251"/>
      <c r="J403" s="251">
        <v>4.29</v>
      </c>
      <c r="K403" s="251"/>
      <c r="L403" s="251">
        <v>0</v>
      </c>
      <c r="M403" s="251"/>
      <c r="N403" s="251">
        <v>0</v>
      </c>
      <c r="O403" s="251"/>
      <c r="P403" s="251" t="s">
        <v>2323</v>
      </c>
      <c r="Q403" s="251"/>
      <c r="R403" s="681">
        <v>14.7</v>
      </c>
    </row>
    <row r="404" spans="1:18">
      <c r="A404" s="272"/>
      <c r="B404" s="248">
        <v>370.01</v>
      </c>
      <c r="C404" s="249"/>
      <c r="D404" s="687" t="s">
        <v>2319</v>
      </c>
      <c r="E404" s="249"/>
      <c r="F404" s="673">
        <v>0</v>
      </c>
      <c r="G404" s="249"/>
      <c r="H404" s="652">
        <v>6.8500000000000005</v>
      </c>
      <c r="I404" s="251"/>
      <c r="J404" s="251">
        <v>6.8500000000000005</v>
      </c>
      <c r="K404" s="251"/>
      <c r="L404" s="251">
        <v>0</v>
      </c>
      <c r="M404" s="251"/>
      <c r="N404" s="251">
        <v>0</v>
      </c>
      <c r="O404" s="251"/>
      <c r="P404" s="251" t="s">
        <v>2320</v>
      </c>
      <c r="Q404" s="251"/>
      <c r="R404" s="681">
        <v>14.5</v>
      </c>
    </row>
    <row r="405" spans="1:18">
      <c r="A405" s="272"/>
      <c r="B405" s="248">
        <v>370.2</v>
      </c>
      <c r="C405" s="249"/>
      <c r="D405" s="687" t="s">
        <v>1395</v>
      </c>
      <c r="E405" s="249"/>
      <c r="F405" s="673">
        <v>0</v>
      </c>
      <c r="G405" s="249"/>
      <c r="H405" s="652">
        <v>3.51</v>
      </c>
      <c r="I405" s="251"/>
      <c r="J405" s="251">
        <v>3.51</v>
      </c>
      <c r="K405" s="251"/>
      <c r="L405" s="251">
        <v>0</v>
      </c>
      <c r="M405" s="251"/>
      <c r="N405" s="251">
        <v>0</v>
      </c>
      <c r="O405" s="251"/>
      <c r="P405" s="251" t="s">
        <v>2323</v>
      </c>
      <c r="Q405" s="251"/>
      <c r="R405" s="681">
        <v>4.3</v>
      </c>
    </row>
    <row r="406" spans="1:18">
      <c r="A406" s="272">
        <v>370</v>
      </c>
      <c r="B406" s="248"/>
      <c r="C406" s="249"/>
      <c r="D406" s="249"/>
      <c r="E406" s="249"/>
      <c r="F406" s="250">
        <v>0</v>
      </c>
      <c r="G406" s="249"/>
      <c r="H406" s="690">
        <v>3.65</v>
      </c>
      <c r="I406" s="690"/>
      <c r="J406" s="690"/>
      <c r="K406" s="690"/>
      <c r="L406" s="690"/>
      <c r="M406" s="690"/>
      <c r="N406" s="690"/>
      <c r="O406" s="690"/>
      <c r="P406" s="690" t="s">
        <v>2335</v>
      </c>
      <c r="Q406" s="690"/>
      <c r="R406" s="691" t="s">
        <v>2340</v>
      </c>
    </row>
    <row r="407" spans="1:18">
      <c r="A407" s="272"/>
      <c r="B407" s="248"/>
      <c r="C407" s="249"/>
      <c r="D407" s="249"/>
      <c r="E407" s="249"/>
      <c r="F407" s="250"/>
      <c r="G407" s="249"/>
      <c r="H407" s="675"/>
      <c r="I407" s="675"/>
      <c r="J407" s="675"/>
      <c r="K407" s="675"/>
      <c r="L407" s="675"/>
      <c r="M407" s="675"/>
      <c r="N407" s="675"/>
      <c r="O407" s="675"/>
      <c r="P407" s="675"/>
      <c r="Q407" s="675"/>
      <c r="R407" s="662"/>
    </row>
    <row r="408" spans="1:18">
      <c r="A408" s="272"/>
      <c r="B408" s="248"/>
      <c r="C408" s="249"/>
      <c r="D408" s="249"/>
      <c r="E408" s="249"/>
      <c r="F408" s="250"/>
      <c r="G408" s="249"/>
      <c r="H408" s="251"/>
      <c r="I408" s="251"/>
      <c r="J408" s="251"/>
      <c r="K408" s="251"/>
      <c r="L408" s="251"/>
      <c r="M408" s="251"/>
      <c r="N408" s="251"/>
      <c r="O408" s="251"/>
      <c r="P408" s="251"/>
      <c r="Q408" s="251"/>
      <c r="R408" s="652"/>
    </row>
    <row r="409" spans="1:18">
      <c r="A409" s="272"/>
      <c r="B409" s="248"/>
      <c r="C409" s="249"/>
      <c r="D409" s="247" t="s">
        <v>1398</v>
      </c>
      <c r="E409" s="249"/>
      <c r="F409" s="250"/>
      <c r="G409" s="243"/>
      <c r="H409" s="251">
        <v>2.4300000000000002</v>
      </c>
      <c r="I409" s="251"/>
      <c r="J409" s="251"/>
      <c r="K409" s="251"/>
      <c r="L409" s="251"/>
      <c r="M409" s="251"/>
      <c r="N409" s="251"/>
      <c r="O409" s="251"/>
      <c r="P409" s="251"/>
      <c r="Q409" s="251"/>
      <c r="R409" s="251"/>
    </row>
    <row r="410" spans="1:18">
      <c r="A410" s="272"/>
      <c r="B410" s="248"/>
      <c r="C410" s="249"/>
      <c r="D410" s="247"/>
      <c r="E410" s="249"/>
      <c r="F410" s="250"/>
      <c r="G410" s="243"/>
      <c r="H410" s="251"/>
      <c r="I410" s="251"/>
      <c r="J410" s="251"/>
      <c r="K410" s="251"/>
      <c r="L410" s="251"/>
      <c r="M410" s="251"/>
      <c r="N410" s="251"/>
      <c r="O410" s="251"/>
      <c r="P410" s="251"/>
      <c r="Q410" s="251"/>
      <c r="R410" s="251"/>
    </row>
    <row r="411" spans="1:18">
      <c r="A411" s="272"/>
      <c r="B411" s="248"/>
      <c r="C411" s="249"/>
      <c r="D411" s="249"/>
      <c r="E411" s="249"/>
      <c r="F411" s="250"/>
      <c r="G411" s="249"/>
      <c r="H411" s="251"/>
      <c r="I411" s="251"/>
      <c r="J411" s="251"/>
      <c r="K411" s="251"/>
      <c r="L411" s="251"/>
      <c r="M411" s="251"/>
      <c r="N411" s="251"/>
      <c r="O411" s="251"/>
      <c r="P411" s="251"/>
      <c r="Q411" s="251"/>
      <c r="R411" s="251"/>
    </row>
    <row r="412" spans="1:18">
      <c r="A412" s="272"/>
      <c r="B412" s="248"/>
      <c r="C412" s="249"/>
      <c r="D412" s="244" t="s">
        <v>1399</v>
      </c>
      <c r="E412" s="249"/>
      <c r="F412" s="250"/>
      <c r="G412" s="249"/>
      <c r="H412" s="251"/>
      <c r="I412" s="251"/>
      <c r="J412" s="251"/>
      <c r="K412" s="251"/>
      <c r="L412" s="251"/>
      <c r="M412" s="251"/>
      <c r="N412" s="251"/>
      <c r="O412" s="251"/>
      <c r="P412" s="251"/>
      <c r="Q412" s="251"/>
      <c r="R412" s="251"/>
    </row>
    <row r="413" spans="1:18">
      <c r="A413" s="272"/>
      <c r="B413" s="248"/>
      <c r="C413" s="249"/>
      <c r="D413" s="252"/>
      <c r="E413" s="249"/>
      <c r="F413" s="250"/>
      <c r="G413" s="249"/>
      <c r="H413" s="251"/>
      <c r="I413" s="251"/>
      <c r="J413" s="251"/>
      <c r="K413" s="251"/>
      <c r="L413" s="251"/>
      <c r="M413" s="251"/>
      <c r="N413" s="251"/>
      <c r="O413" s="251"/>
      <c r="P413" s="251"/>
      <c r="Q413" s="251"/>
      <c r="R413" s="251"/>
    </row>
    <row r="414" spans="1:18">
      <c r="A414" s="272"/>
      <c r="B414" s="248">
        <v>390.1</v>
      </c>
      <c r="C414" s="249"/>
      <c r="D414" s="257" t="s">
        <v>1400</v>
      </c>
      <c r="E414" s="249"/>
      <c r="F414" s="250">
        <v>-15</v>
      </c>
      <c r="G414" s="249"/>
      <c r="H414" s="251">
        <v>2.4300000000000002</v>
      </c>
      <c r="I414" s="251"/>
      <c r="J414" s="251">
        <v>2.11</v>
      </c>
      <c r="K414" s="251"/>
      <c r="L414" s="251">
        <v>0.32</v>
      </c>
      <c r="M414" s="251"/>
      <c r="N414" s="251">
        <v>0</v>
      </c>
      <c r="O414" s="251"/>
      <c r="P414" s="251" t="s">
        <v>2324</v>
      </c>
      <c r="Q414" s="251"/>
      <c r="R414" s="652">
        <v>39.200000000000003</v>
      </c>
    </row>
    <row r="415" spans="1:18">
      <c r="A415" s="272"/>
      <c r="B415" s="248">
        <v>390.2</v>
      </c>
      <c r="C415" s="249"/>
      <c r="D415" s="257" t="s">
        <v>1401</v>
      </c>
      <c r="E415" s="249"/>
      <c r="F415" s="250">
        <v>-10</v>
      </c>
      <c r="G415" s="249"/>
      <c r="H415" s="251">
        <v>1.43</v>
      </c>
      <c r="I415" s="251"/>
      <c r="J415" s="251">
        <v>1.3</v>
      </c>
      <c r="K415" s="251"/>
      <c r="L415" s="251">
        <v>0.13</v>
      </c>
      <c r="M415" s="251"/>
      <c r="N415" s="251">
        <v>0</v>
      </c>
      <c r="O415" s="251"/>
      <c r="P415" s="251" t="s">
        <v>2325</v>
      </c>
      <c r="Q415" s="251"/>
      <c r="R415" s="652">
        <v>18</v>
      </c>
    </row>
    <row r="416" spans="1:18">
      <c r="A416" s="272"/>
      <c r="B416" s="248">
        <v>391.1</v>
      </c>
      <c r="C416" s="249"/>
      <c r="D416" s="257" t="s">
        <v>1402</v>
      </c>
      <c r="E416" s="249"/>
      <c r="F416" s="250">
        <v>0</v>
      </c>
      <c r="G416" s="249"/>
      <c r="H416" s="251">
        <v>4.3600000000000003</v>
      </c>
      <c r="I416" s="251"/>
      <c r="J416" s="251">
        <v>4.3600000000000003</v>
      </c>
      <c r="K416" s="251"/>
      <c r="L416" s="251">
        <v>0</v>
      </c>
      <c r="M416" s="251"/>
      <c r="N416" s="251">
        <v>0</v>
      </c>
      <c r="O416" s="251"/>
      <c r="P416" s="251" t="s">
        <v>1273</v>
      </c>
      <c r="Q416" s="251"/>
      <c r="R416" s="652">
        <v>9.9</v>
      </c>
    </row>
    <row r="417" spans="1:18">
      <c r="A417" s="272"/>
      <c r="B417" s="248">
        <v>391.2</v>
      </c>
      <c r="C417" s="249"/>
      <c r="D417" s="257" t="s">
        <v>1403</v>
      </c>
      <c r="E417" s="249"/>
      <c r="F417" s="250">
        <v>0</v>
      </c>
      <c r="G417" s="249"/>
      <c r="H417" s="251">
        <v>11.690000000000001</v>
      </c>
      <c r="I417" s="251"/>
      <c r="J417" s="251">
        <v>11.690000000000001</v>
      </c>
      <c r="K417" s="251"/>
      <c r="L417" s="251">
        <v>0</v>
      </c>
      <c r="M417" s="251"/>
      <c r="N417" s="251">
        <v>0</v>
      </c>
      <c r="O417" s="251"/>
      <c r="P417" s="251" t="s">
        <v>1275</v>
      </c>
      <c r="Q417" s="251"/>
      <c r="R417" s="652">
        <v>4</v>
      </c>
    </row>
    <row r="418" spans="1:18">
      <c r="A418" s="272"/>
      <c r="B418" s="248">
        <v>391.31</v>
      </c>
      <c r="C418" s="249"/>
      <c r="D418" s="257" t="s">
        <v>1404</v>
      </c>
      <c r="E418" s="249"/>
      <c r="F418" s="250">
        <v>0</v>
      </c>
      <c r="G418" s="249"/>
      <c r="H418" s="251">
        <v>25.019999999999996</v>
      </c>
      <c r="I418" s="251"/>
      <c r="J418" s="251">
        <v>25.019999999999996</v>
      </c>
      <c r="K418" s="251"/>
      <c r="L418" s="251">
        <v>0</v>
      </c>
      <c r="M418" s="251"/>
      <c r="N418" s="251">
        <v>0</v>
      </c>
      <c r="O418" s="251"/>
      <c r="P418" s="251" t="s">
        <v>1405</v>
      </c>
      <c r="Q418" s="251"/>
      <c r="R418" s="652">
        <v>2.2000000000000002</v>
      </c>
    </row>
    <row r="419" spans="1:18">
      <c r="A419" s="272"/>
      <c r="B419" s="248">
        <v>392</v>
      </c>
      <c r="C419" s="249"/>
      <c r="D419" s="249" t="s">
        <v>1406</v>
      </c>
      <c r="E419" s="249"/>
      <c r="F419" s="250">
        <v>0</v>
      </c>
      <c r="G419" s="249"/>
      <c r="H419" s="251">
        <v>1.97</v>
      </c>
      <c r="I419" s="251"/>
      <c r="J419" s="251">
        <v>1.97</v>
      </c>
      <c r="K419" s="251"/>
      <c r="L419" s="251">
        <v>0</v>
      </c>
      <c r="M419" s="251"/>
      <c r="N419" s="251">
        <v>0</v>
      </c>
      <c r="O419" s="251"/>
      <c r="P419" s="251" t="s">
        <v>2326</v>
      </c>
      <c r="Q419" s="251"/>
      <c r="R419" s="652">
        <v>10.8</v>
      </c>
    </row>
    <row r="420" spans="1:18">
      <c r="A420" s="272"/>
      <c r="B420" s="248">
        <v>392.1</v>
      </c>
      <c r="C420" s="249"/>
      <c r="D420" s="249" t="s">
        <v>1407</v>
      </c>
      <c r="E420" s="249"/>
      <c r="F420" s="250">
        <v>0</v>
      </c>
      <c r="G420" s="249"/>
      <c r="H420" s="251">
        <v>3.19</v>
      </c>
      <c r="I420" s="251"/>
      <c r="J420" s="251">
        <v>3.19</v>
      </c>
      <c r="K420" s="251"/>
      <c r="L420" s="251">
        <v>0</v>
      </c>
      <c r="M420" s="251"/>
      <c r="N420" s="251">
        <v>0</v>
      </c>
      <c r="O420" s="251"/>
      <c r="P420" s="251" t="s">
        <v>2327</v>
      </c>
      <c r="Q420" s="251"/>
      <c r="R420" s="652">
        <v>13.9</v>
      </c>
    </row>
    <row r="421" spans="1:18">
      <c r="A421" s="272">
        <v>393</v>
      </c>
      <c r="B421" s="248">
        <v>393</v>
      </c>
      <c r="C421" s="249"/>
      <c r="D421" s="253" t="s">
        <v>1408</v>
      </c>
      <c r="E421" s="249"/>
      <c r="F421" s="250">
        <v>0</v>
      </c>
      <c r="G421" s="249"/>
      <c r="H421" s="251">
        <v>4.3999999999999995</v>
      </c>
      <c r="I421" s="251"/>
      <c r="J421" s="251">
        <v>4.3999999999999995</v>
      </c>
      <c r="K421" s="251"/>
      <c r="L421" s="251">
        <v>0</v>
      </c>
      <c r="M421" s="251"/>
      <c r="N421" s="251">
        <v>0</v>
      </c>
      <c r="O421" s="251"/>
      <c r="P421" s="251" t="s">
        <v>1409</v>
      </c>
      <c r="Q421" s="251"/>
      <c r="R421" s="652">
        <v>18</v>
      </c>
    </row>
    <row r="422" spans="1:18">
      <c r="A422" s="272">
        <v>394</v>
      </c>
      <c r="B422" s="248">
        <v>394</v>
      </c>
      <c r="C422" s="249"/>
      <c r="D422" s="257" t="s">
        <v>1410</v>
      </c>
      <c r="E422" s="249"/>
      <c r="F422" s="250">
        <v>0</v>
      </c>
      <c r="G422" s="249"/>
      <c r="H422" s="251">
        <v>4.0199999999999996</v>
      </c>
      <c r="I422" s="251"/>
      <c r="J422" s="251">
        <v>4.0199999999999996</v>
      </c>
      <c r="K422" s="251"/>
      <c r="L422" s="251">
        <v>0</v>
      </c>
      <c r="M422" s="251"/>
      <c r="N422" s="251">
        <v>0</v>
      </c>
      <c r="O422" s="251"/>
      <c r="P422" s="251" t="s">
        <v>1409</v>
      </c>
      <c r="Q422" s="251"/>
      <c r="R422" s="652">
        <v>17.5</v>
      </c>
    </row>
    <row r="423" spans="1:18">
      <c r="A423" s="272">
        <v>396</v>
      </c>
      <c r="B423" s="248">
        <v>396.3</v>
      </c>
      <c r="C423" s="249"/>
      <c r="D423" s="257" t="s">
        <v>1411</v>
      </c>
      <c r="E423" s="249"/>
      <c r="F423" s="250">
        <v>0</v>
      </c>
      <c r="G423" s="249"/>
      <c r="H423" s="251">
        <v>5.65</v>
      </c>
      <c r="I423" s="251"/>
      <c r="J423" s="251">
        <v>5.65</v>
      </c>
      <c r="K423" s="251"/>
      <c r="L423" s="251">
        <v>0</v>
      </c>
      <c r="M423" s="251"/>
      <c r="N423" s="251">
        <v>0</v>
      </c>
      <c r="O423" s="251"/>
      <c r="P423" s="251" t="s">
        <v>2328</v>
      </c>
      <c r="Q423" s="251"/>
      <c r="R423" s="652">
        <v>12</v>
      </c>
    </row>
    <row r="424" spans="1:18">
      <c r="A424" s="272"/>
      <c r="B424" s="248">
        <v>397</v>
      </c>
      <c r="C424" s="249"/>
      <c r="D424" s="253" t="s">
        <v>2697</v>
      </c>
      <c r="E424" s="249"/>
      <c r="F424" s="250">
        <v>0</v>
      </c>
      <c r="G424" s="249"/>
      <c r="H424" s="251">
        <v>4.9000000000000004</v>
      </c>
      <c r="I424" s="251"/>
      <c r="J424" s="251">
        <v>4.9000000000000004</v>
      </c>
      <c r="K424" s="251"/>
      <c r="L424" s="251">
        <v>0</v>
      </c>
      <c r="M424" s="251"/>
      <c r="N424" s="251">
        <v>0</v>
      </c>
      <c r="O424" s="251"/>
      <c r="P424" s="251" t="s">
        <v>2329</v>
      </c>
      <c r="Q424" s="251"/>
      <c r="R424" s="652">
        <v>13.4</v>
      </c>
    </row>
    <row r="425" spans="1:18">
      <c r="A425" s="272"/>
      <c r="B425" s="248">
        <v>397.1</v>
      </c>
      <c r="C425" s="249"/>
      <c r="D425" s="253" t="s">
        <v>2698</v>
      </c>
      <c r="E425" s="249"/>
      <c r="F425" s="250">
        <v>0</v>
      </c>
      <c r="G425" s="249"/>
      <c r="H425" s="251">
        <v>10.84</v>
      </c>
      <c r="I425" s="251"/>
      <c r="J425" s="251">
        <v>10.84</v>
      </c>
      <c r="K425" s="251"/>
      <c r="L425" s="251">
        <v>0</v>
      </c>
      <c r="M425" s="251"/>
      <c r="N425" s="251">
        <v>0</v>
      </c>
      <c r="O425" s="251"/>
      <c r="P425" s="251" t="s">
        <v>1412</v>
      </c>
      <c r="Q425" s="251"/>
      <c r="R425" s="652">
        <v>5.6</v>
      </c>
    </row>
    <row r="426" spans="1:18">
      <c r="A426" s="272"/>
      <c r="B426" s="248">
        <v>397.2</v>
      </c>
      <c r="C426" s="249"/>
      <c r="D426" s="249" t="s">
        <v>2330</v>
      </c>
      <c r="E426" s="249"/>
      <c r="F426" s="250">
        <v>0</v>
      </c>
      <c r="G426" s="249"/>
      <c r="H426" s="251">
        <v>14.08</v>
      </c>
      <c r="I426" s="251"/>
      <c r="J426" s="251">
        <v>14.08</v>
      </c>
      <c r="K426" s="251"/>
      <c r="L426" s="251">
        <v>0</v>
      </c>
      <c r="M426" s="251"/>
      <c r="N426" s="251">
        <v>0</v>
      </c>
      <c r="O426" s="251"/>
      <c r="P426" s="251" t="s">
        <v>1412</v>
      </c>
      <c r="Q426" s="251"/>
      <c r="R426" s="251">
        <v>6.5</v>
      </c>
    </row>
    <row r="427" spans="1:18">
      <c r="A427" s="272"/>
      <c r="B427" s="248"/>
      <c r="C427" s="249"/>
      <c r="D427" s="249"/>
      <c r="E427" s="249"/>
      <c r="F427" s="250"/>
      <c r="G427" s="249"/>
      <c r="H427" s="251"/>
      <c r="I427" s="251"/>
      <c r="J427" s="251"/>
      <c r="K427" s="251"/>
      <c r="L427" s="251"/>
      <c r="M427" s="251"/>
      <c r="N427" s="251"/>
      <c r="O427" s="251"/>
      <c r="P427" s="251"/>
      <c r="Q427" s="251"/>
      <c r="R427" s="251"/>
    </row>
    <row r="428" spans="1:18">
      <c r="A428" s="272"/>
      <c r="B428" s="239"/>
      <c r="C428" s="249"/>
      <c r="D428" s="247" t="s">
        <v>1413</v>
      </c>
      <c r="E428" s="249"/>
      <c r="F428" s="250"/>
      <c r="G428" s="249"/>
      <c r="H428" s="251">
        <v>6.84</v>
      </c>
      <c r="I428" s="251"/>
      <c r="J428" s="648"/>
      <c r="K428" s="251"/>
      <c r="L428" s="648"/>
      <c r="M428" s="251"/>
      <c r="N428" s="648"/>
      <c r="O428" s="648"/>
      <c r="P428" s="251"/>
      <c r="Q428" s="251"/>
      <c r="R428" s="251"/>
    </row>
    <row r="429" spans="1:18">
      <c r="A429" s="272"/>
      <c r="B429" s="239"/>
      <c r="C429" s="249"/>
      <c r="D429" s="243"/>
      <c r="E429" s="249"/>
      <c r="F429" s="250"/>
      <c r="G429" s="249"/>
      <c r="H429" s="251"/>
      <c r="I429" s="251"/>
      <c r="J429" s="648"/>
      <c r="K429" s="251"/>
      <c r="L429" s="648"/>
      <c r="M429" s="251"/>
      <c r="N429" s="648"/>
      <c r="O429" s="648"/>
      <c r="P429" s="251"/>
      <c r="Q429" s="251"/>
      <c r="R429" s="251"/>
    </row>
    <row r="430" spans="1:18">
      <c r="A430" s="272"/>
      <c r="B430" s="239"/>
      <c r="C430" s="249"/>
      <c r="D430" s="247" t="s">
        <v>1414</v>
      </c>
      <c r="E430" s="249"/>
      <c r="F430" s="250"/>
      <c r="G430" s="249"/>
      <c r="H430" s="251">
        <v>2.97</v>
      </c>
      <c r="I430" s="251"/>
      <c r="J430" s="648"/>
      <c r="K430" s="251"/>
      <c r="L430" s="648"/>
      <c r="M430" s="251"/>
      <c r="N430" s="648"/>
      <c r="O430" s="648"/>
      <c r="P430" s="251"/>
      <c r="Q430" s="251"/>
      <c r="R430" s="251"/>
    </row>
    <row r="431" spans="1:18">
      <c r="A431" s="272"/>
      <c r="B431" s="239"/>
      <c r="C431" s="249"/>
      <c r="D431" s="247"/>
      <c r="E431" s="249"/>
      <c r="F431" s="250"/>
      <c r="G431" s="249"/>
      <c r="H431" s="251"/>
      <c r="I431" s="251"/>
      <c r="J431" s="648"/>
      <c r="K431" s="251"/>
      <c r="L431" s="648"/>
      <c r="M431" s="251"/>
      <c r="N431" s="648"/>
      <c r="O431" s="648"/>
      <c r="P431" s="251"/>
      <c r="Q431" s="251"/>
      <c r="R431" s="251"/>
    </row>
    <row r="432" spans="1:18">
      <c r="A432" s="272"/>
      <c r="B432" s="248">
        <v>390.1</v>
      </c>
      <c r="C432" s="249"/>
      <c r="D432" s="257" t="s">
        <v>1400</v>
      </c>
      <c r="E432" s="249"/>
      <c r="F432" s="250">
        <v>-10</v>
      </c>
      <c r="G432" s="249"/>
      <c r="H432" s="251">
        <f>H414</f>
        <v>2.4300000000000002</v>
      </c>
      <c r="I432" s="251"/>
      <c r="J432" s="251">
        <f t="shared" ref="J432:R433" si="1">J414</f>
        <v>2.11</v>
      </c>
      <c r="K432" s="251"/>
      <c r="L432" s="251">
        <f t="shared" si="1"/>
        <v>0.32</v>
      </c>
      <c r="M432" s="251"/>
      <c r="N432" s="251">
        <f t="shared" si="1"/>
        <v>0</v>
      </c>
      <c r="O432" s="251"/>
      <c r="P432" s="251" t="str">
        <f t="shared" si="1"/>
        <v>50-S0</v>
      </c>
      <c r="Q432" s="251"/>
      <c r="R432" s="251">
        <f t="shared" si="1"/>
        <v>39.200000000000003</v>
      </c>
    </row>
    <row r="433" spans="1:18">
      <c r="A433" s="272"/>
      <c r="B433" s="248">
        <v>390.2</v>
      </c>
      <c r="C433" s="249"/>
      <c r="D433" s="257" t="s">
        <v>1401</v>
      </c>
      <c r="E433" s="249"/>
      <c r="F433" s="250">
        <v>-10</v>
      </c>
      <c r="G433" s="249"/>
      <c r="H433" s="251">
        <f>H415</f>
        <v>1.43</v>
      </c>
      <c r="I433" s="251"/>
      <c r="J433" s="251">
        <f t="shared" si="1"/>
        <v>1.3</v>
      </c>
      <c r="K433" s="251"/>
      <c r="L433" s="251">
        <f t="shared" si="1"/>
        <v>0.13</v>
      </c>
      <c r="M433" s="251"/>
      <c r="N433" s="251">
        <f t="shared" si="1"/>
        <v>0</v>
      </c>
      <c r="O433" s="251"/>
      <c r="P433" s="251" t="str">
        <f t="shared" si="1"/>
        <v>33-R1.5</v>
      </c>
      <c r="Q433" s="251"/>
      <c r="R433" s="251">
        <f t="shared" si="1"/>
        <v>18</v>
      </c>
    </row>
    <row r="434" spans="1:18">
      <c r="A434" s="272">
        <v>390</v>
      </c>
      <c r="B434" s="239"/>
      <c r="C434" s="249"/>
      <c r="D434" s="247"/>
      <c r="E434" s="249"/>
      <c r="F434" s="683">
        <v>-0.1</v>
      </c>
      <c r="G434" s="249"/>
      <c r="H434" s="690">
        <v>2.42</v>
      </c>
      <c r="I434" s="690"/>
      <c r="J434" s="692"/>
      <c r="K434" s="690"/>
      <c r="L434" s="692"/>
      <c r="M434" s="690"/>
      <c r="N434" s="692"/>
      <c r="O434" s="692"/>
      <c r="P434" s="690" t="s">
        <v>2699</v>
      </c>
      <c r="Q434" s="690"/>
      <c r="R434" s="693" t="s">
        <v>2700</v>
      </c>
    </row>
    <row r="435" spans="1:18">
      <c r="A435" s="272"/>
      <c r="B435" s="239"/>
      <c r="C435" s="249"/>
      <c r="D435" s="247"/>
      <c r="E435" s="249"/>
      <c r="F435" s="250"/>
      <c r="G435" s="249"/>
      <c r="H435" s="251"/>
      <c r="I435" s="251"/>
      <c r="J435" s="648"/>
      <c r="K435" s="251"/>
      <c r="L435" s="648"/>
      <c r="M435" s="251"/>
      <c r="N435" s="648"/>
      <c r="O435" s="648"/>
      <c r="P435" s="251"/>
      <c r="Q435" s="251"/>
      <c r="R435" s="251"/>
    </row>
    <row r="436" spans="1:18">
      <c r="A436" s="272"/>
      <c r="B436" s="248">
        <v>391.1</v>
      </c>
      <c r="C436" s="249"/>
      <c r="D436" s="257" t="s">
        <v>1402</v>
      </c>
      <c r="E436" s="249"/>
      <c r="F436" s="250">
        <v>0</v>
      </c>
      <c r="G436" s="249"/>
      <c r="H436" s="251">
        <f>H416</f>
        <v>4.3600000000000003</v>
      </c>
      <c r="I436" s="251"/>
      <c r="J436" s="251">
        <f t="shared" ref="J436:R436" si="2">J416</f>
        <v>4.3600000000000003</v>
      </c>
      <c r="K436" s="251"/>
      <c r="L436" s="251">
        <f t="shared" si="2"/>
        <v>0</v>
      </c>
      <c r="M436" s="251"/>
      <c r="N436" s="251">
        <f t="shared" si="2"/>
        <v>0</v>
      </c>
      <c r="O436" s="251"/>
      <c r="P436" s="251" t="str">
        <f t="shared" si="2"/>
        <v>20-SQ</v>
      </c>
      <c r="Q436" s="251"/>
      <c r="R436" s="251">
        <f t="shared" si="2"/>
        <v>9.9</v>
      </c>
    </row>
    <row r="437" spans="1:18">
      <c r="A437" s="272"/>
      <c r="B437" s="248">
        <v>391.2</v>
      </c>
      <c r="C437" s="249"/>
      <c r="D437" s="257" t="s">
        <v>1403</v>
      </c>
      <c r="E437" s="249"/>
      <c r="F437" s="250">
        <v>0</v>
      </c>
      <c r="G437" s="249"/>
      <c r="H437" s="251">
        <f t="shared" ref="H437:R438" si="3">H417</f>
        <v>11.690000000000001</v>
      </c>
      <c r="I437" s="251"/>
      <c r="J437" s="251">
        <f t="shared" si="3"/>
        <v>11.690000000000001</v>
      </c>
      <c r="K437" s="251"/>
      <c r="L437" s="251">
        <f t="shared" si="3"/>
        <v>0</v>
      </c>
      <c r="M437" s="251"/>
      <c r="N437" s="251">
        <f t="shared" si="3"/>
        <v>0</v>
      </c>
      <c r="O437" s="251"/>
      <c r="P437" s="251" t="str">
        <f t="shared" si="3"/>
        <v>5-SQ</v>
      </c>
      <c r="Q437" s="251"/>
      <c r="R437" s="251">
        <f t="shared" si="3"/>
        <v>4</v>
      </c>
    </row>
    <row r="438" spans="1:18">
      <c r="A438" s="272"/>
      <c r="B438" s="248">
        <v>391.31</v>
      </c>
      <c r="C438" s="249"/>
      <c r="D438" s="257" t="s">
        <v>1404</v>
      </c>
      <c r="E438" s="249"/>
      <c r="F438" s="250">
        <v>0</v>
      </c>
      <c r="G438" s="249"/>
      <c r="H438" s="251">
        <f t="shared" si="3"/>
        <v>25.019999999999996</v>
      </c>
      <c r="I438" s="251"/>
      <c r="J438" s="251">
        <f t="shared" si="3"/>
        <v>25.019999999999996</v>
      </c>
      <c r="K438" s="251"/>
      <c r="L438" s="251">
        <f t="shared" si="3"/>
        <v>0</v>
      </c>
      <c r="M438" s="251"/>
      <c r="N438" s="251">
        <f t="shared" si="3"/>
        <v>0</v>
      </c>
      <c r="O438" s="251"/>
      <c r="P438" s="251" t="str">
        <f t="shared" si="3"/>
        <v>4-SQ</v>
      </c>
      <c r="Q438" s="251"/>
      <c r="R438" s="251">
        <f t="shared" si="3"/>
        <v>2.2000000000000002</v>
      </c>
    </row>
    <row r="439" spans="1:18">
      <c r="A439" s="272">
        <v>391</v>
      </c>
      <c r="B439" s="248"/>
      <c r="C439" s="249"/>
      <c r="D439" s="257"/>
      <c r="E439" s="249"/>
      <c r="F439" s="250">
        <v>0</v>
      </c>
      <c r="G439" s="249"/>
      <c r="H439" s="690">
        <v>12.29</v>
      </c>
      <c r="I439" s="690"/>
      <c r="J439" s="692"/>
      <c r="K439" s="690"/>
      <c r="L439" s="692"/>
      <c r="M439" s="690"/>
      <c r="N439" s="692"/>
      <c r="O439" s="692"/>
      <c r="P439" s="690" t="s">
        <v>1836</v>
      </c>
      <c r="Q439" s="690"/>
      <c r="R439" s="693" t="s">
        <v>2337</v>
      </c>
    </row>
    <row r="440" spans="1:18">
      <c r="A440" s="272"/>
      <c r="B440" s="248"/>
      <c r="C440" s="249"/>
      <c r="D440" s="257"/>
      <c r="E440" s="249"/>
      <c r="F440" s="250"/>
      <c r="G440" s="249"/>
      <c r="H440" s="251"/>
      <c r="I440" s="251"/>
      <c r="J440" s="251"/>
      <c r="K440" s="251"/>
      <c r="L440" s="251"/>
      <c r="M440" s="251"/>
      <c r="N440" s="251"/>
      <c r="O440" s="251"/>
      <c r="P440" s="251"/>
      <c r="Q440" s="251"/>
      <c r="R440" s="251"/>
    </row>
    <row r="441" spans="1:18">
      <c r="A441" s="272"/>
      <c r="B441" s="239"/>
      <c r="C441" s="249"/>
      <c r="D441" s="247"/>
      <c r="E441" s="249"/>
      <c r="F441" s="250"/>
      <c r="G441" s="249"/>
      <c r="H441" s="251"/>
      <c r="I441" s="251"/>
      <c r="J441" s="648"/>
      <c r="K441" s="251"/>
      <c r="L441" s="648"/>
      <c r="M441" s="251"/>
      <c r="N441" s="648"/>
      <c r="O441" s="648"/>
      <c r="P441" s="251"/>
      <c r="Q441" s="251"/>
      <c r="R441" s="251"/>
    </row>
    <row r="442" spans="1:18">
      <c r="A442" s="272"/>
      <c r="B442" s="248">
        <v>392</v>
      </c>
      <c r="C442" s="249"/>
      <c r="D442" s="249" t="s">
        <v>1406</v>
      </c>
      <c r="E442" s="249"/>
      <c r="F442" s="250">
        <v>0</v>
      </c>
      <c r="G442" s="249"/>
      <c r="H442" s="251">
        <f>H419</f>
        <v>1.97</v>
      </c>
      <c r="I442" s="251"/>
      <c r="J442" s="251">
        <f t="shared" ref="J442:R443" si="4">J419</f>
        <v>1.97</v>
      </c>
      <c r="K442" s="251"/>
      <c r="L442" s="251">
        <f t="shared" si="4"/>
        <v>0</v>
      </c>
      <c r="M442" s="251"/>
      <c r="N442" s="251">
        <f t="shared" si="4"/>
        <v>0</v>
      </c>
      <c r="O442" s="251"/>
      <c r="P442" s="251" t="str">
        <f t="shared" si="4"/>
        <v>14-S2</v>
      </c>
      <c r="Q442" s="251"/>
      <c r="R442" s="251">
        <f t="shared" si="4"/>
        <v>10.8</v>
      </c>
    </row>
    <row r="443" spans="1:18">
      <c r="A443" s="272"/>
      <c r="B443" s="248">
        <v>392.1</v>
      </c>
      <c r="C443" s="249"/>
      <c r="D443" s="249" t="s">
        <v>1407</v>
      </c>
      <c r="E443" s="249"/>
      <c r="F443" s="250">
        <v>0</v>
      </c>
      <c r="G443" s="249"/>
      <c r="H443" s="251">
        <f>H420</f>
        <v>3.19</v>
      </c>
      <c r="I443" s="251"/>
      <c r="J443" s="251">
        <f t="shared" si="4"/>
        <v>3.19</v>
      </c>
      <c r="K443" s="251"/>
      <c r="L443" s="251">
        <f t="shared" si="4"/>
        <v>0</v>
      </c>
      <c r="M443" s="251"/>
      <c r="N443" s="251">
        <f t="shared" si="4"/>
        <v>0</v>
      </c>
      <c r="O443" s="251"/>
      <c r="P443" s="251" t="str">
        <f t="shared" si="4"/>
        <v>16-L2.5</v>
      </c>
      <c r="Q443" s="251"/>
      <c r="R443" s="251">
        <f t="shared" si="4"/>
        <v>13.9</v>
      </c>
    </row>
    <row r="444" spans="1:18">
      <c r="A444" s="272">
        <v>392</v>
      </c>
      <c r="B444" s="248"/>
      <c r="C444" s="249"/>
      <c r="D444" s="249"/>
      <c r="E444" s="249"/>
      <c r="F444" s="250">
        <v>0</v>
      </c>
      <c r="G444" s="249"/>
      <c r="H444" s="690">
        <v>2.95</v>
      </c>
      <c r="I444" s="690"/>
      <c r="J444" s="692"/>
      <c r="K444" s="690"/>
      <c r="L444" s="692"/>
      <c r="M444" s="690"/>
      <c r="N444" s="692"/>
      <c r="O444" s="692"/>
      <c r="P444" s="690" t="s">
        <v>2701</v>
      </c>
      <c r="Q444" s="690"/>
      <c r="R444" s="693" t="s">
        <v>2338</v>
      </c>
    </row>
    <row r="445" spans="1:18">
      <c r="A445" s="272"/>
      <c r="B445" s="248"/>
      <c r="C445" s="249"/>
      <c r="D445" s="249"/>
      <c r="E445" s="249"/>
      <c r="F445" s="250"/>
      <c r="G445" s="249"/>
      <c r="H445" s="679"/>
      <c r="I445" s="251"/>
      <c r="J445" s="251"/>
      <c r="K445" s="251"/>
      <c r="L445" s="251"/>
      <c r="M445" s="251"/>
      <c r="N445" s="251"/>
      <c r="O445" s="251"/>
      <c r="P445" s="251"/>
      <c r="Q445" s="251"/>
      <c r="R445" s="251"/>
    </row>
    <row r="446" spans="1:18">
      <c r="A446" s="272"/>
      <c r="B446" s="248"/>
      <c r="C446" s="249"/>
      <c r="D446" s="249"/>
      <c r="E446" s="249"/>
      <c r="F446" s="250"/>
      <c r="G446" s="249"/>
      <c r="H446" s="251"/>
      <c r="I446" s="251"/>
      <c r="J446" s="251"/>
      <c r="K446" s="251"/>
      <c r="L446" s="251"/>
      <c r="M446" s="251"/>
      <c r="N446" s="251"/>
      <c r="O446" s="251"/>
      <c r="P446" s="251"/>
      <c r="Q446" s="251"/>
      <c r="R446" s="251"/>
    </row>
    <row r="447" spans="1:18">
      <c r="A447" s="272"/>
      <c r="B447" s="248">
        <v>397</v>
      </c>
      <c r="C447" s="249"/>
      <c r="D447" s="253" t="s">
        <v>2697</v>
      </c>
      <c r="E447" s="249"/>
      <c r="F447" s="250">
        <v>0</v>
      </c>
      <c r="G447" s="249"/>
      <c r="H447" s="251">
        <f>H424</f>
        <v>4.9000000000000004</v>
      </c>
      <c r="I447" s="251"/>
      <c r="J447" s="251">
        <f t="shared" ref="J447:R447" si="5">J424</f>
        <v>4.9000000000000004</v>
      </c>
      <c r="K447" s="251"/>
      <c r="L447" s="251">
        <f t="shared" si="5"/>
        <v>0</v>
      </c>
      <c r="M447" s="251"/>
      <c r="N447" s="251">
        <f t="shared" si="5"/>
        <v>0</v>
      </c>
      <c r="O447" s="251"/>
      <c r="P447" s="251" t="str">
        <f t="shared" si="5"/>
        <v>18-L3</v>
      </c>
      <c r="Q447" s="251"/>
      <c r="R447" s="251">
        <f t="shared" si="5"/>
        <v>13.4</v>
      </c>
    </row>
    <row r="448" spans="1:18">
      <c r="A448" s="272"/>
      <c r="B448" s="248">
        <v>397.1</v>
      </c>
      <c r="C448" s="249"/>
      <c r="D448" s="253" t="s">
        <v>2698</v>
      </c>
      <c r="E448" s="249"/>
      <c r="F448" s="250">
        <v>0</v>
      </c>
      <c r="G448" s="249"/>
      <c r="H448" s="251">
        <f t="shared" ref="H448:R449" si="6">H425</f>
        <v>10.84</v>
      </c>
      <c r="I448" s="251"/>
      <c r="J448" s="251">
        <f t="shared" si="6"/>
        <v>10.84</v>
      </c>
      <c r="K448" s="251"/>
      <c r="L448" s="251">
        <f t="shared" si="6"/>
        <v>0</v>
      </c>
      <c r="M448" s="251"/>
      <c r="N448" s="251">
        <f t="shared" si="6"/>
        <v>0</v>
      </c>
      <c r="O448" s="251"/>
      <c r="P448" s="251" t="str">
        <f t="shared" si="6"/>
        <v>10-SQ</v>
      </c>
      <c r="Q448" s="251"/>
      <c r="R448" s="251">
        <f t="shared" si="6"/>
        <v>5.6</v>
      </c>
    </row>
    <row r="449" spans="1:18">
      <c r="A449" s="272"/>
      <c r="B449" s="248">
        <v>397.2</v>
      </c>
      <c r="C449" s="249"/>
      <c r="D449" s="249" t="s">
        <v>2330</v>
      </c>
      <c r="E449" s="249"/>
      <c r="F449" s="250">
        <v>0</v>
      </c>
      <c r="G449" s="249"/>
      <c r="H449" s="251">
        <f t="shared" si="6"/>
        <v>14.08</v>
      </c>
      <c r="I449" s="251"/>
      <c r="J449" s="251">
        <f t="shared" si="6"/>
        <v>14.08</v>
      </c>
      <c r="K449" s="251"/>
      <c r="L449" s="251">
        <f t="shared" si="6"/>
        <v>0</v>
      </c>
      <c r="M449" s="251"/>
      <c r="N449" s="251">
        <f t="shared" si="6"/>
        <v>0</v>
      </c>
      <c r="O449" s="251"/>
      <c r="P449" s="251" t="str">
        <f t="shared" si="6"/>
        <v>10-SQ</v>
      </c>
      <c r="Q449" s="251"/>
      <c r="R449" s="251">
        <f t="shared" si="6"/>
        <v>6.5</v>
      </c>
    </row>
    <row r="450" spans="1:18">
      <c r="A450" s="272">
        <v>397</v>
      </c>
      <c r="B450" s="248"/>
      <c r="C450" s="249"/>
      <c r="D450" s="249"/>
      <c r="E450" s="249"/>
      <c r="F450" s="250">
        <v>0</v>
      </c>
      <c r="G450" s="249"/>
      <c r="H450" s="690">
        <v>8.24</v>
      </c>
      <c r="I450" s="690"/>
      <c r="J450" s="692"/>
      <c r="K450" s="690"/>
      <c r="L450" s="692"/>
      <c r="M450" s="690"/>
      <c r="N450" s="692"/>
      <c r="O450" s="692"/>
      <c r="P450" s="690" t="s">
        <v>2336</v>
      </c>
      <c r="Q450" s="690"/>
      <c r="R450" s="693" t="s">
        <v>2339</v>
      </c>
    </row>
    <row r="451" spans="1:18">
      <c r="F451" s="250"/>
    </row>
    <row r="452" spans="1:18">
      <c r="F452" s="250"/>
    </row>
    <row r="453" spans="1:18">
      <c r="F453" s="250"/>
    </row>
    <row r="454" spans="1:18">
      <c r="F454" s="250"/>
    </row>
    <row r="455" spans="1:18">
      <c r="F455" s="250"/>
    </row>
    <row r="456" spans="1:18">
      <c r="F456" s="250"/>
    </row>
    <row r="457" spans="1:18">
      <c r="F457" s="250"/>
    </row>
    <row r="458" spans="1:18">
      <c r="F458" s="250"/>
    </row>
    <row r="459" spans="1:18">
      <c r="F459" s="250"/>
    </row>
    <row r="460" spans="1:18">
      <c r="F460" s="250"/>
    </row>
    <row r="461" spans="1:18">
      <c r="A461" s="470"/>
      <c r="F461" s="250"/>
    </row>
    <row r="462" spans="1:18">
      <c r="A462" s="470"/>
      <c r="F462" s="250"/>
    </row>
    <row r="463" spans="1:18">
      <c r="A463" s="470"/>
      <c r="F463" s="250"/>
    </row>
    <row r="464" spans="1:18">
      <c r="A464" s="470"/>
      <c r="F464" s="250"/>
    </row>
    <row r="465" spans="1:6">
      <c r="A465" s="470"/>
      <c r="F465" s="250"/>
    </row>
    <row r="466" spans="1:6">
      <c r="A466" s="470"/>
      <c r="F466" s="250"/>
    </row>
    <row r="467" spans="1:6">
      <c r="A467" s="470"/>
      <c r="F467" s="250"/>
    </row>
  </sheetData>
  <mergeCells count="4">
    <mergeCell ref="B1:R1"/>
    <mergeCell ref="A11:D11"/>
    <mergeCell ref="A4:S4"/>
    <mergeCell ref="A5:S5"/>
  </mergeCells>
  <pageMargins left="0.7" right="0.7" top="0.75" bottom="0.75" header="0.3" footer="0.3"/>
  <pageSetup scale="46"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47"/>
  <sheetViews>
    <sheetView tabSelected="1" zoomScale="85" zoomScaleNormal="85" workbookViewId="0">
      <selection activeCell="F11" sqref="F11"/>
    </sheetView>
  </sheetViews>
  <sheetFormatPr defaultColWidth="9" defaultRowHeight="12.75"/>
  <cols>
    <col min="1" max="1" width="6" style="69" customWidth="1"/>
    <col min="2" max="2" width="38.33203125" style="69" customWidth="1"/>
    <col min="3" max="3" width="15.88671875" style="69" customWidth="1"/>
    <col min="4" max="4" width="14.77734375" style="69" customWidth="1"/>
    <col min="5" max="5" width="3.77734375" style="69" customWidth="1"/>
    <col min="6" max="6" width="14.77734375" style="69" customWidth="1"/>
    <col min="7" max="7" width="1.6640625" style="69" customWidth="1"/>
    <col min="8" max="8" width="13.109375" style="69" customWidth="1"/>
    <col min="9" max="16384" width="9" style="69"/>
  </cols>
  <sheetData>
    <row r="1" spans="1:8" s="68" customFormat="1" ht="20.100000000000001" customHeight="1">
      <c r="A1" s="769" t="str">
        <f>'Rate Case Constants'!C9</f>
        <v>KENTUCKY UTILITIES COMPANY</v>
      </c>
      <c r="B1" s="769"/>
      <c r="C1" s="769"/>
      <c r="D1" s="769"/>
      <c r="E1" s="769"/>
      <c r="F1" s="769"/>
    </row>
    <row r="2" spans="1:8" s="68" customFormat="1" ht="20.100000000000001" customHeight="1">
      <c r="A2" s="769" t="str">
        <f>'Rate Case Constants'!C10</f>
        <v>CASE NO. 2018-00294 - RESPONSE TO PSC 2-65 (SLIPPAGE FACTOR 96.027%)</v>
      </c>
      <c r="B2" s="769"/>
      <c r="C2" s="769"/>
      <c r="D2" s="769"/>
      <c r="E2" s="769"/>
      <c r="F2" s="769"/>
    </row>
    <row r="3" spans="1:8" s="68" customFormat="1" ht="20.100000000000001" customHeight="1">
      <c r="A3" s="769" t="s">
        <v>1176</v>
      </c>
      <c r="B3" s="769"/>
      <c r="C3" s="769"/>
      <c r="D3" s="769"/>
      <c r="E3" s="769"/>
      <c r="F3" s="769"/>
    </row>
    <row r="4" spans="1:8" s="68" customFormat="1" ht="20.100000000000001" customHeight="1">
      <c r="A4" s="769" t="str">
        <f>'Rate Case Constants'!C12</f>
        <v>AS OF DECEMBER 31, 2018</v>
      </c>
      <c r="B4" s="769"/>
      <c r="C4" s="769"/>
      <c r="D4" s="769"/>
      <c r="E4" s="769"/>
      <c r="F4" s="769"/>
    </row>
    <row r="5" spans="1:8" s="68" customFormat="1" ht="20.100000000000001" customHeight="1">
      <c r="A5" s="768" t="str">
        <f>'Rate Case Constants'!C18</f>
        <v>AS OF APRIL 30, 2020</v>
      </c>
      <c r="B5" s="769"/>
      <c r="C5" s="769"/>
      <c r="D5" s="769"/>
      <c r="E5" s="769"/>
      <c r="F5" s="769"/>
    </row>
    <row r="6" spans="1:8" s="68" customFormat="1" ht="20.100000000000001" customHeight="1">
      <c r="A6" s="84"/>
      <c r="B6" s="84"/>
      <c r="C6" s="84"/>
      <c r="D6" s="84"/>
      <c r="E6" s="84"/>
      <c r="F6" s="84"/>
    </row>
    <row r="7" spans="1:8" s="68" customFormat="1" ht="20.100000000000001" customHeight="1">
      <c r="A7" s="67" t="s">
        <v>174</v>
      </c>
      <c r="E7" s="74"/>
      <c r="F7" s="74" t="s">
        <v>1175</v>
      </c>
    </row>
    <row r="8" spans="1:8" s="68" customFormat="1" ht="20.100000000000001" customHeight="1">
      <c r="A8" s="68" t="str">
        <f>'Rate Case Constants'!C29</f>
        <v>TYPE OF FILING: __X__ ORIGINAL  _____ UPDATED  _____ REVISED</v>
      </c>
      <c r="E8" s="74"/>
      <c r="F8" s="74" t="s">
        <v>176</v>
      </c>
    </row>
    <row r="9" spans="1:8" s="68" customFormat="1" ht="20.100000000000001" customHeight="1">
      <c r="A9" s="67" t="s">
        <v>1197</v>
      </c>
      <c r="E9" s="75"/>
      <c r="F9" s="75" t="str">
        <f>'Rate Case Constants'!C36</f>
        <v>WITNESS:   C. M. GARRETT</v>
      </c>
    </row>
    <row r="10" spans="1:8" s="68" customFormat="1" ht="20.100000000000001" customHeight="1"/>
    <row r="11" spans="1:8" ht="58.5" customHeight="1">
      <c r="A11" s="76" t="s">
        <v>131</v>
      </c>
      <c r="B11" s="79" t="s">
        <v>1177</v>
      </c>
      <c r="C11" s="76" t="s">
        <v>1178</v>
      </c>
      <c r="D11" s="76" t="s">
        <v>1179</v>
      </c>
      <c r="E11" s="76"/>
      <c r="F11" s="76" t="s">
        <v>1180</v>
      </c>
    </row>
    <row r="12" spans="1:8" ht="23.1" customHeight="1">
      <c r="A12" s="80"/>
      <c r="B12" s="81"/>
      <c r="C12" s="81"/>
      <c r="D12" s="82" t="s">
        <v>142</v>
      </c>
      <c r="E12" s="82"/>
      <c r="F12" s="82" t="s">
        <v>142</v>
      </c>
    </row>
    <row r="13" spans="1:8" ht="23.1" customHeight="1">
      <c r="A13" s="73"/>
      <c r="B13" s="78" t="s">
        <v>1172</v>
      </c>
      <c r="C13" s="71"/>
      <c r="D13" s="95"/>
      <c r="E13" s="95"/>
      <c r="F13" s="95"/>
    </row>
    <row r="14" spans="1:8" ht="18.95" customHeight="1">
      <c r="A14" s="70">
        <v>1</v>
      </c>
      <c r="B14" s="78" t="s">
        <v>15</v>
      </c>
      <c r="C14" s="71" t="s">
        <v>1185</v>
      </c>
      <c r="D14" s="86">
        <f>'SCH B-2'!G27</f>
        <v>7284469938.5791378</v>
      </c>
      <c r="E14" s="86"/>
      <c r="F14" s="86">
        <f>'SCH B-2'!G55</f>
        <v>7701726106.7455273</v>
      </c>
    </row>
    <row r="15" spans="1:8" ht="18.95" customHeight="1">
      <c r="A15" s="70">
        <v>2</v>
      </c>
      <c r="B15" s="78" t="s">
        <v>1184</v>
      </c>
      <c r="C15" s="71" t="s">
        <v>1186</v>
      </c>
      <c r="D15" s="86">
        <f>SUM('SCH B-2.6'!$G13:$G18)</f>
        <v>1538143.9378618286</v>
      </c>
      <c r="E15" s="86"/>
      <c r="F15" s="86">
        <f>SUM('SCH B-2.6'!$G34:$G39)</f>
        <v>1561631.3929954083</v>
      </c>
      <c r="H15" s="93"/>
    </row>
    <row r="16" spans="1:8" ht="18.95" customHeight="1">
      <c r="A16" s="70">
        <v>3</v>
      </c>
      <c r="B16" s="78" t="s">
        <v>1181</v>
      </c>
      <c r="C16" s="71" t="s">
        <v>1187</v>
      </c>
      <c r="D16" s="131">
        <f>'SCH B-3 B'!$I116</f>
        <v>-2834452828.5468431</v>
      </c>
      <c r="E16" s="86"/>
      <c r="F16" s="131">
        <f>'SCH B-3 F'!$I116</f>
        <v>-2975782642.5156536</v>
      </c>
      <c r="H16" s="93"/>
    </row>
    <row r="17" spans="1:8" ht="18.95" customHeight="1">
      <c r="A17" s="70">
        <v>4</v>
      </c>
      <c r="B17" s="78" t="s">
        <v>1208</v>
      </c>
      <c r="C17" s="71"/>
      <c r="D17" s="86">
        <f>SUM(D14:D16)</f>
        <v>4451555253.9701557</v>
      </c>
      <c r="E17" s="86"/>
      <c r="F17" s="86">
        <f>SUM(F14:F16)</f>
        <v>4727505095.6228695</v>
      </c>
    </row>
    <row r="18" spans="1:8" ht="18.95" customHeight="1">
      <c r="A18" s="70">
        <v>5</v>
      </c>
      <c r="B18" s="78" t="s">
        <v>1182</v>
      </c>
      <c r="C18" s="71" t="s">
        <v>1189</v>
      </c>
      <c r="D18" s="131">
        <f>'SCH B-4'!J22</f>
        <v>63194588.983071715</v>
      </c>
      <c r="E18" s="86"/>
      <c r="F18" s="89">
        <f>'SCH B-4'!J47</f>
        <v>129485976.26643489</v>
      </c>
      <c r="H18" s="93"/>
    </row>
    <row r="19" spans="1:8" ht="18.95" customHeight="1">
      <c r="A19" s="70">
        <v>6</v>
      </c>
      <c r="B19" s="78" t="s">
        <v>1209</v>
      </c>
      <c r="C19" s="71"/>
      <c r="D19" s="86">
        <f>SUM(D17:D18)</f>
        <v>4514749842.953227</v>
      </c>
      <c r="E19" s="86"/>
      <c r="F19" s="86">
        <f>SUM(F17:F18)</f>
        <v>4856991071.8893042</v>
      </c>
    </row>
    <row r="20" spans="1:8" ht="8.25" customHeight="1">
      <c r="A20" s="70"/>
      <c r="B20" s="78"/>
      <c r="C20" s="71"/>
      <c r="D20" s="86"/>
      <c r="E20" s="86"/>
      <c r="F20" s="88"/>
    </row>
    <row r="21" spans="1:8" ht="18.95" customHeight="1">
      <c r="A21" s="70">
        <v>7</v>
      </c>
      <c r="B21" s="78" t="s">
        <v>1183</v>
      </c>
      <c r="C21" s="71" t="s">
        <v>1188</v>
      </c>
      <c r="D21" s="86">
        <f ca="1">'SCH B-5'!G21</f>
        <v>53045772.520828605</v>
      </c>
      <c r="E21" s="86"/>
      <c r="F21" s="86">
        <f>'SCH B-5'!G47</f>
        <v>95798185.522287518</v>
      </c>
    </row>
    <row r="22" spans="1:8" ht="18.95" customHeight="1">
      <c r="A22" s="70">
        <v>8</v>
      </c>
      <c r="B22" s="78" t="s">
        <v>1190</v>
      </c>
      <c r="C22" s="71" t="s">
        <v>1188</v>
      </c>
      <c r="D22" s="86">
        <f>'SCH B-5'!G13+'SCH B-5'!G15+'SCH B-5'!G17+'SCH B-5'!G19</f>
        <v>124397129.53519586</v>
      </c>
      <c r="E22" s="86"/>
      <c r="F22" s="86">
        <f>SUM('SCH B-5'!G39:G45)</f>
        <v>130928906.67087542</v>
      </c>
    </row>
    <row r="23" spans="1:8" ht="18.95" customHeight="1">
      <c r="A23" s="70">
        <v>9</v>
      </c>
      <c r="B23" s="78" t="s">
        <v>1191</v>
      </c>
      <c r="C23" s="71" t="s">
        <v>1192</v>
      </c>
      <c r="D23" s="86">
        <f>-'SCH B-6'!H12</f>
        <v>-951646.55364259379</v>
      </c>
      <c r="E23" s="86"/>
      <c r="F23" s="86">
        <f>-'SCH B-6'!H34</f>
        <v>-951646.55364259344</v>
      </c>
    </row>
    <row r="24" spans="1:8" ht="18.95" customHeight="1">
      <c r="A24" s="70">
        <v>10</v>
      </c>
      <c r="B24" s="78" t="s">
        <v>1193</v>
      </c>
      <c r="C24" s="71" t="s">
        <v>1192</v>
      </c>
      <c r="D24" s="86">
        <f>-'SCH B-6'!H16</f>
        <v>-939035759.52182817</v>
      </c>
      <c r="E24" s="86"/>
      <c r="F24" s="86">
        <f>-'SCH B-6'!H38</f>
        <v>-975724265.9467032</v>
      </c>
    </row>
    <row r="25" spans="1:8" ht="18.95" customHeight="1">
      <c r="A25" s="70">
        <v>11</v>
      </c>
      <c r="B25" s="78" t="s">
        <v>1194</v>
      </c>
      <c r="C25" s="71" t="s">
        <v>1192</v>
      </c>
      <c r="D25" s="86">
        <f>-'SCH B-6'!H14</f>
        <v>-79747509.863892987</v>
      </c>
      <c r="E25" s="86"/>
      <c r="F25" s="86">
        <f>-'SCH B-6'!H36</f>
        <v>-84144180.918382138</v>
      </c>
    </row>
    <row r="26" spans="1:8" ht="18.95" customHeight="1">
      <c r="A26" s="70">
        <v>12</v>
      </c>
      <c r="B26" s="78" t="s">
        <v>1195</v>
      </c>
      <c r="C26" s="71" t="s">
        <v>1192</v>
      </c>
      <c r="D26" s="131">
        <f>-'SCH B-6'!H18</f>
        <v>0</v>
      </c>
      <c r="E26" s="86"/>
      <c r="F26" s="131">
        <f>-'SCH B-6'!H40</f>
        <v>0</v>
      </c>
    </row>
    <row r="27" spans="1:8" ht="18.95" customHeight="1">
      <c r="A27" s="70"/>
      <c r="B27" s="78"/>
      <c r="C27" s="71"/>
      <c r="D27" s="86"/>
      <c r="E27" s="86"/>
      <c r="F27" s="88"/>
    </row>
    <row r="28" spans="1:8" ht="18.95" customHeight="1" thickBot="1">
      <c r="A28" s="70">
        <v>13</v>
      </c>
      <c r="B28" s="78" t="s">
        <v>1196</v>
      </c>
      <c r="C28" s="71"/>
      <c r="D28" s="94">
        <f ca="1">SUM(D19:D26)</f>
        <v>3672457829.0698881</v>
      </c>
      <c r="E28" s="86"/>
      <c r="F28" s="94">
        <f>SUM(F19:F26)</f>
        <v>4022898070.6637397</v>
      </c>
    </row>
    <row r="29" spans="1:8" ht="18.95" customHeight="1" thickTop="1">
      <c r="A29" s="70"/>
      <c r="B29" s="78"/>
      <c r="C29" s="71"/>
      <c r="D29" s="86"/>
      <c r="E29" s="86"/>
      <c r="F29" s="88"/>
    </row>
    <row r="30" spans="1:8" ht="18.95" customHeight="1">
      <c r="A30" s="70"/>
      <c r="B30" s="78"/>
      <c r="C30" s="71"/>
      <c r="D30" s="86"/>
      <c r="E30" s="86"/>
      <c r="F30" s="88"/>
    </row>
    <row r="31" spans="1:8" ht="18.95" customHeight="1">
      <c r="A31" s="70"/>
      <c r="B31" s="78"/>
      <c r="C31" s="71"/>
      <c r="D31" s="86"/>
      <c r="E31" s="86"/>
      <c r="F31" s="86"/>
    </row>
    <row r="32" spans="1:8" ht="18.95" customHeight="1">
      <c r="A32" s="70"/>
      <c r="B32" s="78"/>
      <c r="C32" s="71"/>
      <c r="D32" s="86"/>
      <c r="E32" s="86"/>
      <c r="F32" s="88"/>
    </row>
    <row r="33" spans="1:6" ht="18.95" customHeight="1">
      <c r="A33" s="70"/>
      <c r="B33" s="78"/>
      <c r="C33" s="71"/>
      <c r="D33" s="86"/>
      <c r="E33" s="86"/>
      <c r="F33" s="88"/>
    </row>
    <row r="34" spans="1:6" ht="18.95" customHeight="1">
      <c r="A34" s="70"/>
      <c r="B34" s="78"/>
      <c r="C34" s="71"/>
      <c r="D34" s="86"/>
      <c r="E34" s="86"/>
      <c r="F34" s="88"/>
    </row>
    <row r="35" spans="1:6" ht="18.95" customHeight="1">
      <c r="A35" s="70"/>
      <c r="B35" s="78"/>
      <c r="C35" s="71"/>
      <c r="D35" s="86"/>
      <c r="E35" s="86"/>
      <c r="F35" s="88"/>
    </row>
    <row r="36" spans="1:6" ht="18.95" customHeight="1">
      <c r="A36" s="70"/>
      <c r="B36" s="78"/>
      <c r="C36" s="71"/>
      <c r="D36" s="86"/>
      <c r="E36" s="86"/>
      <c r="F36" s="88"/>
    </row>
    <row r="37" spans="1:6" ht="18.95" customHeight="1">
      <c r="A37" s="70"/>
      <c r="B37" s="78"/>
      <c r="C37" s="71"/>
      <c r="D37" s="86"/>
      <c r="E37" s="86"/>
      <c r="F37" s="88"/>
    </row>
    <row r="38" spans="1:6" ht="18.95" customHeight="1">
      <c r="A38" s="70"/>
      <c r="B38" s="78"/>
      <c r="C38" s="71"/>
      <c r="D38" s="86"/>
      <c r="E38" s="86"/>
      <c r="F38" s="88"/>
    </row>
    <row r="39" spans="1:6" ht="18.95" customHeight="1">
      <c r="A39" s="70"/>
      <c r="B39" s="78"/>
      <c r="C39" s="71"/>
      <c r="D39" s="86"/>
      <c r="E39" s="86"/>
      <c r="F39" s="88"/>
    </row>
    <row r="40" spans="1:6" ht="18.95" customHeight="1">
      <c r="A40" s="70"/>
      <c r="B40" s="78"/>
      <c r="C40" s="71"/>
      <c r="D40" s="86"/>
      <c r="E40" s="86"/>
      <c r="F40" s="88"/>
    </row>
    <row r="41" spans="1:6" ht="18.95" customHeight="1">
      <c r="A41" s="70"/>
      <c r="B41" s="78"/>
      <c r="C41" s="71"/>
      <c r="D41" s="86"/>
      <c r="E41" s="86"/>
      <c r="F41" s="88"/>
    </row>
    <row r="42" spans="1:6" ht="18.95" customHeight="1">
      <c r="A42" s="70"/>
      <c r="B42" s="78"/>
      <c r="C42" s="71"/>
      <c r="D42" s="86"/>
      <c r="E42" s="86"/>
      <c r="F42" s="88"/>
    </row>
    <row r="43" spans="1:6" ht="18.95" customHeight="1">
      <c r="A43" s="70"/>
      <c r="B43" s="78"/>
      <c r="C43" s="71"/>
      <c r="D43" s="86"/>
      <c r="E43" s="86"/>
      <c r="F43" s="88"/>
    </row>
    <row r="44" spans="1:6" ht="18.95" customHeight="1">
      <c r="A44" s="70"/>
      <c r="B44" s="78"/>
      <c r="C44" s="71"/>
      <c r="D44" s="86"/>
      <c r="E44" s="86"/>
      <c r="F44" s="88"/>
    </row>
    <row r="45" spans="1:6" ht="18.95" customHeight="1">
      <c r="A45" s="70"/>
      <c r="B45" s="78"/>
      <c r="C45" s="71"/>
      <c r="D45" s="86"/>
      <c r="E45" s="86"/>
      <c r="F45" s="88"/>
    </row>
    <row r="46" spans="1:6" ht="18.95" customHeight="1">
      <c r="A46" s="70"/>
      <c r="B46" s="78"/>
      <c r="C46" s="71"/>
      <c r="D46" s="86"/>
      <c r="E46" s="86"/>
      <c r="F46" s="88"/>
    </row>
    <row r="47" spans="1:6" ht="18.95" customHeight="1">
      <c r="A47" s="70"/>
      <c r="B47" s="78"/>
      <c r="C47" s="71"/>
      <c r="D47" s="86"/>
      <c r="E47" s="86"/>
      <c r="F47" s="88"/>
    </row>
  </sheetData>
  <mergeCells count="5">
    <mergeCell ref="A5:F5"/>
    <mergeCell ref="A1:F1"/>
    <mergeCell ref="A2:F2"/>
    <mergeCell ref="A3:F3"/>
    <mergeCell ref="A4:F4"/>
  </mergeCells>
  <pageMargins left="0.95" right="0.5" top="0.75" bottom="0.75" header="0.3" footer="0.3"/>
  <pageSetup scale="96"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1"/>
  <sheetViews>
    <sheetView zoomScale="75" zoomScaleNormal="75" workbookViewId="0">
      <selection activeCell="D12" sqref="D12"/>
    </sheetView>
  </sheetViews>
  <sheetFormatPr defaultColWidth="11" defaultRowHeight="15.75"/>
  <cols>
    <col min="1" max="1" width="9" style="647"/>
    <col min="2" max="2" width="9" style="470"/>
    <col min="3" max="3" width="1.6640625" style="470" customWidth="1"/>
    <col min="4" max="4" width="59.77734375" style="470" customWidth="1"/>
    <col min="5" max="5" width="1.6640625" style="470" customWidth="1"/>
    <col min="6" max="6" width="20.21875" style="469" bestFit="1" customWidth="1"/>
    <col min="7" max="7" width="1.6640625" style="470" customWidth="1"/>
    <col min="8" max="8" width="10.109375" style="656" bestFit="1" customWidth="1"/>
    <col min="9" max="9" width="1.6640625" style="656" customWidth="1"/>
    <col min="10" max="10" width="11.88671875" style="656" bestFit="1" customWidth="1"/>
    <col min="11" max="11" width="1.6640625" style="656" customWidth="1"/>
    <col min="12" max="12" width="11.109375" style="656" bestFit="1" customWidth="1"/>
    <col min="13" max="13" width="1.6640625" style="656" customWidth="1"/>
    <col min="14" max="14" width="10.44140625" style="656" bestFit="1" customWidth="1"/>
    <col min="15" max="15" width="1.6640625" style="656" customWidth="1"/>
    <col min="16" max="16" width="15.33203125" style="656" bestFit="1" customWidth="1"/>
    <col min="17" max="17" width="1.6640625" style="656" customWidth="1"/>
    <col min="18" max="18" width="13.109375" style="656" bestFit="1" customWidth="1"/>
    <col min="19" max="16384" width="11" style="468"/>
  </cols>
  <sheetData>
    <row r="1" spans="1:18">
      <c r="B1" s="783" t="s">
        <v>0</v>
      </c>
      <c r="C1" s="783"/>
      <c r="D1" s="783"/>
      <c r="E1" s="783"/>
      <c r="F1" s="783"/>
      <c r="G1" s="783"/>
      <c r="H1" s="783"/>
      <c r="I1" s="783"/>
      <c r="J1" s="783"/>
      <c r="K1" s="783"/>
      <c r="L1" s="783"/>
      <c r="M1" s="783"/>
      <c r="N1" s="783"/>
      <c r="O1" s="783"/>
      <c r="P1" s="783"/>
      <c r="Q1" s="783"/>
      <c r="R1" s="783"/>
    </row>
    <row r="2" spans="1:18">
      <c r="A2" s="273"/>
      <c r="B2" s="238"/>
      <c r="C2" s="238"/>
      <c r="D2" s="238"/>
      <c r="E2" s="238"/>
      <c r="F2" s="244"/>
      <c r="G2" s="238"/>
      <c r="H2" s="648"/>
      <c r="I2" s="648"/>
      <c r="J2" s="648"/>
      <c r="K2" s="648"/>
      <c r="L2" s="648"/>
      <c r="M2" s="648"/>
      <c r="N2" s="648"/>
      <c r="O2" s="648"/>
      <c r="P2" s="251"/>
      <c r="Q2" s="251"/>
      <c r="R2" s="251"/>
    </row>
    <row r="3" spans="1:18">
      <c r="A3" s="273"/>
      <c r="B3" s="238"/>
      <c r="C3" s="238"/>
      <c r="D3" s="238"/>
      <c r="E3" s="238"/>
      <c r="F3" s="244"/>
      <c r="G3" s="238"/>
      <c r="H3" s="648"/>
      <c r="I3" s="648"/>
      <c r="J3" s="648"/>
      <c r="K3" s="648"/>
      <c r="L3" s="648"/>
      <c r="M3" s="648"/>
      <c r="N3" s="648"/>
      <c r="O3" s="648"/>
      <c r="P3" s="251"/>
      <c r="Q3" s="251"/>
      <c r="R3" s="251"/>
    </row>
    <row r="4" spans="1:18">
      <c r="A4" s="787" t="s">
        <v>2270</v>
      </c>
      <c r="B4" s="787"/>
      <c r="C4" s="787"/>
      <c r="D4" s="787"/>
      <c r="E4" s="787"/>
      <c r="F4" s="787"/>
      <c r="G4" s="787"/>
      <c r="H4" s="787"/>
      <c r="I4" s="787"/>
      <c r="J4" s="787"/>
      <c r="K4" s="787"/>
      <c r="L4" s="787"/>
      <c r="M4" s="787"/>
      <c r="N4" s="787"/>
      <c r="O4" s="787"/>
      <c r="P4" s="787"/>
      <c r="Q4" s="787"/>
      <c r="R4" s="787"/>
    </row>
    <row r="5" spans="1:18">
      <c r="A5" s="787" t="s">
        <v>2710</v>
      </c>
      <c r="B5" s="787"/>
      <c r="C5" s="787"/>
      <c r="D5" s="787"/>
      <c r="E5" s="787"/>
      <c r="F5" s="787"/>
      <c r="G5" s="787"/>
      <c r="H5" s="787"/>
      <c r="I5" s="787"/>
      <c r="J5" s="787"/>
      <c r="K5" s="787"/>
      <c r="L5" s="787"/>
      <c r="M5" s="787"/>
      <c r="N5" s="787"/>
      <c r="O5" s="787"/>
      <c r="P5" s="787"/>
      <c r="Q5" s="787"/>
      <c r="R5" s="787"/>
    </row>
    <row r="6" spans="1:18">
      <c r="A6" s="273"/>
      <c r="B6" s="241"/>
      <c r="C6" s="242"/>
      <c r="D6" s="242"/>
      <c r="E6" s="242"/>
      <c r="F6" s="250"/>
      <c r="G6" s="242"/>
      <c r="H6" s="251"/>
      <c r="I6" s="251"/>
      <c r="J6" s="251"/>
      <c r="K6" s="251"/>
      <c r="L6" s="251"/>
      <c r="M6" s="251"/>
      <c r="N6" s="251"/>
      <c r="O6" s="251"/>
      <c r="P6" s="251"/>
      <c r="Q6" s="251"/>
      <c r="R6" s="251"/>
    </row>
    <row r="7" spans="1:18">
      <c r="A7" s="273"/>
      <c r="B7" s="241"/>
      <c r="C7" s="242"/>
      <c r="D7" s="242"/>
      <c r="E7" s="242"/>
      <c r="F7" s="250"/>
      <c r="G7" s="242"/>
      <c r="H7" s="251"/>
      <c r="I7" s="251"/>
      <c r="J7" s="251"/>
      <c r="K7" s="251"/>
      <c r="L7" s="251"/>
      <c r="M7" s="251"/>
      <c r="N7" s="251"/>
      <c r="O7" s="251"/>
      <c r="P7" s="251"/>
      <c r="Q7" s="251"/>
      <c r="R7" s="251"/>
    </row>
    <row r="8" spans="1:18">
      <c r="A8" s="273"/>
      <c r="B8" s="241"/>
      <c r="C8" s="242"/>
      <c r="D8" s="242"/>
      <c r="E8" s="242"/>
      <c r="F8" s="250"/>
      <c r="G8" s="242"/>
      <c r="H8" s="648" t="s">
        <v>1252</v>
      </c>
      <c r="I8" s="251"/>
      <c r="J8" s="648" t="s">
        <v>1253</v>
      </c>
      <c r="K8" s="648"/>
      <c r="L8" s="648" t="s">
        <v>1254</v>
      </c>
      <c r="M8" s="648"/>
      <c r="N8" s="648" t="s">
        <v>1255</v>
      </c>
      <c r="O8" s="648"/>
      <c r="P8" s="251"/>
      <c r="Q8" s="251"/>
      <c r="R8" s="251"/>
    </row>
    <row r="9" spans="1:18">
      <c r="A9" s="272"/>
      <c r="B9" s="239"/>
      <c r="C9" s="243"/>
      <c r="D9" s="244"/>
      <c r="E9" s="643"/>
      <c r="F9" s="244" t="s">
        <v>1256</v>
      </c>
      <c r="G9" s="643"/>
      <c r="H9" s="648" t="s">
        <v>1257</v>
      </c>
      <c r="I9" s="251"/>
      <c r="J9" s="648" t="s">
        <v>1258</v>
      </c>
      <c r="K9" s="648"/>
      <c r="L9" s="648" t="s">
        <v>1259</v>
      </c>
      <c r="M9" s="648"/>
      <c r="N9" s="648" t="s">
        <v>1260</v>
      </c>
      <c r="O9" s="648"/>
      <c r="P9" s="251"/>
      <c r="Q9" s="251"/>
      <c r="R9" s="648" t="s">
        <v>1261</v>
      </c>
    </row>
    <row r="10" spans="1:18">
      <c r="A10" s="272"/>
      <c r="B10" s="239"/>
      <c r="C10" s="243"/>
      <c r="D10" s="643"/>
      <c r="E10" s="643"/>
      <c r="F10" s="244" t="s">
        <v>1260</v>
      </c>
      <c r="G10" s="643"/>
      <c r="H10" s="649" t="s">
        <v>1262</v>
      </c>
      <c r="I10" s="251"/>
      <c r="J10" s="649" t="s">
        <v>1262</v>
      </c>
      <c r="K10" s="649"/>
      <c r="L10" s="649" t="s">
        <v>1262</v>
      </c>
      <c r="M10" s="649"/>
      <c r="N10" s="649" t="s">
        <v>1262</v>
      </c>
      <c r="O10" s="649"/>
      <c r="P10" s="648" t="s">
        <v>1263</v>
      </c>
      <c r="Q10" s="648"/>
      <c r="R10" s="648" t="s">
        <v>1264</v>
      </c>
    </row>
    <row r="11" spans="1:18" s="471" customFormat="1">
      <c r="A11" s="784" t="s">
        <v>1265</v>
      </c>
      <c r="B11" s="784"/>
      <c r="C11" s="784"/>
      <c r="D11" s="784"/>
      <c r="E11" s="643"/>
      <c r="F11" s="245" t="s">
        <v>1266</v>
      </c>
      <c r="G11" s="643"/>
      <c r="H11" s="650" t="s">
        <v>1267</v>
      </c>
      <c r="I11" s="251"/>
      <c r="J11" s="650" t="s">
        <v>1268</v>
      </c>
      <c r="K11" s="648"/>
      <c r="L11" s="650" t="s">
        <v>1268</v>
      </c>
      <c r="M11" s="648"/>
      <c r="N11" s="650" t="s">
        <v>1268</v>
      </c>
      <c r="O11" s="650"/>
      <c r="P11" s="650" t="s">
        <v>1269</v>
      </c>
      <c r="Q11" s="650"/>
      <c r="R11" s="650" t="s">
        <v>1270</v>
      </c>
    </row>
    <row r="12" spans="1:18">
      <c r="A12" s="272"/>
      <c r="B12" s="239"/>
      <c r="C12" s="243"/>
      <c r="D12" s="246"/>
      <c r="E12" s="246"/>
      <c r="F12" s="244"/>
      <c r="G12" s="246"/>
      <c r="H12" s="648"/>
      <c r="I12" s="251"/>
      <c r="J12" s="648"/>
      <c r="K12" s="251"/>
      <c r="L12" s="648"/>
      <c r="M12" s="251"/>
      <c r="N12" s="648"/>
      <c r="O12" s="648"/>
      <c r="P12" s="251"/>
      <c r="Q12" s="251"/>
      <c r="R12" s="251"/>
    </row>
    <row r="13" spans="1:18">
      <c r="A13" s="272"/>
      <c r="B13" s="239"/>
      <c r="C13" s="249"/>
      <c r="D13" s="247" t="s">
        <v>1271</v>
      </c>
      <c r="E13" s="249"/>
      <c r="F13" s="250"/>
      <c r="G13" s="249"/>
      <c r="H13" s="251"/>
      <c r="I13" s="251"/>
      <c r="J13" s="251"/>
      <c r="K13" s="251"/>
      <c r="L13" s="251"/>
      <c r="M13" s="251"/>
      <c r="N13" s="251"/>
      <c r="O13" s="251"/>
      <c r="P13" s="251"/>
      <c r="Q13" s="251"/>
      <c r="R13" s="251"/>
    </row>
    <row r="14" spans="1:18">
      <c r="A14" s="272"/>
      <c r="B14" s="239"/>
      <c r="C14" s="249"/>
      <c r="D14" s="249"/>
      <c r="E14" s="249"/>
      <c r="F14" s="250"/>
      <c r="G14" s="249"/>
      <c r="H14" s="251"/>
      <c r="I14" s="251"/>
      <c r="J14" s="251"/>
      <c r="K14" s="251"/>
      <c r="L14" s="251"/>
      <c r="M14" s="251"/>
      <c r="N14" s="251"/>
      <c r="O14" s="251"/>
      <c r="P14" s="251"/>
      <c r="Q14" s="251"/>
      <c r="R14" s="251"/>
    </row>
    <row r="15" spans="1:18">
      <c r="A15" s="272"/>
      <c r="B15" s="239"/>
      <c r="C15" s="249"/>
      <c r="D15" s="245" t="s">
        <v>294</v>
      </c>
      <c r="E15" s="249"/>
      <c r="F15" s="250"/>
      <c r="G15" s="249"/>
      <c r="H15" s="251"/>
      <c r="I15" s="251"/>
      <c r="J15" s="251"/>
      <c r="K15" s="251"/>
      <c r="L15" s="251"/>
      <c r="M15" s="251"/>
      <c r="N15" s="251"/>
      <c r="O15" s="251"/>
      <c r="P15" s="251"/>
      <c r="Q15" s="251"/>
      <c r="R15" s="251"/>
    </row>
    <row r="16" spans="1:18">
      <c r="A16" s="272"/>
      <c r="B16" s="239"/>
      <c r="C16" s="249"/>
      <c r="D16" s="249"/>
      <c r="E16" s="249"/>
      <c r="F16" s="250"/>
      <c r="G16" s="249"/>
      <c r="H16" s="251"/>
      <c r="I16" s="251"/>
      <c r="J16" s="251"/>
      <c r="K16" s="251"/>
      <c r="L16" s="251"/>
      <c r="M16" s="251"/>
      <c r="N16" s="251"/>
      <c r="O16" s="251"/>
      <c r="P16" s="251"/>
      <c r="Q16" s="251"/>
      <c r="R16" s="251"/>
    </row>
    <row r="17" spans="1:18">
      <c r="A17" s="272"/>
      <c r="B17" s="248">
        <v>302</v>
      </c>
      <c r="C17" s="249"/>
      <c r="D17" s="249" t="s">
        <v>1272</v>
      </c>
      <c r="E17" s="249"/>
      <c r="F17" s="250">
        <v>0</v>
      </c>
      <c r="G17" s="249"/>
      <c r="H17" s="251">
        <v>3.63</v>
      </c>
      <c r="I17" s="251"/>
      <c r="J17" s="251">
        <v>3.63</v>
      </c>
      <c r="K17" s="251"/>
      <c r="L17" s="251">
        <v>0</v>
      </c>
      <c r="M17" s="251"/>
      <c r="N17" s="251">
        <v>0</v>
      </c>
      <c r="O17" s="251"/>
      <c r="P17" s="651" t="s">
        <v>1273</v>
      </c>
      <c r="Q17" s="251"/>
      <c r="R17" s="652">
        <v>1.6</v>
      </c>
    </row>
    <row r="18" spans="1:18">
      <c r="A18" s="272"/>
      <c r="B18" s="248">
        <v>303</v>
      </c>
      <c r="C18" s="249"/>
      <c r="D18" s="249" t="s">
        <v>1274</v>
      </c>
      <c r="E18" s="249"/>
      <c r="F18" s="250">
        <v>0</v>
      </c>
      <c r="G18" s="249"/>
      <c r="H18" s="251">
        <v>20.96</v>
      </c>
      <c r="I18" s="251"/>
      <c r="J18" s="251">
        <v>20.96</v>
      </c>
      <c r="K18" s="251"/>
      <c r="L18" s="251">
        <v>0</v>
      </c>
      <c r="M18" s="251"/>
      <c r="N18" s="251">
        <v>0</v>
      </c>
      <c r="O18" s="251"/>
      <c r="P18" s="651" t="s">
        <v>1275</v>
      </c>
      <c r="Q18" s="251"/>
      <c r="R18" s="652">
        <v>3.1</v>
      </c>
    </row>
    <row r="19" spans="1:18">
      <c r="A19" s="272"/>
      <c r="B19" s="248">
        <v>303.10000000000002</v>
      </c>
      <c r="C19" s="249"/>
      <c r="D19" s="249" t="s">
        <v>1276</v>
      </c>
      <c r="E19" s="249"/>
      <c r="F19" s="250">
        <v>0</v>
      </c>
      <c r="G19" s="249"/>
      <c r="H19" s="251">
        <v>10.06</v>
      </c>
      <c r="I19" s="251"/>
      <c r="J19" s="251">
        <v>10.06</v>
      </c>
      <c r="K19" s="251"/>
      <c r="L19" s="251">
        <v>0</v>
      </c>
      <c r="M19" s="251"/>
      <c r="N19" s="251">
        <v>0</v>
      </c>
      <c r="O19" s="251"/>
      <c r="P19" s="651" t="s">
        <v>1277</v>
      </c>
      <c r="Q19" s="251"/>
      <c r="R19" s="652">
        <v>3.5</v>
      </c>
    </row>
    <row r="20" spans="1:18">
      <c r="A20" s="272"/>
      <c r="B20" s="239"/>
      <c r="C20" s="249"/>
      <c r="D20" s="249"/>
      <c r="E20" s="249"/>
      <c r="F20" s="250"/>
      <c r="G20" s="249"/>
      <c r="H20" s="251"/>
      <c r="I20" s="251"/>
      <c r="J20" s="251"/>
      <c r="K20" s="251"/>
      <c r="L20" s="251"/>
      <c r="M20" s="251"/>
      <c r="N20" s="251"/>
      <c r="O20" s="251"/>
      <c r="P20" s="251"/>
      <c r="Q20" s="251"/>
      <c r="R20" s="251"/>
    </row>
    <row r="21" spans="1:18">
      <c r="A21" s="272">
        <v>302</v>
      </c>
      <c r="B21" s="239"/>
      <c r="C21" s="249"/>
      <c r="D21" s="247" t="s">
        <v>1278</v>
      </c>
      <c r="E21" s="249"/>
      <c r="F21" s="250"/>
      <c r="G21" s="249"/>
      <c r="H21" s="251">
        <v>3.63</v>
      </c>
      <c r="I21" s="251"/>
      <c r="J21" s="251"/>
      <c r="K21" s="251"/>
      <c r="L21" s="251"/>
      <c r="M21" s="251"/>
      <c r="N21" s="251"/>
      <c r="O21" s="251"/>
      <c r="P21" s="653" t="s">
        <v>1273</v>
      </c>
      <c r="Q21" s="251"/>
      <c r="R21" s="251">
        <v>3.3</v>
      </c>
    </row>
    <row r="22" spans="1:18">
      <c r="A22" s="272">
        <v>303</v>
      </c>
      <c r="B22" s="239"/>
      <c r="C22" s="249"/>
      <c r="D22" s="247" t="s">
        <v>1278</v>
      </c>
      <c r="E22" s="249"/>
      <c r="F22" s="250"/>
      <c r="G22" s="249"/>
      <c r="H22" s="251">
        <v>16.11</v>
      </c>
      <c r="I22" s="251"/>
      <c r="J22" s="251"/>
      <c r="K22" s="251"/>
      <c r="L22" s="251"/>
      <c r="M22" s="251"/>
      <c r="N22" s="251"/>
      <c r="O22" s="251"/>
      <c r="P22" s="251" t="s">
        <v>1415</v>
      </c>
      <c r="Q22" s="251"/>
      <c r="R22" s="653" t="s">
        <v>1835</v>
      </c>
    </row>
    <row r="23" spans="1:18">
      <c r="A23" s="272"/>
      <c r="B23" s="239"/>
      <c r="C23" s="249"/>
      <c r="D23" s="247"/>
      <c r="E23" s="249"/>
      <c r="F23" s="250"/>
      <c r="G23" s="249"/>
      <c r="H23" s="251"/>
      <c r="I23" s="251"/>
      <c r="J23" s="251"/>
      <c r="K23" s="251"/>
      <c r="L23" s="251"/>
      <c r="M23" s="251"/>
      <c r="N23" s="251"/>
      <c r="O23" s="251"/>
      <c r="P23" s="251"/>
      <c r="Q23" s="251"/>
      <c r="R23" s="251"/>
    </row>
    <row r="24" spans="1:18">
      <c r="A24" s="272"/>
      <c r="B24" s="239"/>
      <c r="C24" s="249"/>
      <c r="D24" s="249"/>
      <c r="E24" s="249"/>
      <c r="F24" s="250"/>
      <c r="G24" s="249"/>
      <c r="H24" s="251"/>
      <c r="I24" s="251"/>
      <c r="J24" s="251"/>
      <c r="K24" s="251"/>
      <c r="L24" s="251"/>
      <c r="M24" s="251"/>
      <c r="N24" s="251"/>
      <c r="O24" s="251"/>
      <c r="P24" s="251"/>
      <c r="Q24" s="251"/>
      <c r="R24" s="251"/>
    </row>
    <row r="25" spans="1:18">
      <c r="A25" s="272"/>
      <c r="B25" s="239"/>
      <c r="C25" s="249"/>
      <c r="D25" s="244" t="s">
        <v>1279</v>
      </c>
      <c r="E25" s="249"/>
      <c r="F25" s="250"/>
      <c r="G25" s="249"/>
      <c r="H25" s="251"/>
      <c r="I25" s="251"/>
      <c r="J25" s="251"/>
      <c r="K25" s="251"/>
      <c r="L25" s="251"/>
      <c r="M25" s="251"/>
      <c r="N25" s="251"/>
      <c r="O25" s="251"/>
      <c r="P25" s="251"/>
      <c r="Q25" s="251"/>
      <c r="R25" s="251"/>
    </row>
    <row r="26" spans="1:18">
      <c r="A26" s="272"/>
      <c r="B26" s="239"/>
      <c r="C26" s="249"/>
      <c r="D26" s="252"/>
      <c r="E26" s="249"/>
      <c r="F26" s="250"/>
      <c r="G26" s="249"/>
      <c r="H26" s="251"/>
      <c r="I26" s="251"/>
      <c r="J26" s="251"/>
      <c r="K26" s="251"/>
      <c r="L26" s="251"/>
      <c r="M26" s="251"/>
      <c r="N26" s="251"/>
      <c r="O26" s="251"/>
      <c r="P26" s="251"/>
      <c r="Q26" s="251"/>
      <c r="R26" s="251"/>
    </row>
    <row r="27" spans="1:18">
      <c r="A27" s="272"/>
      <c r="B27" s="248">
        <v>311</v>
      </c>
      <c r="C27" s="249"/>
      <c r="D27" s="249" t="s">
        <v>1280</v>
      </c>
      <c r="E27" s="249"/>
      <c r="F27" s="250"/>
      <c r="G27" s="249"/>
      <c r="H27" s="251"/>
      <c r="I27" s="251"/>
      <c r="J27" s="251"/>
      <c r="K27" s="251"/>
      <c r="L27" s="251"/>
      <c r="M27" s="251"/>
      <c r="N27" s="251"/>
      <c r="O27" s="251"/>
      <c r="P27" s="251"/>
      <c r="Q27" s="251"/>
      <c r="R27" s="251"/>
    </row>
    <row r="28" spans="1:18">
      <c r="A28" s="272"/>
      <c r="B28" s="248"/>
      <c r="C28" s="249"/>
      <c r="D28" s="253" t="s">
        <v>1281</v>
      </c>
      <c r="E28" s="249"/>
      <c r="F28" s="654">
        <v>-13</v>
      </c>
      <c r="G28" s="249"/>
      <c r="H28" s="251">
        <v>1.81</v>
      </c>
      <c r="I28" s="251"/>
      <c r="J28" s="251">
        <v>1.6</v>
      </c>
      <c r="K28" s="251"/>
      <c r="L28" s="251">
        <v>0.21</v>
      </c>
      <c r="M28" s="251"/>
      <c r="N28" s="251">
        <v>0</v>
      </c>
      <c r="O28" s="251"/>
      <c r="P28" s="655" t="s">
        <v>2703</v>
      </c>
      <c r="Q28" s="251"/>
      <c r="R28" s="251">
        <v>46.504146531459178</v>
      </c>
    </row>
    <row r="29" spans="1:18">
      <c r="A29" s="272"/>
      <c r="B29" s="248"/>
      <c r="C29" s="249"/>
      <c r="D29" s="253" t="s">
        <v>1282</v>
      </c>
      <c r="E29" s="249"/>
      <c r="F29" s="654">
        <v>-13</v>
      </c>
      <c r="G29" s="249"/>
      <c r="H29" s="251">
        <v>1.21</v>
      </c>
      <c r="I29" s="251"/>
      <c r="J29" s="251">
        <v>1.0699999999999998</v>
      </c>
      <c r="K29" s="251"/>
      <c r="L29" s="251">
        <v>0.14000000000000001</v>
      </c>
      <c r="M29" s="251"/>
      <c r="N29" s="251">
        <v>0</v>
      </c>
      <c r="O29" s="251"/>
      <c r="P29" s="655" t="s">
        <v>2703</v>
      </c>
      <c r="Q29" s="251"/>
      <c r="R29" s="251">
        <v>45.332728759384523</v>
      </c>
    </row>
    <row r="30" spans="1:18">
      <c r="A30" s="272"/>
      <c r="B30" s="248"/>
      <c r="C30" s="249"/>
      <c r="D30" s="253" t="s">
        <v>1283</v>
      </c>
      <c r="E30" s="249"/>
      <c r="F30" s="654">
        <v>0</v>
      </c>
      <c r="G30" s="249"/>
      <c r="H30" s="251">
        <v>1.54</v>
      </c>
      <c r="I30" s="251"/>
      <c r="J30" s="251">
        <v>1.54</v>
      </c>
      <c r="K30" s="251"/>
      <c r="L30" s="251">
        <v>0</v>
      </c>
      <c r="M30" s="251"/>
      <c r="N30" s="251">
        <v>0</v>
      </c>
      <c r="O30" s="251"/>
      <c r="P30" s="655" t="s">
        <v>2703</v>
      </c>
      <c r="Q30" s="251"/>
      <c r="R30" s="251">
        <v>22.165532088206202</v>
      </c>
    </row>
    <row r="31" spans="1:18">
      <c r="A31" s="272"/>
      <c r="B31" s="248"/>
      <c r="C31" s="249"/>
      <c r="D31" s="253" t="s">
        <v>1289</v>
      </c>
      <c r="E31" s="249"/>
      <c r="F31" s="654">
        <v>-6</v>
      </c>
      <c r="G31" s="249"/>
      <c r="H31" s="251">
        <v>0.04</v>
      </c>
      <c r="I31" s="251"/>
      <c r="J31" s="251">
        <v>0.04</v>
      </c>
      <c r="K31" s="251"/>
      <c r="L31" s="251">
        <v>0</v>
      </c>
      <c r="M31" s="251"/>
      <c r="N31" s="251">
        <v>0</v>
      </c>
      <c r="O31" s="251"/>
      <c r="P31" s="655" t="s">
        <v>2703</v>
      </c>
      <c r="Q31" s="251"/>
      <c r="R31" s="251">
        <v>1.1696045736064793</v>
      </c>
    </row>
    <row r="32" spans="1:18">
      <c r="A32" s="272"/>
      <c r="B32" s="248"/>
      <c r="C32" s="249"/>
      <c r="D32" s="253" t="s">
        <v>1290</v>
      </c>
      <c r="E32" s="249"/>
      <c r="F32" s="654">
        <v>-6</v>
      </c>
      <c r="G32" s="249"/>
      <c r="H32" s="251">
        <v>0.63</v>
      </c>
      <c r="I32" s="251"/>
      <c r="J32" s="251">
        <v>0.59</v>
      </c>
      <c r="K32" s="251"/>
      <c r="L32" s="251">
        <v>0.04</v>
      </c>
      <c r="M32" s="251"/>
      <c r="N32" s="251">
        <v>0</v>
      </c>
      <c r="O32" s="251"/>
      <c r="P32" s="655" t="s">
        <v>2703</v>
      </c>
      <c r="Q32" s="251"/>
      <c r="R32" s="251">
        <v>1.1699517574086837</v>
      </c>
    </row>
    <row r="33" spans="1:18">
      <c r="A33" s="272"/>
      <c r="B33" s="248"/>
      <c r="C33" s="249"/>
      <c r="D33" s="253" t="s">
        <v>1291</v>
      </c>
      <c r="E33" s="249"/>
      <c r="F33" s="654">
        <v>-6</v>
      </c>
      <c r="G33" s="249"/>
      <c r="H33" s="251">
        <v>3.17</v>
      </c>
      <c r="I33" s="251"/>
      <c r="J33" s="251">
        <v>2.9899999999999998</v>
      </c>
      <c r="K33" s="251"/>
      <c r="L33" s="251">
        <v>0.18</v>
      </c>
      <c r="M33" s="251"/>
      <c r="N33" s="251">
        <v>0</v>
      </c>
      <c r="O33" s="251"/>
      <c r="P33" s="655" t="s">
        <v>2703</v>
      </c>
      <c r="Q33" s="251"/>
      <c r="R33" s="251">
        <v>17.325755079264649</v>
      </c>
    </row>
    <row r="34" spans="1:18">
      <c r="A34" s="272"/>
      <c r="B34" s="248"/>
      <c r="C34" s="249"/>
      <c r="D34" s="253" t="s">
        <v>1292</v>
      </c>
      <c r="E34" s="249"/>
      <c r="F34" s="654">
        <v>-6</v>
      </c>
      <c r="G34" s="249"/>
      <c r="H34" s="251">
        <v>4.54</v>
      </c>
      <c r="I34" s="251"/>
      <c r="J34" s="251">
        <v>4.28</v>
      </c>
      <c r="K34" s="251"/>
      <c r="L34" s="251">
        <v>0.26</v>
      </c>
      <c r="M34" s="251"/>
      <c r="N34" s="251">
        <v>0</v>
      </c>
      <c r="O34" s="251"/>
      <c r="P34" s="655" t="s">
        <v>2703</v>
      </c>
      <c r="Q34" s="251"/>
      <c r="R34" s="251">
        <v>17.380040006304025</v>
      </c>
    </row>
    <row r="35" spans="1:18">
      <c r="A35" s="272"/>
      <c r="B35" s="248"/>
      <c r="C35" s="249"/>
      <c r="D35" s="253" t="s">
        <v>1294</v>
      </c>
      <c r="E35" s="249"/>
      <c r="F35" s="654">
        <v>-8</v>
      </c>
      <c r="G35" s="249"/>
      <c r="H35" s="251">
        <v>1.1399999999999999</v>
      </c>
      <c r="I35" s="251"/>
      <c r="J35" s="251">
        <v>1.0599999999999998</v>
      </c>
      <c r="K35" s="251"/>
      <c r="L35" s="251">
        <v>0.08</v>
      </c>
      <c r="M35" s="251"/>
      <c r="N35" s="251">
        <v>0</v>
      </c>
      <c r="O35" s="251"/>
      <c r="P35" s="655" t="s">
        <v>2703</v>
      </c>
      <c r="Q35" s="251"/>
      <c r="R35" s="251">
        <v>16.310574207718858</v>
      </c>
    </row>
    <row r="36" spans="1:18">
      <c r="A36" s="272"/>
      <c r="B36" s="248"/>
      <c r="C36" s="249"/>
      <c r="D36" s="253" t="s">
        <v>1295</v>
      </c>
      <c r="E36" s="249"/>
      <c r="F36" s="654">
        <v>-8</v>
      </c>
      <c r="G36" s="249"/>
      <c r="H36" s="251">
        <v>1.68</v>
      </c>
      <c r="I36" s="251"/>
      <c r="J36" s="251">
        <v>1.56</v>
      </c>
      <c r="K36" s="251"/>
      <c r="L36" s="251">
        <v>0.12</v>
      </c>
      <c r="M36" s="251"/>
      <c r="N36" s="251">
        <v>0</v>
      </c>
      <c r="O36" s="251"/>
      <c r="P36" s="655" t="s">
        <v>2703</v>
      </c>
      <c r="Q36" s="251"/>
      <c r="R36" s="251">
        <v>16.334994040990171</v>
      </c>
    </row>
    <row r="37" spans="1:18">
      <c r="A37" s="272"/>
      <c r="B37" s="248"/>
      <c r="C37" s="249"/>
      <c r="D37" s="253" t="s">
        <v>1296</v>
      </c>
      <c r="E37" s="249"/>
      <c r="F37" s="654">
        <v>-8</v>
      </c>
      <c r="G37" s="249"/>
      <c r="H37" s="251">
        <v>1.31</v>
      </c>
      <c r="I37" s="251"/>
      <c r="J37" s="251">
        <v>1.21</v>
      </c>
      <c r="K37" s="251"/>
      <c r="L37" s="251">
        <v>0.1</v>
      </c>
      <c r="M37" s="251"/>
      <c r="N37" s="251">
        <v>0</v>
      </c>
      <c r="O37" s="251"/>
      <c r="P37" s="655" t="s">
        <v>2703</v>
      </c>
      <c r="Q37" s="251"/>
      <c r="R37" s="251">
        <v>16.194361949806595</v>
      </c>
    </row>
    <row r="38" spans="1:18">
      <c r="A38" s="272"/>
      <c r="B38" s="248"/>
      <c r="C38" s="249"/>
      <c r="D38" s="253" t="s">
        <v>1297</v>
      </c>
      <c r="E38" s="249"/>
      <c r="F38" s="654">
        <v>-8</v>
      </c>
      <c r="G38" s="249"/>
      <c r="H38" s="251">
        <v>2.15</v>
      </c>
      <c r="I38" s="251"/>
      <c r="J38" s="251">
        <v>1.99</v>
      </c>
      <c r="K38" s="251"/>
      <c r="L38" s="251">
        <v>0.16</v>
      </c>
      <c r="M38" s="251"/>
      <c r="N38" s="251">
        <v>0</v>
      </c>
      <c r="O38" s="251"/>
      <c r="P38" s="655" t="s">
        <v>2703</v>
      </c>
      <c r="Q38" s="251"/>
      <c r="R38" s="251">
        <v>19.180341797678263</v>
      </c>
    </row>
    <row r="39" spans="1:18">
      <c r="A39" s="272"/>
      <c r="B39" s="248"/>
      <c r="C39" s="249"/>
      <c r="D39" s="253" t="s">
        <v>1298</v>
      </c>
      <c r="E39" s="249"/>
      <c r="F39" s="654">
        <v>-8</v>
      </c>
      <c r="G39" s="249"/>
      <c r="H39" s="251">
        <v>3.44</v>
      </c>
      <c r="I39" s="251"/>
      <c r="J39" s="251">
        <v>3.19</v>
      </c>
      <c r="K39" s="251"/>
      <c r="L39" s="251">
        <v>0.25</v>
      </c>
      <c r="M39" s="251"/>
      <c r="N39" s="251">
        <v>0</v>
      </c>
      <c r="O39" s="251"/>
      <c r="P39" s="655" t="s">
        <v>2703</v>
      </c>
      <c r="Q39" s="251"/>
      <c r="R39" s="251">
        <v>20.231508448292683</v>
      </c>
    </row>
    <row r="40" spans="1:18">
      <c r="A40" s="272"/>
      <c r="B40" s="248"/>
      <c r="C40" s="249"/>
      <c r="D40" s="253" t="s">
        <v>1299</v>
      </c>
      <c r="E40" s="249"/>
      <c r="F40" s="654">
        <v>-8</v>
      </c>
      <c r="G40" s="249"/>
      <c r="H40" s="251">
        <v>1.1599999999999999</v>
      </c>
      <c r="I40" s="251"/>
      <c r="J40" s="251">
        <v>1.0699999999999998</v>
      </c>
      <c r="K40" s="251"/>
      <c r="L40" s="251">
        <v>0.09</v>
      </c>
      <c r="M40" s="251"/>
      <c r="N40" s="251">
        <v>0</v>
      </c>
      <c r="O40" s="251"/>
      <c r="P40" s="655" t="s">
        <v>2703</v>
      </c>
      <c r="Q40" s="251"/>
      <c r="R40" s="251">
        <v>16.2900374539979</v>
      </c>
    </row>
    <row r="41" spans="1:18">
      <c r="A41" s="272"/>
      <c r="B41" s="248"/>
      <c r="C41" s="249"/>
      <c r="D41" s="249" t="s">
        <v>1304</v>
      </c>
      <c r="E41" s="249"/>
      <c r="F41" s="250">
        <v>-8</v>
      </c>
      <c r="G41" s="249"/>
      <c r="H41" s="251">
        <v>5.31</v>
      </c>
      <c r="I41" s="251"/>
      <c r="J41" s="251">
        <v>4.92</v>
      </c>
      <c r="K41" s="251"/>
      <c r="L41" s="251">
        <v>0.39</v>
      </c>
      <c r="M41" s="251"/>
      <c r="N41" s="251">
        <v>0</v>
      </c>
      <c r="O41" s="251"/>
      <c r="P41" s="251" t="s">
        <v>2703</v>
      </c>
      <c r="Q41" s="251"/>
      <c r="R41" s="251">
        <v>20.353932584269664</v>
      </c>
    </row>
    <row r="42" spans="1:18">
      <c r="A42" s="272"/>
      <c r="B42" s="248"/>
      <c r="C42" s="249"/>
      <c r="D42" s="254"/>
      <c r="E42" s="249"/>
      <c r="F42" s="278"/>
      <c r="G42" s="249"/>
      <c r="H42" s="251"/>
      <c r="I42" s="251"/>
      <c r="J42" s="251"/>
      <c r="K42" s="251"/>
      <c r="L42" s="251"/>
      <c r="M42" s="251"/>
      <c r="N42" s="251"/>
      <c r="O42" s="251"/>
      <c r="P42" s="251"/>
      <c r="Q42" s="251"/>
      <c r="R42" s="251"/>
    </row>
    <row r="43" spans="1:18">
      <c r="A43" s="272"/>
      <c r="B43" s="248"/>
      <c r="C43" s="249"/>
      <c r="D43" s="249" t="s">
        <v>1300</v>
      </c>
      <c r="E43" s="249"/>
      <c r="F43" s="277" t="s">
        <v>2704</v>
      </c>
      <c r="G43" s="249"/>
      <c r="H43" s="251">
        <v>2.423191946265475</v>
      </c>
      <c r="I43" s="251"/>
      <c r="J43" s="251"/>
      <c r="K43" s="251"/>
      <c r="L43" s="251"/>
      <c r="M43" s="251"/>
      <c r="N43" s="251"/>
      <c r="O43" s="251"/>
      <c r="P43" s="251"/>
      <c r="Q43" s="251"/>
      <c r="R43" s="251">
        <v>24.35</v>
      </c>
    </row>
    <row r="44" spans="1:18">
      <c r="A44" s="272"/>
      <c r="B44" s="248"/>
      <c r="C44" s="249"/>
      <c r="D44" s="249"/>
      <c r="E44" s="249"/>
      <c r="F44" s="250"/>
      <c r="G44" s="249"/>
      <c r="H44" s="251"/>
      <c r="I44" s="251"/>
      <c r="J44" s="251"/>
      <c r="K44" s="251"/>
      <c r="L44" s="251"/>
      <c r="M44" s="251"/>
      <c r="N44" s="251"/>
      <c r="O44" s="251"/>
      <c r="P44" s="251"/>
      <c r="Q44" s="251"/>
      <c r="R44" s="251"/>
    </row>
    <row r="45" spans="1:18">
      <c r="A45" s="468"/>
      <c r="B45" s="474">
        <v>311.10000000000002</v>
      </c>
      <c r="C45" s="472"/>
      <c r="D45" s="475" t="s">
        <v>2272</v>
      </c>
      <c r="E45" s="476"/>
      <c r="F45" s="476"/>
      <c r="G45" s="468"/>
      <c r="H45" s="251"/>
      <c r="I45" s="251"/>
      <c r="J45" s="251"/>
      <c r="K45" s="251"/>
      <c r="L45" s="251"/>
      <c r="M45" s="251"/>
      <c r="N45" s="251"/>
      <c r="P45" s="657"/>
      <c r="R45" s="658"/>
    </row>
    <row r="46" spans="1:18">
      <c r="A46" s="272"/>
      <c r="B46" s="248"/>
      <c r="C46" s="249"/>
      <c r="D46" s="253" t="s">
        <v>2676</v>
      </c>
      <c r="E46" s="249"/>
      <c r="F46" s="654">
        <v>-13</v>
      </c>
      <c r="G46" s="249"/>
      <c r="H46" s="251">
        <v>0</v>
      </c>
      <c r="I46" s="251"/>
      <c r="J46" s="251">
        <v>0</v>
      </c>
      <c r="K46" s="251"/>
      <c r="L46" s="251">
        <v>0</v>
      </c>
      <c r="M46" s="251"/>
      <c r="N46" s="251">
        <v>0</v>
      </c>
      <c r="O46" s="251"/>
      <c r="P46" s="655" t="s">
        <v>2274</v>
      </c>
      <c r="Q46" s="251"/>
      <c r="R46" s="251">
        <v>44.8</v>
      </c>
    </row>
    <row r="47" spans="1:18">
      <c r="A47" s="272"/>
      <c r="B47" s="248"/>
      <c r="C47" s="249"/>
      <c r="D47" s="253" t="s">
        <v>2677</v>
      </c>
      <c r="E47" s="249"/>
      <c r="F47" s="654">
        <v>-7</v>
      </c>
      <c r="G47" s="249"/>
      <c r="H47" s="251">
        <v>0</v>
      </c>
      <c r="I47" s="251"/>
      <c r="J47" s="251">
        <v>0</v>
      </c>
      <c r="K47" s="251"/>
      <c r="L47" s="251">
        <v>0</v>
      </c>
      <c r="M47" s="251"/>
      <c r="N47" s="251">
        <v>0</v>
      </c>
      <c r="O47" s="251"/>
      <c r="P47" s="655" t="s">
        <v>2271</v>
      </c>
      <c r="Q47" s="251"/>
      <c r="R47" s="251">
        <v>18.3</v>
      </c>
    </row>
    <row r="48" spans="1:18">
      <c r="A48" s="272"/>
      <c r="B48" s="248"/>
      <c r="C48" s="249"/>
      <c r="D48" s="253" t="s">
        <v>2678</v>
      </c>
      <c r="E48" s="249"/>
      <c r="F48" s="654">
        <v>-7</v>
      </c>
      <c r="G48" s="249"/>
      <c r="H48" s="251">
        <v>0</v>
      </c>
      <c r="I48" s="251"/>
      <c r="J48" s="251">
        <v>0</v>
      </c>
      <c r="K48" s="251"/>
      <c r="L48" s="251">
        <v>0</v>
      </c>
      <c r="M48" s="251"/>
      <c r="N48" s="251">
        <v>0</v>
      </c>
      <c r="O48" s="251"/>
      <c r="P48" s="655" t="s">
        <v>2271</v>
      </c>
      <c r="Q48" s="251"/>
      <c r="R48" s="251">
        <v>18.3</v>
      </c>
    </row>
    <row r="49" spans="1:18">
      <c r="A49" s="468"/>
      <c r="B49" s="474"/>
      <c r="C49" s="472"/>
      <c r="D49" s="478"/>
      <c r="E49" s="476"/>
      <c r="F49" s="476"/>
      <c r="G49" s="468"/>
      <c r="H49" s="251"/>
      <c r="I49" s="251"/>
      <c r="J49" s="251"/>
      <c r="K49" s="251"/>
      <c r="L49" s="251"/>
      <c r="M49" s="251"/>
      <c r="N49" s="251"/>
      <c r="P49" s="657"/>
      <c r="R49" s="658"/>
    </row>
    <row r="50" spans="1:18">
      <c r="A50" s="468"/>
      <c r="B50" s="474"/>
      <c r="C50" s="472"/>
      <c r="D50" s="478" t="s">
        <v>2277</v>
      </c>
      <c r="E50" s="476"/>
      <c r="F50" s="486" t="s">
        <v>2705</v>
      </c>
      <c r="G50" s="468"/>
      <c r="H50" s="251">
        <v>0</v>
      </c>
      <c r="I50" s="251"/>
      <c r="J50" s="251"/>
      <c r="K50" s="251"/>
      <c r="L50" s="251"/>
      <c r="M50" s="251"/>
      <c r="N50" s="251"/>
      <c r="P50" s="657"/>
      <c r="R50" s="658">
        <v>49.1</v>
      </c>
    </row>
    <row r="51" spans="1:18">
      <c r="A51" s="468"/>
      <c r="B51" s="474"/>
      <c r="C51" s="472"/>
      <c r="D51" s="478"/>
      <c r="E51" s="476"/>
      <c r="F51" s="476"/>
      <c r="G51" s="468"/>
      <c r="H51" s="251"/>
      <c r="I51" s="251"/>
      <c r="J51" s="251"/>
      <c r="K51" s="251"/>
      <c r="L51" s="251"/>
      <c r="M51" s="251"/>
      <c r="N51" s="251"/>
      <c r="P51" s="657"/>
      <c r="R51" s="658"/>
    </row>
    <row r="52" spans="1:18">
      <c r="A52" s="468"/>
      <c r="B52" s="474">
        <v>311.2</v>
      </c>
      <c r="C52" s="472"/>
      <c r="D52" s="475" t="s">
        <v>2278</v>
      </c>
      <c r="E52" s="476"/>
      <c r="F52" s="476"/>
      <c r="G52" s="468"/>
      <c r="H52" s="251"/>
      <c r="I52" s="251"/>
      <c r="J52" s="251"/>
      <c r="K52" s="251"/>
      <c r="L52" s="251"/>
      <c r="M52" s="251"/>
      <c r="N52" s="251"/>
      <c r="P52" s="657"/>
      <c r="R52" s="658"/>
    </row>
    <row r="53" spans="1:18">
      <c r="A53" s="468"/>
      <c r="B53" s="474"/>
      <c r="C53" s="472"/>
      <c r="D53" s="475" t="s">
        <v>1284</v>
      </c>
      <c r="E53" s="476"/>
      <c r="F53" s="476">
        <v>-10</v>
      </c>
      <c r="G53" s="468"/>
      <c r="H53" s="251">
        <v>0</v>
      </c>
      <c r="I53" s="251"/>
      <c r="J53" s="251">
        <v>0</v>
      </c>
      <c r="K53" s="251"/>
      <c r="L53" s="251">
        <v>0</v>
      </c>
      <c r="M53" s="251"/>
      <c r="N53" s="251">
        <v>0</v>
      </c>
      <c r="P53" s="657" t="s">
        <v>2271</v>
      </c>
      <c r="R53" s="658">
        <v>0</v>
      </c>
    </row>
    <row r="54" spans="1:18">
      <c r="A54" s="468"/>
      <c r="B54" s="474"/>
      <c r="C54" s="472"/>
      <c r="D54" s="475" t="s">
        <v>1285</v>
      </c>
      <c r="E54" s="476"/>
      <c r="F54" s="476">
        <v>-10</v>
      </c>
      <c r="G54" s="468"/>
      <c r="H54" s="251">
        <v>0</v>
      </c>
      <c r="I54" s="251"/>
      <c r="J54" s="251">
        <v>0</v>
      </c>
      <c r="K54" s="251"/>
      <c r="L54" s="251">
        <v>0</v>
      </c>
      <c r="M54" s="251"/>
      <c r="N54" s="251">
        <v>0</v>
      </c>
      <c r="P54" s="657" t="s">
        <v>2271</v>
      </c>
      <c r="R54" s="658">
        <v>0</v>
      </c>
    </row>
    <row r="55" spans="1:18">
      <c r="A55" s="468"/>
      <c r="B55" s="474"/>
      <c r="C55" s="472"/>
      <c r="D55" s="477" t="s">
        <v>1286</v>
      </c>
      <c r="E55" s="476"/>
      <c r="F55" s="476">
        <v>-10</v>
      </c>
      <c r="G55" s="468"/>
      <c r="H55" s="251">
        <v>0</v>
      </c>
      <c r="I55" s="251"/>
      <c r="J55" s="251">
        <v>0</v>
      </c>
      <c r="K55" s="251"/>
      <c r="L55" s="251">
        <v>0</v>
      </c>
      <c r="M55" s="251"/>
      <c r="N55" s="251">
        <v>0</v>
      </c>
      <c r="P55" s="657" t="s">
        <v>2271</v>
      </c>
      <c r="R55" s="658">
        <v>0</v>
      </c>
    </row>
    <row r="56" spans="1:18">
      <c r="A56" s="468"/>
      <c r="B56" s="474"/>
      <c r="C56" s="472"/>
      <c r="D56" s="477" t="s">
        <v>1287</v>
      </c>
      <c r="E56" s="476"/>
      <c r="F56" s="476">
        <v>-10</v>
      </c>
      <c r="G56" s="468"/>
      <c r="H56" s="251">
        <v>0</v>
      </c>
      <c r="I56" s="251"/>
      <c r="J56" s="251">
        <v>0</v>
      </c>
      <c r="K56" s="251"/>
      <c r="L56" s="251">
        <v>0</v>
      </c>
      <c r="M56" s="251"/>
      <c r="N56" s="251">
        <v>0</v>
      </c>
      <c r="P56" s="657" t="s">
        <v>2271</v>
      </c>
      <c r="R56" s="658">
        <v>0</v>
      </c>
    </row>
    <row r="57" spans="1:18">
      <c r="A57" s="468"/>
      <c r="B57" s="474"/>
      <c r="C57" s="472"/>
      <c r="D57" s="477" t="s">
        <v>1288</v>
      </c>
      <c r="E57" s="476"/>
      <c r="F57" s="476">
        <v>-10</v>
      </c>
      <c r="G57" s="468"/>
      <c r="H57" s="251">
        <v>0</v>
      </c>
      <c r="I57" s="251"/>
      <c r="J57" s="251">
        <v>0</v>
      </c>
      <c r="K57" s="251"/>
      <c r="L57" s="251">
        <v>0</v>
      </c>
      <c r="M57" s="251"/>
      <c r="N57" s="251">
        <v>0</v>
      </c>
      <c r="P57" s="657" t="s">
        <v>2271</v>
      </c>
      <c r="R57" s="658">
        <v>0</v>
      </c>
    </row>
    <row r="58" spans="1:18">
      <c r="A58" s="468"/>
      <c r="B58" s="474"/>
      <c r="C58" s="472"/>
      <c r="D58" s="477" t="s">
        <v>1293</v>
      </c>
      <c r="E58" s="476"/>
      <c r="F58" s="476">
        <v>-10</v>
      </c>
      <c r="G58" s="468"/>
      <c r="H58" s="251">
        <v>0</v>
      </c>
      <c r="I58" s="251"/>
      <c r="J58" s="251">
        <v>0</v>
      </c>
      <c r="K58" s="251"/>
      <c r="L58" s="251">
        <v>0</v>
      </c>
      <c r="M58" s="251"/>
      <c r="N58" s="251">
        <v>0</v>
      </c>
      <c r="P58" s="657" t="s">
        <v>2271</v>
      </c>
      <c r="R58" s="658">
        <v>0</v>
      </c>
    </row>
    <row r="59" spans="1:18">
      <c r="A59" s="468"/>
      <c r="B59" s="474"/>
      <c r="C59" s="472"/>
      <c r="D59" s="478"/>
      <c r="E59" s="476"/>
      <c r="F59" s="476"/>
      <c r="G59" s="468"/>
      <c r="H59" s="251"/>
      <c r="I59" s="251"/>
      <c r="J59" s="251"/>
      <c r="K59" s="251"/>
      <c r="L59" s="251"/>
      <c r="M59" s="251"/>
      <c r="N59" s="251"/>
      <c r="P59" s="657"/>
      <c r="R59" s="658"/>
    </row>
    <row r="60" spans="1:18">
      <c r="A60" s="468">
        <v>311</v>
      </c>
      <c r="B60" s="474"/>
      <c r="C60" s="472"/>
      <c r="D60" s="478" t="s">
        <v>1300</v>
      </c>
      <c r="E60" s="476"/>
      <c r="F60" s="278" t="s">
        <v>2334</v>
      </c>
      <c r="G60" s="468"/>
      <c r="H60" s="251">
        <v>2</v>
      </c>
      <c r="I60" s="251"/>
      <c r="J60" s="251"/>
      <c r="K60" s="251"/>
      <c r="L60" s="251"/>
      <c r="M60" s="251"/>
      <c r="N60" s="251"/>
      <c r="P60" s="659" t="s">
        <v>2271</v>
      </c>
      <c r="R60" s="660" t="s">
        <v>2706</v>
      </c>
    </row>
    <row r="61" spans="1:18">
      <c r="A61" s="272"/>
      <c r="B61" s="248"/>
      <c r="C61" s="249"/>
      <c r="D61" s="249"/>
      <c r="E61" s="249"/>
      <c r="F61" s="250"/>
      <c r="G61" s="249"/>
      <c r="H61" s="251"/>
      <c r="I61" s="251"/>
      <c r="J61" s="251"/>
      <c r="K61" s="251"/>
      <c r="L61" s="251"/>
      <c r="M61" s="251"/>
      <c r="N61" s="251"/>
      <c r="O61" s="251"/>
      <c r="P61" s="251"/>
      <c r="Q61" s="251"/>
      <c r="R61" s="251"/>
    </row>
    <row r="62" spans="1:18">
      <c r="A62" s="272"/>
      <c r="B62" s="248">
        <v>312</v>
      </c>
      <c r="C62" s="249"/>
      <c r="D62" s="249" t="s">
        <v>1301</v>
      </c>
      <c r="E62" s="249"/>
      <c r="F62" s="250"/>
      <c r="G62" s="249"/>
      <c r="H62" s="251"/>
      <c r="I62" s="251"/>
      <c r="J62" s="251"/>
      <c r="K62" s="251"/>
      <c r="L62" s="251"/>
      <c r="M62" s="251"/>
      <c r="N62" s="251"/>
      <c r="O62" s="251"/>
      <c r="P62" s="251"/>
      <c r="Q62" s="251"/>
      <c r="R62" s="251"/>
    </row>
    <row r="63" spans="1:18">
      <c r="A63" s="272"/>
      <c r="B63" s="248"/>
      <c r="C63" s="249"/>
      <c r="D63" s="661" t="s">
        <v>1281</v>
      </c>
      <c r="E63" s="249"/>
      <c r="F63" s="654">
        <v>-13</v>
      </c>
      <c r="G63" s="249"/>
      <c r="H63" s="251">
        <v>2.17</v>
      </c>
      <c r="I63" s="251"/>
      <c r="J63" s="251">
        <v>1.92</v>
      </c>
      <c r="K63" s="251"/>
      <c r="L63" s="251">
        <v>0.31</v>
      </c>
      <c r="M63" s="251"/>
      <c r="N63" s="251">
        <v>-0.06</v>
      </c>
      <c r="O63" s="251"/>
      <c r="P63" s="655" t="s">
        <v>1312</v>
      </c>
      <c r="Q63" s="251"/>
      <c r="R63" s="662">
        <v>42.84371931144328</v>
      </c>
    </row>
    <row r="64" spans="1:18">
      <c r="A64" s="272"/>
      <c r="B64" s="248"/>
      <c r="C64" s="249"/>
      <c r="D64" s="661" t="s">
        <v>1282</v>
      </c>
      <c r="E64" s="249"/>
      <c r="F64" s="654">
        <v>-13</v>
      </c>
      <c r="G64" s="249"/>
      <c r="H64" s="251">
        <v>1.96</v>
      </c>
      <c r="I64" s="251"/>
      <c r="J64" s="251">
        <v>1.73</v>
      </c>
      <c r="K64" s="251"/>
      <c r="L64" s="251">
        <v>0.28000000000000003</v>
      </c>
      <c r="M64" s="251"/>
      <c r="N64" s="251">
        <v>-0.05</v>
      </c>
      <c r="O64" s="251"/>
      <c r="P64" s="662" t="s">
        <v>1312</v>
      </c>
      <c r="Q64" s="251"/>
      <c r="R64" s="662">
        <v>42.576565097379095</v>
      </c>
    </row>
    <row r="65" spans="1:18">
      <c r="A65" s="272"/>
      <c r="B65" s="248"/>
      <c r="C65" s="249"/>
      <c r="D65" s="661" t="s">
        <v>1289</v>
      </c>
      <c r="E65" s="249"/>
      <c r="F65" s="654">
        <v>-6</v>
      </c>
      <c r="G65" s="249"/>
      <c r="H65" s="251">
        <v>3.21</v>
      </c>
      <c r="I65" s="251"/>
      <c r="J65" s="251">
        <v>3.03</v>
      </c>
      <c r="K65" s="251"/>
      <c r="L65" s="251">
        <v>0.27</v>
      </c>
      <c r="M65" s="251"/>
      <c r="N65" s="251">
        <v>-0.09</v>
      </c>
      <c r="O65" s="251"/>
      <c r="P65" s="662" t="s">
        <v>1312</v>
      </c>
      <c r="Q65" s="251"/>
      <c r="R65" s="662">
        <v>1.1600018737663025</v>
      </c>
    </row>
    <row r="66" spans="1:18">
      <c r="A66" s="663"/>
      <c r="B66" s="249"/>
      <c r="C66" s="249"/>
      <c r="D66" s="661" t="s">
        <v>1290</v>
      </c>
      <c r="E66" s="249"/>
      <c r="F66" s="654">
        <v>-6</v>
      </c>
      <c r="G66" s="249"/>
      <c r="H66" s="251">
        <v>3.08</v>
      </c>
      <c r="I66" s="251"/>
      <c r="J66" s="251">
        <v>2.91</v>
      </c>
      <c r="K66" s="251"/>
      <c r="L66" s="251">
        <v>0.26</v>
      </c>
      <c r="M66" s="251"/>
      <c r="N66" s="251">
        <v>-0.09</v>
      </c>
      <c r="O66" s="251"/>
      <c r="P66" s="662" t="s">
        <v>1312</v>
      </c>
      <c r="Q66" s="251"/>
      <c r="R66" s="662">
        <v>1.1600004308491036</v>
      </c>
    </row>
    <row r="67" spans="1:18">
      <c r="A67" s="663"/>
      <c r="B67" s="249"/>
      <c r="C67" s="249"/>
      <c r="D67" s="661" t="s">
        <v>1291</v>
      </c>
      <c r="E67" s="249"/>
      <c r="F67" s="654">
        <v>-6</v>
      </c>
      <c r="G67" s="249"/>
      <c r="H67" s="251">
        <v>5.19</v>
      </c>
      <c r="I67" s="251"/>
      <c r="J67" s="251">
        <v>4.9000000000000004</v>
      </c>
      <c r="K67" s="251"/>
      <c r="L67" s="251">
        <v>0.44</v>
      </c>
      <c r="M67" s="251"/>
      <c r="N67" s="251">
        <v>-0.15</v>
      </c>
      <c r="O67" s="251"/>
      <c r="P67" s="662" t="s">
        <v>1312</v>
      </c>
      <c r="Q67" s="251"/>
      <c r="R67" s="662">
        <v>16.923681432433298</v>
      </c>
    </row>
    <row r="68" spans="1:18">
      <c r="A68" s="663"/>
      <c r="B68" s="249"/>
      <c r="C68" s="249"/>
      <c r="D68" s="661" t="s">
        <v>1292</v>
      </c>
      <c r="E68" s="249"/>
      <c r="F68" s="654">
        <v>-6</v>
      </c>
      <c r="G68" s="249"/>
      <c r="H68" s="251">
        <v>4.92</v>
      </c>
      <c r="I68" s="251"/>
      <c r="J68" s="251">
        <v>4.6399999999999997</v>
      </c>
      <c r="K68" s="251"/>
      <c r="L68" s="251">
        <v>0.42</v>
      </c>
      <c r="M68" s="251"/>
      <c r="N68" s="251">
        <v>-0.14000000000000001</v>
      </c>
      <c r="O68" s="251"/>
      <c r="P68" s="662" t="s">
        <v>1312</v>
      </c>
      <c r="Q68" s="251"/>
      <c r="R68" s="662">
        <v>16.982789396249931</v>
      </c>
    </row>
    <row r="69" spans="1:18">
      <c r="A69" s="663"/>
      <c r="B69" s="249"/>
      <c r="C69" s="249"/>
      <c r="D69" s="661" t="s">
        <v>1294</v>
      </c>
      <c r="E69" s="249"/>
      <c r="F69" s="654">
        <v>-8</v>
      </c>
      <c r="G69" s="249"/>
      <c r="H69" s="251">
        <v>4.16</v>
      </c>
      <c r="I69" s="251"/>
      <c r="J69" s="251">
        <v>3.8600000000000003</v>
      </c>
      <c r="K69" s="251"/>
      <c r="L69" s="251">
        <v>0.42</v>
      </c>
      <c r="M69" s="251"/>
      <c r="N69" s="251">
        <v>-0.12</v>
      </c>
      <c r="O69" s="251"/>
      <c r="P69" s="662" t="s">
        <v>1312</v>
      </c>
      <c r="Q69" s="251"/>
      <c r="R69" s="662">
        <v>16.022674994329403</v>
      </c>
    </row>
    <row r="70" spans="1:18">
      <c r="A70" s="663"/>
      <c r="B70" s="249"/>
      <c r="C70" s="249"/>
      <c r="D70" s="661" t="s">
        <v>1295</v>
      </c>
      <c r="E70" s="249"/>
      <c r="F70" s="654">
        <v>-8</v>
      </c>
      <c r="G70" s="249"/>
      <c r="H70" s="251">
        <v>4.83</v>
      </c>
      <c r="I70" s="251"/>
      <c r="J70" s="251">
        <v>4.47</v>
      </c>
      <c r="K70" s="251"/>
      <c r="L70" s="251">
        <v>0.49</v>
      </c>
      <c r="M70" s="251"/>
      <c r="N70" s="251">
        <v>-0.13</v>
      </c>
      <c r="O70" s="251"/>
      <c r="P70" s="662" t="s">
        <v>1312</v>
      </c>
      <c r="Q70" s="251"/>
      <c r="R70" s="662">
        <v>15.966106724538497</v>
      </c>
    </row>
    <row r="71" spans="1:18">
      <c r="A71" s="663"/>
      <c r="B71" s="249"/>
      <c r="C71" s="249"/>
      <c r="D71" s="661" t="s">
        <v>1296</v>
      </c>
      <c r="E71" s="249"/>
      <c r="F71" s="654">
        <v>-8</v>
      </c>
      <c r="G71" s="249"/>
      <c r="H71" s="251">
        <v>5.0999999999999996</v>
      </c>
      <c r="I71" s="251"/>
      <c r="J71" s="251">
        <v>4.72</v>
      </c>
      <c r="K71" s="251"/>
      <c r="L71" s="251">
        <v>0.52</v>
      </c>
      <c r="M71" s="251"/>
      <c r="N71" s="251">
        <v>-0.14000000000000001</v>
      </c>
      <c r="O71" s="251"/>
      <c r="P71" s="662" t="s">
        <v>1312</v>
      </c>
      <c r="Q71" s="251"/>
      <c r="R71" s="662">
        <v>15.946060511144678</v>
      </c>
    </row>
    <row r="72" spans="1:18">
      <c r="A72" s="663"/>
      <c r="B72" s="249"/>
      <c r="C72" s="249"/>
      <c r="D72" s="661" t="s">
        <v>1297</v>
      </c>
      <c r="E72" s="249"/>
      <c r="F72" s="654">
        <v>-8</v>
      </c>
      <c r="G72" s="249"/>
      <c r="H72" s="251">
        <v>3.54</v>
      </c>
      <c r="I72" s="251"/>
      <c r="J72" s="251">
        <v>3.2800000000000002</v>
      </c>
      <c r="K72" s="251"/>
      <c r="L72" s="251">
        <v>0.36</v>
      </c>
      <c r="M72" s="251"/>
      <c r="N72" s="251">
        <v>-0.1</v>
      </c>
      <c r="O72" s="251"/>
      <c r="P72" s="655" t="s">
        <v>1312</v>
      </c>
      <c r="Q72" s="251"/>
      <c r="R72" s="662">
        <v>18.644439837411241</v>
      </c>
    </row>
    <row r="73" spans="1:18">
      <c r="A73" s="663"/>
      <c r="B73" s="249"/>
      <c r="C73" s="249"/>
      <c r="D73" s="661" t="s">
        <v>1298</v>
      </c>
      <c r="E73" s="249"/>
      <c r="F73" s="654">
        <v>-8</v>
      </c>
      <c r="G73" s="249"/>
      <c r="H73" s="251">
        <v>4.3499999999999996</v>
      </c>
      <c r="I73" s="251"/>
      <c r="J73" s="251">
        <v>4.0299999999999994</v>
      </c>
      <c r="K73" s="251"/>
      <c r="L73" s="251">
        <v>0.44</v>
      </c>
      <c r="M73" s="251"/>
      <c r="N73" s="251">
        <v>-0.12</v>
      </c>
      <c r="O73" s="251"/>
      <c r="P73" s="655" t="s">
        <v>1312</v>
      </c>
      <c r="Q73" s="251"/>
      <c r="R73" s="662">
        <v>19.672953070255446</v>
      </c>
    </row>
    <row r="74" spans="1:18">
      <c r="A74" s="663"/>
      <c r="B74" s="249"/>
      <c r="C74" s="249"/>
      <c r="D74" s="661" t="s">
        <v>1299</v>
      </c>
      <c r="E74" s="249"/>
      <c r="F74" s="654">
        <v>-8</v>
      </c>
      <c r="G74" s="249"/>
      <c r="H74" s="251">
        <v>1.19</v>
      </c>
      <c r="I74" s="251"/>
      <c r="J74" s="251">
        <v>1.0999999999999999</v>
      </c>
      <c r="K74" s="251"/>
      <c r="L74" s="251">
        <v>0.12</v>
      </c>
      <c r="M74" s="251"/>
      <c r="N74" s="251">
        <v>-0.03</v>
      </c>
      <c r="O74" s="251"/>
      <c r="P74" s="655" t="s">
        <v>1312</v>
      </c>
      <c r="Q74" s="251"/>
      <c r="R74" s="662">
        <v>15.987247991465972</v>
      </c>
    </row>
    <row r="75" spans="1:18">
      <c r="A75" s="272"/>
      <c r="B75" s="248"/>
      <c r="C75" s="249"/>
      <c r="D75" s="664" t="s">
        <v>1303</v>
      </c>
      <c r="E75" s="249"/>
      <c r="F75" s="654">
        <v>-8</v>
      </c>
      <c r="G75" s="249"/>
      <c r="H75" s="251">
        <v>3.99</v>
      </c>
      <c r="I75" s="251"/>
      <c r="J75" s="251">
        <v>3.69</v>
      </c>
      <c r="K75" s="251"/>
      <c r="L75" s="251">
        <v>0.41</v>
      </c>
      <c r="M75" s="251"/>
      <c r="N75" s="251">
        <v>-0.11</v>
      </c>
      <c r="O75" s="251"/>
      <c r="P75" s="655" t="s">
        <v>1312</v>
      </c>
      <c r="Q75" s="251"/>
      <c r="R75" s="662">
        <v>18.749823728642838</v>
      </c>
    </row>
    <row r="76" spans="1:18">
      <c r="A76" s="272"/>
      <c r="B76" s="248"/>
      <c r="C76" s="249"/>
      <c r="D76" s="664" t="s">
        <v>1304</v>
      </c>
      <c r="E76" s="249"/>
      <c r="F76" s="654">
        <v>-8</v>
      </c>
      <c r="G76" s="249"/>
      <c r="H76" s="251">
        <v>3.57</v>
      </c>
      <c r="I76" s="251"/>
      <c r="J76" s="251">
        <v>3.31</v>
      </c>
      <c r="K76" s="251"/>
      <c r="L76" s="251">
        <v>0.36</v>
      </c>
      <c r="M76" s="251"/>
      <c r="N76" s="251">
        <v>-0.1</v>
      </c>
      <c r="O76" s="251"/>
      <c r="P76" s="655" t="s">
        <v>1312</v>
      </c>
      <c r="Q76" s="251"/>
      <c r="R76" s="662">
        <v>19.760679852526636</v>
      </c>
    </row>
    <row r="77" spans="1:18">
      <c r="A77" s="272"/>
      <c r="B77" s="248"/>
      <c r="C77" s="249"/>
      <c r="D77" s="249"/>
      <c r="E77" s="249"/>
      <c r="F77" s="250"/>
      <c r="G77" s="249"/>
      <c r="H77" s="251"/>
      <c r="I77" s="251"/>
      <c r="J77" s="251"/>
      <c r="K77" s="251"/>
      <c r="L77" s="251"/>
      <c r="M77" s="251"/>
      <c r="N77" s="251"/>
      <c r="O77" s="251"/>
      <c r="P77" s="251"/>
      <c r="Q77" s="251"/>
      <c r="R77" s="251"/>
    </row>
    <row r="78" spans="1:18">
      <c r="A78" s="272"/>
      <c r="B78" s="248"/>
      <c r="C78" s="249"/>
      <c r="D78" s="254" t="s">
        <v>1305</v>
      </c>
      <c r="E78" s="249"/>
      <c r="F78" s="278" t="s">
        <v>2704</v>
      </c>
      <c r="G78" s="249"/>
      <c r="H78" s="251">
        <v>3.9960416395243401</v>
      </c>
      <c r="I78" s="251"/>
      <c r="J78" s="251"/>
      <c r="K78" s="251"/>
      <c r="L78" s="251"/>
      <c r="M78" s="251"/>
      <c r="N78" s="251"/>
      <c r="O78" s="251"/>
      <c r="P78" s="662"/>
      <c r="Q78" s="251"/>
      <c r="R78" s="251">
        <v>19.649999999999999</v>
      </c>
    </row>
    <row r="79" spans="1:18">
      <c r="A79" s="272"/>
      <c r="B79" s="248"/>
      <c r="C79" s="249"/>
      <c r="D79" s="254"/>
      <c r="E79" s="249"/>
      <c r="F79" s="250"/>
      <c r="G79" s="249"/>
      <c r="H79" s="251"/>
      <c r="I79" s="251"/>
      <c r="J79" s="251"/>
      <c r="K79" s="251"/>
      <c r="L79" s="251"/>
      <c r="M79" s="251"/>
      <c r="N79" s="251"/>
      <c r="O79" s="251"/>
      <c r="P79" s="251"/>
      <c r="Q79" s="251"/>
      <c r="R79" s="251"/>
    </row>
    <row r="80" spans="1:18">
      <c r="A80" s="468"/>
      <c r="B80" s="474">
        <v>312.10000000000002</v>
      </c>
      <c r="C80" s="472"/>
      <c r="D80" s="475" t="s">
        <v>2280</v>
      </c>
      <c r="E80" s="476"/>
      <c r="F80" s="476"/>
      <c r="G80" s="468"/>
      <c r="H80" s="251"/>
      <c r="I80" s="251"/>
      <c r="J80" s="251"/>
      <c r="K80" s="251"/>
      <c r="L80" s="251"/>
      <c r="M80" s="251"/>
      <c r="N80" s="251"/>
      <c r="P80" s="657"/>
      <c r="R80" s="658"/>
    </row>
    <row r="81" spans="1:18">
      <c r="A81" s="468"/>
      <c r="B81" s="474"/>
      <c r="C81" s="472"/>
      <c r="D81" s="475" t="s">
        <v>2273</v>
      </c>
      <c r="E81" s="476"/>
      <c r="F81" s="476">
        <v>0</v>
      </c>
      <c r="G81" s="468"/>
      <c r="H81" s="251">
        <v>7.48</v>
      </c>
      <c r="I81" s="251"/>
      <c r="J81" s="251">
        <v>7.48</v>
      </c>
      <c r="K81" s="251"/>
      <c r="L81" s="251">
        <v>0</v>
      </c>
      <c r="M81" s="251"/>
      <c r="N81" s="251">
        <v>0</v>
      </c>
      <c r="P81" s="657" t="s">
        <v>2274</v>
      </c>
      <c r="R81" s="662">
        <v>6</v>
      </c>
    </row>
    <row r="82" spans="1:18">
      <c r="A82" s="468"/>
      <c r="B82" s="474"/>
      <c r="C82" s="472"/>
      <c r="D82" s="477" t="s">
        <v>2281</v>
      </c>
      <c r="E82" s="476"/>
      <c r="F82" s="476">
        <v>0</v>
      </c>
      <c r="G82" s="468"/>
      <c r="H82" s="251">
        <v>0</v>
      </c>
      <c r="I82" s="251"/>
      <c r="J82" s="251">
        <v>0</v>
      </c>
      <c r="K82" s="251"/>
      <c r="L82" s="251">
        <v>0</v>
      </c>
      <c r="M82" s="251"/>
      <c r="N82" s="251">
        <v>0</v>
      </c>
      <c r="P82" s="657" t="s">
        <v>2274</v>
      </c>
      <c r="R82" s="662">
        <v>3</v>
      </c>
    </row>
    <row r="83" spans="1:18">
      <c r="A83" s="468"/>
      <c r="B83" s="474"/>
      <c r="C83" s="472"/>
      <c r="D83" s="477" t="s">
        <v>2282</v>
      </c>
      <c r="E83" s="476"/>
      <c r="F83" s="476">
        <v>0</v>
      </c>
      <c r="G83" s="468"/>
      <c r="H83" s="251">
        <v>7.82</v>
      </c>
      <c r="I83" s="251"/>
      <c r="J83" s="251">
        <v>7.82</v>
      </c>
      <c r="K83" s="251"/>
      <c r="L83" s="251">
        <v>0</v>
      </c>
      <c r="M83" s="251"/>
      <c r="N83" s="251">
        <v>0</v>
      </c>
      <c r="P83" s="657" t="s">
        <v>2274</v>
      </c>
      <c r="R83" s="662">
        <v>3</v>
      </c>
    </row>
    <row r="84" spans="1:18">
      <c r="A84" s="468"/>
      <c r="B84" s="474"/>
      <c r="C84" s="472"/>
      <c r="D84" s="477" t="s">
        <v>2283</v>
      </c>
      <c r="E84" s="476"/>
      <c r="F84" s="476">
        <v>0</v>
      </c>
      <c r="G84" s="468"/>
      <c r="H84" s="251">
        <v>24.68</v>
      </c>
      <c r="I84" s="251"/>
      <c r="J84" s="251">
        <v>24.68</v>
      </c>
      <c r="K84" s="251"/>
      <c r="L84" s="251">
        <v>0</v>
      </c>
      <c r="M84" s="251"/>
      <c r="N84" s="251">
        <v>0</v>
      </c>
      <c r="P84" s="657" t="s">
        <v>2274</v>
      </c>
      <c r="R84" s="662">
        <v>3.0000002046451586</v>
      </c>
    </row>
    <row r="85" spans="1:18">
      <c r="A85" s="468"/>
      <c r="B85" s="474"/>
      <c r="C85" s="472"/>
      <c r="D85" s="477" t="s">
        <v>2275</v>
      </c>
      <c r="E85" s="476"/>
      <c r="F85" s="476">
        <v>0</v>
      </c>
      <c r="G85" s="468"/>
      <c r="H85" s="251">
        <v>0.23</v>
      </c>
      <c r="I85" s="251"/>
      <c r="J85" s="251">
        <v>0.23</v>
      </c>
      <c r="K85" s="251"/>
      <c r="L85" s="251">
        <v>0</v>
      </c>
      <c r="M85" s="251"/>
      <c r="N85" s="251">
        <v>0</v>
      </c>
      <c r="P85" s="657" t="s">
        <v>2274</v>
      </c>
      <c r="R85" s="662">
        <v>2.9890109890109891</v>
      </c>
    </row>
    <row r="86" spans="1:18">
      <c r="A86" s="468"/>
      <c r="B86" s="474"/>
      <c r="C86" s="472"/>
      <c r="D86" s="477" t="s">
        <v>2276</v>
      </c>
      <c r="E86" s="476"/>
      <c r="F86" s="476">
        <v>0</v>
      </c>
      <c r="G86" s="468"/>
      <c r="H86" s="251">
        <v>0.26</v>
      </c>
      <c r="I86" s="251"/>
      <c r="J86" s="251">
        <v>0.26</v>
      </c>
      <c r="K86" s="251"/>
      <c r="L86" s="251">
        <v>0</v>
      </c>
      <c r="M86" s="251"/>
      <c r="N86" s="251">
        <v>0</v>
      </c>
      <c r="P86" s="657" t="s">
        <v>2274</v>
      </c>
      <c r="R86" s="662">
        <v>5</v>
      </c>
    </row>
    <row r="87" spans="1:18" s="483" customFormat="1">
      <c r="B87" s="479"/>
      <c r="C87" s="480"/>
      <c r="D87" s="481" t="s">
        <v>2284</v>
      </c>
      <c r="E87" s="482"/>
      <c r="F87" s="482">
        <v>0</v>
      </c>
      <c r="H87" s="251">
        <v>14.06</v>
      </c>
      <c r="I87" s="251"/>
      <c r="J87" s="251">
        <v>14.06</v>
      </c>
      <c r="K87" s="251"/>
      <c r="L87" s="251">
        <v>0</v>
      </c>
      <c r="M87" s="251"/>
      <c r="N87" s="251">
        <v>0</v>
      </c>
      <c r="O87" s="665"/>
      <c r="P87" s="666" t="s">
        <v>2274</v>
      </c>
      <c r="Q87" s="665"/>
      <c r="R87" s="662">
        <v>4.0000002175966491</v>
      </c>
    </row>
    <row r="88" spans="1:18">
      <c r="A88" s="468"/>
      <c r="B88" s="474"/>
      <c r="C88" s="472"/>
      <c r="D88" s="475" t="s">
        <v>2285</v>
      </c>
      <c r="E88" s="473"/>
      <c r="F88" s="476">
        <v>0</v>
      </c>
      <c r="G88" s="468"/>
      <c r="H88" s="251">
        <v>0</v>
      </c>
      <c r="I88" s="251"/>
      <c r="J88" s="251">
        <v>0</v>
      </c>
      <c r="K88" s="251"/>
      <c r="L88" s="251">
        <v>0</v>
      </c>
      <c r="M88" s="251"/>
      <c r="N88" s="251">
        <v>0</v>
      </c>
      <c r="P88" s="656" t="s">
        <v>2274</v>
      </c>
      <c r="R88" s="662">
        <v>0</v>
      </c>
    </row>
    <row r="89" spans="1:18">
      <c r="A89" s="468"/>
      <c r="B89" s="468"/>
      <c r="C89" s="472"/>
      <c r="D89" s="477" t="s">
        <v>2286</v>
      </c>
      <c r="E89" s="473"/>
      <c r="F89" s="476">
        <v>0</v>
      </c>
      <c r="G89" s="468"/>
      <c r="H89" s="251">
        <v>0</v>
      </c>
      <c r="I89" s="251"/>
      <c r="J89" s="251">
        <v>0</v>
      </c>
      <c r="K89" s="251"/>
      <c r="L89" s="251">
        <v>0</v>
      </c>
      <c r="M89" s="251"/>
      <c r="N89" s="251">
        <v>0</v>
      </c>
      <c r="P89" s="656" t="s">
        <v>2274</v>
      </c>
      <c r="R89" s="662">
        <v>0</v>
      </c>
    </row>
    <row r="90" spans="1:18">
      <c r="A90" s="468"/>
      <c r="B90" s="474"/>
      <c r="C90" s="472"/>
      <c r="D90" s="477" t="s">
        <v>2287</v>
      </c>
      <c r="E90" s="476"/>
      <c r="F90" s="476">
        <v>0</v>
      </c>
      <c r="G90" s="468"/>
      <c r="H90" s="251">
        <v>0</v>
      </c>
      <c r="I90" s="251"/>
      <c r="J90" s="251">
        <v>0</v>
      </c>
      <c r="K90" s="251"/>
      <c r="L90" s="251">
        <v>0</v>
      </c>
      <c r="M90" s="251"/>
      <c r="N90" s="251">
        <v>0</v>
      </c>
      <c r="P90" s="656" t="s">
        <v>2274</v>
      </c>
      <c r="R90" s="662">
        <v>0</v>
      </c>
    </row>
    <row r="91" spans="1:18">
      <c r="A91" s="468"/>
      <c r="B91" s="474"/>
      <c r="C91" s="472"/>
      <c r="D91" s="478" t="s">
        <v>2288</v>
      </c>
      <c r="E91" s="476"/>
      <c r="F91" s="476">
        <v>0</v>
      </c>
      <c r="G91" s="468"/>
      <c r="H91" s="251">
        <v>0</v>
      </c>
      <c r="I91" s="251"/>
      <c r="J91" s="251">
        <v>0</v>
      </c>
      <c r="K91" s="251"/>
      <c r="L91" s="251">
        <v>0</v>
      </c>
      <c r="M91" s="251"/>
      <c r="N91" s="251">
        <v>0</v>
      </c>
      <c r="P91" s="657" t="s">
        <v>2274</v>
      </c>
      <c r="R91" s="658">
        <v>0</v>
      </c>
    </row>
    <row r="92" spans="1:18">
      <c r="A92" s="468"/>
      <c r="B92" s="474"/>
      <c r="C92" s="472"/>
      <c r="D92" s="478"/>
      <c r="E92" s="476"/>
      <c r="F92" s="476"/>
      <c r="G92" s="468"/>
      <c r="H92" s="251"/>
      <c r="I92" s="251"/>
      <c r="J92" s="251"/>
      <c r="K92" s="251"/>
      <c r="L92" s="251"/>
      <c r="M92" s="251"/>
      <c r="N92" s="251"/>
      <c r="P92" s="657"/>
      <c r="R92" s="658"/>
    </row>
    <row r="93" spans="1:18">
      <c r="A93" s="468"/>
      <c r="B93" s="474"/>
      <c r="C93" s="472"/>
      <c r="D93" s="478" t="s">
        <v>2289</v>
      </c>
      <c r="E93" s="476"/>
      <c r="F93" s="476"/>
      <c r="G93" s="468"/>
      <c r="H93" s="251">
        <v>12.876460749905341</v>
      </c>
      <c r="I93" s="251"/>
      <c r="J93" s="251"/>
      <c r="K93" s="251"/>
      <c r="L93" s="251"/>
      <c r="M93" s="251"/>
      <c r="N93" s="251"/>
      <c r="P93" s="657"/>
      <c r="R93" s="658">
        <v>3.63</v>
      </c>
    </row>
    <row r="94" spans="1:18">
      <c r="A94" s="468"/>
      <c r="B94" s="474"/>
      <c r="C94" s="472"/>
      <c r="D94" s="478"/>
      <c r="E94" s="476"/>
      <c r="F94" s="476"/>
      <c r="G94" s="468"/>
      <c r="H94" s="251"/>
      <c r="I94" s="251"/>
      <c r="J94" s="251"/>
      <c r="K94" s="251"/>
      <c r="L94" s="251"/>
      <c r="M94" s="251"/>
      <c r="N94" s="251"/>
      <c r="P94" s="657"/>
      <c r="R94" s="658"/>
    </row>
    <row r="95" spans="1:18">
      <c r="A95" s="468"/>
      <c r="B95" s="474">
        <v>312.2</v>
      </c>
      <c r="C95" s="472"/>
      <c r="D95" s="475" t="s">
        <v>2290</v>
      </c>
      <c r="E95" s="476"/>
      <c r="F95" s="476"/>
      <c r="G95" s="468"/>
      <c r="H95" s="251"/>
      <c r="I95" s="251"/>
      <c r="J95" s="251"/>
      <c r="K95" s="251"/>
      <c r="L95" s="251"/>
      <c r="M95" s="251"/>
      <c r="N95" s="251"/>
      <c r="P95" s="657"/>
      <c r="R95" s="658"/>
    </row>
    <row r="96" spans="1:18">
      <c r="A96" s="468"/>
      <c r="B96" s="474"/>
      <c r="C96" s="472"/>
      <c r="D96" s="475" t="s">
        <v>1284</v>
      </c>
      <c r="E96" s="473"/>
      <c r="F96" s="476">
        <v>-10</v>
      </c>
      <c r="G96" s="468"/>
      <c r="H96" s="251">
        <v>0</v>
      </c>
      <c r="I96" s="251"/>
      <c r="J96" s="251">
        <v>0</v>
      </c>
      <c r="K96" s="251"/>
      <c r="L96" s="251">
        <v>0</v>
      </c>
      <c r="M96" s="251"/>
      <c r="N96" s="251">
        <v>0</v>
      </c>
      <c r="P96" s="656" t="s">
        <v>2279</v>
      </c>
      <c r="R96" s="658">
        <v>0</v>
      </c>
    </row>
    <row r="97" spans="1:18">
      <c r="A97" s="468"/>
      <c r="B97" s="474"/>
      <c r="C97" s="472"/>
      <c r="D97" s="475" t="s">
        <v>1285</v>
      </c>
      <c r="E97" s="473"/>
      <c r="F97" s="476">
        <v>-10</v>
      </c>
      <c r="G97" s="468"/>
      <c r="H97" s="251">
        <v>0</v>
      </c>
      <c r="I97" s="251"/>
      <c r="J97" s="251">
        <v>0</v>
      </c>
      <c r="K97" s="251"/>
      <c r="L97" s="251">
        <v>0</v>
      </c>
      <c r="M97" s="251"/>
      <c r="N97" s="251">
        <v>0</v>
      </c>
      <c r="P97" s="656" t="s">
        <v>2279</v>
      </c>
      <c r="R97" s="658">
        <v>0</v>
      </c>
    </row>
    <row r="98" spans="1:18">
      <c r="A98" s="468"/>
      <c r="B98" s="468"/>
      <c r="C98" s="472"/>
      <c r="D98" s="477" t="s">
        <v>1286</v>
      </c>
      <c r="E98" s="473"/>
      <c r="F98" s="476">
        <v>-10</v>
      </c>
      <c r="G98" s="468"/>
      <c r="H98" s="251">
        <v>0</v>
      </c>
      <c r="I98" s="251"/>
      <c r="J98" s="251">
        <v>0</v>
      </c>
      <c r="K98" s="251"/>
      <c r="L98" s="251">
        <v>0</v>
      </c>
      <c r="M98" s="251"/>
      <c r="N98" s="251">
        <v>0</v>
      </c>
      <c r="P98" s="656" t="s">
        <v>2279</v>
      </c>
      <c r="R98" s="658">
        <v>0</v>
      </c>
    </row>
    <row r="99" spans="1:18">
      <c r="A99" s="468"/>
      <c r="B99" s="474"/>
      <c r="C99" s="472"/>
      <c r="D99" s="477" t="s">
        <v>1287</v>
      </c>
      <c r="E99" s="476"/>
      <c r="F99" s="476">
        <v>-10</v>
      </c>
      <c r="G99" s="468"/>
      <c r="H99" s="251">
        <v>0</v>
      </c>
      <c r="I99" s="251"/>
      <c r="J99" s="251">
        <v>0</v>
      </c>
      <c r="K99" s="251"/>
      <c r="L99" s="251">
        <v>0</v>
      </c>
      <c r="M99" s="251"/>
      <c r="N99" s="251">
        <v>0</v>
      </c>
      <c r="P99" s="657" t="s">
        <v>2279</v>
      </c>
      <c r="R99" s="658">
        <v>0</v>
      </c>
    </row>
    <row r="100" spans="1:18" s="483" customFormat="1">
      <c r="A100" s="468"/>
      <c r="B100" s="474"/>
      <c r="C100" s="472"/>
      <c r="D100" s="477" t="s">
        <v>1288</v>
      </c>
      <c r="E100" s="476"/>
      <c r="F100" s="476">
        <v>-10</v>
      </c>
      <c r="G100" s="468"/>
      <c r="H100" s="251">
        <v>0</v>
      </c>
      <c r="I100" s="251"/>
      <c r="J100" s="251">
        <v>0</v>
      </c>
      <c r="K100" s="251"/>
      <c r="L100" s="251">
        <v>0</v>
      </c>
      <c r="M100" s="251"/>
      <c r="N100" s="251">
        <v>0</v>
      </c>
      <c r="O100" s="656"/>
      <c r="P100" s="656" t="s">
        <v>2279</v>
      </c>
      <c r="Q100" s="656"/>
      <c r="R100" s="658">
        <v>0</v>
      </c>
    </row>
    <row r="101" spans="1:18">
      <c r="A101" s="483"/>
      <c r="B101" s="484"/>
      <c r="C101" s="480"/>
      <c r="D101" s="481" t="s">
        <v>1293</v>
      </c>
      <c r="E101" s="482"/>
      <c r="F101" s="482">
        <v>-10</v>
      </c>
      <c r="G101" s="483"/>
      <c r="H101" s="251">
        <v>0</v>
      </c>
      <c r="I101" s="251"/>
      <c r="J101" s="251">
        <v>0</v>
      </c>
      <c r="K101" s="251"/>
      <c r="L101" s="251">
        <v>0</v>
      </c>
      <c r="M101" s="251"/>
      <c r="N101" s="251">
        <v>0</v>
      </c>
      <c r="O101" s="665"/>
      <c r="P101" s="665" t="s">
        <v>2279</v>
      </c>
      <c r="Q101" s="665"/>
      <c r="R101" s="658">
        <v>0</v>
      </c>
    </row>
    <row r="102" spans="1:18">
      <c r="A102" s="468"/>
      <c r="B102" s="474"/>
      <c r="C102" s="472"/>
      <c r="D102" s="478"/>
      <c r="E102" s="476"/>
      <c r="F102" s="476"/>
      <c r="G102" s="468"/>
      <c r="H102" s="251"/>
      <c r="I102" s="251"/>
      <c r="J102" s="251"/>
      <c r="K102" s="251"/>
      <c r="L102" s="251"/>
      <c r="M102" s="251"/>
      <c r="N102" s="251"/>
      <c r="P102" s="657"/>
      <c r="R102" s="667"/>
    </row>
    <row r="103" spans="1:18">
      <c r="A103" s="468">
        <v>312</v>
      </c>
      <c r="B103" s="474"/>
      <c r="C103" s="472"/>
      <c r="D103" s="478" t="s">
        <v>1305</v>
      </c>
      <c r="E103" s="476"/>
      <c r="F103" s="278" t="s">
        <v>2334</v>
      </c>
      <c r="G103" s="468"/>
      <c r="H103" s="251">
        <v>2.83</v>
      </c>
      <c r="I103" s="251"/>
      <c r="J103" s="251"/>
      <c r="K103" s="251"/>
      <c r="L103" s="251"/>
      <c r="M103" s="251"/>
      <c r="N103" s="251"/>
      <c r="P103" s="659" t="s">
        <v>2397</v>
      </c>
      <c r="R103" s="660" t="s">
        <v>2707</v>
      </c>
    </row>
    <row r="104" spans="1:18">
      <c r="A104" s="272"/>
      <c r="B104" s="248"/>
      <c r="C104" s="249"/>
      <c r="D104" s="254"/>
      <c r="E104" s="249"/>
      <c r="F104" s="250"/>
      <c r="G104" s="249"/>
      <c r="H104" s="251"/>
      <c r="I104" s="251"/>
      <c r="J104" s="251"/>
      <c r="K104" s="251"/>
      <c r="L104" s="251"/>
      <c r="M104" s="251"/>
      <c r="N104" s="251"/>
      <c r="O104" s="251"/>
      <c r="P104" s="251"/>
      <c r="Q104" s="251"/>
      <c r="R104" s="251"/>
    </row>
    <row r="105" spans="1:18">
      <c r="A105" s="272"/>
      <c r="B105" s="248">
        <v>314</v>
      </c>
      <c r="C105" s="249"/>
      <c r="D105" s="249" t="s">
        <v>1306</v>
      </c>
      <c r="E105" s="249"/>
      <c r="F105" s="250"/>
      <c r="G105" s="249"/>
      <c r="H105" s="251"/>
      <c r="I105" s="251"/>
      <c r="J105" s="251"/>
      <c r="K105" s="251"/>
      <c r="L105" s="251"/>
      <c r="M105" s="251"/>
      <c r="N105" s="251"/>
      <c r="O105" s="251"/>
      <c r="P105" s="251"/>
      <c r="Q105" s="251"/>
      <c r="R105" s="251"/>
    </row>
    <row r="106" spans="1:18">
      <c r="A106" s="272"/>
      <c r="B106" s="248"/>
      <c r="C106" s="249"/>
      <c r="D106" s="664" t="s">
        <v>1281</v>
      </c>
      <c r="E106" s="249"/>
      <c r="F106" s="654">
        <v>-13</v>
      </c>
      <c r="G106" s="249"/>
      <c r="H106" s="251">
        <v>2.14</v>
      </c>
      <c r="I106" s="251"/>
      <c r="J106" s="251">
        <v>1.9000000000000001</v>
      </c>
      <c r="K106" s="251"/>
      <c r="L106" s="251">
        <v>0.32</v>
      </c>
      <c r="M106" s="251"/>
      <c r="N106" s="251">
        <v>-0.08</v>
      </c>
      <c r="O106" s="251"/>
      <c r="P106" s="655" t="s">
        <v>1373</v>
      </c>
      <c r="Q106" s="251"/>
      <c r="R106" s="251">
        <v>41.504250401047372</v>
      </c>
    </row>
    <row r="107" spans="1:18">
      <c r="A107" s="272"/>
      <c r="B107" s="248"/>
      <c r="C107" s="249"/>
      <c r="D107" s="664" t="s">
        <v>1289</v>
      </c>
      <c r="E107" s="249"/>
      <c r="F107" s="654">
        <v>-6</v>
      </c>
      <c r="G107" s="249"/>
      <c r="H107" s="251">
        <v>2.52</v>
      </c>
      <c r="I107" s="251"/>
      <c r="J107" s="251">
        <v>2.3800000000000003</v>
      </c>
      <c r="K107" s="251"/>
      <c r="L107" s="251">
        <v>0.24</v>
      </c>
      <c r="M107" s="251"/>
      <c r="N107" s="251">
        <v>-0.1</v>
      </c>
      <c r="O107" s="251"/>
      <c r="P107" s="655" t="s">
        <v>1373</v>
      </c>
      <c r="Q107" s="251"/>
      <c r="R107" s="251">
        <v>1.1699980140825932</v>
      </c>
    </row>
    <row r="108" spans="1:18">
      <c r="A108" s="272"/>
      <c r="B108" s="248"/>
      <c r="C108" s="249"/>
      <c r="D108" s="664" t="s">
        <v>1290</v>
      </c>
      <c r="E108" s="249"/>
      <c r="F108" s="654">
        <v>-6</v>
      </c>
      <c r="G108" s="249"/>
      <c r="H108" s="251">
        <v>1.62</v>
      </c>
      <c r="I108" s="251"/>
      <c r="J108" s="251">
        <v>1.5300000000000002</v>
      </c>
      <c r="K108" s="251"/>
      <c r="L108" s="251">
        <v>0.15</v>
      </c>
      <c r="M108" s="251"/>
      <c r="N108" s="251">
        <v>-0.06</v>
      </c>
      <c r="O108" s="251"/>
      <c r="P108" s="655" t="s">
        <v>1373</v>
      </c>
      <c r="Q108" s="251"/>
      <c r="R108" s="251">
        <v>1.16999855983006</v>
      </c>
    </row>
    <row r="109" spans="1:18">
      <c r="A109" s="272"/>
      <c r="B109" s="248"/>
      <c r="C109" s="249"/>
      <c r="D109" s="664" t="s">
        <v>1291</v>
      </c>
      <c r="E109" s="249"/>
      <c r="F109" s="654">
        <v>-6</v>
      </c>
      <c r="G109" s="249"/>
      <c r="H109" s="251">
        <v>5.29</v>
      </c>
      <c r="I109" s="251"/>
      <c r="J109" s="251">
        <v>4.99</v>
      </c>
      <c r="K109" s="251"/>
      <c r="L109" s="251">
        <v>0.5</v>
      </c>
      <c r="M109" s="251"/>
      <c r="N109" s="251">
        <v>-0.2</v>
      </c>
      <c r="O109" s="251"/>
      <c r="P109" s="655" t="s">
        <v>1373</v>
      </c>
      <c r="Q109" s="251"/>
      <c r="R109" s="251">
        <v>16.579757541235328</v>
      </c>
    </row>
    <row r="110" spans="1:18">
      <c r="A110" s="272"/>
      <c r="B110" s="248"/>
      <c r="C110" s="249"/>
      <c r="D110" s="664" t="s">
        <v>1295</v>
      </c>
      <c r="E110" s="249"/>
      <c r="F110" s="654">
        <v>-8</v>
      </c>
      <c r="G110" s="249"/>
      <c r="H110" s="251">
        <v>3.34</v>
      </c>
      <c r="I110" s="251"/>
      <c r="J110" s="251">
        <v>3.09</v>
      </c>
      <c r="K110" s="251"/>
      <c r="L110" s="251">
        <v>0.37</v>
      </c>
      <c r="M110" s="251"/>
      <c r="N110" s="251">
        <v>-0.12</v>
      </c>
      <c r="O110" s="251"/>
      <c r="P110" s="655" t="s">
        <v>1373</v>
      </c>
      <c r="Q110" s="251"/>
      <c r="R110" s="251">
        <v>15.721387018759396</v>
      </c>
    </row>
    <row r="111" spans="1:18">
      <c r="A111" s="272"/>
      <c r="B111" s="248"/>
      <c r="C111" s="249"/>
      <c r="D111" s="664" t="s">
        <v>1296</v>
      </c>
      <c r="E111" s="249"/>
      <c r="F111" s="654">
        <v>-8</v>
      </c>
      <c r="G111" s="249"/>
      <c r="H111" s="251">
        <v>2.62</v>
      </c>
      <c r="I111" s="251"/>
      <c r="J111" s="251">
        <v>2.4300000000000002</v>
      </c>
      <c r="K111" s="251"/>
      <c r="L111" s="251">
        <v>0.28999999999999998</v>
      </c>
      <c r="M111" s="251"/>
      <c r="N111" s="251">
        <v>-0.1</v>
      </c>
      <c r="O111" s="251"/>
      <c r="P111" s="655" t="s">
        <v>1373</v>
      </c>
      <c r="Q111" s="251"/>
      <c r="R111" s="251">
        <v>15.316435750465159</v>
      </c>
    </row>
    <row r="112" spans="1:18">
      <c r="A112" s="272"/>
      <c r="B112" s="248"/>
      <c r="C112" s="249"/>
      <c r="D112" s="664" t="s">
        <v>1297</v>
      </c>
      <c r="E112" s="249"/>
      <c r="F112" s="654">
        <v>-8</v>
      </c>
      <c r="G112" s="249"/>
      <c r="H112" s="251">
        <v>2.12</v>
      </c>
      <c r="I112" s="251"/>
      <c r="J112" s="251">
        <v>1.9600000000000002</v>
      </c>
      <c r="K112" s="251"/>
      <c r="L112" s="251">
        <v>0.24</v>
      </c>
      <c r="M112" s="251"/>
      <c r="N112" s="251">
        <v>-0.08</v>
      </c>
      <c r="O112" s="251"/>
      <c r="P112" s="655" t="s">
        <v>1373</v>
      </c>
      <c r="Q112" s="251"/>
      <c r="R112" s="251">
        <v>17.897442118620596</v>
      </c>
    </row>
    <row r="113" spans="1:18">
      <c r="A113" s="272"/>
      <c r="B113" s="248"/>
      <c r="C113" s="256"/>
      <c r="D113" s="664" t="s">
        <v>1298</v>
      </c>
      <c r="E113" s="239"/>
      <c r="F113" s="654">
        <v>-8</v>
      </c>
      <c r="G113" s="239"/>
      <c r="H113" s="251">
        <v>2.64</v>
      </c>
      <c r="I113" s="251"/>
      <c r="J113" s="251">
        <v>2.4500000000000002</v>
      </c>
      <c r="K113" s="251"/>
      <c r="L113" s="251">
        <v>0.28999999999999998</v>
      </c>
      <c r="M113" s="251"/>
      <c r="N113" s="251">
        <v>-0.1</v>
      </c>
      <c r="O113" s="251"/>
      <c r="P113" s="655" t="s">
        <v>1373</v>
      </c>
      <c r="Q113" s="251"/>
      <c r="R113" s="251">
        <v>18.846899429588031</v>
      </c>
    </row>
    <row r="114" spans="1:18">
      <c r="A114" s="272"/>
      <c r="B114" s="248"/>
      <c r="C114" s="249"/>
      <c r="D114" s="249"/>
      <c r="E114" s="249"/>
      <c r="F114" s="250"/>
      <c r="G114" s="249"/>
      <c r="H114" s="251"/>
      <c r="I114" s="251"/>
      <c r="J114" s="251"/>
      <c r="K114" s="251"/>
      <c r="L114" s="251"/>
      <c r="M114" s="251"/>
      <c r="N114" s="251"/>
      <c r="O114" s="251"/>
      <c r="P114" s="251"/>
      <c r="Q114" s="251"/>
      <c r="R114" s="251"/>
    </row>
    <row r="115" spans="1:18">
      <c r="A115" s="272">
        <v>314</v>
      </c>
      <c r="B115" s="248"/>
      <c r="C115" s="249"/>
      <c r="D115" s="254" t="s">
        <v>1307</v>
      </c>
      <c r="E115" s="249"/>
      <c r="F115" s="278" t="s">
        <v>2708</v>
      </c>
      <c r="G115" s="249"/>
      <c r="H115" s="251">
        <v>2.8349996636740951</v>
      </c>
      <c r="I115" s="251"/>
      <c r="J115" s="251"/>
      <c r="K115" s="251"/>
      <c r="L115" s="251"/>
      <c r="M115" s="251"/>
      <c r="N115" s="251"/>
      <c r="O115" s="251"/>
      <c r="P115" s="251"/>
      <c r="Q115" s="251"/>
      <c r="R115" s="251">
        <v>21.04</v>
      </c>
    </row>
    <row r="116" spans="1:18">
      <c r="A116" s="272"/>
      <c r="B116" s="248"/>
      <c r="C116" s="249"/>
      <c r="D116" s="254"/>
      <c r="E116" s="249"/>
      <c r="F116" s="278"/>
      <c r="G116" s="249"/>
      <c r="H116" s="251"/>
      <c r="I116" s="251"/>
      <c r="J116" s="251"/>
      <c r="K116" s="251"/>
      <c r="L116" s="251"/>
      <c r="M116" s="251"/>
      <c r="N116" s="251"/>
      <c r="O116" s="251"/>
      <c r="P116" s="251"/>
      <c r="Q116" s="251"/>
      <c r="R116" s="251"/>
    </row>
    <row r="117" spans="1:18">
      <c r="A117" s="468"/>
      <c r="B117" s="474">
        <v>314.10000000000002</v>
      </c>
      <c r="C117" s="472"/>
      <c r="D117" s="475" t="s">
        <v>2291</v>
      </c>
      <c r="E117" s="476"/>
      <c r="F117" s="476"/>
      <c r="G117" s="468"/>
      <c r="H117" s="251"/>
      <c r="I117" s="251"/>
      <c r="J117" s="251"/>
      <c r="K117" s="251"/>
      <c r="L117" s="251"/>
      <c r="M117" s="251"/>
      <c r="N117" s="251"/>
      <c r="P117" s="657"/>
      <c r="R117" s="658"/>
    </row>
    <row r="118" spans="1:18">
      <c r="A118" s="468"/>
      <c r="B118" s="474"/>
      <c r="C118" s="472"/>
      <c r="D118" s="477" t="s">
        <v>1284</v>
      </c>
      <c r="E118" s="476"/>
      <c r="F118" s="668">
        <v>0</v>
      </c>
      <c r="G118" s="669"/>
      <c r="H118" s="251">
        <v>0</v>
      </c>
      <c r="I118" s="251"/>
      <c r="J118" s="251">
        <v>0</v>
      </c>
      <c r="K118" s="251"/>
      <c r="L118" s="251">
        <v>0</v>
      </c>
      <c r="M118" s="251"/>
      <c r="N118" s="251">
        <v>0</v>
      </c>
      <c r="R118" s="658">
        <v>0</v>
      </c>
    </row>
    <row r="119" spans="1:18">
      <c r="A119" s="468"/>
      <c r="B119" s="474"/>
      <c r="C119" s="472"/>
      <c r="D119" s="477" t="s">
        <v>1285</v>
      </c>
      <c r="E119" s="476"/>
      <c r="F119" s="668">
        <v>0</v>
      </c>
      <c r="G119" s="669"/>
      <c r="H119" s="251">
        <v>0</v>
      </c>
      <c r="I119" s="251"/>
      <c r="J119" s="251">
        <v>0</v>
      </c>
      <c r="K119" s="251"/>
      <c r="L119" s="251">
        <v>0</v>
      </c>
      <c r="M119" s="251"/>
      <c r="N119" s="251">
        <v>0</v>
      </c>
      <c r="R119" s="658">
        <v>0</v>
      </c>
    </row>
    <row r="120" spans="1:18">
      <c r="A120" s="468"/>
      <c r="B120" s="474"/>
      <c r="C120" s="472"/>
      <c r="D120" s="477" t="s">
        <v>1286</v>
      </c>
      <c r="E120" s="476"/>
      <c r="F120" s="668">
        <v>0</v>
      </c>
      <c r="G120" s="669"/>
      <c r="H120" s="251">
        <v>0</v>
      </c>
      <c r="I120" s="251"/>
      <c r="J120" s="251">
        <v>0</v>
      </c>
      <c r="K120" s="251"/>
      <c r="L120" s="251">
        <v>0</v>
      </c>
      <c r="M120" s="251"/>
      <c r="N120" s="251">
        <v>0</v>
      </c>
      <c r="R120" s="658">
        <v>0</v>
      </c>
    </row>
    <row r="121" spans="1:18">
      <c r="A121" s="468"/>
      <c r="B121" s="474"/>
      <c r="C121" s="472"/>
      <c r="D121" s="477" t="s">
        <v>1287</v>
      </c>
      <c r="E121" s="476"/>
      <c r="F121" s="668">
        <v>0</v>
      </c>
      <c r="G121" s="669"/>
      <c r="H121" s="251">
        <v>0</v>
      </c>
      <c r="I121" s="251"/>
      <c r="J121" s="251">
        <v>0</v>
      </c>
      <c r="K121" s="251"/>
      <c r="L121" s="251">
        <v>0</v>
      </c>
      <c r="M121" s="251"/>
      <c r="N121" s="251">
        <v>0</v>
      </c>
      <c r="R121" s="658">
        <v>0</v>
      </c>
    </row>
    <row r="122" spans="1:18">
      <c r="A122" s="468"/>
      <c r="B122" s="474"/>
      <c r="C122" s="472"/>
      <c r="D122" s="478"/>
      <c r="E122" s="476"/>
      <c r="F122" s="668"/>
      <c r="G122" s="669"/>
      <c r="H122" s="251"/>
      <c r="I122" s="251"/>
      <c r="J122" s="251"/>
      <c r="K122" s="251"/>
      <c r="L122" s="251"/>
      <c r="M122" s="251"/>
      <c r="N122" s="251"/>
      <c r="R122" s="658"/>
    </row>
    <row r="123" spans="1:18">
      <c r="A123" s="468"/>
      <c r="B123" s="474"/>
      <c r="C123" s="472"/>
      <c r="D123" s="478" t="s">
        <v>2292</v>
      </c>
      <c r="E123" s="476"/>
      <c r="F123" s="668">
        <v>0</v>
      </c>
      <c r="G123" s="669"/>
      <c r="H123" s="251">
        <v>0</v>
      </c>
      <c r="I123" s="251"/>
      <c r="J123" s="251">
        <v>0</v>
      </c>
      <c r="K123" s="251"/>
      <c r="L123" s="251">
        <v>0</v>
      </c>
      <c r="M123" s="251"/>
      <c r="N123" s="251">
        <v>0</v>
      </c>
      <c r="R123" s="658">
        <v>0</v>
      </c>
    </row>
    <row r="124" spans="1:18">
      <c r="A124" s="272"/>
      <c r="B124" s="248"/>
      <c r="C124" s="249"/>
      <c r="D124" s="249"/>
      <c r="E124" s="249"/>
      <c r="F124" s="250"/>
      <c r="G124" s="249"/>
      <c r="H124" s="251"/>
      <c r="I124" s="251"/>
      <c r="J124" s="251"/>
      <c r="K124" s="251"/>
      <c r="L124" s="251"/>
      <c r="M124" s="251"/>
      <c r="N124" s="251"/>
      <c r="O124" s="251"/>
      <c r="P124" s="251"/>
      <c r="Q124" s="251"/>
      <c r="R124" s="251"/>
    </row>
    <row r="125" spans="1:18">
      <c r="A125" s="272"/>
      <c r="B125" s="248">
        <v>315</v>
      </c>
      <c r="C125" s="249"/>
      <c r="D125" s="249" t="s">
        <v>1308</v>
      </c>
      <c r="E125" s="249"/>
      <c r="F125" s="250"/>
      <c r="G125" s="249"/>
      <c r="H125" s="251"/>
      <c r="I125" s="251"/>
      <c r="J125" s="251"/>
      <c r="K125" s="251"/>
      <c r="L125" s="251"/>
      <c r="M125" s="251"/>
      <c r="N125" s="251"/>
      <c r="O125" s="251"/>
      <c r="P125" s="251"/>
      <c r="Q125" s="251"/>
      <c r="R125" s="251"/>
    </row>
    <row r="126" spans="1:18">
      <c r="A126" s="272"/>
      <c r="B126" s="248"/>
      <c r="C126" s="249"/>
      <c r="D126" s="661" t="s">
        <v>1281</v>
      </c>
      <c r="E126" s="249"/>
      <c r="F126" s="654">
        <v>-13</v>
      </c>
      <c r="G126" s="249"/>
      <c r="H126" s="662">
        <v>1.99</v>
      </c>
      <c r="I126" s="251"/>
      <c r="J126" s="662">
        <v>1.76</v>
      </c>
      <c r="K126" s="251"/>
      <c r="L126" s="662">
        <v>0.25</v>
      </c>
      <c r="M126" s="251"/>
      <c r="N126" s="662">
        <v>-0.02</v>
      </c>
      <c r="O126" s="251"/>
      <c r="P126" s="251" t="s">
        <v>1376</v>
      </c>
      <c r="Q126" s="251"/>
      <c r="R126" s="662">
        <v>45.870628284021585</v>
      </c>
    </row>
    <row r="127" spans="1:18">
      <c r="A127" s="272"/>
      <c r="B127" s="248"/>
      <c r="C127" s="249"/>
      <c r="D127" s="661" t="s">
        <v>1282</v>
      </c>
      <c r="E127" s="249"/>
      <c r="F127" s="654">
        <v>-13</v>
      </c>
      <c r="G127" s="249"/>
      <c r="H127" s="662">
        <v>1.42</v>
      </c>
      <c r="I127" s="251"/>
      <c r="J127" s="662">
        <v>1.25</v>
      </c>
      <c r="K127" s="251"/>
      <c r="L127" s="662">
        <v>0.18</v>
      </c>
      <c r="M127" s="251"/>
      <c r="N127" s="662">
        <v>-0.01</v>
      </c>
      <c r="O127" s="251"/>
      <c r="P127" s="251" t="s">
        <v>1376</v>
      </c>
      <c r="Q127" s="251"/>
      <c r="R127" s="662">
        <v>39.939607298690994</v>
      </c>
    </row>
    <row r="128" spans="1:18">
      <c r="A128" s="272"/>
      <c r="B128" s="248"/>
      <c r="C128" s="249"/>
      <c r="D128" s="661" t="s">
        <v>1289</v>
      </c>
      <c r="E128" s="249"/>
      <c r="F128" s="654">
        <v>-6</v>
      </c>
      <c r="G128" s="249"/>
      <c r="H128" s="662">
        <v>1.24</v>
      </c>
      <c r="I128" s="251"/>
      <c r="J128" s="662">
        <v>1.17</v>
      </c>
      <c r="K128" s="251"/>
      <c r="L128" s="662">
        <v>0.08</v>
      </c>
      <c r="M128" s="251"/>
      <c r="N128" s="662">
        <v>-0.01</v>
      </c>
      <c r="O128" s="251"/>
      <c r="P128" s="251" t="s">
        <v>1376</v>
      </c>
      <c r="Q128" s="251"/>
      <c r="R128" s="662">
        <v>1.1699808047112321</v>
      </c>
    </row>
    <row r="129" spans="1:18">
      <c r="A129" s="272"/>
      <c r="B129" s="248"/>
      <c r="C129" s="249"/>
      <c r="D129" s="661" t="s">
        <v>1290</v>
      </c>
      <c r="E129" s="249"/>
      <c r="F129" s="654">
        <v>-6</v>
      </c>
      <c r="G129" s="249"/>
      <c r="H129" s="662">
        <v>2</v>
      </c>
      <c r="I129" s="251"/>
      <c r="J129" s="662">
        <v>1.8900000000000001</v>
      </c>
      <c r="K129" s="251"/>
      <c r="L129" s="662">
        <v>0.13</v>
      </c>
      <c r="M129" s="251"/>
      <c r="N129" s="662">
        <v>-0.02</v>
      </c>
      <c r="O129" s="251"/>
      <c r="P129" s="251" t="s">
        <v>1376</v>
      </c>
      <c r="Q129" s="251"/>
      <c r="R129" s="662">
        <v>1.1700150729904399</v>
      </c>
    </row>
    <row r="130" spans="1:18">
      <c r="A130" s="272"/>
      <c r="B130" s="248"/>
      <c r="C130" s="249"/>
      <c r="D130" s="661" t="s">
        <v>1291</v>
      </c>
      <c r="E130" s="249"/>
      <c r="F130" s="654">
        <v>-6</v>
      </c>
      <c r="G130" s="249"/>
      <c r="H130" s="662">
        <v>3.74</v>
      </c>
      <c r="I130" s="251"/>
      <c r="J130" s="662">
        <v>3.5300000000000002</v>
      </c>
      <c r="K130" s="251"/>
      <c r="L130" s="662">
        <v>0.25</v>
      </c>
      <c r="M130" s="251"/>
      <c r="N130" s="662">
        <v>-0.04</v>
      </c>
      <c r="O130" s="251"/>
      <c r="P130" s="251" t="s">
        <v>1376</v>
      </c>
      <c r="Q130" s="251"/>
      <c r="R130" s="662">
        <v>17.347282008997322</v>
      </c>
    </row>
    <row r="131" spans="1:18">
      <c r="A131" s="272"/>
      <c r="B131" s="248"/>
      <c r="C131" s="249"/>
      <c r="D131" s="661" t="s">
        <v>1292</v>
      </c>
      <c r="E131" s="249"/>
      <c r="F131" s="654">
        <v>-6</v>
      </c>
      <c r="G131" s="249"/>
      <c r="H131" s="662">
        <v>4.75</v>
      </c>
      <c r="I131" s="251"/>
      <c r="J131" s="662">
        <v>4.4800000000000004</v>
      </c>
      <c r="K131" s="251"/>
      <c r="L131" s="662">
        <v>0.31</v>
      </c>
      <c r="M131" s="251"/>
      <c r="N131" s="662">
        <v>-0.04</v>
      </c>
      <c r="O131" s="251"/>
      <c r="P131" s="251" t="s">
        <v>1376</v>
      </c>
      <c r="Q131" s="251"/>
      <c r="R131" s="662">
        <v>17.480009390790421</v>
      </c>
    </row>
    <row r="132" spans="1:18">
      <c r="A132" s="272"/>
      <c r="B132" s="248"/>
      <c r="C132" s="249"/>
      <c r="D132" s="661" t="s">
        <v>1294</v>
      </c>
      <c r="E132" s="249"/>
      <c r="F132" s="654">
        <v>-8</v>
      </c>
      <c r="G132" s="249"/>
      <c r="H132" s="662">
        <v>3.69</v>
      </c>
      <c r="I132" s="251"/>
      <c r="J132" s="662">
        <v>3.4099999999999997</v>
      </c>
      <c r="K132" s="251"/>
      <c r="L132" s="662">
        <v>0.31</v>
      </c>
      <c r="M132" s="251"/>
      <c r="N132" s="662">
        <v>-0.03</v>
      </c>
      <c r="O132" s="251"/>
      <c r="P132" s="251" t="s">
        <v>1376</v>
      </c>
      <c r="Q132" s="251"/>
      <c r="R132" s="662">
        <v>16.468234507109329</v>
      </c>
    </row>
    <row r="133" spans="1:18">
      <c r="A133" s="272"/>
      <c r="B133" s="248"/>
      <c r="C133" s="249"/>
      <c r="D133" s="661" t="s">
        <v>1295</v>
      </c>
      <c r="E133" s="249"/>
      <c r="F133" s="654">
        <v>-8</v>
      </c>
      <c r="G133" s="249"/>
      <c r="H133" s="662">
        <v>2.37</v>
      </c>
      <c r="I133" s="251"/>
      <c r="J133" s="662">
        <v>2.19</v>
      </c>
      <c r="K133" s="251"/>
      <c r="L133" s="662">
        <v>0.2</v>
      </c>
      <c r="M133" s="251"/>
      <c r="N133" s="662">
        <v>-0.02</v>
      </c>
      <c r="O133" s="251"/>
      <c r="P133" s="251" t="s">
        <v>1376</v>
      </c>
      <c r="Q133" s="251"/>
      <c r="R133" s="662">
        <v>16.254777418637662</v>
      </c>
    </row>
    <row r="134" spans="1:18">
      <c r="A134" s="272"/>
      <c r="B134" s="248"/>
      <c r="C134" s="249"/>
      <c r="D134" s="661" t="s">
        <v>1296</v>
      </c>
      <c r="E134" s="249"/>
      <c r="F134" s="654">
        <v>-8</v>
      </c>
      <c r="G134" s="249"/>
      <c r="H134" s="662">
        <v>1.66</v>
      </c>
      <c r="I134" s="251"/>
      <c r="J134" s="662">
        <v>1.54</v>
      </c>
      <c r="K134" s="251"/>
      <c r="L134" s="662">
        <v>0.14000000000000001</v>
      </c>
      <c r="M134" s="251"/>
      <c r="N134" s="662">
        <v>-0.02</v>
      </c>
      <c r="O134" s="251"/>
      <c r="P134" s="251" t="s">
        <v>1376</v>
      </c>
      <c r="Q134" s="251"/>
      <c r="R134" s="662">
        <v>15.981954995530058</v>
      </c>
    </row>
    <row r="135" spans="1:18">
      <c r="A135" s="272"/>
      <c r="B135" s="248"/>
      <c r="C135" s="249"/>
      <c r="D135" s="661" t="s">
        <v>1297</v>
      </c>
      <c r="E135" s="249"/>
      <c r="F135" s="654">
        <v>-8</v>
      </c>
      <c r="G135" s="249"/>
      <c r="H135" s="662">
        <v>1.73</v>
      </c>
      <c r="I135" s="251"/>
      <c r="J135" s="662">
        <v>1.6099999999999999</v>
      </c>
      <c r="K135" s="251"/>
      <c r="L135" s="662">
        <v>0.14000000000000001</v>
      </c>
      <c r="M135" s="251"/>
      <c r="N135" s="662">
        <v>-0.02</v>
      </c>
      <c r="O135" s="251"/>
      <c r="P135" s="251" t="s">
        <v>1376</v>
      </c>
      <c r="Q135" s="251"/>
      <c r="R135" s="662">
        <v>18.816813113582807</v>
      </c>
    </row>
    <row r="136" spans="1:18">
      <c r="A136" s="272"/>
      <c r="B136" s="248"/>
      <c r="C136" s="249"/>
      <c r="D136" s="661" t="s">
        <v>1298</v>
      </c>
      <c r="E136" s="249"/>
      <c r="F136" s="654">
        <v>-8</v>
      </c>
      <c r="G136" s="249"/>
      <c r="H136" s="662">
        <v>3.56</v>
      </c>
      <c r="I136" s="251"/>
      <c r="J136" s="662">
        <v>3.29</v>
      </c>
      <c r="K136" s="251"/>
      <c r="L136" s="662">
        <v>0.3</v>
      </c>
      <c r="M136" s="251"/>
      <c r="N136" s="662">
        <v>-0.03</v>
      </c>
      <c r="O136" s="251"/>
      <c r="P136" s="251" t="s">
        <v>1376</v>
      </c>
      <c r="Q136" s="251"/>
      <c r="R136" s="662">
        <v>20.236471204617438</v>
      </c>
    </row>
    <row r="137" spans="1:18">
      <c r="A137" s="272"/>
      <c r="B137" s="248"/>
      <c r="C137" s="249"/>
      <c r="D137" s="661" t="s">
        <v>1299</v>
      </c>
      <c r="E137" s="249"/>
      <c r="F137" s="654">
        <v>-8</v>
      </c>
      <c r="G137" s="249"/>
      <c r="H137" s="662">
        <v>4.8499999999999996</v>
      </c>
      <c r="I137" s="251"/>
      <c r="J137" s="662">
        <v>4.4899999999999993</v>
      </c>
      <c r="K137" s="251"/>
      <c r="L137" s="662">
        <v>0.4</v>
      </c>
      <c r="M137" s="251"/>
      <c r="N137" s="662">
        <v>-0.04</v>
      </c>
      <c r="O137" s="251"/>
      <c r="P137" s="251" t="s">
        <v>1376</v>
      </c>
      <c r="Q137" s="251"/>
      <c r="R137" s="662">
        <v>16.480736728060673</v>
      </c>
    </row>
    <row r="138" spans="1:18">
      <c r="A138" s="272"/>
      <c r="B138" s="248"/>
      <c r="C138" s="249"/>
      <c r="D138" s="664" t="s">
        <v>1303</v>
      </c>
      <c r="E138" s="249"/>
      <c r="F138" s="654">
        <v>-8</v>
      </c>
      <c r="G138" s="249"/>
      <c r="H138" s="662">
        <v>3.66</v>
      </c>
      <c r="I138" s="251"/>
      <c r="J138" s="662">
        <v>3.38</v>
      </c>
      <c r="K138" s="251"/>
      <c r="L138" s="662">
        <v>0.31</v>
      </c>
      <c r="M138" s="251"/>
      <c r="N138" s="662">
        <v>-0.03</v>
      </c>
      <c r="O138" s="251"/>
      <c r="P138" s="251" t="s">
        <v>1376</v>
      </c>
      <c r="Q138" s="251"/>
      <c r="R138" s="662">
        <v>19.442161796825211</v>
      </c>
    </row>
    <row r="139" spans="1:18">
      <c r="A139" s="272"/>
      <c r="B139" s="248"/>
      <c r="C139" s="249"/>
      <c r="D139" s="664" t="s">
        <v>1304</v>
      </c>
      <c r="E139" s="249"/>
      <c r="F139" s="654">
        <v>-8</v>
      </c>
      <c r="G139" s="249"/>
      <c r="H139" s="662">
        <v>4.1500000000000004</v>
      </c>
      <c r="I139" s="251"/>
      <c r="J139" s="662">
        <v>3.8400000000000003</v>
      </c>
      <c r="K139" s="251"/>
      <c r="L139" s="662">
        <v>0.35</v>
      </c>
      <c r="M139" s="251"/>
      <c r="N139" s="662">
        <v>-0.04</v>
      </c>
      <c r="O139" s="251"/>
      <c r="P139" s="251" t="s">
        <v>1376</v>
      </c>
      <c r="Q139" s="251"/>
      <c r="R139" s="662">
        <v>20.469995597521262</v>
      </c>
    </row>
    <row r="140" spans="1:18">
      <c r="A140" s="272"/>
      <c r="B140" s="248"/>
      <c r="C140" s="249"/>
      <c r="D140" s="664"/>
      <c r="E140" s="249"/>
      <c r="F140" s="671"/>
      <c r="G140" s="249"/>
      <c r="H140" s="662"/>
      <c r="I140" s="251"/>
      <c r="J140" s="662"/>
      <c r="K140" s="251"/>
      <c r="L140" s="662"/>
      <c r="M140" s="251"/>
      <c r="N140" s="662"/>
      <c r="O140" s="251"/>
      <c r="P140" s="251"/>
      <c r="Q140" s="251"/>
      <c r="R140" s="251"/>
    </row>
    <row r="141" spans="1:18">
      <c r="A141" s="272">
        <v>315</v>
      </c>
      <c r="B141" s="248"/>
      <c r="C141" s="249"/>
      <c r="D141" s="478" t="s">
        <v>1310</v>
      </c>
      <c r="E141" s="249"/>
      <c r="F141" s="278" t="s">
        <v>2708</v>
      </c>
      <c r="G141" s="249"/>
      <c r="H141" s="251">
        <v>2.998988710100535</v>
      </c>
      <c r="I141" s="251"/>
      <c r="J141" s="251"/>
      <c r="K141" s="251"/>
      <c r="L141" s="251"/>
      <c r="M141" s="251"/>
      <c r="N141" s="251"/>
      <c r="O141" s="251"/>
      <c r="P141" s="251" t="str">
        <f>P139</f>
        <v>70-R4</v>
      </c>
      <c r="Q141" s="251"/>
      <c r="R141" s="251">
        <v>21.73</v>
      </c>
    </row>
    <row r="142" spans="1:18">
      <c r="A142" s="272"/>
      <c r="B142" s="248"/>
      <c r="C142" s="249"/>
      <c r="D142" s="254"/>
      <c r="E142" s="249"/>
      <c r="F142" s="278"/>
      <c r="G142" s="249"/>
      <c r="H142" s="251"/>
      <c r="I142" s="251"/>
      <c r="J142" s="251"/>
      <c r="K142" s="251"/>
      <c r="L142" s="251"/>
      <c r="M142" s="251"/>
      <c r="N142" s="251"/>
      <c r="O142" s="251"/>
      <c r="P142" s="251"/>
      <c r="Q142" s="251"/>
      <c r="R142" s="251"/>
    </row>
    <row r="143" spans="1:18">
      <c r="A143" s="468"/>
      <c r="B143" s="474"/>
      <c r="C143" s="472"/>
      <c r="D143" s="478"/>
      <c r="E143" s="476"/>
      <c r="F143" s="476"/>
      <c r="G143" s="468"/>
      <c r="P143" s="657"/>
      <c r="R143" s="658"/>
    </row>
    <row r="144" spans="1:18">
      <c r="A144" s="468"/>
      <c r="B144" s="474">
        <v>315.10000000000002</v>
      </c>
      <c r="C144" s="472"/>
      <c r="D144" s="475" t="s">
        <v>2294</v>
      </c>
      <c r="E144" s="476"/>
      <c r="F144" s="476"/>
      <c r="G144" s="468"/>
      <c r="P144" s="657"/>
      <c r="R144" s="658"/>
    </row>
    <row r="145" spans="1:18">
      <c r="A145" s="468"/>
      <c r="B145" s="474"/>
      <c r="C145" s="472"/>
      <c r="D145" s="475" t="s">
        <v>1284</v>
      </c>
      <c r="E145" s="473"/>
      <c r="F145" s="469">
        <v>-10</v>
      </c>
      <c r="G145" s="468"/>
      <c r="H145" s="656">
        <v>0</v>
      </c>
      <c r="J145" s="656">
        <v>0</v>
      </c>
      <c r="L145" s="656">
        <v>0</v>
      </c>
      <c r="N145" s="656">
        <v>0</v>
      </c>
      <c r="P145" s="656" t="s">
        <v>2293</v>
      </c>
      <c r="R145" s="672">
        <v>0</v>
      </c>
    </row>
    <row r="146" spans="1:18">
      <c r="A146" s="468"/>
      <c r="B146" s="474"/>
      <c r="C146" s="472"/>
      <c r="D146" s="477" t="s">
        <v>1286</v>
      </c>
      <c r="E146" s="473"/>
      <c r="F146" s="469">
        <v>-10</v>
      </c>
      <c r="G146" s="468"/>
      <c r="H146" s="656">
        <v>0</v>
      </c>
      <c r="J146" s="656">
        <v>0</v>
      </c>
      <c r="L146" s="656">
        <v>0</v>
      </c>
      <c r="N146" s="656">
        <v>0</v>
      </c>
      <c r="P146" s="656" t="s">
        <v>2293</v>
      </c>
      <c r="R146" s="672">
        <v>0</v>
      </c>
    </row>
    <row r="147" spans="1:18">
      <c r="A147" s="468"/>
      <c r="B147" s="474"/>
      <c r="C147" s="472"/>
      <c r="D147" s="477" t="s">
        <v>1287</v>
      </c>
      <c r="E147" s="476"/>
      <c r="F147" s="476">
        <v>-10</v>
      </c>
      <c r="G147" s="468"/>
      <c r="H147" s="656">
        <v>0</v>
      </c>
      <c r="J147" s="656">
        <v>0</v>
      </c>
      <c r="L147" s="656">
        <v>0</v>
      </c>
      <c r="N147" s="656">
        <v>0</v>
      </c>
      <c r="P147" s="657" t="s">
        <v>2293</v>
      </c>
      <c r="R147" s="672">
        <v>0</v>
      </c>
    </row>
    <row r="148" spans="1:18">
      <c r="A148" s="468"/>
      <c r="B148" s="474"/>
      <c r="C148" s="472"/>
      <c r="D148" s="478"/>
      <c r="E148" s="476"/>
      <c r="F148" s="476"/>
      <c r="G148" s="468"/>
      <c r="P148" s="657"/>
      <c r="R148" s="672"/>
    </row>
    <row r="149" spans="1:18">
      <c r="A149" s="468"/>
      <c r="B149" s="474"/>
      <c r="C149" s="472"/>
      <c r="D149" s="478" t="s">
        <v>2295</v>
      </c>
      <c r="E149" s="476"/>
      <c r="F149" s="486" t="s">
        <v>2334</v>
      </c>
      <c r="G149" s="468"/>
      <c r="H149" s="656">
        <v>0</v>
      </c>
      <c r="J149" s="656">
        <v>0</v>
      </c>
      <c r="L149" s="656">
        <v>0</v>
      </c>
      <c r="N149" s="656">
        <v>0</v>
      </c>
      <c r="P149" s="657"/>
      <c r="R149" s="672">
        <v>0</v>
      </c>
    </row>
    <row r="150" spans="1:18">
      <c r="A150" s="272"/>
      <c r="B150" s="248"/>
      <c r="C150" s="249"/>
      <c r="D150" s="249"/>
      <c r="E150" s="249"/>
      <c r="F150" s="250"/>
      <c r="G150" s="249"/>
      <c r="H150" s="251"/>
      <c r="I150" s="251"/>
      <c r="J150" s="251"/>
      <c r="K150" s="251"/>
      <c r="L150" s="251"/>
      <c r="M150" s="251"/>
      <c r="N150" s="251"/>
      <c r="O150" s="251"/>
      <c r="P150" s="251"/>
      <c r="Q150" s="251"/>
      <c r="R150" s="251"/>
    </row>
    <row r="151" spans="1:18">
      <c r="A151" s="272"/>
      <c r="B151" s="248">
        <v>316</v>
      </c>
      <c r="C151" s="249" t="s">
        <v>160</v>
      </c>
      <c r="D151" s="249" t="s">
        <v>2296</v>
      </c>
      <c r="E151" s="249"/>
      <c r="F151" s="250"/>
      <c r="G151" s="249"/>
      <c r="H151" s="251"/>
      <c r="I151" s="251"/>
      <c r="J151" s="251"/>
      <c r="K151" s="251"/>
      <c r="L151" s="251"/>
      <c r="M151" s="251"/>
      <c r="N151" s="251"/>
      <c r="O151" s="251"/>
      <c r="P151" s="251"/>
      <c r="Q151" s="251"/>
      <c r="R151" s="251"/>
    </row>
    <row r="152" spans="1:18">
      <c r="A152" s="272"/>
      <c r="B152" s="248"/>
      <c r="C152" s="249"/>
      <c r="D152" s="253" t="s">
        <v>1281</v>
      </c>
      <c r="E152" s="249"/>
      <c r="F152" s="250">
        <v>-13</v>
      </c>
      <c r="G152" s="249"/>
      <c r="H152" s="662">
        <v>2.2599999999999998</v>
      </c>
      <c r="I152" s="251"/>
      <c r="J152" s="662">
        <v>1.9999999999999998</v>
      </c>
      <c r="K152" s="251"/>
      <c r="L152" s="662">
        <v>0.28000000000000003</v>
      </c>
      <c r="M152" s="251"/>
      <c r="N152" s="662">
        <v>-0.02</v>
      </c>
      <c r="O152" s="251"/>
      <c r="P152" s="655" t="s">
        <v>2297</v>
      </c>
      <c r="Q152" s="251"/>
      <c r="R152" s="251">
        <v>43.661738646144499</v>
      </c>
    </row>
    <row r="153" spans="1:18">
      <c r="A153" s="272"/>
      <c r="B153" s="248"/>
      <c r="C153" s="249"/>
      <c r="D153" s="249" t="s">
        <v>1283</v>
      </c>
      <c r="E153" s="249"/>
      <c r="F153" s="250">
        <v>0</v>
      </c>
      <c r="G153" s="249"/>
      <c r="H153" s="662">
        <v>3.46</v>
      </c>
      <c r="I153" s="251"/>
      <c r="J153" s="662">
        <v>3.46</v>
      </c>
      <c r="K153" s="251"/>
      <c r="L153" s="662">
        <v>0.03</v>
      </c>
      <c r="M153" s="251"/>
      <c r="N153" s="662">
        <v>-0.03</v>
      </c>
      <c r="O153" s="251"/>
      <c r="P153" s="655" t="s">
        <v>2297</v>
      </c>
      <c r="Q153" s="251"/>
      <c r="R153" s="251">
        <v>21.573189160409342</v>
      </c>
    </row>
    <row r="154" spans="1:18">
      <c r="A154" s="272"/>
      <c r="B154" s="248"/>
      <c r="C154" s="249"/>
      <c r="D154" s="253" t="s">
        <v>1289</v>
      </c>
      <c r="E154" s="249"/>
      <c r="F154" s="250">
        <v>-6</v>
      </c>
      <c r="G154" s="249"/>
      <c r="H154" s="662">
        <v>1.52</v>
      </c>
      <c r="I154" s="251"/>
      <c r="J154" s="662">
        <v>1.43</v>
      </c>
      <c r="K154" s="251"/>
      <c r="L154" s="662">
        <v>0.1</v>
      </c>
      <c r="M154" s="251"/>
      <c r="N154" s="662">
        <v>-0.01</v>
      </c>
      <c r="O154" s="251"/>
      <c r="P154" s="655" t="s">
        <v>2297</v>
      </c>
      <c r="Q154" s="251"/>
      <c r="R154" s="251">
        <v>1.1600067442252571</v>
      </c>
    </row>
    <row r="155" spans="1:18">
      <c r="A155" s="272"/>
      <c r="B155" s="248"/>
      <c r="C155" s="249"/>
      <c r="D155" s="253" t="s">
        <v>1290</v>
      </c>
      <c r="E155" s="249"/>
      <c r="F155" s="250">
        <v>-6</v>
      </c>
      <c r="G155" s="249"/>
      <c r="H155" s="662">
        <v>0.06</v>
      </c>
      <c r="I155" s="251"/>
      <c r="J155" s="662">
        <v>0.06</v>
      </c>
      <c r="K155" s="251"/>
      <c r="L155" s="662">
        <v>0</v>
      </c>
      <c r="M155" s="251"/>
      <c r="N155" s="662">
        <v>0</v>
      </c>
      <c r="O155" s="251"/>
      <c r="P155" s="655" t="s">
        <v>2297</v>
      </c>
      <c r="Q155" s="251"/>
      <c r="R155" s="251">
        <v>1.1594202898550725</v>
      </c>
    </row>
    <row r="156" spans="1:18">
      <c r="A156" s="272"/>
      <c r="B156" s="248"/>
      <c r="C156" s="249"/>
      <c r="D156" s="253" t="s">
        <v>1291</v>
      </c>
      <c r="E156" s="249"/>
      <c r="F156" s="250">
        <v>-6</v>
      </c>
      <c r="G156" s="249"/>
      <c r="H156" s="662">
        <v>3.36</v>
      </c>
      <c r="I156" s="251"/>
      <c r="J156" s="662">
        <v>3.1699999999999995</v>
      </c>
      <c r="K156" s="251"/>
      <c r="L156" s="662">
        <v>0.22</v>
      </c>
      <c r="M156" s="251"/>
      <c r="N156" s="662">
        <v>-0.03</v>
      </c>
      <c r="O156" s="251"/>
      <c r="P156" s="655" t="s">
        <v>2297</v>
      </c>
      <c r="Q156" s="251"/>
      <c r="R156" s="251">
        <v>16.879993937696049</v>
      </c>
    </row>
    <row r="157" spans="1:18">
      <c r="A157" s="272"/>
      <c r="B157" s="248"/>
      <c r="C157" s="249"/>
      <c r="D157" s="253" t="s">
        <v>1294</v>
      </c>
      <c r="E157" s="249"/>
      <c r="F157" s="250">
        <v>-8</v>
      </c>
      <c r="G157" s="249"/>
      <c r="H157" s="662">
        <v>0.9</v>
      </c>
      <c r="I157" s="251"/>
      <c r="J157" s="662">
        <v>0.83000000000000007</v>
      </c>
      <c r="K157" s="251"/>
      <c r="L157" s="662">
        <v>0.08</v>
      </c>
      <c r="M157" s="251"/>
      <c r="N157" s="662">
        <v>-0.01</v>
      </c>
      <c r="O157" s="251"/>
      <c r="P157" s="655" t="s">
        <v>2297</v>
      </c>
      <c r="Q157" s="251"/>
      <c r="R157" s="251">
        <v>15.907761400276371</v>
      </c>
    </row>
    <row r="158" spans="1:18">
      <c r="A158" s="274"/>
      <c r="B158" s="255"/>
      <c r="C158" s="249"/>
      <c r="D158" s="253" t="s">
        <v>1295</v>
      </c>
      <c r="E158" s="249"/>
      <c r="F158" s="250">
        <v>-8</v>
      </c>
      <c r="G158" s="249"/>
      <c r="H158" s="662">
        <v>1.06</v>
      </c>
      <c r="I158" s="251"/>
      <c r="J158" s="662">
        <v>0.98000000000000009</v>
      </c>
      <c r="K158" s="251"/>
      <c r="L158" s="662">
        <v>0.09</v>
      </c>
      <c r="M158" s="251"/>
      <c r="N158" s="662">
        <v>-0.01</v>
      </c>
      <c r="O158" s="251"/>
      <c r="P158" s="655" t="s">
        <v>2297</v>
      </c>
      <c r="Q158" s="251"/>
      <c r="R158" s="251">
        <v>15.828094604279718</v>
      </c>
    </row>
    <row r="159" spans="1:18">
      <c r="A159" s="272"/>
      <c r="B159" s="248"/>
      <c r="C159" s="249"/>
      <c r="D159" s="253" t="s">
        <v>1296</v>
      </c>
      <c r="E159" s="249"/>
      <c r="F159" s="250">
        <v>-8</v>
      </c>
      <c r="G159" s="249"/>
      <c r="H159" s="662">
        <v>0.89</v>
      </c>
      <c r="I159" s="251"/>
      <c r="J159" s="662">
        <v>0.83000000000000007</v>
      </c>
      <c r="K159" s="251"/>
      <c r="L159" s="662">
        <v>7.0000000000000007E-2</v>
      </c>
      <c r="M159" s="251"/>
      <c r="N159" s="662">
        <v>-0.01</v>
      </c>
      <c r="O159" s="251"/>
      <c r="P159" s="655" t="s">
        <v>2297</v>
      </c>
      <c r="Q159" s="251"/>
      <c r="R159" s="251">
        <v>15.645154312085376</v>
      </c>
    </row>
    <row r="160" spans="1:18">
      <c r="A160" s="663"/>
      <c r="B160" s="249"/>
      <c r="C160" s="249"/>
      <c r="D160" s="253" t="s">
        <v>1297</v>
      </c>
      <c r="E160" s="249"/>
      <c r="F160" s="250">
        <v>-8</v>
      </c>
      <c r="G160" s="249"/>
      <c r="H160" s="662">
        <v>2.17</v>
      </c>
      <c r="I160" s="251"/>
      <c r="J160" s="662">
        <v>2.0099999999999998</v>
      </c>
      <c r="K160" s="251"/>
      <c r="L160" s="662">
        <v>0.18</v>
      </c>
      <c r="M160" s="251"/>
      <c r="N160" s="662">
        <v>-0.02</v>
      </c>
      <c r="O160" s="251"/>
      <c r="P160" s="655" t="s">
        <v>2297</v>
      </c>
      <c r="Q160" s="251"/>
      <c r="R160" s="251">
        <v>18.544435667593959</v>
      </c>
    </row>
    <row r="161" spans="1:18">
      <c r="A161" s="272"/>
      <c r="B161" s="248"/>
      <c r="C161" s="249"/>
      <c r="D161" s="253" t="s">
        <v>1298</v>
      </c>
      <c r="E161" s="249"/>
      <c r="F161" s="250">
        <v>-8</v>
      </c>
      <c r="G161" s="249"/>
      <c r="H161" s="662">
        <v>3.53</v>
      </c>
      <c r="I161" s="251"/>
      <c r="J161" s="662">
        <v>3.2699999999999996</v>
      </c>
      <c r="K161" s="251"/>
      <c r="L161" s="662">
        <v>0.28999999999999998</v>
      </c>
      <c r="M161" s="251"/>
      <c r="N161" s="662">
        <v>-0.03</v>
      </c>
      <c r="O161" s="251"/>
      <c r="P161" s="655" t="s">
        <v>2297</v>
      </c>
      <c r="Q161" s="251"/>
      <c r="R161" s="251">
        <v>19.641892580225253</v>
      </c>
    </row>
    <row r="162" spans="1:18">
      <c r="A162" s="272"/>
      <c r="B162" s="248"/>
      <c r="C162" s="249"/>
      <c r="D162" s="253"/>
      <c r="E162" s="249"/>
      <c r="F162" s="250"/>
      <c r="G162" s="249"/>
      <c r="H162" s="662"/>
      <c r="I162" s="251"/>
      <c r="J162" s="662"/>
      <c r="K162" s="251"/>
      <c r="L162" s="662"/>
      <c r="M162" s="251"/>
      <c r="N162" s="662"/>
      <c r="O162" s="251"/>
      <c r="P162" s="655"/>
      <c r="Q162" s="251"/>
      <c r="R162" s="251"/>
    </row>
    <row r="163" spans="1:18">
      <c r="A163" s="272">
        <v>316</v>
      </c>
      <c r="B163" s="248"/>
      <c r="C163" s="249"/>
      <c r="D163" s="253" t="s">
        <v>2298</v>
      </c>
      <c r="E163" s="249"/>
      <c r="F163" s="278" t="s">
        <v>2708</v>
      </c>
      <c r="G163" s="249"/>
      <c r="H163" s="251">
        <v>2.750505327092676</v>
      </c>
      <c r="I163" s="251"/>
      <c r="J163" s="251"/>
      <c r="K163" s="251"/>
      <c r="L163" s="251"/>
      <c r="M163" s="251"/>
      <c r="N163" s="251"/>
      <c r="O163" s="251"/>
      <c r="P163" s="251" t="str">
        <f>P161</f>
        <v>75-R1.5</v>
      </c>
      <c r="Q163" s="251"/>
      <c r="R163" s="251">
        <v>22.74</v>
      </c>
    </row>
    <row r="164" spans="1:18">
      <c r="A164" s="272"/>
      <c r="B164" s="248"/>
      <c r="C164" s="249"/>
      <c r="D164" s="254"/>
      <c r="E164" s="249"/>
      <c r="F164" s="278"/>
      <c r="G164" s="249"/>
      <c r="H164" s="251"/>
      <c r="I164" s="251"/>
      <c r="J164" s="251"/>
      <c r="K164" s="251"/>
      <c r="L164" s="251"/>
      <c r="M164" s="251"/>
      <c r="N164" s="251"/>
      <c r="O164" s="251"/>
      <c r="P164" s="251"/>
      <c r="Q164" s="251"/>
      <c r="R164" s="251"/>
    </row>
    <row r="165" spans="1:18">
      <c r="A165" s="272"/>
      <c r="B165" s="248"/>
      <c r="C165" s="249"/>
      <c r="D165" s="254"/>
      <c r="E165" s="249"/>
      <c r="F165" s="278"/>
      <c r="G165" s="249"/>
      <c r="H165" s="251"/>
      <c r="I165" s="251"/>
      <c r="J165" s="251"/>
      <c r="K165" s="251"/>
      <c r="L165" s="251"/>
      <c r="M165" s="251"/>
      <c r="N165" s="251"/>
      <c r="O165" s="251"/>
      <c r="P165" s="251"/>
      <c r="Q165" s="251"/>
      <c r="R165" s="251"/>
    </row>
    <row r="166" spans="1:18">
      <c r="A166" s="468"/>
      <c r="B166" s="474">
        <v>316.10000000000002</v>
      </c>
      <c r="C166" s="472"/>
      <c r="D166" s="475" t="s">
        <v>2299</v>
      </c>
      <c r="E166" s="476"/>
      <c r="F166" s="476"/>
      <c r="G166" s="468"/>
      <c r="P166" s="657"/>
      <c r="R166" s="658"/>
    </row>
    <row r="167" spans="1:18">
      <c r="A167" s="468"/>
      <c r="B167" s="474"/>
      <c r="C167" s="472"/>
      <c r="D167" s="475" t="s">
        <v>1284</v>
      </c>
      <c r="E167" s="476"/>
      <c r="F167" s="250">
        <v>-3</v>
      </c>
      <c r="G167" s="249"/>
      <c r="H167" s="656">
        <v>0</v>
      </c>
      <c r="J167" s="656">
        <v>0</v>
      </c>
      <c r="L167" s="656">
        <v>0</v>
      </c>
      <c r="N167" s="656">
        <v>0</v>
      </c>
      <c r="O167" s="251"/>
      <c r="P167" s="655" t="s">
        <v>2297</v>
      </c>
      <c r="Q167" s="251"/>
      <c r="R167" s="672">
        <v>0</v>
      </c>
    </row>
    <row r="168" spans="1:18">
      <c r="A168" s="468"/>
      <c r="B168" s="474"/>
      <c r="C168" s="472"/>
      <c r="D168" s="475" t="s">
        <v>1285</v>
      </c>
      <c r="E168" s="476"/>
      <c r="F168" s="250">
        <v>-3</v>
      </c>
      <c r="G168" s="249"/>
      <c r="H168" s="656">
        <v>0</v>
      </c>
      <c r="J168" s="656">
        <v>0</v>
      </c>
      <c r="L168" s="656">
        <v>0</v>
      </c>
      <c r="N168" s="656">
        <v>0</v>
      </c>
      <c r="O168" s="251"/>
      <c r="P168" s="655" t="s">
        <v>2297</v>
      </c>
      <c r="Q168" s="251"/>
      <c r="R168" s="672">
        <v>0</v>
      </c>
    </row>
    <row r="169" spans="1:18">
      <c r="A169" s="468"/>
      <c r="B169" s="474"/>
      <c r="C169" s="472"/>
      <c r="D169" s="477" t="s">
        <v>1287</v>
      </c>
      <c r="E169" s="476"/>
      <c r="F169" s="250">
        <v>-2</v>
      </c>
      <c r="G169" s="249"/>
      <c r="H169" s="656">
        <v>0</v>
      </c>
      <c r="J169" s="656">
        <v>0</v>
      </c>
      <c r="L169" s="656">
        <v>0</v>
      </c>
      <c r="N169" s="656">
        <v>0</v>
      </c>
      <c r="O169" s="251"/>
      <c r="P169" s="655" t="s">
        <v>2297</v>
      </c>
      <c r="Q169" s="251"/>
      <c r="R169" s="672">
        <v>0</v>
      </c>
    </row>
    <row r="170" spans="1:18">
      <c r="A170" s="468"/>
      <c r="B170" s="474"/>
      <c r="C170" s="472"/>
      <c r="D170" s="477" t="s">
        <v>1288</v>
      </c>
      <c r="E170" s="476"/>
      <c r="F170" s="250">
        <v>-2</v>
      </c>
      <c r="G170" s="249"/>
      <c r="H170" s="656">
        <v>0</v>
      </c>
      <c r="J170" s="656">
        <v>0</v>
      </c>
      <c r="L170" s="656">
        <v>0</v>
      </c>
      <c r="N170" s="656">
        <v>0</v>
      </c>
      <c r="O170" s="251"/>
      <c r="P170" s="655" t="s">
        <v>2297</v>
      </c>
      <c r="Q170" s="251"/>
      <c r="R170" s="672">
        <v>0</v>
      </c>
    </row>
    <row r="171" spans="1:18">
      <c r="A171" s="468"/>
      <c r="B171" s="474"/>
      <c r="C171" s="472"/>
      <c r="D171" s="478"/>
      <c r="E171" s="476"/>
      <c r="F171" s="476"/>
      <c r="G171" s="468"/>
      <c r="P171" s="657"/>
      <c r="R171" s="672"/>
    </row>
    <row r="172" spans="1:18">
      <c r="A172" s="468"/>
      <c r="B172" s="474"/>
      <c r="C172" s="472"/>
      <c r="D172" s="478" t="s">
        <v>2300</v>
      </c>
      <c r="E172" s="476"/>
      <c r="F172" s="486" t="s">
        <v>2709</v>
      </c>
      <c r="G172" s="468"/>
      <c r="H172" s="672">
        <v>0</v>
      </c>
      <c r="P172" s="657"/>
      <c r="R172" s="672">
        <v>0</v>
      </c>
    </row>
    <row r="173" spans="1:18">
      <c r="A173" s="272"/>
      <c r="B173" s="248"/>
      <c r="C173" s="249"/>
      <c r="D173" s="254"/>
      <c r="E173" s="249"/>
      <c r="F173" s="250"/>
      <c r="G173" s="249"/>
      <c r="H173" s="251"/>
      <c r="I173" s="251"/>
      <c r="J173" s="251"/>
      <c r="K173" s="251"/>
      <c r="L173" s="251"/>
      <c r="M173" s="251"/>
      <c r="N173" s="251"/>
      <c r="O173" s="251"/>
      <c r="P173" s="251"/>
      <c r="Q173" s="251"/>
      <c r="R173" s="251"/>
    </row>
    <row r="174" spans="1:18">
      <c r="A174" s="272"/>
      <c r="B174" s="248"/>
      <c r="C174" s="249"/>
      <c r="D174" s="247" t="s">
        <v>1313</v>
      </c>
      <c r="E174" s="249"/>
      <c r="F174" s="250"/>
      <c r="G174" s="249"/>
      <c r="H174" s="251">
        <v>2.25</v>
      </c>
      <c r="I174" s="251"/>
      <c r="J174" s="251"/>
      <c r="K174" s="251"/>
      <c r="L174" s="251"/>
      <c r="M174" s="251"/>
      <c r="N174" s="251"/>
      <c r="O174" s="251"/>
      <c r="P174" s="251"/>
      <c r="Q174" s="251"/>
      <c r="R174" s="251"/>
    </row>
    <row r="175" spans="1:18">
      <c r="A175" s="272"/>
      <c r="B175" s="248"/>
      <c r="C175" s="249"/>
      <c r="D175" s="247"/>
      <c r="E175" s="249"/>
      <c r="F175" s="250"/>
      <c r="G175" s="249"/>
      <c r="H175" s="251"/>
      <c r="I175" s="251"/>
      <c r="J175" s="251"/>
      <c r="K175" s="251"/>
      <c r="L175" s="251"/>
      <c r="M175" s="251"/>
      <c r="N175" s="251"/>
      <c r="O175" s="251"/>
      <c r="P175" s="251"/>
      <c r="Q175" s="251"/>
      <c r="R175" s="251"/>
    </row>
    <row r="176" spans="1:18">
      <c r="A176" s="272"/>
      <c r="B176" s="248"/>
      <c r="C176" s="249"/>
      <c r="D176" s="245" t="s">
        <v>316</v>
      </c>
      <c r="E176" s="249"/>
      <c r="F176" s="250"/>
      <c r="G176" s="249"/>
      <c r="H176" s="251"/>
      <c r="I176" s="251"/>
      <c r="J176" s="251"/>
      <c r="K176" s="251"/>
      <c r="L176" s="251"/>
      <c r="M176" s="251"/>
      <c r="N176" s="251"/>
      <c r="O176" s="251"/>
      <c r="P176" s="251"/>
      <c r="Q176" s="251"/>
      <c r="R176" s="251"/>
    </row>
    <row r="177" spans="1:18">
      <c r="A177" s="272"/>
      <c r="B177" s="248"/>
      <c r="C177" s="249"/>
      <c r="D177" s="257"/>
      <c r="E177" s="249"/>
      <c r="F177" s="250"/>
      <c r="G177" s="249"/>
      <c r="H177" s="251"/>
      <c r="I177" s="251"/>
      <c r="J177" s="251"/>
      <c r="K177" s="251"/>
      <c r="L177" s="251"/>
      <c r="M177" s="251"/>
      <c r="N177" s="251"/>
      <c r="O177" s="251"/>
      <c r="P177" s="251"/>
      <c r="Q177" s="251"/>
      <c r="R177" s="251"/>
    </row>
    <row r="178" spans="1:18">
      <c r="A178" s="272"/>
      <c r="B178" s="248">
        <v>330.1</v>
      </c>
      <c r="C178" s="249"/>
      <c r="D178" s="257" t="s">
        <v>1314</v>
      </c>
      <c r="E178" s="249"/>
      <c r="F178" s="250"/>
      <c r="G178" s="249"/>
      <c r="H178" s="251"/>
      <c r="I178" s="251"/>
      <c r="J178" s="251"/>
      <c r="K178" s="251"/>
      <c r="L178" s="251"/>
      <c r="M178" s="251"/>
      <c r="N178" s="251"/>
      <c r="O178" s="251"/>
      <c r="P178" s="251"/>
      <c r="Q178" s="251"/>
      <c r="R178" s="251"/>
    </row>
    <row r="179" spans="1:18">
      <c r="A179" s="272">
        <v>330</v>
      </c>
      <c r="B179" s="248"/>
      <c r="C179" s="249"/>
      <c r="D179" s="257" t="s">
        <v>1315</v>
      </c>
      <c r="E179" s="249"/>
      <c r="F179" s="673">
        <v>0</v>
      </c>
      <c r="G179" s="249"/>
      <c r="H179" s="251">
        <v>0</v>
      </c>
      <c r="I179" s="251"/>
      <c r="J179" s="251">
        <v>0</v>
      </c>
      <c r="K179" s="251"/>
      <c r="L179" s="251">
        <v>0</v>
      </c>
      <c r="M179" s="251"/>
      <c r="N179" s="251">
        <v>0</v>
      </c>
      <c r="O179" s="251"/>
      <c r="P179" s="651" t="s">
        <v>1316</v>
      </c>
      <c r="Q179" s="651"/>
      <c r="R179" s="652">
        <v>0</v>
      </c>
    </row>
    <row r="180" spans="1:18">
      <c r="A180" s="272"/>
      <c r="B180" s="248"/>
      <c r="C180" s="249"/>
      <c r="D180" s="257"/>
      <c r="E180" s="249"/>
      <c r="F180" s="673"/>
      <c r="G180" s="249"/>
      <c r="H180" s="251"/>
      <c r="I180" s="251"/>
      <c r="J180" s="251"/>
      <c r="K180" s="251"/>
      <c r="L180" s="251"/>
      <c r="M180" s="251"/>
      <c r="N180" s="251"/>
      <c r="O180" s="251"/>
      <c r="P180" s="651"/>
      <c r="Q180" s="651"/>
      <c r="R180" s="652"/>
    </row>
    <row r="181" spans="1:18">
      <c r="A181" s="272"/>
      <c r="B181" s="248"/>
      <c r="C181" s="249"/>
      <c r="D181" s="259" t="s">
        <v>1317</v>
      </c>
      <c r="E181" s="249"/>
      <c r="F181" s="673"/>
      <c r="G181" s="249"/>
      <c r="H181" s="251">
        <v>0</v>
      </c>
      <c r="I181" s="251"/>
      <c r="J181" s="251"/>
      <c r="K181" s="251"/>
      <c r="L181" s="251"/>
      <c r="M181" s="251"/>
      <c r="N181" s="251"/>
      <c r="O181" s="251"/>
      <c r="P181" s="651"/>
      <c r="Q181" s="651"/>
      <c r="R181" s="652">
        <v>0</v>
      </c>
    </row>
    <row r="182" spans="1:18">
      <c r="A182" s="272"/>
      <c r="B182" s="248"/>
      <c r="C182" s="249"/>
      <c r="D182" s="257"/>
      <c r="E182" s="249"/>
      <c r="F182" s="673"/>
      <c r="G182" s="249"/>
      <c r="H182" s="251"/>
      <c r="I182" s="251"/>
      <c r="J182" s="251"/>
      <c r="K182" s="251"/>
      <c r="L182" s="251"/>
      <c r="M182" s="251"/>
      <c r="N182" s="251"/>
      <c r="O182" s="251"/>
      <c r="P182" s="651"/>
      <c r="Q182" s="651"/>
      <c r="R182" s="652"/>
    </row>
    <row r="183" spans="1:18">
      <c r="A183" s="272"/>
      <c r="B183" s="248">
        <v>331</v>
      </c>
      <c r="C183" s="249"/>
      <c r="D183" s="257" t="s">
        <v>1318</v>
      </c>
      <c r="E183" s="249"/>
      <c r="F183" s="673"/>
      <c r="G183" s="249"/>
      <c r="H183" s="251"/>
      <c r="I183" s="251"/>
      <c r="J183" s="251"/>
      <c r="K183" s="251"/>
      <c r="L183" s="251"/>
      <c r="M183" s="251"/>
      <c r="N183" s="251"/>
      <c r="O183" s="251"/>
      <c r="P183" s="651"/>
      <c r="Q183" s="651"/>
      <c r="R183" s="652"/>
    </row>
    <row r="184" spans="1:18">
      <c r="A184" s="272">
        <v>331</v>
      </c>
      <c r="B184" s="248"/>
      <c r="C184" s="249"/>
      <c r="D184" s="257" t="s">
        <v>1319</v>
      </c>
      <c r="E184" s="249"/>
      <c r="F184" s="673">
        <v>-3</v>
      </c>
      <c r="G184" s="249"/>
      <c r="H184" s="251">
        <v>2.48</v>
      </c>
      <c r="I184" s="251"/>
      <c r="J184" s="251">
        <v>2.41</v>
      </c>
      <c r="K184" s="251"/>
      <c r="L184" s="251">
        <v>7.0000000000000007E-2</v>
      </c>
      <c r="M184" s="251"/>
      <c r="N184" s="251">
        <v>0</v>
      </c>
      <c r="O184" s="251"/>
      <c r="P184" s="651" t="s">
        <v>1320</v>
      </c>
      <c r="Q184" s="651"/>
      <c r="R184" s="652">
        <v>24.7</v>
      </c>
    </row>
    <row r="185" spans="1:18">
      <c r="A185" s="272"/>
      <c r="B185" s="248"/>
      <c r="C185" s="249"/>
      <c r="D185" s="257"/>
      <c r="E185" s="249"/>
      <c r="F185" s="673"/>
      <c r="G185" s="249"/>
      <c r="H185" s="251"/>
      <c r="I185" s="251"/>
      <c r="J185" s="251"/>
      <c r="K185" s="251"/>
      <c r="L185" s="251"/>
      <c r="M185" s="251"/>
      <c r="N185" s="251"/>
      <c r="O185" s="251"/>
      <c r="P185" s="651"/>
      <c r="Q185" s="651"/>
      <c r="R185" s="652"/>
    </row>
    <row r="186" spans="1:18">
      <c r="A186" s="272"/>
      <c r="B186" s="248"/>
      <c r="C186" s="249"/>
      <c r="D186" s="259" t="s">
        <v>1321</v>
      </c>
      <c r="E186" s="249"/>
      <c r="F186" s="673"/>
      <c r="G186" s="249"/>
      <c r="H186" s="251">
        <v>2.48</v>
      </c>
      <c r="I186" s="251"/>
      <c r="J186" s="251"/>
      <c r="K186" s="251"/>
      <c r="L186" s="251"/>
      <c r="M186" s="251"/>
      <c r="N186" s="251"/>
      <c r="O186" s="251"/>
      <c r="P186" s="651"/>
      <c r="Q186" s="651"/>
      <c r="R186" s="652">
        <v>24.7</v>
      </c>
    </row>
    <row r="187" spans="1:18">
      <c r="A187" s="272"/>
      <c r="B187" s="248"/>
      <c r="C187" s="249"/>
      <c r="D187" s="257"/>
      <c r="E187" s="249"/>
      <c r="F187" s="673"/>
      <c r="G187" s="249"/>
      <c r="H187" s="251"/>
      <c r="I187" s="251"/>
      <c r="J187" s="251"/>
      <c r="K187" s="251"/>
      <c r="L187" s="251"/>
      <c r="M187" s="251"/>
      <c r="N187" s="251"/>
      <c r="O187" s="251"/>
      <c r="P187" s="651"/>
      <c r="Q187" s="651"/>
      <c r="R187" s="652"/>
    </row>
    <row r="188" spans="1:18">
      <c r="A188" s="272"/>
      <c r="B188" s="248">
        <v>332</v>
      </c>
      <c r="C188" s="249"/>
      <c r="D188" s="257" t="s">
        <v>1322</v>
      </c>
      <c r="E188" s="249"/>
      <c r="F188" s="674"/>
      <c r="G188" s="249"/>
      <c r="H188" s="251"/>
      <c r="I188" s="251"/>
      <c r="J188" s="251"/>
      <c r="K188" s="251"/>
      <c r="L188" s="251"/>
      <c r="M188" s="251"/>
      <c r="N188" s="251"/>
      <c r="O188" s="251"/>
      <c r="P188" s="652"/>
      <c r="Q188" s="652"/>
      <c r="R188" s="652"/>
    </row>
    <row r="189" spans="1:18">
      <c r="A189" s="272">
        <v>332</v>
      </c>
      <c r="B189" s="248"/>
      <c r="C189" s="249"/>
      <c r="D189" s="257" t="s">
        <v>1319</v>
      </c>
      <c r="E189" s="249"/>
      <c r="F189" s="673">
        <v>-3</v>
      </c>
      <c r="G189" s="249"/>
      <c r="H189" s="251">
        <v>2.61</v>
      </c>
      <c r="I189" s="251"/>
      <c r="J189" s="251">
        <v>2.5299999999999998</v>
      </c>
      <c r="K189" s="251"/>
      <c r="L189" s="251">
        <v>0.08</v>
      </c>
      <c r="M189" s="251"/>
      <c r="N189" s="251">
        <v>0</v>
      </c>
      <c r="O189" s="251"/>
      <c r="P189" s="651" t="s">
        <v>2301</v>
      </c>
      <c r="Q189" s="651"/>
      <c r="R189" s="652">
        <v>25.1</v>
      </c>
    </row>
    <row r="190" spans="1:18">
      <c r="A190" s="272"/>
      <c r="B190" s="248"/>
      <c r="C190" s="249"/>
      <c r="D190" s="257"/>
      <c r="E190" s="249"/>
      <c r="F190" s="673"/>
      <c r="G190" s="249"/>
      <c r="H190" s="251"/>
      <c r="I190" s="251"/>
      <c r="J190" s="251"/>
      <c r="K190" s="251"/>
      <c r="L190" s="251"/>
      <c r="M190" s="251"/>
      <c r="N190" s="251"/>
      <c r="O190" s="251"/>
      <c r="P190" s="651"/>
      <c r="Q190" s="651"/>
      <c r="R190" s="652"/>
    </row>
    <row r="191" spans="1:18">
      <c r="A191" s="272"/>
      <c r="B191" s="248"/>
      <c r="C191" s="249"/>
      <c r="D191" s="259" t="s">
        <v>1323</v>
      </c>
      <c r="E191" s="249"/>
      <c r="F191" s="673"/>
      <c r="G191" s="249"/>
      <c r="H191" s="251">
        <v>2.61</v>
      </c>
      <c r="I191" s="251"/>
      <c r="J191" s="251"/>
      <c r="K191" s="251"/>
      <c r="L191" s="251"/>
      <c r="M191" s="251"/>
      <c r="N191" s="251"/>
      <c r="O191" s="251"/>
      <c r="P191" s="651"/>
      <c r="Q191" s="651"/>
      <c r="R191" s="652">
        <v>25.1</v>
      </c>
    </row>
    <row r="192" spans="1:18">
      <c r="A192" s="272"/>
      <c r="B192" s="248"/>
      <c r="C192" s="249"/>
      <c r="D192" s="257"/>
      <c r="E192" s="249"/>
      <c r="F192" s="673"/>
      <c r="G192" s="249"/>
      <c r="H192" s="251"/>
      <c r="I192" s="251"/>
      <c r="J192" s="251"/>
      <c r="K192" s="251"/>
      <c r="L192" s="251"/>
      <c r="M192" s="251"/>
      <c r="N192" s="251"/>
      <c r="O192" s="251"/>
      <c r="P192" s="651"/>
      <c r="Q192" s="651"/>
      <c r="R192" s="652"/>
    </row>
    <row r="193" spans="1:18">
      <c r="A193" s="272"/>
      <c r="B193" s="248">
        <v>333</v>
      </c>
      <c r="C193" s="249"/>
      <c r="D193" s="257" t="s">
        <v>1324</v>
      </c>
      <c r="E193" s="249"/>
      <c r="F193" s="673"/>
      <c r="G193" s="249"/>
      <c r="H193" s="251"/>
      <c r="I193" s="251"/>
      <c r="J193" s="251"/>
      <c r="K193" s="251"/>
      <c r="L193" s="251"/>
      <c r="M193" s="251"/>
      <c r="N193" s="251"/>
      <c r="O193" s="251"/>
      <c r="P193" s="651"/>
      <c r="Q193" s="651"/>
      <c r="R193" s="652"/>
    </row>
    <row r="194" spans="1:18">
      <c r="A194" s="272">
        <v>333</v>
      </c>
      <c r="B194" s="248"/>
      <c r="C194" s="249"/>
      <c r="D194" s="257" t="s">
        <v>1325</v>
      </c>
      <c r="E194" s="249"/>
      <c r="F194" s="673">
        <v>-3</v>
      </c>
      <c r="G194" s="249"/>
      <c r="H194" s="251">
        <v>3.8600000000000003</v>
      </c>
      <c r="I194" s="251"/>
      <c r="J194" s="251">
        <v>3.75</v>
      </c>
      <c r="K194" s="251"/>
      <c r="L194" s="251">
        <v>0.15</v>
      </c>
      <c r="M194" s="251"/>
      <c r="N194" s="251">
        <v>-0.04</v>
      </c>
      <c r="O194" s="251"/>
      <c r="P194" s="651" t="s">
        <v>1326</v>
      </c>
      <c r="Q194" s="651"/>
      <c r="R194" s="652">
        <v>25.2</v>
      </c>
    </row>
    <row r="195" spans="1:18">
      <c r="A195" s="272"/>
      <c r="B195" s="248"/>
      <c r="C195" s="249"/>
      <c r="D195" s="257"/>
      <c r="E195" s="249"/>
      <c r="F195" s="673"/>
      <c r="G195" s="249"/>
      <c r="H195" s="251"/>
      <c r="I195" s="251"/>
      <c r="J195" s="251"/>
      <c r="K195" s="251"/>
      <c r="L195" s="251"/>
      <c r="M195" s="251"/>
      <c r="N195" s="251"/>
      <c r="O195" s="251"/>
      <c r="P195" s="651"/>
      <c r="Q195" s="651"/>
      <c r="R195" s="652"/>
    </row>
    <row r="196" spans="1:18">
      <c r="A196" s="272"/>
      <c r="B196" s="248"/>
      <c r="C196" s="249"/>
      <c r="D196" s="259" t="s">
        <v>1327</v>
      </c>
      <c r="E196" s="249"/>
      <c r="F196" s="673"/>
      <c r="G196" s="249"/>
      <c r="H196" s="251">
        <v>3.8600000000000003</v>
      </c>
      <c r="I196" s="251"/>
      <c r="J196" s="251"/>
      <c r="K196" s="251"/>
      <c r="L196" s="251"/>
      <c r="M196" s="251"/>
      <c r="N196" s="251"/>
      <c r="O196" s="251"/>
      <c r="P196" s="651"/>
      <c r="Q196" s="651"/>
      <c r="R196" s="652">
        <v>25.2</v>
      </c>
    </row>
    <row r="197" spans="1:18">
      <c r="A197" s="272"/>
      <c r="B197" s="248"/>
      <c r="C197" s="249"/>
      <c r="D197" s="257"/>
      <c r="E197" s="249"/>
      <c r="F197" s="673"/>
      <c r="G197" s="249"/>
      <c r="H197" s="251"/>
      <c r="I197" s="251"/>
      <c r="J197" s="251"/>
      <c r="K197" s="251"/>
      <c r="L197" s="251"/>
      <c r="M197" s="251"/>
      <c r="N197" s="251"/>
      <c r="O197" s="251"/>
      <c r="P197" s="651"/>
      <c r="Q197" s="651"/>
      <c r="R197" s="652"/>
    </row>
    <row r="198" spans="1:18">
      <c r="A198" s="272"/>
      <c r="B198" s="248">
        <v>334</v>
      </c>
      <c r="C198" s="249"/>
      <c r="D198" s="257" t="s">
        <v>1328</v>
      </c>
      <c r="E198" s="249"/>
      <c r="F198" s="673"/>
      <c r="G198" s="249"/>
      <c r="H198" s="251"/>
      <c r="I198" s="251"/>
      <c r="J198" s="251"/>
      <c r="K198" s="251"/>
      <c r="L198" s="251"/>
      <c r="M198" s="251"/>
      <c r="N198" s="251"/>
      <c r="O198" s="251"/>
      <c r="P198" s="651"/>
      <c r="Q198" s="651"/>
      <c r="R198" s="652"/>
    </row>
    <row r="199" spans="1:18">
      <c r="A199" s="272">
        <v>334</v>
      </c>
      <c r="B199" s="248"/>
      <c r="C199" s="249"/>
      <c r="D199" s="257" t="s">
        <v>1325</v>
      </c>
      <c r="E199" s="249"/>
      <c r="F199" s="673">
        <v>-3</v>
      </c>
      <c r="G199" s="249"/>
      <c r="H199" s="251">
        <v>3.8099999999999996</v>
      </c>
      <c r="I199" s="251"/>
      <c r="J199" s="251">
        <v>3.7</v>
      </c>
      <c r="K199" s="251"/>
      <c r="L199" s="251">
        <v>0.11</v>
      </c>
      <c r="M199" s="251"/>
      <c r="N199" s="251">
        <v>0</v>
      </c>
      <c r="O199" s="251"/>
      <c r="P199" s="651" t="s">
        <v>1329</v>
      </c>
      <c r="Q199" s="651"/>
      <c r="R199" s="652">
        <v>22.7</v>
      </c>
    </row>
    <row r="200" spans="1:18">
      <c r="A200" s="272"/>
      <c r="B200" s="248"/>
      <c r="C200" s="249"/>
      <c r="D200" s="257"/>
      <c r="E200" s="249"/>
      <c r="F200" s="673"/>
      <c r="G200" s="249"/>
      <c r="H200" s="251"/>
      <c r="I200" s="251"/>
      <c r="J200" s="251"/>
      <c r="K200" s="251"/>
      <c r="L200" s="251"/>
      <c r="M200" s="251"/>
      <c r="N200" s="251"/>
      <c r="O200" s="251"/>
      <c r="P200" s="651"/>
      <c r="Q200" s="651"/>
      <c r="R200" s="652"/>
    </row>
    <row r="201" spans="1:18">
      <c r="A201" s="272"/>
      <c r="B201" s="248"/>
      <c r="C201" s="249"/>
      <c r="D201" s="259" t="s">
        <v>1330</v>
      </c>
      <c r="E201" s="249"/>
      <c r="F201" s="673"/>
      <c r="G201" s="249"/>
      <c r="H201" s="251">
        <v>3.8099999999999996</v>
      </c>
      <c r="I201" s="251"/>
      <c r="J201" s="251"/>
      <c r="K201" s="251"/>
      <c r="L201" s="251"/>
      <c r="M201" s="251"/>
      <c r="N201" s="251"/>
      <c r="O201" s="251"/>
      <c r="P201" s="651"/>
      <c r="Q201" s="651"/>
      <c r="R201" s="652">
        <v>22.7</v>
      </c>
    </row>
    <row r="202" spans="1:18">
      <c r="A202" s="272"/>
      <c r="B202" s="248"/>
      <c r="C202" s="249"/>
      <c r="D202" s="257"/>
      <c r="E202" s="249"/>
      <c r="F202" s="673"/>
      <c r="G202" s="249"/>
      <c r="H202" s="251"/>
      <c r="I202" s="251"/>
      <c r="J202" s="251"/>
      <c r="K202" s="251"/>
      <c r="L202" s="251"/>
      <c r="M202" s="251"/>
      <c r="N202" s="251"/>
      <c r="O202" s="251"/>
      <c r="P202" s="651"/>
      <c r="Q202" s="651"/>
      <c r="R202" s="652"/>
    </row>
    <row r="203" spans="1:18">
      <c r="A203" s="272"/>
      <c r="B203" s="248">
        <v>335</v>
      </c>
      <c r="C203" s="249"/>
      <c r="D203" s="257" t="s">
        <v>1331</v>
      </c>
      <c r="E203" s="249"/>
      <c r="F203" s="673"/>
      <c r="G203" s="249"/>
      <c r="H203" s="251"/>
      <c r="I203" s="251"/>
      <c r="J203" s="251"/>
      <c r="K203" s="251"/>
      <c r="L203" s="251"/>
      <c r="M203" s="251"/>
      <c r="N203" s="251"/>
      <c r="O203" s="251"/>
      <c r="P203" s="651"/>
      <c r="Q203" s="651"/>
      <c r="R203" s="652"/>
    </row>
    <row r="204" spans="1:18">
      <c r="A204" s="272">
        <v>335</v>
      </c>
      <c r="B204" s="248"/>
      <c r="C204" s="249"/>
      <c r="D204" s="257" t="s">
        <v>1325</v>
      </c>
      <c r="E204" s="249"/>
      <c r="F204" s="673">
        <v>-3</v>
      </c>
      <c r="G204" s="249"/>
      <c r="H204" s="251">
        <v>3.7599999999999993</v>
      </c>
      <c r="I204" s="251"/>
      <c r="J204" s="251">
        <v>3.65</v>
      </c>
      <c r="K204" s="251"/>
      <c r="L204" s="251">
        <v>0.11</v>
      </c>
      <c r="M204" s="251"/>
      <c r="N204" s="251">
        <v>0</v>
      </c>
      <c r="O204" s="251"/>
      <c r="P204" s="651" t="s">
        <v>2302</v>
      </c>
      <c r="Q204" s="651"/>
      <c r="R204" s="652">
        <v>17.600000000000001</v>
      </c>
    </row>
    <row r="205" spans="1:18">
      <c r="A205" s="272"/>
      <c r="B205" s="248"/>
      <c r="C205" s="249"/>
      <c r="D205" s="257"/>
      <c r="E205" s="249"/>
      <c r="F205" s="673"/>
      <c r="G205" s="249"/>
      <c r="H205" s="251"/>
      <c r="I205" s="251"/>
      <c r="J205" s="251"/>
      <c r="K205" s="251"/>
      <c r="L205" s="251"/>
      <c r="M205" s="251"/>
      <c r="N205" s="251"/>
      <c r="O205" s="251"/>
      <c r="P205" s="651"/>
      <c r="Q205" s="651"/>
      <c r="R205" s="652"/>
    </row>
    <row r="206" spans="1:18" s="475" customFormat="1">
      <c r="A206" s="272"/>
      <c r="B206" s="248"/>
      <c r="C206" s="249"/>
      <c r="D206" s="259" t="s">
        <v>1332</v>
      </c>
      <c r="E206" s="249"/>
      <c r="F206" s="673"/>
      <c r="G206" s="249"/>
      <c r="H206" s="251">
        <v>3.7599999999999993</v>
      </c>
      <c r="I206" s="251"/>
      <c r="J206" s="251"/>
      <c r="K206" s="251"/>
      <c r="L206" s="251"/>
      <c r="M206" s="251"/>
      <c r="N206" s="251"/>
      <c r="O206" s="251"/>
      <c r="P206" s="651"/>
      <c r="Q206" s="651"/>
      <c r="R206" s="652">
        <v>17.600000000000001</v>
      </c>
    </row>
    <row r="207" spans="1:18">
      <c r="A207" s="272"/>
      <c r="B207" s="248"/>
      <c r="C207" s="249"/>
      <c r="D207" s="257"/>
      <c r="E207" s="249"/>
      <c r="F207" s="673"/>
      <c r="G207" s="249"/>
      <c r="H207" s="251"/>
      <c r="I207" s="251"/>
      <c r="J207" s="251"/>
      <c r="K207" s="251"/>
      <c r="L207" s="251"/>
      <c r="M207" s="251"/>
      <c r="N207" s="251"/>
      <c r="O207" s="251"/>
      <c r="P207" s="651"/>
      <c r="Q207" s="651"/>
      <c r="R207" s="652"/>
    </row>
    <row r="208" spans="1:18">
      <c r="A208" s="272"/>
      <c r="B208" s="248">
        <v>336</v>
      </c>
      <c r="C208" s="249"/>
      <c r="D208" s="257" t="s">
        <v>1333</v>
      </c>
      <c r="E208" s="249"/>
      <c r="F208" s="673"/>
      <c r="G208" s="249"/>
      <c r="H208" s="251"/>
      <c r="I208" s="251"/>
      <c r="J208" s="251"/>
      <c r="K208" s="251"/>
      <c r="L208" s="251"/>
      <c r="M208" s="251"/>
      <c r="N208" s="251"/>
      <c r="O208" s="251"/>
      <c r="P208" s="651"/>
      <c r="Q208" s="651"/>
      <c r="R208" s="652"/>
    </row>
    <row r="209" spans="1:18">
      <c r="A209" s="272">
        <v>336</v>
      </c>
      <c r="B209" s="248"/>
      <c r="C209" s="249"/>
      <c r="D209" s="257" t="s">
        <v>1319</v>
      </c>
      <c r="E209" s="249"/>
      <c r="F209" s="673">
        <v>-3</v>
      </c>
      <c r="G209" s="249"/>
      <c r="H209" s="251">
        <v>3.3300000000000005</v>
      </c>
      <c r="I209" s="251"/>
      <c r="J209" s="251">
        <v>3.23</v>
      </c>
      <c r="K209" s="251"/>
      <c r="L209" s="251">
        <v>0.1</v>
      </c>
      <c r="M209" s="251"/>
      <c r="N209" s="251">
        <v>0</v>
      </c>
      <c r="O209" s="251"/>
      <c r="P209" s="651" t="s">
        <v>2303</v>
      </c>
      <c r="Q209" s="651"/>
      <c r="R209" s="652">
        <v>21.9</v>
      </c>
    </row>
    <row r="210" spans="1:18" s="485" customFormat="1">
      <c r="A210" s="272"/>
      <c r="B210" s="248"/>
      <c r="C210" s="249"/>
      <c r="D210" s="257"/>
      <c r="E210" s="249"/>
      <c r="F210" s="250"/>
      <c r="G210" s="249"/>
      <c r="H210" s="251"/>
      <c r="I210" s="251"/>
      <c r="J210" s="251"/>
      <c r="K210" s="251"/>
      <c r="L210" s="251"/>
      <c r="M210" s="251"/>
      <c r="N210" s="251"/>
      <c r="O210" s="251"/>
      <c r="P210" s="251"/>
      <c r="Q210" s="251"/>
      <c r="R210" s="251"/>
    </row>
    <row r="211" spans="1:18">
      <c r="A211" s="272"/>
      <c r="B211" s="248"/>
      <c r="C211" s="249"/>
      <c r="D211" s="259" t="s">
        <v>1334</v>
      </c>
      <c r="E211" s="249"/>
      <c r="F211" s="250"/>
      <c r="G211" s="249"/>
      <c r="H211" s="251">
        <v>3.33</v>
      </c>
      <c r="I211" s="251"/>
      <c r="J211" s="251"/>
      <c r="K211" s="251"/>
      <c r="L211" s="251"/>
      <c r="M211" s="251"/>
      <c r="N211" s="251"/>
      <c r="O211" s="251"/>
      <c r="P211" s="251"/>
      <c r="Q211" s="251"/>
      <c r="R211" s="251">
        <v>21.9</v>
      </c>
    </row>
    <row r="212" spans="1:18">
      <c r="A212" s="272"/>
      <c r="B212" s="248"/>
      <c r="C212" s="249"/>
      <c r="D212" s="257"/>
      <c r="E212" s="249"/>
      <c r="F212" s="250"/>
      <c r="G212" s="249"/>
      <c r="H212" s="251"/>
      <c r="I212" s="251"/>
      <c r="J212" s="251"/>
      <c r="K212" s="251"/>
      <c r="L212" s="251"/>
      <c r="M212" s="251"/>
      <c r="N212" s="251"/>
      <c r="O212" s="251"/>
      <c r="P212" s="251"/>
      <c r="Q212" s="251"/>
      <c r="R212" s="251"/>
    </row>
    <row r="213" spans="1:18">
      <c r="A213" s="275"/>
      <c r="B213" s="260"/>
      <c r="C213" s="243"/>
      <c r="D213" s="247" t="s">
        <v>1335</v>
      </c>
      <c r="E213" s="243"/>
      <c r="F213" s="250"/>
      <c r="G213" s="243"/>
      <c r="H213" s="251">
        <v>3.05</v>
      </c>
      <c r="I213" s="251"/>
      <c r="J213" s="251"/>
      <c r="K213" s="251"/>
      <c r="L213" s="251"/>
      <c r="M213" s="251"/>
      <c r="N213" s="251"/>
      <c r="O213" s="251"/>
      <c r="P213" s="648"/>
      <c r="Q213" s="648"/>
      <c r="R213" s="251"/>
    </row>
    <row r="214" spans="1:18" s="483" customFormat="1">
      <c r="A214" s="272"/>
      <c r="B214" s="248"/>
      <c r="C214" s="249"/>
      <c r="D214" s="257"/>
      <c r="E214" s="249"/>
      <c r="F214" s="250"/>
      <c r="G214" s="249"/>
      <c r="H214" s="251"/>
      <c r="I214" s="251"/>
      <c r="J214" s="251"/>
      <c r="K214" s="251"/>
      <c r="L214" s="251"/>
      <c r="M214" s="251"/>
      <c r="N214" s="251"/>
      <c r="O214" s="251"/>
      <c r="P214" s="251"/>
      <c r="Q214" s="251"/>
      <c r="R214" s="251"/>
    </row>
    <row r="215" spans="1:18" s="483" customFormat="1">
      <c r="A215" s="272"/>
      <c r="B215" s="248"/>
      <c r="C215" s="249"/>
      <c r="D215" s="262"/>
      <c r="E215" s="249"/>
      <c r="F215" s="250"/>
      <c r="G215" s="249"/>
      <c r="H215" s="251"/>
      <c r="I215" s="251"/>
      <c r="J215" s="251"/>
      <c r="K215" s="251"/>
      <c r="L215" s="251"/>
      <c r="M215" s="251"/>
      <c r="N215" s="251"/>
      <c r="O215" s="251"/>
      <c r="P215" s="251"/>
      <c r="Q215" s="251"/>
      <c r="R215" s="251"/>
    </row>
    <row r="216" spans="1:18" s="483" customFormat="1">
      <c r="A216" s="272"/>
      <c r="B216" s="248"/>
      <c r="C216" s="239"/>
      <c r="D216" s="244" t="s">
        <v>326</v>
      </c>
      <c r="E216" s="239"/>
      <c r="F216" s="250"/>
      <c r="G216" s="239"/>
      <c r="H216" s="251"/>
      <c r="I216" s="251"/>
      <c r="J216" s="251"/>
      <c r="K216" s="251"/>
      <c r="L216" s="251"/>
      <c r="M216" s="251"/>
      <c r="N216" s="251"/>
      <c r="O216" s="251"/>
      <c r="P216" s="251"/>
      <c r="Q216" s="251"/>
      <c r="R216" s="251"/>
    </row>
    <row r="217" spans="1:18" s="483" customFormat="1">
      <c r="A217" s="272"/>
      <c r="B217" s="248"/>
      <c r="C217" s="249"/>
      <c r="D217" s="263"/>
      <c r="E217" s="249"/>
      <c r="F217" s="250"/>
      <c r="G217" s="249"/>
      <c r="H217" s="251"/>
      <c r="I217" s="251"/>
      <c r="J217" s="251"/>
      <c r="K217" s="251"/>
      <c r="L217" s="251"/>
      <c r="M217" s="251"/>
      <c r="N217" s="251"/>
      <c r="O217" s="251"/>
      <c r="P217" s="251"/>
      <c r="Q217" s="251"/>
      <c r="R217" s="251"/>
    </row>
    <row r="218" spans="1:18" s="483" customFormat="1">
      <c r="A218" s="276"/>
      <c r="B218" s="264">
        <v>340.1</v>
      </c>
      <c r="C218" s="265"/>
      <c r="D218" s="266" t="s">
        <v>1314</v>
      </c>
      <c r="E218" s="265"/>
      <c r="F218" s="250"/>
      <c r="G218" s="265"/>
      <c r="H218" s="251"/>
      <c r="I218" s="251"/>
      <c r="J218" s="251"/>
      <c r="K218" s="251"/>
      <c r="L218" s="251"/>
      <c r="M218" s="251"/>
      <c r="N218" s="251"/>
      <c r="O218" s="251"/>
      <c r="P218" s="675"/>
      <c r="Q218" s="675"/>
      <c r="R218" s="251"/>
    </row>
    <row r="219" spans="1:18">
      <c r="A219" s="276">
        <v>340</v>
      </c>
      <c r="B219" s="264"/>
      <c r="C219" s="265"/>
      <c r="D219" s="266" t="s">
        <v>1336</v>
      </c>
      <c r="E219" s="265"/>
      <c r="F219" s="250">
        <v>0</v>
      </c>
      <c r="G219" s="265"/>
      <c r="H219" s="251">
        <v>2.19</v>
      </c>
      <c r="I219" s="251"/>
      <c r="J219" s="251">
        <v>2.19</v>
      </c>
      <c r="K219" s="251"/>
      <c r="L219" s="251">
        <v>0</v>
      </c>
      <c r="M219" s="251"/>
      <c r="N219" s="251">
        <v>0</v>
      </c>
      <c r="O219" s="251"/>
      <c r="P219" s="675" t="s">
        <v>1277</v>
      </c>
      <c r="Q219" s="675"/>
      <c r="R219" s="251">
        <v>178.7</v>
      </c>
    </row>
    <row r="220" spans="1:18">
      <c r="A220" s="276"/>
      <c r="B220" s="264"/>
      <c r="C220" s="265"/>
      <c r="D220" s="266"/>
      <c r="E220" s="265"/>
      <c r="F220" s="250"/>
      <c r="G220" s="265"/>
      <c r="H220" s="251"/>
      <c r="I220" s="251"/>
      <c r="J220" s="251"/>
      <c r="K220" s="251"/>
      <c r="L220" s="251"/>
      <c r="M220" s="251"/>
      <c r="N220" s="251"/>
      <c r="O220" s="251"/>
      <c r="P220" s="675"/>
      <c r="Q220" s="675"/>
      <c r="R220" s="251"/>
    </row>
    <row r="221" spans="1:18">
      <c r="A221" s="276"/>
      <c r="B221" s="264"/>
      <c r="C221" s="265"/>
      <c r="D221" s="268" t="s">
        <v>1337</v>
      </c>
      <c r="E221" s="265"/>
      <c r="F221" s="250"/>
      <c r="G221" s="265"/>
      <c r="H221" s="251">
        <v>2.19</v>
      </c>
      <c r="I221" s="251"/>
      <c r="J221" s="251"/>
      <c r="K221" s="251"/>
      <c r="L221" s="251"/>
      <c r="M221" s="251"/>
      <c r="N221" s="251"/>
      <c r="O221" s="251"/>
      <c r="P221" s="675"/>
      <c r="Q221" s="675"/>
      <c r="R221" s="251">
        <v>178.7</v>
      </c>
    </row>
    <row r="222" spans="1:18">
      <c r="A222" s="276"/>
      <c r="B222" s="264"/>
      <c r="C222" s="265"/>
      <c r="D222" s="266"/>
      <c r="E222" s="265"/>
      <c r="F222" s="250"/>
      <c r="G222" s="265"/>
      <c r="H222" s="251"/>
      <c r="I222" s="251"/>
      <c r="J222" s="251"/>
      <c r="K222" s="251"/>
      <c r="L222" s="251"/>
      <c r="M222" s="251"/>
      <c r="N222" s="251"/>
      <c r="O222" s="251"/>
      <c r="P222" s="675"/>
      <c r="Q222" s="675"/>
      <c r="R222" s="251"/>
    </row>
    <row r="223" spans="1:18">
      <c r="A223" s="272"/>
      <c r="B223" s="248">
        <v>341</v>
      </c>
      <c r="C223" s="249"/>
      <c r="D223" s="253" t="s">
        <v>1318</v>
      </c>
      <c r="E223" s="249"/>
      <c r="F223" s="250"/>
      <c r="G223" s="249"/>
      <c r="H223" s="251"/>
      <c r="I223" s="251"/>
      <c r="J223" s="251"/>
      <c r="K223" s="251"/>
      <c r="L223" s="251"/>
      <c r="M223" s="251"/>
      <c r="N223" s="251"/>
      <c r="O223" s="251"/>
      <c r="P223" s="251"/>
      <c r="Q223" s="251"/>
      <c r="R223" s="251"/>
    </row>
    <row r="224" spans="1:18">
      <c r="A224" s="272"/>
      <c r="B224" s="248"/>
      <c r="C224" s="249"/>
      <c r="D224" s="269" t="s">
        <v>1349</v>
      </c>
      <c r="E224" s="249"/>
      <c r="F224" s="673">
        <v>-7</v>
      </c>
      <c r="G224" s="249"/>
      <c r="H224" s="652">
        <v>2.92</v>
      </c>
      <c r="I224" s="251"/>
      <c r="J224" s="652">
        <v>2.73</v>
      </c>
      <c r="K224" s="251"/>
      <c r="L224" s="652">
        <v>0.19</v>
      </c>
      <c r="M224" s="251"/>
      <c r="N224" s="251">
        <v>0</v>
      </c>
      <c r="O224" s="251"/>
      <c r="P224" s="651" t="s">
        <v>2305</v>
      </c>
      <c r="Q224" s="251"/>
      <c r="R224" s="652">
        <v>14.6</v>
      </c>
    </row>
    <row r="225" spans="1:18">
      <c r="A225" s="272"/>
      <c r="B225" s="248"/>
      <c r="C225" s="249"/>
      <c r="D225" s="269" t="s">
        <v>1350</v>
      </c>
      <c r="E225" s="249"/>
      <c r="F225" s="673">
        <v>-7</v>
      </c>
      <c r="G225" s="249"/>
      <c r="H225" s="652">
        <v>4.3199999999999994</v>
      </c>
      <c r="I225" s="251"/>
      <c r="J225" s="652">
        <v>4.04</v>
      </c>
      <c r="K225" s="251"/>
      <c r="L225" s="652">
        <v>0.27999999999999997</v>
      </c>
      <c r="M225" s="251"/>
      <c r="N225" s="251">
        <v>0</v>
      </c>
      <c r="O225" s="251"/>
      <c r="P225" s="651" t="s">
        <v>2305</v>
      </c>
      <c r="Q225" s="251"/>
      <c r="R225" s="652">
        <v>10.199999999999999</v>
      </c>
    </row>
    <row r="226" spans="1:18">
      <c r="A226" s="272"/>
      <c r="B226" s="248"/>
      <c r="C226" s="249"/>
      <c r="D226" s="269" t="s">
        <v>1344</v>
      </c>
      <c r="E226" s="249"/>
      <c r="F226" s="673">
        <v>-7</v>
      </c>
      <c r="G226" s="249"/>
      <c r="H226" s="652">
        <v>3.94</v>
      </c>
      <c r="I226" s="251"/>
      <c r="J226" s="652">
        <v>3.6799999999999997</v>
      </c>
      <c r="K226" s="251"/>
      <c r="L226" s="652">
        <v>0.26</v>
      </c>
      <c r="M226" s="251"/>
      <c r="N226" s="251">
        <v>0</v>
      </c>
      <c r="O226" s="251"/>
      <c r="P226" s="651" t="s">
        <v>2305</v>
      </c>
      <c r="Q226" s="251"/>
      <c r="R226" s="652">
        <v>14.9</v>
      </c>
    </row>
    <row r="227" spans="1:18">
      <c r="A227" s="272"/>
      <c r="B227" s="248"/>
      <c r="C227" s="249"/>
      <c r="D227" s="269" t="s">
        <v>1345</v>
      </c>
      <c r="E227" s="249"/>
      <c r="F227" s="673">
        <v>-7</v>
      </c>
      <c r="G227" s="249"/>
      <c r="H227" s="652">
        <v>4.34</v>
      </c>
      <c r="I227" s="251"/>
      <c r="J227" s="652">
        <v>4.0599999999999996</v>
      </c>
      <c r="K227" s="251"/>
      <c r="L227" s="652">
        <v>0.27999999999999997</v>
      </c>
      <c r="M227" s="251"/>
      <c r="N227" s="251">
        <v>0</v>
      </c>
      <c r="O227" s="251"/>
      <c r="P227" s="651" t="s">
        <v>2305</v>
      </c>
      <c r="Q227" s="251"/>
      <c r="R227" s="652">
        <v>13</v>
      </c>
    </row>
    <row r="228" spans="1:18">
      <c r="A228" s="272"/>
      <c r="B228" s="248"/>
      <c r="C228" s="249"/>
      <c r="D228" s="269" t="s">
        <v>1346</v>
      </c>
      <c r="E228" s="249"/>
      <c r="F228" s="673">
        <v>-7</v>
      </c>
      <c r="G228" s="249"/>
      <c r="H228" s="652">
        <v>4.33</v>
      </c>
      <c r="I228" s="251"/>
      <c r="J228" s="652">
        <v>4.05</v>
      </c>
      <c r="K228" s="251"/>
      <c r="L228" s="652">
        <v>0.27999999999999997</v>
      </c>
      <c r="M228" s="251"/>
      <c r="N228" s="251">
        <v>0</v>
      </c>
      <c r="O228" s="251"/>
      <c r="P228" s="651" t="s">
        <v>2305</v>
      </c>
      <c r="Q228" s="251"/>
      <c r="R228" s="652">
        <v>13</v>
      </c>
    </row>
    <row r="229" spans="1:18">
      <c r="A229" s="272"/>
      <c r="B229" s="248"/>
      <c r="C229" s="249"/>
      <c r="D229" s="269" t="s">
        <v>1347</v>
      </c>
      <c r="E229" s="249"/>
      <c r="F229" s="673">
        <v>-7</v>
      </c>
      <c r="G229" s="249"/>
      <c r="H229" s="652">
        <v>3.9699999999999998</v>
      </c>
      <c r="I229" s="251"/>
      <c r="J229" s="652">
        <v>3.71</v>
      </c>
      <c r="K229" s="251"/>
      <c r="L229" s="652">
        <v>0.26</v>
      </c>
      <c r="M229" s="251"/>
      <c r="N229" s="251">
        <v>0</v>
      </c>
      <c r="O229" s="251"/>
      <c r="P229" s="651" t="s">
        <v>2305</v>
      </c>
      <c r="Q229" s="251"/>
      <c r="R229" s="652">
        <v>9.1999999999999993</v>
      </c>
    </row>
    <row r="230" spans="1:18">
      <c r="A230" s="272"/>
      <c r="B230" s="248"/>
      <c r="C230" s="249"/>
      <c r="D230" s="269" t="s">
        <v>1348</v>
      </c>
      <c r="E230" s="249"/>
      <c r="F230" s="673">
        <v>-7</v>
      </c>
      <c r="G230" s="249"/>
      <c r="H230" s="652">
        <v>2.76</v>
      </c>
      <c r="I230" s="251"/>
      <c r="J230" s="652">
        <v>2.58</v>
      </c>
      <c r="K230" s="251"/>
      <c r="L230" s="652">
        <v>0.18</v>
      </c>
      <c r="M230" s="251"/>
      <c r="N230" s="251">
        <v>0</v>
      </c>
      <c r="O230" s="251"/>
      <c r="P230" s="651" t="s">
        <v>2305</v>
      </c>
      <c r="Q230" s="251"/>
      <c r="R230" s="652">
        <v>14.6</v>
      </c>
    </row>
    <row r="231" spans="1:18">
      <c r="A231" s="272"/>
      <c r="B231" s="248"/>
      <c r="C231" s="249"/>
      <c r="D231" s="269" t="s">
        <v>2688</v>
      </c>
      <c r="E231" s="249"/>
      <c r="F231" s="673">
        <v>-5</v>
      </c>
      <c r="G231" s="249"/>
      <c r="H231" s="652">
        <v>4.24</v>
      </c>
      <c r="I231" s="251"/>
      <c r="J231" s="652">
        <v>4.04</v>
      </c>
      <c r="K231" s="251"/>
      <c r="L231" s="652">
        <v>0.2</v>
      </c>
      <c r="M231" s="251"/>
      <c r="N231" s="251">
        <v>0</v>
      </c>
      <c r="O231" s="251"/>
      <c r="P231" s="651" t="s">
        <v>2689</v>
      </c>
      <c r="Q231" s="251"/>
      <c r="R231" s="652">
        <v>40</v>
      </c>
    </row>
    <row r="232" spans="1:18">
      <c r="A232" s="272"/>
      <c r="B232" s="248"/>
      <c r="C232" s="249"/>
      <c r="D232" s="269" t="s">
        <v>1351</v>
      </c>
      <c r="E232" s="249"/>
      <c r="F232" s="673">
        <v>-10</v>
      </c>
      <c r="G232" s="249"/>
      <c r="H232" s="652">
        <v>19.170000000000002</v>
      </c>
      <c r="I232" s="251"/>
      <c r="J232" s="652">
        <v>17.43</v>
      </c>
      <c r="K232" s="251"/>
      <c r="L232" s="652">
        <v>1.7399999999999998</v>
      </c>
      <c r="M232" s="251"/>
      <c r="N232" s="251">
        <v>0</v>
      </c>
      <c r="O232" s="251"/>
      <c r="P232" s="651" t="s">
        <v>2305</v>
      </c>
      <c r="Q232" s="251"/>
      <c r="R232" s="652">
        <v>4.5</v>
      </c>
    </row>
    <row r="233" spans="1:18">
      <c r="A233" s="272"/>
      <c r="B233" s="248"/>
      <c r="C233" s="249"/>
      <c r="D233" s="269" t="s">
        <v>1352</v>
      </c>
      <c r="E233" s="249"/>
      <c r="F233" s="673">
        <v>-6</v>
      </c>
      <c r="G233" s="249"/>
      <c r="H233" s="652">
        <v>4.16</v>
      </c>
      <c r="I233" s="251"/>
      <c r="J233" s="652">
        <v>3.92</v>
      </c>
      <c r="K233" s="251"/>
      <c r="L233" s="652">
        <v>0.24</v>
      </c>
      <c r="M233" s="251"/>
      <c r="N233" s="251">
        <v>0</v>
      </c>
      <c r="O233" s="251"/>
      <c r="P233" s="651" t="s">
        <v>2305</v>
      </c>
      <c r="Q233" s="251"/>
      <c r="R233" s="652">
        <v>14.9</v>
      </c>
    </row>
    <row r="234" spans="1:18">
      <c r="A234" s="272"/>
      <c r="B234" s="248"/>
      <c r="C234" s="249"/>
      <c r="D234" s="269" t="s">
        <v>1343</v>
      </c>
      <c r="E234" s="249"/>
      <c r="F234" s="673">
        <v>-7</v>
      </c>
      <c r="G234" s="249"/>
      <c r="H234" s="652">
        <v>3.7900000000000005</v>
      </c>
      <c r="I234" s="251"/>
      <c r="J234" s="652">
        <v>3.54</v>
      </c>
      <c r="K234" s="251"/>
      <c r="L234" s="652">
        <v>0.25</v>
      </c>
      <c r="M234" s="251"/>
      <c r="N234" s="251">
        <v>0</v>
      </c>
      <c r="O234" s="251"/>
      <c r="P234" s="651" t="s">
        <v>2305</v>
      </c>
      <c r="Q234" s="251"/>
      <c r="R234" s="652">
        <v>17.7</v>
      </c>
    </row>
    <row r="235" spans="1:18">
      <c r="A235" s="272"/>
      <c r="B235" s="248"/>
      <c r="C235" s="249"/>
      <c r="D235" s="269" t="s">
        <v>1338</v>
      </c>
      <c r="E235" s="249"/>
      <c r="F235" s="673">
        <v>-7</v>
      </c>
      <c r="G235" s="249"/>
      <c r="H235" s="652">
        <v>3.8700000000000006</v>
      </c>
      <c r="I235" s="251"/>
      <c r="J235" s="652">
        <v>3.62</v>
      </c>
      <c r="K235" s="251"/>
      <c r="L235" s="652">
        <v>0.25</v>
      </c>
      <c r="M235" s="251"/>
      <c r="N235" s="251">
        <v>0</v>
      </c>
      <c r="O235" s="251"/>
      <c r="P235" s="651" t="s">
        <v>2305</v>
      </c>
      <c r="Q235" s="251"/>
      <c r="R235" s="652">
        <v>15.8</v>
      </c>
    </row>
    <row r="236" spans="1:18">
      <c r="A236" s="272"/>
      <c r="B236" s="248"/>
      <c r="C236" s="249"/>
      <c r="D236" s="269" t="s">
        <v>1339</v>
      </c>
      <c r="E236" s="249"/>
      <c r="F236" s="673">
        <v>-7</v>
      </c>
      <c r="G236" s="249"/>
      <c r="H236" s="652">
        <v>3.8600000000000003</v>
      </c>
      <c r="I236" s="251"/>
      <c r="J236" s="652">
        <v>3.61</v>
      </c>
      <c r="K236" s="251"/>
      <c r="L236" s="652">
        <v>0.25</v>
      </c>
      <c r="M236" s="251"/>
      <c r="N236" s="251">
        <v>0</v>
      </c>
      <c r="O236" s="251"/>
      <c r="P236" s="651" t="s">
        <v>2305</v>
      </c>
      <c r="Q236" s="251"/>
      <c r="R236" s="652">
        <v>15.8</v>
      </c>
    </row>
    <row r="237" spans="1:18">
      <c r="A237" s="272"/>
      <c r="B237" s="248"/>
      <c r="C237" s="249"/>
      <c r="D237" s="269" t="s">
        <v>1340</v>
      </c>
      <c r="E237" s="249"/>
      <c r="F237" s="673">
        <v>-7</v>
      </c>
      <c r="G237" s="249"/>
      <c r="H237" s="652">
        <v>3.7800000000000002</v>
      </c>
      <c r="I237" s="251"/>
      <c r="J237" s="652">
        <v>3.53</v>
      </c>
      <c r="K237" s="251"/>
      <c r="L237" s="652">
        <v>0.25</v>
      </c>
      <c r="M237" s="251"/>
      <c r="N237" s="251">
        <v>0</v>
      </c>
      <c r="O237" s="251"/>
      <c r="P237" s="651" t="s">
        <v>2305</v>
      </c>
      <c r="Q237" s="251"/>
      <c r="R237" s="652">
        <v>17.7</v>
      </c>
    </row>
    <row r="238" spans="1:18">
      <c r="A238" s="272"/>
      <c r="B238" s="248"/>
      <c r="C238" s="249"/>
      <c r="D238" s="269" t="s">
        <v>1341</v>
      </c>
      <c r="E238" s="249"/>
      <c r="F238" s="673">
        <v>-7</v>
      </c>
      <c r="G238" s="249"/>
      <c r="H238" s="652">
        <v>3.7800000000000002</v>
      </c>
      <c r="I238" s="251"/>
      <c r="J238" s="652">
        <v>3.53</v>
      </c>
      <c r="K238" s="251"/>
      <c r="L238" s="652">
        <v>0.25</v>
      </c>
      <c r="M238" s="251"/>
      <c r="N238" s="251">
        <v>0</v>
      </c>
      <c r="O238" s="251"/>
      <c r="P238" s="651" t="s">
        <v>2305</v>
      </c>
      <c r="Q238" s="251"/>
      <c r="R238" s="652">
        <v>17.7</v>
      </c>
    </row>
    <row r="239" spans="1:18">
      <c r="A239" s="272"/>
      <c r="B239" s="248"/>
      <c r="C239" s="249"/>
      <c r="D239" s="269" t="s">
        <v>1342</v>
      </c>
      <c r="E239" s="249"/>
      <c r="F239" s="673">
        <v>-7</v>
      </c>
      <c r="G239" s="249"/>
      <c r="H239" s="652">
        <v>3.7900000000000005</v>
      </c>
      <c r="I239" s="251"/>
      <c r="J239" s="652">
        <v>3.54</v>
      </c>
      <c r="K239" s="251"/>
      <c r="L239" s="652">
        <v>0.25</v>
      </c>
      <c r="M239" s="251"/>
      <c r="N239" s="251">
        <v>0</v>
      </c>
      <c r="O239" s="251"/>
      <c r="P239" s="651" t="s">
        <v>2305</v>
      </c>
      <c r="Q239" s="251"/>
      <c r="R239" s="652">
        <v>17.7</v>
      </c>
    </row>
    <row r="240" spans="1:18">
      <c r="A240" s="272"/>
      <c r="B240" s="248"/>
      <c r="C240" s="249"/>
      <c r="D240" s="269" t="s">
        <v>2304</v>
      </c>
      <c r="E240" s="249"/>
      <c r="F240" s="673">
        <v>-12</v>
      </c>
      <c r="G240" s="249"/>
      <c r="H240" s="652">
        <v>3.0300000000000002</v>
      </c>
      <c r="I240" s="251"/>
      <c r="J240" s="652">
        <v>2.71</v>
      </c>
      <c r="K240" s="251"/>
      <c r="L240" s="652">
        <v>0.32</v>
      </c>
      <c r="M240" s="251"/>
      <c r="N240" s="251">
        <v>0</v>
      </c>
      <c r="O240" s="251"/>
      <c r="P240" s="651" t="s">
        <v>2305</v>
      </c>
      <c r="Q240" s="251"/>
      <c r="R240" s="652">
        <v>35.6</v>
      </c>
    </row>
    <row r="241" spans="1:18">
      <c r="A241" s="272"/>
      <c r="B241" s="248"/>
      <c r="C241" s="249"/>
      <c r="D241" s="253"/>
      <c r="E241" s="249"/>
      <c r="F241" s="250"/>
      <c r="G241" s="249"/>
      <c r="H241" s="251"/>
      <c r="I241" s="251"/>
      <c r="J241" s="251"/>
      <c r="K241" s="251"/>
      <c r="L241" s="251"/>
      <c r="M241" s="251"/>
      <c r="N241" s="251"/>
      <c r="O241" s="251"/>
      <c r="P241" s="251"/>
      <c r="Q241" s="251"/>
      <c r="R241" s="251"/>
    </row>
    <row r="242" spans="1:18">
      <c r="A242" s="272">
        <v>341</v>
      </c>
      <c r="B242" s="248"/>
      <c r="C242" s="249"/>
      <c r="D242" s="254" t="s">
        <v>1353</v>
      </c>
      <c r="E242" s="249"/>
      <c r="F242" s="278" t="s">
        <v>2690</v>
      </c>
      <c r="G242" s="249"/>
      <c r="H242" s="251">
        <v>3.38</v>
      </c>
      <c r="I242" s="251"/>
      <c r="J242" s="251"/>
      <c r="K242" s="251"/>
      <c r="L242" s="251"/>
      <c r="M242" s="251"/>
      <c r="N242" s="251"/>
      <c r="O242" s="251"/>
      <c r="P242" s="251" t="s">
        <v>2305</v>
      </c>
      <c r="Q242" s="251"/>
      <c r="R242" s="251">
        <v>25.9</v>
      </c>
    </row>
    <row r="243" spans="1:18">
      <c r="A243" s="272"/>
      <c r="B243" s="248"/>
      <c r="C243" s="249"/>
      <c r="D243" s="253"/>
      <c r="E243" s="249"/>
      <c r="F243" s="250"/>
      <c r="G243" s="249"/>
      <c r="H243" s="251"/>
      <c r="I243" s="251"/>
      <c r="J243" s="251"/>
      <c r="K243" s="251"/>
      <c r="L243" s="251"/>
      <c r="M243" s="251"/>
      <c r="N243" s="251"/>
      <c r="O243" s="251"/>
      <c r="P243" s="251"/>
      <c r="Q243" s="251"/>
      <c r="R243" s="251"/>
    </row>
    <row r="244" spans="1:18">
      <c r="A244" s="272"/>
      <c r="B244" s="248">
        <v>342</v>
      </c>
      <c r="C244" s="249"/>
      <c r="D244" s="249" t="s">
        <v>1354</v>
      </c>
      <c r="E244" s="249"/>
      <c r="F244" s="250"/>
      <c r="G244" s="249"/>
      <c r="H244" s="251"/>
      <c r="I244" s="251"/>
      <c r="J244" s="251"/>
      <c r="K244" s="251"/>
      <c r="L244" s="251"/>
      <c r="M244" s="251"/>
      <c r="N244" s="251"/>
      <c r="O244" s="251"/>
      <c r="P244" s="251"/>
      <c r="Q244" s="251"/>
      <c r="R244" s="251"/>
    </row>
    <row r="245" spans="1:18">
      <c r="A245" s="272"/>
      <c r="B245" s="248"/>
      <c r="C245" s="249"/>
      <c r="D245" s="269" t="s">
        <v>1349</v>
      </c>
      <c r="E245" s="249"/>
      <c r="F245" s="673">
        <v>-7</v>
      </c>
      <c r="G245" s="249"/>
      <c r="H245" s="652">
        <v>5.43</v>
      </c>
      <c r="I245" s="251"/>
      <c r="J245" s="652">
        <v>5.07</v>
      </c>
      <c r="K245" s="251"/>
      <c r="L245" s="652">
        <v>0.36</v>
      </c>
      <c r="M245" s="251"/>
      <c r="N245" s="251">
        <v>0</v>
      </c>
      <c r="O245" s="251"/>
      <c r="P245" s="251" t="s">
        <v>1355</v>
      </c>
      <c r="Q245" s="251"/>
      <c r="R245" s="652">
        <v>15.1</v>
      </c>
    </row>
    <row r="246" spans="1:18">
      <c r="A246" s="272"/>
      <c r="B246" s="248"/>
      <c r="C246" s="249"/>
      <c r="D246" s="269" t="s">
        <v>1350</v>
      </c>
      <c r="E246" s="249"/>
      <c r="F246" s="673">
        <v>-7</v>
      </c>
      <c r="G246" s="249"/>
      <c r="H246" s="652">
        <v>7.39</v>
      </c>
      <c r="I246" s="251"/>
      <c r="J246" s="652">
        <v>6.9099999999999993</v>
      </c>
      <c r="K246" s="251"/>
      <c r="L246" s="652">
        <v>0.48</v>
      </c>
      <c r="M246" s="251"/>
      <c r="N246" s="251">
        <v>0</v>
      </c>
      <c r="O246" s="251"/>
      <c r="P246" s="251" t="s">
        <v>1355</v>
      </c>
      <c r="Q246" s="251"/>
      <c r="R246" s="652">
        <v>10.3</v>
      </c>
    </row>
    <row r="247" spans="1:18">
      <c r="A247" s="272"/>
      <c r="B247" s="248"/>
      <c r="C247" s="249"/>
      <c r="D247" s="253" t="s">
        <v>1344</v>
      </c>
      <c r="E247" s="249"/>
      <c r="F247" s="673">
        <v>-7</v>
      </c>
      <c r="G247" s="249"/>
      <c r="H247" s="652">
        <v>5</v>
      </c>
      <c r="I247" s="251"/>
      <c r="J247" s="652">
        <v>4.67</v>
      </c>
      <c r="K247" s="251"/>
      <c r="L247" s="652">
        <v>0.33</v>
      </c>
      <c r="M247" s="251"/>
      <c r="N247" s="251">
        <v>0</v>
      </c>
      <c r="O247" s="251"/>
      <c r="P247" s="251" t="s">
        <v>1355</v>
      </c>
      <c r="Q247" s="251"/>
      <c r="R247" s="652">
        <v>14.8</v>
      </c>
    </row>
    <row r="248" spans="1:18">
      <c r="A248" s="272"/>
      <c r="B248" s="248"/>
      <c r="C248" s="249"/>
      <c r="D248" s="269" t="s">
        <v>1345</v>
      </c>
      <c r="E248" s="249"/>
      <c r="F248" s="673">
        <v>-7</v>
      </c>
      <c r="G248" s="249"/>
      <c r="H248" s="652">
        <v>6.9599999999999991</v>
      </c>
      <c r="I248" s="251"/>
      <c r="J248" s="652">
        <v>6.5</v>
      </c>
      <c r="K248" s="251"/>
      <c r="L248" s="652">
        <v>0.45999999999999996</v>
      </c>
      <c r="M248" s="251"/>
      <c r="N248" s="251">
        <v>0</v>
      </c>
      <c r="O248" s="251"/>
      <c r="P248" s="251" t="s">
        <v>1355</v>
      </c>
      <c r="Q248" s="251"/>
      <c r="R248" s="652">
        <v>13.2</v>
      </c>
    </row>
    <row r="249" spans="1:18">
      <c r="A249" s="272"/>
      <c r="B249" s="248"/>
      <c r="C249" s="249"/>
      <c r="D249" s="269" t="s">
        <v>1346</v>
      </c>
      <c r="E249" s="249"/>
      <c r="F249" s="673">
        <v>-7</v>
      </c>
      <c r="G249" s="249"/>
      <c r="H249" s="652">
        <v>6.9899999999999993</v>
      </c>
      <c r="I249" s="251"/>
      <c r="J249" s="652">
        <v>6.5299999999999994</v>
      </c>
      <c r="K249" s="251"/>
      <c r="L249" s="652">
        <v>0.45999999999999996</v>
      </c>
      <c r="M249" s="251"/>
      <c r="N249" s="251">
        <v>0</v>
      </c>
      <c r="O249" s="251"/>
      <c r="P249" s="251" t="s">
        <v>1355</v>
      </c>
      <c r="Q249" s="251"/>
      <c r="R249" s="652">
        <v>13.2</v>
      </c>
    </row>
    <row r="250" spans="1:18">
      <c r="A250" s="272"/>
      <c r="B250" s="248"/>
      <c r="C250" s="249"/>
      <c r="D250" s="269" t="s">
        <v>1347</v>
      </c>
      <c r="E250" s="249"/>
      <c r="F250" s="673">
        <v>-7</v>
      </c>
      <c r="G250" s="249"/>
      <c r="H250" s="652">
        <v>6.5299999999999994</v>
      </c>
      <c r="I250" s="251"/>
      <c r="J250" s="652">
        <v>6.1</v>
      </c>
      <c r="K250" s="251"/>
      <c r="L250" s="652">
        <v>0.43</v>
      </c>
      <c r="M250" s="251"/>
      <c r="N250" s="251">
        <v>0</v>
      </c>
      <c r="O250" s="251"/>
      <c r="P250" s="251" t="s">
        <v>1355</v>
      </c>
      <c r="Q250" s="251"/>
      <c r="R250" s="652">
        <v>9.4</v>
      </c>
    </row>
    <row r="251" spans="1:18">
      <c r="A251" s="272"/>
      <c r="B251" s="248"/>
      <c r="C251" s="249"/>
      <c r="D251" s="269" t="s">
        <v>1348</v>
      </c>
      <c r="E251" s="249"/>
      <c r="F251" s="673">
        <v>-7</v>
      </c>
      <c r="G251" s="249"/>
      <c r="H251" s="652">
        <v>4.6500000000000004</v>
      </c>
      <c r="I251" s="251"/>
      <c r="J251" s="652">
        <v>4.3499999999999996</v>
      </c>
      <c r="K251" s="251"/>
      <c r="L251" s="652">
        <v>0.3</v>
      </c>
      <c r="M251" s="251"/>
      <c r="N251" s="251">
        <v>0</v>
      </c>
      <c r="O251" s="251"/>
      <c r="P251" s="251" t="s">
        <v>1355</v>
      </c>
      <c r="Q251" s="251"/>
      <c r="R251" s="652">
        <v>14.8</v>
      </c>
    </row>
    <row r="252" spans="1:18">
      <c r="A252" s="272"/>
      <c r="B252" s="248"/>
      <c r="C252" s="249"/>
      <c r="D252" s="269" t="s">
        <v>1336</v>
      </c>
      <c r="E252" s="249"/>
      <c r="F252" s="673">
        <v>-7</v>
      </c>
      <c r="G252" s="249"/>
      <c r="H252" s="652">
        <v>3.0300000000000002</v>
      </c>
      <c r="I252" s="251"/>
      <c r="J252" s="652">
        <v>2.83</v>
      </c>
      <c r="K252" s="251"/>
      <c r="L252" s="652">
        <v>0.2</v>
      </c>
      <c r="M252" s="251"/>
      <c r="N252" s="251">
        <v>0</v>
      </c>
      <c r="O252" s="251"/>
      <c r="P252" s="251" t="s">
        <v>1355</v>
      </c>
      <c r="Q252" s="251"/>
      <c r="R252" s="652">
        <v>14.2</v>
      </c>
    </row>
    <row r="253" spans="1:18">
      <c r="A253" s="272"/>
      <c r="B253" s="248"/>
      <c r="C253" s="249"/>
      <c r="D253" s="269" t="s">
        <v>1351</v>
      </c>
      <c r="E253" s="249"/>
      <c r="F253" s="673">
        <v>-10</v>
      </c>
      <c r="G253" s="249"/>
      <c r="H253" s="652">
        <v>15.740000000000002</v>
      </c>
      <c r="I253" s="251"/>
      <c r="J253" s="652">
        <v>14.31</v>
      </c>
      <c r="K253" s="251"/>
      <c r="L253" s="652">
        <v>1.43</v>
      </c>
      <c r="M253" s="251"/>
      <c r="N253" s="251">
        <v>0</v>
      </c>
      <c r="O253" s="251"/>
      <c r="P253" s="251" t="s">
        <v>1355</v>
      </c>
      <c r="Q253" s="251"/>
      <c r="R253" s="652">
        <v>4.4000000000000004</v>
      </c>
    </row>
    <row r="254" spans="1:18">
      <c r="A254" s="272"/>
      <c r="B254" s="248"/>
      <c r="C254" s="249"/>
      <c r="D254" s="269" t="s">
        <v>1352</v>
      </c>
      <c r="E254" s="249"/>
      <c r="F254" s="673">
        <v>-6</v>
      </c>
      <c r="G254" s="249"/>
      <c r="H254" s="652">
        <v>3.8900000000000006</v>
      </c>
      <c r="I254" s="251"/>
      <c r="J254" s="652">
        <v>3.6700000000000004</v>
      </c>
      <c r="K254" s="251"/>
      <c r="L254" s="652">
        <v>0.22</v>
      </c>
      <c r="M254" s="251"/>
      <c r="N254" s="251">
        <v>0</v>
      </c>
      <c r="O254" s="251"/>
      <c r="P254" s="251" t="s">
        <v>1355</v>
      </c>
      <c r="Q254" s="251"/>
      <c r="R254" s="652">
        <v>14.7</v>
      </c>
    </row>
    <row r="255" spans="1:18">
      <c r="A255" s="272"/>
      <c r="B255" s="248"/>
      <c r="C255" s="249"/>
      <c r="D255" s="269" t="s">
        <v>1343</v>
      </c>
      <c r="E255" s="249"/>
      <c r="F255" s="673">
        <v>-7</v>
      </c>
      <c r="G255" s="249"/>
      <c r="H255" s="652">
        <v>3.85</v>
      </c>
      <c r="I255" s="251"/>
      <c r="J255" s="652">
        <v>3.5999999999999996</v>
      </c>
      <c r="K255" s="251"/>
      <c r="L255" s="652">
        <v>0.25</v>
      </c>
      <c r="M255" s="251"/>
      <c r="N255" s="251">
        <v>0</v>
      </c>
      <c r="O255" s="251"/>
      <c r="P255" s="251" t="s">
        <v>1355</v>
      </c>
      <c r="Q255" s="251"/>
      <c r="R255" s="652">
        <v>17.5</v>
      </c>
    </row>
    <row r="256" spans="1:18">
      <c r="A256" s="272"/>
      <c r="B256" s="248"/>
      <c r="C256" s="249"/>
      <c r="D256" s="269" t="s">
        <v>1338</v>
      </c>
      <c r="E256" s="249"/>
      <c r="F256" s="673">
        <v>-7</v>
      </c>
      <c r="G256" s="249"/>
      <c r="H256" s="652">
        <v>3.9</v>
      </c>
      <c r="I256" s="251"/>
      <c r="J256" s="652">
        <v>3.64</v>
      </c>
      <c r="K256" s="251"/>
      <c r="L256" s="652">
        <v>0.26</v>
      </c>
      <c r="M256" s="251"/>
      <c r="N256" s="251">
        <v>0</v>
      </c>
      <c r="O256" s="251"/>
      <c r="P256" s="251" t="s">
        <v>1355</v>
      </c>
      <c r="Q256" s="251"/>
      <c r="R256" s="652">
        <v>15.6</v>
      </c>
    </row>
    <row r="257" spans="1:18">
      <c r="A257" s="272"/>
      <c r="B257" s="248"/>
      <c r="C257" s="249"/>
      <c r="D257" s="269" t="s">
        <v>1339</v>
      </c>
      <c r="E257" s="249"/>
      <c r="F257" s="673">
        <v>-7</v>
      </c>
      <c r="G257" s="249"/>
      <c r="H257" s="652">
        <v>3.9</v>
      </c>
      <c r="I257" s="251"/>
      <c r="J257" s="652">
        <v>3.64</v>
      </c>
      <c r="K257" s="251"/>
      <c r="L257" s="652">
        <v>0.26</v>
      </c>
      <c r="M257" s="251"/>
      <c r="N257" s="251">
        <v>0</v>
      </c>
      <c r="O257" s="251"/>
      <c r="P257" s="251" t="s">
        <v>1355</v>
      </c>
      <c r="Q257" s="251"/>
      <c r="R257" s="652">
        <v>15.6</v>
      </c>
    </row>
    <row r="258" spans="1:18">
      <c r="A258" s="272"/>
      <c r="B258" s="248"/>
      <c r="C258" s="249"/>
      <c r="D258" s="269" t="s">
        <v>1340</v>
      </c>
      <c r="E258" s="249"/>
      <c r="F258" s="673">
        <v>-7</v>
      </c>
      <c r="G258" s="249"/>
      <c r="H258" s="652">
        <v>3.8200000000000003</v>
      </c>
      <c r="I258" s="251"/>
      <c r="J258" s="652">
        <v>3.5700000000000003</v>
      </c>
      <c r="K258" s="251"/>
      <c r="L258" s="652">
        <v>0.25</v>
      </c>
      <c r="M258" s="251"/>
      <c r="N258" s="251">
        <v>0</v>
      </c>
      <c r="O258" s="251"/>
      <c r="P258" s="251" t="s">
        <v>1355</v>
      </c>
      <c r="Q258" s="251"/>
      <c r="R258" s="652">
        <v>17.5</v>
      </c>
    </row>
    <row r="259" spans="1:18">
      <c r="A259" s="272"/>
      <c r="B259" s="248"/>
      <c r="C259" s="249"/>
      <c r="D259" s="269" t="s">
        <v>1341</v>
      </c>
      <c r="E259" s="249"/>
      <c r="F259" s="673">
        <v>-7</v>
      </c>
      <c r="G259" s="249"/>
      <c r="H259" s="652">
        <v>3.8200000000000003</v>
      </c>
      <c r="I259" s="251"/>
      <c r="J259" s="652">
        <v>3.5700000000000003</v>
      </c>
      <c r="K259" s="251"/>
      <c r="L259" s="652">
        <v>0.25</v>
      </c>
      <c r="M259" s="251"/>
      <c r="N259" s="251">
        <v>0</v>
      </c>
      <c r="O259" s="251"/>
      <c r="P259" s="251" t="s">
        <v>1355</v>
      </c>
      <c r="Q259" s="251"/>
      <c r="R259" s="652">
        <v>17.5</v>
      </c>
    </row>
    <row r="260" spans="1:18">
      <c r="A260" s="272"/>
      <c r="B260" s="248"/>
      <c r="C260" s="249"/>
      <c r="D260" s="269" t="s">
        <v>1342</v>
      </c>
      <c r="E260" s="249"/>
      <c r="F260" s="673">
        <v>-7</v>
      </c>
      <c r="G260" s="249"/>
      <c r="H260" s="652">
        <v>3.83</v>
      </c>
      <c r="I260" s="251"/>
      <c r="J260" s="652">
        <v>3.58</v>
      </c>
      <c r="K260" s="251"/>
      <c r="L260" s="652">
        <v>0.25</v>
      </c>
      <c r="M260" s="251"/>
      <c r="N260" s="251">
        <v>0</v>
      </c>
      <c r="O260" s="251"/>
      <c r="P260" s="251" t="s">
        <v>1355</v>
      </c>
      <c r="Q260" s="251"/>
      <c r="R260" s="652">
        <v>17.5</v>
      </c>
    </row>
    <row r="261" spans="1:18">
      <c r="A261" s="272"/>
      <c r="B261" s="248"/>
      <c r="C261" s="249"/>
      <c r="D261" s="269" t="s">
        <v>1356</v>
      </c>
      <c r="E261" s="249"/>
      <c r="F261" s="673">
        <v>-7</v>
      </c>
      <c r="G261" s="249"/>
      <c r="H261" s="652">
        <v>3.53</v>
      </c>
      <c r="I261" s="251"/>
      <c r="J261" s="652">
        <v>3.3000000000000003</v>
      </c>
      <c r="K261" s="251"/>
      <c r="L261" s="652">
        <v>0.22999999999999998</v>
      </c>
      <c r="M261" s="251"/>
      <c r="N261" s="251">
        <v>0</v>
      </c>
      <c r="O261" s="251"/>
      <c r="P261" s="251" t="s">
        <v>1355</v>
      </c>
      <c r="Q261" s="251"/>
      <c r="R261" s="652">
        <v>17.399999999999999</v>
      </c>
    </row>
    <row r="262" spans="1:18">
      <c r="A262" s="272"/>
      <c r="B262" s="248"/>
      <c r="C262" s="249"/>
      <c r="D262" s="266" t="s">
        <v>2304</v>
      </c>
      <c r="E262" s="249"/>
      <c r="F262" s="673">
        <v>-12</v>
      </c>
      <c r="G262" s="249"/>
      <c r="H262" s="652">
        <v>3.1</v>
      </c>
      <c r="I262" s="251"/>
      <c r="J262" s="652">
        <v>2.77</v>
      </c>
      <c r="K262" s="251"/>
      <c r="L262" s="652">
        <v>0.33</v>
      </c>
      <c r="M262" s="251"/>
      <c r="N262" s="251">
        <v>0</v>
      </c>
      <c r="O262" s="251"/>
      <c r="P262" s="251" t="s">
        <v>1355</v>
      </c>
      <c r="Q262" s="251"/>
      <c r="R262" s="652">
        <v>35.6</v>
      </c>
    </row>
    <row r="263" spans="1:18">
      <c r="A263" s="272"/>
      <c r="B263" s="248"/>
      <c r="C263" s="249"/>
      <c r="D263" s="269" t="s">
        <v>2306</v>
      </c>
      <c r="E263" s="249"/>
      <c r="F263" s="673">
        <v>-12</v>
      </c>
      <c r="G263" s="249"/>
      <c r="H263" s="652">
        <v>3.1</v>
      </c>
      <c r="I263" s="251"/>
      <c r="J263" s="652">
        <v>2.77</v>
      </c>
      <c r="K263" s="251"/>
      <c r="L263" s="652">
        <v>0.33</v>
      </c>
      <c r="M263" s="251"/>
      <c r="N263" s="251">
        <v>0</v>
      </c>
      <c r="O263" s="251"/>
      <c r="P263" s="251" t="s">
        <v>1355</v>
      </c>
      <c r="Q263" s="251"/>
      <c r="R263" s="652">
        <v>35.6</v>
      </c>
    </row>
    <row r="264" spans="1:18">
      <c r="A264" s="272"/>
      <c r="B264" s="248"/>
      <c r="C264" s="249"/>
      <c r="D264" s="269" t="s">
        <v>2691</v>
      </c>
      <c r="E264" s="249"/>
      <c r="F264" s="673">
        <v>-12</v>
      </c>
      <c r="G264" s="249"/>
      <c r="H264" s="652">
        <v>3.1</v>
      </c>
      <c r="I264" s="251"/>
      <c r="J264" s="652">
        <v>2.77</v>
      </c>
      <c r="K264" s="251"/>
      <c r="L264" s="652">
        <v>0.33</v>
      </c>
      <c r="M264" s="251"/>
      <c r="N264" s="251">
        <v>0</v>
      </c>
      <c r="O264" s="251"/>
      <c r="P264" s="251" t="s">
        <v>1355</v>
      </c>
      <c r="Q264" s="251"/>
      <c r="R264" s="652">
        <v>14.7</v>
      </c>
    </row>
    <row r="265" spans="1:18">
      <c r="A265" s="272"/>
      <c r="B265" s="248"/>
      <c r="C265" s="249"/>
      <c r="D265" s="249"/>
      <c r="E265" s="249"/>
      <c r="F265" s="250"/>
      <c r="G265" s="249"/>
      <c r="H265" s="251"/>
      <c r="I265" s="251"/>
      <c r="J265" s="251"/>
      <c r="K265" s="251"/>
      <c r="L265" s="251"/>
      <c r="M265" s="251"/>
      <c r="N265" s="251"/>
      <c r="O265" s="251"/>
      <c r="P265" s="251"/>
      <c r="Q265" s="251"/>
      <c r="R265" s="251"/>
    </row>
    <row r="266" spans="1:18">
      <c r="A266" s="272">
        <v>342</v>
      </c>
      <c r="B266" s="248"/>
      <c r="C266" s="249"/>
      <c r="D266" s="254" t="s">
        <v>1357</v>
      </c>
      <c r="E266" s="249"/>
      <c r="F266" s="278" t="s">
        <v>2332</v>
      </c>
      <c r="G266" s="249"/>
      <c r="H266" s="251">
        <v>3.27</v>
      </c>
      <c r="I266" s="251"/>
      <c r="J266" s="251"/>
      <c r="K266" s="251"/>
      <c r="L266" s="251"/>
      <c r="M266" s="251"/>
      <c r="N266" s="251"/>
      <c r="O266" s="251"/>
      <c r="P266" s="251" t="s">
        <v>1355</v>
      </c>
      <c r="Q266" s="251"/>
      <c r="R266" s="251">
        <v>31.3</v>
      </c>
    </row>
    <row r="267" spans="1:18">
      <c r="A267" s="272"/>
      <c r="B267" s="248"/>
      <c r="C267" s="249"/>
      <c r="D267" s="249"/>
      <c r="E267" s="249"/>
      <c r="F267" s="250"/>
      <c r="G267" s="249"/>
      <c r="H267" s="251"/>
      <c r="I267" s="251"/>
      <c r="J267" s="251"/>
      <c r="K267" s="251"/>
      <c r="L267" s="251"/>
      <c r="M267" s="251"/>
      <c r="N267" s="251"/>
      <c r="O267" s="251"/>
      <c r="P267" s="251"/>
      <c r="Q267" s="251"/>
      <c r="R267" s="251"/>
    </row>
    <row r="268" spans="1:18">
      <c r="A268" s="272"/>
      <c r="B268" s="248">
        <v>343</v>
      </c>
      <c r="C268" s="249"/>
      <c r="D268" s="249" t="s">
        <v>1358</v>
      </c>
      <c r="E268" s="249"/>
      <c r="F268" s="250"/>
      <c r="G268" s="249"/>
      <c r="H268" s="251"/>
      <c r="I268" s="251"/>
      <c r="J268" s="251"/>
      <c r="K268" s="251"/>
      <c r="L268" s="251"/>
      <c r="M268" s="251"/>
      <c r="N268" s="251"/>
      <c r="O268" s="251"/>
      <c r="P268" s="251"/>
      <c r="Q268" s="251"/>
      <c r="R268" s="251"/>
    </row>
    <row r="269" spans="1:18">
      <c r="A269" s="272"/>
      <c r="B269" s="248"/>
      <c r="C269" s="249"/>
      <c r="D269" s="269" t="s">
        <v>1349</v>
      </c>
      <c r="E269" s="249"/>
      <c r="F269" s="673">
        <v>-7</v>
      </c>
      <c r="G269" s="249"/>
      <c r="H269" s="251">
        <v>4.9399999999999995</v>
      </c>
      <c r="I269" s="251"/>
      <c r="J269" s="251">
        <v>4.62</v>
      </c>
      <c r="K269" s="251"/>
      <c r="L269" s="251">
        <v>0.37</v>
      </c>
      <c r="M269" s="251"/>
      <c r="N269" s="251">
        <v>-0.05</v>
      </c>
      <c r="O269" s="251"/>
      <c r="P269" s="651" t="s">
        <v>1359</v>
      </c>
      <c r="Q269" s="251"/>
      <c r="R269" s="652">
        <v>13.8</v>
      </c>
    </row>
    <row r="270" spans="1:18">
      <c r="A270" s="272"/>
      <c r="B270" s="248"/>
      <c r="C270" s="249"/>
      <c r="D270" s="269" t="s">
        <v>1350</v>
      </c>
      <c r="E270" s="249"/>
      <c r="F270" s="673">
        <v>-7</v>
      </c>
      <c r="G270" s="249"/>
      <c r="H270" s="251">
        <v>4.82</v>
      </c>
      <c r="I270" s="251"/>
      <c r="J270" s="251">
        <v>4.51</v>
      </c>
      <c r="K270" s="251"/>
      <c r="L270" s="251">
        <v>0.36</v>
      </c>
      <c r="M270" s="251"/>
      <c r="N270" s="251">
        <v>-0.05</v>
      </c>
      <c r="O270" s="251"/>
      <c r="P270" s="651" t="s">
        <v>1359</v>
      </c>
      <c r="Q270" s="251"/>
      <c r="R270" s="652">
        <v>9.6</v>
      </c>
    </row>
    <row r="271" spans="1:18">
      <c r="A271" s="272"/>
      <c r="B271" s="248"/>
      <c r="C271" s="249"/>
      <c r="D271" s="269" t="s">
        <v>1344</v>
      </c>
      <c r="E271" s="249"/>
      <c r="F271" s="673">
        <v>-7</v>
      </c>
      <c r="G271" s="249"/>
      <c r="H271" s="251">
        <v>4.41</v>
      </c>
      <c r="I271" s="251"/>
      <c r="J271" s="251">
        <v>4.12</v>
      </c>
      <c r="K271" s="251"/>
      <c r="L271" s="251">
        <v>0.33</v>
      </c>
      <c r="M271" s="251"/>
      <c r="N271" s="251">
        <v>-0.04</v>
      </c>
      <c r="O271" s="251"/>
      <c r="P271" s="651" t="s">
        <v>1359</v>
      </c>
      <c r="Q271" s="251"/>
      <c r="R271" s="652">
        <v>13.8</v>
      </c>
    </row>
    <row r="272" spans="1:18">
      <c r="A272" s="272"/>
      <c r="B272" s="248"/>
      <c r="C272" s="249"/>
      <c r="D272" s="269" t="s">
        <v>1345</v>
      </c>
      <c r="E272" s="249"/>
      <c r="F272" s="673">
        <v>-7</v>
      </c>
      <c r="G272" s="249"/>
      <c r="H272" s="251">
        <v>5.42</v>
      </c>
      <c r="I272" s="251"/>
      <c r="J272" s="251">
        <v>5.0599999999999996</v>
      </c>
      <c r="K272" s="251"/>
      <c r="L272" s="251">
        <v>0.41000000000000003</v>
      </c>
      <c r="M272" s="251"/>
      <c r="N272" s="251">
        <v>-0.05</v>
      </c>
      <c r="O272" s="251"/>
      <c r="P272" s="651" t="s">
        <v>1359</v>
      </c>
      <c r="Q272" s="251"/>
      <c r="R272" s="652">
        <v>12.2</v>
      </c>
    </row>
    <row r="273" spans="1:18">
      <c r="A273" s="272"/>
      <c r="B273" s="248"/>
      <c r="C273" s="249"/>
      <c r="D273" s="269" t="s">
        <v>1346</v>
      </c>
      <c r="E273" s="249"/>
      <c r="F273" s="673">
        <v>-7</v>
      </c>
      <c r="G273" s="249"/>
      <c r="H273" s="251">
        <v>5.28</v>
      </c>
      <c r="I273" s="251"/>
      <c r="J273" s="251">
        <v>4.9399999999999995</v>
      </c>
      <c r="K273" s="251"/>
      <c r="L273" s="251">
        <v>0.38999999999999996</v>
      </c>
      <c r="M273" s="251"/>
      <c r="N273" s="251">
        <v>-0.05</v>
      </c>
      <c r="O273" s="251"/>
      <c r="P273" s="651" t="s">
        <v>1359</v>
      </c>
      <c r="Q273" s="251"/>
      <c r="R273" s="652">
        <v>12.2</v>
      </c>
    </row>
    <row r="274" spans="1:18">
      <c r="A274" s="272"/>
      <c r="B274" s="248"/>
      <c r="C274" s="249"/>
      <c r="D274" s="269" t="s">
        <v>1347</v>
      </c>
      <c r="E274" s="249"/>
      <c r="F274" s="673">
        <v>-7</v>
      </c>
      <c r="G274" s="249"/>
      <c r="H274" s="251">
        <v>5.81</v>
      </c>
      <c r="I274" s="251"/>
      <c r="J274" s="251">
        <v>5.43</v>
      </c>
      <c r="K274" s="251"/>
      <c r="L274" s="251">
        <v>0.43</v>
      </c>
      <c r="M274" s="251"/>
      <c r="N274" s="251">
        <v>-0.05</v>
      </c>
      <c r="O274" s="251"/>
      <c r="P274" s="651" t="s">
        <v>1359</v>
      </c>
      <c r="Q274" s="251"/>
      <c r="R274" s="652">
        <v>8.8000000000000007</v>
      </c>
    </row>
    <row r="275" spans="1:18">
      <c r="A275" s="272"/>
      <c r="B275" s="248"/>
      <c r="C275" s="249"/>
      <c r="D275" s="269" t="s">
        <v>1348</v>
      </c>
      <c r="E275" s="249"/>
      <c r="F275" s="673">
        <v>-7</v>
      </c>
      <c r="G275" s="249"/>
      <c r="H275" s="251">
        <v>4.74</v>
      </c>
      <c r="I275" s="251"/>
      <c r="J275" s="251">
        <v>4.43</v>
      </c>
      <c r="K275" s="251"/>
      <c r="L275" s="251">
        <v>0.35000000000000003</v>
      </c>
      <c r="M275" s="251"/>
      <c r="N275" s="251">
        <v>-0.04</v>
      </c>
      <c r="O275" s="251"/>
      <c r="P275" s="651" t="s">
        <v>1359</v>
      </c>
      <c r="Q275" s="251"/>
      <c r="R275" s="652">
        <v>13.6</v>
      </c>
    </row>
    <row r="276" spans="1:18">
      <c r="A276" s="272"/>
      <c r="B276" s="248"/>
      <c r="C276" s="249"/>
      <c r="D276" s="269" t="s">
        <v>1352</v>
      </c>
      <c r="E276" s="249"/>
      <c r="F276" s="673">
        <v>-6</v>
      </c>
      <c r="G276" s="249"/>
      <c r="H276" s="251">
        <v>5.53</v>
      </c>
      <c r="I276" s="251"/>
      <c r="J276" s="251">
        <v>5.21</v>
      </c>
      <c r="K276" s="251"/>
      <c r="L276" s="251">
        <v>0.37</v>
      </c>
      <c r="M276" s="251"/>
      <c r="N276" s="251">
        <v>-0.05</v>
      </c>
      <c r="O276" s="251"/>
      <c r="P276" s="651" t="s">
        <v>1359</v>
      </c>
      <c r="Q276" s="251"/>
      <c r="R276" s="652">
        <v>13.9</v>
      </c>
    </row>
    <row r="277" spans="1:18">
      <c r="A277" s="274"/>
      <c r="B277" s="255"/>
      <c r="C277" s="249"/>
      <c r="D277" s="269" t="s">
        <v>1343</v>
      </c>
      <c r="E277" s="249"/>
      <c r="F277" s="673">
        <v>-7</v>
      </c>
      <c r="G277" s="249"/>
      <c r="H277" s="251">
        <v>4.49</v>
      </c>
      <c r="I277" s="251"/>
      <c r="J277" s="251">
        <v>4.1900000000000004</v>
      </c>
      <c r="K277" s="251"/>
      <c r="L277" s="251">
        <v>0.33999999999999997</v>
      </c>
      <c r="M277" s="251"/>
      <c r="N277" s="251">
        <v>-0.04</v>
      </c>
      <c r="O277" s="251"/>
      <c r="P277" s="651" t="s">
        <v>1359</v>
      </c>
      <c r="Q277" s="251"/>
      <c r="R277" s="652">
        <v>16.399999999999999</v>
      </c>
    </row>
    <row r="278" spans="1:18">
      <c r="A278" s="272"/>
      <c r="B278" s="248"/>
      <c r="C278" s="249"/>
      <c r="D278" s="269" t="s">
        <v>1338</v>
      </c>
      <c r="E278" s="249"/>
      <c r="F278" s="673">
        <v>-7</v>
      </c>
      <c r="G278" s="249"/>
      <c r="H278" s="251">
        <v>4.58</v>
      </c>
      <c r="I278" s="251"/>
      <c r="J278" s="251">
        <v>4.2799999999999994</v>
      </c>
      <c r="K278" s="251"/>
      <c r="L278" s="251">
        <v>0.33999999999999997</v>
      </c>
      <c r="M278" s="251"/>
      <c r="N278" s="251">
        <v>-0.04</v>
      </c>
      <c r="O278" s="251"/>
      <c r="P278" s="651" t="s">
        <v>1359</v>
      </c>
      <c r="Q278" s="251"/>
      <c r="R278" s="652">
        <v>14.7</v>
      </c>
    </row>
    <row r="279" spans="1:18">
      <c r="A279" s="272"/>
      <c r="B279" s="248"/>
      <c r="C279" s="249"/>
      <c r="D279" s="269" t="s">
        <v>1339</v>
      </c>
      <c r="E279" s="249"/>
      <c r="F279" s="673">
        <v>-7</v>
      </c>
      <c r="G279" s="249"/>
      <c r="H279" s="251">
        <v>4.5000000000000009</v>
      </c>
      <c r="I279" s="251"/>
      <c r="J279" s="251">
        <v>4.2</v>
      </c>
      <c r="K279" s="251"/>
      <c r="L279" s="251">
        <v>0.33999999999999997</v>
      </c>
      <c r="M279" s="251"/>
      <c r="N279" s="251">
        <v>-0.04</v>
      </c>
      <c r="O279" s="251"/>
      <c r="P279" s="651" t="s">
        <v>1359</v>
      </c>
      <c r="Q279" s="251"/>
      <c r="R279" s="652">
        <v>14.6</v>
      </c>
    </row>
    <row r="280" spans="1:18">
      <c r="A280" s="272"/>
      <c r="B280" s="248"/>
      <c r="C280" s="249"/>
      <c r="D280" s="269" t="s">
        <v>1340</v>
      </c>
      <c r="E280" s="249"/>
      <c r="F280" s="673">
        <v>-7</v>
      </c>
      <c r="G280" s="249"/>
      <c r="H280" s="251">
        <v>4.5200000000000005</v>
      </c>
      <c r="I280" s="251"/>
      <c r="J280" s="251">
        <v>4.22</v>
      </c>
      <c r="K280" s="251"/>
      <c r="L280" s="251">
        <v>0.33999999999999997</v>
      </c>
      <c r="M280" s="251"/>
      <c r="N280" s="251">
        <v>-0.04</v>
      </c>
      <c r="O280" s="251"/>
      <c r="P280" s="651" t="s">
        <v>1359</v>
      </c>
      <c r="Q280" s="251"/>
      <c r="R280" s="652">
        <v>16.399999999999999</v>
      </c>
    </row>
    <row r="281" spans="1:18">
      <c r="A281" s="272"/>
      <c r="B281" s="248"/>
      <c r="C281" s="249"/>
      <c r="D281" s="269" t="s">
        <v>1341</v>
      </c>
      <c r="E281" s="249"/>
      <c r="F281" s="673">
        <v>-7</v>
      </c>
      <c r="G281" s="249"/>
      <c r="H281" s="251">
        <v>4.57</v>
      </c>
      <c r="I281" s="251"/>
      <c r="J281" s="251">
        <v>4.2700000000000005</v>
      </c>
      <c r="K281" s="251"/>
      <c r="L281" s="251">
        <v>0.33999999999999997</v>
      </c>
      <c r="M281" s="251"/>
      <c r="N281" s="251">
        <v>-0.04</v>
      </c>
      <c r="O281" s="251"/>
      <c r="P281" s="651" t="s">
        <v>1359</v>
      </c>
      <c r="Q281" s="251"/>
      <c r="R281" s="652">
        <v>16.399999999999999</v>
      </c>
    </row>
    <row r="282" spans="1:18">
      <c r="A282" s="272"/>
      <c r="B282" s="248"/>
      <c r="C282" s="249"/>
      <c r="D282" s="269" t="s">
        <v>1342</v>
      </c>
      <c r="E282" s="249"/>
      <c r="F282" s="673">
        <v>-7</v>
      </c>
      <c r="G282" s="249"/>
      <c r="H282" s="251">
        <v>4.4799999999999995</v>
      </c>
      <c r="I282" s="251"/>
      <c r="J282" s="251">
        <v>4.1900000000000004</v>
      </c>
      <c r="K282" s="251"/>
      <c r="L282" s="251">
        <v>0.33</v>
      </c>
      <c r="M282" s="251"/>
      <c r="N282" s="251">
        <v>-0.04</v>
      </c>
      <c r="O282" s="251"/>
      <c r="P282" s="651" t="s">
        <v>1359</v>
      </c>
      <c r="Q282" s="251"/>
      <c r="R282" s="652">
        <v>16.3</v>
      </c>
    </row>
    <row r="283" spans="1:18">
      <c r="A283" s="272"/>
      <c r="B283" s="248"/>
      <c r="C283" s="249"/>
      <c r="D283" s="269" t="s">
        <v>2304</v>
      </c>
      <c r="E283" s="249"/>
      <c r="F283" s="673">
        <v>-12</v>
      </c>
      <c r="G283" s="249"/>
      <c r="H283" s="251">
        <v>3.5699999999999994</v>
      </c>
      <c r="I283" s="251"/>
      <c r="J283" s="251">
        <v>3.19</v>
      </c>
      <c r="K283" s="251"/>
      <c r="L283" s="251">
        <v>0.41000000000000003</v>
      </c>
      <c r="M283" s="251"/>
      <c r="N283" s="251">
        <v>-0.03</v>
      </c>
      <c r="O283" s="251"/>
      <c r="P283" s="651" t="s">
        <v>1359</v>
      </c>
      <c r="Q283" s="251"/>
      <c r="R283" s="652">
        <v>30.9</v>
      </c>
    </row>
    <row r="284" spans="1:18">
      <c r="A284" s="272"/>
      <c r="B284" s="248"/>
      <c r="C284" s="249"/>
      <c r="D284" s="249"/>
      <c r="E284" s="249"/>
      <c r="F284" s="250"/>
      <c r="G284" s="249"/>
      <c r="H284" s="251"/>
      <c r="I284" s="251"/>
      <c r="J284" s="251"/>
      <c r="K284" s="251"/>
      <c r="L284" s="251"/>
      <c r="M284" s="251"/>
      <c r="N284" s="251"/>
      <c r="O284" s="251"/>
      <c r="P284" s="251"/>
      <c r="Q284" s="251"/>
      <c r="R284" s="251"/>
    </row>
    <row r="285" spans="1:18">
      <c r="A285" s="272">
        <v>343</v>
      </c>
      <c r="B285" s="248"/>
      <c r="C285" s="249"/>
      <c r="D285" s="254" t="s">
        <v>1360</v>
      </c>
      <c r="E285" s="249"/>
      <c r="F285" s="278" t="s">
        <v>2333</v>
      </c>
      <c r="G285" s="249"/>
      <c r="H285" s="251">
        <v>4.63</v>
      </c>
      <c r="I285" s="251"/>
      <c r="J285" s="251"/>
      <c r="K285" s="251"/>
      <c r="L285" s="251"/>
      <c r="M285" s="251"/>
      <c r="N285" s="251"/>
      <c r="O285" s="251"/>
      <c r="P285" s="251" t="s">
        <v>1359</v>
      </c>
      <c r="Q285" s="251"/>
      <c r="R285" s="251">
        <v>16</v>
      </c>
    </row>
    <row r="286" spans="1:18">
      <c r="A286" s="272"/>
      <c r="B286" s="248"/>
      <c r="C286" s="249"/>
      <c r="D286" s="249"/>
      <c r="E286" s="249"/>
      <c r="F286" s="250"/>
      <c r="G286" s="249"/>
      <c r="H286" s="251"/>
      <c r="I286" s="251"/>
      <c r="J286" s="251"/>
      <c r="K286" s="251"/>
      <c r="L286" s="251"/>
      <c r="M286" s="251"/>
      <c r="N286" s="251"/>
      <c r="O286" s="251"/>
      <c r="P286" s="251"/>
      <c r="Q286" s="251"/>
      <c r="R286" s="251"/>
    </row>
    <row r="287" spans="1:18">
      <c r="A287" s="272"/>
      <c r="B287" s="248">
        <v>344</v>
      </c>
      <c r="C287" s="249"/>
      <c r="D287" s="249" t="s">
        <v>1361</v>
      </c>
      <c r="E287" s="249"/>
      <c r="F287" s="250"/>
      <c r="G287" s="249"/>
      <c r="H287" s="251"/>
      <c r="I287" s="251"/>
      <c r="J287" s="251"/>
      <c r="K287" s="251"/>
      <c r="L287" s="251"/>
      <c r="M287" s="251"/>
      <c r="N287" s="251"/>
      <c r="O287" s="251"/>
      <c r="P287" s="251"/>
      <c r="Q287" s="251"/>
      <c r="R287" s="251"/>
    </row>
    <row r="288" spans="1:18">
      <c r="A288" s="272"/>
      <c r="B288" s="248"/>
      <c r="C288" s="249"/>
      <c r="D288" s="676" t="s">
        <v>1349</v>
      </c>
      <c r="E288" s="249"/>
      <c r="F288" s="673">
        <v>-7</v>
      </c>
      <c r="G288" s="249"/>
      <c r="H288" s="652">
        <v>2.94</v>
      </c>
      <c r="I288" s="251"/>
      <c r="J288" s="652">
        <v>2.74</v>
      </c>
      <c r="K288" s="251"/>
      <c r="L288" s="652">
        <v>0.25</v>
      </c>
      <c r="M288" s="251"/>
      <c r="N288" s="652">
        <v>-0.05</v>
      </c>
      <c r="O288" s="251"/>
      <c r="P288" s="651" t="s">
        <v>2307</v>
      </c>
      <c r="Q288" s="251"/>
      <c r="R288" s="652">
        <v>14.9</v>
      </c>
    </row>
    <row r="289" spans="1:18">
      <c r="A289" s="272"/>
      <c r="B289" s="248"/>
      <c r="C289" s="249"/>
      <c r="D289" s="676" t="s">
        <v>1350</v>
      </c>
      <c r="E289" s="249"/>
      <c r="F289" s="673">
        <v>-7</v>
      </c>
      <c r="G289" s="249"/>
      <c r="H289" s="652">
        <v>5.55</v>
      </c>
      <c r="I289" s="251"/>
      <c r="J289" s="652">
        <v>5.18</v>
      </c>
      <c r="K289" s="251"/>
      <c r="L289" s="652">
        <v>0.47000000000000003</v>
      </c>
      <c r="M289" s="251"/>
      <c r="N289" s="652">
        <v>-0.1</v>
      </c>
      <c r="O289" s="251"/>
      <c r="P289" s="651" t="s">
        <v>2307</v>
      </c>
      <c r="Q289" s="251"/>
      <c r="R289" s="652">
        <v>10.4</v>
      </c>
    </row>
    <row r="290" spans="1:18">
      <c r="A290" s="272"/>
      <c r="B290" s="248"/>
      <c r="C290" s="249"/>
      <c r="D290" s="676" t="s">
        <v>1344</v>
      </c>
      <c r="E290" s="249"/>
      <c r="F290" s="673">
        <v>-7</v>
      </c>
      <c r="G290" s="249"/>
      <c r="H290" s="652">
        <v>3.9799999999999995</v>
      </c>
      <c r="I290" s="251"/>
      <c r="J290" s="652">
        <v>3.7199999999999998</v>
      </c>
      <c r="K290" s="251"/>
      <c r="L290" s="652">
        <v>0.33</v>
      </c>
      <c r="M290" s="251"/>
      <c r="N290" s="652">
        <v>-6.9999999999999993E-2</v>
      </c>
      <c r="O290" s="251"/>
      <c r="P290" s="651" t="s">
        <v>2307</v>
      </c>
      <c r="Q290" s="251"/>
      <c r="R290" s="652">
        <v>15.2</v>
      </c>
    </row>
    <row r="291" spans="1:18">
      <c r="A291" s="272"/>
      <c r="B291" s="248"/>
      <c r="C291" s="249"/>
      <c r="D291" s="676" t="s">
        <v>1345</v>
      </c>
      <c r="E291" s="249"/>
      <c r="F291" s="673">
        <v>-7</v>
      </c>
      <c r="G291" s="249"/>
      <c r="H291" s="652">
        <v>4.0199999999999996</v>
      </c>
      <c r="I291" s="251"/>
      <c r="J291" s="652">
        <v>3.7600000000000002</v>
      </c>
      <c r="K291" s="251"/>
      <c r="L291" s="652">
        <v>0.33999999999999997</v>
      </c>
      <c r="M291" s="251"/>
      <c r="N291" s="652">
        <v>-0.08</v>
      </c>
      <c r="O291" s="251"/>
      <c r="P291" s="651" t="s">
        <v>2307</v>
      </c>
      <c r="Q291" s="251"/>
      <c r="R291" s="652">
        <v>13.3</v>
      </c>
    </row>
    <row r="292" spans="1:18">
      <c r="A292" s="272"/>
      <c r="B292" s="248"/>
      <c r="C292" s="249"/>
      <c r="D292" s="676" t="s">
        <v>1346</v>
      </c>
      <c r="E292" s="249"/>
      <c r="F292" s="673">
        <v>-7</v>
      </c>
      <c r="G292" s="249"/>
      <c r="H292" s="652">
        <v>4.0799999999999992</v>
      </c>
      <c r="I292" s="251"/>
      <c r="J292" s="652">
        <v>3.82</v>
      </c>
      <c r="K292" s="251"/>
      <c r="L292" s="652">
        <v>0.33999999999999997</v>
      </c>
      <c r="M292" s="251"/>
      <c r="N292" s="652">
        <v>-0.08</v>
      </c>
      <c r="O292" s="251"/>
      <c r="P292" s="651" t="s">
        <v>2307</v>
      </c>
      <c r="Q292" s="251"/>
      <c r="R292" s="652">
        <v>13.3</v>
      </c>
    </row>
    <row r="293" spans="1:18">
      <c r="A293" s="272"/>
      <c r="B293" s="248"/>
      <c r="C293" s="249"/>
      <c r="D293" s="676" t="s">
        <v>1347</v>
      </c>
      <c r="E293" s="249"/>
      <c r="F293" s="673">
        <v>-7</v>
      </c>
      <c r="G293" s="249"/>
      <c r="H293" s="652">
        <v>4.04</v>
      </c>
      <c r="I293" s="251"/>
      <c r="J293" s="652">
        <v>3.7800000000000002</v>
      </c>
      <c r="K293" s="251"/>
      <c r="L293" s="652">
        <v>0.33999999999999997</v>
      </c>
      <c r="M293" s="251"/>
      <c r="N293" s="652">
        <v>-0.08</v>
      </c>
      <c r="O293" s="251"/>
      <c r="P293" s="651" t="s">
        <v>2307</v>
      </c>
      <c r="Q293" s="251"/>
      <c r="R293" s="652">
        <v>9.3000000000000007</v>
      </c>
    </row>
    <row r="294" spans="1:18">
      <c r="A294" s="272"/>
      <c r="B294" s="248"/>
      <c r="C294" s="249"/>
      <c r="D294" s="676" t="s">
        <v>1348</v>
      </c>
      <c r="E294" s="249"/>
      <c r="F294" s="673">
        <v>-7</v>
      </c>
      <c r="G294" s="249"/>
      <c r="H294" s="652">
        <v>2.77</v>
      </c>
      <c r="I294" s="251"/>
      <c r="J294" s="652">
        <v>2.59</v>
      </c>
      <c r="K294" s="251"/>
      <c r="L294" s="652">
        <v>0.22999999999999998</v>
      </c>
      <c r="M294" s="251"/>
      <c r="N294" s="652">
        <v>-0.05</v>
      </c>
      <c r="O294" s="251"/>
      <c r="P294" s="651" t="s">
        <v>2307</v>
      </c>
      <c r="Q294" s="251"/>
      <c r="R294" s="652">
        <v>14.8</v>
      </c>
    </row>
    <row r="295" spans="1:18">
      <c r="A295" s="272"/>
      <c r="B295" s="248"/>
      <c r="C295" s="249"/>
      <c r="D295" s="677" t="s">
        <v>2688</v>
      </c>
      <c r="E295" s="249"/>
      <c r="F295" s="673">
        <v>-5</v>
      </c>
      <c r="G295" s="249"/>
      <c r="H295" s="652">
        <v>4.6100000000000003</v>
      </c>
      <c r="I295" s="251"/>
      <c r="J295" s="652">
        <v>4.3900000000000006</v>
      </c>
      <c r="K295" s="251"/>
      <c r="L295" s="652">
        <v>0.26</v>
      </c>
      <c r="M295" s="251"/>
      <c r="N295" s="652">
        <v>-0.04</v>
      </c>
      <c r="O295" s="251"/>
      <c r="P295" s="651" t="s">
        <v>2692</v>
      </c>
      <c r="Q295" s="251"/>
      <c r="R295" s="652">
        <v>30</v>
      </c>
    </row>
    <row r="296" spans="1:18">
      <c r="A296" s="272"/>
      <c r="B296" s="248"/>
      <c r="C296" s="249"/>
      <c r="D296" s="676" t="s">
        <v>1351</v>
      </c>
      <c r="E296" s="249"/>
      <c r="F296" s="673">
        <v>-10</v>
      </c>
      <c r="G296" s="249"/>
      <c r="H296" s="652">
        <v>5.37</v>
      </c>
      <c r="I296" s="251"/>
      <c r="J296" s="652">
        <v>4.88</v>
      </c>
      <c r="K296" s="251"/>
      <c r="L296" s="652">
        <v>0.59</v>
      </c>
      <c r="M296" s="251"/>
      <c r="N296" s="652">
        <v>-0.1</v>
      </c>
      <c r="O296" s="251"/>
      <c r="P296" s="651" t="s">
        <v>2307</v>
      </c>
      <c r="Q296" s="251"/>
      <c r="R296" s="652">
        <v>4.2</v>
      </c>
    </row>
    <row r="297" spans="1:18">
      <c r="A297" s="272"/>
      <c r="B297" s="248"/>
      <c r="C297" s="249"/>
      <c r="D297" s="676" t="s">
        <v>1352</v>
      </c>
      <c r="E297" s="249"/>
      <c r="F297" s="673">
        <v>-6</v>
      </c>
      <c r="G297" s="249"/>
      <c r="H297" s="652">
        <v>4.21</v>
      </c>
      <c r="I297" s="251"/>
      <c r="J297" s="652">
        <v>3.9699999999999998</v>
      </c>
      <c r="K297" s="251"/>
      <c r="L297" s="652">
        <v>0.32</v>
      </c>
      <c r="M297" s="251"/>
      <c r="N297" s="652">
        <v>-0.08</v>
      </c>
      <c r="O297" s="251"/>
      <c r="P297" s="651" t="s">
        <v>2307</v>
      </c>
      <c r="Q297" s="251"/>
      <c r="R297" s="652">
        <v>15.3</v>
      </c>
    </row>
    <row r="298" spans="1:18">
      <c r="A298" s="272"/>
      <c r="B298" s="248"/>
      <c r="C298" s="249"/>
      <c r="D298" s="676" t="s">
        <v>1343</v>
      </c>
      <c r="E298" s="249"/>
      <c r="F298" s="673">
        <v>-7</v>
      </c>
      <c r="G298" s="249"/>
      <c r="H298" s="652">
        <v>3.7600000000000002</v>
      </c>
      <c r="I298" s="251"/>
      <c r="J298" s="652">
        <v>3.51</v>
      </c>
      <c r="K298" s="251"/>
      <c r="L298" s="652">
        <v>0.32</v>
      </c>
      <c r="M298" s="251"/>
      <c r="N298" s="652">
        <v>-6.9999999999999993E-2</v>
      </c>
      <c r="O298" s="251"/>
      <c r="P298" s="651" t="s">
        <v>2307</v>
      </c>
      <c r="Q298" s="251"/>
      <c r="R298" s="652">
        <v>18.2</v>
      </c>
    </row>
    <row r="299" spans="1:18">
      <c r="A299" s="272"/>
      <c r="B299" s="248"/>
      <c r="C299" s="249"/>
      <c r="D299" s="676" t="s">
        <v>1338</v>
      </c>
      <c r="E299" s="249"/>
      <c r="F299" s="673">
        <v>-7</v>
      </c>
      <c r="G299" s="249"/>
      <c r="H299" s="652">
        <v>3.85</v>
      </c>
      <c r="I299" s="251"/>
      <c r="J299" s="652">
        <v>3.5999999999999996</v>
      </c>
      <c r="K299" s="251"/>
      <c r="L299" s="652">
        <v>0.32</v>
      </c>
      <c r="M299" s="251"/>
      <c r="N299" s="652">
        <v>-6.9999999999999993E-2</v>
      </c>
      <c r="O299" s="251"/>
      <c r="P299" s="651" t="s">
        <v>2307</v>
      </c>
      <c r="Q299" s="251"/>
      <c r="R299" s="652">
        <v>16.2</v>
      </c>
    </row>
    <row r="300" spans="1:18">
      <c r="A300" s="272"/>
      <c r="B300" s="248"/>
      <c r="C300" s="249"/>
      <c r="D300" s="676" t="s">
        <v>1339</v>
      </c>
      <c r="E300" s="249"/>
      <c r="F300" s="673">
        <v>-7</v>
      </c>
      <c r="G300" s="249"/>
      <c r="H300" s="652">
        <v>3.85</v>
      </c>
      <c r="I300" s="251"/>
      <c r="J300" s="652">
        <v>3.5999999999999996</v>
      </c>
      <c r="K300" s="251"/>
      <c r="L300" s="652">
        <v>0.32</v>
      </c>
      <c r="M300" s="251"/>
      <c r="N300" s="652">
        <v>-6.9999999999999993E-2</v>
      </c>
      <c r="O300" s="251"/>
      <c r="P300" s="651" t="s">
        <v>2307</v>
      </c>
      <c r="Q300" s="251"/>
      <c r="R300" s="652">
        <v>16.2</v>
      </c>
    </row>
    <row r="301" spans="1:18">
      <c r="A301" s="272"/>
      <c r="B301" s="248"/>
      <c r="C301" s="249"/>
      <c r="D301" s="676" t="s">
        <v>1340</v>
      </c>
      <c r="E301" s="249"/>
      <c r="F301" s="673">
        <v>-7</v>
      </c>
      <c r="G301" s="249"/>
      <c r="H301" s="652">
        <v>3.7500000000000004</v>
      </c>
      <c r="I301" s="251"/>
      <c r="J301" s="652">
        <v>3.5000000000000004</v>
      </c>
      <c r="K301" s="251"/>
      <c r="L301" s="652">
        <v>0.32</v>
      </c>
      <c r="M301" s="251"/>
      <c r="N301" s="652">
        <v>-6.9999999999999993E-2</v>
      </c>
      <c r="O301" s="251"/>
      <c r="P301" s="651" t="s">
        <v>2307</v>
      </c>
      <c r="Q301" s="251"/>
      <c r="R301" s="652">
        <v>18.2</v>
      </c>
    </row>
    <row r="302" spans="1:18">
      <c r="A302" s="272"/>
      <c r="B302" s="248"/>
      <c r="C302" s="239"/>
      <c r="D302" s="676" t="s">
        <v>1341</v>
      </c>
      <c r="E302" s="239"/>
      <c r="F302" s="673">
        <v>-7</v>
      </c>
      <c r="G302" s="239"/>
      <c r="H302" s="652">
        <v>3.7500000000000004</v>
      </c>
      <c r="I302" s="251"/>
      <c r="J302" s="652">
        <v>3.5000000000000004</v>
      </c>
      <c r="K302" s="251"/>
      <c r="L302" s="652">
        <v>0.32</v>
      </c>
      <c r="M302" s="251"/>
      <c r="N302" s="652">
        <v>-6.9999999999999993E-2</v>
      </c>
      <c r="O302" s="251"/>
      <c r="P302" s="651" t="s">
        <v>2307</v>
      </c>
      <c r="Q302" s="251"/>
      <c r="R302" s="652">
        <v>18.2</v>
      </c>
    </row>
    <row r="303" spans="1:18">
      <c r="A303" s="272"/>
      <c r="B303" s="248"/>
      <c r="C303" s="249"/>
      <c r="D303" s="676" t="s">
        <v>1342</v>
      </c>
      <c r="E303" s="249"/>
      <c r="F303" s="673">
        <v>-7</v>
      </c>
      <c r="G303" s="249"/>
      <c r="H303" s="652">
        <v>3.7600000000000002</v>
      </c>
      <c r="I303" s="251"/>
      <c r="J303" s="652">
        <v>3.51</v>
      </c>
      <c r="K303" s="251"/>
      <c r="L303" s="652">
        <v>0.32</v>
      </c>
      <c r="M303" s="251"/>
      <c r="N303" s="652">
        <v>-6.9999999999999993E-2</v>
      </c>
      <c r="O303" s="251"/>
      <c r="P303" s="651" t="s">
        <v>2307</v>
      </c>
      <c r="Q303" s="251"/>
      <c r="R303" s="652">
        <v>18.2</v>
      </c>
    </row>
    <row r="304" spans="1:18">
      <c r="A304" s="272"/>
      <c r="B304" s="248"/>
      <c r="C304" s="249"/>
      <c r="D304" s="678" t="s">
        <v>2304</v>
      </c>
      <c r="E304" s="249"/>
      <c r="F304" s="673">
        <v>-12</v>
      </c>
      <c r="G304" s="249"/>
      <c r="H304" s="652">
        <v>2.8899999999999997</v>
      </c>
      <c r="I304" s="251"/>
      <c r="J304" s="652">
        <v>2.58</v>
      </c>
      <c r="K304" s="251"/>
      <c r="L304" s="652">
        <v>0.36</v>
      </c>
      <c r="M304" s="251"/>
      <c r="N304" s="652">
        <v>-0.05</v>
      </c>
      <c r="O304" s="251"/>
      <c r="P304" s="651" t="s">
        <v>2307</v>
      </c>
      <c r="Q304" s="251"/>
      <c r="R304" s="652">
        <v>38.200000000000003</v>
      </c>
    </row>
    <row r="305" spans="1:18">
      <c r="A305" s="272"/>
      <c r="B305" s="248"/>
      <c r="C305" s="249"/>
      <c r="D305" s="249"/>
      <c r="E305" s="249"/>
      <c r="F305" s="250"/>
      <c r="G305" s="249"/>
      <c r="H305" s="251"/>
      <c r="I305" s="251"/>
      <c r="J305" s="251"/>
      <c r="K305" s="251"/>
      <c r="L305" s="251"/>
      <c r="M305" s="251"/>
      <c r="N305" s="251"/>
      <c r="O305" s="251"/>
      <c r="P305" s="251"/>
      <c r="Q305" s="251"/>
      <c r="R305" s="251"/>
    </row>
    <row r="306" spans="1:18">
      <c r="A306" s="272">
        <v>344</v>
      </c>
      <c r="B306" s="248"/>
      <c r="C306" s="249"/>
      <c r="D306" s="254" t="s">
        <v>1362</v>
      </c>
      <c r="E306" s="249"/>
      <c r="F306" s="278" t="s">
        <v>2690</v>
      </c>
      <c r="G306" s="249"/>
      <c r="H306" s="251">
        <v>3.26</v>
      </c>
      <c r="I306" s="251"/>
      <c r="J306" s="251"/>
      <c r="K306" s="251"/>
      <c r="L306" s="251"/>
      <c r="M306" s="251"/>
      <c r="N306" s="251"/>
      <c r="O306" s="251"/>
      <c r="P306" s="251" t="s">
        <v>2307</v>
      </c>
      <c r="Q306" s="251"/>
      <c r="R306" s="251">
        <v>28</v>
      </c>
    </row>
    <row r="307" spans="1:18">
      <c r="A307" s="272"/>
      <c r="B307" s="248"/>
      <c r="C307" s="249"/>
      <c r="D307" s="249"/>
      <c r="E307" s="249"/>
      <c r="F307" s="250"/>
      <c r="G307" s="249"/>
      <c r="H307" s="251"/>
      <c r="I307" s="251"/>
      <c r="J307" s="251"/>
      <c r="K307" s="251"/>
      <c r="L307" s="251"/>
      <c r="M307" s="251"/>
      <c r="N307" s="251"/>
      <c r="O307" s="251"/>
      <c r="P307" s="251"/>
      <c r="Q307" s="251"/>
      <c r="R307" s="251"/>
    </row>
    <row r="308" spans="1:18">
      <c r="A308" s="272"/>
      <c r="B308" s="248">
        <v>345</v>
      </c>
      <c r="C308" s="249"/>
      <c r="D308" s="249" t="s">
        <v>1363</v>
      </c>
      <c r="E308" s="249"/>
      <c r="F308" s="250"/>
      <c r="G308" s="249"/>
      <c r="H308" s="251"/>
      <c r="I308" s="251"/>
      <c r="J308" s="251"/>
      <c r="K308" s="251"/>
      <c r="L308" s="251"/>
      <c r="M308" s="251"/>
      <c r="N308" s="251"/>
      <c r="O308" s="251"/>
      <c r="P308" s="251"/>
      <c r="Q308" s="251"/>
      <c r="R308" s="251"/>
    </row>
    <row r="309" spans="1:18">
      <c r="A309" s="272"/>
      <c r="B309" s="248"/>
      <c r="C309" s="249"/>
      <c r="D309" s="676" t="s">
        <v>1349</v>
      </c>
      <c r="E309" s="249"/>
      <c r="F309" s="673">
        <v>-7</v>
      </c>
      <c r="G309" s="249"/>
      <c r="H309" s="652">
        <v>3.7700000000000005</v>
      </c>
      <c r="I309" s="251"/>
      <c r="J309" s="652">
        <v>3.52</v>
      </c>
      <c r="K309" s="251"/>
      <c r="L309" s="652">
        <v>0.25</v>
      </c>
      <c r="M309" s="251"/>
      <c r="N309" s="251">
        <v>0</v>
      </c>
      <c r="O309" s="251"/>
      <c r="P309" s="651" t="s">
        <v>2308</v>
      </c>
      <c r="Q309" s="251"/>
      <c r="R309" s="652">
        <v>14.8</v>
      </c>
    </row>
    <row r="310" spans="1:18">
      <c r="A310" s="272"/>
      <c r="B310" s="248"/>
      <c r="C310" s="249"/>
      <c r="D310" s="676" t="s">
        <v>1350</v>
      </c>
      <c r="E310" s="249"/>
      <c r="F310" s="673">
        <v>-7</v>
      </c>
      <c r="G310" s="249"/>
      <c r="H310" s="652">
        <v>4.92</v>
      </c>
      <c r="I310" s="251"/>
      <c r="J310" s="652">
        <v>4.5999999999999996</v>
      </c>
      <c r="K310" s="251"/>
      <c r="L310" s="652">
        <v>0.32</v>
      </c>
      <c r="M310" s="251"/>
      <c r="N310" s="251">
        <v>0</v>
      </c>
      <c r="O310" s="251"/>
      <c r="P310" s="651" t="s">
        <v>2308</v>
      </c>
      <c r="Q310" s="251"/>
      <c r="R310" s="652">
        <v>10.3</v>
      </c>
    </row>
    <row r="311" spans="1:18">
      <c r="A311" s="272"/>
      <c r="B311" s="248"/>
      <c r="C311" s="249"/>
      <c r="D311" s="676" t="s">
        <v>1344</v>
      </c>
      <c r="E311" s="249"/>
      <c r="F311" s="673">
        <v>-7</v>
      </c>
      <c r="G311" s="249"/>
      <c r="H311" s="652">
        <v>4.2299999999999995</v>
      </c>
      <c r="I311" s="251"/>
      <c r="J311" s="652">
        <v>3.95</v>
      </c>
      <c r="K311" s="251"/>
      <c r="L311" s="652">
        <v>0.27999999999999997</v>
      </c>
      <c r="M311" s="251"/>
      <c r="N311" s="251">
        <v>0</v>
      </c>
      <c r="O311" s="251"/>
      <c r="P311" s="651" t="s">
        <v>2308</v>
      </c>
      <c r="Q311" s="251"/>
      <c r="R311" s="652">
        <v>15</v>
      </c>
    </row>
    <row r="312" spans="1:18">
      <c r="A312" s="272"/>
      <c r="B312" s="248"/>
      <c r="C312" s="249"/>
      <c r="D312" s="676" t="s">
        <v>1345</v>
      </c>
      <c r="E312" s="249"/>
      <c r="F312" s="673">
        <v>-7</v>
      </c>
      <c r="G312" s="249"/>
      <c r="H312" s="652">
        <v>4.4400000000000004</v>
      </c>
      <c r="I312" s="251"/>
      <c r="J312" s="652">
        <v>4.1500000000000004</v>
      </c>
      <c r="K312" s="251"/>
      <c r="L312" s="652">
        <v>0.28999999999999998</v>
      </c>
      <c r="M312" s="251"/>
      <c r="N312" s="251">
        <v>0</v>
      </c>
      <c r="O312" s="251"/>
      <c r="P312" s="651" t="s">
        <v>2308</v>
      </c>
      <c r="Q312" s="251"/>
      <c r="R312" s="652">
        <v>13.1</v>
      </c>
    </row>
    <row r="313" spans="1:18">
      <c r="A313" s="272"/>
      <c r="B313" s="248"/>
      <c r="C313" s="249"/>
      <c r="D313" s="676" t="s">
        <v>1346</v>
      </c>
      <c r="E313" s="249"/>
      <c r="F313" s="673">
        <v>-7</v>
      </c>
      <c r="G313" s="249"/>
      <c r="H313" s="652">
        <v>4.45</v>
      </c>
      <c r="I313" s="251"/>
      <c r="J313" s="652">
        <v>4.16</v>
      </c>
      <c r="K313" s="251"/>
      <c r="L313" s="652">
        <v>0.28999999999999998</v>
      </c>
      <c r="M313" s="251"/>
      <c r="N313" s="251">
        <v>0</v>
      </c>
      <c r="O313" s="251"/>
      <c r="P313" s="651" t="s">
        <v>2308</v>
      </c>
      <c r="Q313" s="251"/>
      <c r="R313" s="652">
        <v>13.1</v>
      </c>
    </row>
    <row r="314" spans="1:18">
      <c r="A314" s="272"/>
      <c r="B314" s="248"/>
      <c r="C314" s="249"/>
      <c r="D314" s="676" t="s">
        <v>1347</v>
      </c>
      <c r="E314" s="249"/>
      <c r="F314" s="673">
        <v>-7</v>
      </c>
      <c r="G314" s="249"/>
      <c r="H314" s="652">
        <v>5.84</v>
      </c>
      <c r="I314" s="251"/>
      <c r="J314" s="652">
        <v>5.46</v>
      </c>
      <c r="K314" s="251"/>
      <c r="L314" s="652">
        <v>0.38</v>
      </c>
      <c r="M314" s="251"/>
      <c r="N314" s="251">
        <v>0</v>
      </c>
      <c r="O314" s="251"/>
      <c r="P314" s="651" t="s">
        <v>2308</v>
      </c>
      <c r="Q314" s="251"/>
      <c r="R314" s="652">
        <v>9.3000000000000007</v>
      </c>
    </row>
    <row r="315" spans="1:18">
      <c r="A315" s="272"/>
      <c r="B315" s="248"/>
      <c r="C315" s="249"/>
      <c r="D315" s="676" t="s">
        <v>1348</v>
      </c>
      <c r="E315" s="249"/>
      <c r="F315" s="673">
        <v>-7</v>
      </c>
      <c r="G315" s="249"/>
      <c r="H315" s="652">
        <v>3.64</v>
      </c>
      <c r="I315" s="251"/>
      <c r="J315" s="652">
        <v>3.4000000000000004</v>
      </c>
      <c r="K315" s="251"/>
      <c r="L315" s="652">
        <v>0.24</v>
      </c>
      <c r="M315" s="251"/>
      <c r="N315" s="251">
        <v>0</v>
      </c>
      <c r="O315" s="251"/>
      <c r="P315" s="651" t="s">
        <v>2308</v>
      </c>
      <c r="Q315" s="251"/>
      <c r="R315" s="652">
        <v>14.8</v>
      </c>
    </row>
    <row r="316" spans="1:18">
      <c r="A316" s="272"/>
      <c r="B316" s="248"/>
      <c r="C316" s="249"/>
      <c r="D316" s="677" t="s">
        <v>2688</v>
      </c>
      <c r="E316" s="249"/>
      <c r="F316" s="673">
        <v>-5</v>
      </c>
      <c r="G316" s="249"/>
      <c r="H316" s="652">
        <v>4.3600000000000003</v>
      </c>
      <c r="I316" s="251"/>
      <c r="J316" s="652">
        <v>4.1500000000000004</v>
      </c>
      <c r="K316" s="251"/>
      <c r="L316" s="652">
        <v>0.21</v>
      </c>
      <c r="M316" s="251"/>
      <c r="N316" s="251">
        <v>0</v>
      </c>
      <c r="O316" s="251"/>
      <c r="P316" s="651" t="s">
        <v>1355</v>
      </c>
      <c r="Q316" s="251"/>
      <c r="R316" s="652">
        <v>45</v>
      </c>
    </row>
    <row r="317" spans="1:18">
      <c r="A317" s="272"/>
      <c r="B317" s="248"/>
      <c r="C317" s="249"/>
      <c r="D317" s="676" t="s">
        <v>1351</v>
      </c>
      <c r="E317" s="249"/>
      <c r="F317" s="673">
        <v>-10</v>
      </c>
      <c r="G317" s="249"/>
      <c r="H317" s="652">
        <v>22.160000000000004</v>
      </c>
      <c r="I317" s="251"/>
      <c r="J317" s="652">
        <v>20.150000000000002</v>
      </c>
      <c r="K317" s="251"/>
      <c r="L317" s="652">
        <v>2.0099999999999998</v>
      </c>
      <c r="M317" s="251"/>
      <c r="N317" s="251">
        <v>0</v>
      </c>
      <c r="O317" s="251"/>
      <c r="P317" s="651" t="s">
        <v>2308</v>
      </c>
      <c r="Q317" s="251"/>
      <c r="R317" s="652">
        <v>4.4000000000000004</v>
      </c>
    </row>
    <row r="318" spans="1:18">
      <c r="A318" s="272"/>
      <c r="B318" s="248"/>
      <c r="C318" s="249"/>
      <c r="D318" s="676" t="s">
        <v>1352</v>
      </c>
      <c r="E318" s="249"/>
      <c r="F318" s="673">
        <v>-6</v>
      </c>
      <c r="G318" s="249"/>
      <c r="H318" s="652">
        <v>4.01</v>
      </c>
      <c r="I318" s="251"/>
      <c r="J318" s="652">
        <v>3.7800000000000002</v>
      </c>
      <c r="K318" s="251"/>
      <c r="L318" s="652">
        <v>0.22999999999999998</v>
      </c>
      <c r="M318" s="251"/>
      <c r="N318" s="251">
        <v>0</v>
      </c>
      <c r="O318" s="251"/>
      <c r="P318" s="651" t="s">
        <v>2308</v>
      </c>
      <c r="Q318" s="251"/>
      <c r="R318" s="652">
        <v>15</v>
      </c>
    </row>
    <row r="319" spans="1:18">
      <c r="A319" s="272"/>
      <c r="B319" s="248"/>
      <c r="C319" s="249"/>
      <c r="D319" s="676" t="s">
        <v>1343</v>
      </c>
      <c r="E319" s="249"/>
      <c r="F319" s="673">
        <v>-7</v>
      </c>
      <c r="G319" s="249"/>
      <c r="H319" s="652">
        <v>4.04</v>
      </c>
      <c r="I319" s="251"/>
      <c r="J319" s="652">
        <v>3.7800000000000002</v>
      </c>
      <c r="K319" s="251"/>
      <c r="L319" s="652">
        <v>0.26</v>
      </c>
      <c r="M319" s="251"/>
      <c r="N319" s="251">
        <v>0</v>
      </c>
      <c r="O319" s="251"/>
      <c r="P319" s="651" t="s">
        <v>2308</v>
      </c>
      <c r="Q319" s="251"/>
      <c r="R319" s="652">
        <v>17.899999999999999</v>
      </c>
    </row>
    <row r="320" spans="1:18">
      <c r="A320" s="272"/>
      <c r="B320" s="248"/>
      <c r="C320" s="249"/>
      <c r="D320" s="676" t="s">
        <v>1338</v>
      </c>
      <c r="E320" s="249"/>
      <c r="F320" s="673">
        <v>-7</v>
      </c>
      <c r="G320" s="249"/>
      <c r="H320" s="652">
        <v>4.1800000000000006</v>
      </c>
      <c r="I320" s="251"/>
      <c r="J320" s="652">
        <v>3.91</v>
      </c>
      <c r="K320" s="251"/>
      <c r="L320" s="652">
        <v>0.27</v>
      </c>
      <c r="M320" s="251"/>
      <c r="N320" s="251">
        <v>0</v>
      </c>
      <c r="O320" s="251"/>
      <c r="P320" s="651" t="s">
        <v>2308</v>
      </c>
      <c r="Q320" s="251"/>
      <c r="R320" s="652">
        <v>16.100000000000001</v>
      </c>
    </row>
    <row r="321" spans="1:18">
      <c r="A321" s="272"/>
      <c r="B321" s="248"/>
      <c r="C321" s="249"/>
      <c r="D321" s="676" t="s">
        <v>1339</v>
      </c>
      <c r="E321" s="249"/>
      <c r="F321" s="673">
        <v>-7</v>
      </c>
      <c r="G321" s="249"/>
      <c r="H321" s="652">
        <v>4.25</v>
      </c>
      <c r="I321" s="251"/>
      <c r="J321" s="652">
        <v>3.9699999999999998</v>
      </c>
      <c r="K321" s="251"/>
      <c r="L321" s="652">
        <v>0.27999999999999997</v>
      </c>
      <c r="M321" s="251"/>
      <c r="N321" s="251">
        <v>0</v>
      </c>
      <c r="O321" s="251"/>
      <c r="P321" s="651" t="s">
        <v>2308</v>
      </c>
      <c r="Q321" s="251"/>
      <c r="R321" s="652">
        <v>16</v>
      </c>
    </row>
    <row r="322" spans="1:18">
      <c r="A322" s="272"/>
      <c r="B322" s="248"/>
      <c r="C322" s="249"/>
      <c r="D322" s="676" t="s">
        <v>1340</v>
      </c>
      <c r="E322" s="249"/>
      <c r="F322" s="673">
        <v>-7</v>
      </c>
      <c r="G322" s="249"/>
      <c r="H322" s="652">
        <v>4.1300000000000008</v>
      </c>
      <c r="I322" s="251"/>
      <c r="J322" s="652">
        <v>3.8600000000000003</v>
      </c>
      <c r="K322" s="251"/>
      <c r="L322" s="652">
        <v>0.27</v>
      </c>
      <c r="M322" s="251"/>
      <c r="N322" s="251">
        <v>0</v>
      </c>
      <c r="O322" s="251"/>
      <c r="P322" s="651" t="s">
        <v>2308</v>
      </c>
      <c r="Q322" s="251"/>
      <c r="R322" s="652">
        <v>18</v>
      </c>
    </row>
    <row r="323" spans="1:18">
      <c r="A323" s="272"/>
      <c r="B323" s="248"/>
      <c r="C323" s="249"/>
      <c r="D323" s="676" t="s">
        <v>1341</v>
      </c>
      <c r="E323" s="249"/>
      <c r="F323" s="673">
        <v>-7</v>
      </c>
      <c r="G323" s="249"/>
      <c r="H323" s="652">
        <v>3.7900000000000005</v>
      </c>
      <c r="I323" s="251"/>
      <c r="J323" s="652">
        <v>3.54</v>
      </c>
      <c r="K323" s="251"/>
      <c r="L323" s="652">
        <v>0.25</v>
      </c>
      <c r="M323" s="251"/>
      <c r="N323" s="251">
        <v>0</v>
      </c>
      <c r="O323" s="251"/>
      <c r="P323" s="651" t="s">
        <v>2308</v>
      </c>
      <c r="Q323" s="251"/>
      <c r="R323" s="652">
        <v>17.899999999999999</v>
      </c>
    </row>
    <row r="324" spans="1:18">
      <c r="A324" s="272"/>
      <c r="B324" s="248"/>
      <c r="C324" s="249"/>
      <c r="D324" s="676" t="s">
        <v>1342</v>
      </c>
      <c r="E324" s="249"/>
      <c r="F324" s="673">
        <v>-7</v>
      </c>
      <c r="G324" s="249"/>
      <c r="H324" s="652">
        <v>3.9099999999999997</v>
      </c>
      <c r="I324" s="251"/>
      <c r="J324" s="652">
        <v>3.65</v>
      </c>
      <c r="K324" s="251"/>
      <c r="L324" s="652">
        <v>0.26</v>
      </c>
      <c r="M324" s="251"/>
      <c r="N324" s="251">
        <v>0</v>
      </c>
      <c r="O324" s="251"/>
      <c r="P324" s="651" t="s">
        <v>2308</v>
      </c>
      <c r="Q324" s="251"/>
      <c r="R324" s="652">
        <v>18</v>
      </c>
    </row>
    <row r="325" spans="1:18">
      <c r="A325" s="272"/>
      <c r="B325" s="248"/>
      <c r="C325" s="249"/>
      <c r="D325" s="678" t="s">
        <v>2304</v>
      </c>
      <c r="E325" s="249"/>
      <c r="F325" s="673">
        <v>-12</v>
      </c>
      <c r="G325" s="249"/>
      <c r="H325" s="652">
        <v>2.96</v>
      </c>
      <c r="I325" s="251"/>
      <c r="J325" s="652">
        <v>2.64</v>
      </c>
      <c r="K325" s="251"/>
      <c r="L325" s="652">
        <v>0.32</v>
      </c>
      <c r="M325" s="251"/>
      <c r="N325" s="251">
        <v>0</v>
      </c>
      <c r="O325" s="251"/>
      <c r="P325" s="651" t="s">
        <v>2308</v>
      </c>
      <c r="Q325" s="251"/>
      <c r="R325" s="652">
        <v>37.299999999999997</v>
      </c>
    </row>
    <row r="326" spans="1:18">
      <c r="A326" s="272"/>
      <c r="B326" s="248"/>
      <c r="C326" s="249"/>
      <c r="D326" s="249"/>
      <c r="E326" s="249"/>
      <c r="F326" s="250"/>
      <c r="G326" s="249"/>
      <c r="H326" s="251"/>
      <c r="I326" s="251"/>
      <c r="J326" s="251"/>
      <c r="K326" s="251"/>
      <c r="L326" s="251"/>
      <c r="M326" s="251"/>
      <c r="N326" s="251"/>
      <c r="O326" s="251"/>
      <c r="P326" s="251"/>
      <c r="Q326" s="251"/>
      <c r="R326" s="251"/>
    </row>
    <row r="327" spans="1:18">
      <c r="A327" s="272">
        <v>345</v>
      </c>
      <c r="B327" s="248"/>
      <c r="C327" s="249"/>
      <c r="D327" s="254" t="s">
        <v>1364</v>
      </c>
      <c r="E327" s="249"/>
      <c r="F327" s="278" t="s">
        <v>2690</v>
      </c>
      <c r="G327" s="249"/>
      <c r="H327" s="251">
        <v>3.96</v>
      </c>
      <c r="I327" s="251"/>
      <c r="J327" s="251"/>
      <c r="K327" s="251"/>
      <c r="L327" s="251"/>
      <c r="M327" s="251"/>
      <c r="N327" s="251"/>
      <c r="O327" s="251"/>
      <c r="P327" s="251" t="s">
        <v>2308</v>
      </c>
      <c r="Q327" s="251"/>
      <c r="R327" s="251">
        <v>20.399999999999999</v>
      </c>
    </row>
    <row r="328" spans="1:18">
      <c r="A328" s="272"/>
      <c r="B328" s="248"/>
      <c r="C328" s="249"/>
      <c r="D328" s="249"/>
      <c r="E328" s="249"/>
      <c r="F328" s="250"/>
      <c r="G328" s="249"/>
      <c r="H328" s="251"/>
      <c r="I328" s="251"/>
      <c r="J328" s="251"/>
      <c r="K328" s="251"/>
      <c r="L328" s="251"/>
      <c r="M328" s="251"/>
      <c r="N328" s="251"/>
      <c r="O328" s="251"/>
      <c r="P328" s="251"/>
      <c r="Q328" s="251"/>
      <c r="R328" s="251"/>
    </row>
    <row r="329" spans="1:18">
      <c r="A329" s="272"/>
      <c r="B329" s="248">
        <v>346</v>
      </c>
      <c r="C329" s="249"/>
      <c r="D329" s="249" t="s">
        <v>1365</v>
      </c>
      <c r="E329" s="249"/>
      <c r="F329" s="250"/>
      <c r="G329" s="249"/>
      <c r="H329" s="251"/>
      <c r="I329" s="251"/>
      <c r="J329" s="251"/>
      <c r="K329" s="251"/>
      <c r="L329" s="251"/>
      <c r="M329" s="251"/>
      <c r="N329" s="251"/>
      <c r="O329" s="251"/>
      <c r="P329" s="251"/>
      <c r="Q329" s="251"/>
      <c r="R329" s="251"/>
    </row>
    <row r="330" spans="1:18">
      <c r="A330" s="272"/>
      <c r="B330" s="248"/>
      <c r="C330" s="249"/>
      <c r="D330" s="676" t="s">
        <v>1349</v>
      </c>
      <c r="E330" s="249"/>
      <c r="F330" s="673">
        <v>-7</v>
      </c>
      <c r="G330" s="249"/>
      <c r="H330" s="652">
        <v>3.26</v>
      </c>
      <c r="I330" s="251"/>
      <c r="J330" s="652">
        <v>3.05</v>
      </c>
      <c r="K330" s="251"/>
      <c r="L330" s="652">
        <v>0.21</v>
      </c>
      <c r="M330" s="251"/>
      <c r="N330" s="251">
        <v>0</v>
      </c>
      <c r="O330" s="251"/>
      <c r="P330" s="651" t="s">
        <v>2309</v>
      </c>
      <c r="Q330" s="251"/>
      <c r="R330" s="652">
        <v>13.8</v>
      </c>
    </row>
    <row r="331" spans="1:18">
      <c r="A331" s="272"/>
      <c r="B331" s="248"/>
      <c r="C331" s="249"/>
      <c r="D331" s="676" t="s">
        <v>1350</v>
      </c>
      <c r="E331" s="249"/>
      <c r="F331" s="673">
        <v>-7</v>
      </c>
      <c r="G331" s="249"/>
      <c r="H331" s="652">
        <v>5.2200000000000006</v>
      </c>
      <c r="I331" s="251"/>
      <c r="J331" s="652">
        <v>4.88</v>
      </c>
      <c r="K331" s="251"/>
      <c r="L331" s="652">
        <v>0.33999999999999997</v>
      </c>
      <c r="M331" s="251"/>
      <c r="N331" s="251">
        <v>0</v>
      </c>
      <c r="O331" s="251"/>
      <c r="P331" s="651" t="s">
        <v>2309</v>
      </c>
      <c r="Q331" s="251"/>
      <c r="R331" s="652">
        <v>10</v>
      </c>
    </row>
    <row r="332" spans="1:18">
      <c r="A332" s="272"/>
      <c r="B332" s="248"/>
      <c r="C332" s="249"/>
      <c r="D332" s="676" t="s">
        <v>1344</v>
      </c>
      <c r="E332" s="249"/>
      <c r="F332" s="673">
        <v>-7</v>
      </c>
      <c r="G332" s="249"/>
      <c r="H332" s="652">
        <v>4.01</v>
      </c>
      <c r="I332" s="251"/>
      <c r="J332" s="652">
        <v>3.75</v>
      </c>
      <c r="K332" s="251"/>
      <c r="L332" s="652">
        <v>0.26</v>
      </c>
      <c r="M332" s="251"/>
      <c r="N332" s="251">
        <v>0</v>
      </c>
      <c r="O332" s="251"/>
      <c r="P332" s="651" t="s">
        <v>2309</v>
      </c>
      <c r="Q332" s="251"/>
      <c r="R332" s="652">
        <v>14.2</v>
      </c>
    </row>
    <row r="333" spans="1:18">
      <c r="A333" s="272"/>
      <c r="B333" s="248"/>
      <c r="C333" s="249"/>
      <c r="D333" s="676" t="s">
        <v>1345</v>
      </c>
      <c r="E333" s="249"/>
      <c r="F333" s="673">
        <v>-7</v>
      </c>
      <c r="G333" s="249"/>
      <c r="H333" s="652">
        <v>6.22</v>
      </c>
      <c r="I333" s="251"/>
      <c r="J333" s="652">
        <v>5.81</v>
      </c>
      <c r="K333" s="251"/>
      <c r="L333" s="652">
        <v>0.41000000000000003</v>
      </c>
      <c r="M333" s="251"/>
      <c r="N333" s="251">
        <v>0</v>
      </c>
      <c r="O333" s="251"/>
      <c r="P333" s="651" t="s">
        <v>2309</v>
      </c>
      <c r="Q333" s="251"/>
      <c r="R333" s="652">
        <v>13</v>
      </c>
    </row>
    <row r="334" spans="1:18">
      <c r="A334" s="272"/>
      <c r="B334" s="248"/>
      <c r="C334" s="249"/>
      <c r="D334" s="676" t="s">
        <v>1346</v>
      </c>
      <c r="E334" s="249"/>
      <c r="F334" s="673">
        <v>-7</v>
      </c>
      <c r="G334" s="249"/>
      <c r="H334" s="652">
        <v>6.2399999999999993</v>
      </c>
      <c r="I334" s="251"/>
      <c r="J334" s="652">
        <v>5.83</v>
      </c>
      <c r="K334" s="251"/>
      <c r="L334" s="652">
        <v>0.41000000000000003</v>
      </c>
      <c r="M334" s="251"/>
      <c r="N334" s="251">
        <v>0</v>
      </c>
      <c r="O334" s="251"/>
      <c r="P334" s="651" t="s">
        <v>2309</v>
      </c>
      <c r="Q334" s="251"/>
      <c r="R334" s="652">
        <v>13</v>
      </c>
    </row>
    <row r="335" spans="1:18">
      <c r="A335" s="272"/>
      <c r="B335" s="248"/>
      <c r="C335" s="249"/>
      <c r="D335" s="676" t="s">
        <v>1347</v>
      </c>
      <c r="E335" s="249"/>
      <c r="F335" s="673">
        <v>-7</v>
      </c>
      <c r="G335" s="249"/>
      <c r="H335" s="652">
        <v>4.9799999999999995</v>
      </c>
      <c r="I335" s="251"/>
      <c r="J335" s="652">
        <v>4.6500000000000004</v>
      </c>
      <c r="K335" s="251"/>
      <c r="L335" s="652">
        <v>0.33</v>
      </c>
      <c r="M335" s="251"/>
      <c r="N335" s="251">
        <v>0</v>
      </c>
      <c r="O335" s="251"/>
      <c r="P335" s="651" t="s">
        <v>2309</v>
      </c>
      <c r="Q335" s="251"/>
      <c r="R335" s="652">
        <v>9</v>
      </c>
    </row>
    <row r="336" spans="1:18">
      <c r="A336" s="272"/>
      <c r="B336" s="248"/>
      <c r="C336" s="249"/>
      <c r="D336" s="676" t="s">
        <v>1348</v>
      </c>
      <c r="E336" s="249"/>
      <c r="F336" s="673">
        <v>-7</v>
      </c>
      <c r="G336" s="249"/>
      <c r="H336" s="652">
        <v>3.3099999999999996</v>
      </c>
      <c r="I336" s="251"/>
      <c r="J336" s="652">
        <v>3.09</v>
      </c>
      <c r="K336" s="251"/>
      <c r="L336" s="652">
        <v>0.22</v>
      </c>
      <c r="M336" s="251"/>
      <c r="N336" s="251">
        <v>0</v>
      </c>
      <c r="O336" s="251"/>
      <c r="P336" s="651" t="s">
        <v>2309</v>
      </c>
      <c r="Q336" s="251"/>
      <c r="R336" s="652">
        <v>13.9</v>
      </c>
    </row>
    <row r="337" spans="1:18">
      <c r="A337" s="272"/>
      <c r="B337" s="248"/>
      <c r="C337" s="249"/>
      <c r="D337" s="677" t="s">
        <v>2688</v>
      </c>
      <c r="E337" s="249"/>
      <c r="F337" s="673">
        <v>0</v>
      </c>
      <c r="G337" s="249"/>
      <c r="H337" s="652">
        <v>4.25</v>
      </c>
      <c r="I337" s="251"/>
      <c r="J337" s="652">
        <v>4.25</v>
      </c>
      <c r="K337" s="251"/>
      <c r="L337" s="652">
        <v>0</v>
      </c>
      <c r="M337" s="251"/>
      <c r="N337" s="251">
        <v>0</v>
      </c>
      <c r="O337" s="251"/>
      <c r="P337" s="651" t="s">
        <v>2693</v>
      </c>
      <c r="Q337" s="251"/>
      <c r="R337" s="652">
        <v>32</v>
      </c>
    </row>
    <row r="338" spans="1:18">
      <c r="A338" s="274"/>
      <c r="B338" s="255"/>
      <c r="C338" s="249"/>
      <c r="D338" s="676" t="s">
        <v>1351</v>
      </c>
      <c r="E338" s="249"/>
      <c r="F338" s="673">
        <v>-10</v>
      </c>
      <c r="G338" s="249"/>
      <c r="H338" s="652">
        <v>17.75</v>
      </c>
      <c r="I338" s="251"/>
      <c r="J338" s="652">
        <v>16.14</v>
      </c>
      <c r="K338" s="251"/>
      <c r="L338" s="652">
        <v>1.6099999999999999</v>
      </c>
      <c r="M338" s="251"/>
      <c r="N338" s="251">
        <v>0</v>
      </c>
      <c r="O338" s="251"/>
      <c r="P338" s="651" t="s">
        <v>2309</v>
      </c>
      <c r="Q338" s="251"/>
      <c r="R338" s="652">
        <v>4.3</v>
      </c>
    </row>
    <row r="339" spans="1:18">
      <c r="A339" s="272"/>
      <c r="B339" s="248"/>
      <c r="C339" s="249"/>
      <c r="D339" s="676" t="s">
        <v>1352</v>
      </c>
      <c r="E339" s="249"/>
      <c r="F339" s="673">
        <v>-6</v>
      </c>
      <c r="G339" s="249"/>
      <c r="H339" s="652">
        <v>3.93</v>
      </c>
      <c r="I339" s="251"/>
      <c r="J339" s="652">
        <v>3.71</v>
      </c>
      <c r="K339" s="251"/>
      <c r="L339" s="652">
        <v>0.22</v>
      </c>
      <c r="M339" s="251"/>
      <c r="N339" s="251">
        <v>0</v>
      </c>
      <c r="O339" s="251"/>
      <c r="P339" s="651" t="s">
        <v>2309</v>
      </c>
      <c r="Q339" s="251"/>
      <c r="R339" s="652">
        <v>14.2</v>
      </c>
    </row>
    <row r="340" spans="1:18">
      <c r="A340" s="272"/>
      <c r="B340" s="248"/>
      <c r="C340" s="249"/>
      <c r="D340" s="676" t="s">
        <v>1343</v>
      </c>
      <c r="E340" s="249"/>
      <c r="F340" s="673">
        <v>-7</v>
      </c>
      <c r="G340" s="249"/>
      <c r="H340" s="652">
        <v>4.6100000000000003</v>
      </c>
      <c r="I340" s="251"/>
      <c r="J340" s="652">
        <v>4.3099999999999996</v>
      </c>
      <c r="K340" s="251"/>
      <c r="L340" s="652">
        <v>0.3</v>
      </c>
      <c r="M340" s="251"/>
      <c r="N340" s="251">
        <v>0</v>
      </c>
      <c r="O340" s="251"/>
      <c r="P340" s="651" t="s">
        <v>2309</v>
      </c>
      <c r="Q340" s="251"/>
      <c r="R340" s="652">
        <v>17.399999999999999</v>
      </c>
    </row>
    <row r="341" spans="1:18">
      <c r="A341" s="272"/>
      <c r="B341" s="248"/>
      <c r="C341" s="249"/>
      <c r="D341" s="676" t="s">
        <v>1338</v>
      </c>
      <c r="E341" s="249"/>
      <c r="F341" s="673">
        <v>-7</v>
      </c>
      <c r="G341" s="249"/>
      <c r="H341" s="652">
        <v>4.04</v>
      </c>
      <c r="I341" s="251"/>
      <c r="J341" s="652">
        <v>3.7800000000000002</v>
      </c>
      <c r="K341" s="251"/>
      <c r="L341" s="652">
        <v>0.26</v>
      </c>
      <c r="M341" s="251"/>
      <c r="N341" s="251">
        <v>0</v>
      </c>
      <c r="O341" s="251"/>
      <c r="P341" s="651" t="s">
        <v>2309</v>
      </c>
      <c r="Q341" s="251"/>
      <c r="R341" s="652">
        <v>15.5</v>
      </c>
    </row>
    <row r="342" spans="1:18">
      <c r="A342" s="272"/>
      <c r="B342" s="248"/>
      <c r="C342" s="249"/>
      <c r="D342" s="676" t="s">
        <v>1340</v>
      </c>
      <c r="E342" s="249"/>
      <c r="F342" s="673">
        <v>-7</v>
      </c>
      <c r="G342" s="249"/>
      <c r="H342" s="652">
        <v>3.8900000000000006</v>
      </c>
      <c r="I342" s="251"/>
      <c r="J342" s="652">
        <v>3.64</v>
      </c>
      <c r="K342" s="251"/>
      <c r="L342" s="652">
        <v>0.25</v>
      </c>
      <c r="M342" s="251"/>
      <c r="N342" s="251">
        <v>0</v>
      </c>
      <c r="O342" s="251"/>
      <c r="P342" s="651" t="s">
        <v>2309</v>
      </c>
      <c r="Q342" s="251"/>
      <c r="R342" s="652">
        <v>16.899999999999999</v>
      </c>
    </row>
    <row r="343" spans="1:18">
      <c r="A343" s="272"/>
      <c r="B343" s="248"/>
      <c r="C343" s="249"/>
      <c r="D343" s="676" t="s">
        <v>1341</v>
      </c>
      <c r="E343" s="249"/>
      <c r="F343" s="673">
        <v>-7</v>
      </c>
      <c r="G343" s="249"/>
      <c r="H343" s="652">
        <v>3.8900000000000006</v>
      </c>
      <c r="I343" s="251"/>
      <c r="J343" s="652">
        <v>3.64</v>
      </c>
      <c r="K343" s="251"/>
      <c r="L343" s="652">
        <v>0.25</v>
      </c>
      <c r="M343" s="251"/>
      <c r="N343" s="251">
        <v>0</v>
      </c>
      <c r="O343" s="251"/>
      <c r="P343" s="651" t="s">
        <v>2309</v>
      </c>
      <c r="Q343" s="251"/>
      <c r="R343" s="652">
        <v>16.899999999999999</v>
      </c>
    </row>
    <row r="344" spans="1:18">
      <c r="A344" s="272"/>
      <c r="B344" s="248"/>
      <c r="C344" s="249"/>
      <c r="D344" s="676" t="s">
        <v>1342</v>
      </c>
      <c r="E344" s="249"/>
      <c r="F344" s="673">
        <v>-7</v>
      </c>
      <c r="G344" s="249"/>
      <c r="H344" s="652">
        <v>3.9099999999999997</v>
      </c>
      <c r="I344" s="251"/>
      <c r="J344" s="652">
        <v>3.65</v>
      </c>
      <c r="K344" s="251"/>
      <c r="L344" s="652">
        <v>0.26</v>
      </c>
      <c r="M344" s="251"/>
      <c r="N344" s="251">
        <v>0</v>
      </c>
      <c r="O344" s="251"/>
      <c r="P344" s="651" t="s">
        <v>2309</v>
      </c>
      <c r="Q344" s="251"/>
      <c r="R344" s="652">
        <v>16.899999999999999</v>
      </c>
    </row>
    <row r="345" spans="1:18">
      <c r="A345" s="272"/>
      <c r="B345" s="248"/>
      <c r="C345" s="249"/>
      <c r="D345" s="678" t="s">
        <v>2304</v>
      </c>
      <c r="E345" s="249"/>
      <c r="F345" s="673">
        <v>-12</v>
      </c>
      <c r="G345" s="249"/>
      <c r="H345" s="652">
        <v>3.32</v>
      </c>
      <c r="I345" s="251"/>
      <c r="J345" s="652">
        <v>2.96</v>
      </c>
      <c r="K345" s="251"/>
      <c r="L345" s="652">
        <v>0.36</v>
      </c>
      <c r="M345" s="251"/>
      <c r="N345" s="251">
        <v>0</v>
      </c>
      <c r="O345" s="251"/>
      <c r="P345" s="651" t="s">
        <v>2309</v>
      </c>
      <c r="Q345" s="251"/>
      <c r="R345" s="652">
        <v>33.6</v>
      </c>
    </row>
    <row r="346" spans="1:18">
      <c r="A346" s="272"/>
      <c r="B346" s="248"/>
      <c r="C346" s="249"/>
      <c r="D346" s="249"/>
      <c r="E346" s="249"/>
      <c r="F346" s="250"/>
      <c r="G346" s="249"/>
      <c r="H346" s="251"/>
      <c r="I346" s="251"/>
      <c r="J346" s="251"/>
      <c r="K346" s="251"/>
      <c r="L346" s="251"/>
      <c r="M346" s="251"/>
      <c r="N346" s="251"/>
      <c r="O346" s="251"/>
      <c r="P346" s="251"/>
      <c r="Q346" s="251"/>
      <c r="R346" s="251"/>
    </row>
    <row r="347" spans="1:18">
      <c r="A347" s="272">
        <v>346</v>
      </c>
      <c r="B347" s="248"/>
      <c r="C347" s="249"/>
      <c r="D347" s="254" t="s">
        <v>1366</v>
      </c>
      <c r="E347" s="249"/>
      <c r="F347" s="278" t="s">
        <v>2332</v>
      </c>
      <c r="G347" s="249"/>
      <c r="H347" s="251">
        <v>4.3600000000000003</v>
      </c>
      <c r="I347" s="251"/>
      <c r="J347" s="251"/>
      <c r="K347" s="251"/>
      <c r="L347" s="251"/>
      <c r="M347" s="251"/>
      <c r="N347" s="251"/>
      <c r="O347" s="251"/>
      <c r="P347" s="251" t="s">
        <v>2309</v>
      </c>
      <c r="Q347" s="251"/>
      <c r="R347" s="251">
        <v>12.6</v>
      </c>
    </row>
    <row r="348" spans="1:18">
      <c r="A348" s="272"/>
      <c r="B348" s="248"/>
      <c r="C348" s="249"/>
      <c r="D348" s="249"/>
      <c r="E348" s="249"/>
      <c r="F348" s="250"/>
      <c r="G348" s="249"/>
      <c r="H348" s="251"/>
      <c r="I348" s="251"/>
      <c r="J348" s="251"/>
      <c r="K348" s="251"/>
      <c r="L348" s="251"/>
      <c r="M348" s="251"/>
      <c r="N348" s="251"/>
      <c r="O348" s="251"/>
      <c r="P348" s="251"/>
      <c r="Q348" s="251"/>
      <c r="R348" s="251"/>
    </row>
    <row r="349" spans="1:18">
      <c r="A349" s="272"/>
      <c r="B349" s="248"/>
      <c r="C349" s="249"/>
      <c r="D349" s="270" t="s">
        <v>1367</v>
      </c>
      <c r="E349" s="249"/>
      <c r="F349" s="250"/>
      <c r="G349" s="243"/>
      <c r="H349" s="251">
        <v>4</v>
      </c>
      <c r="I349" s="251"/>
      <c r="J349" s="251"/>
      <c r="K349" s="251"/>
      <c r="L349" s="251"/>
      <c r="M349" s="251"/>
      <c r="N349" s="251"/>
      <c r="O349" s="251"/>
      <c r="P349" s="251"/>
      <c r="Q349" s="251"/>
      <c r="R349" s="251"/>
    </row>
    <row r="350" spans="1:18">
      <c r="A350" s="272"/>
      <c r="B350" s="248"/>
      <c r="C350" s="249"/>
      <c r="D350" s="270"/>
      <c r="E350" s="249"/>
      <c r="F350" s="250"/>
      <c r="G350" s="243"/>
      <c r="H350" s="251"/>
      <c r="I350" s="251"/>
      <c r="J350" s="251"/>
      <c r="K350" s="251"/>
      <c r="L350" s="251"/>
      <c r="M350" s="251"/>
      <c r="N350" s="251"/>
      <c r="O350" s="251"/>
      <c r="P350" s="251"/>
      <c r="Q350" s="251"/>
      <c r="R350" s="251"/>
    </row>
    <row r="351" spans="1:18">
      <c r="A351" s="272"/>
      <c r="B351" s="248"/>
      <c r="C351" s="249"/>
      <c r="D351" s="249"/>
      <c r="E351" s="249"/>
      <c r="F351" s="250"/>
      <c r="G351" s="249"/>
      <c r="H351" s="251"/>
      <c r="I351" s="251"/>
      <c r="J351" s="251"/>
      <c r="K351" s="251"/>
      <c r="L351" s="251"/>
      <c r="M351" s="251"/>
      <c r="N351" s="251"/>
      <c r="O351" s="251"/>
      <c r="P351" s="251"/>
      <c r="Q351" s="251"/>
      <c r="R351" s="251"/>
    </row>
    <row r="352" spans="1:18">
      <c r="A352" s="272"/>
      <c r="B352" s="248"/>
      <c r="C352" s="249"/>
      <c r="D352" s="244" t="s">
        <v>1368</v>
      </c>
      <c r="E352" s="249"/>
      <c r="F352" s="250"/>
      <c r="G352" s="249"/>
      <c r="H352" s="251"/>
      <c r="I352" s="251"/>
      <c r="J352" s="251"/>
      <c r="K352" s="251"/>
      <c r="L352" s="251"/>
      <c r="M352" s="251"/>
      <c r="N352" s="251"/>
      <c r="O352" s="251"/>
      <c r="P352" s="251"/>
      <c r="Q352" s="251"/>
      <c r="R352" s="251"/>
    </row>
    <row r="353" spans="1:18">
      <c r="A353" s="272"/>
      <c r="B353" s="248"/>
      <c r="C353" s="249"/>
      <c r="D353" s="252"/>
      <c r="E353" s="249"/>
      <c r="F353" s="250"/>
      <c r="G353" s="249"/>
      <c r="H353" s="251"/>
      <c r="I353" s="251"/>
      <c r="J353" s="251"/>
      <c r="K353" s="251"/>
      <c r="L353" s="251"/>
      <c r="M353" s="251"/>
      <c r="N353" s="251"/>
      <c r="O353" s="251"/>
      <c r="P353" s="251"/>
      <c r="Q353" s="251"/>
      <c r="R353" s="251"/>
    </row>
    <row r="354" spans="1:18">
      <c r="A354" s="272">
        <v>350</v>
      </c>
      <c r="B354" s="248">
        <v>350.1</v>
      </c>
      <c r="C354" s="249"/>
      <c r="D354" s="249" t="s">
        <v>1369</v>
      </c>
      <c r="E354" s="249"/>
      <c r="F354" s="250">
        <v>0</v>
      </c>
      <c r="G354" s="249"/>
      <c r="H354" s="251">
        <v>0.86</v>
      </c>
      <c r="I354" s="251"/>
      <c r="J354" s="251">
        <v>0.86</v>
      </c>
      <c r="K354" s="251"/>
      <c r="L354" s="251">
        <v>0</v>
      </c>
      <c r="M354" s="251"/>
      <c r="N354" s="251">
        <v>0</v>
      </c>
      <c r="O354" s="251"/>
      <c r="P354" s="651" t="s">
        <v>2293</v>
      </c>
      <c r="Q354" s="251"/>
      <c r="R354" s="251">
        <v>48.9</v>
      </c>
    </row>
    <row r="355" spans="1:18">
      <c r="A355" s="272"/>
      <c r="B355" s="248">
        <v>352.1</v>
      </c>
      <c r="C355" s="249"/>
      <c r="D355" s="249" t="s">
        <v>1370</v>
      </c>
      <c r="E355" s="249"/>
      <c r="F355" s="250">
        <v>-25</v>
      </c>
      <c r="G355" s="249"/>
      <c r="H355" s="251">
        <v>1.66</v>
      </c>
      <c r="I355" s="251"/>
      <c r="J355" s="251">
        <v>1.3299999999999998</v>
      </c>
      <c r="K355" s="251"/>
      <c r="L355" s="251">
        <v>0.33</v>
      </c>
      <c r="M355" s="251"/>
      <c r="N355" s="251">
        <v>0</v>
      </c>
      <c r="O355" s="251"/>
      <c r="P355" s="651" t="s">
        <v>2293</v>
      </c>
      <c r="Q355" s="251"/>
      <c r="R355" s="251">
        <v>59.5</v>
      </c>
    </row>
    <row r="356" spans="1:18">
      <c r="A356" s="272"/>
      <c r="B356" s="248">
        <v>352.2</v>
      </c>
      <c r="C356" s="249"/>
      <c r="D356" s="249" t="s">
        <v>1371</v>
      </c>
      <c r="E356" s="249"/>
      <c r="F356" s="250">
        <v>-25</v>
      </c>
      <c r="G356" s="249"/>
      <c r="H356" s="251">
        <v>1.66</v>
      </c>
      <c r="I356" s="251"/>
      <c r="J356" s="251">
        <v>1.3299999999999998</v>
      </c>
      <c r="K356" s="251"/>
      <c r="L356" s="251">
        <v>0.33</v>
      </c>
      <c r="M356" s="251"/>
      <c r="N356" s="251">
        <v>0</v>
      </c>
      <c r="O356" s="251"/>
      <c r="P356" s="651" t="s">
        <v>1384</v>
      </c>
      <c r="Q356" s="251"/>
      <c r="R356" s="251">
        <v>47.9</v>
      </c>
    </row>
    <row r="357" spans="1:18">
      <c r="A357" s="272"/>
      <c r="B357" s="248">
        <v>353.1</v>
      </c>
      <c r="C357" s="249"/>
      <c r="D357" s="249" t="s">
        <v>1372</v>
      </c>
      <c r="E357" s="249"/>
      <c r="F357" s="250">
        <v>-10</v>
      </c>
      <c r="G357" s="249"/>
      <c r="H357" s="251">
        <v>1.9</v>
      </c>
      <c r="I357" s="251"/>
      <c r="J357" s="251">
        <v>1.6500000000000001</v>
      </c>
      <c r="K357" s="251"/>
      <c r="L357" s="251">
        <v>0.3</v>
      </c>
      <c r="M357" s="251"/>
      <c r="N357" s="251">
        <v>-0.05</v>
      </c>
      <c r="O357" s="251"/>
      <c r="P357" s="651" t="s">
        <v>1373</v>
      </c>
      <c r="Q357" s="251"/>
      <c r="R357" s="251">
        <v>46</v>
      </c>
    </row>
    <row r="358" spans="1:18">
      <c r="A358" s="272"/>
      <c r="B358" s="248">
        <v>353.2</v>
      </c>
      <c r="C358" s="249"/>
      <c r="D358" s="249" t="s">
        <v>1374</v>
      </c>
      <c r="E358" s="249"/>
      <c r="F358" s="250">
        <v>-10</v>
      </c>
      <c r="G358" s="249"/>
      <c r="H358" s="653">
        <v>0</v>
      </c>
      <c r="I358" s="251"/>
      <c r="J358" s="251">
        <v>0</v>
      </c>
      <c r="K358" s="251"/>
      <c r="L358" s="251">
        <v>0</v>
      </c>
      <c r="M358" s="251"/>
      <c r="N358" s="251">
        <v>0</v>
      </c>
      <c r="O358" s="251"/>
      <c r="P358" s="651" t="s">
        <v>2310</v>
      </c>
      <c r="Q358" s="251"/>
      <c r="R358" s="251">
        <v>0</v>
      </c>
    </row>
    <row r="359" spans="1:18">
      <c r="A359" s="272">
        <v>354</v>
      </c>
      <c r="B359" s="248"/>
      <c r="C359" s="249"/>
      <c r="D359" s="249" t="s">
        <v>1375</v>
      </c>
      <c r="E359" s="249"/>
      <c r="F359" s="250">
        <v>-25</v>
      </c>
      <c r="G359" s="249"/>
      <c r="H359" s="251">
        <v>1.6900000000000002</v>
      </c>
      <c r="I359" s="251"/>
      <c r="J359" s="251">
        <v>1.21</v>
      </c>
      <c r="K359" s="251"/>
      <c r="L359" s="251">
        <v>0.54</v>
      </c>
      <c r="M359" s="251"/>
      <c r="N359" s="251">
        <v>-0.06</v>
      </c>
      <c r="O359" s="251"/>
      <c r="P359" s="651" t="s">
        <v>1376</v>
      </c>
      <c r="Q359" s="251"/>
      <c r="R359" s="251">
        <v>44.8</v>
      </c>
    </row>
    <row r="360" spans="1:18">
      <c r="A360" s="272">
        <v>355</v>
      </c>
      <c r="B360" s="248"/>
      <c r="C360" s="249"/>
      <c r="D360" s="249" t="s">
        <v>1377</v>
      </c>
      <c r="E360" s="249"/>
      <c r="F360" s="250">
        <v>-55</v>
      </c>
      <c r="G360" s="249"/>
      <c r="H360" s="251">
        <v>2.93</v>
      </c>
      <c r="I360" s="251"/>
      <c r="J360" s="251">
        <v>1.68</v>
      </c>
      <c r="K360" s="251"/>
      <c r="L360" s="251">
        <v>1.4200000000000002</v>
      </c>
      <c r="M360" s="251"/>
      <c r="N360" s="251">
        <v>-0.16999999999999998</v>
      </c>
      <c r="O360" s="251"/>
      <c r="P360" s="651" t="s">
        <v>2311</v>
      </c>
      <c r="Q360" s="251"/>
      <c r="R360" s="251">
        <v>48.8</v>
      </c>
    </row>
    <row r="361" spans="1:18">
      <c r="A361" s="272">
        <v>356</v>
      </c>
      <c r="B361" s="248"/>
      <c r="C361" s="249"/>
      <c r="D361" s="249" t="s">
        <v>1378</v>
      </c>
      <c r="E361" s="249"/>
      <c r="F361" s="250">
        <v>-50</v>
      </c>
      <c r="G361" s="249"/>
      <c r="H361" s="251">
        <v>2.54</v>
      </c>
      <c r="I361" s="251"/>
      <c r="J361" s="251">
        <v>1.46</v>
      </c>
      <c r="K361" s="251"/>
      <c r="L361" s="251">
        <v>1.23</v>
      </c>
      <c r="M361" s="251"/>
      <c r="N361" s="251">
        <v>-0.15</v>
      </c>
      <c r="O361" s="251"/>
      <c r="P361" s="651" t="s">
        <v>2312</v>
      </c>
      <c r="Q361" s="251"/>
      <c r="R361" s="251">
        <v>43.8</v>
      </c>
    </row>
    <row r="362" spans="1:18">
      <c r="A362" s="272">
        <v>357</v>
      </c>
      <c r="B362" s="248"/>
      <c r="C362" s="249"/>
      <c r="D362" s="249" t="s">
        <v>1379</v>
      </c>
      <c r="E362" s="249"/>
      <c r="F362" s="250">
        <v>0</v>
      </c>
      <c r="G362" s="249"/>
      <c r="H362" s="251">
        <v>1.7000000000000002</v>
      </c>
      <c r="I362" s="251"/>
      <c r="J362" s="251">
        <v>1.7000000000000002</v>
      </c>
      <c r="K362" s="251"/>
      <c r="L362" s="251">
        <v>0</v>
      </c>
      <c r="M362" s="251"/>
      <c r="N362" s="251">
        <v>0</v>
      </c>
      <c r="O362" s="251"/>
      <c r="P362" s="651" t="s">
        <v>1391</v>
      </c>
      <c r="Q362" s="251"/>
      <c r="R362" s="251">
        <v>28.7</v>
      </c>
    </row>
    <row r="363" spans="1:18">
      <c r="A363" s="272">
        <v>358</v>
      </c>
      <c r="B363" s="248"/>
      <c r="C363" s="249"/>
      <c r="D363" s="253" t="s">
        <v>1380</v>
      </c>
      <c r="E363" s="249"/>
      <c r="F363" s="250">
        <v>0</v>
      </c>
      <c r="G363" s="249"/>
      <c r="H363" s="251">
        <v>0.74</v>
      </c>
      <c r="I363" s="251"/>
      <c r="J363" s="251">
        <v>0.74</v>
      </c>
      <c r="K363" s="251"/>
      <c r="L363" s="251">
        <v>0</v>
      </c>
      <c r="M363" s="251"/>
      <c r="N363" s="251">
        <v>0</v>
      </c>
      <c r="O363" s="251"/>
      <c r="P363" s="651" t="s">
        <v>2313</v>
      </c>
      <c r="Q363" s="251"/>
      <c r="R363" s="251">
        <v>23.6</v>
      </c>
    </row>
    <row r="364" spans="1:18">
      <c r="A364" s="272"/>
      <c r="B364" s="248"/>
      <c r="C364" s="249"/>
      <c r="D364" s="249"/>
      <c r="E364" s="249"/>
      <c r="F364" s="250"/>
      <c r="G364" s="249"/>
      <c r="H364" s="251"/>
      <c r="I364" s="251"/>
      <c r="J364" s="251"/>
      <c r="K364" s="251"/>
      <c r="L364" s="251"/>
      <c r="M364" s="251"/>
      <c r="N364" s="251"/>
      <c r="O364" s="251"/>
      <c r="P364" s="251"/>
      <c r="Q364" s="251"/>
      <c r="R364" s="251"/>
    </row>
    <row r="365" spans="1:18">
      <c r="A365" s="272"/>
      <c r="B365" s="248"/>
      <c r="C365" s="249"/>
      <c r="D365" s="247" t="s">
        <v>1381</v>
      </c>
      <c r="E365" s="249"/>
      <c r="F365" s="250"/>
      <c r="G365" s="243"/>
      <c r="H365" s="251">
        <v>2.25</v>
      </c>
      <c r="I365" s="251"/>
      <c r="J365" s="679"/>
      <c r="K365" s="251"/>
      <c r="L365" s="251"/>
      <c r="M365" s="251"/>
      <c r="N365" s="251"/>
      <c r="O365" s="251"/>
      <c r="P365" s="251"/>
      <c r="Q365" s="251"/>
      <c r="R365" s="251"/>
    </row>
    <row r="366" spans="1:18">
      <c r="A366" s="272"/>
      <c r="B366" s="248"/>
      <c r="C366" s="249"/>
      <c r="D366" s="247"/>
      <c r="E366" s="249"/>
      <c r="F366" s="250"/>
      <c r="G366" s="243"/>
      <c r="H366" s="251"/>
      <c r="I366" s="251"/>
      <c r="J366" s="251"/>
      <c r="K366" s="251"/>
      <c r="L366" s="251"/>
      <c r="M366" s="251"/>
      <c r="N366" s="251"/>
      <c r="O366" s="251"/>
      <c r="P366" s="251"/>
      <c r="Q366" s="251"/>
      <c r="R366" s="251"/>
    </row>
    <row r="367" spans="1:18">
      <c r="A367" s="680"/>
      <c r="B367" s="295">
        <v>352.1</v>
      </c>
      <c r="C367" s="294"/>
      <c r="D367" s="294" t="s">
        <v>1370</v>
      </c>
      <c r="E367" s="294"/>
      <c r="F367" s="250">
        <v>-25</v>
      </c>
      <c r="G367" s="294"/>
      <c r="H367" s="681">
        <v>1.66</v>
      </c>
      <c r="I367" s="681"/>
      <c r="J367" s="681">
        <v>1.3299999999999998</v>
      </c>
      <c r="K367" s="681"/>
      <c r="L367" s="681">
        <v>0.33</v>
      </c>
      <c r="M367" s="681"/>
      <c r="N367" s="681">
        <v>0</v>
      </c>
      <c r="O367" s="681"/>
      <c r="P367" s="681" t="s">
        <v>2293</v>
      </c>
      <c r="Q367" s="681"/>
      <c r="R367" s="681">
        <v>59.5</v>
      </c>
    </row>
    <row r="368" spans="1:18">
      <c r="A368" s="680"/>
      <c r="B368" s="295">
        <v>352.2</v>
      </c>
      <c r="C368" s="294"/>
      <c r="D368" s="294" t="s">
        <v>1371</v>
      </c>
      <c r="E368" s="294"/>
      <c r="F368" s="250">
        <v>-25</v>
      </c>
      <c r="G368" s="294"/>
      <c r="H368" s="682">
        <v>1.66</v>
      </c>
      <c r="I368" s="681"/>
      <c r="J368" s="681">
        <v>1.3299999999999998</v>
      </c>
      <c r="K368" s="681"/>
      <c r="L368" s="681">
        <v>0.33</v>
      </c>
      <c r="M368" s="681"/>
      <c r="N368" s="681">
        <v>0</v>
      </c>
      <c r="O368" s="681"/>
      <c r="P368" s="681" t="s">
        <v>1384</v>
      </c>
      <c r="Q368" s="681"/>
      <c r="R368" s="681">
        <v>47.9</v>
      </c>
    </row>
    <row r="369" spans="1:18">
      <c r="A369" s="272">
        <v>352</v>
      </c>
      <c r="B369" s="295"/>
      <c r="C369" s="294"/>
      <c r="D369" s="294"/>
      <c r="E369" s="294"/>
      <c r="F369" s="683">
        <v>-0.25</v>
      </c>
      <c r="G369" s="294"/>
      <c r="H369" s="681">
        <v>1.66</v>
      </c>
      <c r="I369" s="681"/>
      <c r="J369" s="684"/>
      <c r="K369" s="684"/>
      <c r="L369" s="684"/>
      <c r="M369" s="684"/>
      <c r="N369" s="684"/>
      <c r="O369" s="684"/>
      <c r="P369" s="685" t="s">
        <v>2694</v>
      </c>
      <c r="Q369" s="684"/>
      <c r="R369" s="685" t="s">
        <v>2341</v>
      </c>
    </row>
    <row r="370" spans="1:18">
      <c r="A370" s="272"/>
      <c r="B370" s="295"/>
      <c r="C370" s="294"/>
      <c r="D370" s="294"/>
      <c r="E370" s="294"/>
      <c r="F370" s="250"/>
      <c r="G370" s="294"/>
      <c r="H370" s="681"/>
      <c r="I370" s="681"/>
      <c r="J370" s="681"/>
      <c r="K370" s="681"/>
      <c r="L370" s="681"/>
      <c r="M370" s="681"/>
      <c r="N370" s="681"/>
      <c r="O370" s="681"/>
      <c r="P370" s="681"/>
      <c r="Q370" s="681"/>
      <c r="R370" s="681"/>
    </row>
    <row r="371" spans="1:18">
      <c r="A371" s="272"/>
      <c r="B371" s="295">
        <v>353.1</v>
      </c>
      <c r="C371" s="294"/>
      <c r="D371" s="294" t="s">
        <v>1372</v>
      </c>
      <c r="E371" s="294"/>
      <c r="F371" s="250">
        <v>-10</v>
      </c>
      <c r="G371" s="294"/>
      <c r="H371" s="681">
        <v>1.9</v>
      </c>
      <c r="I371" s="681"/>
      <c r="J371" s="681">
        <v>1.6500000000000001</v>
      </c>
      <c r="K371" s="681"/>
      <c r="L371" s="681">
        <v>0.3</v>
      </c>
      <c r="M371" s="681"/>
      <c r="N371" s="681">
        <v>-0.05</v>
      </c>
      <c r="O371" s="681"/>
      <c r="P371" s="681" t="s">
        <v>1373</v>
      </c>
      <c r="Q371" s="681"/>
      <c r="R371" s="681">
        <v>46</v>
      </c>
    </row>
    <row r="372" spans="1:18">
      <c r="A372" s="272"/>
      <c r="B372" s="295">
        <v>353.2</v>
      </c>
      <c r="C372" s="294"/>
      <c r="D372" s="294" t="s">
        <v>1374</v>
      </c>
      <c r="E372" s="294"/>
      <c r="F372" s="250">
        <v>-10</v>
      </c>
      <c r="G372" s="294"/>
      <c r="H372" s="681">
        <v>0</v>
      </c>
      <c r="I372" s="681"/>
      <c r="J372" s="681">
        <v>0</v>
      </c>
      <c r="K372" s="681"/>
      <c r="L372" s="681">
        <v>0</v>
      </c>
      <c r="M372" s="681"/>
      <c r="N372" s="681">
        <v>0</v>
      </c>
      <c r="O372" s="681"/>
      <c r="P372" s="681" t="s">
        <v>2310</v>
      </c>
      <c r="Q372" s="681"/>
      <c r="R372" s="681">
        <v>0</v>
      </c>
    </row>
    <row r="373" spans="1:18">
      <c r="A373" s="272">
        <v>353</v>
      </c>
      <c r="B373" s="295"/>
      <c r="C373" s="294"/>
      <c r="D373" s="298"/>
      <c r="E373" s="294"/>
      <c r="F373" s="683">
        <v>-0.1</v>
      </c>
      <c r="G373" s="299"/>
      <c r="H373" s="684">
        <v>1.67</v>
      </c>
      <c r="I373" s="681"/>
      <c r="J373" s="684"/>
      <c r="K373" s="684"/>
      <c r="L373" s="684"/>
      <c r="M373" s="684"/>
      <c r="N373" s="684"/>
      <c r="O373" s="684"/>
      <c r="P373" s="685" t="s">
        <v>2695</v>
      </c>
      <c r="Q373" s="684"/>
      <c r="R373" s="684">
        <v>46</v>
      </c>
    </row>
    <row r="374" spans="1:18">
      <c r="A374" s="272"/>
      <c r="B374" s="295"/>
      <c r="C374" s="294"/>
      <c r="D374" s="294"/>
      <c r="E374" s="294"/>
      <c r="F374" s="296"/>
      <c r="G374" s="294"/>
      <c r="H374" s="681"/>
      <c r="I374" s="681"/>
      <c r="J374" s="681"/>
      <c r="K374" s="681"/>
      <c r="L374" s="681"/>
      <c r="M374" s="681"/>
      <c r="N374" s="681"/>
      <c r="O374" s="681"/>
      <c r="P374" s="681"/>
      <c r="Q374" s="681"/>
      <c r="R374" s="681"/>
    </row>
    <row r="375" spans="1:18">
      <c r="A375" s="272"/>
      <c r="B375" s="248"/>
      <c r="C375" s="249"/>
      <c r="D375" s="249"/>
      <c r="E375" s="249"/>
      <c r="F375" s="250"/>
      <c r="G375" s="249"/>
      <c r="H375" s="251"/>
      <c r="I375" s="251"/>
      <c r="J375" s="251"/>
      <c r="K375" s="251"/>
      <c r="L375" s="251"/>
      <c r="M375" s="251"/>
      <c r="N375" s="251"/>
      <c r="O375" s="251"/>
      <c r="P375" s="251"/>
      <c r="Q375" s="251"/>
      <c r="R375" s="251"/>
    </row>
    <row r="376" spans="1:18">
      <c r="A376" s="272"/>
      <c r="B376" s="248"/>
      <c r="C376" s="239"/>
      <c r="D376" s="244" t="s">
        <v>1382</v>
      </c>
      <c r="E376" s="239"/>
      <c r="F376" s="250"/>
      <c r="G376" s="239"/>
      <c r="H376" s="251"/>
      <c r="I376" s="251"/>
      <c r="J376" s="251"/>
      <c r="K376" s="251"/>
      <c r="L376" s="251"/>
      <c r="M376" s="251"/>
      <c r="N376" s="251"/>
      <c r="O376" s="251"/>
      <c r="P376" s="251"/>
      <c r="Q376" s="251"/>
      <c r="R376" s="251"/>
    </row>
    <row r="377" spans="1:18">
      <c r="A377" s="272"/>
      <c r="B377" s="248"/>
      <c r="C377" s="249"/>
      <c r="D377" s="252"/>
      <c r="E377" s="249"/>
      <c r="F377" s="250"/>
      <c r="G377" s="249"/>
      <c r="H377" s="251"/>
      <c r="I377" s="251"/>
      <c r="J377" s="251"/>
      <c r="K377" s="251"/>
      <c r="L377" s="251"/>
      <c r="M377" s="251"/>
      <c r="N377" s="251"/>
      <c r="O377" s="251"/>
      <c r="P377" s="251"/>
      <c r="Q377" s="251"/>
      <c r="R377" s="681"/>
    </row>
    <row r="378" spans="1:18">
      <c r="A378" s="272">
        <v>360</v>
      </c>
      <c r="B378" s="248">
        <v>360.1</v>
      </c>
      <c r="C378" s="249"/>
      <c r="D378" s="686" t="s">
        <v>1383</v>
      </c>
      <c r="E378" s="249"/>
      <c r="F378" s="673">
        <v>0</v>
      </c>
      <c r="G378" s="249"/>
      <c r="H378" s="652">
        <v>0.64</v>
      </c>
      <c r="I378" s="251"/>
      <c r="J378" s="251">
        <v>0.64</v>
      </c>
      <c r="K378" s="251"/>
      <c r="L378" s="251">
        <v>0</v>
      </c>
      <c r="M378" s="251"/>
      <c r="N378" s="251">
        <v>0</v>
      </c>
      <c r="O378" s="251"/>
      <c r="P378" s="251" t="s">
        <v>1376</v>
      </c>
      <c r="Q378" s="251"/>
      <c r="R378" s="681">
        <v>51.4</v>
      </c>
    </row>
    <row r="379" spans="1:18">
      <c r="A379" s="272">
        <v>361</v>
      </c>
      <c r="B379" s="248"/>
      <c r="C379" s="249"/>
      <c r="D379" s="687" t="s">
        <v>1385</v>
      </c>
      <c r="E379" s="249"/>
      <c r="F379" s="673">
        <v>-25</v>
      </c>
      <c r="G379" s="249"/>
      <c r="H379" s="652">
        <v>2.15</v>
      </c>
      <c r="I379" s="251"/>
      <c r="J379" s="251">
        <v>1.72</v>
      </c>
      <c r="K379" s="251"/>
      <c r="L379" s="251">
        <v>0.43</v>
      </c>
      <c r="M379" s="251"/>
      <c r="N379" s="251">
        <v>0</v>
      </c>
      <c r="O379" s="251"/>
      <c r="P379" s="251" t="s">
        <v>1302</v>
      </c>
      <c r="Q379" s="251"/>
      <c r="R379" s="681">
        <v>48.4</v>
      </c>
    </row>
    <row r="380" spans="1:18">
      <c r="A380" s="272">
        <v>362</v>
      </c>
      <c r="B380" s="248"/>
      <c r="C380" s="249"/>
      <c r="D380" s="688" t="s">
        <v>1386</v>
      </c>
      <c r="E380" s="249"/>
      <c r="F380" s="673">
        <v>-20</v>
      </c>
      <c r="G380" s="249"/>
      <c r="H380" s="652">
        <v>2.29</v>
      </c>
      <c r="I380" s="251"/>
      <c r="J380" s="251">
        <v>1.91</v>
      </c>
      <c r="K380" s="251"/>
      <c r="L380" s="251">
        <v>0.45999999999999996</v>
      </c>
      <c r="M380" s="251"/>
      <c r="N380" s="251">
        <v>-0.08</v>
      </c>
      <c r="O380" s="251"/>
      <c r="P380" s="251" t="s">
        <v>1387</v>
      </c>
      <c r="Q380" s="251"/>
      <c r="R380" s="681">
        <v>40.299999999999997</v>
      </c>
    </row>
    <row r="381" spans="1:18">
      <c r="A381" s="272">
        <v>364</v>
      </c>
      <c r="B381" s="248"/>
      <c r="C381" s="249"/>
      <c r="D381" s="688" t="s">
        <v>1388</v>
      </c>
      <c r="E381" s="249"/>
      <c r="F381" s="673">
        <v>-50</v>
      </c>
      <c r="G381" s="249"/>
      <c r="H381" s="652">
        <v>2.67</v>
      </c>
      <c r="I381" s="251"/>
      <c r="J381" s="251">
        <v>1.78</v>
      </c>
      <c r="K381" s="251"/>
      <c r="L381" s="251">
        <v>1.0699999999999998</v>
      </c>
      <c r="M381" s="251"/>
      <c r="N381" s="251">
        <v>-0.18</v>
      </c>
      <c r="O381" s="251"/>
      <c r="P381" s="251" t="s">
        <v>2314</v>
      </c>
      <c r="Q381" s="251"/>
      <c r="R381" s="681">
        <v>40.1</v>
      </c>
    </row>
    <row r="382" spans="1:18">
      <c r="A382" s="272">
        <v>365</v>
      </c>
      <c r="B382" s="248"/>
      <c r="C382" s="249"/>
      <c r="D382" s="687" t="s">
        <v>1389</v>
      </c>
      <c r="E382" s="249"/>
      <c r="F382" s="673">
        <v>-30</v>
      </c>
      <c r="G382" s="249"/>
      <c r="H382" s="652">
        <v>2.4699999999999998</v>
      </c>
      <c r="I382" s="251"/>
      <c r="J382" s="251">
        <v>1.9</v>
      </c>
      <c r="K382" s="251"/>
      <c r="L382" s="251">
        <v>0.70000000000000007</v>
      </c>
      <c r="M382" s="251"/>
      <c r="N382" s="251">
        <v>-0.13</v>
      </c>
      <c r="O382" s="251"/>
      <c r="P382" s="251" t="s">
        <v>2315</v>
      </c>
      <c r="Q382" s="251"/>
      <c r="R382" s="681">
        <v>38.299999999999997</v>
      </c>
    </row>
    <row r="383" spans="1:18">
      <c r="A383" s="272">
        <v>366</v>
      </c>
      <c r="B383" s="248"/>
      <c r="C383" s="249"/>
      <c r="D383" s="686" t="s">
        <v>1390</v>
      </c>
      <c r="E383" s="249"/>
      <c r="F383" s="673">
        <v>0</v>
      </c>
      <c r="G383" s="249"/>
      <c r="H383" s="652">
        <v>2.3199999999999998</v>
      </c>
      <c r="I383" s="251"/>
      <c r="J383" s="251">
        <v>2.3199999999999998</v>
      </c>
      <c r="K383" s="251"/>
      <c r="L383" s="251">
        <v>0</v>
      </c>
      <c r="M383" s="251"/>
      <c r="N383" s="251">
        <v>0</v>
      </c>
      <c r="O383" s="251"/>
      <c r="P383" s="251" t="s">
        <v>1391</v>
      </c>
      <c r="Q383" s="251"/>
      <c r="R383" s="681">
        <v>25.6</v>
      </c>
    </row>
    <row r="384" spans="1:18">
      <c r="A384" s="272">
        <v>367</v>
      </c>
      <c r="B384" s="272"/>
      <c r="C384" s="249"/>
      <c r="D384" s="687" t="s">
        <v>1392</v>
      </c>
      <c r="E384" s="249"/>
      <c r="F384" s="673">
        <v>-20</v>
      </c>
      <c r="G384" s="249"/>
      <c r="H384" s="652">
        <v>2.4299999999999997</v>
      </c>
      <c r="I384" s="251"/>
      <c r="J384" s="251">
        <v>2.02</v>
      </c>
      <c r="K384" s="251"/>
      <c r="L384" s="251">
        <v>0.51</v>
      </c>
      <c r="M384" s="251"/>
      <c r="N384" s="251">
        <v>-0.1</v>
      </c>
      <c r="O384" s="251"/>
      <c r="P384" s="251" t="s">
        <v>2316</v>
      </c>
      <c r="Q384" s="251"/>
      <c r="R384" s="681">
        <v>40.200000000000003</v>
      </c>
    </row>
    <row r="385" spans="1:18">
      <c r="A385" s="272">
        <v>368</v>
      </c>
      <c r="B385" s="248"/>
      <c r="C385" s="249"/>
      <c r="D385" s="687" t="s">
        <v>1393</v>
      </c>
      <c r="E385" s="249"/>
      <c r="F385" s="673">
        <v>-5</v>
      </c>
      <c r="G385" s="249"/>
      <c r="H385" s="652">
        <v>1.79</v>
      </c>
      <c r="I385" s="251"/>
      <c r="J385" s="251">
        <v>1.7000000000000002</v>
      </c>
      <c r="K385" s="251"/>
      <c r="L385" s="251">
        <v>0.13999999999999999</v>
      </c>
      <c r="M385" s="251"/>
      <c r="N385" s="251">
        <v>-0.05</v>
      </c>
      <c r="O385" s="251"/>
      <c r="P385" s="251" t="s">
        <v>2317</v>
      </c>
      <c r="Q385" s="251"/>
      <c r="R385" s="681">
        <v>33</v>
      </c>
    </row>
    <row r="386" spans="1:18">
      <c r="A386" s="272">
        <v>369</v>
      </c>
      <c r="B386" s="248"/>
      <c r="C386" s="249"/>
      <c r="D386" s="687" t="s">
        <v>1394</v>
      </c>
      <c r="E386" s="249"/>
      <c r="F386" s="673">
        <v>-25</v>
      </c>
      <c r="G386" s="249"/>
      <c r="H386" s="652">
        <v>1.63</v>
      </c>
      <c r="I386" s="251"/>
      <c r="J386" s="251">
        <v>1.3</v>
      </c>
      <c r="K386" s="251"/>
      <c r="L386" s="251">
        <v>0.33</v>
      </c>
      <c r="M386" s="251"/>
      <c r="N386" s="251">
        <v>0</v>
      </c>
      <c r="O386" s="251"/>
      <c r="P386" s="251" t="s">
        <v>2318</v>
      </c>
      <c r="Q386" s="251"/>
      <c r="R386" s="681">
        <v>36.6</v>
      </c>
    </row>
    <row r="387" spans="1:18">
      <c r="A387" s="272"/>
      <c r="B387" s="248">
        <v>370</v>
      </c>
      <c r="C387" s="249"/>
      <c r="D387" s="689" t="s">
        <v>2696</v>
      </c>
      <c r="E387" s="249"/>
      <c r="F387" s="673">
        <v>0</v>
      </c>
      <c r="G387" s="249"/>
      <c r="H387" s="652">
        <v>4.29</v>
      </c>
      <c r="I387" s="251"/>
      <c r="J387" s="251">
        <v>4.29</v>
      </c>
      <c r="K387" s="251"/>
      <c r="L387" s="251">
        <v>0</v>
      </c>
      <c r="M387" s="251"/>
      <c r="N387" s="251">
        <v>0</v>
      </c>
      <c r="O387" s="251"/>
      <c r="P387" s="251" t="s">
        <v>2323</v>
      </c>
      <c r="Q387" s="251"/>
      <c r="R387" s="681">
        <v>14.7</v>
      </c>
    </row>
    <row r="388" spans="1:18">
      <c r="B388" s="248">
        <v>370.01</v>
      </c>
      <c r="C388" s="249"/>
      <c r="D388" s="687" t="s">
        <v>2319</v>
      </c>
      <c r="E388" s="249"/>
      <c r="F388" s="673">
        <v>0</v>
      </c>
      <c r="G388" s="249"/>
      <c r="H388" s="652">
        <v>6.8500000000000005</v>
      </c>
      <c r="I388" s="251"/>
      <c r="J388" s="251">
        <v>6.8500000000000005</v>
      </c>
      <c r="K388" s="251"/>
      <c r="L388" s="251">
        <v>0</v>
      </c>
      <c r="M388" s="251"/>
      <c r="N388" s="251">
        <v>0</v>
      </c>
      <c r="O388" s="251"/>
      <c r="P388" s="251" t="s">
        <v>2320</v>
      </c>
      <c r="Q388" s="251"/>
      <c r="R388" s="681">
        <v>14.5</v>
      </c>
    </row>
    <row r="389" spans="1:18">
      <c r="B389" s="248">
        <v>370.2</v>
      </c>
      <c r="C389" s="249"/>
      <c r="D389" s="687" t="s">
        <v>1395</v>
      </c>
      <c r="E389" s="249"/>
      <c r="F389" s="673">
        <v>0</v>
      </c>
      <c r="G389" s="249"/>
      <c r="H389" s="652">
        <v>3.51</v>
      </c>
      <c r="I389" s="251"/>
      <c r="J389" s="251">
        <v>3.51</v>
      </c>
      <c r="K389" s="251"/>
      <c r="L389" s="251">
        <v>0</v>
      </c>
      <c r="M389" s="251"/>
      <c r="N389" s="251">
        <v>0</v>
      </c>
      <c r="O389" s="251"/>
      <c r="P389" s="251" t="s">
        <v>2323</v>
      </c>
      <c r="Q389" s="251"/>
      <c r="R389" s="681">
        <v>4.3</v>
      </c>
    </row>
    <row r="390" spans="1:18">
      <c r="A390" s="272">
        <v>371</v>
      </c>
      <c r="B390" s="248"/>
      <c r="C390" s="249"/>
      <c r="D390" s="687" t="s">
        <v>1396</v>
      </c>
      <c r="E390" s="249"/>
      <c r="F390" s="673">
        <v>-10</v>
      </c>
      <c r="G390" s="249"/>
      <c r="H390" s="652">
        <v>0.52999999999999992</v>
      </c>
      <c r="I390" s="251"/>
      <c r="J390" s="251">
        <v>0.48</v>
      </c>
      <c r="K390" s="251"/>
      <c r="L390" s="251">
        <v>0.06</v>
      </c>
      <c r="M390" s="251"/>
      <c r="N390" s="251">
        <v>-0.01</v>
      </c>
      <c r="O390" s="251"/>
      <c r="P390" s="251" t="s">
        <v>2321</v>
      </c>
      <c r="Q390" s="251"/>
      <c r="R390" s="681">
        <v>19.3</v>
      </c>
    </row>
    <row r="391" spans="1:18">
      <c r="A391" s="272">
        <v>373</v>
      </c>
      <c r="B391" s="248"/>
      <c r="C391" s="249"/>
      <c r="D391" s="687" t="s">
        <v>1397</v>
      </c>
      <c r="E391" s="249"/>
      <c r="F391" s="673">
        <v>-10</v>
      </c>
      <c r="G391" s="249"/>
      <c r="H391" s="652">
        <v>4.0000000000000009</v>
      </c>
      <c r="I391" s="251"/>
      <c r="J391" s="251">
        <v>3.64</v>
      </c>
      <c r="K391" s="251"/>
      <c r="L391" s="251">
        <v>0.47000000000000003</v>
      </c>
      <c r="M391" s="251"/>
      <c r="N391" s="251">
        <v>-0.11</v>
      </c>
      <c r="O391" s="251"/>
      <c r="P391" s="251" t="s">
        <v>2322</v>
      </c>
      <c r="Q391" s="251"/>
      <c r="R391" s="681">
        <v>22.1</v>
      </c>
    </row>
    <row r="392" spans="1:18">
      <c r="A392" s="272"/>
      <c r="B392" s="248"/>
      <c r="C392" s="249"/>
      <c r="D392" s="249"/>
      <c r="E392" s="249"/>
      <c r="F392" s="250"/>
      <c r="G392" s="249"/>
      <c r="H392" s="251"/>
      <c r="I392" s="251"/>
      <c r="J392" s="251"/>
      <c r="K392" s="251"/>
      <c r="L392" s="251"/>
      <c r="M392" s="251"/>
      <c r="N392" s="251"/>
      <c r="O392" s="251"/>
      <c r="P392" s="251"/>
      <c r="Q392" s="251"/>
      <c r="R392" s="652"/>
    </row>
    <row r="393" spans="1:18">
      <c r="A393" s="272"/>
      <c r="B393" s="248">
        <v>370</v>
      </c>
      <c r="C393" s="249"/>
      <c r="D393" s="689" t="s">
        <v>2696</v>
      </c>
      <c r="E393" s="249"/>
      <c r="F393" s="673">
        <v>0</v>
      </c>
      <c r="G393" s="249"/>
      <c r="H393" s="652">
        <v>4.29</v>
      </c>
      <c r="I393" s="251"/>
      <c r="J393" s="251">
        <v>4.29</v>
      </c>
      <c r="K393" s="251"/>
      <c r="L393" s="251">
        <v>0</v>
      </c>
      <c r="M393" s="251"/>
      <c r="N393" s="251">
        <v>0</v>
      </c>
      <c r="O393" s="251"/>
      <c r="P393" s="251" t="s">
        <v>2323</v>
      </c>
      <c r="Q393" s="251"/>
      <c r="R393" s="681">
        <v>14.7</v>
      </c>
    </row>
    <row r="394" spans="1:18">
      <c r="A394" s="272"/>
      <c r="B394" s="248">
        <v>370.01</v>
      </c>
      <c r="C394" s="249"/>
      <c r="D394" s="687" t="s">
        <v>2319</v>
      </c>
      <c r="E394" s="249"/>
      <c r="F394" s="673">
        <v>0</v>
      </c>
      <c r="G394" s="249"/>
      <c r="H394" s="652">
        <v>6.8500000000000005</v>
      </c>
      <c r="I394" s="251"/>
      <c r="J394" s="251">
        <v>6.8500000000000005</v>
      </c>
      <c r="K394" s="251"/>
      <c r="L394" s="251">
        <v>0</v>
      </c>
      <c r="M394" s="251"/>
      <c r="N394" s="251">
        <v>0</v>
      </c>
      <c r="O394" s="251"/>
      <c r="P394" s="251" t="s">
        <v>2320</v>
      </c>
      <c r="Q394" s="251"/>
      <c r="R394" s="681">
        <v>14.5</v>
      </c>
    </row>
    <row r="395" spans="1:18">
      <c r="A395" s="272"/>
      <c r="B395" s="248">
        <v>370.2</v>
      </c>
      <c r="C395" s="249"/>
      <c r="D395" s="687" t="s">
        <v>1395</v>
      </c>
      <c r="E395" s="249"/>
      <c r="F395" s="673">
        <v>0</v>
      </c>
      <c r="G395" s="249"/>
      <c r="H395" s="652">
        <v>3.51</v>
      </c>
      <c r="I395" s="251"/>
      <c r="J395" s="251">
        <v>3.51</v>
      </c>
      <c r="K395" s="251"/>
      <c r="L395" s="251">
        <v>0</v>
      </c>
      <c r="M395" s="251"/>
      <c r="N395" s="251">
        <v>0</v>
      </c>
      <c r="O395" s="251"/>
      <c r="P395" s="251" t="s">
        <v>2323</v>
      </c>
      <c r="Q395" s="251"/>
      <c r="R395" s="681">
        <v>4.3</v>
      </c>
    </row>
    <row r="396" spans="1:18">
      <c r="A396" s="272">
        <v>370</v>
      </c>
      <c r="B396" s="248"/>
      <c r="C396" s="249"/>
      <c r="D396" s="249"/>
      <c r="E396" s="249"/>
      <c r="F396" s="250">
        <v>0</v>
      </c>
      <c r="G396" s="249"/>
      <c r="H396" s="690">
        <v>3.65</v>
      </c>
      <c r="I396" s="690"/>
      <c r="J396" s="690"/>
      <c r="K396" s="690"/>
      <c r="L396" s="690"/>
      <c r="M396" s="690"/>
      <c r="N396" s="690"/>
      <c r="O396" s="690"/>
      <c r="P396" s="690" t="s">
        <v>2335</v>
      </c>
      <c r="Q396" s="690"/>
      <c r="R396" s="691" t="s">
        <v>2340</v>
      </c>
    </row>
    <row r="397" spans="1:18">
      <c r="A397" s="272"/>
      <c r="B397" s="248"/>
      <c r="C397" s="249"/>
      <c r="D397" s="249"/>
      <c r="E397" s="249"/>
      <c r="F397" s="250"/>
      <c r="G397" s="249"/>
      <c r="H397" s="675"/>
      <c r="I397" s="675"/>
      <c r="J397" s="675"/>
      <c r="K397" s="675"/>
      <c r="L397" s="675"/>
      <c r="M397" s="675"/>
      <c r="N397" s="675"/>
      <c r="O397" s="675"/>
      <c r="P397" s="675"/>
      <c r="Q397" s="675"/>
      <c r="R397" s="662"/>
    </row>
    <row r="398" spans="1:18">
      <c r="A398" s="272"/>
      <c r="B398" s="248"/>
      <c r="C398" s="249"/>
      <c r="D398" s="249"/>
      <c r="E398" s="249"/>
      <c r="F398" s="250"/>
      <c r="G398" s="249"/>
      <c r="H398" s="251"/>
      <c r="I398" s="251"/>
      <c r="J398" s="251"/>
      <c r="K398" s="251"/>
      <c r="L398" s="251"/>
      <c r="M398" s="251"/>
      <c r="N398" s="251"/>
      <c r="O398" s="251"/>
      <c r="P398" s="251"/>
      <c r="Q398" s="251"/>
      <c r="R398" s="652"/>
    </row>
    <row r="399" spans="1:18">
      <c r="A399" s="272"/>
      <c r="B399" s="248"/>
      <c r="C399" s="249"/>
      <c r="D399" s="247" t="s">
        <v>1398</v>
      </c>
      <c r="E399" s="249"/>
      <c r="F399" s="250"/>
      <c r="G399" s="243"/>
      <c r="H399" s="251">
        <v>2.4300000000000002</v>
      </c>
      <c r="I399" s="251"/>
      <c r="J399" s="251"/>
      <c r="K399" s="251"/>
      <c r="L399" s="251"/>
      <c r="M399" s="251"/>
      <c r="N399" s="251"/>
      <c r="O399" s="251"/>
      <c r="P399" s="251"/>
      <c r="Q399" s="251"/>
      <c r="R399" s="251"/>
    </row>
    <row r="400" spans="1:18">
      <c r="A400" s="272"/>
      <c r="B400" s="248"/>
      <c r="C400" s="249"/>
      <c r="D400" s="247"/>
      <c r="E400" s="249"/>
      <c r="F400" s="250"/>
      <c r="G400" s="243"/>
      <c r="H400" s="251"/>
      <c r="I400" s="251"/>
      <c r="J400" s="251"/>
      <c r="K400" s="251"/>
      <c r="L400" s="251"/>
      <c r="M400" s="251"/>
      <c r="N400" s="251"/>
      <c r="O400" s="251"/>
      <c r="P400" s="251"/>
      <c r="Q400" s="251"/>
      <c r="R400" s="251"/>
    </row>
    <row r="401" spans="1:18">
      <c r="A401" s="272"/>
      <c r="B401" s="248"/>
      <c r="C401" s="249"/>
      <c r="D401" s="249"/>
      <c r="E401" s="249"/>
      <c r="F401" s="250"/>
      <c r="G401" s="249"/>
      <c r="H401" s="251"/>
      <c r="I401" s="251"/>
      <c r="J401" s="251"/>
      <c r="K401" s="251"/>
      <c r="L401" s="251"/>
      <c r="M401" s="251"/>
      <c r="N401" s="251"/>
      <c r="O401" s="251"/>
      <c r="P401" s="251"/>
      <c r="Q401" s="251"/>
      <c r="R401" s="251"/>
    </row>
    <row r="402" spans="1:18">
      <c r="A402" s="272"/>
      <c r="B402" s="248"/>
      <c r="C402" s="249"/>
      <c r="D402" s="244" t="s">
        <v>1399</v>
      </c>
      <c r="E402" s="249"/>
      <c r="F402" s="250"/>
      <c r="G402" s="249"/>
      <c r="H402" s="251"/>
      <c r="I402" s="251"/>
      <c r="J402" s="251"/>
      <c r="K402" s="251"/>
      <c r="L402" s="251"/>
      <c r="M402" s="251"/>
      <c r="N402" s="251"/>
      <c r="O402" s="251"/>
      <c r="P402" s="251"/>
      <c r="Q402" s="251"/>
      <c r="R402" s="251"/>
    </row>
    <row r="403" spans="1:18">
      <c r="A403" s="272"/>
      <c r="B403" s="248"/>
      <c r="C403" s="249"/>
      <c r="D403" s="252"/>
      <c r="E403" s="249"/>
      <c r="F403" s="250"/>
      <c r="G403" s="249"/>
      <c r="H403" s="251"/>
      <c r="I403" s="251"/>
      <c r="J403" s="251"/>
      <c r="K403" s="251"/>
      <c r="L403" s="251"/>
      <c r="M403" s="251"/>
      <c r="N403" s="251"/>
      <c r="O403" s="251"/>
      <c r="P403" s="251"/>
      <c r="Q403" s="251"/>
      <c r="R403" s="251"/>
    </row>
    <row r="404" spans="1:18">
      <c r="A404" s="272"/>
      <c r="B404" s="248">
        <v>390.1</v>
      </c>
      <c r="C404" s="249"/>
      <c r="D404" s="257" t="s">
        <v>1400</v>
      </c>
      <c r="E404" s="249"/>
      <c r="F404" s="250">
        <v>-15</v>
      </c>
      <c r="G404" s="249"/>
      <c r="H404" s="251">
        <v>2.4300000000000002</v>
      </c>
      <c r="I404" s="251"/>
      <c r="J404" s="251">
        <v>2.11</v>
      </c>
      <c r="K404" s="251"/>
      <c r="L404" s="251">
        <v>0.32</v>
      </c>
      <c r="M404" s="251"/>
      <c r="N404" s="251">
        <v>0</v>
      </c>
      <c r="O404" s="251"/>
      <c r="P404" s="251" t="s">
        <v>2324</v>
      </c>
      <c r="Q404" s="251"/>
      <c r="R404" s="652">
        <v>39.200000000000003</v>
      </c>
    </row>
    <row r="405" spans="1:18">
      <c r="A405" s="272"/>
      <c r="B405" s="248">
        <v>390.2</v>
      </c>
      <c r="C405" s="249"/>
      <c r="D405" s="257" t="s">
        <v>1401</v>
      </c>
      <c r="E405" s="249"/>
      <c r="F405" s="250">
        <v>-10</v>
      </c>
      <c r="G405" s="249"/>
      <c r="H405" s="251">
        <v>1.43</v>
      </c>
      <c r="I405" s="251"/>
      <c r="J405" s="251">
        <v>1.3</v>
      </c>
      <c r="K405" s="251"/>
      <c r="L405" s="251">
        <v>0.13</v>
      </c>
      <c r="M405" s="251"/>
      <c r="N405" s="251">
        <v>0</v>
      </c>
      <c r="O405" s="251"/>
      <c r="P405" s="251" t="s">
        <v>2325</v>
      </c>
      <c r="Q405" s="251"/>
      <c r="R405" s="652">
        <v>18</v>
      </c>
    </row>
    <row r="406" spans="1:18">
      <c r="A406" s="272"/>
      <c r="B406" s="248">
        <v>391.1</v>
      </c>
      <c r="C406" s="249"/>
      <c r="D406" s="257" t="s">
        <v>1402</v>
      </c>
      <c r="E406" s="249"/>
      <c r="F406" s="250">
        <v>0</v>
      </c>
      <c r="G406" s="249"/>
      <c r="H406" s="251">
        <v>4.3600000000000003</v>
      </c>
      <c r="I406" s="251"/>
      <c r="J406" s="251">
        <v>4.3600000000000003</v>
      </c>
      <c r="K406" s="251"/>
      <c r="L406" s="251">
        <v>0</v>
      </c>
      <c r="M406" s="251"/>
      <c r="N406" s="251">
        <v>0</v>
      </c>
      <c r="O406" s="251"/>
      <c r="P406" s="251" t="s">
        <v>1273</v>
      </c>
      <c r="Q406" s="251"/>
      <c r="R406" s="652">
        <v>9.9</v>
      </c>
    </row>
    <row r="407" spans="1:18">
      <c r="A407" s="272"/>
      <c r="B407" s="248">
        <v>391.2</v>
      </c>
      <c r="C407" s="249"/>
      <c r="D407" s="257" t="s">
        <v>1403</v>
      </c>
      <c r="E407" s="249"/>
      <c r="F407" s="250">
        <v>0</v>
      </c>
      <c r="G407" s="249"/>
      <c r="H407" s="251">
        <v>11.690000000000001</v>
      </c>
      <c r="I407" s="251"/>
      <c r="J407" s="251">
        <v>11.690000000000001</v>
      </c>
      <c r="K407" s="251"/>
      <c r="L407" s="251">
        <v>0</v>
      </c>
      <c r="M407" s="251"/>
      <c r="N407" s="251">
        <v>0</v>
      </c>
      <c r="O407" s="251"/>
      <c r="P407" s="251" t="s">
        <v>1275</v>
      </c>
      <c r="Q407" s="251"/>
      <c r="R407" s="652">
        <v>4</v>
      </c>
    </row>
    <row r="408" spans="1:18">
      <c r="A408" s="272"/>
      <c r="B408" s="248">
        <v>391.31</v>
      </c>
      <c r="C408" s="249"/>
      <c r="D408" s="257" t="s">
        <v>1404</v>
      </c>
      <c r="E408" s="249"/>
      <c r="F408" s="250">
        <v>0</v>
      </c>
      <c r="G408" s="249"/>
      <c r="H408" s="251">
        <v>25.019999999999996</v>
      </c>
      <c r="I408" s="251"/>
      <c r="J408" s="251">
        <v>25.019999999999996</v>
      </c>
      <c r="K408" s="251"/>
      <c r="L408" s="251">
        <v>0</v>
      </c>
      <c r="M408" s="251"/>
      <c r="N408" s="251">
        <v>0</v>
      </c>
      <c r="O408" s="251"/>
      <c r="P408" s="251" t="s">
        <v>1405</v>
      </c>
      <c r="Q408" s="251"/>
      <c r="R408" s="652">
        <v>2.2000000000000002</v>
      </c>
    </row>
    <row r="409" spans="1:18">
      <c r="A409" s="272"/>
      <c r="B409" s="248">
        <v>392</v>
      </c>
      <c r="C409" s="249"/>
      <c r="D409" s="249" t="s">
        <v>1406</v>
      </c>
      <c r="E409" s="249"/>
      <c r="F409" s="250">
        <v>0</v>
      </c>
      <c r="G409" s="249"/>
      <c r="H409" s="251">
        <v>1.97</v>
      </c>
      <c r="I409" s="251"/>
      <c r="J409" s="251">
        <v>1.97</v>
      </c>
      <c r="K409" s="251"/>
      <c r="L409" s="251">
        <v>0</v>
      </c>
      <c r="M409" s="251"/>
      <c r="N409" s="251">
        <v>0</v>
      </c>
      <c r="O409" s="251"/>
      <c r="P409" s="251" t="s">
        <v>2326</v>
      </c>
      <c r="Q409" s="251"/>
      <c r="R409" s="652">
        <v>10.8</v>
      </c>
    </row>
    <row r="410" spans="1:18">
      <c r="A410" s="272"/>
      <c r="B410" s="248">
        <v>392.1</v>
      </c>
      <c r="C410" s="249"/>
      <c r="D410" s="249" t="s">
        <v>1407</v>
      </c>
      <c r="E410" s="249"/>
      <c r="F410" s="250">
        <v>0</v>
      </c>
      <c r="G410" s="249"/>
      <c r="H410" s="251">
        <v>3.19</v>
      </c>
      <c r="I410" s="251"/>
      <c r="J410" s="251">
        <v>3.19</v>
      </c>
      <c r="K410" s="251"/>
      <c r="L410" s="251">
        <v>0</v>
      </c>
      <c r="M410" s="251"/>
      <c r="N410" s="251">
        <v>0</v>
      </c>
      <c r="O410" s="251"/>
      <c r="P410" s="251" t="s">
        <v>2327</v>
      </c>
      <c r="Q410" s="251"/>
      <c r="R410" s="652">
        <v>13.9</v>
      </c>
    </row>
    <row r="411" spans="1:18">
      <c r="A411" s="272">
        <v>393</v>
      </c>
      <c r="B411" s="248">
        <v>393</v>
      </c>
      <c r="C411" s="249"/>
      <c r="D411" s="253" t="s">
        <v>1408</v>
      </c>
      <c r="E411" s="249"/>
      <c r="F411" s="250">
        <v>0</v>
      </c>
      <c r="G411" s="249"/>
      <c r="H411" s="251">
        <v>4.3999999999999995</v>
      </c>
      <c r="I411" s="251"/>
      <c r="J411" s="251">
        <v>4.3999999999999995</v>
      </c>
      <c r="K411" s="251"/>
      <c r="L411" s="251">
        <v>0</v>
      </c>
      <c r="M411" s="251"/>
      <c r="N411" s="251">
        <v>0</v>
      </c>
      <c r="O411" s="251"/>
      <c r="P411" s="251" t="s">
        <v>1409</v>
      </c>
      <c r="Q411" s="251"/>
      <c r="R411" s="652">
        <v>18</v>
      </c>
    </row>
    <row r="412" spans="1:18">
      <c r="A412" s="272">
        <v>394</v>
      </c>
      <c r="B412" s="248">
        <v>394</v>
      </c>
      <c r="C412" s="249"/>
      <c r="D412" s="257" t="s">
        <v>1410</v>
      </c>
      <c r="E412" s="249"/>
      <c r="F412" s="250">
        <v>0</v>
      </c>
      <c r="G412" s="249"/>
      <c r="H412" s="251">
        <v>4.0199999999999996</v>
      </c>
      <c r="I412" s="251"/>
      <c r="J412" s="251">
        <v>4.0199999999999996</v>
      </c>
      <c r="K412" s="251"/>
      <c r="L412" s="251">
        <v>0</v>
      </c>
      <c r="M412" s="251"/>
      <c r="N412" s="251">
        <v>0</v>
      </c>
      <c r="O412" s="251"/>
      <c r="P412" s="251" t="s">
        <v>1409</v>
      </c>
      <c r="Q412" s="251"/>
      <c r="R412" s="652">
        <v>17.5</v>
      </c>
    </row>
    <row r="413" spans="1:18">
      <c r="A413" s="272">
        <v>396</v>
      </c>
      <c r="B413" s="248">
        <v>396.3</v>
      </c>
      <c r="C413" s="249"/>
      <c r="D413" s="257" t="s">
        <v>1411</v>
      </c>
      <c r="E413" s="249"/>
      <c r="F413" s="250">
        <v>0</v>
      </c>
      <c r="G413" s="249"/>
      <c r="H413" s="251">
        <v>5.65</v>
      </c>
      <c r="I413" s="251"/>
      <c r="J413" s="251">
        <v>5.65</v>
      </c>
      <c r="K413" s="251"/>
      <c r="L413" s="251">
        <v>0</v>
      </c>
      <c r="M413" s="251"/>
      <c r="N413" s="251">
        <v>0</v>
      </c>
      <c r="O413" s="251"/>
      <c r="P413" s="251" t="s">
        <v>2328</v>
      </c>
      <c r="Q413" s="251"/>
      <c r="R413" s="652">
        <v>12</v>
      </c>
    </row>
    <row r="414" spans="1:18">
      <c r="A414" s="272"/>
      <c r="B414" s="248">
        <v>397</v>
      </c>
      <c r="C414" s="249"/>
      <c r="D414" s="253" t="s">
        <v>2697</v>
      </c>
      <c r="E414" s="249"/>
      <c r="F414" s="250">
        <v>0</v>
      </c>
      <c r="G414" s="249"/>
      <c r="H414" s="251">
        <v>4.9000000000000004</v>
      </c>
      <c r="I414" s="251"/>
      <c r="J414" s="251">
        <v>4.9000000000000004</v>
      </c>
      <c r="K414" s="251"/>
      <c r="L414" s="251">
        <v>0</v>
      </c>
      <c r="M414" s="251"/>
      <c r="N414" s="251">
        <v>0</v>
      </c>
      <c r="O414" s="251"/>
      <c r="P414" s="251" t="s">
        <v>2329</v>
      </c>
      <c r="Q414" s="251"/>
      <c r="R414" s="652">
        <v>13.4</v>
      </c>
    </row>
    <row r="415" spans="1:18">
      <c r="A415" s="272"/>
      <c r="B415" s="248">
        <v>397.1</v>
      </c>
      <c r="C415" s="249"/>
      <c r="D415" s="253" t="s">
        <v>2698</v>
      </c>
      <c r="E415" s="249"/>
      <c r="F415" s="250">
        <v>0</v>
      </c>
      <c r="G415" s="249"/>
      <c r="H415" s="251">
        <v>10.84</v>
      </c>
      <c r="I415" s="251"/>
      <c r="J415" s="251">
        <v>10.84</v>
      </c>
      <c r="K415" s="251"/>
      <c r="L415" s="251">
        <v>0</v>
      </c>
      <c r="M415" s="251"/>
      <c r="N415" s="251">
        <v>0</v>
      </c>
      <c r="O415" s="251"/>
      <c r="P415" s="251" t="s">
        <v>1412</v>
      </c>
      <c r="Q415" s="251"/>
      <c r="R415" s="652">
        <v>5.6</v>
      </c>
    </row>
    <row r="416" spans="1:18">
      <c r="A416" s="272"/>
      <c r="B416" s="248">
        <v>397.2</v>
      </c>
      <c r="C416" s="249"/>
      <c r="D416" s="249" t="s">
        <v>2330</v>
      </c>
      <c r="E416" s="249"/>
      <c r="F416" s="250">
        <v>0</v>
      </c>
      <c r="G416" s="249"/>
      <c r="H416" s="251">
        <v>14.08</v>
      </c>
      <c r="I416" s="251"/>
      <c r="J416" s="251">
        <v>14.08</v>
      </c>
      <c r="K416" s="251"/>
      <c r="L416" s="251">
        <v>0</v>
      </c>
      <c r="M416" s="251"/>
      <c r="N416" s="251">
        <v>0</v>
      </c>
      <c r="O416" s="251"/>
      <c r="P416" s="251" t="s">
        <v>1412</v>
      </c>
      <c r="Q416" s="251"/>
      <c r="R416" s="251">
        <v>6.5</v>
      </c>
    </row>
    <row r="417" spans="1:18">
      <c r="A417" s="272"/>
      <c r="B417" s="248"/>
      <c r="C417" s="249"/>
      <c r="D417" s="249"/>
      <c r="E417" s="249"/>
      <c r="F417" s="250"/>
      <c r="G417" s="249"/>
      <c r="H417" s="251"/>
      <c r="I417" s="251"/>
      <c r="J417" s="251"/>
      <c r="K417" s="251"/>
      <c r="L417" s="251"/>
      <c r="M417" s="251"/>
      <c r="N417" s="251"/>
      <c r="O417" s="251"/>
      <c r="P417" s="251"/>
      <c r="Q417" s="251"/>
      <c r="R417" s="251"/>
    </row>
    <row r="418" spans="1:18">
      <c r="A418" s="272"/>
      <c r="B418" s="239"/>
      <c r="C418" s="249"/>
      <c r="D418" s="247" t="s">
        <v>1413</v>
      </c>
      <c r="E418" s="249"/>
      <c r="F418" s="250"/>
      <c r="G418" s="249"/>
      <c r="H418" s="251">
        <v>6.84</v>
      </c>
      <c r="I418" s="251"/>
      <c r="J418" s="648"/>
      <c r="K418" s="251"/>
      <c r="L418" s="648"/>
      <c r="M418" s="251"/>
      <c r="N418" s="648"/>
      <c r="O418" s="648"/>
      <c r="P418" s="251"/>
      <c r="Q418" s="251"/>
      <c r="R418" s="251"/>
    </row>
    <row r="419" spans="1:18">
      <c r="A419" s="272"/>
      <c r="B419" s="239"/>
      <c r="C419" s="249"/>
      <c r="D419" s="243"/>
      <c r="E419" s="249"/>
      <c r="F419" s="250"/>
      <c r="G419" s="249"/>
      <c r="H419" s="251"/>
      <c r="I419" s="251"/>
      <c r="J419" s="648"/>
      <c r="K419" s="251"/>
      <c r="L419" s="648"/>
      <c r="M419" s="251"/>
      <c r="N419" s="648"/>
      <c r="O419" s="648"/>
      <c r="P419" s="251"/>
      <c r="Q419" s="251"/>
      <c r="R419" s="251"/>
    </row>
    <row r="420" spans="1:18">
      <c r="A420" s="272"/>
      <c r="B420" s="239"/>
      <c r="C420" s="249"/>
      <c r="D420" s="247" t="s">
        <v>1414</v>
      </c>
      <c r="E420" s="249"/>
      <c r="F420" s="250"/>
      <c r="G420" s="249"/>
      <c r="H420" s="251">
        <v>2.97</v>
      </c>
      <c r="I420" s="251"/>
      <c r="J420" s="648"/>
      <c r="K420" s="251"/>
      <c r="L420" s="648"/>
      <c r="M420" s="251"/>
      <c r="N420" s="648"/>
      <c r="O420" s="648"/>
      <c r="P420" s="251"/>
      <c r="Q420" s="251"/>
      <c r="R420" s="251"/>
    </row>
    <row r="421" spans="1:18">
      <c r="A421" s="272"/>
      <c r="B421" s="239"/>
      <c r="C421" s="249"/>
      <c r="D421" s="247"/>
      <c r="E421" s="249"/>
      <c r="F421" s="250"/>
      <c r="G421" s="249"/>
      <c r="H421" s="251"/>
      <c r="I421" s="251"/>
      <c r="J421" s="648"/>
      <c r="K421" s="251"/>
      <c r="L421" s="648"/>
      <c r="M421" s="251"/>
      <c r="N421" s="648"/>
      <c r="O421" s="648"/>
      <c r="P421" s="251"/>
      <c r="Q421" s="251"/>
      <c r="R421" s="251"/>
    </row>
    <row r="422" spans="1:18">
      <c r="A422" s="272"/>
      <c r="B422" s="248">
        <v>390.1</v>
      </c>
      <c r="C422" s="249"/>
      <c r="D422" s="257" t="s">
        <v>1400</v>
      </c>
      <c r="E422" s="249"/>
      <c r="F422" s="250">
        <v>-10</v>
      </c>
      <c r="G422" s="249"/>
      <c r="H422" s="251">
        <v>2.4300000000000002</v>
      </c>
      <c r="I422" s="251"/>
      <c r="J422" s="251">
        <v>2.11</v>
      </c>
      <c r="K422" s="251"/>
      <c r="L422" s="251">
        <v>0.32</v>
      </c>
      <c r="M422" s="251"/>
      <c r="N422" s="251">
        <v>0</v>
      </c>
      <c r="O422" s="251"/>
      <c r="P422" s="251" t="s">
        <v>2324</v>
      </c>
      <c r="Q422" s="251"/>
      <c r="R422" s="251">
        <v>39.200000000000003</v>
      </c>
    </row>
    <row r="423" spans="1:18">
      <c r="A423" s="272"/>
      <c r="B423" s="248">
        <v>390.2</v>
      </c>
      <c r="C423" s="249"/>
      <c r="D423" s="257" t="s">
        <v>1401</v>
      </c>
      <c r="E423" s="249"/>
      <c r="F423" s="250">
        <v>-10</v>
      </c>
      <c r="G423" s="249"/>
      <c r="H423" s="251">
        <v>1.43</v>
      </c>
      <c r="I423" s="251"/>
      <c r="J423" s="251">
        <v>1.3</v>
      </c>
      <c r="K423" s="251"/>
      <c r="L423" s="251">
        <v>0.13</v>
      </c>
      <c r="M423" s="251"/>
      <c r="N423" s="251">
        <v>0</v>
      </c>
      <c r="O423" s="251"/>
      <c r="P423" s="251" t="s">
        <v>2325</v>
      </c>
      <c r="Q423" s="251"/>
      <c r="R423" s="251">
        <v>18</v>
      </c>
    </row>
    <row r="424" spans="1:18">
      <c r="A424" s="272">
        <v>390</v>
      </c>
      <c r="B424" s="239"/>
      <c r="C424" s="249"/>
      <c r="D424" s="247"/>
      <c r="E424" s="249"/>
      <c r="F424" s="683">
        <v>-0.1</v>
      </c>
      <c r="G424" s="249"/>
      <c r="H424" s="690">
        <v>2.42</v>
      </c>
      <c r="I424" s="690"/>
      <c r="J424" s="692"/>
      <c r="K424" s="690"/>
      <c r="L424" s="692"/>
      <c r="M424" s="690"/>
      <c r="N424" s="692"/>
      <c r="O424" s="692"/>
      <c r="P424" s="690" t="s">
        <v>2699</v>
      </c>
      <c r="Q424" s="690"/>
      <c r="R424" s="693" t="s">
        <v>2700</v>
      </c>
    </row>
    <row r="425" spans="1:18">
      <c r="A425" s="272"/>
      <c r="B425" s="239"/>
      <c r="C425" s="249"/>
      <c r="D425" s="247"/>
      <c r="E425" s="249"/>
      <c r="F425" s="250"/>
      <c r="G425" s="249"/>
      <c r="H425" s="251"/>
      <c r="I425" s="251"/>
      <c r="J425" s="648"/>
      <c r="K425" s="251"/>
      <c r="L425" s="648"/>
      <c r="M425" s="251"/>
      <c r="N425" s="648"/>
      <c r="O425" s="648"/>
      <c r="P425" s="251"/>
      <c r="Q425" s="251"/>
      <c r="R425" s="251"/>
    </row>
    <row r="426" spans="1:18">
      <c r="A426" s="272"/>
      <c r="B426" s="248">
        <v>391.1</v>
      </c>
      <c r="C426" s="249"/>
      <c r="D426" s="257" t="s">
        <v>1402</v>
      </c>
      <c r="E426" s="249"/>
      <c r="F426" s="250">
        <v>0</v>
      </c>
      <c r="G426" s="249"/>
      <c r="H426" s="251">
        <v>4.3600000000000003</v>
      </c>
      <c r="I426" s="251"/>
      <c r="J426" s="251">
        <v>4.3600000000000003</v>
      </c>
      <c r="K426" s="251"/>
      <c r="L426" s="251">
        <v>0</v>
      </c>
      <c r="M426" s="251"/>
      <c r="N426" s="251">
        <v>0</v>
      </c>
      <c r="O426" s="251"/>
      <c r="P426" s="251" t="s">
        <v>1273</v>
      </c>
      <c r="Q426" s="251"/>
      <c r="R426" s="251">
        <v>9.9</v>
      </c>
    </row>
    <row r="427" spans="1:18">
      <c r="A427" s="272"/>
      <c r="B427" s="248">
        <v>391.2</v>
      </c>
      <c r="C427" s="249"/>
      <c r="D427" s="257" t="s">
        <v>1403</v>
      </c>
      <c r="E427" s="249"/>
      <c r="F427" s="250">
        <v>0</v>
      </c>
      <c r="G427" s="249"/>
      <c r="H427" s="251">
        <v>11.690000000000001</v>
      </c>
      <c r="I427" s="251"/>
      <c r="J427" s="251">
        <v>11.690000000000001</v>
      </c>
      <c r="K427" s="251"/>
      <c r="L427" s="251">
        <v>0</v>
      </c>
      <c r="M427" s="251"/>
      <c r="N427" s="251">
        <v>0</v>
      </c>
      <c r="O427" s="251"/>
      <c r="P427" s="251" t="s">
        <v>1275</v>
      </c>
      <c r="Q427" s="251"/>
      <c r="R427" s="251">
        <v>4</v>
      </c>
    </row>
    <row r="428" spans="1:18">
      <c r="A428" s="272"/>
      <c r="B428" s="248">
        <v>391.31</v>
      </c>
      <c r="C428" s="249"/>
      <c r="D428" s="257" t="s">
        <v>1404</v>
      </c>
      <c r="E428" s="249"/>
      <c r="F428" s="250">
        <v>0</v>
      </c>
      <c r="G428" s="249"/>
      <c r="H428" s="251">
        <v>25.019999999999996</v>
      </c>
      <c r="I428" s="251"/>
      <c r="J428" s="251">
        <v>25.019999999999996</v>
      </c>
      <c r="K428" s="251"/>
      <c r="L428" s="251">
        <v>0</v>
      </c>
      <c r="M428" s="251"/>
      <c r="N428" s="251">
        <v>0</v>
      </c>
      <c r="O428" s="251"/>
      <c r="P428" s="251" t="s">
        <v>1405</v>
      </c>
      <c r="Q428" s="251"/>
      <c r="R428" s="251">
        <v>2.2000000000000002</v>
      </c>
    </row>
    <row r="429" spans="1:18">
      <c r="A429" s="272">
        <v>391</v>
      </c>
      <c r="B429" s="248"/>
      <c r="C429" s="249"/>
      <c r="D429" s="257"/>
      <c r="E429" s="249"/>
      <c r="F429" s="250">
        <v>0</v>
      </c>
      <c r="G429" s="249"/>
      <c r="H429" s="690">
        <v>12.29</v>
      </c>
      <c r="I429" s="690"/>
      <c r="J429" s="692"/>
      <c r="K429" s="690"/>
      <c r="L429" s="692"/>
      <c r="M429" s="690"/>
      <c r="N429" s="692"/>
      <c r="O429" s="692"/>
      <c r="P429" s="690" t="s">
        <v>1836</v>
      </c>
      <c r="Q429" s="690"/>
      <c r="R429" s="693" t="s">
        <v>2337</v>
      </c>
    </row>
    <row r="430" spans="1:18">
      <c r="A430" s="272"/>
      <c r="B430" s="248"/>
      <c r="C430" s="249"/>
      <c r="D430" s="257"/>
      <c r="E430" s="249"/>
      <c r="F430" s="250"/>
      <c r="G430" s="249"/>
      <c r="H430" s="251"/>
      <c r="I430" s="251"/>
      <c r="J430" s="251"/>
      <c r="K430" s="251"/>
      <c r="L430" s="251"/>
      <c r="M430" s="251"/>
      <c r="N430" s="251"/>
      <c r="O430" s="251"/>
      <c r="P430" s="251"/>
      <c r="Q430" s="251"/>
      <c r="R430" s="251"/>
    </row>
    <row r="431" spans="1:18">
      <c r="A431" s="272"/>
      <c r="B431" s="239"/>
      <c r="C431" s="249"/>
      <c r="D431" s="247"/>
      <c r="E431" s="249"/>
      <c r="F431" s="250"/>
      <c r="G431" s="249"/>
      <c r="H431" s="251"/>
      <c r="I431" s="251"/>
      <c r="J431" s="648"/>
      <c r="K431" s="251"/>
      <c r="L431" s="648"/>
      <c r="M431" s="251"/>
      <c r="N431" s="648"/>
      <c r="O431" s="648"/>
      <c r="P431" s="251"/>
      <c r="Q431" s="251"/>
      <c r="R431" s="251"/>
    </row>
    <row r="432" spans="1:18">
      <c r="A432" s="272"/>
      <c r="B432" s="248">
        <v>392</v>
      </c>
      <c r="C432" s="249"/>
      <c r="D432" s="249" t="s">
        <v>1406</v>
      </c>
      <c r="E432" s="249"/>
      <c r="F432" s="250">
        <v>0</v>
      </c>
      <c r="G432" s="249"/>
      <c r="H432" s="251">
        <v>1.97</v>
      </c>
      <c r="I432" s="251"/>
      <c r="J432" s="251">
        <v>1.97</v>
      </c>
      <c r="K432" s="251"/>
      <c r="L432" s="251">
        <v>0</v>
      </c>
      <c r="M432" s="251"/>
      <c r="N432" s="251">
        <v>0</v>
      </c>
      <c r="O432" s="251"/>
      <c r="P432" s="251" t="s">
        <v>2326</v>
      </c>
      <c r="Q432" s="251"/>
      <c r="R432" s="251">
        <v>10.8</v>
      </c>
    </row>
    <row r="433" spans="1:18">
      <c r="A433" s="272"/>
      <c r="B433" s="248">
        <v>392.1</v>
      </c>
      <c r="C433" s="249"/>
      <c r="D433" s="249" t="s">
        <v>1407</v>
      </c>
      <c r="E433" s="249"/>
      <c r="F433" s="250">
        <v>0</v>
      </c>
      <c r="G433" s="249"/>
      <c r="H433" s="251">
        <v>3.19</v>
      </c>
      <c r="I433" s="251"/>
      <c r="J433" s="251">
        <v>3.19</v>
      </c>
      <c r="K433" s="251"/>
      <c r="L433" s="251">
        <v>0</v>
      </c>
      <c r="M433" s="251"/>
      <c r="N433" s="251">
        <v>0</v>
      </c>
      <c r="O433" s="251"/>
      <c r="P433" s="251" t="s">
        <v>2327</v>
      </c>
      <c r="Q433" s="251"/>
      <c r="R433" s="251">
        <v>13.9</v>
      </c>
    </row>
    <row r="434" spans="1:18">
      <c r="A434" s="272">
        <v>392</v>
      </c>
      <c r="B434" s="248"/>
      <c r="C434" s="249"/>
      <c r="D434" s="249"/>
      <c r="E434" s="249"/>
      <c r="F434" s="250">
        <v>0</v>
      </c>
      <c r="G434" s="249"/>
      <c r="H434" s="690">
        <v>2.95</v>
      </c>
      <c r="I434" s="690"/>
      <c r="J434" s="692"/>
      <c r="K434" s="690"/>
      <c r="L434" s="692"/>
      <c r="M434" s="690"/>
      <c r="N434" s="692"/>
      <c r="O434" s="692"/>
      <c r="P434" s="690" t="s">
        <v>2701</v>
      </c>
      <c r="Q434" s="690"/>
      <c r="R434" s="693" t="s">
        <v>2338</v>
      </c>
    </row>
    <row r="435" spans="1:18">
      <c r="A435" s="272"/>
      <c r="B435" s="248"/>
      <c r="C435" s="249"/>
      <c r="D435" s="249"/>
      <c r="E435" s="249"/>
      <c r="F435" s="250"/>
      <c r="G435" s="249"/>
      <c r="H435" s="679"/>
      <c r="I435" s="251"/>
      <c r="J435" s="251"/>
      <c r="K435" s="251"/>
      <c r="L435" s="251"/>
      <c r="M435" s="251"/>
      <c r="N435" s="251"/>
      <c r="O435" s="251"/>
      <c r="P435" s="251"/>
      <c r="Q435" s="251"/>
      <c r="R435" s="251"/>
    </row>
    <row r="436" spans="1:18">
      <c r="A436" s="272"/>
      <c r="B436" s="248"/>
      <c r="C436" s="249"/>
      <c r="D436" s="249"/>
      <c r="E436" s="249"/>
      <c r="F436" s="250"/>
      <c r="G436" s="249"/>
      <c r="H436" s="251"/>
      <c r="I436" s="251"/>
      <c r="J436" s="251"/>
      <c r="K436" s="251"/>
      <c r="L436" s="251"/>
      <c r="M436" s="251"/>
      <c r="N436" s="251"/>
      <c r="O436" s="251"/>
      <c r="P436" s="251"/>
      <c r="Q436" s="251"/>
      <c r="R436" s="251"/>
    </row>
    <row r="437" spans="1:18">
      <c r="A437" s="272"/>
      <c r="B437" s="248">
        <v>397</v>
      </c>
      <c r="C437" s="249"/>
      <c r="D437" s="253" t="s">
        <v>2697</v>
      </c>
      <c r="E437" s="249"/>
      <c r="F437" s="250">
        <v>0</v>
      </c>
      <c r="G437" s="249"/>
      <c r="H437" s="251">
        <v>4.9000000000000004</v>
      </c>
      <c r="I437" s="251"/>
      <c r="J437" s="251">
        <v>4.9000000000000004</v>
      </c>
      <c r="K437" s="251"/>
      <c r="L437" s="251">
        <v>0</v>
      </c>
      <c r="M437" s="251"/>
      <c r="N437" s="251">
        <v>0</v>
      </c>
      <c r="O437" s="251"/>
      <c r="P437" s="251" t="s">
        <v>2329</v>
      </c>
      <c r="Q437" s="251"/>
      <c r="R437" s="251">
        <v>13.4</v>
      </c>
    </row>
    <row r="438" spans="1:18">
      <c r="A438" s="272"/>
      <c r="B438" s="248">
        <v>397.1</v>
      </c>
      <c r="C438" s="249"/>
      <c r="D438" s="253" t="s">
        <v>2698</v>
      </c>
      <c r="E438" s="249"/>
      <c r="F438" s="250">
        <v>0</v>
      </c>
      <c r="G438" s="249"/>
      <c r="H438" s="251">
        <v>10.84</v>
      </c>
      <c r="I438" s="251"/>
      <c r="J438" s="251">
        <v>10.84</v>
      </c>
      <c r="K438" s="251"/>
      <c r="L438" s="251">
        <v>0</v>
      </c>
      <c r="M438" s="251"/>
      <c r="N438" s="251">
        <v>0</v>
      </c>
      <c r="O438" s="251"/>
      <c r="P438" s="251" t="s">
        <v>1412</v>
      </c>
      <c r="Q438" s="251"/>
      <c r="R438" s="251">
        <v>5.6</v>
      </c>
    </row>
    <row r="439" spans="1:18">
      <c r="A439" s="272"/>
      <c r="B439" s="248">
        <v>397.2</v>
      </c>
      <c r="C439" s="249"/>
      <c r="D439" s="249" t="s">
        <v>2330</v>
      </c>
      <c r="E439" s="249"/>
      <c r="F439" s="250">
        <v>0</v>
      </c>
      <c r="G439" s="249"/>
      <c r="H439" s="251">
        <v>14.08</v>
      </c>
      <c r="I439" s="251"/>
      <c r="J439" s="251">
        <v>14.08</v>
      </c>
      <c r="K439" s="251"/>
      <c r="L439" s="251">
        <v>0</v>
      </c>
      <c r="M439" s="251"/>
      <c r="N439" s="251">
        <v>0</v>
      </c>
      <c r="O439" s="251"/>
      <c r="P439" s="251" t="s">
        <v>1412</v>
      </c>
      <c r="Q439" s="251"/>
      <c r="R439" s="251">
        <v>6.5</v>
      </c>
    </row>
    <row r="440" spans="1:18">
      <c r="A440" s="272">
        <v>397</v>
      </c>
      <c r="B440" s="248"/>
      <c r="C440" s="249"/>
      <c r="D440" s="249"/>
      <c r="E440" s="249"/>
      <c r="F440" s="250">
        <v>0</v>
      </c>
      <c r="G440" s="249"/>
      <c r="H440" s="690">
        <v>8.24</v>
      </c>
      <c r="I440" s="690"/>
      <c r="J440" s="692"/>
      <c r="K440" s="690"/>
      <c r="L440" s="692"/>
      <c r="M440" s="690"/>
      <c r="N440" s="692"/>
      <c r="O440" s="692"/>
      <c r="P440" s="690" t="s">
        <v>2336</v>
      </c>
      <c r="Q440" s="690"/>
      <c r="R440" s="693" t="s">
        <v>2339</v>
      </c>
    </row>
    <row r="441" spans="1:18">
      <c r="F441" s="250"/>
    </row>
    <row r="442" spans="1:18">
      <c r="F442" s="250"/>
    </row>
    <row r="443" spans="1:18">
      <c r="F443" s="250"/>
    </row>
    <row r="444" spans="1:18">
      <c r="F444" s="250"/>
    </row>
    <row r="445" spans="1:18">
      <c r="A445" s="470"/>
      <c r="F445" s="250"/>
    </row>
    <row r="446" spans="1:18">
      <c r="A446" s="470"/>
      <c r="F446" s="250"/>
    </row>
    <row r="447" spans="1:18">
      <c r="A447" s="470"/>
      <c r="F447" s="250"/>
    </row>
    <row r="448" spans="1:18">
      <c r="A448" s="470"/>
      <c r="F448" s="250"/>
    </row>
    <row r="449" spans="1:6">
      <c r="A449" s="470"/>
      <c r="F449" s="250"/>
    </row>
    <row r="450" spans="1:6">
      <c r="A450" s="470"/>
      <c r="F450" s="250"/>
    </row>
    <row r="451" spans="1:6">
      <c r="A451" s="470"/>
      <c r="F451" s="250"/>
    </row>
  </sheetData>
  <mergeCells count="4">
    <mergeCell ref="B1:R1"/>
    <mergeCell ref="A11:D11"/>
    <mergeCell ref="A4:R4"/>
    <mergeCell ref="A5:R5"/>
  </mergeCells>
  <printOptions horizontalCentered="1"/>
  <pageMargins left="0.2" right="0.25" top="0.5" bottom="0.75" header="0.3" footer="0.3"/>
  <pageSetup scale="58" fitToHeight="12" orientation="landscape" r:id="rId1"/>
  <rowBreaks count="8" manualBreakCount="8">
    <brk id="103" max="16383" man="1"/>
    <brk id="147" max="16383" man="1"/>
    <brk id="172" max="16383" man="1"/>
    <brk id="210" max="16383" man="1"/>
    <brk id="238" max="16383" man="1"/>
    <brk id="280" max="16383" man="1"/>
    <brk id="320" max="16383" man="1"/>
    <brk id="36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58"/>
  <sheetViews>
    <sheetView zoomScaleNormal="100" workbookViewId="0">
      <selection sqref="A1:G1"/>
    </sheetView>
  </sheetViews>
  <sheetFormatPr defaultColWidth="9" defaultRowHeight="12.75"/>
  <cols>
    <col min="1" max="1" width="6" style="69" customWidth="1"/>
    <col min="2" max="2" width="38.33203125" style="69" customWidth="1"/>
    <col min="3" max="3" width="15.77734375" style="69" customWidth="1"/>
    <col min="4" max="4" width="13.6640625" style="69" customWidth="1"/>
    <col min="5" max="7" width="15.77734375" style="69" customWidth="1"/>
    <col min="8" max="8" width="1.6640625" style="69" customWidth="1"/>
    <col min="9" max="16384" width="9" style="69"/>
  </cols>
  <sheetData>
    <row r="1" spans="1:7" s="68" customFormat="1" ht="20.100000000000001" customHeight="1">
      <c r="A1" s="769" t="str">
        <f>'Rate Case Constants'!C9</f>
        <v>KENTUCKY UTILITIES COMPANY</v>
      </c>
      <c r="B1" s="769"/>
      <c r="C1" s="769"/>
      <c r="D1" s="769"/>
      <c r="E1" s="769"/>
      <c r="F1" s="769"/>
      <c r="G1" s="769"/>
    </row>
    <row r="2" spans="1:7" s="68" customFormat="1" ht="20.100000000000001" customHeight="1">
      <c r="A2" s="769" t="str">
        <f>'Rate Case Constants'!C10</f>
        <v>CASE NO. 2018-00294 - RESPONSE TO PSC 2-65 (SLIPPAGE FACTOR 96.027%)</v>
      </c>
      <c r="B2" s="769"/>
      <c r="C2" s="769"/>
      <c r="D2" s="769"/>
      <c r="E2" s="769"/>
      <c r="F2" s="769"/>
      <c r="G2" s="769"/>
    </row>
    <row r="3" spans="1:7" s="68" customFormat="1" ht="20.100000000000001" customHeight="1">
      <c r="A3" s="769" t="s">
        <v>1164</v>
      </c>
      <c r="B3" s="769"/>
      <c r="C3" s="769"/>
      <c r="D3" s="769"/>
      <c r="E3" s="769"/>
      <c r="F3" s="769"/>
      <c r="G3" s="769"/>
    </row>
    <row r="4" spans="1:7" s="68" customFormat="1" ht="20.100000000000001" customHeight="1">
      <c r="A4" s="769" t="str">
        <f>'Rate Case Constants'!C12</f>
        <v>AS OF DECEMBER 31, 2018</v>
      </c>
      <c r="B4" s="769"/>
      <c r="C4" s="769"/>
      <c r="D4" s="769"/>
      <c r="E4" s="769"/>
      <c r="F4" s="769"/>
      <c r="G4" s="769"/>
    </row>
    <row r="5" spans="1:7" s="68" customFormat="1" ht="20.100000000000001" customHeight="1">
      <c r="A5" s="84"/>
      <c r="B5" s="84"/>
      <c r="C5" s="84"/>
      <c r="D5" s="84"/>
      <c r="E5" s="84"/>
      <c r="F5" s="84"/>
      <c r="G5" s="84"/>
    </row>
    <row r="6" spans="1:7" s="68" customFormat="1" ht="20.100000000000001" customHeight="1">
      <c r="A6" s="67" t="s">
        <v>133</v>
      </c>
      <c r="F6" s="74"/>
      <c r="G6" s="74" t="s">
        <v>1163</v>
      </c>
    </row>
    <row r="7" spans="1:7" s="68" customFormat="1" ht="20.100000000000001" customHeight="1">
      <c r="A7" s="68" t="str">
        <f>'Rate Case Constants'!C29</f>
        <v>TYPE OF FILING: __X__ ORIGINAL  _____ UPDATED  _____ REVISED</v>
      </c>
      <c r="F7" s="74"/>
      <c r="G7" s="74" t="s">
        <v>177</v>
      </c>
    </row>
    <row r="8" spans="1:7" s="68" customFormat="1" ht="20.100000000000001" customHeight="1">
      <c r="A8" s="67" t="s">
        <v>1198</v>
      </c>
      <c r="E8" s="67"/>
      <c r="F8" s="75"/>
      <c r="G8" s="75" t="str">
        <f>'Rate Case Constants'!C36</f>
        <v>WITNESS:   C. M. GARRETT</v>
      </c>
    </row>
    <row r="9" spans="1:7" s="68" customFormat="1" ht="20.100000000000001" customHeight="1"/>
    <row r="10" spans="1:7" ht="58.5" customHeight="1">
      <c r="A10" s="76" t="s">
        <v>131</v>
      </c>
      <c r="B10" s="79" t="s">
        <v>1165</v>
      </c>
      <c r="C10" s="76" t="s">
        <v>223</v>
      </c>
      <c r="D10" s="76" t="s">
        <v>224</v>
      </c>
      <c r="E10" s="76" t="s">
        <v>225</v>
      </c>
      <c r="F10" s="76" t="s">
        <v>226</v>
      </c>
      <c r="G10" s="76" t="s">
        <v>227</v>
      </c>
    </row>
    <row r="11" spans="1:7" ht="23.1" customHeight="1">
      <c r="A11" s="80"/>
      <c r="B11" s="81"/>
      <c r="C11" s="82" t="s">
        <v>142</v>
      </c>
      <c r="D11" s="82"/>
      <c r="E11" s="82" t="s">
        <v>142</v>
      </c>
      <c r="F11" s="82" t="s">
        <v>142</v>
      </c>
      <c r="G11" s="82" t="s">
        <v>142</v>
      </c>
    </row>
    <row r="12" spans="1:7" ht="23.1" customHeight="1">
      <c r="A12" s="73"/>
      <c r="B12" s="78" t="s">
        <v>1172</v>
      </c>
      <c r="C12" s="95"/>
      <c r="D12" s="95"/>
      <c r="E12" s="95"/>
      <c r="F12" s="95"/>
      <c r="G12" s="95"/>
    </row>
    <row r="13" spans="1:7" ht="18.95" customHeight="1">
      <c r="A13" s="70">
        <v>1</v>
      </c>
      <c r="B13" s="78" t="s">
        <v>294</v>
      </c>
      <c r="C13" s="86">
        <f>'SCH B-2.1 B'!D16</f>
        <v>131597026.5742043</v>
      </c>
      <c r="D13" s="130">
        <f>E13/C13</f>
        <v>0.89023231395719604</v>
      </c>
      <c r="E13" s="86">
        <f>'SCH B-2.1 B'!F16</f>
        <v>117151925.47704051</v>
      </c>
      <c r="F13" s="86">
        <f>'SCH B-2.1 B'!G16</f>
        <v>0</v>
      </c>
      <c r="G13" s="88">
        <f t="shared" ref="G13" si="0">SUM(E13:F13)</f>
        <v>117151925.47704051</v>
      </c>
    </row>
    <row r="14" spans="1:7" ht="18.95" customHeight="1">
      <c r="A14" s="70"/>
      <c r="B14" s="78"/>
      <c r="C14" s="86"/>
      <c r="D14" s="130"/>
      <c r="E14" s="86"/>
      <c r="F14" s="86"/>
      <c r="G14" s="86"/>
    </row>
    <row r="15" spans="1:7" ht="18.95" customHeight="1">
      <c r="A15" s="70">
        <v>2</v>
      </c>
      <c r="B15" s="78" t="s">
        <v>1166</v>
      </c>
      <c r="C15" s="86">
        <f>'SCH B-2.1 B'!D27</f>
        <v>5324313088.006074</v>
      </c>
      <c r="D15" s="130">
        <f>E15/C15</f>
        <v>0.86992421365398764</v>
      </c>
      <c r="E15" s="86">
        <f>'SCH B-2.1 B'!F27</f>
        <v>4631748876.3313189</v>
      </c>
      <c r="F15" s="86">
        <f>'SCH B-2.1 B'!G27</f>
        <v>-1403970668.2755706</v>
      </c>
      <c r="G15" s="88">
        <f t="shared" ref="G15" si="1">SUM(E15:F15)</f>
        <v>3227778208.055748</v>
      </c>
    </row>
    <row r="16" spans="1:7" ht="18.95" customHeight="1">
      <c r="A16" s="70"/>
      <c r="B16" s="78"/>
      <c r="C16" s="86"/>
      <c r="D16" s="86"/>
      <c r="E16" s="86"/>
      <c r="F16" s="86"/>
      <c r="G16" s="86"/>
    </row>
    <row r="17" spans="1:7" ht="18.95" customHeight="1">
      <c r="A17" s="70">
        <v>3</v>
      </c>
      <c r="B17" s="78" t="s">
        <v>1168</v>
      </c>
      <c r="C17" s="86">
        <f>'SCH B-2.1 B'!D38</f>
        <v>43772757.860000007</v>
      </c>
      <c r="D17" s="130">
        <f>E17/C17</f>
        <v>0.87460906517350534</v>
      </c>
      <c r="E17" s="86">
        <f>'SCH B-2.1 B'!F38</f>
        <v>38284050.832000814</v>
      </c>
      <c r="F17" s="86">
        <f>'SCH B-2.1 B'!G38</f>
        <v>-566185.13035253459</v>
      </c>
      <c r="G17" s="88">
        <f t="shared" ref="G17" si="2">SUM(E17:F17)</f>
        <v>37717865.70164828</v>
      </c>
    </row>
    <row r="18" spans="1:7" ht="18.95" customHeight="1">
      <c r="A18" s="70"/>
      <c r="B18" s="78"/>
      <c r="C18" s="86"/>
      <c r="D18" s="86"/>
      <c r="E18" s="86"/>
      <c r="F18" s="86"/>
      <c r="G18" s="86"/>
    </row>
    <row r="19" spans="1:7" ht="18.95" customHeight="1">
      <c r="A19" s="70">
        <v>4</v>
      </c>
      <c r="B19" s="78" t="s">
        <v>1169</v>
      </c>
      <c r="C19" s="86">
        <f>'SCH B-2.1 B'!D60</f>
        <v>1037496065.8340194</v>
      </c>
      <c r="D19" s="130">
        <f>E19/C19</f>
        <v>0.8725234037066999</v>
      </c>
      <c r="E19" s="86">
        <f>'SCH B-2.1 B'!F60</f>
        <v>905239598.69380903</v>
      </c>
      <c r="F19" s="86">
        <f>'SCH B-2.1 B'!G60</f>
        <v>-356823.48370945093</v>
      </c>
      <c r="G19" s="88">
        <f t="shared" ref="G19" si="3">SUM(E19:F19)</f>
        <v>904882775.21009958</v>
      </c>
    </row>
    <row r="20" spans="1:7" ht="18.95" customHeight="1">
      <c r="A20" s="70"/>
      <c r="B20" s="78"/>
      <c r="C20" s="86"/>
      <c r="D20" s="86"/>
      <c r="E20" s="86"/>
      <c r="F20" s="86"/>
      <c r="G20" s="86"/>
    </row>
    <row r="21" spans="1:7" ht="18.95" customHeight="1">
      <c r="A21" s="70">
        <v>5</v>
      </c>
      <c r="B21" s="78" t="s">
        <v>245</v>
      </c>
      <c r="C21" s="86">
        <f>'SCH B-2.1 B'!D72</f>
        <v>1076204059.1121941</v>
      </c>
      <c r="D21" s="130">
        <f>E21/C21</f>
        <v>0.9005399553277782</v>
      </c>
      <c r="E21" s="86">
        <f>'SCH B-2.1 B'!F72</f>
        <v>969164755.31646883</v>
      </c>
      <c r="F21" s="86">
        <f>'SCH B-2.1 B'!G72</f>
        <v>-527181.88071949384</v>
      </c>
      <c r="G21" s="88">
        <f t="shared" ref="G21" si="4">SUM(E21:F21)</f>
        <v>968637573.43574929</v>
      </c>
    </row>
    <row r="22" spans="1:7" ht="18.95" customHeight="1">
      <c r="A22" s="70"/>
      <c r="B22" s="78"/>
      <c r="C22" s="86"/>
      <c r="D22" s="86"/>
      <c r="E22" s="86"/>
      <c r="F22" s="86"/>
      <c r="G22" s="86"/>
    </row>
    <row r="23" spans="1:7" ht="18.95" customHeight="1">
      <c r="A23" s="70">
        <v>6</v>
      </c>
      <c r="B23" s="78" t="s">
        <v>1170</v>
      </c>
      <c r="C23" s="86">
        <f>'SCH B-2.1 B'!D88</f>
        <v>1947271007.2515206</v>
      </c>
      <c r="D23" s="130">
        <f>E23/C23</f>
        <v>0.94769978511333941</v>
      </c>
      <c r="E23" s="86">
        <f>'SCH B-2.1 B'!F88</f>
        <v>1845428315.1297021</v>
      </c>
      <c r="F23" s="86">
        <f>'SCH B-2.1 B'!G88</f>
        <v>-3503415.1213217634</v>
      </c>
      <c r="G23" s="88">
        <f t="shared" ref="G23" si="5">SUM(E23:F23)</f>
        <v>1841924900.0083804</v>
      </c>
    </row>
    <row r="24" spans="1:7" ht="18.95" customHeight="1">
      <c r="A24" s="70"/>
      <c r="B24" s="78"/>
      <c r="C24" s="86"/>
      <c r="D24" s="86"/>
      <c r="E24" s="86"/>
      <c r="F24" s="86"/>
      <c r="G24" s="86"/>
    </row>
    <row r="25" spans="1:7" ht="18.95" customHeight="1">
      <c r="A25" s="70">
        <v>7</v>
      </c>
      <c r="B25" s="78" t="s">
        <v>1171</v>
      </c>
      <c r="C25" s="131">
        <f>'SCH B-2.1 B'!D111</f>
        <v>213731936.44334698</v>
      </c>
      <c r="D25" s="130">
        <f>E25/C25</f>
        <v>0.90848118081575679</v>
      </c>
      <c r="E25" s="131">
        <f>'SCH B-2.1 B'!F111</f>
        <v>194171441.99809015</v>
      </c>
      <c r="F25" s="131">
        <f>'SCH B-2.1 B'!G111</f>
        <v>-7794751.307618835</v>
      </c>
      <c r="G25" s="89">
        <f t="shared" ref="G25" si="6">SUM(E25:F25)</f>
        <v>186376690.69047132</v>
      </c>
    </row>
    <row r="26" spans="1:7" ht="18.95" customHeight="1">
      <c r="A26" s="70"/>
      <c r="B26" s="78"/>
      <c r="C26" s="86"/>
      <c r="D26" s="86"/>
      <c r="E26" s="86"/>
      <c r="F26" s="86"/>
      <c r="G26" s="86"/>
    </row>
    <row r="27" spans="1:7" ht="18.95" customHeight="1" thickBot="1">
      <c r="A27" s="70">
        <v>8</v>
      </c>
      <c r="B27" s="78" t="s">
        <v>1174</v>
      </c>
      <c r="C27" s="94">
        <f>SUM(C13:C25)</f>
        <v>9774385941.0813599</v>
      </c>
      <c r="D27" s="86"/>
      <c r="E27" s="94">
        <f t="shared" ref="E27:G27" si="7">SUM(E13:E25)</f>
        <v>8701188963.7784309</v>
      </c>
      <c r="F27" s="94">
        <f t="shared" si="7"/>
        <v>-1416719025.1992924</v>
      </c>
      <c r="G27" s="94">
        <f t="shared" si="7"/>
        <v>7284469938.5791378</v>
      </c>
    </row>
    <row r="28" spans="1:7" ht="18.95" customHeight="1" thickTop="1">
      <c r="A28" s="70"/>
      <c r="B28" s="78"/>
      <c r="C28" s="86"/>
      <c r="D28" s="86"/>
      <c r="E28" s="86"/>
      <c r="F28" s="86"/>
      <c r="G28" s="86"/>
    </row>
    <row r="29" spans="1:7" s="68" customFormat="1" ht="20.100000000000001" customHeight="1">
      <c r="A29" s="769" t="str">
        <f>$A$1</f>
        <v>KENTUCKY UTILITIES COMPANY</v>
      </c>
      <c r="B29" s="769"/>
      <c r="C29" s="769"/>
      <c r="D29" s="769"/>
      <c r="E29" s="769"/>
      <c r="F29" s="769"/>
      <c r="G29" s="769"/>
    </row>
    <row r="30" spans="1:7" s="68" customFormat="1" ht="20.100000000000001" customHeight="1">
      <c r="A30" s="769" t="str">
        <f>$A$2</f>
        <v>CASE NO. 2018-00294 - RESPONSE TO PSC 2-65 (SLIPPAGE FACTOR 96.027%)</v>
      </c>
      <c r="B30" s="769"/>
      <c r="C30" s="769"/>
      <c r="D30" s="769"/>
      <c r="E30" s="769"/>
      <c r="F30" s="769"/>
      <c r="G30" s="769"/>
    </row>
    <row r="31" spans="1:7" s="68" customFormat="1" ht="20.100000000000001" customHeight="1">
      <c r="A31" s="769" t="str">
        <f>$A$3</f>
        <v>PLANT IN SERVICE BY MAJOR PROPERTY GROUPING</v>
      </c>
      <c r="B31" s="769"/>
      <c r="C31" s="769"/>
      <c r="D31" s="769"/>
      <c r="E31" s="769"/>
      <c r="F31" s="769"/>
      <c r="G31" s="769"/>
    </row>
    <row r="32" spans="1:7" s="68" customFormat="1" ht="20.100000000000001" customHeight="1">
      <c r="A32" s="768" t="str">
        <f>'Rate Case Constants'!C18</f>
        <v>AS OF APRIL 30, 2020</v>
      </c>
      <c r="B32" s="769"/>
      <c r="C32" s="769"/>
      <c r="D32" s="769"/>
      <c r="E32" s="769"/>
      <c r="F32" s="769"/>
      <c r="G32" s="769"/>
    </row>
    <row r="33" spans="1:7" s="68" customFormat="1" ht="20.100000000000001" customHeight="1">
      <c r="A33" s="84"/>
      <c r="B33" s="84"/>
      <c r="C33" s="84"/>
      <c r="D33" s="84"/>
      <c r="E33" s="84"/>
      <c r="F33" s="84"/>
      <c r="G33" s="84"/>
    </row>
    <row r="34" spans="1:7" s="68" customFormat="1" ht="20.100000000000001" customHeight="1">
      <c r="A34" s="67" t="s">
        <v>161</v>
      </c>
      <c r="F34" s="74"/>
      <c r="G34" s="74" t="s">
        <v>1163</v>
      </c>
    </row>
    <row r="35" spans="1:7" s="68" customFormat="1" ht="20.100000000000001" customHeight="1">
      <c r="A35" s="67" t="str">
        <f>$A$7</f>
        <v>TYPE OF FILING: __X__ ORIGINAL  _____ UPDATED  _____ REVISED</v>
      </c>
      <c r="F35" s="74"/>
      <c r="G35" s="74" t="s">
        <v>185</v>
      </c>
    </row>
    <row r="36" spans="1:7" s="68" customFormat="1" ht="20.100000000000001" customHeight="1">
      <c r="A36" s="67" t="str">
        <f>$A$8</f>
        <v>WORKPAPER REFERENCE NO(S).:</v>
      </c>
      <c r="E36" s="67"/>
      <c r="F36" s="75"/>
      <c r="G36" s="75" t="str">
        <f>$G$8</f>
        <v>WITNESS:   C. M. GARRETT</v>
      </c>
    </row>
    <row r="37" spans="1:7" s="68" customFormat="1" ht="20.100000000000001" customHeight="1"/>
    <row r="38" spans="1:7" ht="81.95" customHeight="1">
      <c r="A38" s="76" t="s">
        <v>131</v>
      </c>
      <c r="B38" s="79" t="s">
        <v>222</v>
      </c>
      <c r="C38" s="76" t="s">
        <v>1167</v>
      </c>
      <c r="D38" s="76" t="s">
        <v>224</v>
      </c>
      <c r="E38" s="76" t="s">
        <v>225</v>
      </c>
      <c r="F38" s="76" t="s">
        <v>226</v>
      </c>
      <c r="G38" s="76" t="s">
        <v>1173</v>
      </c>
    </row>
    <row r="39" spans="1:7" ht="23.1" customHeight="1">
      <c r="A39" s="80"/>
      <c r="B39" s="81"/>
      <c r="C39" s="82" t="s">
        <v>142</v>
      </c>
      <c r="D39" s="82"/>
      <c r="E39" s="82" t="s">
        <v>142</v>
      </c>
      <c r="F39" s="82" t="s">
        <v>142</v>
      </c>
      <c r="G39" s="82" t="s">
        <v>142</v>
      </c>
    </row>
    <row r="40" spans="1:7" ht="23.1" customHeight="1">
      <c r="A40" s="73"/>
      <c r="B40" s="132" t="s">
        <v>1172</v>
      </c>
      <c r="C40" s="95"/>
      <c r="D40" s="95"/>
      <c r="E40" s="95"/>
      <c r="F40" s="95"/>
      <c r="G40" s="95"/>
    </row>
    <row r="41" spans="1:7" ht="18.95" customHeight="1">
      <c r="A41" s="70">
        <v>1</v>
      </c>
      <c r="B41" s="78" t="s">
        <v>294</v>
      </c>
      <c r="C41" s="86">
        <f>'SCH B-2.1 F'!D16</f>
        <v>97363376.098795727</v>
      </c>
      <c r="D41" s="130">
        <f>E41/C41</f>
        <v>0.93501127294776309</v>
      </c>
      <c r="E41" s="86">
        <f>'SCH B-2.1 F'!F16</f>
        <v>91035854.224626809</v>
      </c>
      <c r="F41" s="86">
        <f>'SCH B-2.1 F'!G16</f>
        <v>0</v>
      </c>
      <c r="G41" s="88">
        <f t="shared" ref="G41" si="8">SUM(E41:F41)</f>
        <v>91035854.224626809</v>
      </c>
    </row>
    <row r="42" spans="1:7" ht="18.95" customHeight="1">
      <c r="A42" s="70"/>
      <c r="B42" s="78"/>
      <c r="C42" s="86"/>
      <c r="D42" s="130"/>
      <c r="E42" s="86"/>
      <c r="F42" s="86"/>
      <c r="G42" s="86"/>
    </row>
    <row r="43" spans="1:7" ht="18.95" customHeight="1">
      <c r="A43" s="70">
        <v>2</v>
      </c>
      <c r="B43" s="78" t="s">
        <v>1166</v>
      </c>
      <c r="C43" s="86">
        <f>'SCH B-2.1 F'!D27</f>
        <v>5458446316.0801649</v>
      </c>
      <c r="D43" s="130">
        <f>E43/C43</f>
        <v>0.93543431741123273</v>
      </c>
      <c r="E43" s="86">
        <f>'SCH B-2.1 F'!F27</f>
        <v>5106018003.8083067</v>
      </c>
      <c r="F43" s="86">
        <f>'SCH B-2.1 F'!G27</f>
        <v>-1691786086.7164645</v>
      </c>
      <c r="G43" s="88">
        <f t="shared" ref="G43" si="9">SUM(E43:F43)</f>
        <v>3414231917.0918422</v>
      </c>
    </row>
    <row r="44" spans="1:7" ht="18.95" customHeight="1">
      <c r="A44" s="70"/>
      <c r="B44" s="78"/>
      <c r="C44" s="86"/>
      <c r="D44" s="86"/>
      <c r="E44" s="86"/>
      <c r="F44" s="86"/>
      <c r="G44" s="86"/>
    </row>
    <row r="45" spans="1:7" ht="18.95" customHeight="1">
      <c r="A45" s="70">
        <v>3</v>
      </c>
      <c r="B45" s="78" t="s">
        <v>1168</v>
      </c>
      <c r="C45" s="86">
        <f>'SCH B-2.1 F'!D38</f>
        <v>43851877.755444609</v>
      </c>
      <c r="D45" s="130">
        <f>E45/C45</f>
        <v>0.93702736377156204</v>
      </c>
      <c r="E45" s="86">
        <f>'SCH B-2.1 F'!F38</f>
        <v>41090409.409617066</v>
      </c>
      <c r="F45" s="86">
        <f>'SCH B-2.1 F'!G38</f>
        <v>-605372.01432091487</v>
      </c>
      <c r="G45" s="88">
        <f t="shared" ref="G45" si="10">SUM(E45:F45)</f>
        <v>40485037.395296149</v>
      </c>
    </row>
    <row r="46" spans="1:7" ht="18.95" customHeight="1">
      <c r="A46" s="70"/>
      <c r="B46" s="78"/>
      <c r="C46" s="86"/>
      <c r="D46" s="86"/>
      <c r="E46" s="86"/>
      <c r="F46" s="86"/>
      <c r="G46" s="86"/>
    </row>
    <row r="47" spans="1:7" ht="18.95" customHeight="1">
      <c r="A47" s="70">
        <v>4</v>
      </c>
      <c r="B47" s="78" t="s">
        <v>1169</v>
      </c>
      <c r="C47" s="86">
        <f>'SCH B-2.1 F'!D60</f>
        <v>1067657097.8997834</v>
      </c>
      <c r="D47" s="130">
        <f>E47/C47</f>
        <v>0.93667519959811762</v>
      </c>
      <c r="E47" s="86">
        <f>'SCH B-2.1 F'!F60</f>
        <v>1000047925.2776266</v>
      </c>
      <c r="F47" s="86">
        <f>'SCH B-2.1 F'!G60</f>
        <v>-381520.00027923286</v>
      </c>
      <c r="G47" s="88">
        <f t="shared" ref="G47" si="11">SUM(E47:F47)</f>
        <v>999666405.27734745</v>
      </c>
    </row>
    <row r="48" spans="1:7" ht="18.95" customHeight="1">
      <c r="A48" s="70"/>
      <c r="B48" s="78"/>
      <c r="C48" s="86"/>
      <c r="D48" s="86"/>
      <c r="E48" s="86"/>
      <c r="F48" s="86"/>
      <c r="G48" s="86"/>
    </row>
    <row r="49" spans="1:7" ht="18.95" customHeight="1">
      <c r="A49" s="70">
        <v>5</v>
      </c>
      <c r="B49" s="78" t="s">
        <v>245</v>
      </c>
      <c r="C49" s="86">
        <f>'SCH B-2.1 F'!D72</f>
        <v>1137907254.1236804</v>
      </c>
      <c r="D49" s="130">
        <f>E49/C49</f>
        <v>0.90508402653715792</v>
      </c>
      <c r="E49" s="86">
        <f>'SCH B-2.1 F'!F72</f>
        <v>1029901679.3881016</v>
      </c>
      <c r="F49" s="86">
        <f>'SCH B-2.1 F'!G72</f>
        <v>-527181.88071949384</v>
      </c>
      <c r="G49" s="88">
        <f t="shared" ref="G49" si="12">SUM(E49:F49)</f>
        <v>1029374497.507382</v>
      </c>
    </row>
    <row r="50" spans="1:7" ht="18.95" customHeight="1">
      <c r="A50" s="70"/>
      <c r="B50" s="78"/>
      <c r="C50" s="86"/>
      <c r="D50" s="86"/>
      <c r="E50" s="86"/>
      <c r="F50" s="86"/>
      <c r="G50" s="86"/>
    </row>
    <row r="51" spans="1:7" ht="18.95" customHeight="1">
      <c r="A51" s="70">
        <v>6</v>
      </c>
      <c r="B51" s="78" t="s">
        <v>1170</v>
      </c>
      <c r="C51" s="86">
        <f>'SCH B-2.1 F'!D88</f>
        <v>2028003527.0356331</v>
      </c>
      <c r="D51" s="130">
        <f>E51/C51</f>
        <v>0.9488056371034822</v>
      </c>
      <c r="E51" s="86">
        <f>'SCH B-2.1 F'!F88</f>
        <v>1924181178.5171528</v>
      </c>
      <c r="F51" s="86">
        <f>'SCH B-2.1 F'!G88</f>
        <v>-3502708.1920560705</v>
      </c>
      <c r="G51" s="88">
        <f t="shared" ref="G51" si="13">SUM(E51:F51)</f>
        <v>1920678470.3250966</v>
      </c>
    </row>
    <row r="52" spans="1:7" ht="18.95" customHeight="1">
      <c r="A52" s="70"/>
      <c r="B52" s="78"/>
      <c r="C52" s="86"/>
      <c r="D52" s="86"/>
      <c r="E52" s="86"/>
      <c r="F52" s="86"/>
      <c r="G52" s="86"/>
    </row>
    <row r="53" spans="1:7" ht="18.95" customHeight="1">
      <c r="A53" s="70">
        <v>7</v>
      </c>
      <c r="B53" s="78" t="s">
        <v>1171</v>
      </c>
      <c r="C53" s="131">
        <f>'SCH B-2.1 F'!D111</f>
        <v>227252325.4267799</v>
      </c>
      <c r="D53" s="130">
        <f>E53/C53</f>
        <v>0.94275660489658997</v>
      </c>
      <c r="E53" s="131">
        <f>'SCH B-2.1 F'!F111</f>
        <v>214243630.77420601</v>
      </c>
      <c r="F53" s="131">
        <f>'SCH B-2.1 F'!G111</f>
        <v>-7989705.8502715454</v>
      </c>
      <c r="G53" s="89">
        <f t="shared" ref="G53" si="14">SUM(E53:F53)</f>
        <v>206253924.92393446</v>
      </c>
    </row>
    <row r="54" spans="1:7" ht="18.95" customHeight="1">
      <c r="A54" s="70"/>
      <c r="B54" s="78"/>
      <c r="C54" s="86"/>
      <c r="D54" s="86"/>
      <c r="E54" s="86"/>
      <c r="F54" s="86"/>
      <c r="G54" s="86"/>
    </row>
    <row r="55" spans="1:7" ht="18.95" customHeight="1" thickBot="1">
      <c r="A55" s="70">
        <v>8</v>
      </c>
      <c r="B55" s="78" t="s">
        <v>1174</v>
      </c>
      <c r="C55" s="94">
        <f>SUM(C41:C53)</f>
        <v>10060481774.420282</v>
      </c>
      <c r="D55" s="86"/>
      <c r="E55" s="94">
        <f t="shared" ref="E55:G55" si="15">SUM(E41:E53)</f>
        <v>9406518681.3996372</v>
      </c>
      <c r="F55" s="94">
        <f t="shared" si="15"/>
        <v>-1704792574.6541116</v>
      </c>
      <c r="G55" s="94">
        <f t="shared" si="15"/>
        <v>7701726106.7455273</v>
      </c>
    </row>
    <row r="56" spans="1:7" ht="18.95" customHeight="1" thickTop="1"/>
    <row r="57" spans="1:7" ht="18.95" customHeight="1"/>
    <row r="58" spans="1:7">
      <c r="C58" s="93"/>
      <c r="E58" s="93"/>
    </row>
  </sheetData>
  <mergeCells count="8">
    <mergeCell ref="A29:G29"/>
    <mergeCell ref="A30:G30"/>
    <mergeCell ref="A31:G31"/>
    <mergeCell ref="A32:G32"/>
    <mergeCell ref="A1:G1"/>
    <mergeCell ref="A2:G2"/>
    <mergeCell ref="A3:G3"/>
    <mergeCell ref="A4:G4"/>
  </mergeCells>
  <pageMargins left="0.95" right="0.5" top="0.75" bottom="0.75" header="0.3" footer="0.3"/>
  <pageSetup scale="74" fitToHeight="0" orientation="portrait" r:id="rId1"/>
  <rowBreaks count="1" manualBreakCount="1">
    <brk id="2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131"/>
  <sheetViews>
    <sheetView zoomScaleNormal="100" workbookViewId="0">
      <selection sqref="A1:H1"/>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3.6640625" style="69" customWidth="1"/>
    <col min="6" max="8" width="15.77734375" style="69" customWidth="1"/>
    <col min="9" max="9" width="1.6640625" style="69" customWidth="1"/>
    <col min="10" max="16384" width="9" style="69"/>
  </cols>
  <sheetData>
    <row r="1" spans="1:8" s="68" customFormat="1" ht="20.100000000000001" customHeight="1">
      <c r="A1" s="769" t="str">
        <f>'Rate Case Constants'!C9</f>
        <v>KENTUCKY UTILITIES COMPANY</v>
      </c>
      <c r="B1" s="769"/>
      <c r="C1" s="769"/>
      <c r="D1" s="769"/>
      <c r="E1" s="769"/>
      <c r="F1" s="769"/>
      <c r="G1" s="769"/>
      <c r="H1" s="769"/>
    </row>
    <row r="2" spans="1:8" s="68" customFormat="1" ht="20.100000000000001" customHeight="1">
      <c r="A2" s="769" t="str">
        <f>'Rate Case Constants'!C10</f>
        <v>CASE NO. 2018-00294 - RESPONSE TO PSC 2-65 (SLIPPAGE FACTOR 96.027%)</v>
      </c>
      <c r="B2" s="769"/>
      <c r="C2" s="769"/>
      <c r="D2" s="769"/>
      <c r="E2" s="769"/>
      <c r="F2" s="769"/>
      <c r="G2" s="769"/>
      <c r="H2" s="769"/>
    </row>
    <row r="3" spans="1:8" s="68" customFormat="1" ht="20.100000000000001" customHeight="1">
      <c r="A3" s="769" t="s">
        <v>221</v>
      </c>
      <c r="B3" s="769"/>
      <c r="C3" s="769"/>
      <c r="D3" s="769"/>
      <c r="E3" s="769"/>
      <c r="F3" s="769"/>
      <c r="G3" s="769"/>
      <c r="H3" s="769"/>
    </row>
    <row r="4" spans="1:8" s="68" customFormat="1" ht="20.100000000000001" customHeight="1">
      <c r="A4" s="769" t="str">
        <f>'Rate Case Constants'!C12</f>
        <v>AS OF DECEMBER 31, 2018</v>
      </c>
      <c r="B4" s="769"/>
      <c r="C4" s="769"/>
      <c r="D4" s="769"/>
      <c r="E4" s="769"/>
      <c r="F4" s="769"/>
      <c r="G4" s="769"/>
      <c r="H4" s="769"/>
    </row>
    <row r="5" spans="1:8" s="68" customFormat="1" ht="20.100000000000001" customHeight="1">
      <c r="A5" s="84"/>
      <c r="B5" s="84"/>
      <c r="C5" s="84"/>
      <c r="D5" s="84"/>
      <c r="E5" s="84"/>
      <c r="F5" s="84"/>
      <c r="G5" s="84"/>
      <c r="H5" s="84"/>
    </row>
    <row r="6" spans="1:8" s="68" customFormat="1" ht="20.100000000000001" customHeight="1">
      <c r="A6" s="67" t="s">
        <v>133</v>
      </c>
      <c r="B6" s="67"/>
      <c r="G6" s="74"/>
      <c r="H6" s="74" t="s">
        <v>228</v>
      </c>
    </row>
    <row r="7" spans="1:8" s="68" customFormat="1" ht="20.100000000000001" customHeight="1">
      <c r="A7" s="68" t="str">
        <f>'Rate Case Constants'!C29</f>
        <v>TYPE OF FILING: __X__ ORIGINAL  _____ UPDATED  _____ REVISED</v>
      </c>
      <c r="G7" s="74"/>
      <c r="H7" s="74" t="s">
        <v>173</v>
      </c>
    </row>
    <row r="8" spans="1:8" s="68" customFormat="1" ht="20.100000000000001" customHeight="1">
      <c r="A8" s="67" t="s">
        <v>1416</v>
      </c>
      <c r="B8" s="67"/>
      <c r="F8" s="67"/>
      <c r="G8" s="75"/>
      <c r="H8" s="75" t="str">
        <f>'Rate Case Constants'!C36</f>
        <v>WITNESS:   C. M. GARRETT</v>
      </c>
    </row>
    <row r="9" spans="1:8" s="68" customFormat="1" ht="20.100000000000001" customHeight="1"/>
    <row r="10" spans="1:8" ht="58.5" customHeight="1">
      <c r="A10" s="76" t="s">
        <v>131</v>
      </c>
      <c r="B10" s="76" t="s">
        <v>134</v>
      </c>
      <c r="C10" s="79" t="s">
        <v>222</v>
      </c>
      <c r="D10" s="76" t="s">
        <v>223</v>
      </c>
      <c r="E10" s="76" t="s">
        <v>224</v>
      </c>
      <c r="F10" s="76" t="s">
        <v>225</v>
      </c>
      <c r="G10" s="76" t="s">
        <v>226</v>
      </c>
      <c r="H10" s="76" t="s">
        <v>227</v>
      </c>
    </row>
    <row r="11" spans="1:8" ht="23.1" customHeight="1">
      <c r="A11" s="80"/>
      <c r="B11" s="80"/>
      <c r="C11" s="81"/>
      <c r="D11" s="82" t="s">
        <v>142</v>
      </c>
      <c r="E11" s="82"/>
      <c r="F11" s="82" t="s">
        <v>142</v>
      </c>
      <c r="G11" s="82" t="s">
        <v>142</v>
      </c>
      <c r="H11" s="82" t="s">
        <v>142</v>
      </c>
    </row>
    <row r="12" spans="1:8" ht="23.1" customHeight="1">
      <c r="A12" s="73">
        <v>1</v>
      </c>
      <c r="B12" s="73"/>
      <c r="C12" s="85" t="s">
        <v>56</v>
      </c>
      <c r="D12" s="77"/>
      <c r="E12" s="77"/>
      <c r="F12" s="77"/>
      <c r="G12" s="77"/>
      <c r="H12" s="77"/>
    </row>
    <row r="13" spans="1:8" ht="18.95" customHeight="1">
      <c r="A13" s="70">
        <f>A12+1</f>
        <v>2</v>
      </c>
      <c r="B13" s="71" t="s">
        <v>1620</v>
      </c>
      <c r="C13" s="78" t="s">
        <v>1621</v>
      </c>
      <c r="D13" s="86">
        <f>'SCH B-2.3 B'!H13</f>
        <v>44455.58</v>
      </c>
      <c r="E13" s="130">
        <f>F13/D13</f>
        <v>0.89018565112547299</v>
      </c>
      <c r="F13" s="86">
        <f>SUMIFS('JURISSEP B'!$G$71:$G$225,'JURISSEP B'!$B$71:$B$225,$B13)</f>
        <v>39573.719428460558</v>
      </c>
      <c r="G13" s="86">
        <f>SUMIFS('SCH B-2.2'!$F$12:$F$28,'SCH B-2.2'!$B$12:$B$28,'SCH B-2.1 B'!$B13)</f>
        <v>0</v>
      </c>
      <c r="H13" s="86">
        <f>SUM(F13:G13)</f>
        <v>39573.719428460558</v>
      </c>
    </row>
    <row r="14" spans="1:8" ht="18.95" customHeight="1">
      <c r="A14" s="70">
        <f t="shared" ref="A14:A77" si="0">A13+1</f>
        <v>3</v>
      </c>
      <c r="B14" s="71" t="s">
        <v>1622</v>
      </c>
      <c r="C14" s="78" t="s">
        <v>1623</v>
      </c>
      <c r="D14" s="86">
        <f>'SCH B-2.3 B'!H14</f>
        <v>55918.83</v>
      </c>
      <c r="E14" s="130">
        <f t="shared" ref="E14:E15" si="1">F14/D14</f>
        <v>1</v>
      </c>
      <c r="F14" s="88">
        <f>SUMIFS('JURISSEP B'!$G$71:$G$225,'JURISSEP B'!$B$71:$B$225,$B14)</f>
        <v>55918.83</v>
      </c>
      <c r="G14" s="87">
        <f>SUMIFS('SCH B-2.2'!$F$12:$F$28,'SCH B-2.2'!$B$12:$B$28,'SCH B-2.1 B'!$B14)</f>
        <v>0</v>
      </c>
      <c r="H14" s="88">
        <f t="shared" ref="H14:H15" si="2">SUM(F14:G14)</f>
        <v>55918.83</v>
      </c>
    </row>
    <row r="15" spans="1:8" ht="18.95" customHeight="1">
      <c r="A15" s="70">
        <f t="shared" si="0"/>
        <v>4</v>
      </c>
      <c r="B15" s="71" t="s">
        <v>1624</v>
      </c>
      <c r="C15" s="78" t="s">
        <v>1625</v>
      </c>
      <c r="D15" s="89">
        <f>'SCH B-2.3 B'!H15</f>
        <v>131496652.1642043</v>
      </c>
      <c r="E15" s="130">
        <f t="shared" si="1"/>
        <v>0.8901856511254731</v>
      </c>
      <c r="F15" s="89">
        <f>SUMIFS('JURISSEP B'!$G$71:$G$225,'JURISSEP B'!$B$71:$B$225,$B15)</f>
        <v>117056432.92761205</v>
      </c>
      <c r="G15" s="89">
        <f>SUMIFS('SCH B-2.2'!$F$12:$F$28,'SCH B-2.2'!$B$12:$B$28,'SCH B-2.1 B'!$B15)</f>
        <v>0</v>
      </c>
      <c r="H15" s="89">
        <f t="shared" si="2"/>
        <v>117056432.92761205</v>
      </c>
    </row>
    <row r="16" spans="1:8" ht="18.95" customHeight="1">
      <c r="A16" s="70">
        <f t="shared" si="0"/>
        <v>5</v>
      </c>
      <c r="B16" s="70"/>
      <c r="C16" s="78" t="s">
        <v>143</v>
      </c>
      <c r="D16" s="86">
        <f>SUM(D13:D15)</f>
        <v>131597026.5742043</v>
      </c>
      <c r="E16" s="86"/>
      <c r="F16" s="86">
        <f>SUM(F13:F15)</f>
        <v>117151925.47704051</v>
      </c>
      <c r="G16" s="86">
        <f>SUM(G13:G15)</f>
        <v>0</v>
      </c>
      <c r="H16" s="86">
        <f>SUM(H13:H15)</f>
        <v>117151925.47704051</v>
      </c>
    </row>
    <row r="17" spans="1:8" ht="18.95" customHeight="1">
      <c r="A17" s="70"/>
      <c r="B17" s="70"/>
      <c r="D17" s="72"/>
      <c r="E17" s="72"/>
      <c r="F17" s="72"/>
      <c r="G17" s="72"/>
      <c r="H17" s="72"/>
    </row>
    <row r="18" spans="1:8" ht="18.95" customHeight="1">
      <c r="A18" s="70">
        <f>A16+1</f>
        <v>6</v>
      </c>
      <c r="B18" s="70"/>
      <c r="C18" s="90" t="s">
        <v>72</v>
      </c>
      <c r="D18" s="72"/>
      <c r="E18" s="72"/>
      <c r="F18" s="72"/>
      <c r="G18" s="72"/>
      <c r="H18" s="72"/>
    </row>
    <row r="19" spans="1:8" ht="18.95" customHeight="1">
      <c r="A19" s="70">
        <f t="shared" si="0"/>
        <v>7</v>
      </c>
      <c r="B19" s="71" t="s">
        <v>1626</v>
      </c>
      <c r="C19" s="78" t="s">
        <v>154</v>
      </c>
      <c r="D19" s="88">
        <f>'SCH B-2.3 B'!H19</f>
        <v>24446473.830399901</v>
      </c>
      <c r="E19" s="130">
        <f t="shared" ref="E19:E26" si="3">F19/D19</f>
        <v>0.87673530496058716</v>
      </c>
      <c r="F19" s="88">
        <f>SUMIFS('JURISSEP B'!$G$71:$G$225,'JURISSEP B'!$B$71:$B$225,$B19)</f>
        <v>21433086.68890667</v>
      </c>
      <c r="G19" s="88">
        <f>SUMIFS('SCH B-2.2'!$F$12:$F$28,'SCH B-2.2'!$B$12:$B$28,'SCH B-2.1 B'!$B19)</f>
        <v>-11433510.407472171</v>
      </c>
      <c r="H19" s="88">
        <f t="shared" ref="H19:H26" si="4">SUM(F19:G19)</f>
        <v>9999576.2814344987</v>
      </c>
    </row>
    <row r="20" spans="1:8" ht="18" customHeight="1">
      <c r="A20" s="70">
        <f t="shared" si="0"/>
        <v>8</v>
      </c>
      <c r="B20" s="71" t="s">
        <v>1627</v>
      </c>
      <c r="C20" s="78" t="s">
        <v>148</v>
      </c>
      <c r="D20" s="88">
        <f>'SCH B-2.3 B'!H20</f>
        <v>357423932.13011467</v>
      </c>
      <c r="E20" s="130">
        <f t="shared" si="3"/>
        <v>0.86792787670626392</v>
      </c>
      <c r="F20" s="88">
        <f>SUMIFS('JURISSEP B'!$G$71:$G$225,'JURISSEP B'!$B$71:$B$225,$B20)</f>
        <v>310218194.49769419</v>
      </c>
      <c r="G20" s="88">
        <f>SUMIFS('SCH B-2.2'!$F$12:$F$28,'SCH B-2.2'!$B$12:$B$28,'SCH B-2.1 B'!$B20)</f>
        <v>-21527395.359848343</v>
      </c>
      <c r="H20" s="88">
        <f t="shared" si="4"/>
        <v>288690799.13784587</v>
      </c>
    </row>
    <row r="21" spans="1:8" ht="18.95" customHeight="1">
      <c r="A21" s="70">
        <f t="shared" si="0"/>
        <v>9</v>
      </c>
      <c r="B21" s="71" t="s">
        <v>1628</v>
      </c>
      <c r="C21" s="78" t="s">
        <v>1629</v>
      </c>
      <c r="D21" s="88">
        <f>'SCH B-2.3 B'!H21</f>
        <v>4099177062.4923248</v>
      </c>
      <c r="E21" s="130">
        <f t="shared" si="3"/>
        <v>0.87020459299024178</v>
      </c>
      <c r="F21" s="88">
        <f>SUMIFS('JURISSEP B'!$G$71:$G$225,'JURISSEP B'!$B$71:$B$225,$B21)</f>
        <v>3567122707.2610683</v>
      </c>
      <c r="G21" s="88">
        <f>SUMIFS('SCH B-2.2'!$F$12:$F$28,'SCH B-2.2'!$B$12:$B$28,'SCH B-2.1 B'!$B21)</f>
        <v>-1165776004.8308082</v>
      </c>
      <c r="H21" s="88">
        <f t="shared" si="4"/>
        <v>2401346702.4302602</v>
      </c>
    </row>
    <row r="22" spans="1:8" ht="18.95" customHeight="1">
      <c r="A22" s="70">
        <f>A20+1</f>
        <v>9</v>
      </c>
      <c r="B22" s="71">
        <v>313</v>
      </c>
      <c r="C22" s="78" t="s">
        <v>144</v>
      </c>
      <c r="D22" s="88">
        <f>'SCH B-2.3 B'!H22</f>
        <v>0</v>
      </c>
      <c r="E22" s="130"/>
      <c r="F22" s="88">
        <f>SUMIFS('JURISSEP B'!$G$71:$G$225,'JURISSEP B'!$B$71:$B$225,$B22)</f>
        <v>0</v>
      </c>
      <c r="G22" s="88">
        <f>SUMIFS('SCH B-2.2'!$F$12:$F$28,'SCH B-2.2'!$B$12:$B$28,'SCH B-2.1 B'!$B22)</f>
        <v>0</v>
      </c>
      <c r="H22" s="88">
        <f t="shared" si="4"/>
        <v>0</v>
      </c>
    </row>
    <row r="23" spans="1:8" ht="18.95" customHeight="1">
      <c r="A23" s="70">
        <f>A21+1</f>
        <v>10</v>
      </c>
      <c r="B23" s="71" t="s">
        <v>1630</v>
      </c>
      <c r="C23" s="78" t="s">
        <v>1631</v>
      </c>
      <c r="D23" s="88">
        <f>'SCH B-2.3 B'!H23</f>
        <v>354107146.54847121</v>
      </c>
      <c r="E23" s="130">
        <f t="shared" si="3"/>
        <v>0.86670529203041136</v>
      </c>
      <c r="F23" s="88">
        <f>SUMIFS('JURISSEP B'!$G$71:$G$225,'JURISSEP B'!$B$71:$B$225,$B23)</f>
        <v>306906537.85934842</v>
      </c>
      <c r="G23" s="88">
        <f>SUMIFS('SCH B-2.2'!$F$12:$F$28,'SCH B-2.2'!$B$12:$B$28,'SCH B-2.1 B'!$B23)</f>
        <v>0</v>
      </c>
      <c r="H23" s="88">
        <f t="shared" si="4"/>
        <v>306906537.85934842</v>
      </c>
    </row>
    <row r="24" spans="1:8" ht="18.95" customHeight="1">
      <c r="A24" s="70">
        <f t="shared" si="0"/>
        <v>11</v>
      </c>
      <c r="B24" s="71" t="s">
        <v>1632</v>
      </c>
      <c r="C24" s="78" t="s">
        <v>1633</v>
      </c>
      <c r="D24" s="88">
        <f>'SCH B-2.3 B'!H24</f>
        <v>253558083.14813599</v>
      </c>
      <c r="E24" s="130">
        <f t="shared" si="3"/>
        <v>0.86660355329883765</v>
      </c>
      <c r="F24" s="88">
        <f>SUMIFS('JURISSEP B'!$G$71:$G$225,'JURISSEP B'!$B$71:$B$225,$B24)</f>
        <v>219734335.82381678</v>
      </c>
      <c r="G24" s="88">
        <f>SUMIFS('SCH B-2.2'!$F$12:$F$28,'SCH B-2.2'!$B$12:$B$28,'SCH B-2.1 B'!$B24)</f>
        <v>-31468229.352566034</v>
      </c>
      <c r="H24" s="88">
        <f t="shared" si="4"/>
        <v>188266106.47125074</v>
      </c>
    </row>
    <row r="25" spans="1:8" ht="18.95" customHeight="1">
      <c r="A25" s="70">
        <f t="shared" si="0"/>
        <v>12</v>
      </c>
      <c r="B25" s="71" t="s">
        <v>1634</v>
      </c>
      <c r="C25" s="78" t="s">
        <v>1635</v>
      </c>
      <c r="D25" s="88">
        <f>'SCH B-2.3 B'!H25</f>
        <v>38223659.10662701</v>
      </c>
      <c r="E25" s="130">
        <f t="shared" si="3"/>
        <v>0.87084456988807568</v>
      </c>
      <c r="F25" s="88">
        <f>SUMIFS('JURISSEP B'!$G$71:$G$225,'JURISSEP B'!$B$71:$B$225,$B25)</f>
        <v>33286865.974259026</v>
      </c>
      <c r="G25" s="88">
        <f>SUMIFS('SCH B-2.2'!$F$12:$F$28,'SCH B-2.2'!$B$12:$B$28,'SCH B-2.1 B'!$B25)</f>
        <v>-718380.04604671767</v>
      </c>
      <c r="H25" s="88">
        <f t="shared" si="4"/>
        <v>32568485.928212307</v>
      </c>
    </row>
    <row r="26" spans="1:8" ht="18.95" customHeight="1">
      <c r="A26" s="70">
        <f t="shared" si="0"/>
        <v>13</v>
      </c>
      <c r="B26" s="71" t="s">
        <v>1636</v>
      </c>
      <c r="C26" s="78" t="s">
        <v>1655</v>
      </c>
      <c r="D26" s="89">
        <f>'SCH B-2.3 B'!H26</f>
        <v>197376730.74999991</v>
      </c>
      <c r="E26" s="130">
        <f t="shared" si="3"/>
        <v>0.87673530496058716</v>
      </c>
      <c r="F26" s="89">
        <f>SUMIFS('JURISSEP B'!$G$71:$G$225,'JURISSEP B'!$B$71:$B$225,$B26)</f>
        <v>173047148.22622487</v>
      </c>
      <c r="G26" s="89">
        <f>SUMIFS('SCH B-2.2'!$F$12:$F$28,'SCH B-2.2'!$B$12:$B$28,'SCH B-2.1 B'!$B26)</f>
        <v>-173047148.27882907</v>
      </c>
      <c r="H26" s="89">
        <f t="shared" si="4"/>
        <v>-5.2604198455810547E-2</v>
      </c>
    </row>
    <row r="27" spans="1:8" ht="18.95" customHeight="1">
      <c r="A27" s="70">
        <f t="shared" si="0"/>
        <v>14</v>
      </c>
      <c r="C27" s="78" t="s">
        <v>146</v>
      </c>
      <c r="D27" s="86">
        <f>SUM(D19:D26)</f>
        <v>5324313088.006074</v>
      </c>
      <c r="E27" s="130"/>
      <c r="F27" s="86">
        <f>SUM(F19:F26)</f>
        <v>4631748876.3313189</v>
      </c>
      <c r="G27" s="86">
        <f>SUM(G19:G26)</f>
        <v>-1403970668.2755706</v>
      </c>
      <c r="H27" s="86">
        <f>SUM(H19:H26)</f>
        <v>3227778208.0557475</v>
      </c>
    </row>
    <row r="28" spans="1:8" ht="18.95" customHeight="1">
      <c r="A28" s="70"/>
      <c r="C28" s="78"/>
    </row>
    <row r="29" spans="1:8" ht="18.95" customHeight="1">
      <c r="A29" s="70">
        <f>A27+1</f>
        <v>15</v>
      </c>
      <c r="C29" s="90" t="s">
        <v>47</v>
      </c>
    </row>
    <row r="30" spans="1:8" ht="18.95" customHeight="1">
      <c r="A30" s="70">
        <f t="shared" si="0"/>
        <v>16</v>
      </c>
      <c r="B30" s="71" t="s">
        <v>1637</v>
      </c>
      <c r="C30" s="78" t="s">
        <v>154</v>
      </c>
      <c r="D30" s="88">
        <f>'SCH B-2.3 B'!H30</f>
        <v>855636.47000000009</v>
      </c>
      <c r="E30" s="130">
        <f t="shared" ref="E30:E37" si="5">F30/D30</f>
        <v>0.87673530496058705</v>
      </c>
      <c r="F30" s="88">
        <f>SUMIFS('JURISSEP B'!$G$71:$G$225,'JURISSEP B'!$B$71:$B$225,$B30)</f>
        <v>750166.70146085031</v>
      </c>
      <c r="G30" s="88">
        <f>SUMIFS('SCH B-2.2'!$F$12:$F$28,'SCH B-2.2'!$B$12:$B$28,'SCH B-2.1 B'!$B30)</f>
        <v>0</v>
      </c>
      <c r="H30" s="88">
        <f t="shared" ref="H30:H37" si="6">SUM(F30:G30)</f>
        <v>750166.70146085031</v>
      </c>
    </row>
    <row r="31" spans="1:8" ht="18.95" customHeight="1">
      <c r="A31" s="70">
        <f t="shared" si="0"/>
        <v>17</v>
      </c>
      <c r="B31" s="71" t="s">
        <v>1638</v>
      </c>
      <c r="C31" s="78" t="s">
        <v>148</v>
      </c>
      <c r="D31" s="88">
        <f>'SCH B-2.3 B'!H31</f>
        <v>4393191.4700000007</v>
      </c>
      <c r="E31" s="130">
        <f t="shared" si="5"/>
        <v>0.87673530496058716</v>
      </c>
      <c r="F31" s="88">
        <f>SUMIFS('JURISSEP B'!$G$71:$G$225,'JURISSEP B'!$B$71:$B$225,$B31)</f>
        <v>3851666.0632007006</v>
      </c>
      <c r="G31" s="88">
        <f>SUMIFS('SCH B-2.2'!$F$12:$F$28,'SCH B-2.2'!$B$12:$B$28,'SCH B-2.1 B'!$B31)</f>
        <v>0</v>
      </c>
      <c r="H31" s="88">
        <f t="shared" si="6"/>
        <v>3851666.0632007006</v>
      </c>
    </row>
    <row r="32" spans="1:8" ht="18.95" customHeight="1">
      <c r="A32" s="70">
        <f t="shared" si="0"/>
        <v>18</v>
      </c>
      <c r="B32" s="71" t="s">
        <v>1639</v>
      </c>
      <c r="C32" s="78" t="s">
        <v>1640</v>
      </c>
      <c r="D32" s="88">
        <f>'SCH B-2.3 B'!H32</f>
        <v>21885646.369999997</v>
      </c>
      <c r="E32" s="130">
        <f t="shared" si="5"/>
        <v>0.87501464226060022</v>
      </c>
      <c r="F32" s="88">
        <f>SUMIFS('JURISSEP B'!$G$71:$G$225,'JURISSEP B'!$B$71:$B$225,$B32)</f>
        <v>19150261.029087551</v>
      </c>
      <c r="G32" s="88">
        <f>SUMIFS('SCH B-2.2'!$F$12:$F$28,'SCH B-2.2'!$B$12:$B$28,'SCH B-2.1 B'!$B32)</f>
        <v>0</v>
      </c>
      <c r="H32" s="88">
        <f t="shared" si="6"/>
        <v>19150261.029087551</v>
      </c>
    </row>
    <row r="33" spans="1:8" ht="18.95" customHeight="1">
      <c r="A33" s="70">
        <f t="shared" si="0"/>
        <v>19</v>
      </c>
      <c r="B33" s="71" t="s">
        <v>1641</v>
      </c>
      <c r="C33" s="78" t="s">
        <v>1642</v>
      </c>
      <c r="D33" s="88">
        <f>'SCH B-2.3 B'!H33</f>
        <v>14046741.58</v>
      </c>
      <c r="E33" s="130">
        <f t="shared" si="5"/>
        <v>0.87308399443792328</v>
      </c>
      <c r="F33" s="88">
        <f>SUMIFS('JURISSEP B'!$G$71:$G$225,'JURISSEP B'!$B$71:$B$225,$B33)</f>
        <v>12263985.247503666</v>
      </c>
      <c r="G33" s="88">
        <f>SUMIFS('SCH B-2.2'!$F$12:$F$28,'SCH B-2.2'!$B$12:$B$28,'SCH B-2.1 B'!$B33)</f>
        <v>0</v>
      </c>
      <c r="H33" s="88">
        <f t="shared" si="6"/>
        <v>12263985.247503666</v>
      </c>
    </row>
    <row r="34" spans="1:8" ht="18.95" customHeight="1">
      <c r="A34" s="70">
        <f t="shared" si="0"/>
        <v>20</v>
      </c>
      <c r="B34" s="71" t="s">
        <v>1643</v>
      </c>
      <c r="C34" s="78" t="s">
        <v>1633</v>
      </c>
      <c r="D34" s="88">
        <f>'SCH B-2.3 B'!H34</f>
        <v>1381870.67</v>
      </c>
      <c r="E34" s="130">
        <f t="shared" si="5"/>
        <v>0.87427080103707511</v>
      </c>
      <c r="F34" s="88">
        <f>SUMIFS('JURISSEP B'!$G$71:$G$225,'JURISSEP B'!$B$71:$B$225,$B34)</f>
        <v>1208129.1775905397</v>
      </c>
      <c r="G34" s="88">
        <f>SUMIFS('SCH B-2.2'!$F$12:$F$28,'SCH B-2.2'!$B$12:$B$28,'SCH B-2.1 B'!$B34)</f>
        <v>0</v>
      </c>
      <c r="H34" s="88">
        <f t="shared" si="6"/>
        <v>1208129.1775905397</v>
      </c>
    </row>
    <row r="35" spans="1:8" ht="18.95" customHeight="1">
      <c r="A35" s="70">
        <f t="shared" si="0"/>
        <v>21</v>
      </c>
      <c r="B35" s="71" t="s">
        <v>1644</v>
      </c>
      <c r="C35" s="78" t="s">
        <v>1645</v>
      </c>
      <c r="D35" s="88">
        <f>'SCH B-2.3 B'!H35</f>
        <v>329374.18000000005</v>
      </c>
      <c r="E35" s="130">
        <f t="shared" si="5"/>
        <v>0.87455261125318207</v>
      </c>
      <c r="F35" s="88">
        <f>SUMIFS('JURISSEP B'!$G$71:$G$225,'JURISSEP B'!$B$71:$B$225,$B35)</f>
        <v>288055.04919837567</v>
      </c>
      <c r="G35" s="88">
        <f>SUMIFS('SCH B-2.2'!$F$12:$F$28,'SCH B-2.2'!$B$12:$B$28,'SCH B-2.1 B'!$B35)</f>
        <v>0</v>
      </c>
      <c r="H35" s="88">
        <f t="shared" si="6"/>
        <v>288055.04919837567</v>
      </c>
    </row>
    <row r="36" spans="1:8" ht="18.95" customHeight="1">
      <c r="A36" s="70">
        <f t="shared" si="0"/>
        <v>22</v>
      </c>
      <c r="B36" s="71" t="s">
        <v>1646</v>
      </c>
      <c r="C36" s="78" t="s">
        <v>1647</v>
      </c>
      <c r="D36" s="88">
        <f>'SCH B-2.3 B'!H36</f>
        <v>234509.13</v>
      </c>
      <c r="E36" s="130">
        <f t="shared" si="5"/>
        <v>0.87673530496058716</v>
      </c>
      <c r="F36" s="88">
        <f>SUMIFS('JURISSEP B'!$G$71:$G$225,'JURISSEP B'!$B$71:$B$225,$B36)</f>
        <v>205602.43360659198</v>
      </c>
      <c r="G36" s="88">
        <f>SUMIFS('SCH B-2.2'!$F$12:$F$28,'SCH B-2.2'!$B$12:$B$28,'SCH B-2.1 B'!$B36)</f>
        <v>0</v>
      </c>
      <c r="H36" s="88">
        <f t="shared" si="6"/>
        <v>205602.43360659198</v>
      </c>
    </row>
    <row r="37" spans="1:8" ht="18.95" customHeight="1">
      <c r="A37" s="70">
        <f t="shared" si="0"/>
        <v>23</v>
      </c>
      <c r="B37" s="71" t="s">
        <v>1648</v>
      </c>
      <c r="C37" s="78" t="s">
        <v>1656</v>
      </c>
      <c r="D37" s="89">
        <f>'SCH B-2.3 B'!H37</f>
        <v>645787.99</v>
      </c>
      <c r="E37" s="130">
        <f t="shared" si="5"/>
        <v>0.87673530496058716</v>
      </c>
      <c r="F37" s="89">
        <f>SUMIFS('JURISSEP B'!$G$71:$G$225,'JURISSEP B'!$B$71:$B$225,$B37)</f>
        <v>566185.13035253459</v>
      </c>
      <c r="G37" s="89">
        <f>SUMIFS('SCH B-2.2'!$F$12:$F$28,'SCH B-2.2'!$B$12:$B$28,'SCH B-2.1 B'!$B37)</f>
        <v>-566185.13035253459</v>
      </c>
      <c r="H37" s="89">
        <f t="shared" si="6"/>
        <v>0</v>
      </c>
    </row>
    <row r="38" spans="1:8" ht="18.95" customHeight="1">
      <c r="A38" s="70">
        <f t="shared" si="0"/>
        <v>24</v>
      </c>
      <c r="B38" s="71" t="s">
        <v>251</v>
      </c>
      <c r="C38" s="78" t="s">
        <v>147</v>
      </c>
      <c r="D38" s="86">
        <f>SUM(D30:D37)</f>
        <v>43772757.860000007</v>
      </c>
      <c r="E38" s="86"/>
      <c r="F38" s="86">
        <f t="shared" ref="F38:H38" si="7">SUM(F30:F37)</f>
        <v>38284050.832000814</v>
      </c>
      <c r="G38" s="86">
        <f t="shared" si="7"/>
        <v>-566185.13035253459</v>
      </c>
      <c r="H38" s="86">
        <f t="shared" si="7"/>
        <v>37717865.70164828</v>
      </c>
    </row>
    <row r="39" spans="1:8" ht="18.95" customHeight="1">
      <c r="A39" s="70"/>
      <c r="B39" s="71"/>
      <c r="C39" s="78"/>
      <c r="D39" s="86"/>
      <c r="E39" s="86"/>
      <c r="F39" s="86"/>
      <c r="G39" s="86"/>
      <c r="H39" s="86"/>
    </row>
    <row r="40" spans="1:8" ht="18.95" customHeight="1">
      <c r="A40" s="70">
        <f>A38+1</f>
        <v>25</v>
      </c>
      <c r="C40" s="90" t="s">
        <v>61</v>
      </c>
    </row>
    <row r="41" spans="1:8" ht="18.95" customHeight="1">
      <c r="A41" s="70">
        <f t="shared" si="0"/>
        <v>26</v>
      </c>
      <c r="B41" s="71" t="s">
        <v>1649</v>
      </c>
      <c r="C41" s="78" t="s">
        <v>154</v>
      </c>
      <c r="D41" s="88">
        <f>'SCH B-2.3 B'!H41</f>
        <v>902801.4580000001</v>
      </c>
      <c r="E41" s="130">
        <f t="shared" ref="E41:E44" si="8">F41/D41</f>
        <v>0.87673530496058716</v>
      </c>
      <c r="F41" s="88">
        <f>SUMIFS('JURISSEP B'!$G$71:$G$225,'JURISSEP B'!$B$71:$B$225,$B41)</f>
        <v>791517.91159849276</v>
      </c>
      <c r="G41" s="88">
        <f>SUMIFS('SCH B-2.2'!$F$12:$F$28,'SCH B-2.2'!$B$12:$B$28,'SCH B-2.1 B'!$B41)</f>
        <v>0</v>
      </c>
      <c r="H41" s="88">
        <f t="shared" ref="H41:H44" si="9">SUM(F41:G41)</f>
        <v>791517.91159849276</v>
      </c>
    </row>
    <row r="42" spans="1:8" ht="18.95" customHeight="1">
      <c r="A42" s="70">
        <f t="shared" si="0"/>
        <v>27</v>
      </c>
      <c r="B42" s="71" t="s">
        <v>1650</v>
      </c>
      <c r="C42" s="78" t="s">
        <v>148</v>
      </c>
      <c r="D42" s="88">
        <f>'SCH B-2.3 B'!H42</f>
        <v>87144715.703681991</v>
      </c>
      <c r="E42" s="130">
        <f t="shared" si="8"/>
        <v>0.87112646981052344</v>
      </c>
      <c r="F42" s="88">
        <f>SUMIFS('JURISSEP B'!$G$71:$G$225,'JURISSEP B'!$B$71:$B$225,$B42)</f>
        <v>75914068.553590178</v>
      </c>
      <c r="G42" s="88">
        <f>SUMIFS('SCH B-2.2'!$F$12:$F$28,'SCH B-2.2'!$B$12:$B$28,'SCH B-2.1 B'!$B42)</f>
        <v>0</v>
      </c>
      <c r="H42" s="88">
        <f t="shared" si="9"/>
        <v>75914068.553590178</v>
      </c>
    </row>
    <row r="43" spans="1:8" ht="18.95" customHeight="1">
      <c r="A43" s="70">
        <f t="shared" si="0"/>
        <v>28</v>
      </c>
      <c r="B43" s="71" t="s">
        <v>1651</v>
      </c>
      <c r="C43" s="78" t="s">
        <v>1652</v>
      </c>
      <c r="D43" s="88">
        <f>'SCH B-2.3 B'!H43</f>
        <v>63096394.734199986</v>
      </c>
      <c r="E43" s="130">
        <f t="shared" si="8"/>
        <v>0.87505220450036569</v>
      </c>
      <c r="F43" s="88">
        <f>SUMIFS('JURISSEP B'!$G$71:$G$225,'JURISSEP B'!$B$71:$B$225,$B43)</f>
        <v>55212639.308186963</v>
      </c>
      <c r="G43" s="88">
        <f>SUMIFS('SCH B-2.2'!$F$12:$F$28,'SCH B-2.2'!$B$12:$B$28,'SCH B-2.1 B'!$B43)</f>
        <v>0</v>
      </c>
      <c r="H43" s="88">
        <f t="shared" si="9"/>
        <v>55212639.308186963</v>
      </c>
    </row>
    <row r="44" spans="1:8" ht="18.95" customHeight="1">
      <c r="A44" s="70">
        <f t="shared" si="0"/>
        <v>29</v>
      </c>
      <c r="B44" s="71" t="s">
        <v>1653</v>
      </c>
      <c r="C44" s="78" t="s">
        <v>1654</v>
      </c>
      <c r="D44" s="88">
        <f>'SCH B-2.3 B'!H44</f>
        <v>664995783.98716736</v>
      </c>
      <c r="E44" s="130">
        <f t="shared" si="8"/>
        <v>0.87251965344903393</v>
      </c>
      <c r="F44" s="88">
        <f>SUMIFS('JURISSEP B'!$G$71:$G$225,'JURISSEP B'!$B$71:$B$225,$B44)</f>
        <v>580221890.9895519</v>
      </c>
      <c r="G44" s="88">
        <f>SUMIFS('SCH B-2.2'!$F$12:$F$28,'SCH B-2.2'!$B$12:$B$28,'SCH B-2.1 B'!$B44)</f>
        <v>0</v>
      </c>
      <c r="H44" s="88">
        <f t="shared" si="9"/>
        <v>580221890.9895519</v>
      </c>
    </row>
    <row r="45" spans="1:8" s="68" customFormat="1" ht="20.100000000000001" customHeight="1">
      <c r="A45" s="769" t="str">
        <f>$A$1</f>
        <v>KENTUCKY UTILITIES COMPANY</v>
      </c>
      <c r="B45" s="769"/>
      <c r="C45" s="769"/>
      <c r="D45" s="769"/>
      <c r="E45" s="769"/>
      <c r="F45" s="769"/>
      <c r="G45" s="769"/>
      <c r="H45" s="769"/>
    </row>
    <row r="46" spans="1:8" s="68" customFormat="1" ht="20.100000000000001" customHeight="1">
      <c r="A46" s="769" t="str">
        <f>$A$2</f>
        <v>CASE NO. 2018-00294 - RESPONSE TO PSC 2-65 (SLIPPAGE FACTOR 96.027%)</v>
      </c>
      <c r="B46" s="769"/>
      <c r="C46" s="769"/>
      <c r="D46" s="769"/>
      <c r="E46" s="769"/>
      <c r="F46" s="769"/>
      <c r="G46" s="769"/>
      <c r="H46" s="769"/>
    </row>
    <row r="47" spans="1:8" s="68" customFormat="1" ht="20.100000000000001" customHeight="1">
      <c r="A47" s="769" t="str">
        <f>$A$3</f>
        <v>PLANT IN SERVICE BY ACCOUNTS AND SUBACCOUNTS</v>
      </c>
      <c r="B47" s="769"/>
      <c r="C47" s="769"/>
      <c r="D47" s="769"/>
      <c r="E47" s="769"/>
      <c r="F47" s="769"/>
      <c r="G47" s="769"/>
      <c r="H47" s="769"/>
    </row>
    <row r="48" spans="1:8" s="68" customFormat="1" ht="20.100000000000001" customHeight="1">
      <c r="A48" s="768" t="str">
        <f>$A$4</f>
        <v>AS OF DECEMBER 31, 2018</v>
      </c>
      <c r="B48" s="769"/>
      <c r="C48" s="769"/>
      <c r="D48" s="769"/>
      <c r="E48" s="769"/>
      <c r="F48" s="769"/>
      <c r="G48" s="769"/>
      <c r="H48" s="769"/>
    </row>
    <row r="49" spans="1:8" s="68" customFormat="1" ht="20.100000000000001" customHeight="1">
      <c r="A49" s="84"/>
      <c r="B49" s="84"/>
      <c r="C49" s="84"/>
      <c r="D49" s="84"/>
      <c r="E49" s="84"/>
      <c r="F49" s="84"/>
      <c r="G49" s="84"/>
      <c r="H49" s="84"/>
    </row>
    <row r="50" spans="1:8" s="68" customFormat="1" ht="20.100000000000001" customHeight="1">
      <c r="A50" s="67" t="str">
        <f>$A$6</f>
        <v>DATA:__X__BASE  PERIOD____FORECASTED  PERIOD</v>
      </c>
      <c r="B50" s="67"/>
      <c r="G50" s="74"/>
      <c r="H50" s="74" t="s">
        <v>228</v>
      </c>
    </row>
    <row r="51" spans="1:8" s="68" customFormat="1" ht="20.100000000000001" customHeight="1">
      <c r="A51" s="67" t="str">
        <f>$A$7</f>
        <v>TYPE OF FILING: __X__ ORIGINAL  _____ UPDATED  _____ REVISED</v>
      </c>
      <c r="G51" s="74"/>
      <c r="H51" s="74" t="s">
        <v>172</v>
      </c>
    </row>
    <row r="52" spans="1:8" s="68" customFormat="1" ht="20.100000000000001" customHeight="1">
      <c r="A52" s="67" t="str">
        <f>$A$8</f>
        <v xml:space="preserve">WORKPAPER REFERENCE NO(S).: </v>
      </c>
      <c r="B52" s="67"/>
      <c r="F52" s="67"/>
      <c r="G52" s="75"/>
      <c r="H52" s="75" t="str">
        <f>$H$8</f>
        <v>WITNESS:   C. M. GARRETT</v>
      </c>
    </row>
    <row r="53" spans="1:8" s="68" customFormat="1" ht="20.100000000000001" customHeight="1"/>
    <row r="54" spans="1:8" ht="58.5" customHeight="1">
      <c r="A54" s="76" t="s">
        <v>131</v>
      </c>
      <c r="B54" s="76" t="s">
        <v>134</v>
      </c>
      <c r="C54" s="79" t="s">
        <v>222</v>
      </c>
      <c r="D54" s="76" t="s">
        <v>223</v>
      </c>
      <c r="E54" s="76" t="s">
        <v>224</v>
      </c>
      <c r="F54" s="76" t="s">
        <v>225</v>
      </c>
      <c r="G54" s="76" t="s">
        <v>226</v>
      </c>
      <c r="H54" s="76" t="s">
        <v>227</v>
      </c>
    </row>
    <row r="55" spans="1:8" ht="23.1" customHeight="1">
      <c r="A55" s="80"/>
      <c r="B55" s="80"/>
      <c r="C55" s="81"/>
      <c r="D55" s="82" t="s">
        <v>142</v>
      </c>
      <c r="E55" s="82"/>
      <c r="F55" s="82" t="s">
        <v>142</v>
      </c>
      <c r="G55" s="82" t="s">
        <v>142</v>
      </c>
      <c r="H55" s="82" t="s">
        <v>142</v>
      </c>
    </row>
    <row r="56" spans="1:8" ht="18.95" customHeight="1">
      <c r="A56" s="70">
        <f>A44+1</f>
        <v>30</v>
      </c>
      <c r="B56" s="71" t="s">
        <v>1657</v>
      </c>
      <c r="C56" s="78" t="s">
        <v>1658</v>
      </c>
      <c r="D56" s="88">
        <f>'SCH B-2.3 B'!H56</f>
        <v>132360727.18595001</v>
      </c>
      <c r="E56" s="130">
        <f t="shared" ref="E56:E59" si="10">F56/D56</f>
        <v>0.8719955181833966</v>
      </c>
      <c r="F56" s="88">
        <f>SUMIFS('JURISSEP B'!$G$71:$G$225,'JURISSEP B'!$B$71:$B$225,$B56)</f>
        <v>115417960.88964367</v>
      </c>
      <c r="G56" s="88">
        <f>SUMIFS('SCH B-2.2'!$F$12:$F$28,'SCH B-2.2'!$B$12:$B$28,'SCH B-2.1 B'!$B56)</f>
        <v>0</v>
      </c>
      <c r="H56" s="88">
        <f t="shared" ref="H56:H59" si="11">SUM(F56:G56)</f>
        <v>115417960.88964367</v>
      </c>
    </row>
    <row r="57" spans="1:8" ht="18.95" customHeight="1">
      <c r="A57" s="70">
        <f t="shared" si="0"/>
        <v>31</v>
      </c>
      <c r="B57" s="71" t="s">
        <v>1659</v>
      </c>
      <c r="C57" s="78" t="s">
        <v>1633</v>
      </c>
      <c r="D57" s="88">
        <f>'SCH B-2.3 B'!H57</f>
        <v>78849490.977109998</v>
      </c>
      <c r="E57" s="130">
        <f t="shared" si="10"/>
        <v>0.87275103231207585</v>
      </c>
      <c r="F57" s="88">
        <f>SUMIFS('JURISSEP B'!$G$71:$G$225,'JURISSEP B'!$B$71:$B$225,$B57)</f>
        <v>68815974.647554457</v>
      </c>
      <c r="G57" s="88">
        <f>SUMIFS('SCH B-2.2'!$F$12:$F$28,'SCH B-2.2'!$B$12:$B$28,'SCH B-2.1 B'!$B57)</f>
        <v>0</v>
      </c>
      <c r="H57" s="88">
        <f t="shared" si="11"/>
        <v>68815974.647554457</v>
      </c>
    </row>
    <row r="58" spans="1:8" ht="18.95" customHeight="1">
      <c r="A58" s="70">
        <f t="shared" si="0"/>
        <v>32</v>
      </c>
      <c r="B58" s="71" t="s">
        <v>1660</v>
      </c>
      <c r="C58" s="78" t="s">
        <v>1645</v>
      </c>
      <c r="D58" s="88">
        <f>'SCH B-2.3 B'!H58</f>
        <v>9739160.6679099984</v>
      </c>
      <c r="E58" s="130">
        <f t="shared" si="10"/>
        <v>0.87366080097741927</v>
      </c>
      <c r="F58" s="88">
        <f>SUMIFS('JURISSEP B'!$G$71:$G$225,'JURISSEP B'!$B$71:$B$225,$B58)</f>
        <v>8508722.9099740274</v>
      </c>
      <c r="G58" s="88">
        <f>SUMIFS('SCH B-2.2'!$F$12:$F$28,'SCH B-2.2'!$B$12:$B$28,'SCH B-2.1 B'!$B58)</f>
        <v>0</v>
      </c>
      <c r="H58" s="88">
        <f t="shared" si="11"/>
        <v>8508722.9099740274</v>
      </c>
    </row>
    <row r="59" spans="1:8" ht="18.95" customHeight="1">
      <c r="A59" s="70">
        <f t="shared" si="0"/>
        <v>33</v>
      </c>
      <c r="B59" s="71" t="s">
        <v>1661</v>
      </c>
      <c r="C59" s="78" t="s">
        <v>1696</v>
      </c>
      <c r="D59" s="89">
        <f>'SCH B-2.3 B'!H59</f>
        <v>406991.12</v>
      </c>
      <c r="E59" s="130">
        <f t="shared" si="10"/>
        <v>0.87673530496058716</v>
      </c>
      <c r="F59" s="89">
        <f>SUMIFS('JURISSEP B'!$G$71:$G$225,'JURISSEP B'!$B$71:$B$225,$B59)</f>
        <v>356823.48370945093</v>
      </c>
      <c r="G59" s="89">
        <f>SUMIFS('SCH B-2.2'!$F$12:$F$28,'SCH B-2.2'!$B$12:$B$28,'SCH B-2.1 B'!$B59)</f>
        <v>-356823.48370945093</v>
      </c>
      <c r="H59" s="89">
        <f t="shared" si="11"/>
        <v>0</v>
      </c>
    </row>
    <row r="60" spans="1:8" ht="18.95" customHeight="1">
      <c r="A60" s="70">
        <f t="shared" si="0"/>
        <v>34</v>
      </c>
      <c r="C60" s="78" t="s">
        <v>145</v>
      </c>
      <c r="D60" s="86">
        <f>SUM(D41:D44,D56:D59)</f>
        <v>1037496065.8340194</v>
      </c>
      <c r="E60" s="86"/>
      <c r="F60" s="86">
        <f t="shared" ref="F60:H60" si="12">SUM(F41:F44,F56:F59)</f>
        <v>905239598.69380903</v>
      </c>
      <c r="G60" s="86">
        <f t="shared" si="12"/>
        <v>-356823.48370945093</v>
      </c>
      <c r="H60" s="86">
        <f t="shared" si="12"/>
        <v>904882775.21009958</v>
      </c>
    </row>
    <row r="61" spans="1:8" ht="18.95" customHeight="1">
      <c r="A61" s="70"/>
    </row>
    <row r="62" spans="1:8" ht="18.95" customHeight="1">
      <c r="A62" s="70">
        <f>A60+1</f>
        <v>35</v>
      </c>
      <c r="C62" s="90" t="s">
        <v>84</v>
      </c>
    </row>
    <row r="63" spans="1:8" ht="18.95" customHeight="1">
      <c r="A63" s="70">
        <f t="shared" si="0"/>
        <v>36</v>
      </c>
      <c r="B63" s="71" t="s">
        <v>1662</v>
      </c>
      <c r="C63" s="78" t="s">
        <v>154</v>
      </c>
      <c r="D63" s="88">
        <f>'SCH B-2.3 B'!H63</f>
        <v>32027218.608327903</v>
      </c>
      <c r="E63" s="130">
        <f t="shared" ref="E63:E71" si="13">F63/D63</f>
        <v>0.89487176362357645</v>
      </c>
      <c r="F63" s="88">
        <f>SUMIFS('JURISSEP B'!$G$71:$G$225,'JURISSEP B'!$B$71:$B$225,$B63)</f>
        <v>28660253.599992216</v>
      </c>
      <c r="G63" s="88">
        <f>SUMIFS('SCH B-2.2'!$F$12:$F$28,'SCH B-2.2'!$B$12:$B$28,'SCH B-2.1 B'!$B63)</f>
        <v>0</v>
      </c>
      <c r="H63" s="88">
        <f t="shared" ref="H63:H71" si="14">SUM(F63:G63)</f>
        <v>28660253.599992216</v>
      </c>
    </row>
    <row r="64" spans="1:8" ht="18.95" customHeight="1">
      <c r="A64" s="70">
        <f t="shared" si="0"/>
        <v>37</v>
      </c>
      <c r="B64" s="71" t="s">
        <v>1663</v>
      </c>
      <c r="C64" s="78" t="s">
        <v>148</v>
      </c>
      <c r="D64" s="88">
        <f>'SCH B-2.3 B'!H64</f>
        <v>29626094.620000001</v>
      </c>
      <c r="E64" s="130">
        <f t="shared" si="13"/>
        <v>0.8963584229064</v>
      </c>
      <c r="F64" s="88">
        <f>SUMIFS('JURISSEP B'!$G$71:$G$225,'JURISSEP B'!$B$71:$B$225,$B64)</f>
        <v>26555599.450458981</v>
      </c>
      <c r="G64" s="88">
        <f>SUMIFS('SCH B-2.2'!$F$12:$F$28,'SCH B-2.2'!$B$12:$B$28,'SCH B-2.1 B'!$B64)</f>
        <v>0</v>
      </c>
      <c r="H64" s="88">
        <f t="shared" si="14"/>
        <v>26555599.450458981</v>
      </c>
    </row>
    <row r="65" spans="1:8" ht="18.95" customHeight="1">
      <c r="A65" s="70">
        <f t="shared" si="0"/>
        <v>38</v>
      </c>
      <c r="B65" s="71" t="s">
        <v>1664</v>
      </c>
      <c r="C65" s="78" t="s">
        <v>149</v>
      </c>
      <c r="D65" s="88">
        <f>'SCH B-2.3 B'!H65</f>
        <v>351137506.68075639</v>
      </c>
      <c r="E65" s="130">
        <f t="shared" si="13"/>
        <v>0.8909235034082037</v>
      </c>
      <c r="F65" s="88">
        <f>SUMIFS('JURISSEP B'!$G$71:$G$225,'JURISSEP B'!$B$71:$B$225,$B65)</f>
        <v>312836657.630041</v>
      </c>
      <c r="G65" s="88">
        <f>SUMIFS('SCH B-2.2'!$F$12:$F$28,'SCH B-2.2'!$B$12:$B$28,'SCH B-2.1 B'!$B65)</f>
        <v>0</v>
      </c>
      <c r="H65" s="88">
        <f t="shared" si="14"/>
        <v>312836657.630041</v>
      </c>
    </row>
    <row r="66" spans="1:8" ht="18.95" customHeight="1">
      <c r="A66" s="70">
        <f t="shared" si="0"/>
        <v>39</v>
      </c>
      <c r="B66" s="71" t="s">
        <v>1665</v>
      </c>
      <c r="C66" s="78" t="s">
        <v>1666</v>
      </c>
      <c r="D66" s="88">
        <f>'SCH B-2.3 B'!H66</f>
        <v>78033094.149999991</v>
      </c>
      <c r="E66" s="130">
        <f t="shared" si="13"/>
        <v>0.91754100082665702</v>
      </c>
      <c r="F66" s="88">
        <f>SUMIFS('JURISSEP B'!$G$71:$G$225,'JURISSEP B'!$B$71:$B$225,$B66)</f>
        <v>71598563.30399175</v>
      </c>
      <c r="G66" s="88">
        <f>SUMIFS('SCH B-2.2'!$F$12:$F$28,'SCH B-2.2'!$B$12:$B$28,'SCH B-2.1 B'!$B66)</f>
        <v>0</v>
      </c>
      <c r="H66" s="88">
        <f t="shared" si="14"/>
        <v>71598563.30399175</v>
      </c>
    </row>
    <row r="67" spans="1:8" ht="18.95" customHeight="1">
      <c r="A67" s="70">
        <f t="shared" si="0"/>
        <v>40</v>
      </c>
      <c r="B67" s="71" t="s">
        <v>1667</v>
      </c>
      <c r="C67" s="78" t="s">
        <v>1668</v>
      </c>
      <c r="D67" s="88">
        <f>'SCH B-2.3 B'!H67</f>
        <v>393402060.89500129</v>
      </c>
      <c r="E67" s="130">
        <f t="shared" si="13"/>
        <v>0.91987095802500984</v>
      </c>
      <c r="F67" s="88">
        <f>SUMIFS('JURISSEP B'!$G$71:$G$225,'JURISSEP B'!$B$71:$B$225,$B67)</f>
        <v>361879130.64449811</v>
      </c>
      <c r="G67" s="88">
        <f>SUMIFS('SCH B-2.2'!$F$12:$F$28,'SCH B-2.2'!$B$12:$B$28,'SCH B-2.1 B'!$B67)</f>
        <v>0</v>
      </c>
      <c r="H67" s="88">
        <f t="shared" si="14"/>
        <v>361879130.64449811</v>
      </c>
    </row>
    <row r="68" spans="1:8" ht="18.95" customHeight="1">
      <c r="A68" s="70">
        <f t="shared" si="0"/>
        <v>41</v>
      </c>
      <c r="B68" s="71" t="s">
        <v>1669</v>
      </c>
      <c r="C68" s="78" t="s">
        <v>1670</v>
      </c>
      <c r="D68" s="88">
        <f>'SCH B-2.3 B'!H68</f>
        <v>189678407.46810851</v>
      </c>
      <c r="E68" s="130">
        <f t="shared" si="13"/>
        <v>0.87221368888517503</v>
      </c>
      <c r="F68" s="88">
        <f>SUMIFS('JURISSEP B'!$G$71:$G$225,'JURISSEP B'!$B$71:$B$225,$B68)</f>
        <v>165440103.47962424</v>
      </c>
      <c r="G68" s="88">
        <f>SUMIFS('SCH B-2.2'!$F$12:$F$28,'SCH B-2.2'!$B$12:$B$28,'SCH B-2.1 B'!$B68)</f>
        <v>0</v>
      </c>
      <c r="H68" s="88">
        <f t="shared" si="14"/>
        <v>165440103.47962424</v>
      </c>
    </row>
    <row r="69" spans="1:8" ht="18.95" customHeight="1">
      <c r="A69" s="70">
        <f t="shared" si="0"/>
        <v>42</v>
      </c>
      <c r="B69" s="71" t="s">
        <v>1671</v>
      </c>
      <c r="C69" s="78" t="s">
        <v>1672</v>
      </c>
      <c r="D69" s="88">
        <f>'SCH B-2.3 B'!H69</f>
        <v>448760.26</v>
      </c>
      <c r="E69" s="130">
        <f t="shared" si="13"/>
        <v>0.95323415446315762</v>
      </c>
      <c r="F69" s="88">
        <f>SUMIFS('JURISSEP B'!$G$71:$G$225,'JURISSEP B'!$B$71:$B$225,$B69)</f>
        <v>427773.60699776676</v>
      </c>
      <c r="G69" s="88">
        <f>SUMIFS('SCH B-2.2'!$F$12:$F$28,'SCH B-2.2'!$B$12:$B$28,'SCH B-2.1 B'!$B69)</f>
        <v>0</v>
      </c>
      <c r="H69" s="88">
        <f t="shared" si="14"/>
        <v>427773.60699776676</v>
      </c>
    </row>
    <row r="70" spans="1:8" ht="18.95" customHeight="1">
      <c r="A70" s="70">
        <f t="shared" si="0"/>
        <v>43</v>
      </c>
      <c r="B70" s="71" t="s">
        <v>1673</v>
      </c>
      <c r="C70" s="78" t="s">
        <v>1674</v>
      </c>
      <c r="D70" s="88">
        <f>'SCH B-2.3 B'!H70</f>
        <v>1299592.5499999998</v>
      </c>
      <c r="E70" s="130">
        <f t="shared" si="13"/>
        <v>0.95375409788644161</v>
      </c>
      <c r="F70" s="88">
        <f>SUMIFS('JURISSEP B'!$G$71:$G$225,'JURISSEP B'!$B$71:$B$225,$B70)</f>
        <v>1239491.7201451901</v>
      </c>
      <c r="G70" s="88">
        <f>SUMIFS('SCH B-2.2'!$F$12:$F$28,'SCH B-2.2'!$B$12:$B$28,'SCH B-2.1 B'!$B70)</f>
        <v>0</v>
      </c>
      <c r="H70" s="88">
        <f t="shared" si="14"/>
        <v>1239491.7201451901</v>
      </c>
    </row>
    <row r="71" spans="1:8" ht="18.95" customHeight="1">
      <c r="A71" s="70">
        <f t="shared" si="0"/>
        <v>44</v>
      </c>
      <c r="B71" s="71" t="s">
        <v>1675</v>
      </c>
      <c r="C71" s="78" t="s">
        <v>152</v>
      </c>
      <c r="D71" s="89">
        <f>'SCH B-2.3 B'!H71</f>
        <v>551323.88</v>
      </c>
      <c r="E71" s="130">
        <f t="shared" si="13"/>
        <v>0.95621085870522027</v>
      </c>
      <c r="F71" s="89">
        <f>SUMIFS('JURISSEP B'!$G$71:$G$225,'JURISSEP B'!$B$71:$B$225,$B71)</f>
        <v>527181.88071949384</v>
      </c>
      <c r="G71" s="89">
        <f>SUMIFS('SCH B-2.2'!$F$12:$F$28,'SCH B-2.2'!$B$12:$B$28,'SCH B-2.1 B'!$B71)</f>
        <v>-527181.88071949384</v>
      </c>
      <c r="H71" s="89">
        <f t="shared" si="14"/>
        <v>0</v>
      </c>
    </row>
    <row r="72" spans="1:8" ht="18.95" customHeight="1">
      <c r="A72" s="70">
        <f t="shared" si="0"/>
        <v>45</v>
      </c>
      <c r="C72" s="78" t="s">
        <v>150</v>
      </c>
      <c r="D72" s="86">
        <f>SUM(D63:D71)</f>
        <v>1076204059.1121941</v>
      </c>
      <c r="E72" s="86"/>
      <c r="F72" s="86">
        <f t="shared" ref="F72:H72" si="15">SUM(F63:F71)</f>
        <v>969164755.31646883</v>
      </c>
      <c r="G72" s="86">
        <f t="shared" si="15"/>
        <v>-527181.88071949384</v>
      </c>
      <c r="H72" s="86">
        <f t="shared" si="15"/>
        <v>968637573.43574929</v>
      </c>
    </row>
    <row r="73" spans="1:8" ht="18.95" customHeight="1">
      <c r="A73" s="70"/>
      <c r="B73" s="71"/>
    </row>
    <row r="74" spans="1:8" ht="18.95" customHeight="1">
      <c r="A74" s="70">
        <f>A72+1</f>
        <v>46</v>
      </c>
      <c r="B74" s="71" t="s">
        <v>251</v>
      </c>
      <c r="C74" s="90" t="s">
        <v>16</v>
      </c>
    </row>
    <row r="75" spans="1:8" ht="18.95" customHeight="1">
      <c r="A75" s="70">
        <f t="shared" si="0"/>
        <v>47</v>
      </c>
      <c r="B75" s="71" t="s">
        <v>1676</v>
      </c>
      <c r="C75" s="78" t="s">
        <v>154</v>
      </c>
      <c r="D75" s="88">
        <f>'SCH B-2.3 B'!H75</f>
        <v>9912607.7263599895</v>
      </c>
      <c r="E75" s="130">
        <f t="shared" ref="E75:E87" si="16">F75/D75</f>
        <v>0.9194950771755156</v>
      </c>
      <c r="F75" s="88">
        <f>SUMIFS('JURISSEP B'!$G$71:$G$225,'JURISSEP B'!$B$71:$B$225,$B75)</f>
        <v>9114594.0063599907</v>
      </c>
      <c r="G75" s="88">
        <f>SUMIFS('SCH B-2.2'!$F$12:$F$28,'SCH B-2.2'!$B$12:$B$28,'SCH B-2.1 B'!$B75)</f>
        <v>0</v>
      </c>
      <c r="H75" s="88">
        <f t="shared" ref="H75:H87" si="17">SUM(F75:G75)</f>
        <v>9114594.0063599907</v>
      </c>
    </row>
    <row r="76" spans="1:8" ht="18.95" customHeight="1">
      <c r="A76" s="70">
        <f t="shared" si="0"/>
        <v>48</v>
      </c>
      <c r="B76" s="71" t="s">
        <v>1677</v>
      </c>
      <c r="C76" s="78" t="s">
        <v>148</v>
      </c>
      <c r="D76" s="88">
        <f>'SCH B-2.3 B'!H76</f>
        <v>20723091.363981999</v>
      </c>
      <c r="E76" s="130">
        <f t="shared" si="16"/>
        <v>0.94568613661925571</v>
      </c>
      <c r="F76" s="88">
        <f>SUMIFS('JURISSEP B'!$G$71:$G$225,'JURISSEP B'!$B$71:$B$225,$B76)</f>
        <v>19597540.210811999</v>
      </c>
      <c r="G76" s="88">
        <f>SUMIFS('SCH B-2.2'!$F$12:$F$28,'SCH B-2.2'!$B$12:$B$28,'SCH B-2.1 B'!$B76)</f>
        <v>0</v>
      </c>
      <c r="H76" s="88">
        <f t="shared" si="17"/>
        <v>19597540.210811999</v>
      </c>
    </row>
    <row r="77" spans="1:8" ht="18.95" customHeight="1">
      <c r="A77" s="70">
        <f t="shared" si="0"/>
        <v>49</v>
      </c>
      <c r="B77" s="71" t="s">
        <v>1678</v>
      </c>
      <c r="C77" s="78" t="s">
        <v>1679</v>
      </c>
      <c r="D77" s="88">
        <f>'SCH B-2.3 B'!H77</f>
        <v>239854379.30590451</v>
      </c>
      <c r="E77" s="130">
        <f t="shared" si="16"/>
        <v>0.95066508639849256</v>
      </c>
      <c r="F77" s="88">
        <f>SUMIFS('JURISSEP B'!$G$71:$G$225,'JURISSEP B'!$B$71:$B$225,$B77)</f>
        <v>228021184.22590452</v>
      </c>
      <c r="G77" s="88">
        <f>SUMIFS('SCH B-2.2'!$F$12:$F$28,'SCH B-2.2'!$B$12:$B$28,'SCH B-2.1 B'!$B77)</f>
        <v>0</v>
      </c>
      <c r="H77" s="88">
        <f t="shared" si="17"/>
        <v>228021184.22590452</v>
      </c>
    </row>
    <row r="78" spans="1:8" ht="18.95" customHeight="1">
      <c r="A78" s="70">
        <f t="shared" ref="A78:A88" si="18">A77+1</f>
        <v>50</v>
      </c>
      <c r="B78" s="71" t="s">
        <v>1680</v>
      </c>
      <c r="C78" s="78" t="s">
        <v>1681</v>
      </c>
      <c r="D78" s="88">
        <f>'SCH B-2.3 B'!H78</f>
        <v>412700867.39732909</v>
      </c>
      <c r="E78" s="130">
        <f t="shared" si="16"/>
        <v>0.92621126939833942</v>
      </c>
      <c r="F78" s="88">
        <f>SUMIFS('JURISSEP B'!$G$71:$G$225,'JURISSEP B'!$B$71:$B$225,$B78)</f>
        <v>382248194.27387595</v>
      </c>
      <c r="G78" s="88">
        <f>SUMIFS('SCH B-2.2'!$F$12:$F$28,'SCH B-2.2'!$B$12:$B$28,'SCH B-2.1 B'!$B78)</f>
        <v>-24573.49643066122</v>
      </c>
      <c r="H78" s="88">
        <f t="shared" si="17"/>
        <v>382223620.77744532</v>
      </c>
    </row>
    <row r="79" spans="1:8" ht="18.95" customHeight="1">
      <c r="A79" s="70">
        <f t="shared" si="18"/>
        <v>51</v>
      </c>
      <c r="B79" s="71" t="s">
        <v>1682</v>
      </c>
      <c r="C79" s="78" t="s">
        <v>1670</v>
      </c>
      <c r="D79" s="88">
        <f>'SCH B-2.3 B'!H79</f>
        <v>408540166.24459821</v>
      </c>
      <c r="E79" s="130">
        <f t="shared" si="16"/>
        <v>0.93141283155637211</v>
      </c>
      <c r="F79" s="88">
        <f>SUMIFS('JURISSEP B'!$G$71:$G$225,'JURISSEP B'!$B$71:$B$225,$B79)</f>
        <v>380519553.0463922</v>
      </c>
      <c r="G79" s="88">
        <f>SUMIFS('SCH B-2.2'!$F$12:$F$28,'SCH B-2.2'!$B$12:$B$28,'SCH B-2.1 B'!$B79)</f>
        <v>-21980.793291159764</v>
      </c>
      <c r="H79" s="88">
        <f t="shared" si="17"/>
        <v>380497572.25310105</v>
      </c>
    </row>
    <row r="80" spans="1:8" ht="18.95" customHeight="1">
      <c r="A80" s="70">
        <f t="shared" si="18"/>
        <v>52</v>
      </c>
      <c r="B80" s="71" t="s">
        <v>1683</v>
      </c>
      <c r="C80" s="78" t="s">
        <v>1672</v>
      </c>
      <c r="D80" s="88">
        <f>'SCH B-2.3 B'!H80</f>
        <v>2390106.04</v>
      </c>
      <c r="E80" s="130">
        <f t="shared" si="16"/>
        <v>1</v>
      </c>
      <c r="F80" s="88">
        <f>SUMIFS('JURISSEP B'!$G$71:$G$225,'JURISSEP B'!$B$71:$B$225,$B80)</f>
        <v>2390106.04</v>
      </c>
      <c r="G80" s="88">
        <f>SUMIFS('SCH B-2.2'!$F$12:$F$28,'SCH B-2.2'!$B$12:$B$28,'SCH B-2.1 B'!$B80)</f>
        <v>-171002.52000000002</v>
      </c>
      <c r="H80" s="88">
        <f t="shared" si="17"/>
        <v>2219103.52</v>
      </c>
    </row>
    <row r="81" spans="1:8" ht="18.95" customHeight="1">
      <c r="A81" s="70">
        <f t="shared" si="18"/>
        <v>53</v>
      </c>
      <c r="B81" s="71" t="s">
        <v>1684</v>
      </c>
      <c r="C81" s="78" t="s">
        <v>1674</v>
      </c>
      <c r="D81" s="88">
        <f>'SCH B-2.3 B'!H81</f>
        <v>207816688.34100664</v>
      </c>
      <c r="E81" s="130">
        <f t="shared" si="16"/>
        <v>0.97746964624951327</v>
      </c>
      <c r="F81" s="88">
        <f>SUMIFS('JURISSEP B'!$G$71:$G$225,'JURISSEP B'!$B$71:$B$225,$B81)</f>
        <v>203134504.83742911</v>
      </c>
      <c r="G81" s="88">
        <f>SUMIFS('SCH B-2.2'!$F$12:$F$28,'SCH B-2.2'!$B$12:$B$28,'SCH B-2.1 B'!$B81)</f>
        <v>-1296237.5215999424</v>
      </c>
      <c r="H81" s="88">
        <f t="shared" si="17"/>
        <v>201838267.31582916</v>
      </c>
    </row>
    <row r="82" spans="1:8" ht="18.95" customHeight="1">
      <c r="A82" s="70">
        <f t="shared" si="18"/>
        <v>54</v>
      </c>
      <c r="B82" s="71" t="s">
        <v>1685</v>
      </c>
      <c r="C82" s="78" t="s">
        <v>1686</v>
      </c>
      <c r="D82" s="88">
        <f>'SCH B-2.3 B'!H82</f>
        <v>321398085.92633104</v>
      </c>
      <c r="E82" s="130">
        <f t="shared" si="16"/>
        <v>0.96537988874055558</v>
      </c>
      <c r="F82" s="88">
        <f>SUMIFS('JURISSEP B'!$G$71:$G$225,'JURISSEP B'!$B$71:$B$225,$B82)</f>
        <v>310271248.432989</v>
      </c>
      <c r="G82" s="88">
        <f>SUMIFS('SCH B-2.2'!$F$12:$F$28,'SCH B-2.2'!$B$12:$B$28,'SCH B-2.1 B'!$B82)</f>
        <v>0</v>
      </c>
      <c r="H82" s="88">
        <f t="shared" si="17"/>
        <v>310271248.432989</v>
      </c>
    </row>
    <row r="83" spans="1:8" ht="18.95" customHeight="1">
      <c r="A83" s="70">
        <f t="shared" si="18"/>
        <v>55</v>
      </c>
      <c r="B83" s="71" t="s">
        <v>1687</v>
      </c>
      <c r="C83" s="78" t="s">
        <v>1688</v>
      </c>
      <c r="D83" s="88">
        <f>'SCH B-2.3 B'!H83</f>
        <v>114503751.92</v>
      </c>
      <c r="E83" s="130">
        <f t="shared" si="16"/>
        <v>0.94888200559498304</v>
      </c>
      <c r="F83" s="88">
        <f>SUMIFS('JURISSEP B'!$G$71:$G$225,'JURISSEP B'!$B$71:$B$225,$B83)</f>
        <v>108650549.77</v>
      </c>
      <c r="G83" s="88">
        <f>SUMIFS('SCH B-2.2'!$F$12:$F$28,'SCH B-2.2'!$B$12:$B$28,'SCH B-2.1 B'!$B83)</f>
        <v>0</v>
      </c>
      <c r="H83" s="88">
        <f t="shared" si="17"/>
        <v>108650549.77</v>
      </c>
    </row>
    <row r="84" spans="1:8" ht="18.95" customHeight="1">
      <c r="A84" s="70">
        <f>A83+1</f>
        <v>56</v>
      </c>
      <c r="B84" s="71" t="s">
        <v>1689</v>
      </c>
      <c r="C84" s="78" t="s">
        <v>1690</v>
      </c>
      <c r="D84" s="88">
        <f>'SCH B-2.3 B'!H84</f>
        <v>81007991.617869988</v>
      </c>
      <c r="E84" s="130">
        <f t="shared" si="16"/>
        <v>0.94902878928936285</v>
      </c>
      <c r="F84" s="88">
        <f>SUMIFS('JURISSEP B'!$G$71:$G$225,'JURISSEP B'!$B$71:$B$225,$B84)</f>
        <v>76878916.207870007</v>
      </c>
      <c r="G84" s="88">
        <f>SUMIFS('SCH B-2.2'!$F$12:$F$28,'SCH B-2.2'!$B$12:$B$28,'SCH B-2.1 B'!$B84)</f>
        <v>-1331333.5999999999</v>
      </c>
      <c r="H84" s="88">
        <f t="shared" si="17"/>
        <v>75547582.607870013</v>
      </c>
    </row>
    <row r="85" spans="1:8" ht="18.95" customHeight="1">
      <c r="A85" s="70">
        <f t="shared" si="18"/>
        <v>57</v>
      </c>
      <c r="B85" s="71" t="s">
        <v>1691</v>
      </c>
      <c r="C85" s="78" t="s">
        <v>1692</v>
      </c>
      <c r="D85" s="88">
        <f>'SCH B-2.3 B'!H85</f>
        <v>145659.96809999997</v>
      </c>
      <c r="E85" s="130">
        <f t="shared" si="16"/>
        <v>1</v>
      </c>
      <c r="F85" s="88">
        <f>SUMIFS('JURISSEP B'!$G$71:$G$225,'JURISSEP B'!$B$71:$B$225,$B85)</f>
        <v>145659.96809999997</v>
      </c>
      <c r="G85" s="88">
        <f>SUMIFS('SCH B-2.2'!$F$12:$F$28,'SCH B-2.2'!$B$12:$B$28,'SCH B-2.1 B'!$B85)</f>
        <v>0</v>
      </c>
      <c r="H85" s="88">
        <f t="shared" si="17"/>
        <v>145659.96809999997</v>
      </c>
    </row>
    <row r="86" spans="1:8" ht="18.95" customHeight="1">
      <c r="A86" s="70">
        <f t="shared" si="18"/>
        <v>58</v>
      </c>
      <c r="B86" s="71" t="s">
        <v>1693</v>
      </c>
      <c r="C86" s="78" t="s">
        <v>1694</v>
      </c>
      <c r="D86" s="88">
        <f>'SCH B-2.3 B'!H86</f>
        <v>127619324.2100388</v>
      </c>
      <c r="E86" s="130">
        <f t="shared" si="16"/>
        <v>0.97005667195212109</v>
      </c>
      <c r="F86" s="88">
        <f>SUMIFS('JURISSEP B'!$G$71:$G$225,'JURISSEP B'!$B$71:$B$225,$B86)</f>
        <v>123797976.91996899</v>
      </c>
      <c r="G86" s="88">
        <f>SUMIFS('SCH B-2.2'!$F$12:$F$28,'SCH B-2.2'!$B$12:$B$28,'SCH B-2.1 B'!$B86)</f>
        <v>0</v>
      </c>
      <c r="H86" s="88">
        <f t="shared" si="17"/>
        <v>123797976.91996899</v>
      </c>
    </row>
    <row r="87" spans="1:8" ht="18.95" customHeight="1">
      <c r="A87" s="70">
        <f t="shared" si="18"/>
        <v>59</v>
      </c>
      <c r="B87" s="71" t="s">
        <v>1695</v>
      </c>
      <c r="C87" s="78" t="s">
        <v>151</v>
      </c>
      <c r="D87" s="89">
        <f>'SCH B-2.3 B'!H87</f>
        <v>658287.18999999901</v>
      </c>
      <c r="E87" s="130">
        <f t="shared" si="16"/>
        <v>1</v>
      </c>
      <c r="F87" s="89">
        <f>SUMIFS('JURISSEP B'!$G$71:$G$225,'JURISSEP B'!$B$71:$B$225,$B87)</f>
        <v>658287.18999999901</v>
      </c>
      <c r="G87" s="89">
        <f>SUMIFS('SCH B-2.2'!$F$12:$F$28,'SCH B-2.2'!$B$12:$B$28,'SCH B-2.1 B'!$B87)</f>
        <v>-658287.19000000006</v>
      </c>
      <c r="H87" s="89">
        <f t="shared" si="17"/>
        <v>-1.0477378964424133E-9</v>
      </c>
    </row>
    <row r="88" spans="1:8" ht="18.95" customHeight="1">
      <c r="A88" s="70">
        <f t="shared" si="18"/>
        <v>60</v>
      </c>
      <c r="B88" s="71"/>
      <c r="C88" s="78" t="s">
        <v>153</v>
      </c>
      <c r="D88" s="86">
        <f>SUM(D75:D87)</f>
        <v>1947271007.2515206</v>
      </c>
      <c r="E88" s="86"/>
      <c r="F88" s="86">
        <f t="shared" ref="F88:H88" si="19">SUM(F75:F87)</f>
        <v>1845428315.1297021</v>
      </c>
      <c r="G88" s="86">
        <f t="shared" si="19"/>
        <v>-3503415.1213217634</v>
      </c>
      <c r="H88" s="86">
        <f t="shared" si="19"/>
        <v>1841924900.0083804</v>
      </c>
    </row>
    <row r="89" spans="1:8" s="68" customFormat="1" ht="20.100000000000001" customHeight="1">
      <c r="A89" s="769" t="str">
        <f>$A$1</f>
        <v>KENTUCKY UTILITIES COMPANY</v>
      </c>
      <c r="B89" s="769"/>
      <c r="C89" s="769"/>
      <c r="D89" s="769"/>
      <c r="E89" s="769"/>
      <c r="F89" s="769"/>
      <c r="G89" s="769"/>
      <c r="H89" s="769"/>
    </row>
    <row r="90" spans="1:8" s="68" customFormat="1" ht="20.100000000000001" customHeight="1">
      <c r="A90" s="769" t="str">
        <f>$A$2</f>
        <v>CASE NO. 2018-00294 - RESPONSE TO PSC 2-65 (SLIPPAGE FACTOR 96.027%)</v>
      </c>
      <c r="B90" s="769"/>
      <c r="C90" s="769"/>
      <c r="D90" s="769"/>
      <c r="E90" s="769"/>
      <c r="F90" s="769"/>
      <c r="G90" s="769"/>
      <c r="H90" s="769"/>
    </row>
    <row r="91" spans="1:8" s="68" customFormat="1" ht="20.100000000000001" customHeight="1">
      <c r="A91" s="769" t="str">
        <f>$A$3</f>
        <v>PLANT IN SERVICE BY ACCOUNTS AND SUBACCOUNTS</v>
      </c>
      <c r="B91" s="769"/>
      <c r="C91" s="769"/>
      <c r="D91" s="769"/>
      <c r="E91" s="769"/>
      <c r="F91" s="769"/>
      <c r="G91" s="769"/>
      <c r="H91" s="769"/>
    </row>
    <row r="92" spans="1:8" s="68" customFormat="1" ht="20.100000000000001" customHeight="1">
      <c r="A92" s="768" t="str">
        <f>$A$4</f>
        <v>AS OF DECEMBER 31, 2018</v>
      </c>
      <c r="B92" s="769"/>
      <c r="C92" s="769"/>
      <c r="D92" s="769"/>
      <c r="E92" s="769"/>
      <c r="F92" s="769"/>
      <c r="G92" s="769"/>
      <c r="H92" s="769"/>
    </row>
    <row r="93" spans="1:8" s="68" customFormat="1" ht="20.100000000000001" customHeight="1">
      <c r="A93" s="84"/>
      <c r="B93" s="84"/>
      <c r="C93" s="84"/>
      <c r="D93" s="84"/>
      <c r="E93" s="84"/>
      <c r="F93" s="84"/>
      <c r="G93" s="84"/>
      <c r="H93" s="84"/>
    </row>
    <row r="94" spans="1:8" s="68" customFormat="1" ht="20.100000000000001" customHeight="1">
      <c r="A94" s="67" t="str">
        <f>$A$6</f>
        <v>DATA:__X__BASE  PERIOD____FORECASTED  PERIOD</v>
      </c>
      <c r="B94" s="67"/>
      <c r="G94" s="74"/>
      <c r="H94" s="74" t="s">
        <v>228</v>
      </c>
    </row>
    <row r="95" spans="1:8" s="68" customFormat="1" ht="20.100000000000001" customHeight="1">
      <c r="A95" s="67" t="str">
        <f>$A$7</f>
        <v>TYPE OF FILING: __X__ ORIGINAL  _____ UPDATED  _____ REVISED</v>
      </c>
      <c r="G95" s="74"/>
      <c r="H95" s="74" t="s">
        <v>171</v>
      </c>
    </row>
    <row r="96" spans="1:8" s="68" customFormat="1" ht="20.100000000000001" customHeight="1">
      <c r="A96" s="67" t="str">
        <f>$A$8</f>
        <v xml:space="preserve">WORKPAPER REFERENCE NO(S).: </v>
      </c>
      <c r="B96" s="67"/>
      <c r="F96" s="67"/>
      <c r="G96" s="75"/>
      <c r="H96" s="75" t="str">
        <f>$H$8</f>
        <v>WITNESS:   C. M. GARRETT</v>
      </c>
    </row>
    <row r="97" spans="1:8" s="68" customFormat="1" ht="20.100000000000001" customHeight="1"/>
    <row r="98" spans="1:8" ht="58.5" customHeight="1">
      <c r="A98" s="76" t="s">
        <v>131</v>
      </c>
      <c r="B98" s="76" t="s">
        <v>134</v>
      </c>
      <c r="C98" s="79" t="s">
        <v>222</v>
      </c>
      <c r="D98" s="76" t="s">
        <v>223</v>
      </c>
      <c r="E98" s="76" t="s">
        <v>224</v>
      </c>
      <c r="F98" s="76" t="s">
        <v>225</v>
      </c>
      <c r="G98" s="76" t="s">
        <v>226</v>
      </c>
      <c r="H98" s="76" t="s">
        <v>227</v>
      </c>
    </row>
    <row r="99" spans="1:8" ht="23.1" customHeight="1">
      <c r="A99" s="80"/>
      <c r="B99" s="80"/>
      <c r="C99" s="81"/>
      <c r="D99" s="82" t="s">
        <v>142</v>
      </c>
      <c r="E99" s="82"/>
      <c r="F99" s="82" t="s">
        <v>142</v>
      </c>
      <c r="G99" s="82" t="s">
        <v>142</v>
      </c>
      <c r="H99" s="82" t="s">
        <v>142</v>
      </c>
    </row>
    <row r="100" spans="1:8" ht="18.95" customHeight="1">
      <c r="A100" s="70">
        <f>A88+1</f>
        <v>61</v>
      </c>
      <c r="C100" s="90" t="s">
        <v>32</v>
      </c>
    </row>
    <row r="101" spans="1:8" ht="18.95" customHeight="1">
      <c r="A101" s="70">
        <f t="shared" ref="A101:A111" si="20">A100+1</f>
        <v>62</v>
      </c>
      <c r="B101" s="71" t="s">
        <v>1697</v>
      </c>
      <c r="C101" s="78" t="s">
        <v>154</v>
      </c>
      <c r="D101" s="88">
        <f>'SCH B-2.3 B'!H101</f>
        <v>4114702.7727499995</v>
      </c>
      <c r="E101" s="130">
        <f t="shared" ref="E101:E109" si="21">F101/D101</f>
        <v>0.90502527949833722</v>
      </c>
      <c r="F101" s="88">
        <f>SUMIFS('JURISSEP B'!$G$71:$G$225,'JURISSEP B'!$B$71:$B$225,$B101)</f>
        <v>3723910.0269606514</v>
      </c>
      <c r="G101" s="88">
        <f>SUMIFS('SCH B-2.2'!$F$12:$F$28,'SCH B-2.2'!$B$12:$B$28,'SCH B-2.1 B'!$B101)</f>
        <v>0</v>
      </c>
      <c r="H101" s="88">
        <f t="shared" ref="H101:H110" si="22">SUM(F101:G101)</f>
        <v>3723910.0269606514</v>
      </c>
    </row>
    <row r="102" spans="1:8" ht="18.95" customHeight="1">
      <c r="A102" s="70">
        <f t="shared" si="20"/>
        <v>63</v>
      </c>
      <c r="B102" s="71" t="s">
        <v>1698</v>
      </c>
      <c r="C102" s="78" t="s">
        <v>148</v>
      </c>
      <c r="D102" s="88">
        <f>'SCH B-2.3 B'!H102</f>
        <v>69509098.574726894</v>
      </c>
      <c r="E102" s="130">
        <f t="shared" si="21"/>
        <v>0.90502527949833722</v>
      </c>
      <c r="F102" s="88">
        <f>SUMIFS('JURISSEP B'!$G$71:$G$225,'JURISSEP B'!$B$71:$B$225,$B102)</f>
        <v>62907491.365269683</v>
      </c>
      <c r="G102" s="88">
        <f>SUMIFS('SCH B-2.2'!$F$12:$F$28,'SCH B-2.2'!$B$12:$B$28,'SCH B-2.1 B'!$B102)</f>
        <v>0</v>
      </c>
      <c r="H102" s="88">
        <f t="shared" si="22"/>
        <v>62907491.365269683</v>
      </c>
    </row>
    <row r="103" spans="1:8" ht="18.95" customHeight="1">
      <c r="A103" s="70">
        <f t="shared" si="20"/>
        <v>64</v>
      </c>
      <c r="B103" s="71" t="s">
        <v>1699</v>
      </c>
      <c r="C103" s="78" t="s">
        <v>156</v>
      </c>
      <c r="D103" s="88">
        <f>'SCH B-2.3 B'!H103</f>
        <v>46160026.234825499</v>
      </c>
      <c r="E103" s="130">
        <f t="shared" si="21"/>
        <v>0.90502527949833733</v>
      </c>
      <c r="F103" s="88">
        <f>SUMIFS('JURISSEP B'!$G$71:$G$225,'JURISSEP B'!$B$71:$B$225,$B103)</f>
        <v>41775990.644823529</v>
      </c>
      <c r="G103" s="88">
        <f>SUMIFS('SCH B-2.2'!$F$12:$F$28,'SCH B-2.2'!$B$12:$B$28,'SCH B-2.1 B'!$B103)</f>
        <v>0</v>
      </c>
      <c r="H103" s="88">
        <f t="shared" si="22"/>
        <v>41775990.644823529</v>
      </c>
    </row>
    <row r="104" spans="1:8" ht="18.95" customHeight="1">
      <c r="A104" s="70">
        <f t="shared" si="20"/>
        <v>65</v>
      </c>
      <c r="B104" s="71" t="s">
        <v>1700</v>
      </c>
      <c r="C104" s="78" t="s">
        <v>155</v>
      </c>
      <c r="D104" s="88">
        <f>'SCH B-2.3 B'!H104</f>
        <v>7538271.6999999993</v>
      </c>
      <c r="E104" s="130">
        <f t="shared" si="21"/>
        <v>0.90502527949833733</v>
      </c>
      <c r="F104" s="88">
        <f>SUMIFS('JURISSEP B'!$G$71:$G$225,'JURISSEP B'!$B$71:$B$225,$B104)</f>
        <v>6822326.4522269061</v>
      </c>
      <c r="G104" s="88">
        <f>SUMIFS('SCH B-2.2'!$F$12:$F$28,'SCH B-2.2'!$B$12:$B$28,'SCH B-2.1 B'!$B104)</f>
        <v>-17560.947618835427</v>
      </c>
      <c r="H104" s="88">
        <f t="shared" si="22"/>
        <v>6804765.5046080705</v>
      </c>
    </row>
    <row r="105" spans="1:8" ht="18.95" customHeight="1">
      <c r="A105" s="70">
        <f t="shared" si="20"/>
        <v>66</v>
      </c>
      <c r="B105" s="71" t="s">
        <v>1701</v>
      </c>
      <c r="C105" s="78" t="s">
        <v>1702</v>
      </c>
      <c r="D105" s="88">
        <f>'SCH B-2.3 B'!H105</f>
        <v>949508.38741999993</v>
      </c>
      <c r="E105" s="130">
        <f t="shared" si="21"/>
        <v>0.90502527949833733</v>
      </c>
      <c r="F105" s="88">
        <f>SUMIFS('JURISSEP B'!$G$71:$G$225,'JURISSEP B'!$B$71:$B$225,$B105)</f>
        <v>859329.09371080098</v>
      </c>
      <c r="G105" s="88">
        <f>SUMIFS('SCH B-2.2'!$F$12:$F$28,'SCH B-2.2'!$B$12:$B$28,'SCH B-2.1 B'!$B105)</f>
        <v>0</v>
      </c>
      <c r="H105" s="88">
        <f t="shared" si="22"/>
        <v>859329.09371080098</v>
      </c>
    </row>
    <row r="106" spans="1:8" ht="18.95" customHeight="1">
      <c r="A106" s="70">
        <f t="shared" si="20"/>
        <v>67</v>
      </c>
      <c r="B106" s="71" t="s">
        <v>1703</v>
      </c>
      <c r="C106" s="78" t="s">
        <v>1704</v>
      </c>
      <c r="D106" s="88">
        <f>'SCH B-2.3 B'!H106</f>
        <v>15349972.9951082</v>
      </c>
      <c r="E106" s="130">
        <f t="shared" si="21"/>
        <v>0.90502527949833722</v>
      </c>
      <c r="F106" s="88">
        <f>SUMIFS('JURISSEP B'!$G$71:$G$225,'JURISSEP B'!$B$71:$B$225,$B106)</f>
        <v>13892113.600189727</v>
      </c>
      <c r="G106" s="88">
        <f>SUMIFS('SCH B-2.2'!$F$12:$F$28,'SCH B-2.2'!$B$12:$B$28,'SCH B-2.1 B'!$B106)</f>
        <v>0</v>
      </c>
      <c r="H106" s="88">
        <f t="shared" si="22"/>
        <v>13892113.600189727</v>
      </c>
    </row>
    <row r="107" spans="1:8" ht="18.95" customHeight="1">
      <c r="A107" s="70">
        <f t="shared" si="20"/>
        <v>68</v>
      </c>
      <c r="B107" s="71" t="s">
        <v>1705</v>
      </c>
      <c r="C107" s="78" t="s">
        <v>1706</v>
      </c>
      <c r="D107" s="88">
        <f>'SCH B-2.3 B'!H107</f>
        <v>0</v>
      </c>
      <c r="E107" s="130"/>
      <c r="F107" s="88">
        <f>SUMIFS('JURISSEP B'!$G$71:$G$225,'JURISSEP B'!$B$71:$B$225,$B107)</f>
        <v>0</v>
      </c>
      <c r="G107" s="88">
        <f>SUMIFS('SCH B-2.2'!$F$12:$F$28,'SCH B-2.2'!$B$12:$B$28,'SCH B-2.1 B'!$B107)</f>
        <v>0</v>
      </c>
      <c r="H107" s="88">
        <f t="shared" si="22"/>
        <v>0</v>
      </c>
    </row>
    <row r="108" spans="1:8" ht="18.95" customHeight="1">
      <c r="A108" s="70">
        <f t="shared" si="20"/>
        <v>69</v>
      </c>
      <c r="B108" s="71" t="s">
        <v>1707</v>
      </c>
      <c r="C108" s="78" t="s">
        <v>1708</v>
      </c>
      <c r="D108" s="88">
        <f>'SCH B-2.3 B'!H108</f>
        <v>4137907.3999999994</v>
      </c>
      <c r="E108" s="130">
        <f t="shared" si="21"/>
        <v>0.90502527949833722</v>
      </c>
      <c r="F108" s="88">
        <f>SUMIFS('JURISSEP B'!$G$71:$G$225,'JURISSEP B'!$B$71:$B$225,$B108)</f>
        <v>3744910.8012232375</v>
      </c>
      <c r="G108" s="88">
        <f>SUMIFS('SCH B-2.2'!$F$12:$F$28,'SCH B-2.2'!$B$12:$B$28,'SCH B-2.1 B'!$B108)</f>
        <v>0</v>
      </c>
      <c r="H108" s="88">
        <f t="shared" si="22"/>
        <v>3744910.8012232375</v>
      </c>
    </row>
    <row r="109" spans="1:8" ht="18.95" customHeight="1">
      <c r="A109" s="70">
        <f t="shared" si="20"/>
        <v>70</v>
      </c>
      <c r="B109" s="71" t="s">
        <v>1709</v>
      </c>
      <c r="C109" s="78" t="s">
        <v>157</v>
      </c>
      <c r="D109" s="88">
        <f>'SCH B-2.3 B'!H109</f>
        <v>65972448.378516383</v>
      </c>
      <c r="E109" s="130">
        <f t="shared" si="21"/>
        <v>0.91622141514107258</v>
      </c>
      <c r="F109" s="88">
        <f>SUMIFS('JURISSEP B'!$G$71:$G$225,'JURISSEP B'!$B$71:$B$225,$B109)</f>
        <v>60445370.013685644</v>
      </c>
      <c r="G109" s="88">
        <f>SUMIFS('SCH B-2.2'!$F$12:$F$28,'SCH B-2.2'!$B$12:$B$28,'SCH B-2.1 B'!$B109)</f>
        <v>-7777190.3599999994</v>
      </c>
      <c r="H109" s="88">
        <f t="shared" si="22"/>
        <v>52668179.653685644</v>
      </c>
    </row>
    <row r="110" spans="1:8" ht="18.95" customHeight="1">
      <c r="A110" s="70">
        <f t="shared" si="20"/>
        <v>71</v>
      </c>
      <c r="B110" s="71" t="s">
        <v>1710</v>
      </c>
      <c r="C110" s="78" t="s">
        <v>1711</v>
      </c>
      <c r="D110" s="89">
        <f>'SCH B-2.3 B'!H110</f>
        <v>0</v>
      </c>
      <c r="E110" s="130">
        <f>E108</f>
        <v>0.90502527949833722</v>
      </c>
      <c r="F110" s="89">
        <f>SUMIFS('JURISSEP B'!$G$71:$G$225,'JURISSEP B'!$B$71:$B$225,$B110)</f>
        <v>0</v>
      </c>
      <c r="G110" s="89">
        <f>SUMIFS('SCH B-2.2'!$F$12:$F$28,'SCH B-2.2'!$B$12:$B$28,'SCH B-2.1 B'!$B110)</f>
        <v>0</v>
      </c>
      <c r="H110" s="89">
        <f t="shared" si="22"/>
        <v>0</v>
      </c>
    </row>
    <row r="111" spans="1:8" ht="18.95" customHeight="1">
      <c r="A111" s="70">
        <f t="shared" si="20"/>
        <v>72</v>
      </c>
      <c r="B111" s="71"/>
      <c r="C111" s="78" t="s">
        <v>158</v>
      </c>
      <c r="D111" s="86">
        <f>SUM(D101:D110)</f>
        <v>213731936.44334698</v>
      </c>
      <c r="E111" s="86"/>
      <c r="F111" s="86">
        <f t="shared" ref="F111:H111" si="23">SUM(F101:F110)</f>
        <v>194171441.99809015</v>
      </c>
      <c r="G111" s="86">
        <f t="shared" si="23"/>
        <v>-7794751.307618835</v>
      </c>
      <c r="H111" s="86">
        <f t="shared" si="23"/>
        <v>186376690.69047132</v>
      </c>
    </row>
    <row r="112" spans="1:8" ht="18.95" customHeight="1">
      <c r="A112" s="70"/>
      <c r="B112" s="71"/>
    </row>
    <row r="113" spans="1:8" ht="18.95" customHeight="1" thickBot="1">
      <c r="A113" s="70">
        <f>A111+1</f>
        <v>73</v>
      </c>
      <c r="B113" s="71"/>
      <c r="C113" s="68" t="s">
        <v>159</v>
      </c>
      <c r="D113" s="94">
        <f>SUM(D16,D27,D38,D60,D72,D88,D111)</f>
        <v>9774385941.0813599</v>
      </c>
      <c r="E113" s="86"/>
      <c r="F113" s="94">
        <f>SUM(F16,F27,F38,F60,F72,F88,F111)</f>
        <v>8701188963.7784309</v>
      </c>
      <c r="G113" s="94">
        <f>SUM(G16,G27,G38,G60,G72,G88,G111)</f>
        <v>-1416719025.1992924</v>
      </c>
      <c r="H113" s="94">
        <f>SUM(H16,H27,H38,H60,H72,H88,H111)</f>
        <v>7284469938.5791378</v>
      </c>
    </row>
    <row r="114" spans="1:8" ht="18.95" customHeight="1" thickTop="1">
      <c r="B114" s="71"/>
    </row>
    <row r="115" spans="1:8" ht="18.95" customHeight="1">
      <c r="B115" s="71"/>
      <c r="D115" s="86"/>
    </row>
    <row r="116" spans="1:8" ht="18.95" customHeight="1">
      <c r="B116" s="71"/>
      <c r="C116" s="78"/>
    </row>
    <row r="117" spans="1:8" ht="18.95" customHeight="1">
      <c r="B117" s="71"/>
    </row>
    <row r="118" spans="1:8" ht="18.95" customHeight="1">
      <c r="B118" s="71"/>
    </row>
    <row r="119" spans="1:8" ht="18.95" customHeight="1">
      <c r="D119" s="69" t="s">
        <v>160</v>
      </c>
    </row>
    <row r="120" spans="1:8" ht="18.95" customHeight="1"/>
    <row r="121" spans="1:8" ht="18.95" customHeight="1"/>
    <row r="122" spans="1:8" ht="18.95" customHeight="1"/>
    <row r="123" spans="1:8" ht="18.95" customHeight="1"/>
    <row r="124" spans="1:8" ht="18.95" customHeight="1"/>
    <row r="125" spans="1:8" ht="18.95" customHeight="1"/>
    <row r="126" spans="1:8" ht="18.95" customHeight="1"/>
    <row r="127" spans="1:8" ht="18.95" customHeight="1"/>
    <row r="128" spans="1:8" ht="18.95" customHeight="1"/>
    <row r="129" ht="18.95" customHeight="1"/>
    <row r="130" ht="18.95" customHeight="1"/>
    <row r="131" ht="18.95" customHeight="1"/>
  </sheetData>
  <mergeCells count="12">
    <mergeCell ref="A92:H92"/>
    <mergeCell ref="A1:H1"/>
    <mergeCell ref="A2:H2"/>
    <mergeCell ref="A3:H3"/>
    <mergeCell ref="A4:H4"/>
    <mergeCell ref="A45:H45"/>
    <mergeCell ref="A46:H46"/>
    <mergeCell ref="A47:H47"/>
    <mergeCell ref="A48:H48"/>
    <mergeCell ref="A89:H89"/>
    <mergeCell ref="A90:H90"/>
    <mergeCell ref="A91:H91"/>
  </mergeCells>
  <pageMargins left="0.95" right="0.5" top="0.75" bottom="0.75" header="0.3" footer="0.3"/>
  <pageSetup scale="69" fitToHeight="0" orientation="portrait" r:id="rId1"/>
  <rowBreaks count="2" manualBreakCount="2">
    <brk id="44" max="16383" man="1"/>
    <brk id="88"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31"/>
  <sheetViews>
    <sheetView zoomScaleNormal="100" workbookViewId="0">
      <selection sqref="A1:H1"/>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3.6640625" style="69" customWidth="1"/>
    <col min="6" max="8" width="15.77734375" style="69" customWidth="1"/>
    <col min="9" max="9" width="1.6640625" style="69" customWidth="1"/>
    <col min="10" max="16384" width="9" style="69"/>
  </cols>
  <sheetData>
    <row r="1" spans="1:8" s="68" customFormat="1" ht="20.100000000000001" customHeight="1">
      <c r="A1" s="769" t="str">
        <f>'Rate Case Constants'!C9</f>
        <v>KENTUCKY UTILITIES COMPANY</v>
      </c>
      <c r="B1" s="769"/>
      <c r="C1" s="769"/>
      <c r="D1" s="769"/>
      <c r="E1" s="769"/>
      <c r="F1" s="769"/>
      <c r="G1" s="769"/>
      <c r="H1" s="769"/>
    </row>
    <row r="2" spans="1:8" s="68" customFormat="1" ht="20.100000000000001" customHeight="1">
      <c r="A2" s="769" t="str">
        <f>'Rate Case Constants'!C10</f>
        <v>CASE NO. 2018-00294 - RESPONSE TO PSC 2-65 (SLIPPAGE FACTOR 96.027%)</v>
      </c>
      <c r="B2" s="769"/>
      <c r="C2" s="769"/>
      <c r="D2" s="769"/>
      <c r="E2" s="769"/>
      <c r="F2" s="769"/>
      <c r="G2" s="769"/>
      <c r="H2" s="769"/>
    </row>
    <row r="3" spans="1:8" s="68" customFormat="1" ht="20.100000000000001" customHeight="1">
      <c r="A3" s="769" t="s">
        <v>221</v>
      </c>
      <c r="B3" s="769"/>
      <c r="C3" s="769"/>
      <c r="D3" s="769"/>
      <c r="E3" s="769"/>
      <c r="F3" s="769"/>
      <c r="G3" s="769"/>
      <c r="H3" s="769"/>
    </row>
    <row r="4" spans="1:8" s="68" customFormat="1" ht="20.100000000000001" customHeight="1">
      <c r="A4" s="768" t="str">
        <f>'Rate Case Constants'!C18</f>
        <v>AS OF APRIL 30, 2020</v>
      </c>
      <c r="B4" s="769"/>
      <c r="C4" s="769"/>
      <c r="D4" s="769"/>
      <c r="E4" s="769"/>
      <c r="F4" s="769"/>
      <c r="G4" s="769"/>
      <c r="H4" s="769"/>
    </row>
    <row r="5" spans="1:8" s="68" customFormat="1" ht="20.100000000000001" customHeight="1">
      <c r="A5" s="84"/>
      <c r="B5" s="84"/>
      <c r="C5" s="84"/>
      <c r="D5" s="84"/>
      <c r="E5" s="84"/>
      <c r="F5" s="84"/>
      <c r="G5" s="84"/>
      <c r="H5" s="84"/>
    </row>
    <row r="6" spans="1:8" s="68" customFormat="1" ht="20.100000000000001" customHeight="1">
      <c r="A6" s="67" t="s">
        <v>161</v>
      </c>
      <c r="B6" s="67"/>
      <c r="G6" s="74"/>
      <c r="H6" s="74" t="s">
        <v>228</v>
      </c>
    </row>
    <row r="7" spans="1:8" s="68" customFormat="1" ht="20.100000000000001" customHeight="1">
      <c r="A7" s="68" t="str">
        <f>'Rate Case Constants'!C29</f>
        <v>TYPE OF FILING: __X__ ORIGINAL  _____ UPDATED  _____ REVISED</v>
      </c>
      <c r="G7" s="74"/>
      <c r="H7" s="74" t="s">
        <v>168</v>
      </c>
    </row>
    <row r="8" spans="1:8" s="68" customFormat="1" ht="20.100000000000001" customHeight="1">
      <c r="A8" s="67" t="s">
        <v>1198</v>
      </c>
      <c r="B8" s="67"/>
      <c r="F8" s="67"/>
      <c r="G8" s="75"/>
      <c r="H8" s="75" t="str">
        <f>'Rate Case Constants'!C36</f>
        <v>WITNESS:   C. M. GARRETT</v>
      </c>
    </row>
    <row r="9" spans="1:8" s="68" customFormat="1" ht="20.100000000000001" customHeight="1"/>
    <row r="10" spans="1:8" ht="84.95" customHeight="1">
      <c r="A10" s="76" t="s">
        <v>131</v>
      </c>
      <c r="B10" s="76" t="s">
        <v>134</v>
      </c>
      <c r="C10" s="79" t="s">
        <v>222</v>
      </c>
      <c r="D10" s="76" t="s">
        <v>3413</v>
      </c>
      <c r="E10" s="76" t="s">
        <v>224</v>
      </c>
      <c r="F10" s="76" t="s">
        <v>225</v>
      </c>
      <c r="G10" s="76" t="s">
        <v>226</v>
      </c>
      <c r="H10" s="76" t="s">
        <v>227</v>
      </c>
    </row>
    <row r="11" spans="1:8" ht="23.1" customHeight="1">
      <c r="A11" s="80"/>
      <c r="B11" s="80"/>
      <c r="C11" s="81"/>
      <c r="D11" s="82" t="s">
        <v>142</v>
      </c>
      <c r="E11" s="82"/>
      <c r="F11" s="82" t="s">
        <v>142</v>
      </c>
      <c r="G11" s="82" t="s">
        <v>142</v>
      </c>
      <c r="H11" s="82" t="s">
        <v>142</v>
      </c>
    </row>
    <row r="12" spans="1:8" ht="23.1" customHeight="1">
      <c r="A12" s="73">
        <v>1</v>
      </c>
      <c r="B12" s="73"/>
      <c r="C12" s="85" t="s">
        <v>56</v>
      </c>
      <c r="D12" s="77"/>
      <c r="E12" s="77"/>
      <c r="F12" s="77"/>
      <c r="G12" s="77"/>
      <c r="H12" s="77"/>
    </row>
    <row r="13" spans="1:8" ht="18.95" customHeight="1">
      <c r="A13" s="70">
        <f>A12+1</f>
        <v>2</v>
      </c>
      <c r="B13" s="71" t="s">
        <v>1620</v>
      </c>
      <c r="C13" s="78" t="s">
        <v>1621</v>
      </c>
      <c r="D13" s="86">
        <f>'SCH B-2.3 F'!I13</f>
        <v>44455.580000000009</v>
      </c>
      <c r="E13" s="130">
        <f>F13/D13</f>
        <v>0.93497392644131894</v>
      </c>
      <c r="F13" s="86">
        <f>SUMIFS('JURISSEP F'!$G$71:$G$225,'JURISSEP F'!$B$71:$B$225,$B13)</f>
        <v>41564.808184826179</v>
      </c>
      <c r="G13" s="86">
        <f>SUMIFS('SCH B-2.2'!$F$43:$F$59,'SCH B-2.2'!$B$43:$B$59,'SCH B-2.1 F'!$B13)</f>
        <v>0</v>
      </c>
      <c r="H13" s="86">
        <f>SUM(F13:G13)</f>
        <v>41564.808184826179</v>
      </c>
    </row>
    <row r="14" spans="1:8" ht="18.95" customHeight="1">
      <c r="A14" s="70">
        <f t="shared" ref="A14:A77" si="0">A13+1</f>
        <v>3</v>
      </c>
      <c r="B14" s="71" t="s">
        <v>1622</v>
      </c>
      <c r="C14" s="78" t="s">
        <v>1623</v>
      </c>
      <c r="D14" s="86">
        <f>'SCH B-2.3 F'!I14</f>
        <v>55918.829999999994</v>
      </c>
      <c r="E14" s="130">
        <f t="shared" ref="E14:E15" si="1">F14/D14</f>
        <v>1</v>
      </c>
      <c r="F14" s="88">
        <f>SUMIFS('JURISSEP F'!$G$71:$G$225,'JURISSEP F'!$B$71:$B$225,$B14)</f>
        <v>55918.829999999994</v>
      </c>
      <c r="G14" s="87">
        <f>SUMIFS('SCH B-2.2'!$F$43:$F$59,'SCH B-2.2'!$B$43:$B$59,'SCH B-2.1 F'!$B14)</f>
        <v>0</v>
      </c>
      <c r="H14" s="88">
        <f t="shared" ref="H14:H15" si="2">SUM(F14:G14)</f>
        <v>55918.829999999994</v>
      </c>
    </row>
    <row r="15" spans="1:8" ht="18.95" customHeight="1">
      <c r="A15" s="70">
        <f t="shared" si="0"/>
        <v>4</v>
      </c>
      <c r="B15" s="71" t="s">
        <v>1624</v>
      </c>
      <c r="C15" s="78" t="s">
        <v>1625</v>
      </c>
      <c r="D15" s="89">
        <f>'SCH B-2.3 F'!I15</f>
        <v>97263001.68879573</v>
      </c>
      <c r="E15" s="130">
        <f t="shared" si="1"/>
        <v>0.93497392644131894</v>
      </c>
      <c r="F15" s="89">
        <f>SUMIFS('JURISSEP F'!$G$71:$G$225,'JURISSEP F'!$B$71:$B$225,$B15)</f>
        <v>90938370.586441979</v>
      </c>
      <c r="G15" s="89">
        <f>SUMIFS('SCH B-2.2'!$F$43:$F$59,'SCH B-2.2'!$B$43:$B$59,'SCH B-2.1 F'!$B15)</f>
        <v>0</v>
      </c>
      <c r="H15" s="89">
        <f t="shared" si="2"/>
        <v>90938370.586441979</v>
      </c>
    </row>
    <row r="16" spans="1:8" ht="18.95" customHeight="1">
      <c r="A16" s="70">
        <f t="shared" si="0"/>
        <v>5</v>
      </c>
      <c r="B16" s="70"/>
      <c r="C16" s="78" t="s">
        <v>143</v>
      </c>
      <c r="D16" s="86">
        <f>SUM(D13:D15)</f>
        <v>97363376.098795727</v>
      </c>
      <c r="E16" s="86"/>
      <c r="F16" s="86">
        <f>SUM(F13:F15)</f>
        <v>91035854.224626809</v>
      </c>
      <c r="G16" s="86">
        <f>SUM(G13:G15)</f>
        <v>0</v>
      </c>
      <c r="H16" s="86">
        <f>SUM(H13:H15)</f>
        <v>91035854.224626809</v>
      </c>
    </row>
    <row r="17" spans="1:8" ht="18.95" customHeight="1">
      <c r="A17" s="70"/>
      <c r="B17" s="70"/>
      <c r="D17" s="72"/>
      <c r="E17" s="72"/>
      <c r="F17" s="72"/>
      <c r="G17" s="72"/>
      <c r="H17" s="72"/>
    </row>
    <row r="18" spans="1:8" ht="18.95" customHeight="1">
      <c r="A18" s="70">
        <f>A16+1</f>
        <v>6</v>
      </c>
      <c r="B18" s="70"/>
      <c r="C18" s="90" t="s">
        <v>72</v>
      </c>
      <c r="D18" s="72"/>
      <c r="E18" s="72"/>
      <c r="F18" s="72"/>
      <c r="G18" s="72"/>
      <c r="H18" s="72"/>
    </row>
    <row r="19" spans="1:8" ht="18.95" customHeight="1">
      <c r="A19" s="70">
        <f t="shared" si="0"/>
        <v>7</v>
      </c>
      <c r="B19" s="71" t="s">
        <v>1626</v>
      </c>
      <c r="C19" s="78" t="s">
        <v>154</v>
      </c>
      <c r="D19" s="88">
        <f>'SCH B-2.3 F'!I19</f>
        <v>24446473.830399901</v>
      </c>
      <c r="E19" s="130">
        <f t="shared" ref="E19:E26" si="3">F19/D19</f>
        <v>0.93741603079505242</v>
      </c>
      <c r="F19" s="88">
        <f>SUMIFS('JURISSEP F'!$G$71:$G$225,'JURISSEP F'!$B$71:$B$225,$B19)</f>
        <v>22916516.465028595</v>
      </c>
      <c r="G19" s="88">
        <f>SUMIFS('SCH B-2.2'!$F$43:$F$59,'SCH B-2.2'!$B$43:$B$59,'SCH B-2.1 F'!$B19)</f>
        <v>-12224848.119591011</v>
      </c>
      <c r="H19" s="88">
        <f t="shared" ref="H19:H26" si="4">SUM(F19:G19)</f>
        <v>10691668.345437584</v>
      </c>
    </row>
    <row r="20" spans="1:8" ht="18" customHeight="1">
      <c r="A20" s="70">
        <f t="shared" si="0"/>
        <v>8</v>
      </c>
      <c r="B20" s="71" t="s">
        <v>1627</v>
      </c>
      <c r="C20" s="78" t="s">
        <v>148</v>
      </c>
      <c r="D20" s="88">
        <f>'SCH B-2.3 F'!I20</f>
        <v>356223563.15797478</v>
      </c>
      <c r="E20" s="130">
        <f t="shared" si="3"/>
        <v>0.93447697627128501</v>
      </c>
      <c r="F20" s="88">
        <f>SUMIFS('JURISSEP F'!$G$71:$G$225,'JURISSEP F'!$B$71:$B$225,$B20)+SUMIFS(AFUDC!$L$6:$L$44,AFUDC!$B$6:$B$44,$B20)</f>
        <v>332882718.17644739</v>
      </c>
      <c r="G20" s="88">
        <f>SUMIFS('SCH B-2.2'!$F$43:$F$59,'SCH B-2.2'!$B$43:$B$59,'SCH B-2.1 F'!$B20)</f>
        <v>-23178026.495945569</v>
      </c>
      <c r="H20" s="88">
        <f t="shared" si="4"/>
        <v>309704691.68050182</v>
      </c>
    </row>
    <row r="21" spans="1:8" ht="18.95" customHeight="1">
      <c r="A21" s="70">
        <f t="shared" si="0"/>
        <v>9</v>
      </c>
      <c r="B21" s="71" t="s">
        <v>1628</v>
      </c>
      <c r="C21" s="78" t="s">
        <v>1629</v>
      </c>
      <c r="D21" s="88">
        <f>'SCH B-2.3 F'!I21</f>
        <v>4268165562.5740767</v>
      </c>
      <c r="E21" s="130">
        <f t="shared" si="3"/>
        <v>0.93568261572784073</v>
      </c>
      <c r="F21" s="88">
        <f>SUMIFS('JURISSEP F'!$G$71:$G$225,'JURISSEP F'!$B$71:$B$225,$B21)+SUMIFS(AFUDC!$L$6:$L$44,AFUDC!$B$6:$B$44,$B21)</f>
        <v>3993648317.9488029</v>
      </c>
      <c r="G21" s="88">
        <f>SUMIFS('SCH B-2.2'!$F$43:$F$59,'SCH B-2.2'!$B$43:$B$59,'SCH B-2.1 F'!$B21)</f>
        <v>-1454554216.7791197</v>
      </c>
      <c r="H21" s="88">
        <f t="shared" si="4"/>
        <v>2539094101.1696835</v>
      </c>
    </row>
    <row r="22" spans="1:8" ht="18.95" customHeight="1">
      <c r="A22" s="70">
        <f>A20+1</f>
        <v>9</v>
      </c>
      <c r="B22" s="71">
        <v>313</v>
      </c>
      <c r="C22" s="78" t="s">
        <v>144</v>
      </c>
      <c r="D22" s="88">
        <f>'SCH B-2.3 F'!I22</f>
        <v>0</v>
      </c>
      <c r="E22" s="130"/>
      <c r="F22" s="88">
        <f>SUMIFS('JURISSEP F'!$G$71:$G$225,'JURISSEP F'!$B$71:$B$225,$B22)+SUMIFS(AFUDC!$L$6:$L$44,AFUDC!$B$6:$B$44,$B22)</f>
        <v>0</v>
      </c>
      <c r="G22" s="88">
        <f>SUMIFS('SCH B-2.2'!$F$43:$F$59,'SCH B-2.2'!$B$43:$B$59,'SCH B-2.1 F'!$B22)</f>
        <v>0</v>
      </c>
      <c r="H22" s="88">
        <f t="shared" si="4"/>
        <v>0</v>
      </c>
    </row>
    <row r="23" spans="1:8" ht="18.95" customHeight="1">
      <c r="A23" s="70">
        <f>A21+1</f>
        <v>10</v>
      </c>
      <c r="B23" s="71" t="s">
        <v>1630</v>
      </c>
      <c r="C23" s="78" t="s">
        <v>1631</v>
      </c>
      <c r="D23" s="88">
        <f>'SCH B-2.3 F'!I23</f>
        <v>334308154.74648631</v>
      </c>
      <c r="E23" s="130">
        <f t="shared" si="3"/>
        <v>0.93336527415992077</v>
      </c>
      <c r="F23" s="88">
        <f>SUMIFS('JURISSEP F'!$G$71:$G$225,'JURISSEP F'!$B$71:$B$225,$B23)+SUMIFS(AFUDC!$L$6:$L$44,AFUDC!$B$6:$B$44,$B23)</f>
        <v>312031622.50885141</v>
      </c>
      <c r="G23" s="88">
        <f>SUMIFS('SCH B-2.2'!$F$43:$F$59,'SCH B-2.2'!$B$43:$B$59,'SCH B-2.1 F'!$B23)</f>
        <v>0</v>
      </c>
      <c r="H23" s="88">
        <f t="shared" si="4"/>
        <v>312031622.50885141</v>
      </c>
    </row>
    <row r="24" spans="1:8" ht="18.95" customHeight="1">
      <c r="A24" s="70">
        <f t="shared" si="0"/>
        <v>11</v>
      </c>
      <c r="B24" s="71" t="s">
        <v>1632</v>
      </c>
      <c r="C24" s="78" t="s">
        <v>1633</v>
      </c>
      <c r="D24" s="88">
        <f>'SCH B-2.3 F'!I24</f>
        <v>253631737.58526215</v>
      </c>
      <c r="E24" s="130">
        <f t="shared" si="3"/>
        <v>0.93373859160184203</v>
      </c>
      <c r="F24" s="88">
        <f>SUMIFS('JURISSEP F'!$G$71:$G$225,'JURISSEP F'!$B$71:$B$225,$B24)+SUMIFS(AFUDC!$L$6:$L$44,AFUDC!$B$6:$B$44,$B24)</f>
        <v>236825741.43839067</v>
      </c>
      <c r="G24" s="88">
        <f>SUMIFS('SCH B-2.2'!$F$43:$F$59,'SCH B-2.2'!$B$43:$B$59,'SCH B-2.1 F'!$B24)</f>
        <v>-33906046.24688904</v>
      </c>
      <c r="H24" s="88">
        <f t="shared" si="4"/>
        <v>202919695.19150162</v>
      </c>
    </row>
    <row r="25" spans="1:8" ht="18.95" customHeight="1">
      <c r="A25" s="70">
        <f t="shared" si="0"/>
        <v>12</v>
      </c>
      <c r="B25" s="71" t="s">
        <v>1634</v>
      </c>
      <c r="C25" s="78" t="s">
        <v>1635</v>
      </c>
      <c r="D25" s="88">
        <f>'SCH B-2.3 F'!I25</f>
        <v>43360171.782118492</v>
      </c>
      <c r="E25" s="130">
        <f t="shared" si="3"/>
        <v>0.93546269718939867</v>
      </c>
      <c r="F25" s="88">
        <f>SUMIFS('JURISSEP F'!$G$71:$G$225,'JURISSEP F'!$B$71:$B$225,$B25)+SUMIFS(AFUDC!$L$6:$L$44,AFUDC!$B$6:$B$44,$B25)</f>
        <v>40561823.24589622</v>
      </c>
      <c r="G25" s="88">
        <f>SUMIFS('SCH B-2.2'!$F$43:$F$59,'SCH B-2.2'!$B$43:$B$59,'SCH B-2.1 F'!$B25)</f>
        <v>-771685.05002939538</v>
      </c>
      <c r="H25" s="88">
        <f t="shared" si="4"/>
        <v>39790138.195866823</v>
      </c>
    </row>
    <row r="26" spans="1:8" ht="18.95" customHeight="1">
      <c r="A26" s="70">
        <f t="shared" si="0"/>
        <v>13</v>
      </c>
      <c r="B26" s="71" t="s">
        <v>1636</v>
      </c>
      <c r="C26" s="78" t="s">
        <v>1655</v>
      </c>
      <c r="D26" s="89">
        <f>'SCH B-2.3 F'!I26</f>
        <v>178310652.40384617</v>
      </c>
      <c r="E26" s="130">
        <f t="shared" si="3"/>
        <v>0.93741603079505254</v>
      </c>
      <c r="F26" s="89">
        <f>SUMIFS('JURISSEP F'!$G$71:$G$225,'JURISSEP F'!$B$71:$B$225,$B26)</f>
        <v>167151264.02488977</v>
      </c>
      <c r="G26" s="89">
        <f>SUMIFS('SCH B-2.2'!$F$43:$F$59,'SCH B-2.2'!$B$43:$B$59,'SCH B-2.1 F'!$B26)</f>
        <v>-167151264.02488977</v>
      </c>
      <c r="H26" s="89">
        <f t="shared" si="4"/>
        <v>0</v>
      </c>
    </row>
    <row r="27" spans="1:8" ht="18.95" customHeight="1">
      <c r="A27" s="70">
        <f t="shared" si="0"/>
        <v>14</v>
      </c>
      <c r="C27" s="78" t="s">
        <v>146</v>
      </c>
      <c r="D27" s="86">
        <f>SUM(D19:D26)</f>
        <v>5458446316.0801649</v>
      </c>
      <c r="E27" s="130"/>
      <c r="F27" s="86">
        <f>SUM(F19:F26)</f>
        <v>5106018003.8083067</v>
      </c>
      <c r="G27" s="86">
        <f>SUM(G19:G26)</f>
        <v>-1691786086.7164645</v>
      </c>
      <c r="H27" s="86">
        <f>SUM(H19:H26)</f>
        <v>3414231917.0918427</v>
      </c>
    </row>
    <row r="28" spans="1:8" ht="18.95" customHeight="1">
      <c r="A28" s="70"/>
      <c r="C28" s="78"/>
    </row>
    <row r="29" spans="1:8" ht="18.95" customHeight="1">
      <c r="A29" s="70">
        <f>A27+1</f>
        <v>15</v>
      </c>
      <c r="C29" s="90" t="s">
        <v>47</v>
      </c>
    </row>
    <row r="30" spans="1:8" ht="18.95" customHeight="1">
      <c r="A30" s="70">
        <f t="shared" si="0"/>
        <v>16</v>
      </c>
      <c r="B30" s="71" t="s">
        <v>1637</v>
      </c>
      <c r="C30" s="78" t="s">
        <v>154</v>
      </c>
      <c r="D30" s="88">
        <f>'SCH B-2.3 F'!I30</f>
        <v>855636.47000000009</v>
      </c>
      <c r="E30" s="130">
        <f t="shared" ref="E30:E37" si="5">F30/D30</f>
        <v>0.93741603079505242</v>
      </c>
      <c r="F30" s="88">
        <f>SUMIFS('JURISSEP F'!$G$71:$G$225,'JURISSEP F'!$B$71:$B$225,$B30)</f>
        <v>802087.34351089003</v>
      </c>
      <c r="G30" s="88">
        <f>SUMIFS('SCH B-2.2'!$F$43:$F$59,'SCH B-2.2'!$B$43:$B$59,'SCH B-2.1 F'!$B30)</f>
        <v>0</v>
      </c>
      <c r="H30" s="88">
        <f t="shared" ref="H30:H37" si="6">SUM(F30:G30)</f>
        <v>802087.34351089003</v>
      </c>
    </row>
    <row r="31" spans="1:8" ht="18.95" customHeight="1">
      <c r="A31" s="70">
        <f t="shared" si="0"/>
        <v>17</v>
      </c>
      <c r="B31" s="71" t="s">
        <v>1638</v>
      </c>
      <c r="C31" s="78" t="s">
        <v>148</v>
      </c>
      <c r="D31" s="88">
        <f>'SCH B-2.3 F'!I31</f>
        <v>4472311.3654446071</v>
      </c>
      <c r="E31" s="130">
        <f t="shared" si="5"/>
        <v>0.93741603079505242</v>
      </c>
      <c r="F31" s="88">
        <f>SUMIFS('JURISSEP F'!$G$71:$G$225,'JURISSEP F'!$B$71:$B$225,$B31)</f>
        <v>4192416.3686746848</v>
      </c>
      <c r="G31" s="88">
        <f>SUMIFS('SCH B-2.2'!$F$43:$F$59,'SCH B-2.2'!$B$43:$B$59,'SCH B-2.1 F'!$B31)</f>
        <v>0</v>
      </c>
      <c r="H31" s="88">
        <f t="shared" si="6"/>
        <v>4192416.3686746848</v>
      </c>
    </row>
    <row r="32" spans="1:8" ht="18.95" customHeight="1">
      <c r="A32" s="70">
        <f t="shared" si="0"/>
        <v>18</v>
      </c>
      <c r="B32" s="71" t="s">
        <v>1639</v>
      </c>
      <c r="C32" s="78" t="s">
        <v>1640</v>
      </c>
      <c r="D32" s="88">
        <f>'SCH B-2.3 F'!I32</f>
        <v>21885646.369999994</v>
      </c>
      <c r="E32" s="130">
        <f t="shared" si="5"/>
        <v>0.93710477842386353</v>
      </c>
      <c r="F32" s="88">
        <f>SUMIFS('JURISSEP F'!$G$71:$G$225,'JURISSEP F'!$B$71:$B$225,$B32)+SUMIFS(AFUDC!$L$6:$L$44,AFUDC!$B$6:$B$44,$B32)</f>
        <v>20509143.792221878</v>
      </c>
      <c r="G32" s="88">
        <f>SUMIFS('SCH B-2.2'!$F$43:$F$59,'SCH B-2.2'!$B$43:$B$59,'SCH B-2.1 F'!$B32)</f>
        <v>0</v>
      </c>
      <c r="H32" s="88">
        <f t="shared" si="6"/>
        <v>20509143.792221878</v>
      </c>
    </row>
    <row r="33" spans="1:8" ht="18.95" customHeight="1">
      <c r="A33" s="70">
        <f t="shared" si="0"/>
        <v>19</v>
      </c>
      <c r="B33" s="71" t="s">
        <v>1641</v>
      </c>
      <c r="C33" s="78" t="s">
        <v>1642</v>
      </c>
      <c r="D33" s="88">
        <f>'SCH B-2.3 F'!I33</f>
        <v>14046741.58</v>
      </c>
      <c r="E33" s="130">
        <f t="shared" si="5"/>
        <v>0.93675554163693064</v>
      </c>
      <c r="F33" s="88">
        <f>SUMIFS('JURISSEP F'!$G$71:$G$225,'JURISSEP F'!$B$71:$B$225,$B33)+SUMIFS(AFUDC!$L$6:$L$44,AFUDC!$B$6:$B$44,$B33)</f>
        <v>13158363.017006895</v>
      </c>
      <c r="G33" s="88">
        <f>SUMIFS('SCH B-2.2'!$F$43:$F$59,'SCH B-2.2'!$B$43:$B$59,'SCH B-2.1 F'!$B33)</f>
        <v>0</v>
      </c>
      <c r="H33" s="88">
        <f t="shared" si="6"/>
        <v>13158363.017006895</v>
      </c>
    </row>
    <row r="34" spans="1:8" ht="18.95" customHeight="1">
      <c r="A34" s="70">
        <f t="shared" si="0"/>
        <v>20</v>
      </c>
      <c r="B34" s="71" t="s">
        <v>1643</v>
      </c>
      <c r="C34" s="78" t="s">
        <v>1633</v>
      </c>
      <c r="D34" s="88">
        <f>'SCH B-2.3 F'!I34</f>
        <v>1381870.67</v>
      </c>
      <c r="E34" s="130">
        <f t="shared" si="5"/>
        <v>0.93697022425202514</v>
      </c>
      <c r="F34" s="88">
        <f>SUMIFS('JURISSEP F'!$G$71:$G$225,'JURISSEP F'!$B$71:$B$225,$B34)+SUMIFS(AFUDC!$L$6:$L$44,AFUDC!$B$6:$B$44,$B34)</f>
        <v>1294771.6715571962</v>
      </c>
      <c r="G34" s="88">
        <f>SUMIFS('SCH B-2.2'!$F$43:$F$59,'SCH B-2.2'!$B$43:$B$59,'SCH B-2.1 F'!$B34)</f>
        <v>0</v>
      </c>
      <c r="H34" s="88">
        <f t="shared" si="6"/>
        <v>1294771.6715571962</v>
      </c>
    </row>
    <row r="35" spans="1:8" ht="18.95" customHeight="1">
      <c r="A35" s="70">
        <f t="shared" si="0"/>
        <v>21</v>
      </c>
      <c r="B35" s="71" t="s">
        <v>1644</v>
      </c>
      <c r="C35" s="78" t="s">
        <v>1645</v>
      </c>
      <c r="D35" s="88">
        <f>'SCH B-2.3 F'!I35</f>
        <v>329374.17999999993</v>
      </c>
      <c r="E35" s="130">
        <f t="shared" si="5"/>
        <v>0.93638968450655535</v>
      </c>
      <c r="F35" s="88">
        <f>SUMIFS('JURISSEP F'!$G$71:$G$225,'JURISSEP F'!$B$71:$B$225,$B35)+SUMIFS(AFUDC!$L$6:$L$44,AFUDC!$B$6:$B$44,$B35)</f>
        <v>308422.58449480531</v>
      </c>
      <c r="G35" s="88">
        <f>SUMIFS('SCH B-2.2'!$F$43:$F$59,'SCH B-2.2'!$B$43:$B$59,'SCH B-2.1 F'!$B35)</f>
        <v>0</v>
      </c>
      <c r="H35" s="88">
        <f t="shared" si="6"/>
        <v>308422.58449480531</v>
      </c>
    </row>
    <row r="36" spans="1:8" ht="18.95" customHeight="1">
      <c r="A36" s="70">
        <f t="shared" si="0"/>
        <v>22</v>
      </c>
      <c r="B36" s="71" t="s">
        <v>1646</v>
      </c>
      <c r="C36" s="78" t="s">
        <v>1647</v>
      </c>
      <c r="D36" s="88">
        <f>'SCH B-2.3 F'!I36</f>
        <v>234509.12999999995</v>
      </c>
      <c r="E36" s="130">
        <f t="shared" si="5"/>
        <v>0.93741603079505242</v>
      </c>
      <c r="F36" s="88">
        <f>SUMIFS('JURISSEP F'!$G$71:$G$225,'JURISSEP F'!$B$71:$B$225,$B36)</f>
        <v>219832.6178298009</v>
      </c>
      <c r="G36" s="88">
        <f>SUMIFS('SCH B-2.2'!$F$43:$F$59,'SCH B-2.2'!$B$43:$B$59,'SCH B-2.1 F'!$B36)</f>
        <v>0</v>
      </c>
      <c r="H36" s="88">
        <f t="shared" si="6"/>
        <v>219832.6178298009</v>
      </c>
    </row>
    <row r="37" spans="1:8" ht="18.95" customHeight="1">
      <c r="A37" s="70">
        <f t="shared" si="0"/>
        <v>23</v>
      </c>
      <c r="B37" s="71" t="s">
        <v>1648</v>
      </c>
      <c r="C37" s="78" t="s">
        <v>1656</v>
      </c>
      <c r="D37" s="89">
        <f>'SCH B-2.3 F'!I37</f>
        <v>645787.98999999987</v>
      </c>
      <c r="E37" s="130">
        <f t="shared" si="5"/>
        <v>0.93741603079505242</v>
      </c>
      <c r="F37" s="89">
        <f>SUMIFS('JURISSEP F'!$G$71:$G$225,'JURISSEP F'!$B$71:$B$225,$B37)</f>
        <v>605372.01432091487</v>
      </c>
      <c r="G37" s="89">
        <f>SUMIFS('SCH B-2.2'!$F$43:$F$59,'SCH B-2.2'!$B$43:$B$59,'SCH B-2.1 F'!$B37)</f>
        <v>-605372.01432091487</v>
      </c>
      <c r="H37" s="89">
        <f t="shared" si="6"/>
        <v>0</v>
      </c>
    </row>
    <row r="38" spans="1:8" ht="18.95" customHeight="1">
      <c r="A38" s="70">
        <f t="shared" si="0"/>
        <v>24</v>
      </c>
      <c r="B38" s="71" t="s">
        <v>251</v>
      </c>
      <c r="C38" s="78" t="s">
        <v>147</v>
      </c>
      <c r="D38" s="86">
        <f>SUM(D30:D37)</f>
        <v>43851877.755444609</v>
      </c>
      <c r="E38" s="86"/>
      <c r="F38" s="86">
        <f t="shared" ref="F38:H38" si="7">SUM(F30:F37)</f>
        <v>41090409.409617066</v>
      </c>
      <c r="G38" s="86">
        <f t="shared" si="7"/>
        <v>-605372.01432091487</v>
      </c>
      <c r="H38" s="86">
        <f t="shared" si="7"/>
        <v>40485037.395296149</v>
      </c>
    </row>
    <row r="39" spans="1:8" ht="18.95" customHeight="1">
      <c r="A39" s="70"/>
      <c r="B39" s="71"/>
      <c r="C39" s="78"/>
      <c r="D39" s="86"/>
      <c r="E39" s="86"/>
      <c r="F39" s="86"/>
      <c r="G39" s="86"/>
      <c r="H39" s="86"/>
    </row>
    <row r="40" spans="1:8" ht="18.95" customHeight="1">
      <c r="A40" s="70">
        <f>A38+1</f>
        <v>25</v>
      </c>
      <c r="C40" s="90" t="s">
        <v>61</v>
      </c>
    </row>
    <row r="41" spans="1:8" ht="18.95" customHeight="1">
      <c r="A41" s="70">
        <f t="shared" si="0"/>
        <v>26</v>
      </c>
      <c r="B41" s="71" t="s">
        <v>1649</v>
      </c>
      <c r="C41" s="78" t="s">
        <v>154</v>
      </c>
      <c r="D41" s="88">
        <f>'SCH B-2.3 F'!I41</f>
        <v>902801.45799999998</v>
      </c>
      <c r="E41" s="130">
        <f t="shared" ref="E41:E44" si="8">F41/D41</f>
        <v>0.93741603079505242</v>
      </c>
      <c r="F41" s="88">
        <f>SUMIFS('JURISSEP F'!$G$71:$G$225,'JURISSEP F'!$B$71:$B$225,$B41)</f>
        <v>846300.55935434625</v>
      </c>
      <c r="G41" s="88">
        <f>SUMIFS('SCH B-2.2'!$F$43:$F$59,'SCH B-2.2'!$B$43:$B$59,'SCH B-2.1 F'!$B41)</f>
        <v>0</v>
      </c>
      <c r="H41" s="88">
        <f t="shared" ref="H41:H44" si="9">SUM(F41:G41)</f>
        <v>846300.55935434625</v>
      </c>
    </row>
    <row r="42" spans="1:8" ht="18.95" customHeight="1">
      <c r="A42" s="70">
        <f t="shared" si="0"/>
        <v>27</v>
      </c>
      <c r="B42" s="71" t="s">
        <v>1650</v>
      </c>
      <c r="C42" s="78" t="s">
        <v>148</v>
      </c>
      <c r="D42" s="88">
        <f>'SCH B-2.3 F'!I42</f>
        <v>87144715.703681976</v>
      </c>
      <c r="E42" s="130">
        <f t="shared" si="8"/>
        <v>0.93640089607183519</v>
      </c>
      <c r="F42" s="88">
        <f>SUMIFS('JURISSEP F'!$G$71:$G$225,'JURISSEP F'!$B$71:$B$225,$B42)+SUMIFS(AFUDC!$L$6:$L$44,AFUDC!$B$6:$B$44,$B42)</f>
        <v>81602389.87285313</v>
      </c>
      <c r="G42" s="88">
        <f>SUMIFS('SCH B-2.2'!$F$43:$F$59,'SCH B-2.2'!$B$43:$B$59,'SCH B-2.1 F'!$B42)</f>
        <v>0</v>
      </c>
      <c r="H42" s="88">
        <f t="shared" si="9"/>
        <v>81602389.87285313</v>
      </c>
    </row>
    <row r="43" spans="1:8" ht="18.95" customHeight="1">
      <c r="A43" s="70">
        <f t="shared" si="0"/>
        <v>28</v>
      </c>
      <c r="B43" s="71" t="s">
        <v>1651</v>
      </c>
      <c r="C43" s="78" t="s">
        <v>1652</v>
      </c>
      <c r="D43" s="88">
        <f>'SCH B-2.3 F'!I43</f>
        <v>75258488.145738348</v>
      </c>
      <c r="E43" s="130">
        <f t="shared" si="8"/>
        <v>0.93716066521644315</v>
      </c>
      <c r="F43" s="88">
        <f>SUMIFS('JURISSEP F'!$G$71:$G$225,'JURISSEP F'!$B$71:$B$225,$B43)+SUMIFS(AFUDC!$L$6:$L$44,AFUDC!$B$6:$B$44,$B43)</f>
        <v>70529294.813843951</v>
      </c>
      <c r="G43" s="88">
        <f>SUMIFS('SCH B-2.2'!$F$43:$F$59,'SCH B-2.2'!$B$43:$B$59,'SCH B-2.1 F'!$B43)</f>
        <v>0</v>
      </c>
      <c r="H43" s="88">
        <f t="shared" si="9"/>
        <v>70529294.813843951</v>
      </c>
    </row>
    <row r="44" spans="1:8" ht="18.95" customHeight="1">
      <c r="A44" s="70">
        <f t="shared" si="0"/>
        <v>29</v>
      </c>
      <c r="B44" s="71" t="s">
        <v>1653</v>
      </c>
      <c r="C44" s="78" t="s">
        <v>1654</v>
      </c>
      <c r="D44" s="88">
        <f>'SCH B-2.3 F'!I44</f>
        <v>679583343.67366791</v>
      </c>
      <c r="E44" s="130">
        <f t="shared" si="8"/>
        <v>0.93666939190214171</v>
      </c>
      <c r="F44" s="88">
        <f>SUMIFS('JURISSEP F'!$G$71:$G$225,'JURISSEP F'!$B$71:$B$225,$B44)+SUMIFS(AFUDC!$L$6:$L$44,AFUDC!$B$6:$B$44,$B44)</f>
        <v>636544917.26563871</v>
      </c>
      <c r="G44" s="88">
        <f>SUMIFS('SCH B-2.2'!$F$43:$F$59,'SCH B-2.2'!$B$43:$B$59,'SCH B-2.1 F'!$B44)</f>
        <v>0</v>
      </c>
      <c r="H44" s="88">
        <f t="shared" si="9"/>
        <v>636544917.26563871</v>
      </c>
    </row>
    <row r="45" spans="1:8" s="68" customFormat="1" ht="20.100000000000001" customHeight="1">
      <c r="A45" s="769" t="str">
        <f>$A$1</f>
        <v>KENTUCKY UTILITIES COMPANY</v>
      </c>
      <c r="B45" s="769"/>
      <c r="C45" s="769"/>
      <c r="D45" s="769"/>
      <c r="E45" s="769"/>
      <c r="F45" s="769"/>
      <c r="G45" s="769"/>
      <c r="H45" s="769"/>
    </row>
    <row r="46" spans="1:8" s="68" customFormat="1" ht="20.100000000000001" customHeight="1">
      <c r="A46" s="769" t="str">
        <f>$A$2</f>
        <v>CASE NO. 2018-00294 - RESPONSE TO PSC 2-65 (SLIPPAGE FACTOR 96.027%)</v>
      </c>
      <c r="B46" s="769"/>
      <c r="C46" s="769"/>
      <c r="D46" s="769"/>
      <c r="E46" s="769"/>
      <c r="F46" s="769"/>
      <c r="G46" s="769"/>
      <c r="H46" s="769"/>
    </row>
    <row r="47" spans="1:8" s="68" customFormat="1" ht="20.100000000000001" customHeight="1">
      <c r="A47" s="769" t="str">
        <f>$A$3</f>
        <v>PLANT IN SERVICE BY ACCOUNTS AND SUBACCOUNTS</v>
      </c>
      <c r="B47" s="769"/>
      <c r="C47" s="769"/>
      <c r="D47" s="769"/>
      <c r="E47" s="769"/>
      <c r="F47" s="769"/>
      <c r="G47" s="769"/>
      <c r="H47" s="769"/>
    </row>
    <row r="48" spans="1:8" s="68" customFormat="1" ht="20.100000000000001" customHeight="1">
      <c r="A48" s="768" t="str">
        <f>$A$4</f>
        <v>AS OF APRIL 30, 2020</v>
      </c>
      <c r="B48" s="769"/>
      <c r="C48" s="769"/>
      <c r="D48" s="769"/>
      <c r="E48" s="769"/>
      <c r="F48" s="769"/>
      <c r="G48" s="769"/>
      <c r="H48" s="769"/>
    </row>
    <row r="49" spans="1:8" s="68" customFormat="1" ht="20.100000000000001" customHeight="1">
      <c r="A49" s="84"/>
      <c r="B49" s="84"/>
      <c r="C49" s="84"/>
      <c r="D49" s="84"/>
      <c r="E49" s="84"/>
      <c r="F49" s="84"/>
      <c r="G49" s="84"/>
      <c r="H49" s="84"/>
    </row>
    <row r="50" spans="1:8" s="68" customFormat="1" ht="20.100000000000001" customHeight="1">
      <c r="A50" s="67" t="str">
        <f>$A$6</f>
        <v>DATA:____BASE  PERIOD__X__FORECASTED  PERIOD</v>
      </c>
      <c r="B50" s="67"/>
      <c r="G50" s="74"/>
      <c r="H50" s="74" t="s">
        <v>228</v>
      </c>
    </row>
    <row r="51" spans="1:8" s="68" customFormat="1" ht="20.100000000000001" customHeight="1">
      <c r="A51" s="67" t="str">
        <f>$A$7</f>
        <v>TYPE OF FILING: __X__ ORIGINAL  _____ UPDATED  _____ REVISED</v>
      </c>
      <c r="G51" s="74"/>
      <c r="H51" s="74" t="s">
        <v>169</v>
      </c>
    </row>
    <row r="52" spans="1:8" s="68" customFormat="1" ht="20.100000000000001" customHeight="1">
      <c r="A52" s="67" t="str">
        <f>$A$8</f>
        <v>WORKPAPER REFERENCE NO(S).:</v>
      </c>
      <c r="B52" s="67"/>
      <c r="F52" s="67"/>
      <c r="G52" s="75"/>
      <c r="H52" s="75" t="str">
        <f>$H$8</f>
        <v>WITNESS:   C. M. GARRETT</v>
      </c>
    </row>
    <row r="53" spans="1:8" s="68" customFormat="1" ht="20.100000000000001" customHeight="1"/>
    <row r="54" spans="1:8" ht="84.95" customHeight="1">
      <c r="A54" s="76" t="s">
        <v>131</v>
      </c>
      <c r="B54" s="76" t="s">
        <v>134</v>
      </c>
      <c r="C54" s="79" t="s">
        <v>222</v>
      </c>
      <c r="D54" s="76" t="s">
        <v>3413</v>
      </c>
      <c r="E54" s="76" t="s">
        <v>224</v>
      </c>
      <c r="F54" s="76" t="s">
        <v>225</v>
      </c>
      <c r="G54" s="76" t="s">
        <v>226</v>
      </c>
      <c r="H54" s="76" t="s">
        <v>227</v>
      </c>
    </row>
    <row r="55" spans="1:8" ht="23.1" customHeight="1">
      <c r="A55" s="80"/>
      <c r="B55" s="80"/>
      <c r="C55" s="81"/>
      <c r="D55" s="82" t="s">
        <v>142</v>
      </c>
      <c r="E55" s="82"/>
      <c r="F55" s="82" t="s">
        <v>142</v>
      </c>
      <c r="G55" s="82" t="s">
        <v>142</v>
      </c>
      <c r="H55" s="82" t="s">
        <v>142</v>
      </c>
    </row>
    <row r="56" spans="1:8" ht="18.95" customHeight="1">
      <c r="A56" s="70">
        <f>A44+1</f>
        <v>30</v>
      </c>
      <c r="B56" s="71" t="s">
        <v>1657</v>
      </c>
      <c r="C56" s="78" t="s">
        <v>1658</v>
      </c>
      <c r="D56" s="88">
        <f>'SCH B-2.3 F'!I45</f>
        <v>132421909.69798836</v>
      </c>
      <c r="E56" s="130">
        <f t="shared" ref="E56:E59" si="10">F56/D56</f>
        <v>0.93655848627046645</v>
      </c>
      <c r="F56" s="88">
        <f>SUMIFS('JURISSEP F'!$G$71:$G$225,'JURISSEP F'!$B$71:$B$225,$B56)+SUMIFS(AFUDC!$L$6:$L$44,AFUDC!$B$6:$B$44,$B56)</f>
        <v>124020863.29579239</v>
      </c>
      <c r="G56" s="88">
        <f>SUMIFS('SCH B-2.2'!$F$43:$F$59,'SCH B-2.2'!$B$43:$B$59,'SCH B-2.1 F'!$B56)</f>
        <v>0</v>
      </c>
      <c r="H56" s="88">
        <f t="shared" ref="H56:H59" si="11">SUM(F56:G56)</f>
        <v>124020863.29579239</v>
      </c>
    </row>
    <row r="57" spans="1:8" ht="18.95" customHeight="1">
      <c r="A57" s="70">
        <f t="shared" si="0"/>
        <v>31</v>
      </c>
      <c r="B57" s="71" t="s">
        <v>1659</v>
      </c>
      <c r="C57" s="78" t="s">
        <v>1633</v>
      </c>
      <c r="D57" s="88">
        <f>'SCH B-2.3 F'!I46</f>
        <v>79346381.904942185</v>
      </c>
      <c r="E57" s="130">
        <f t="shared" si="10"/>
        <v>0.93669907540479036</v>
      </c>
      <c r="F57" s="88">
        <f>SUMIFS('JURISSEP F'!$G$71:$G$225,'JURISSEP F'!$B$71:$B$225,$B57)+SUMIFS(AFUDC!$L$6:$L$44,AFUDC!$B$6:$B$44,$B57)</f>
        <v>74323682.567074731</v>
      </c>
      <c r="G57" s="88">
        <f>SUMIFS('SCH B-2.2'!$F$43:$F$59,'SCH B-2.2'!$B$43:$B$59,'SCH B-2.1 F'!$B57)</f>
        <v>0</v>
      </c>
      <c r="H57" s="88">
        <f t="shared" si="11"/>
        <v>74323682.567074731</v>
      </c>
    </row>
    <row r="58" spans="1:8" ht="18.95" customHeight="1">
      <c r="A58" s="70">
        <f t="shared" si="0"/>
        <v>32</v>
      </c>
      <c r="B58" s="71" t="s">
        <v>1660</v>
      </c>
      <c r="C58" s="78" t="s">
        <v>1645</v>
      </c>
      <c r="D58" s="88">
        <f>'SCH B-2.3 F'!I47</f>
        <v>12592466.195764616</v>
      </c>
      <c r="E58" s="130">
        <f t="shared" si="10"/>
        <v>0.93698539423188743</v>
      </c>
      <c r="F58" s="88">
        <f>SUMIFS('JURISSEP F'!$G$71:$G$225,'JURISSEP F'!$B$71:$B$225,$B58)+SUMIFS(AFUDC!$L$6:$L$44,AFUDC!$B$6:$B$44,$B58)</f>
        <v>11798956.902790224</v>
      </c>
      <c r="G58" s="88">
        <f>SUMIFS('SCH B-2.2'!$F$43:$F$59,'SCH B-2.2'!$B$43:$B$59,'SCH B-2.1 F'!$B58)</f>
        <v>0</v>
      </c>
      <c r="H58" s="88">
        <f t="shared" si="11"/>
        <v>11798956.902790224</v>
      </c>
    </row>
    <row r="59" spans="1:8" ht="18.95" customHeight="1">
      <c r="A59" s="70">
        <f t="shared" si="0"/>
        <v>33</v>
      </c>
      <c r="B59" s="71" t="s">
        <v>1661</v>
      </c>
      <c r="C59" s="78" t="s">
        <v>1696</v>
      </c>
      <c r="D59" s="89">
        <f>'SCH B-2.3 F'!I48</f>
        <v>406991.12</v>
      </c>
      <c r="E59" s="130">
        <f t="shared" si="10"/>
        <v>0.93741603079505242</v>
      </c>
      <c r="F59" s="89">
        <f>SUMIFS('JURISSEP F'!$G$71:$G$225,'JURISSEP F'!$B$71:$B$225,$B59)</f>
        <v>381520.00027923286</v>
      </c>
      <c r="G59" s="89">
        <f>SUMIFS('SCH B-2.2'!$F$43:$F$59,'SCH B-2.2'!$B$43:$B$59,'SCH B-2.1 F'!$B59)</f>
        <v>-381520.00027923286</v>
      </c>
      <c r="H59" s="89">
        <f t="shared" si="11"/>
        <v>0</v>
      </c>
    </row>
    <row r="60" spans="1:8" ht="18.95" customHeight="1">
      <c r="A60" s="70">
        <f t="shared" si="0"/>
        <v>34</v>
      </c>
      <c r="C60" s="78" t="s">
        <v>145</v>
      </c>
      <c r="D60" s="86">
        <f>SUM(D41:D44,D56:D59)</f>
        <v>1067657097.8997834</v>
      </c>
      <c r="E60" s="86"/>
      <c r="F60" s="86">
        <f t="shared" ref="F60:H60" si="12">SUM(F41:F44,F56:F59)</f>
        <v>1000047925.2776266</v>
      </c>
      <c r="G60" s="86">
        <f t="shared" si="12"/>
        <v>-381520.00027923286</v>
      </c>
      <c r="H60" s="86">
        <f t="shared" si="12"/>
        <v>999666405.27734745</v>
      </c>
    </row>
    <row r="61" spans="1:8" ht="18.95" customHeight="1">
      <c r="A61" s="70"/>
    </row>
    <row r="62" spans="1:8" ht="18.95" customHeight="1">
      <c r="A62" s="70">
        <f>A60+1</f>
        <v>35</v>
      </c>
      <c r="C62" s="90" t="s">
        <v>84</v>
      </c>
    </row>
    <row r="63" spans="1:8" ht="18.95" customHeight="1">
      <c r="A63" s="70">
        <f t="shared" si="0"/>
        <v>36</v>
      </c>
      <c r="B63" s="71" t="s">
        <v>1662</v>
      </c>
      <c r="C63" s="78" t="s">
        <v>154</v>
      </c>
      <c r="D63" s="88">
        <f>'SCH B-2.3 F'!I63</f>
        <v>32144314.683443282</v>
      </c>
      <c r="E63" s="130">
        <f t="shared" ref="E63:E71" si="13">F63/D63</f>
        <v>0.89300618650227626</v>
      </c>
      <c r="F63" s="88">
        <f>SUMIFS('JURISSEP F'!$G$71:$G$225,'JURISSEP F'!$B$71:$B$225,$B63)+SUMIFS(AFUDC!$L$6:$L$44,AFUDC!$B$6:$B$44,$B63)</f>
        <v>28705071.873190809</v>
      </c>
      <c r="G63" s="88">
        <f>SUMIFS('SCH B-2.2'!$F$43:$F$59,'SCH B-2.2'!$B$43:$B$59,'SCH B-2.1 F'!$B63)</f>
        <v>0</v>
      </c>
      <c r="H63" s="88">
        <f t="shared" ref="H63:H71" si="14">SUM(F63:G63)</f>
        <v>28705071.873190809</v>
      </c>
    </row>
    <row r="64" spans="1:8" ht="18.95" customHeight="1">
      <c r="A64" s="70">
        <f t="shared" si="0"/>
        <v>37</v>
      </c>
      <c r="B64" s="71" t="s">
        <v>1663</v>
      </c>
      <c r="C64" s="78" t="s">
        <v>148</v>
      </c>
      <c r="D64" s="88">
        <f>'SCH B-2.3 F'!I64</f>
        <v>29667981.260567699</v>
      </c>
      <c r="E64" s="130">
        <f t="shared" si="13"/>
        <v>0.89873868456531114</v>
      </c>
      <c r="F64" s="88">
        <f>SUMIFS('JURISSEP F'!$G$71:$G$225,'JURISSEP F'!$B$71:$B$225,$B64)+SUMIFS(AFUDC!$L$6:$L$44,AFUDC!$B$6:$B$44,$B64)</f>
        <v>26663762.451830916</v>
      </c>
      <c r="G64" s="88">
        <f>SUMIFS('SCH B-2.2'!$F$43:$F$59,'SCH B-2.2'!$B$43:$B$59,'SCH B-2.1 F'!$B64)</f>
        <v>0</v>
      </c>
      <c r="H64" s="88">
        <f t="shared" si="14"/>
        <v>26663762.451830916</v>
      </c>
    </row>
    <row r="65" spans="1:8" ht="18.95" customHeight="1">
      <c r="A65" s="70">
        <f t="shared" si="0"/>
        <v>38</v>
      </c>
      <c r="B65" s="71" t="s">
        <v>1664</v>
      </c>
      <c r="C65" s="78" t="s">
        <v>149</v>
      </c>
      <c r="D65" s="88">
        <f>'SCH B-2.3 F'!I65</f>
        <v>369153290.02259749</v>
      </c>
      <c r="E65" s="130">
        <f t="shared" si="13"/>
        <v>0.89589606220797224</v>
      </c>
      <c r="F65" s="88">
        <f>SUMIFS('JURISSEP F'!$G$71:$G$225,'JURISSEP F'!$B$71:$B$225,$B65)+SUMIFS(AFUDC!$L$6:$L$44,AFUDC!$B$6:$B$44,$B65)</f>
        <v>330722978.8823626</v>
      </c>
      <c r="G65" s="88">
        <f>SUMIFS('SCH B-2.2'!$F$43:$F$59,'SCH B-2.2'!$B$43:$B$59,'SCH B-2.1 F'!$B65)</f>
        <v>0</v>
      </c>
      <c r="H65" s="88">
        <f t="shared" si="14"/>
        <v>330722978.8823626</v>
      </c>
    </row>
    <row r="66" spans="1:8" ht="18.95" customHeight="1">
      <c r="A66" s="70">
        <f t="shared" si="0"/>
        <v>39</v>
      </c>
      <c r="B66" s="71" t="s">
        <v>1665</v>
      </c>
      <c r="C66" s="78" t="s">
        <v>1666</v>
      </c>
      <c r="D66" s="88">
        <f>'SCH B-2.3 F'!I66</f>
        <v>78033094.150000021</v>
      </c>
      <c r="E66" s="130">
        <f t="shared" si="13"/>
        <v>0.92440864001666501</v>
      </c>
      <c r="F66" s="88">
        <f>SUMIFS('JURISSEP F'!$G$71:$G$225,'JURISSEP F'!$B$71:$B$225,$B66)+SUMIFS(AFUDC!$L$6:$L$44,AFUDC!$B$6:$B$44,$B66)</f>
        <v>72134466.439493895</v>
      </c>
      <c r="G66" s="88">
        <f>SUMIFS('SCH B-2.2'!$F$43:$F$59,'SCH B-2.2'!$B$43:$B$59,'SCH B-2.1 F'!$B66)</f>
        <v>0</v>
      </c>
      <c r="H66" s="88">
        <f t="shared" si="14"/>
        <v>72134466.439493895</v>
      </c>
    </row>
    <row r="67" spans="1:8" ht="18.95" customHeight="1">
      <c r="A67" s="70">
        <f t="shared" si="0"/>
        <v>40</v>
      </c>
      <c r="B67" s="71" t="s">
        <v>1667</v>
      </c>
      <c r="C67" s="78" t="s">
        <v>1668</v>
      </c>
      <c r="D67" s="88">
        <f>'SCH B-2.3 F'!I67</f>
        <v>433359613.80944544</v>
      </c>
      <c r="E67" s="130">
        <f t="shared" si="13"/>
        <v>0.92284680615824133</v>
      </c>
      <c r="F67" s="88">
        <f>SUMIFS('JURISSEP F'!$G$71:$G$225,'JURISSEP F'!$B$71:$B$225,$B67)+SUMIFS(AFUDC!$L$6:$L$44,AFUDC!$B$6:$B$44,$B67)</f>
        <v>399924535.52201563</v>
      </c>
      <c r="G67" s="88">
        <f>SUMIFS('SCH B-2.2'!$F$43:$F$59,'SCH B-2.2'!$B$43:$B$59,'SCH B-2.1 F'!$B67)</f>
        <v>0</v>
      </c>
      <c r="H67" s="88">
        <f t="shared" si="14"/>
        <v>399924535.52201563</v>
      </c>
    </row>
    <row r="68" spans="1:8" ht="18.95" customHeight="1">
      <c r="A68" s="70">
        <f t="shared" si="0"/>
        <v>41</v>
      </c>
      <c r="B68" s="71" t="s">
        <v>1669</v>
      </c>
      <c r="C68" s="78" t="s">
        <v>1670</v>
      </c>
      <c r="D68" s="88">
        <f>'SCH B-2.3 F'!I68</f>
        <v>189686397.04838008</v>
      </c>
      <c r="E68" s="130">
        <f t="shared" si="13"/>
        <v>0.87590091321102648</v>
      </c>
      <c r="F68" s="88">
        <f>SUMIFS('JURISSEP F'!$G$71:$G$225,'JURISSEP F'!$B$71:$B$225,$B68)+SUMIFS(AFUDC!$L$6:$L$44,AFUDC!$B$6:$B$44,$B68)</f>
        <v>166146488.39838547</v>
      </c>
      <c r="G68" s="88">
        <f>SUMIFS('SCH B-2.2'!$F$43:$F$59,'SCH B-2.2'!$B$43:$B$59,'SCH B-2.1 F'!$B68)</f>
        <v>0</v>
      </c>
      <c r="H68" s="88">
        <f t="shared" si="14"/>
        <v>166146488.39838547</v>
      </c>
    </row>
    <row r="69" spans="1:8" ht="18.95" customHeight="1">
      <c r="A69" s="70">
        <f t="shared" si="0"/>
        <v>42</v>
      </c>
      <c r="B69" s="71" t="s">
        <v>1671</v>
      </c>
      <c r="C69" s="78" t="s">
        <v>1672</v>
      </c>
      <c r="D69" s="88">
        <f>'SCH B-2.3 F'!I69</f>
        <v>448760.26</v>
      </c>
      <c r="E69" s="130">
        <f t="shared" si="13"/>
        <v>0.95550319937968275</v>
      </c>
      <c r="F69" s="88">
        <f>SUMIFS('JURISSEP F'!$G$71:$G$225,'JURISSEP F'!$B$71:$B$225,$B69)+SUMIFS(AFUDC!$L$6:$L$44,AFUDC!$B$6:$B$44,$B69)</f>
        <v>428791.86418445827</v>
      </c>
      <c r="G69" s="88">
        <f>SUMIFS('SCH B-2.2'!$F$43:$F$59,'SCH B-2.2'!$B$43:$B$59,'SCH B-2.1 F'!$B69)</f>
        <v>0</v>
      </c>
      <c r="H69" s="88">
        <f t="shared" si="14"/>
        <v>428791.86418445827</v>
      </c>
    </row>
    <row r="70" spans="1:8" ht="18.95" customHeight="1">
      <c r="A70" s="70">
        <f t="shared" si="0"/>
        <v>43</v>
      </c>
      <c r="B70" s="71" t="s">
        <v>1673</v>
      </c>
      <c r="C70" s="78" t="s">
        <v>1674</v>
      </c>
      <c r="D70" s="88">
        <f>'SCH B-2.3 F'!I70</f>
        <v>4862479.0092461538</v>
      </c>
      <c r="E70" s="130">
        <f t="shared" si="13"/>
        <v>0.95597370540400806</v>
      </c>
      <c r="F70" s="88">
        <f>SUMIFS('JURISSEP F'!$G$71:$G$225,'JURISSEP F'!$B$71:$B$225,$B70)+SUMIFS(AFUDC!$L$6:$L$44,AFUDC!$B$6:$B$44,$B70)</f>
        <v>4648402.0759182554</v>
      </c>
      <c r="G70" s="88">
        <f>SUMIFS('SCH B-2.2'!$F$43:$F$59,'SCH B-2.2'!$B$43:$B$59,'SCH B-2.1 F'!$B70)</f>
        <v>0</v>
      </c>
      <c r="H70" s="88">
        <f t="shared" si="14"/>
        <v>4648402.0759182554</v>
      </c>
    </row>
    <row r="71" spans="1:8" ht="18.95" customHeight="1">
      <c r="A71" s="70">
        <f t="shared" si="0"/>
        <v>44</v>
      </c>
      <c r="B71" s="71" t="s">
        <v>1675</v>
      </c>
      <c r="C71" s="78" t="s">
        <v>152</v>
      </c>
      <c r="D71" s="89">
        <f>'SCH B-2.3 F'!I71</f>
        <v>551323.88</v>
      </c>
      <c r="E71" s="130">
        <f t="shared" si="13"/>
        <v>0.95621085870522027</v>
      </c>
      <c r="F71" s="89">
        <f>SUMIFS('JURISSEP F'!$G$71:$G$225,'JURISSEP F'!$B$71:$B$225,$B71)</f>
        <v>527181.88071949384</v>
      </c>
      <c r="G71" s="89">
        <f>SUMIFS('SCH B-2.2'!$F$43:$F$59,'SCH B-2.2'!$B$43:$B$59,'SCH B-2.1 F'!$B71)</f>
        <v>-527181.88071949384</v>
      </c>
      <c r="H71" s="89">
        <f t="shared" si="14"/>
        <v>0</v>
      </c>
    </row>
    <row r="72" spans="1:8" ht="18.95" customHeight="1">
      <c r="A72" s="70">
        <f t="shared" si="0"/>
        <v>45</v>
      </c>
      <c r="C72" s="78" t="s">
        <v>150</v>
      </c>
      <c r="D72" s="86">
        <f>SUM(D63:D71)</f>
        <v>1137907254.1236804</v>
      </c>
      <c r="E72" s="86"/>
      <c r="F72" s="86">
        <f t="shared" ref="F72:H72" si="15">SUM(F63:F71)</f>
        <v>1029901679.3881016</v>
      </c>
      <c r="G72" s="86">
        <f t="shared" si="15"/>
        <v>-527181.88071949384</v>
      </c>
      <c r="H72" s="86">
        <f t="shared" si="15"/>
        <v>1029374497.507382</v>
      </c>
    </row>
    <row r="73" spans="1:8" ht="18.95" customHeight="1">
      <c r="A73" s="70"/>
      <c r="B73" s="71"/>
    </row>
    <row r="74" spans="1:8" ht="18.95" customHeight="1">
      <c r="A74" s="70">
        <f>A72+1</f>
        <v>46</v>
      </c>
      <c r="B74" s="71" t="s">
        <v>251</v>
      </c>
      <c r="C74" s="90" t="s">
        <v>16</v>
      </c>
    </row>
    <row r="75" spans="1:8" ht="18.95" customHeight="1">
      <c r="A75" s="70">
        <f t="shared" si="0"/>
        <v>47</v>
      </c>
      <c r="B75" s="71" t="s">
        <v>1676</v>
      </c>
      <c r="C75" s="78" t="s">
        <v>154</v>
      </c>
      <c r="D75" s="88">
        <f>'SCH B-2.3 F'!I75</f>
        <v>10023408.336283065</v>
      </c>
      <c r="E75" s="130">
        <f t="shared" ref="E75:E87" si="16">F75/D75</f>
        <v>0.92038499348456926</v>
      </c>
      <c r="F75" s="88">
        <f>SUMIFS('JURISSEP F'!$G$71:$G$225,'JURISSEP F'!$B$71:$B$225,$B75)</f>
        <v>9225394.6162830666</v>
      </c>
      <c r="G75" s="88">
        <f>SUMIFS('SCH B-2.2'!$F$43:$F$59,'SCH B-2.2'!$B$43:$B$59,'SCH B-2.1 F'!$B75)</f>
        <v>0</v>
      </c>
      <c r="H75" s="88">
        <f t="shared" ref="H75:H87" si="17">SUM(F75:G75)</f>
        <v>9225394.6162830666</v>
      </c>
    </row>
    <row r="76" spans="1:8" ht="18.95" customHeight="1">
      <c r="A76" s="70">
        <f t="shared" si="0"/>
        <v>48</v>
      </c>
      <c r="B76" s="71" t="s">
        <v>1677</v>
      </c>
      <c r="C76" s="78" t="s">
        <v>148</v>
      </c>
      <c r="D76" s="88">
        <f>'SCH B-2.3 F'!I76</f>
        <v>28545220.977428153</v>
      </c>
      <c r="E76" s="130">
        <f t="shared" si="16"/>
        <v>0.96056954142831763</v>
      </c>
      <c r="F76" s="88">
        <f>SUMIFS('JURISSEP F'!$G$71:$G$225,'JURISSEP F'!$B$71:$B$225,$B76)</f>
        <v>27419669.824258152</v>
      </c>
      <c r="G76" s="88">
        <f>SUMIFS('SCH B-2.2'!$F$43:$F$59,'SCH B-2.2'!$B$43:$B$59,'SCH B-2.1 F'!$B76)</f>
        <v>0</v>
      </c>
      <c r="H76" s="88">
        <f t="shared" si="17"/>
        <v>27419669.824258152</v>
      </c>
    </row>
    <row r="77" spans="1:8" ht="18.95" customHeight="1">
      <c r="A77" s="70">
        <f t="shared" si="0"/>
        <v>49</v>
      </c>
      <c r="B77" s="71" t="s">
        <v>1678</v>
      </c>
      <c r="C77" s="78" t="s">
        <v>1679</v>
      </c>
      <c r="D77" s="88">
        <f>'SCH B-2.3 F'!I77</f>
        <v>253757355.6864517</v>
      </c>
      <c r="E77" s="130">
        <f t="shared" si="16"/>
        <v>0.95336807065951079</v>
      </c>
      <c r="F77" s="88">
        <f>SUMIFS('JURISSEP F'!$G$71:$G$225,'JURISSEP F'!$B$71:$B$225,$B77)</f>
        <v>241924160.60645169</v>
      </c>
      <c r="G77" s="88">
        <f>SUMIFS('SCH B-2.2'!$F$43:$F$59,'SCH B-2.2'!$B$43:$B$59,'SCH B-2.1 F'!$B77)</f>
        <v>0</v>
      </c>
      <c r="H77" s="88">
        <f t="shared" si="17"/>
        <v>241924160.60645169</v>
      </c>
    </row>
    <row r="78" spans="1:8" ht="18.95" customHeight="1">
      <c r="A78" s="70">
        <f t="shared" ref="A78:A88" si="18">A77+1</f>
        <v>50</v>
      </c>
      <c r="B78" s="71" t="s">
        <v>1680</v>
      </c>
      <c r="C78" s="78" t="s">
        <v>1681</v>
      </c>
      <c r="D78" s="88">
        <f>'SCH B-2.3 F'!I78</f>
        <v>428175903.41060489</v>
      </c>
      <c r="E78" s="130">
        <f t="shared" si="16"/>
        <v>0.92817441977970139</v>
      </c>
      <c r="F78" s="88">
        <f>SUMIFS('JURISSEP F'!$G$71:$G$225,'JURISSEP F'!$B$71:$B$225,$B78)</f>
        <v>397421920.71178764</v>
      </c>
      <c r="G78" s="88">
        <f>SUMIFS('SCH B-2.2'!$F$43:$F$59,'SCH B-2.2'!$B$43:$B$59,'SCH B-2.1 F'!$B78)</f>
        <v>-24625.581166059223</v>
      </c>
      <c r="H78" s="88">
        <f t="shared" si="17"/>
        <v>397397295.13062155</v>
      </c>
    </row>
    <row r="79" spans="1:8" ht="18.95" customHeight="1">
      <c r="A79" s="70">
        <f t="shared" si="18"/>
        <v>51</v>
      </c>
      <c r="B79" s="71" t="s">
        <v>1682</v>
      </c>
      <c r="C79" s="78" t="s">
        <v>1670</v>
      </c>
      <c r="D79" s="88">
        <f>'SCH B-2.3 F'!I79</f>
        <v>428091152.89970493</v>
      </c>
      <c r="E79" s="130">
        <f t="shared" si="16"/>
        <v>0.93147980348125792</v>
      </c>
      <c r="F79" s="88">
        <f>SUMIFS('JURISSEP F'!$G$71:$G$225,'JURISSEP F'!$B$71:$B$225,$B79)</f>
        <v>398758262.97508228</v>
      </c>
      <c r="G79" s="88">
        <f>SUMIFS('SCH B-2.2'!$F$43:$F$59,'SCH B-2.2'!$B$43:$B$59,'SCH B-2.1 F'!$B79)</f>
        <v>-21982.373789073634</v>
      </c>
      <c r="H79" s="88">
        <f t="shared" si="17"/>
        <v>398736280.60129321</v>
      </c>
    </row>
    <row r="80" spans="1:8" ht="18.95" customHeight="1">
      <c r="A80" s="70">
        <f t="shared" si="18"/>
        <v>52</v>
      </c>
      <c r="B80" s="71" t="s">
        <v>1683</v>
      </c>
      <c r="C80" s="78" t="s">
        <v>1672</v>
      </c>
      <c r="D80" s="88">
        <f>'SCH B-2.3 F'!I80</f>
        <v>2390106.04</v>
      </c>
      <c r="E80" s="130">
        <f t="shared" si="16"/>
        <v>1</v>
      </c>
      <c r="F80" s="88">
        <f>SUMIFS('JURISSEP F'!$G$71:$G$225,'JURISSEP F'!$B$71:$B$225,$B80)</f>
        <v>2390106.04</v>
      </c>
      <c r="G80" s="88">
        <f>SUMIFS('SCH B-2.2'!$F$43:$F$59,'SCH B-2.2'!$B$43:$B$59,'SCH B-2.1 F'!$B80)</f>
        <v>-171002.52000000002</v>
      </c>
      <c r="H80" s="88">
        <f t="shared" si="17"/>
        <v>2219103.52</v>
      </c>
    </row>
    <row r="81" spans="1:8" ht="18.95" customHeight="1">
      <c r="A81" s="70">
        <f t="shared" si="18"/>
        <v>53</v>
      </c>
      <c r="B81" s="71" t="s">
        <v>1684</v>
      </c>
      <c r="C81" s="78" t="s">
        <v>1674</v>
      </c>
      <c r="D81" s="88">
        <f>'SCH B-2.3 F'!I81</f>
        <v>221649904.61752218</v>
      </c>
      <c r="E81" s="130">
        <f t="shared" si="16"/>
        <v>0.97689609547390932</v>
      </c>
      <c r="F81" s="88">
        <f>SUMIFS('JURISSEP F'!$G$71:$G$225,'JURISSEP F'!$B$71:$B$225,$B81)</f>
        <v>216528926.38302183</v>
      </c>
      <c r="G81" s="88">
        <f>SUMIFS('SCH B-2.2'!$F$43:$F$59,'SCH B-2.2'!$B$43:$B$59,'SCH B-2.1 F'!$B81)</f>
        <v>-1295476.9271009383</v>
      </c>
      <c r="H81" s="88">
        <f t="shared" si="17"/>
        <v>215233449.4559209</v>
      </c>
    </row>
    <row r="82" spans="1:8" ht="18.95" customHeight="1">
      <c r="A82" s="70">
        <f t="shared" si="18"/>
        <v>54</v>
      </c>
      <c r="B82" s="71" t="s">
        <v>1685</v>
      </c>
      <c r="C82" s="78" t="s">
        <v>1686</v>
      </c>
      <c r="D82" s="88">
        <f>'SCH B-2.3 F'!I82</f>
        <v>326614785.13967967</v>
      </c>
      <c r="E82" s="130">
        <f t="shared" si="16"/>
        <v>0.9657772922635236</v>
      </c>
      <c r="F82" s="88">
        <f>SUMIFS('JURISSEP F'!$G$71:$G$225,'JURISSEP F'!$B$71:$B$225,$B82)</f>
        <v>315437142.80543238</v>
      </c>
      <c r="G82" s="88">
        <f>SUMIFS('SCH B-2.2'!$F$43:$F$59,'SCH B-2.2'!$B$43:$B$59,'SCH B-2.1 F'!$B82)</f>
        <v>0</v>
      </c>
      <c r="H82" s="88">
        <f t="shared" si="17"/>
        <v>315437142.80543238</v>
      </c>
    </row>
    <row r="83" spans="1:8" ht="18.95" customHeight="1">
      <c r="A83" s="70">
        <f t="shared" si="18"/>
        <v>55</v>
      </c>
      <c r="B83" s="71" t="s">
        <v>1687</v>
      </c>
      <c r="C83" s="78" t="s">
        <v>1688</v>
      </c>
      <c r="D83" s="88">
        <f>'SCH B-2.3 F'!I83</f>
        <v>114524434.58846155</v>
      </c>
      <c r="E83" s="130">
        <f t="shared" si="16"/>
        <v>0.94889123730640346</v>
      </c>
      <c r="F83" s="88">
        <f>SUMIFS('JURISSEP F'!$G$71:$G$225,'JURISSEP F'!$B$71:$B$225,$B83)</f>
        <v>108671232.43846154</v>
      </c>
      <c r="G83" s="88">
        <f>SUMIFS('SCH B-2.2'!$F$43:$F$59,'SCH B-2.2'!$B$43:$B$59,'SCH B-2.1 F'!$B83)</f>
        <v>0</v>
      </c>
      <c r="H83" s="88">
        <f t="shared" si="17"/>
        <v>108671232.43846154</v>
      </c>
    </row>
    <row r="84" spans="1:8" ht="18.95" customHeight="1">
      <c r="A84" s="70">
        <f>A83+1</f>
        <v>56</v>
      </c>
      <c r="B84" s="71" t="s">
        <v>1689</v>
      </c>
      <c r="C84" s="78" t="s">
        <v>1690</v>
      </c>
      <c r="D84" s="88">
        <f>'SCH B-2.3 F'!I84</f>
        <v>82578598.694320768</v>
      </c>
      <c r="E84" s="130">
        <f t="shared" si="16"/>
        <v>0.95355876134207462</v>
      </c>
      <c r="F84" s="88">
        <f>SUMIFS('JURISSEP F'!$G$71:$G$225,'JURISSEP F'!$B$71:$B$225,$B84)</f>
        <v>78743546.284320772</v>
      </c>
      <c r="G84" s="88">
        <f>SUMIFS('SCH B-2.2'!$F$43:$F$59,'SCH B-2.2'!$B$43:$B$59,'SCH B-2.1 F'!$B84)</f>
        <v>-1331333.5999999996</v>
      </c>
      <c r="H84" s="88">
        <f t="shared" si="17"/>
        <v>77412212.684320778</v>
      </c>
    </row>
    <row r="85" spans="1:8" ht="18.95" customHeight="1">
      <c r="A85" s="70">
        <f t="shared" si="18"/>
        <v>57</v>
      </c>
      <c r="B85" s="71" t="s">
        <v>1691</v>
      </c>
      <c r="C85" s="78" t="s">
        <v>1692</v>
      </c>
      <c r="D85" s="88">
        <f>'SCH B-2.3 F'!I85</f>
        <v>145659.9681</v>
      </c>
      <c r="E85" s="130">
        <f t="shared" si="16"/>
        <v>1</v>
      </c>
      <c r="F85" s="88">
        <f>SUMIFS('JURISSEP F'!$G$71:$G$225,'JURISSEP F'!$B$71:$B$225,$B85)</f>
        <v>145659.9681</v>
      </c>
      <c r="G85" s="88">
        <f>SUMIFS('SCH B-2.2'!$F$43:$F$59,'SCH B-2.2'!$B$43:$B$59,'SCH B-2.1 F'!$B85)</f>
        <v>0</v>
      </c>
      <c r="H85" s="88">
        <f t="shared" si="17"/>
        <v>145659.9681</v>
      </c>
    </row>
    <row r="86" spans="1:8" ht="18.95" customHeight="1">
      <c r="A86" s="70">
        <f t="shared" si="18"/>
        <v>58</v>
      </c>
      <c r="B86" s="71" t="s">
        <v>1693</v>
      </c>
      <c r="C86" s="78" t="s">
        <v>1694</v>
      </c>
      <c r="D86" s="88">
        <f>'SCH B-2.3 F'!I86</f>
        <v>130848709.48707603</v>
      </c>
      <c r="E86" s="130">
        <f t="shared" si="16"/>
        <v>0.96949270016669853</v>
      </c>
      <c r="F86" s="88">
        <f>SUMIFS('JURISSEP F'!$G$71:$G$225,'JURISSEP F'!$B$71:$B$225,$B86)</f>
        <v>126856868.67395324</v>
      </c>
      <c r="G86" s="88">
        <f>SUMIFS('SCH B-2.2'!$F$43:$F$59,'SCH B-2.2'!$B$43:$B$59,'SCH B-2.1 F'!$B86)</f>
        <v>0</v>
      </c>
      <c r="H86" s="88">
        <f t="shared" si="17"/>
        <v>126856868.67395324</v>
      </c>
    </row>
    <row r="87" spans="1:8" ht="18.95" customHeight="1">
      <c r="A87" s="70">
        <f t="shared" si="18"/>
        <v>59</v>
      </c>
      <c r="B87" s="71" t="s">
        <v>1695</v>
      </c>
      <c r="C87" s="78" t="s">
        <v>151</v>
      </c>
      <c r="D87" s="89">
        <f>'SCH B-2.3 F'!I87</f>
        <v>658287.18999999994</v>
      </c>
      <c r="E87" s="130">
        <f t="shared" si="16"/>
        <v>1</v>
      </c>
      <c r="F87" s="89">
        <f>SUMIFS('JURISSEP F'!$G$71:$G$225,'JURISSEP F'!$B$71:$B$225,$B87)</f>
        <v>658287.18999999994</v>
      </c>
      <c r="G87" s="89">
        <f>SUMIFS('SCH B-2.2'!$F$43:$F$59,'SCH B-2.2'!$B$43:$B$59,'SCH B-2.1 F'!$B87)</f>
        <v>-658287.18999999994</v>
      </c>
      <c r="H87" s="89">
        <f t="shared" si="17"/>
        <v>0</v>
      </c>
    </row>
    <row r="88" spans="1:8" ht="18.95" customHeight="1">
      <c r="A88" s="70">
        <f t="shared" si="18"/>
        <v>60</v>
      </c>
      <c r="B88" s="71"/>
      <c r="C88" s="78" t="s">
        <v>153</v>
      </c>
      <c r="D88" s="86">
        <f>SUM(D75:D87)</f>
        <v>2028003527.0356331</v>
      </c>
      <c r="E88" s="86"/>
      <c r="F88" s="86">
        <f t="shared" ref="F88:H88" si="19">SUM(F75:F87)</f>
        <v>1924181178.5171528</v>
      </c>
      <c r="G88" s="86">
        <f t="shared" si="19"/>
        <v>-3502708.1920560705</v>
      </c>
      <c r="H88" s="86">
        <f t="shared" si="19"/>
        <v>1920678470.3250966</v>
      </c>
    </row>
    <row r="89" spans="1:8" s="68" customFormat="1" ht="20.100000000000001" customHeight="1">
      <c r="A89" s="769" t="str">
        <f>$A$1</f>
        <v>KENTUCKY UTILITIES COMPANY</v>
      </c>
      <c r="B89" s="769"/>
      <c r="C89" s="769"/>
      <c r="D89" s="769"/>
      <c r="E89" s="769"/>
      <c r="F89" s="769"/>
      <c r="G89" s="769"/>
      <c r="H89" s="769"/>
    </row>
    <row r="90" spans="1:8" s="68" customFormat="1" ht="20.100000000000001" customHeight="1">
      <c r="A90" s="769" t="str">
        <f>$A$2</f>
        <v>CASE NO. 2018-00294 - RESPONSE TO PSC 2-65 (SLIPPAGE FACTOR 96.027%)</v>
      </c>
      <c r="B90" s="769"/>
      <c r="C90" s="769"/>
      <c r="D90" s="769"/>
      <c r="E90" s="769"/>
      <c r="F90" s="769"/>
      <c r="G90" s="769"/>
      <c r="H90" s="769"/>
    </row>
    <row r="91" spans="1:8" s="68" customFormat="1" ht="20.100000000000001" customHeight="1">
      <c r="A91" s="769" t="str">
        <f>$A$3</f>
        <v>PLANT IN SERVICE BY ACCOUNTS AND SUBACCOUNTS</v>
      </c>
      <c r="B91" s="769"/>
      <c r="C91" s="769"/>
      <c r="D91" s="769"/>
      <c r="E91" s="769"/>
      <c r="F91" s="769"/>
      <c r="G91" s="769"/>
      <c r="H91" s="769"/>
    </row>
    <row r="92" spans="1:8" s="68" customFormat="1" ht="20.100000000000001" customHeight="1">
      <c r="A92" s="768" t="str">
        <f>$A$4</f>
        <v>AS OF APRIL 30, 2020</v>
      </c>
      <c r="B92" s="769"/>
      <c r="C92" s="769"/>
      <c r="D92" s="769"/>
      <c r="E92" s="769"/>
      <c r="F92" s="769"/>
      <c r="G92" s="769"/>
      <c r="H92" s="769"/>
    </row>
    <row r="93" spans="1:8" s="68" customFormat="1" ht="20.100000000000001" customHeight="1">
      <c r="A93" s="84"/>
      <c r="B93" s="84"/>
      <c r="C93" s="84"/>
      <c r="D93" s="84"/>
      <c r="E93" s="84"/>
      <c r="F93" s="84"/>
      <c r="G93" s="84"/>
      <c r="H93" s="84"/>
    </row>
    <row r="94" spans="1:8" s="68" customFormat="1" ht="20.100000000000001" customHeight="1">
      <c r="A94" s="67" t="str">
        <f>$A$6</f>
        <v>DATA:____BASE  PERIOD__X__FORECASTED  PERIOD</v>
      </c>
      <c r="B94" s="67"/>
      <c r="G94" s="74"/>
      <c r="H94" s="74" t="s">
        <v>228</v>
      </c>
    </row>
    <row r="95" spans="1:8" s="68" customFormat="1" ht="20.100000000000001" customHeight="1">
      <c r="A95" s="67" t="str">
        <f>$A$7</f>
        <v>TYPE OF FILING: __X__ ORIGINAL  _____ UPDATED  _____ REVISED</v>
      </c>
      <c r="G95" s="74"/>
      <c r="H95" s="74" t="s">
        <v>170</v>
      </c>
    </row>
    <row r="96" spans="1:8" s="68" customFormat="1" ht="20.100000000000001" customHeight="1">
      <c r="A96" s="67" t="str">
        <f>$A$8</f>
        <v>WORKPAPER REFERENCE NO(S).:</v>
      </c>
      <c r="B96" s="67"/>
      <c r="F96" s="67"/>
      <c r="G96" s="75"/>
      <c r="H96" s="75" t="str">
        <f>$H$8</f>
        <v>WITNESS:   C. M. GARRETT</v>
      </c>
    </row>
    <row r="97" spans="1:8" s="68" customFormat="1" ht="20.100000000000001" customHeight="1"/>
    <row r="98" spans="1:8" ht="84.95" customHeight="1">
      <c r="A98" s="76" t="s">
        <v>131</v>
      </c>
      <c r="B98" s="76" t="s">
        <v>134</v>
      </c>
      <c r="C98" s="79" t="s">
        <v>222</v>
      </c>
      <c r="D98" s="76" t="s">
        <v>3413</v>
      </c>
      <c r="E98" s="76" t="s">
        <v>224</v>
      </c>
      <c r="F98" s="76" t="s">
        <v>225</v>
      </c>
      <c r="G98" s="76" t="s">
        <v>226</v>
      </c>
      <c r="H98" s="76" t="s">
        <v>227</v>
      </c>
    </row>
    <row r="99" spans="1:8" ht="23.1" customHeight="1">
      <c r="A99" s="80"/>
      <c r="B99" s="80"/>
      <c r="C99" s="81"/>
      <c r="D99" s="82" t="s">
        <v>142</v>
      </c>
      <c r="E99" s="82"/>
      <c r="F99" s="82" t="s">
        <v>142</v>
      </c>
      <c r="G99" s="82" t="s">
        <v>142</v>
      </c>
      <c r="H99" s="82" t="s">
        <v>142</v>
      </c>
    </row>
    <row r="100" spans="1:8" ht="18.95" customHeight="1">
      <c r="A100" s="70">
        <f>A88+1</f>
        <v>61</v>
      </c>
      <c r="C100" s="90" t="s">
        <v>32</v>
      </c>
    </row>
    <row r="101" spans="1:8" ht="18.95" customHeight="1">
      <c r="A101" s="70">
        <f t="shared" ref="A101:A111" si="20">A100+1</f>
        <v>62</v>
      </c>
      <c r="B101" s="71" t="s">
        <v>1697</v>
      </c>
      <c r="C101" s="78" t="s">
        <v>154</v>
      </c>
      <c r="D101" s="88">
        <f>'SCH B-2.3 F'!I91</f>
        <v>4407139.5781769175</v>
      </c>
      <c r="E101" s="130">
        <f t="shared" ref="E101:E109" si="21">F101/D101</f>
        <v>0.94067565256622832</v>
      </c>
      <c r="F101" s="88">
        <f>SUMIFS('JURISSEP F'!$G$71:$G$225,'JURISSEP F'!$B$71:$B$225,$B101)</f>
        <v>4145688.8986520241</v>
      </c>
      <c r="G101" s="88">
        <f>SUMIFS('SCH B-2.2'!$F$43:$F$59,'SCH B-2.2'!$B$43:$B$59,'SCH B-2.1 F'!$B101)</f>
        <v>0</v>
      </c>
      <c r="H101" s="88">
        <f t="shared" ref="H101:H110" si="22">SUM(F101:G101)</f>
        <v>4145688.8986520241</v>
      </c>
    </row>
    <row r="102" spans="1:8" ht="18.95" customHeight="1">
      <c r="A102" s="70">
        <f t="shared" si="20"/>
        <v>63</v>
      </c>
      <c r="B102" s="71" t="s">
        <v>1698</v>
      </c>
      <c r="C102" s="78" t="s">
        <v>148</v>
      </c>
      <c r="D102" s="88">
        <f>'SCH B-2.3 F'!I92</f>
        <v>82444608.51143311</v>
      </c>
      <c r="E102" s="130">
        <f t="shared" si="21"/>
        <v>0.94067565256622832</v>
      </c>
      <c r="F102" s="88">
        <f>SUMIFS('JURISSEP F'!$G$71:$G$225,'JURISSEP F'!$B$71:$B$225,$B102)</f>
        <v>77553635.91205956</v>
      </c>
      <c r="G102" s="88">
        <f>SUMIFS('SCH B-2.2'!$F$43:$F$59,'SCH B-2.2'!$B$43:$B$59,'SCH B-2.1 F'!$B102)</f>
        <v>0</v>
      </c>
      <c r="H102" s="88">
        <f t="shared" si="22"/>
        <v>77553635.91205956</v>
      </c>
    </row>
    <row r="103" spans="1:8" ht="18.95" customHeight="1">
      <c r="A103" s="70">
        <f t="shared" si="20"/>
        <v>64</v>
      </c>
      <c r="B103" s="71" t="s">
        <v>1699</v>
      </c>
      <c r="C103" s="78" t="s">
        <v>156</v>
      </c>
      <c r="D103" s="88">
        <f>'SCH B-2.3 F'!I93</f>
        <v>43470434.51483319</v>
      </c>
      <c r="E103" s="130">
        <f t="shared" si="21"/>
        <v>0.94067565256622832</v>
      </c>
      <c r="F103" s="88">
        <f>SUMIFS('JURISSEP F'!$G$71:$G$225,'JURISSEP F'!$B$71:$B$225,$B103)</f>
        <v>40891579.354578204</v>
      </c>
      <c r="G103" s="88">
        <f>SUMIFS('SCH B-2.2'!$F$43:$F$59,'SCH B-2.2'!$B$43:$B$59,'SCH B-2.1 F'!$B103)</f>
        <v>0</v>
      </c>
      <c r="H103" s="88">
        <f t="shared" si="22"/>
        <v>40891579.354578204</v>
      </c>
    </row>
    <row r="104" spans="1:8" ht="18.95" customHeight="1">
      <c r="A104" s="70">
        <f t="shared" si="20"/>
        <v>65</v>
      </c>
      <c r="B104" s="71" t="s">
        <v>1700</v>
      </c>
      <c r="C104" s="78" t="s">
        <v>155</v>
      </c>
      <c r="D104" s="88">
        <f>'SCH B-2.3 F'!I94</f>
        <v>7538271.700000002</v>
      </c>
      <c r="E104" s="130">
        <f t="shared" si="21"/>
        <v>0.9406756525662282</v>
      </c>
      <c r="F104" s="88">
        <f>SUMIFS('JURISSEP F'!$G$71:$G$225,'JURISSEP F'!$B$71:$B$225,$B104)</f>
        <v>7091068.6506190328</v>
      </c>
      <c r="G104" s="88">
        <f>SUMIFS('SCH B-2.2'!$F$43:$F$59,'SCH B-2.2'!$B$43:$B$59,'SCH B-2.1 F'!$B104)</f>
        <v>-18252.701040777629</v>
      </c>
      <c r="H104" s="88">
        <f t="shared" si="22"/>
        <v>7072815.9495782554</v>
      </c>
    </row>
    <row r="105" spans="1:8" ht="18.95" customHeight="1">
      <c r="A105" s="70">
        <f t="shared" si="20"/>
        <v>66</v>
      </c>
      <c r="B105" s="71" t="s">
        <v>1701</v>
      </c>
      <c r="C105" s="78" t="s">
        <v>1702</v>
      </c>
      <c r="D105" s="88">
        <f>'SCH B-2.3 F'!I95</f>
        <v>908062.33049692307</v>
      </c>
      <c r="E105" s="130">
        <f t="shared" si="21"/>
        <v>0.94067565256622832</v>
      </c>
      <c r="F105" s="88">
        <f>SUMIFS('JURISSEP F'!$G$71:$G$225,'JURISSEP F'!$B$71:$B$225,$B105)</f>
        <v>854192.12531100318</v>
      </c>
      <c r="G105" s="88">
        <f>SUMIFS('SCH B-2.2'!$F$43:$F$59,'SCH B-2.2'!$B$43:$B$59,'SCH B-2.1 F'!$B105)</f>
        <v>0</v>
      </c>
      <c r="H105" s="88">
        <f t="shared" si="22"/>
        <v>854192.12531100318</v>
      </c>
    </row>
    <row r="106" spans="1:8" ht="18.95" customHeight="1">
      <c r="A106" s="70">
        <f t="shared" si="20"/>
        <v>67</v>
      </c>
      <c r="B106" s="71" t="s">
        <v>1703</v>
      </c>
      <c r="C106" s="78" t="s">
        <v>1704</v>
      </c>
      <c r="D106" s="88">
        <f>'SCH B-2.3 F'!I96</f>
        <v>16911378.19559266</v>
      </c>
      <c r="E106" s="130">
        <f t="shared" si="21"/>
        <v>0.94067565256622832</v>
      </c>
      <c r="F106" s="88">
        <f>SUMIFS('JURISSEP F'!$G$71:$G$225,'JURISSEP F'!$B$71:$B$225,$B106)</f>
        <v>15908121.719933411</v>
      </c>
      <c r="G106" s="88">
        <f>SUMIFS('SCH B-2.2'!$F$43:$F$59,'SCH B-2.2'!$B$43:$B$59,'SCH B-2.1 F'!$B106)</f>
        <v>0</v>
      </c>
      <c r="H106" s="88">
        <f t="shared" si="22"/>
        <v>15908121.719933411</v>
      </c>
    </row>
    <row r="107" spans="1:8" ht="18.95" customHeight="1">
      <c r="A107" s="70">
        <f t="shared" si="20"/>
        <v>68</v>
      </c>
      <c r="B107" s="71" t="s">
        <v>1705</v>
      </c>
      <c r="C107" s="78" t="s">
        <v>1706</v>
      </c>
      <c r="D107" s="88">
        <f>'SCH B-2.3 F'!I97</f>
        <v>0</v>
      </c>
      <c r="E107" s="130"/>
      <c r="F107" s="88">
        <f>SUMIFS('JURISSEP F'!$G$71:$G$225,'JURISSEP F'!$B$71:$B$225,$B107)</f>
        <v>0</v>
      </c>
      <c r="G107" s="88">
        <f>SUMIFS('SCH B-2.2'!$F$43:$F$59,'SCH B-2.2'!$B$43:$B$59,'SCH B-2.1 F'!$B107)</f>
        <v>0</v>
      </c>
      <c r="H107" s="88">
        <f t="shared" si="22"/>
        <v>0</v>
      </c>
    </row>
    <row r="108" spans="1:8" ht="18.95" customHeight="1">
      <c r="A108" s="70">
        <f t="shared" si="20"/>
        <v>69</v>
      </c>
      <c r="B108" s="71" t="s">
        <v>1707</v>
      </c>
      <c r="C108" s="78" t="s">
        <v>1708</v>
      </c>
      <c r="D108" s="88">
        <f>'SCH B-2.3 F'!I98</f>
        <v>4137907.4</v>
      </c>
      <c r="E108" s="130">
        <f t="shared" si="21"/>
        <v>0.94067565256622832</v>
      </c>
      <c r="F108" s="88">
        <f>SUMIFS('JURISSEP F'!$G$71:$G$225,'JURISSEP F'!$B$71:$B$225,$B108)</f>
        <v>3892428.7437536251</v>
      </c>
      <c r="G108" s="88">
        <f>SUMIFS('SCH B-2.2'!$F$43:$F$59,'SCH B-2.2'!$B$43:$B$59,'SCH B-2.1 F'!$B108)</f>
        <v>0</v>
      </c>
      <c r="H108" s="88">
        <f t="shared" si="22"/>
        <v>3892428.7437536251</v>
      </c>
    </row>
    <row r="109" spans="1:8" ht="18.95" customHeight="1">
      <c r="A109" s="70">
        <f t="shared" si="20"/>
        <v>70</v>
      </c>
      <c r="B109" s="71" t="s">
        <v>1709</v>
      </c>
      <c r="C109" s="78" t="s">
        <v>157</v>
      </c>
      <c r="D109" s="88">
        <f>'SCH B-2.3 F'!I99</f>
        <v>67434523.196247071</v>
      </c>
      <c r="E109" s="130">
        <f t="shared" si="21"/>
        <v>0.94768839965425578</v>
      </c>
      <c r="F109" s="88">
        <f>SUMIFS('JURISSEP F'!$G$71:$G$225,'JURISSEP F'!$B$71:$B$225,$B109)</f>
        <v>63906915.369299173</v>
      </c>
      <c r="G109" s="88">
        <f>SUMIFS('SCH B-2.2'!$F$43:$F$59,'SCH B-2.2'!$B$43:$B$59,'SCH B-2.1 F'!$B109)</f>
        <v>-7971453.149230768</v>
      </c>
      <c r="H109" s="88">
        <f t="shared" si="22"/>
        <v>55935462.220068403</v>
      </c>
    </row>
    <row r="110" spans="1:8" ht="18.95" customHeight="1">
      <c r="A110" s="70">
        <f t="shared" si="20"/>
        <v>71</v>
      </c>
      <c r="B110" s="71" t="s">
        <v>1710</v>
      </c>
      <c r="C110" s="78" t="s">
        <v>1711</v>
      </c>
      <c r="D110" s="89">
        <f>'SCH B-2.3 F'!I111</f>
        <v>0</v>
      </c>
      <c r="E110" s="130">
        <f>E108</f>
        <v>0.94067565256622832</v>
      </c>
      <c r="F110" s="89">
        <f>SUMIFS('JURISSEP F'!$G$71:$G$225,'JURISSEP F'!$B$71:$B$225,$B110)</f>
        <v>0</v>
      </c>
      <c r="G110" s="89">
        <f>SUMIFS('SCH B-2.2'!$F$43:$F$59,'SCH B-2.2'!$B$43:$B$59,'SCH B-2.1 F'!$B110)</f>
        <v>0</v>
      </c>
      <c r="H110" s="89">
        <f t="shared" si="22"/>
        <v>0</v>
      </c>
    </row>
    <row r="111" spans="1:8" ht="18.95" customHeight="1">
      <c r="A111" s="70">
        <f t="shared" si="20"/>
        <v>72</v>
      </c>
      <c r="B111" s="71"/>
      <c r="C111" s="78" t="s">
        <v>158</v>
      </c>
      <c r="D111" s="86">
        <f>SUM(D101:D110)</f>
        <v>227252325.4267799</v>
      </c>
      <c r="E111" s="86"/>
      <c r="F111" s="86">
        <f t="shared" ref="F111:H111" si="23">SUM(F101:F110)</f>
        <v>214243630.77420601</v>
      </c>
      <c r="G111" s="86">
        <f t="shared" si="23"/>
        <v>-7989705.8502715454</v>
      </c>
      <c r="H111" s="86">
        <f t="shared" si="23"/>
        <v>206253924.92393446</v>
      </c>
    </row>
    <row r="112" spans="1:8" ht="18.95" customHeight="1">
      <c r="A112" s="70"/>
      <c r="B112" s="71"/>
    </row>
    <row r="113" spans="1:8" ht="18.95" customHeight="1" thickBot="1">
      <c r="A113" s="70">
        <f>A111+1</f>
        <v>73</v>
      </c>
      <c r="B113" s="71"/>
      <c r="C113" s="68" t="s">
        <v>159</v>
      </c>
      <c r="D113" s="94">
        <f>SUM(D16,D27,D38,D60,D72,D88,D111)</f>
        <v>10060481774.420282</v>
      </c>
      <c r="E113" s="86"/>
      <c r="F113" s="94">
        <f>SUM(F16,F27,F38,F60,F72,F88,F111)</f>
        <v>9406518681.3996372</v>
      </c>
      <c r="G113" s="94">
        <f>SUM(G16,G27,G38,G60,G72,G88,G111)</f>
        <v>-1704792574.6541116</v>
      </c>
      <c r="H113" s="94">
        <f>SUM(H16,H27,H38,H60,H72,H88,H111)</f>
        <v>7701726106.7455273</v>
      </c>
    </row>
    <row r="114" spans="1:8" ht="18.95" customHeight="1" thickTop="1">
      <c r="B114" s="71"/>
    </row>
    <row r="115" spans="1:8" ht="18.95" customHeight="1">
      <c r="B115" s="71"/>
      <c r="D115" s="86"/>
      <c r="F115" s="93"/>
    </row>
    <row r="116" spans="1:8" ht="18.95" customHeight="1">
      <c r="B116" s="71"/>
      <c r="C116" s="78"/>
    </row>
    <row r="117" spans="1:8" ht="18.95" customHeight="1">
      <c r="B117" s="71"/>
    </row>
    <row r="118" spans="1:8" ht="18.95" customHeight="1">
      <c r="B118" s="71"/>
    </row>
    <row r="119" spans="1:8" ht="18.95" customHeight="1">
      <c r="D119" s="69" t="s">
        <v>160</v>
      </c>
    </row>
    <row r="120" spans="1:8" ht="18.95" customHeight="1"/>
    <row r="121" spans="1:8" ht="18.95" customHeight="1"/>
    <row r="122" spans="1:8" ht="18.95" customHeight="1"/>
    <row r="123" spans="1:8" ht="18.95" customHeight="1"/>
    <row r="124" spans="1:8" ht="18.95" customHeight="1"/>
    <row r="125" spans="1:8" ht="18.95" customHeight="1"/>
    <row r="126" spans="1:8" ht="18.95" customHeight="1"/>
    <row r="127" spans="1:8" ht="18.95" customHeight="1"/>
    <row r="128" spans="1:8" ht="18.95" customHeight="1"/>
    <row r="129" ht="18.95" customHeight="1"/>
    <row r="130" ht="18.95" customHeight="1"/>
    <row r="131" ht="18.95" customHeight="1"/>
  </sheetData>
  <mergeCells count="12">
    <mergeCell ref="A92:H92"/>
    <mergeCell ref="A1:H1"/>
    <mergeCell ref="A2:H2"/>
    <mergeCell ref="A3:H3"/>
    <mergeCell ref="A4:H4"/>
    <mergeCell ref="A45:H45"/>
    <mergeCell ref="A46:H46"/>
    <mergeCell ref="A47:H47"/>
    <mergeCell ref="A48:H48"/>
    <mergeCell ref="A89:H89"/>
    <mergeCell ref="A90:H90"/>
    <mergeCell ref="A91:H91"/>
  </mergeCells>
  <pageMargins left="0.95" right="0.5" top="0.75" bottom="0.75" header="0.3" footer="0.3"/>
  <pageSetup scale="69" fitToHeight="0" orientation="portrait" r:id="rId1"/>
  <rowBreaks count="2" manualBreakCount="2">
    <brk id="44" max="16383" man="1"/>
    <brk id="88" max="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34" ma:contentTypeDescription="Create a new document." ma:contentTypeScope="" ma:versionID="edcdeb43ecd77b2d9855a94c511d88b6">
  <xsd:schema xmlns:xsd="http://www.w3.org/2001/XMLSchema" xmlns:xs="http://www.w3.org/2001/XMLSchema" xmlns:p="http://schemas.microsoft.com/office/2006/metadata/properties" xmlns:ns2="54fcda00-7b58-44a7-b108-8bd10a8a08ba" targetNamespace="http://schemas.microsoft.com/office/2006/metadata/properties" ma:root="true" ma:fieldsID="5bafc3a96119dedc7b88f594c3c04383" ns2:_="">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format="Dropdown" ma:indexed="true" ma:internalName="Year" ma:readOnly="false">
      <xsd:simpleType>
        <xsd:restriction base="dms:Choice">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Orders"/>
          <xsd:enumeration value="Direct Testimony"/>
          <xsd:enumeration value="Rebuttal Testimony"/>
          <xsd:enumeration value="Stipulation Testimony"/>
          <xsd:enumeration value="Supplemental Rebuttal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0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Leichty, Douglas A."/>
          <xsd:enumeration value="Lovekamp, Rick E."/>
          <xsd:enumeration value="Malloy, John P."/>
          <xsd:enumeration value="McKenzie, Adrien M. (FINCAP, Inc.)"/>
          <xsd:enumeration value="Meiman, Greg J."/>
          <xsd:enumeration value="Metts, Heather D."/>
          <xsd:enumeration value="Murphy, J. Clay"/>
          <xsd:enumeration value="Rahn, Derek"/>
          <xsd:enumeration value="Seelye, Steve (The Prime Group)"/>
          <xsd:enumeration value="Sinclair, David S."/>
          <xsd:enumeration value="Spanos, John J. (Gannett Fleming)"/>
          <xsd:enumeration value="Straight, Scott"/>
          <xsd:enumeration value="Thompson, Paul W."/>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Company>
    <Tariff_x0020_Dev_x0020_Doc_x0020_Type xmlns="54fcda00-7b58-44a7-b108-8bd10a8a08ba" xsi:nil="true"/>
    <Filing_x0020_Requirement xmlns="54fcda00-7b58-44a7-b108-8bd10a8a08ba" xsi:nil="true"/>
    <Round xmlns="54fcda00-7b58-44a7-b108-8bd10a8a08ba">DR02 Attachments</Round>
    <Data_x0020_Request_x0020_Question_x0020_No_x002e_ xmlns="54fcda00-7b58-44a7-b108-8bd10a8a08ba">065</Data_x0020_Request_x0020_Question_x0020_No_x002e_>
    <Year xmlns="54fcda00-7b58-44a7-b108-8bd10a8a08ba">2018</Year>
    <Document_x0020_Type xmlns="54fcda00-7b58-44a7-b108-8bd10a8a08ba">Data Requests</Document_x0020_Type>
    <Witness_x0020_Testimony xmlns="54fcda00-7b58-44a7-b108-8bd10a8a08ba" xsi:nil="true"/>
    <Intervemprs xmlns="54fcda00-7b58-44a7-b108-8bd10a8a08ba">KY Public Service Commission - PSC</Intervemprs>
    <Filed_x0020_Documents xmlns="54fcda00-7b58-44a7-b108-8bd10a8a08b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0CC768-63BD-452D-BAE0-B363513A29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cda00-7b58-44a7-b108-8bd10a8a08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4DC4A-603A-4981-8B9E-1A0D7C65E9EA}">
  <ds:schemaRefs>
    <ds:schemaRef ds:uri="http://purl.org/dc/dcmitype/"/>
    <ds:schemaRef ds:uri="http://purl.org/dc/terms/"/>
    <ds:schemaRef ds:uri="http://purl.org/dc/elements/1.1/"/>
    <ds:schemaRef ds:uri="http://schemas.openxmlformats.org/package/2006/metadata/core-properties"/>
    <ds:schemaRef ds:uri="54fcda00-7b58-44a7-b108-8bd10a8a08ba"/>
    <ds:schemaRef ds:uri="http://schemas.microsoft.com/office/2006/documentManagement/types"/>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FF6AE5AD-D5B1-4482-8978-8125A70F5A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51</vt:i4>
      </vt:variant>
    </vt:vector>
  </HeadingPairs>
  <TitlesOfParts>
    <vt:vector size="111" baseType="lpstr">
      <vt:lpstr>SUPP SCH B-1.1 B</vt:lpstr>
      <vt:lpstr>SUPP SCH B-1.1 F</vt:lpstr>
      <vt:lpstr>&lt;&lt;&lt;EXPORT</vt:lpstr>
      <vt:lpstr>Rate Case Constants</vt:lpstr>
      <vt:lpstr>Index B</vt:lpstr>
      <vt:lpstr>SCH B-1</vt:lpstr>
      <vt:lpstr>SCH B-2</vt:lpstr>
      <vt:lpstr>SCH B-2.1 B</vt:lpstr>
      <vt:lpstr>SCH B-2.1 F</vt:lpstr>
      <vt:lpstr>SCH B-2.2</vt:lpstr>
      <vt:lpstr>SCH B-2.3 B</vt:lpstr>
      <vt:lpstr>SCH B-2.3 F</vt:lpstr>
      <vt:lpstr>SCH B-2.4</vt:lpstr>
      <vt:lpstr>SCH B-2.5</vt:lpstr>
      <vt:lpstr>SCH B-2.6</vt:lpstr>
      <vt:lpstr>SCH B-2.7</vt:lpstr>
      <vt:lpstr>SCH B-3 B</vt:lpstr>
      <vt:lpstr>SCH B-3 F</vt:lpstr>
      <vt:lpstr>SCH B-3.1</vt:lpstr>
      <vt:lpstr>SCH B-3.2 B</vt:lpstr>
      <vt:lpstr>SCH B-3.2 F</vt:lpstr>
      <vt:lpstr>SCH B-4</vt:lpstr>
      <vt:lpstr>SCH B-4.1</vt:lpstr>
      <vt:lpstr>SCH B-4.2 B</vt:lpstr>
      <vt:lpstr>SCH B-4.2 F</vt:lpstr>
      <vt:lpstr>SCH B-5</vt:lpstr>
      <vt:lpstr>SCH B-5.1</vt:lpstr>
      <vt:lpstr>SCH B-5.2 B (1)</vt:lpstr>
      <vt:lpstr>SCH B-5.2 B (2)</vt:lpstr>
      <vt:lpstr>SCH B-5.2 F (1)</vt:lpstr>
      <vt:lpstr>SCH B-5.2 F (2)</vt:lpstr>
      <vt:lpstr>SCH B-6</vt:lpstr>
      <vt:lpstr>SCH B-7 B</vt:lpstr>
      <vt:lpstr>SCH B-7 F</vt:lpstr>
      <vt:lpstr>SCH B-7.1 B</vt:lpstr>
      <vt:lpstr>SCH B-7.1 F</vt:lpstr>
      <vt:lpstr>SCH B-7.2 B</vt:lpstr>
      <vt:lpstr>SCH B-7.2 F</vt:lpstr>
      <vt:lpstr>SCH B-8 TC</vt:lpstr>
      <vt:lpstr>SCH B-8 KY</vt:lpstr>
      <vt:lpstr>DATA&gt;&gt;&gt;</vt:lpstr>
      <vt:lpstr>BS</vt:lpstr>
      <vt:lpstr>JURISSEP B</vt:lpstr>
      <vt:lpstr>JURISSEP F</vt:lpstr>
      <vt:lpstr>PIS B</vt:lpstr>
      <vt:lpstr>FCPIS B</vt:lpstr>
      <vt:lpstr>FC CWIP &amp; RWIP B</vt:lpstr>
      <vt:lpstr>PIS F</vt:lpstr>
      <vt:lpstr>FCPIS F</vt:lpstr>
      <vt:lpstr>FC CWIP &amp; RWIP F</vt:lpstr>
      <vt:lpstr>AFUDC</vt:lpstr>
      <vt:lpstr>ECR Exclusion</vt:lpstr>
      <vt:lpstr>ECR COR</vt:lpstr>
      <vt:lpstr>ECR EXP B</vt:lpstr>
      <vt:lpstr>ECR EXP F</vt:lpstr>
      <vt:lpstr>ECR DEFTAX</vt:lpstr>
      <vt:lpstr>DSM DEFTAX</vt:lpstr>
      <vt:lpstr>ECR ALLOW</vt:lpstr>
      <vt:lpstr>KU Depr Rates</vt:lpstr>
      <vt:lpstr>KU Proposed Depr Rates</vt:lpstr>
      <vt:lpstr>AFUDC!Print_Area</vt:lpstr>
      <vt:lpstr>'ECR EXP B'!Print_Area</vt:lpstr>
      <vt:lpstr>'ECR EXP F'!Print_Area</vt:lpstr>
      <vt:lpstr>'Index B'!Print_Area</vt:lpstr>
      <vt:lpstr>'JURISSEP B'!Print_Area</vt:lpstr>
      <vt:lpstr>'JURISSEP F'!Print_Area</vt:lpstr>
      <vt:lpstr>'KU Depr Rates'!Print_Area</vt:lpstr>
      <vt:lpstr>'SCH B-1'!Print_Area</vt:lpstr>
      <vt:lpstr>'SCH B-2'!Print_Area</vt:lpstr>
      <vt:lpstr>'SCH B-2.1 B'!Print_Area</vt:lpstr>
      <vt:lpstr>'SCH B-2.1 F'!Print_Area</vt:lpstr>
      <vt:lpstr>'SCH B-2.2'!Print_Area</vt:lpstr>
      <vt:lpstr>'SCH B-2.3 B'!Print_Area</vt:lpstr>
      <vt:lpstr>'SCH B-2.3 F'!Print_Area</vt:lpstr>
      <vt:lpstr>'SCH B-2.4'!Print_Area</vt:lpstr>
      <vt:lpstr>'SCH B-2.5'!Print_Area</vt:lpstr>
      <vt:lpstr>'SCH B-2.6'!Print_Area</vt:lpstr>
      <vt:lpstr>'SCH B-2.7'!Print_Area</vt:lpstr>
      <vt:lpstr>'SCH B-3 B'!Print_Area</vt:lpstr>
      <vt:lpstr>'SCH B-3 F'!Print_Area</vt:lpstr>
      <vt:lpstr>'SCH B-3.1'!Print_Area</vt:lpstr>
      <vt:lpstr>'SCH B-3.2 B'!Print_Area</vt:lpstr>
      <vt:lpstr>'SCH B-3.2 F'!Print_Area</vt:lpstr>
      <vt:lpstr>'SCH B-4'!Print_Area</vt:lpstr>
      <vt:lpstr>'SCH B-4.1'!Print_Area</vt:lpstr>
      <vt:lpstr>'SCH B-4.2 B'!Print_Area</vt:lpstr>
      <vt:lpstr>'SCH B-4.2 F'!Print_Area</vt:lpstr>
      <vt:lpstr>'SCH B-5'!Print_Area</vt:lpstr>
      <vt:lpstr>'SCH B-5.1'!Print_Area</vt:lpstr>
      <vt:lpstr>'SCH B-5.2 B (1)'!Print_Area</vt:lpstr>
      <vt:lpstr>'SCH B-5.2 B (2)'!Print_Area</vt:lpstr>
      <vt:lpstr>'SCH B-5.2 F (1)'!Print_Area</vt:lpstr>
      <vt:lpstr>'SCH B-5.2 F (2)'!Print_Area</vt:lpstr>
      <vt:lpstr>'SCH B-6'!Print_Area</vt:lpstr>
      <vt:lpstr>'SCH B-7 B'!Print_Area</vt:lpstr>
      <vt:lpstr>'SCH B-7 F'!Print_Area</vt:lpstr>
      <vt:lpstr>'SCH B-7.1 B'!Print_Area</vt:lpstr>
      <vt:lpstr>'SCH B-7.1 F'!Print_Area</vt:lpstr>
      <vt:lpstr>'SCH B-7.2 B'!Print_Area</vt:lpstr>
      <vt:lpstr>'SCH B-7.2 F'!Print_Area</vt:lpstr>
      <vt:lpstr>'SCH B-8 KY'!Print_Area</vt:lpstr>
      <vt:lpstr>'SCH B-8 TC'!Print_Area</vt:lpstr>
      <vt:lpstr>'SUPP SCH B-1.1 B'!Print_Area</vt:lpstr>
      <vt:lpstr>'SUPP SCH B-1.1 F'!Print_Area</vt:lpstr>
      <vt:lpstr>'Index B'!Print_Area_MI</vt:lpstr>
      <vt:lpstr>'FCPIS B'!Print_Titles</vt:lpstr>
      <vt:lpstr>'JURISSEP B'!Print_Titles</vt:lpstr>
      <vt:lpstr>'JURISSEP F'!Print_Titles</vt:lpstr>
      <vt:lpstr>'KU Proposed Depr Rates'!Print_Titles</vt:lpstr>
      <vt:lpstr>'PIS B'!Print_Titles</vt:lpstr>
      <vt:lpstr>'PIS F'!Print_Titles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2018-09-27T13:19:23Z</dcterms:created>
  <dcterms:modified xsi:type="dcterms:W3CDTF">2018-11-26T15:30:13Z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